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worksheets/sheet51.xml" ContentType="application/vnd.openxmlformats-officedocument.spreadsheetml.worksheet+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externalLinks/externalLink7.xml" ContentType="application/vnd.openxmlformats-officedocument.spreadsheetml.externalLink+xml"/>
  <Override PartName="/xl/drawings/drawing4.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externalLinks/externalLink5.xml" ContentType="application/vnd.openxmlformats-officedocument.spreadsheetml.externalLink+xml"/>
  <Override PartName="/xl/drawings/drawing2.xml" ContentType="application/vnd.openxmlformats-officedocument.drawing+xml"/>
  <Override PartName="/xl/worksheets/sheet3.xml" ContentType="application/vnd.openxmlformats-officedocument.spreadsheetml.worksheet+xml"/>
  <Override PartName="/xl/externalLinks/externalLink3.xml" ContentType="application/vnd.openxmlformats-officedocument.spreadsheetml.externalLink+xml"/>
  <Override PartName="/xl/externalLinks/externalLink14.xml" ContentType="application/vnd.openxmlformats-officedocument.spreadsheetml.externalLink+xml"/>
  <Override PartName="/xl/worksheets/sheet1.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externalLinks/externalLink12.xml" ContentType="application/vnd.openxmlformats-officedocument.spreadsheetml.externalLink+xml"/>
  <Override PartName="/xl/drawings/drawing11.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externalLinks/externalLink10.xml" ContentType="application/vnd.openxmlformats-officedocument.spreadsheetml.externalLink+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Default Extension="bin" ContentType="application/vnd.openxmlformats-officedocument.spreadsheetml.printerSettings"/>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externalLinks/externalLink8.xml" ContentType="application/vnd.openxmlformats-officedocument.spreadsheetml.externalLink+xml"/>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externalLinks/externalLink6.xml" ContentType="application/vnd.openxmlformats-officedocument.spreadsheetml.externalLink+xml"/>
  <Override PartName="/xl/drawings/drawing5.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externalLinks/externalLink2.xml" ContentType="application/vnd.openxmlformats-officedocument.spreadsheetml.externalLink+xml"/>
  <Override PartName="/xl/externalLinks/externalLink13.xml" ContentType="application/vnd.openxmlformats-officedocument.spreadsheetml.externalLink+xml"/>
  <Override PartName="/xl/drawings/drawing1.xml" ContentType="application/vnd.openxmlformats-officedocument.drawing+xml"/>
  <Override PartName="/xl/externalLinks/externalLink11.xml" ContentType="application/vnd.openxmlformats-officedocument.spreadsheetml.externalLink+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drawings/drawing10.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bookViews>
    <workbookView xWindow="0" yWindow="0" windowWidth="15360" windowHeight="7620" tabRatio="848" firstSheet="10" activeTab="12"/>
  </bookViews>
  <sheets>
    <sheet name="Detail new" sheetId="9" state="hidden" r:id="rId1"/>
    <sheet name="Abstract" sheetId="15" state="hidden" r:id="rId2"/>
    <sheet name="Abs (2)" sheetId="70" state="hidden" r:id="rId3"/>
    <sheet name="Abstact." sheetId="67" state="hidden" r:id="rId4"/>
    <sheet name="Abstract " sheetId="60" state="hidden" r:id="rId5"/>
    <sheet name="lead  charge" sheetId="76" r:id="rId6"/>
    <sheet name="sump design" sheetId="72" r:id="rId7"/>
    <sheet name="sump" sheetId="71" r:id="rId8"/>
    <sheet name="Retained Wall " sheetId="69" r:id="rId9"/>
    <sheet name="Print data" sheetId="77" r:id="rId10"/>
    <sheet name="Elec.Data" sheetId="75" r:id="rId11"/>
    <sheet name="Data 2022-23" sheetId="74" r:id="rId12"/>
    <sheet name="General Abs" sheetId="73" r:id="rId13"/>
    <sheet name="Ins Abs" sheetId="64" r:id="rId14"/>
    <sheet name="SI Abs " sheetId="65" r:id="rId15"/>
    <sheet name="Abstarct" sheetId="68" r:id="rId16"/>
    <sheet name="PC Abs" sheetId="66" r:id="rId17"/>
    <sheet name="building" sheetId="48" state="hidden" r:id="rId18"/>
    <sheet name="INS- Detail " sheetId="40" r:id="rId19"/>
    <sheet name="INS - Abs " sheetId="41" state="hidden" r:id="rId20"/>
    <sheet name="INS- Elec " sheetId="38" r:id="rId21"/>
    <sheet name="IN- Elec - Abs " sheetId="39" state="hidden" r:id="rId22"/>
    <sheet name="INS - Sullage " sheetId="34" r:id="rId23"/>
    <sheet name="INS - PP - Detail " sheetId="36" r:id="rId24"/>
    <sheet name="SI- Detail  " sheetId="42" r:id="rId25"/>
    <sheet name="SI - Abs" sheetId="43" state="hidden" r:id="rId26"/>
    <sheet name="SI- Elec  " sheetId="44" r:id="rId27"/>
    <sheet name="SI - Sullage  " sheetId="51" r:id="rId28"/>
    <sheet name="SI - PP - Detail " sheetId="49" r:id="rId29"/>
    <sheet name="PC - Abs" sheetId="33" state="hidden" r:id="rId30"/>
    <sheet name="PC- Detail" sheetId="32" r:id="rId31"/>
    <sheet name="SI- Elec - Abs  " sheetId="45" state="hidden" r:id="rId32"/>
    <sheet name="PC- Elec" sheetId="30" r:id="rId33"/>
    <sheet name="PC- Elec - Abs" sheetId="31" state="hidden" r:id="rId34"/>
    <sheet name="INS - Sullage - Abs " sheetId="35" state="hidden" r:id="rId35"/>
    <sheet name="SI - Sullage - Abs" sheetId="52" state="hidden" r:id="rId36"/>
    <sheet name="PC - Sullage   " sheetId="53" r:id="rId37"/>
    <sheet name="PC - Sullage - Abs" sheetId="54" state="hidden" r:id="rId38"/>
    <sheet name="INS -PP- Abs " sheetId="37" state="hidden" r:id="rId39"/>
    <sheet name="SI -PP- Abs " sheetId="50" state="hidden" r:id="rId40"/>
    <sheet name="PC - PP - Detail" sheetId="28" r:id="rId41"/>
    <sheet name="PC -PP- Abs" sheetId="29" state="hidden" r:id="rId42"/>
    <sheet name="sump abs" sheetId="56" state="hidden" r:id="rId43"/>
    <sheet name="sump (2)" sheetId="57" r:id="rId44"/>
    <sheet name="sump abs (2)" sheetId="58" state="hidden" r:id="rId45"/>
    <sheet name="OBD" sheetId="17" state="hidden" r:id="rId46"/>
    <sheet name="Lead" sheetId="16" state="hidden" r:id="rId47"/>
    <sheet name="Short data" sheetId="12" state="hidden" r:id="rId48"/>
    <sheet name="Short data (2)" sheetId="20" state="hidden" r:id="rId49"/>
    <sheet name="Detail old" sheetId="13" state="hidden" r:id="rId50"/>
    <sheet name="Sheet1" sheetId="14" state="hidden" r:id="rId51"/>
    <sheet name="Sheet2" sheetId="78" r:id="rId52"/>
  </sheets>
  <externalReferences>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s>
  <definedNames>
    <definedName name="____A65539">#REF!</definedName>
    <definedName name="___A65539">#REF!</definedName>
    <definedName name="__A65539">#REF!</definedName>
    <definedName name="_A65539">#REF!</definedName>
    <definedName name="_xlnm._FilterDatabase" localSheetId="3" hidden="1">Abstact.!$A$5:$Z$1141</definedName>
    <definedName name="_xlnm._FilterDatabase" localSheetId="15" hidden="1">Abstarct!$A$5:$AB$208</definedName>
    <definedName name="_xlnm._FilterDatabase" localSheetId="17" hidden="1">building!$A$4:$AR$103</definedName>
    <definedName name="_xlnm._FilterDatabase" localSheetId="13" hidden="1">'Ins Abs'!$A$5:$AB$196</definedName>
    <definedName name="_xlnm._FilterDatabase" localSheetId="16" hidden="1">'PC Abs'!$A$5:$AB$191</definedName>
    <definedName name="_xlnm._FilterDatabase" localSheetId="14" hidden="1">'SI Abs '!$A$5:$AB$199</definedName>
    <definedName name="a" localSheetId="10">#REF!</definedName>
    <definedName name="a">#REF!</definedName>
    <definedName name="a3424\" localSheetId="10">#REF!</definedName>
    <definedName name="a3424\">#REF!</definedName>
    <definedName name="ahfk" localSheetId="3">#REF!</definedName>
    <definedName name="ahfk" localSheetId="15">#REF!</definedName>
    <definedName name="ahfk" localSheetId="17">#REF!</definedName>
    <definedName name="ahfk" localSheetId="11">#REF!</definedName>
    <definedName name="ahfk" localSheetId="10">#REF!</definedName>
    <definedName name="ahfk" localSheetId="38">#REF!</definedName>
    <definedName name="ahfk" localSheetId="5">#REF!</definedName>
    <definedName name="ahfk" localSheetId="16">#REF!</definedName>
    <definedName name="ahfk" localSheetId="41">#REF!</definedName>
    <definedName name="ahfk" localSheetId="48">#REF!</definedName>
    <definedName name="ahfk" localSheetId="14">#REF!</definedName>
    <definedName name="ahfk" localSheetId="39">#REF!</definedName>
    <definedName name="ahfk">#REF!</definedName>
    <definedName name="ahh">#REF!</definedName>
    <definedName name="ass">#REF!</definedName>
    <definedName name="Beg_Bal">#REF!</definedName>
    <definedName name="c641.">#REF!</definedName>
    <definedName name="Data">#REF!</definedName>
    <definedName name="dd">#REF!</definedName>
    <definedName name="detpada">#REF!</definedName>
    <definedName name="df">#REF!</definedName>
    <definedName name="electri" localSheetId="3">#REF!</definedName>
    <definedName name="electri" localSheetId="15">#REF!</definedName>
    <definedName name="electri" localSheetId="17">#REF!</definedName>
    <definedName name="electri" localSheetId="11">#REF!</definedName>
    <definedName name="electri" localSheetId="10">#REF!</definedName>
    <definedName name="electri" localSheetId="38">#REF!</definedName>
    <definedName name="electri" localSheetId="5">#REF!</definedName>
    <definedName name="electri" localSheetId="16">#REF!</definedName>
    <definedName name="electri" localSheetId="41">#REF!</definedName>
    <definedName name="electri" localSheetId="48">#REF!</definedName>
    <definedName name="electri" localSheetId="14">#REF!</definedName>
    <definedName name="electri" localSheetId="39">#REF!</definedName>
    <definedName name="electri">#REF!</definedName>
    <definedName name="End_Bal">#REF!</definedName>
    <definedName name="er">#REF!</definedName>
    <definedName name="Extra_Pay">#REF!</definedName>
    <definedName name="fhd" localSheetId="3">#REF!</definedName>
    <definedName name="fhd" localSheetId="15">#REF!</definedName>
    <definedName name="fhd" localSheetId="17">#REF!</definedName>
    <definedName name="fhd" localSheetId="11">#REF!</definedName>
    <definedName name="fhd" localSheetId="10">#REF!</definedName>
    <definedName name="fhd" localSheetId="38">#REF!</definedName>
    <definedName name="fhd" localSheetId="5">#REF!</definedName>
    <definedName name="fhd" localSheetId="16">#REF!</definedName>
    <definedName name="fhd" localSheetId="41">#REF!</definedName>
    <definedName name="fhd" localSheetId="48">#REF!</definedName>
    <definedName name="fhd" localSheetId="14">#REF!</definedName>
    <definedName name="fhd" localSheetId="39">#REF!</definedName>
    <definedName name="fhd">#REF!</definedName>
    <definedName name="Full_Print">#REF!</definedName>
    <definedName name="Header_Row">ROW(#REF!)</definedName>
    <definedName name="hha">#REF!</definedName>
    <definedName name="hia" localSheetId="3">#REF!</definedName>
    <definedName name="hia" localSheetId="15">#REF!</definedName>
    <definedName name="hia" localSheetId="4">#REF!</definedName>
    <definedName name="hia" localSheetId="17">#REF!</definedName>
    <definedName name="hia" localSheetId="11">#REF!</definedName>
    <definedName name="hia" localSheetId="10">#REF!</definedName>
    <definedName name="hia" localSheetId="13">#REF!</definedName>
    <definedName name="hia" localSheetId="38">#REF!</definedName>
    <definedName name="hia" localSheetId="5">#REF!</definedName>
    <definedName name="hia" localSheetId="16">#REF!</definedName>
    <definedName name="hia" localSheetId="41">#REF!</definedName>
    <definedName name="hia" localSheetId="48">#REF!</definedName>
    <definedName name="hia" localSheetId="14">#REF!</definedName>
    <definedName name="hia" localSheetId="39">#REF!</definedName>
    <definedName name="hia">#REF!</definedName>
    <definedName name="hj">#REF!</definedName>
    <definedName name="i">#REF!</definedName>
    <definedName name="ins" localSheetId="3">#REF!</definedName>
    <definedName name="ins" localSheetId="15">#REF!</definedName>
    <definedName name="ins" localSheetId="17">#REF!</definedName>
    <definedName name="ins" localSheetId="11">#REF!</definedName>
    <definedName name="ins" localSheetId="10">#REF!</definedName>
    <definedName name="ins" localSheetId="38">#REF!</definedName>
    <definedName name="ins" localSheetId="5">#REF!</definedName>
    <definedName name="ins" localSheetId="16">#REF!</definedName>
    <definedName name="ins" localSheetId="41">#REF!</definedName>
    <definedName name="ins" localSheetId="48">#REF!</definedName>
    <definedName name="ins" localSheetId="14">#REF!</definedName>
    <definedName name="ins" localSheetId="39">#REF!</definedName>
    <definedName name="ins">#REF!</definedName>
    <definedName name="Int">#REF!</definedName>
    <definedName name="Interest_Rate">#REF!</definedName>
    <definedName name="k404." localSheetId="3">#REF!</definedName>
    <definedName name="k404." localSheetId="15">#REF!</definedName>
    <definedName name="k404." localSheetId="4">#REF!</definedName>
    <definedName name="k404." localSheetId="17">#REF!</definedName>
    <definedName name="k404." localSheetId="11">#REF!</definedName>
    <definedName name="k404." localSheetId="10">#REF!</definedName>
    <definedName name="k404." localSheetId="38">#REF!</definedName>
    <definedName name="k404." localSheetId="5">#REF!</definedName>
    <definedName name="k404." localSheetId="16">#REF!</definedName>
    <definedName name="k404." localSheetId="41">#REF!</definedName>
    <definedName name="k404." localSheetId="48">#REF!</definedName>
    <definedName name="k404." localSheetId="14">#REF!</definedName>
    <definedName name="k404." localSheetId="39">#REF!</definedName>
    <definedName name="k404.">#REF!</definedName>
    <definedName name="kasper">#REF!</definedName>
    <definedName name="Last_Row" localSheetId="10">IF(Elec.Data!Values_Entered,Header_Row+Elec.Data!Number_of_Payments,Header_Row)</definedName>
    <definedName name="Last_Row" localSheetId="5">IF('lead  charge'!Values_Entered,Header_Row+'lead  charge'!Number_of_Payments,Header_Row)</definedName>
    <definedName name="Last_Row">IF(Elec.Data!Values_Entered,Header_Row+Elec.Data!Number_of_Payments,Header_Row)</definedName>
    <definedName name="Loan_Amount" localSheetId="10">#REF!</definedName>
    <definedName name="Loan_Amount">#REF!</definedName>
    <definedName name="Loan_Start" localSheetId="10">#REF!</definedName>
    <definedName name="Loan_Start">#REF!</definedName>
    <definedName name="Loan_Years" localSheetId="10">#REF!</definedName>
    <definedName name="Loan_Years">#REF!</definedName>
    <definedName name="Num_Pmt_Per_Year">#REF!</definedName>
    <definedName name="Number_of_Payments" localSheetId="10">MATCH(0.01,End_Bal,-1)+1</definedName>
    <definedName name="Number_of_Payments" localSheetId="5">MATCH(0.01,End_Bal,-1)+1</definedName>
    <definedName name="Number_of_Payments">MATCH(0.01,End_Bal,-1)+1</definedName>
    <definedName name="Pay_Date">#REF!</definedName>
    <definedName name="Pay_Num">#REF!</definedName>
    <definedName name="payment">#REF!</definedName>
    <definedName name="Payment_Date" localSheetId="10">DATE(YEAR(Elec.Data!Loan_Start),MONTH(Elec.Data!Loan_Start)+Payment_Number,DAY(Elec.Data!Loan_Start))</definedName>
    <definedName name="Payment_Date" localSheetId="5">DATE(YEAR(Loan_Start),MONTH(Loan_Start)+Payment_Number,DAY(Loan_Start))</definedName>
    <definedName name="Payment_Date">DATE(YEAR(Loan_Start),MONTH(Loan_Start)+Payment_Number,DAY(Loan_Start))</definedName>
    <definedName name="pc" localSheetId="3">#REF!</definedName>
    <definedName name="pc" localSheetId="15">#REF!</definedName>
    <definedName name="pc" localSheetId="4">#REF!</definedName>
    <definedName name="pc" localSheetId="17">#REF!</definedName>
    <definedName name="pc" localSheetId="11">#REF!</definedName>
    <definedName name="pc" localSheetId="10">#REF!</definedName>
    <definedName name="pc" localSheetId="38">#REF!</definedName>
    <definedName name="pc" localSheetId="5">#REF!</definedName>
    <definedName name="pc" localSheetId="16">#REF!</definedName>
    <definedName name="pc" localSheetId="41">#REF!</definedName>
    <definedName name="pc" localSheetId="48">#REF!</definedName>
    <definedName name="pc" localSheetId="14">#REF!</definedName>
    <definedName name="pc" localSheetId="39">#REF!</definedName>
    <definedName name="pc">#REF!</definedName>
    <definedName name="Princ">#REF!</definedName>
    <definedName name="print" localSheetId="3">#REF!</definedName>
    <definedName name="print" localSheetId="15">#REF!</definedName>
    <definedName name="print" localSheetId="4">#REF!</definedName>
    <definedName name="print" localSheetId="17">#REF!</definedName>
    <definedName name="print" localSheetId="11">#REF!</definedName>
    <definedName name="print" localSheetId="10">#REF!</definedName>
    <definedName name="print" localSheetId="13">#REF!</definedName>
    <definedName name="print" localSheetId="38">#REF!</definedName>
    <definedName name="print" localSheetId="5">#REF!</definedName>
    <definedName name="print" localSheetId="16">#REF!</definedName>
    <definedName name="print" localSheetId="41">#REF!</definedName>
    <definedName name="print" localSheetId="48">#REF!</definedName>
    <definedName name="print" localSheetId="14">#REF!</definedName>
    <definedName name="print" localSheetId="39">#REF!</definedName>
    <definedName name="print">#REF!</definedName>
    <definedName name="_xlnm.Print_Area" localSheetId="2">'Abs (2)'!$A$1:$F$18</definedName>
    <definedName name="_xlnm.Print_Area" localSheetId="3">Abstact.!$A$1:$P$1034</definedName>
    <definedName name="_xlnm.Print_Area" localSheetId="15">Abstarct!$A$1:$R$104</definedName>
    <definedName name="_xlnm.Print_Area" localSheetId="1">Abstract!$A$1:$F$70</definedName>
    <definedName name="_xlnm.Print_Area" localSheetId="4">'Abstract '!$A$1:$F$100</definedName>
    <definedName name="_xlnm.Print_Area" localSheetId="17">building!$A$1:$AH$92</definedName>
    <definedName name="_xlnm.Print_Area" localSheetId="11">'Data 2022-23'!$T$1:$AG$63</definedName>
    <definedName name="_xlnm.Print_Area" localSheetId="0">'Detail new'!$A$1:$I$644</definedName>
    <definedName name="_xlnm.Print_Area" localSheetId="10">Elec.Data!$763:$763</definedName>
    <definedName name="_xlnm.Print_Area" localSheetId="12">'General Abs'!$A$1:$F$19</definedName>
    <definedName name="_xlnm.Print_Area" localSheetId="21">'IN- Elec - Abs '!$A$1:$F$31</definedName>
    <definedName name="_xlnm.Print_Area" localSheetId="19">'INS - Abs '!$A$1:$F$55</definedName>
    <definedName name="_xlnm.Print_Area" localSheetId="13">'Ins Abs'!$A$1:$R$88</definedName>
    <definedName name="_xlnm.Print_Area" localSheetId="18">'INS- Detail '!$A$1:$I$399</definedName>
    <definedName name="_xlnm.Print_Area" localSheetId="20">'INS- Elec '!$A$1:$I$87</definedName>
    <definedName name="_xlnm.Print_Area" localSheetId="38">'INS -PP- Abs '!$A$1:$F$18</definedName>
    <definedName name="_xlnm.Print_Area" localSheetId="5">'lead  charge'!$A$1:$S$151</definedName>
    <definedName name="_xlnm.Print_Area" localSheetId="29">'PC - Abs'!$A$1:$F$55</definedName>
    <definedName name="_xlnm.Print_Area" localSheetId="16">'PC Abs'!$A$1:$R$83</definedName>
    <definedName name="_xlnm.Print_Area" localSheetId="30">'PC- Detail'!$A$1:$I$307</definedName>
    <definedName name="_xlnm.Print_Area" localSheetId="32">'PC- Elec'!$A$1:$I$92</definedName>
    <definedName name="_xlnm.Print_Area" localSheetId="33">'PC- Elec - Abs'!$A$1:$F$32</definedName>
    <definedName name="_xlnm.Print_Area" localSheetId="41">'PC -PP- Abs'!$A$1:$F$18</definedName>
    <definedName name="_xlnm.Print_Area" localSheetId="8">'Retained Wall '!$A$1:$H$35</definedName>
    <definedName name="_xlnm.Print_Area" localSheetId="48">#REF!</definedName>
    <definedName name="_xlnm.Print_Area" localSheetId="25">'SI - Abs'!$A$1:$F$55</definedName>
    <definedName name="_xlnm.Print_Area" localSheetId="14">'SI Abs '!$A$1:$R$91</definedName>
    <definedName name="_xlnm.Print_Area" localSheetId="24">'SI- Detail  '!$A$1:$I$360</definedName>
    <definedName name="_xlnm.Print_Area" localSheetId="26">'SI- Elec  '!$A$1:$I$85</definedName>
    <definedName name="_xlnm.Print_Area" localSheetId="31">'SI- Elec - Abs  '!$A$1:$F$31</definedName>
    <definedName name="_xlnm.Print_Area" localSheetId="39">'SI -PP- Abs '!$A$1:$F$18</definedName>
    <definedName name="_xlnm.Print_Area">#REF!</definedName>
    <definedName name="PRINT_AREA_MI" localSheetId="3">#REF!</definedName>
    <definedName name="PRINT_AREA_MI" localSheetId="15">#REF!</definedName>
    <definedName name="PRINT_AREA_MI" localSheetId="4">#REF!</definedName>
    <definedName name="PRINT_AREA_MI" localSheetId="17">#REF!</definedName>
    <definedName name="Print_Area_MI" localSheetId="11">'Data 2022-23'!$F$1:$K$214</definedName>
    <definedName name="Print_Area_MI" localSheetId="10">Elec.Data!#REF!</definedName>
    <definedName name="PRINT_AREA_MI" localSheetId="38">#REF!</definedName>
    <definedName name="PRINT_AREA_MI" localSheetId="5">#REF!</definedName>
    <definedName name="PRINT_AREA_MI" localSheetId="16">#REF!</definedName>
    <definedName name="PRINT_AREA_MI" localSheetId="41">#REF!</definedName>
    <definedName name="PRINT_AREA_MI" localSheetId="48">#REF!</definedName>
    <definedName name="PRINT_AREA_MI" localSheetId="14">#REF!</definedName>
    <definedName name="PRINT_AREA_MI" localSheetId="39">#REF!</definedName>
    <definedName name="PRINT_AREA_MI">#REF!</definedName>
    <definedName name="Print_Area_Reset" localSheetId="10">OFFSET(Full_Print,0,0,Elec.Data!Last_Row)</definedName>
    <definedName name="Print_Area_Reset" localSheetId="5">OFFSET(Full_Print,0,0,'lead  charge'!Last_Row)</definedName>
    <definedName name="Print_Area_Reset">OFFSET(Full_Print,0,0,Last_Row)</definedName>
    <definedName name="_xlnm.Print_Titles" localSheetId="3">Abstact.!$3:$4</definedName>
    <definedName name="_xlnm.Print_Titles" localSheetId="15">Abstarct!$3:$4</definedName>
    <definedName name="_xlnm.Print_Titles" localSheetId="4">'Abstract '!$4:$4</definedName>
    <definedName name="_xlnm.Print_Titles" localSheetId="17">building!$2:$3</definedName>
    <definedName name="_xlnm.Print_Titles" localSheetId="11">#REF!</definedName>
    <definedName name="_xlnm.Print_Titles" localSheetId="10">#REF!</definedName>
    <definedName name="_xlnm.Print_Titles" localSheetId="13">'Ins Abs'!$3:$4</definedName>
    <definedName name="_xlnm.Print_Titles" localSheetId="38">#REF!</definedName>
    <definedName name="_xlnm.Print_Titles" localSheetId="5">#REF!</definedName>
    <definedName name="_xlnm.Print_Titles" localSheetId="16">'PC Abs'!$3:$4</definedName>
    <definedName name="_xlnm.Print_Titles" localSheetId="41">#REF!</definedName>
    <definedName name="_xlnm.Print_Titles" localSheetId="48">#REF!</definedName>
    <definedName name="_xlnm.Print_Titles" localSheetId="14">'SI Abs '!$3:$4</definedName>
    <definedName name="_xlnm.Print_Titles" localSheetId="39">#REF!</definedName>
    <definedName name="_xlnm.Print_Titles">#REF!</definedName>
    <definedName name="PRINT_TITLES_MI" localSheetId="3">#REF!</definedName>
    <definedName name="PRINT_TITLES_MI" localSheetId="15">#REF!</definedName>
    <definedName name="PRINT_TITLES_MI" localSheetId="4">#REF!</definedName>
    <definedName name="PRINT_TITLES_MI" localSheetId="17">#REF!</definedName>
    <definedName name="PRINT_TITLES_MI" localSheetId="11">'Data 2022-23'!$GL$7:$II$7593</definedName>
    <definedName name="PRINT_TITLES_MI" localSheetId="10">Elec.Data!$GJ$1:$IG$4787</definedName>
    <definedName name="PRINT_TITLES_MI" localSheetId="38">#REF!</definedName>
    <definedName name="PRINT_TITLES_MI" localSheetId="5">#REF!</definedName>
    <definedName name="PRINT_TITLES_MI" localSheetId="16">#REF!</definedName>
    <definedName name="PRINT_TITLES_MI" localSheetId="41">#REF!</definedName>
    <definedName name="PRINT_TITLES_MI" localSheetId="48">#REF!</definedName>
    <definedName name="PRINT_TITLES_MI" localSheetId="14">#REF!</definedName>
    <definedName name="PRINT_TITLES_MI" localSheetId="39">#REF!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QE" localSheetId="3">#REF!</definedName>
    <definedName name="QQE" localSheetId="15">#REF!</definedName>
    <definedName name="QQE" localSheetId="17">#REF!</definedName>
    <definedName name="QQE" localSheetId="11">#REF!</definedName>
    <definedName name="QQE" localSheetId="10">#REF!</definedName>
    <definedName name="QQE" localSheetId="38">#REF!</definedName>
    <definedName name="QQE" localSheetId="5">#REF!</definedName>
    <definedName name="QQE" localSheetId="16">#REF!</definedName>
    <definedName name="QQE" localSheetId="41">#REF!</definedName>
    <definedName name="QQE" localSheetId="48">#REF!</definedName>
    <definedName name="QQE" localSheetId="14">#REF!</definedName>
    <definedName name="QQE" localSheetId="39">#REF!</definedName>
    <definedName name="QQE">#REF!</definedName>
    <definedName name="QWE" localSheetId="3">#REF!</definedName>
    <definedName name="QWE" localSheetId="15">#REF!</definedName>
    <definedName name="QWE" localSheetId="17">#REF!</definedName>
    <definedName name="QWE" localSheetId="11">#REF!</definedName>
    <definedName name="QWE" localSheetId="10">#REF!</definedName>
    <definedName name="QWE" localSheetId="38">#REF!</definedName>
    <definedName name="QWE" localSheetId="5">#REF!</definedName>
    <definedName name="QWE" localSheetId="16">#REF!</definedName>
    <definedName name="QWE" localSheetId="41">#REF!</definedName>
    <definedName name="QWE" localSheetId="48">#REF!</definedName>
    <definedName name="QWE" localSheetId="14">#REF!</definedName>
    <definedName name="QWE" localSheetId="39">#REF!</definedName>
    <definedName name="QWE">#REF!</definedName>
    <definedName name="roya">#REF!</definedName>
    <definedName name="Sched_Pay">#REF!</definedName>
    <definedName name="Scheduled_Extra_Payments">#REF!</definedName>
    <definedName name="Scheduled_Interest_Rate">#REF!</definedName>
    <definedName name="Scheduled_Monthly_Payment">#REF!</definedName>
    <definedName name="sd" localSheetId="3">#REF!</definedName>
    <definedName name="sd" localSheetId="15">#REF!</definedName>
    <definedName name="sd" localSheetId="11">#REF!</definedName>
    <definedName name="sd" localSheetId="10">#REF!</definedName>
    <definedName name="sd" localSheetId="5">#REF!</definedName>
    <definedName name="sd" localSheetId="16">#REF!</definedName>
    <definedName name="sd" localSheetId="14">#REF!</definedName>
    <definedName name="sd">#REF!</definedName>
    <definedName name="sheet">#REF!</definedName>
    <definedName name="sss">#REF!</definedName>
    <definedName name="sump">#REF!</definedName>
    <definedName name="sump2" localSheetId="3">#REF!</definedName>
    <definedName name="sump2" localSheetId="15">#REF!</definedName>
    <definedName name="sump2" localSheetId="11">#REF!</definedName>
    <definedName name="sump2" localSheetId="10">#REF!</definedName>
    <definedName name="sump2" localSheetId="5">#REF!</definedName>
    <definedName name="sump2" localSheetId="16">#REF!</definedName>
    <definedName name="sump2" localSheetId="14">#REF!</definedName>
    <definedName name="sump2">#REF!</definedName>
    <definedName name="Total_Interest">#REF!</definedName>
    <definedName name="Total_Pay">#REF!</definedName>
    <definedName name="Total_Payment" localSheetId="10">Scheduled_Payment+Extra_Payment</definedName>
    <definedName name="Total_Payment" localSheetId="5">Scheduled_Payment+Extra_Payment</definedName>
    <definedName name="Total_Payment">Scheduled_Payment+Extra_Payment</definedName>
    <definedName name="v_app" localSheetId="10">#REF!</definedName>
    <definedName name="v_app">#REF!</definedName>
    <definedName name="v_est" localSheetId="10">#REF!</definedName>
    <definedName name="v_est">#REF!</definedName>
    <definedName name="v_paid" localSheetId="10">#REF!</definedName>
    <definedName name="v_paid">#REF!</definedName>
    <definedName name="v_quo">#REF!</definedName>
    <definedName name="v_rec">#REF!</definedName>
    <definedName name="v_tot">#REF!</definedName>
    <definedName name="Values_Entered" localSheetId="10">IF(Elec.Data!Loan_Amount*Interest_Rate*Elec.Data!Loan_Years*Elec.Data!Loan_Start&gt;0,1,0)</definedName>
    <definedName name="Values_Entered" localSheetId="5">IF(Loan_Amount*Interest_Rate*Loan_Years*Loan_Start&gt;0,1,0)</definedName>
    <definedName name="Values_Entered">IF(Loan_Amount*Interest_Rate*Loan_Years*Loan_Start&gt;0,1,0)</definedName>
    <definedName name="vignesh" localSheetId="10">#REF!</definedName>
    <definedName name="vignesh">#REF!</definedName>
    <definedName name="xgjhvfxfhkl" localSheetId="10">#REF!</definedName>
    <definedName name="xgjhvfxfhkl">#REF!</definedName>
  </definedNames>
  <calcPr calcId="12451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210" i="68"/>
  <c r="S104"/>
  <c r="R103"/>
  <c r="S103"/>
  <c r="E212"/>
  <c r="B211"/>
  <c r="J103" l="1"/>
  <c r="H103"/>
  <c r="F103"/>
  <c r="R82" i="66"/>
  <c r="Q82"/>
  <c r="R90" i="65"/>
  <c r="Q90"/>
  <c r="R87" i="64"/>
  <c r="Q87"/>
  <c r="H82" i="66"/>
  <c r="F90" i="65"/>
  <c r="F87" i="64"/>
  <c r="R79" i="66"/>
  <c r="Q79"/>
  <c r="F79"/>
  <c r="B79"/>
  <c r="I85" i="68"/>
  <c r="H43" i="66"/>
  <c r="Q43"/>
  <c r="R43" s="1"/>
  <c r="F43"/>
  <c r="G78" i="64"/>
  <c r="C19"/>
  <c r="C20" i="68"/>
  <c r="C17" i="64"/>
  <c r="C18" i="68"/>
  <c r="C15" i="64"/>
  <c r="C16" i="68"/>
  <c r="I103"/>
  <c r="G103"/>
  <c r="E103"/>
  <c r="Q103" s="1"/>
  <c r="C103"/>
  <c r="N103" s="1"/>
  <c r="H306" i="32"/>
  <c r="H359" i="42"/>
  <c r="H398" i="40"/>
  <c r="F212" i="68" l="1"/>
  <c r="L211"/>
  <c r="Q8"/>
  <c r="Q38"/>
  <c r="Q69"/>
  <c r="R69" s="1"/>
  <c r="Q91"/>
  <c r="R8"/>
  <c r="R38"/>
  <c r="R91"/>
  <c r="N8"/>
  <c r="N10"/>
  <c r="N17"/>
  <c r="N19"/>
  <c r="N22"/>
  <c r="N45"/>
  <c r="N49"/>
  <c r="N59"/>
  <c r="N69"/>
  <c r="N72"/>
  <c r="N82"/>
  <c r="N83"/>
  <c r="N91"/>
  <c r="N97"/>
  <c r="N98"/>
  <c r="N99"/>
  <c r="N100"/>
  <c r="N101"/>
  <c r="L8"/>
  <c r="L10"/>
  <c r="L17"/>
  <c r="L19"/>
  <c r="L22"/>
  <c r="L45"/>
  <c r="L49"/>
  <c r="L59"/>
  <c r="L69"/>
  <c r="L72"/>
  <c r="L82"/>
  <c r="L83"/>
  <c r="L91"/>
  <c r="C102"/>
  <c r="N102" s="1"/>
  <c r="B75" i="71" l="1"/>
  <c r="C96" i="68"/>
  <c r="N96" s="1"/>
  <c r="C95"/>
  <c r="N95" s="1"/>
  <c r="C94"/>
  <c r="L94" l="1"/>
  <c r="C93"/>
  <c r="C92"/>
  <c r="C86"/>
  <c r="C85"/>
  <c r="C84"/>
  <c r="C81"/>
  <c r="C77"/>
  <c r="C68"/>
  <c r="C47"/>
  <c r="C46"/>
  <c r="C30"/>
  <c r="C29"/>
  <c r="C27"/>
  <c r="C25"/>
  <c r="N30" l="1"/>
  <c r="L30"/>
  <c r="L29"/>
  <c r="N29"/>
  <c r="L46"/>
  <c r="N46"/>
  <c r="N86"/>
  <c r="L86"/>
  <c r="L27"/>
  <c r="N27"/>
  <c r="N85"/>
  <c r="L85"/>
  <c r="N25"/>
  <c r="L25"/>
  <c r="L84"/>
  <c r="N84"/>
  <c r="N47"/>
  <c r="L47"/>
  <c r="L68"/>
  <c r="N68"/>
  <c r="N77"/>
  <c r="L77"/>
  <c r="N81"/>
  <c r="L81"/>
  <c r="C80" i="66"/>
  <c r="C78"/>
  <c r="C71"/>
  <c r="C62"/>
  <c r="C46"/>
  <c r="C45"/>
  <c r="C29"/>
  <c r="C28"/>
  <c r="C26"/>
  <c r="C24"/>
  <c r="E52" i="65"/>
  <c r="O52"/>
  <c r="C88"/>
  <c r="C87"/>
  <c r="C86"/>
  <c r="C77"/>
  <c r="C68"/>
  <c r="C51"/>
  <c r="C50"/>
  <c r="C39"/>
  <c r="C30"/>
  <c r="C29"/>
  <c r="C27"/>
  <c r="C25"/>
  <c r="D81" i="64"/>
  <c r="Q52" i="65" l="1"/>
  <c r="C12"/>
  <c r="R8" i="64"/>
  <c r="R44"/>
  <c r="R58"/>
  <c r="P8"/>
  <c r="P21"/>
  <c r="P24"/>
  <c r="P26"/>
  <c r="P28"/>
  <c r="P29"/>
  <c r="P37"/>
  <c r="P44"/>
  <c r="P45"/>
  <c r="P46"/>
  <c r="P48"/>
  <c r="P58"/>
  <c r="P67"/>
  <c r="P68"/>
  <c r="P71"/>
  <c r="P76"/>
  <c r="P80"/>
  <c r="P81"/>
  <c r="P82"/>
  <c r="P83"/>
  <c r="P84"/>
  <c r="P85"/>
  <c r="L8"/>
  <c r="L10"/>
  <c r="L16"/>
  <c r="L18"/>
  <c r="L21"/>
  <c r="L24"/>
  <c r="L26"/>
  <c r="L28"/>
  <c r="L29"/>
  <c r="L37"/>
  <c r="L44"/>
  <c r="L45"/>
  <c r="L46"/>
  <c r="L48"/>
  <c r="L58"/>
  <c r="L67"/>
  <c r="L68"/>
  <c r="L71"/>
  <c r="L76"/>
  <c r="L80"/>
  <c r="L81"/>
  <c r="L82"/>
  <c r="L83"/>
  <c r="L84"/>
  <c r="L85"/>
  <c r="J8"/>
  <c r="J10"/>
  <c r="J16"/>
  <c r="J18"/>
  <c r="J21"/>
  <c r="J24"/>
  <c r="J26"/>
  <c r="J28"/>
  <c r="J29"/>
  <c r="J37"/>
  <c r="J44"/>
  <c r="J45"/>
  <c r="J46"/>
  <c r="J48"/>
  <c r="J58"/>
  <c r="J67"/>
  <c r="J68"/>
  <c r="J71"/>
  <c r="J76"/>
  <c r="J80"/>
  <c r="J81"/>
  <c r="J82"/>
  <c r="J83"/>
  <c r="J84"/>
  <c r="J85"/>
  <c r="H8"/>
  <c r="H10"/>
  <c r="H16"/>
  <c r="H18"/>
  <c r="H21"/>
  <c r="H24"/>
  <c r="H26"/>
  <c r="H28"/>
  <c r="H29"/>
  <c r="H37"/>
  <c r="H44"/>
  <c r="H45"/>
  <c r="H46"/>
  <c r="H48"/>
  <c r="H58"/>
  <c r="H67"/>
  <c r="H68"/>
  <c r="H71"/>
  <c r="H82"/>
  <c r="H83"/>
  <c r="H84"/>
  <c r="F8"/>
  <c r="F10"/>
  <c r="F16"/>
  <c r="F18"/>
  <c r="F21"/>
  <c r="F37"/>
  <c r="F44"/>
  <c r="F48"/>
  <c r="F58"/>
  <c r="F68"/>
  <c r="F71"/>
  <c r="F76"/>
  <c r="F80"/>
  <c r="F81"/>
  <c r="F82"/>
  <c r="F85"/>
  <c r="C86" l="1"/>
  <c r="C79"/>
  <c r="C78"/>
  <c r="C77"/>
  <c r="C75"/>
  <c r="C70"/>
  <c r="C69"/>
  <c r="F154" i="77"/>
  <c r="F153"/>
  <c r="F152"/>
  <c r="F151"/>
  <c r="F150"/>
  <c r="F157" s="1"/>
  <c r="F159" s="1"/>
  <c r="C66" i="64"/>
  <c r="C65"/>
  <c r="C64"/>
  <c r="C60"/>
  <c r="C59"/>
  <c r="C54"/>
  <c r="C47"/>
  <c r="C43"/>
  <c r="C42"/>
  <c r="C41"/>
  <c r="C40"/>
  <c r="C39"/>
  <c r="C38"/>
  <c r="C36"/>
  <c r="C35"/>
  <c r="C34"/>
  <c r="C33"/>
  <c r="C20"/>
  <c r="C11"/>
  <c r="C9"/>
  <c r="C7"/>
  <c r="C147" i="76"/>
  <c r="D146"/>
  <c r="D145"/>
  <c r="D144"/>
  <c r="D143"/>
  <c r="D142"/>
  <c r="D147" s="1"/>
  <c r="C139"/>
  <c r="D138"/>
  <c r="D137"/>
  <c r="D136"/>
  <c r="D135"/>
  <c r="D134"/>
  <c r="D139" s="1"/>
  <c r="O132"/>
  <c r="C132"/>
  <c r="P131"/>
  <c r="D131"/>
  <c r="P130"/>
  <c r="D130"/>
  <c r="P129"/>
  <c r="D129"/>
  <c r="P128"/>
  <c r="P132" s="1"/>
  <c r="D128"/>
  <c r="P127"/>
  <c r="D127"/>
  <c r="D132" s="1"/>
  <c r="O125"/>
  <c r="L125"/>
  <c r="I125"/>
  <c r="F125"/>
  <c r="F128" s="1"/>
  <c r="C125"/>
  <c r="A125"/>
  <c r="P124"/>
  <c r="M124"/>
  <c r="J124"/>
  <c r="G124"/>
  <c r="D124"/>
  <c r="B124"/>
  <c r="P123"/>
  <c r="M123"/>
  <c r="J123"/>
  <c r="G123"/>
  <c r="D123"/>
  <c r="B123"/>
  <c r="P122"/>
  <c r="M122"/>
  <c r="J122"/>
  <c r="G122"/>
  <c r="D122"/>
  <c r="B122"/>
  <c r="P121"/>
  <c r="M121"/>
  <c r="J121"/>
  <c r="G121"/>
  <c r="D121"/>
  <c r="B121"/>
  <c r="P120"/>
  <c r="P125" s="1"/>
  <c r="M120"/>
  <c r="M125" s="1"/>
  <c r="J120"/>
  <c r="J125" s="1"/>
  <c r="G120"/>
  <c r="G125" s="1"/>
  <c r="D120"/>
  <c r="D125" s="1"/>
  <c r="B120"/>
  <c r="B125" s="1"/>
  <c r="P107"/>
  <c r="P108" s="1"/>
  <c r="P109" s="1"/>
  <c r="P110" s="1"/>
  <c r="P111" s="1"/>
  <c r="M107"/>
  <c r="M108" s="1"/>
  <c r="M109" s="1"/>
  <c r="M110" s="1"/>
  <c r="M111" s="1"/>
  <c r="J107"/>
  <c r="J108" s="1"/>
  <c r="J109" s="1"/>
  <c r="J110" s="1"/>
  <c r="J111" s="1"/>
  <c r="G107"/>
  <c r="G108" s="1"/>
  <c r="G109" s="1"/>
  <c r="G110" s="1"/>
  <c r="G111" s="1"/>
  <c r="D107"/>
  <c r="D108" s="1"/>
  <c r="D109" s="1"/>
  <c r="D110" s="1"/>
  <c r="D111" s="1"/>
  <c r="B107"/>
  <c r="B108" s="1"/>
  <c r="B109" s="1"/>
  <c r="B110" s="1"/>
  <c r="B111" s="1"/>
  <c r="C58"/>
  <c r="D57"/>
  <c r="D56"/>
  <c r="D55"/>
  <c r="D54"/>
  <c r="D53"/>
  <c r="D58" s="1"/>
  <c r="C50"/>
  <c r="D49"/>
  <c r="D48"/>
  <c r="D47"/>
  <c r="D46"/>
  <c r="D45"/>
  <c r="D50" s="1"/>
  <c r="O43"/>
  <c r="C43"/>
  <c r="P42"/>
  <c r="D42"/>
  <c r="P41"/>
  <c r="D41"/>
  <c r="P40"/>
  <c r="D40"/>
  <c r="P39"/>
  <c r="P43" s="1"/>
  <c r="D39"/>
  <c r="P38"/>
  <c r="D38"/>
  <c r="D43" s="1"/>
  <c r="O36"/>
  <c r="L36"/>
  <c r="I36"/>
  <c r="F36"/>
  <c r="F39" s="1"/>
  <c r="C36"/>
  <c r="A36"/>
  <c r="P35"/>
  <c r="M35"/>
  <c r="J35"/>
  <c r="G35"/>
  <c r="D35"/>
  <c r="B35"/>
  <c r="P34"/>
  <c r="M34"/>
  <c r="J34"/>
  <c r="G34"/>
  <c r="D34"/>
  <c r="B34"/>
  <c r="P33"/>
  <c r="M33"/>
  <c r="J33"/>
  <c r="G33"/>
  <c r="D33"/>
  <c r="B33"/>
  <c r="P32"/>
  <c r="M32"/>
  <c r="J32"/>
  <c r="G32"/>
  <c r="D32"/>
  <c r="B32"/>
  <c r="P31"/>
  <c r="P36" s="1"/>
  <c r="M31"/>
  <c r="M36" s="1"/>
  <c r="J31"/>
  <c r="J36" s="1"/>
  <c r="G31"/>
  <c r="G36" s="1"/>
  <c r="D31"/>
  <c r="D36" s="1"/>
  <c r="B31"/>
  <c r="B36" s="1"/>
  <c r="P24"/>
  <c r="P25" s="1"/>
  <c r="P26" s="1"/>
  <c r="P27" s="1"/>
  <c r="P28" s="1"/>
  <c r="M24"/>
  <c r="M25" s="1"/>
  <c r="M26" s="1"/>
  <c r="M27" s="1"/>
  <c r="M28" s="1"/>
  <c r="J24"/>
  <c r="J25" s="1"/>
  <c r="J26" s="1"/>
  <c r="J27" s="1"/>
  <c r="J28" s="1"/>
  <c r="G24"/>
  <c r="G25" s="1"/>
  <c r="G26" s="1"/>
  <c r="G27" s="1"/>
  <c r="G28" s="1"/>
  <c r="D24"/>
  <c r="D25" s="1"/>
  <c r="D26" s="1"/>
  <c r="D27" s="1"/>
  <c r="D28" s="1"/>
  <c r="B24"/>
  <c r="B25" s="1"/>
  <c r="B26" s="1"/>
  <c r="B27" s="1"/>
  <c r="B28" s="1"/>
  <c r="E21"/>
  <c r="E20"/>
  <c r="U19"/>
  <c r="H19"/>
  <c r="E19"/>
  <c r="U18"/>
  <c r="H18"/>
  <c r="E18"/>
  <c r="U17"/>
  <c r="E17"/>
  <c r="U16"/>
  <c r="U20" s="1"/>
  <c r="E16"/>
  <c r="E15"/>
  <c r="U14"/>
  <c r="V14" s="1"/>
  <c r="E14"/>
  <c r="Q13"/>
  <c r="E13"/>
  <c r="T12"/>
  <c r="Q12"/>
  <c r="N12"/>
  <c r="K12"/>
  <c r="E12"/>
  <c r="Q11"/>
  <c r="K11"/>
  <c r="H11"/>
  <c r="E11"/>
  <c r="E10"/>
  <c r="N4"/>
  <c r="N10" s="1"/>
  <c r="C4"/>
  <c r="C5" s="1"/>
  <c r="C6" s="1"/>
  <c r="Q3"/>
  <c r="Q4" s="1"/>
  <c r="N3"/>
  <c r="K3"/>
  <c r="K4" s="1"/>
  <c r="K5" s="1"/>
  <c r="K6" s="1"/>
  <c r="H3"/>
  <c r="H4" s="1"/>
  <c r="E3"/>
  <c r="E4" s="1"/>
  <c r="E5" s="1"/>
  <c r="E6" s="1"/>
  <c r="C3"/>
  <c r="K1255" i="75"/>
  <c r="K1254"/>
  <c r="K1253"/>
  <c r="K1252"/>
  <c r="K1251"/>
  <c r="K1250"/>
  <c r="K1249"/>
  <c r="K1248"/>
  <c r="K1247"/>
  <c r="I1247"/>
  <c r="K1244"/>
  <c r="I1243"/>
  <c r="K1243" s="1"/>
  <c r="K1242"/>
  <c r="K1241"/>
  <c r="K1239"/>
  <c r="K1233"/>
  <c r="F1233"/>
  <c r="K1232"/>
  <c r="I1217"/>
  <c r="K1217" s="1"/>
  <c r="K1208"/>
  <c r="J1199"/>
  <c r="K1188"/>
  <c r="K1173"/>
  <c r="L1157"/>
  <c r="K1152"/>
  <c r="K1127"/>
  <c r="I1127"/>
  <c r="L1120"/>
  <c r="L1119"/>
  <c r="I1112"/>
  <c r="I976" s="1"/>
  <c r="K1111"/>
  <c r="I1101"/>
  <c r="K1101" s="1"/>
  <c r="K1100"/>
  <c r="I1100"/>
  <c r="I1099"/>
  <c r="K1099" s="1"/>
  <c r="K1098"/>
  <c r="K1102" s="1"/>
  <c r="I1116" s="1"/>
  <c r="K1116" s="1"/>
  <c r="I1098"/>
  <c r="L1096"/>
  <c r="L1077"/>
  <c r="I1072"/>
  <c r="K1072" s="1"/>
  <c r="I1071"/>
  <c r="K1071" s="1"/>
  <c r="K1068"/>
  <c r="L1057"/>
  <c r="K1054"/>
  <c r="K1053"/>
  <c r="L1035"/>
  <c r="K1032"/>
  <c r="K1031"/>
  <c r="K1028"/>
  <c r="L1019"/>
  <c r="H1016"/>
  <c r="K1005"/>
  <c r="I1005"/>
  <c r="I1004"/>
  <c r="K1004" s="1"/>
  <c r="K1003"/>
  <c r="I1003"/>
  <c r="I1002"/>
  <c r="K1002" s="1"/>
  <c r="L993"/>
  <c r="I989"/>
  <c r="K989" s="1"/>
  <c r="K986"/>
  <c r="K985"/>
  <c r="K1051" s="1"/>
  <c r="K983"/>
  <c r="K982"/>
  <c r="I982"/>
  <c r="I1113" s="1"/>
  <c r="K1113" s="1"/>
  <c r="I981"/>
  <c r="K981" s="1"/>
  <c r="K1015" s="1"/>
  <c r="K1027" s="1"/>
  <c r="I979"/>
  <c r="K979" s="1"/>
  <c r="K978"/>
  <c r="K976"/>
  <c r="I975"/>
  <c r="K975" s="1"/>
  <c r="K974"/>
  <c r="I974"/>
  <c r="I973"/>
  <c r="K973" s="1"/>
  <c r="K956"/>
  <c r="K955"/>
  <c r="K947"/>
  <c r="K946"/>
  <c r="K940"/>
  <c r="K939"/>
  <c r="K935"/>
  <c r="K936" s="1"/>
  <c r="K934"/>
  <c r="K928"/>
  <c r="H928"/>
  <c r="K927"/>
  <c r="I927"/>
  <c r="K926"/>
  <c r="L928" s="1"/>
  <c r="K909"/>
  <c r="M910" s="1"/>
  <c r="K908"/>
  <c r="J911" s="1"/>
  <c r="K911" s="1"/>
  <c r="K894"/>
  <c r="I894"/>
  <c r="K891"/>
  <c r="K890"/>
  <c r="K889"/>
  <c r="H888"/>
  <c r="K887"/>
  <c r="K879"/>
  <c r="K877"/>
  <c r="K868"/>
  <c r="R866"/>
  <c r="R865"/>
  <c r="R864"/>
  <c r="R863"/>
  <c r="R869" s="1"/>
  <c r="K863"/>
  <c r="I863"/>
  <c r="R862"/>
  <c r="M858"/>
  <c r="L858"/>
  <c r="I854"/>
  <c r="K854" s="1"/>
  <c r="I852"/>
  <c r="K852" s="1"/>
  <c r="R850"/>
  <c r="R849"/>
  <c r="R848"/>
  <c r="R847"/>
  <c r="R846"/>
  <c r="R845"/>
  <c r="D844"/>
  <c r="K841"/>
  <c r="K840"/>
  <c r="K839"/>
  <c r="I836"/>
  <c r="K836" s="1"/>
  <c r="I835"/>
  <c r="K835" s="1"/>
  <c r="R834"/>
  <c r="R833"/>
  <c r="I833"/>
  <c r="K833" s="1"/>
  <c r="R832"/>
  <c r="R831"/>
  <c r="R830"/>
  <c r="R837" s="1"/>
  <c r="Y814"/>
  <c r="I814"/>
  <c r="K814" s="1"/>
  <c r="I813"/>
  <c r="K813" s="1"/>
  <c r="R812"/>
  <c r="P812"/>
  <c r="K812"/>
  <c r="R811"/>
  <c r="Y804"/>
  <c r="R804"/>
  <c r="K804"/>
  <c r="K803"/>
  <c r="I794"/>
  <c r="I792"/>
  <c r="P783"/>
  <c r="R783" s="1"/>
  <c r="I783"/>
  <c r="K783" s="1"/>
  <c r="P782"/>
  <c r="R782" s="1"/>
  <c r="K782"/>
  <c r="K781"/>
  <c r="L774"/>
  <c r="K774"/>
  <c r="J774"/>
  <c r="I774"/>
  <c r="L753"/>
  <c r="K749"/>
  <c r="K748"/>
  <c r="K747"/>
  <c r="M736"/>
  <c r="L734"/>
  <c r="I732"/>
  <c r="K732" s="1"/>
  <c r="N731"/>
  <c r="I731"/>
  <c r="K731" s="1"/>
  <c r="N730"/>
  <c r="N732" s="1"/>
  <c r="M730"/>
  <c r="L730"/>
  <c r="I730"/>
  <c r="K730" s="1"/>
  <c r="M725"/>
  <c r="I722"/>
  <c r="K722" s="1"/>
  <c r="K725" s="1"/>
  <c r="L725" s="1"/>
  <c r="H722"/>
  <c r="K714"/>
  <c r="K716" s="1"/>
  <c r="M716" s="1"/>
  <c r="L708"/>
  <c r="I702"/>
  <c r="K702" s="1"/>
  <c r="K690"/>
  <c r="K693" s="1"/>
  <c r="L693" s="1"/>
  <c r="K682"/>
  <c r="K684" s="1"/>
  <c r="M684" s="1"/>
  <c r="P675"/>
  <c r="R675" s="1"/>
  <c r="K675"/>
  <c r="I675"/>
  <c r="I759" s="1"/>
  <c r="P674"/>
  <c r="R674" s="1"/>
  <c r="K674"/>
  <c r="I674"/>
  <c r="I758" s="1"/>
  <c r="K758" s="1"/>
  <c r="P673"/>
  <c r="R673" s="1"/>
  <c r="K673"/>
  <c r="I673"/>
  <c r="I740" s="1"/>
  <c r="K740" s="1"/>
  <c r="P672"/>
  <c r="R672" s="1"/>
  <c r="K672"/>
  <c r="I672"/>
  <c r="I791" s="1"/>
  <c r="S670"/>
  <c r="L669"/>
  <c r="R666"/>
  <c r="K666"/>
  <c r="I666"/>
  <c r="P666" s="1"/>
  <c r="I665"/>
  <c r="I703" s="1"/>
  <c r="K703" s="1"/>
  <c r="R664"/>
  <c r="P664"/>
  <c r="K664"/>
  <c r="I647"/>
  <c r="I834" s="1"/>
  <c r="K834" s="1"/>
  <c r="I645"/>
  <c r="K645" s="1"/>
  <c r="K636"/>
  <c r="K634"/>
  <c r="I634"/>
  <c r="I633"/>
  <c r="K633" s="1"/>
  <c r="K624"/>
  <c r="I623"/>
  <c r="K623" s="1"/>
  <c r="K607"/>
  <c r="K605"/>
  <c r="L587"/>
  <c r="M587" s="1"/>
  <c r="N587" s="1"/>
  <c r="O587" s="1"/>
  <c r="O584"/>
  <c r="N584"/>
  <c r="M584"/>
  <c r="L584"/>
  <c r="I584"/>
  <c r="K584" s="1"/>
  <c r="H584"/>
  <c r="N568"/>
  <c r="O568" s="1"/>
  <c r="M568"/>
  <c r="L568"/>
  <c r="K565"/>
  <c r="K558"/>
  <c r="K553"/>
  <c r="K545"/>
  <c r="I545"/>
  <c r="I831" s="1"/>
  <c r="J537"/>
  <c r="K523"/>
  <c r="I523"/>
  <c r="I756" s="1"/>
  <c r="K756" s="1"/>
  <c r="K522"/>
  <c r="I522"/>
  <c r="I576" s="1"/>
  <c r="I595" s="1"/>
  <c r="K595" s="1"/>
  <c r="K521"/>
  <c r="I521"/>
  <c r="I575" s="1"/>
  <c r="K520"/>
  <c r="I520"/>
  <c r="I574" s="1"/>
  <c r="I593" s="1"/>
  <c r="K514"/>
  <c r="K485"/>
  <c r="K484"/>
  <c r="N483"/>
  <c r="K483"/>
  <c r="L482"/>
  <c r="K482"/>
  <c r="I482"/>
  <c r="K481"/>
  <c r="K480"/>
  <c r="K479"/>
  <c r="K478"/>
  <c r="K477"/>
  <c r="K476"/>
  <c r="K475"/>
  <c r="L463"/>
  <c r="L461"/>
  <c r="K459"/>
  <c r="K458"/>
  <c r="I443"/>
  <c r="K443" s="1"/>
  <c r="K435"/>
  <c r="I428"/>
  <c r="K428" s="1"/>
  <c r="I427"/>
  <c r="K427" s="1"/>
  <c r="K426"/>
  <c r="K418"/>
  <c r="I418"/>
  <c r="I436" s="1"/>
  <c r="K417"/>
  <c r="I417"/>
  <c r="I435" s="1"/>
  <c r="I448" s="1"/>
  <c r="K416"/>
  <c r="I416"/>
  <c r="I434" s="1"/>
  <c r="L413"/>
  <c r="R410"/>
  <c r="K410"/>
  <c r="K409"/>
  <c r="R408"/>
  <c r="S410" s="1"/>
  <c r="I400"/>
  <c r="K400" s="1"/>
  <c r="K399"/>
  <c r="N391"/>
  <c r="J391"/>
  <c r="K391" s="1"/>
  <c r="I387" s="1"/>
  <c r="K387" s="1"/>
  <c r="I391"/>
  <c r="I504" s="1"/>
  <c r="K386"/>
  <c r="R377"/>
  <c r="K376"/>
  <c r="I376"/>
  <c r="P376" s="1"/>
  <c r="R376" s="1"/>
  <c r="R375"/>
  <c r="K375"/>
  <c r="K361"/>
  <c r="K360"/>
  <c r="K349"/>
  <c r="I339"/>
  <c r="I350" s="1"/>
  <c r="K350" s="1"/>
  <c r="K338"/>
  <c r="K327"/>
  <c r="I327"/>
  <c r="I367" s="1"/>
  <c r="K367" s="1"/>
  <c r="M323"/>
  <c r="K320"/>
  <c r="K319"/>
  <c r="I309"/>
  <c r="K309" s="1"/>
  <c r="K308"/>
  <c r="I308"/>
  <c r="S302"/>
  <c r="K302"/>
  <c r="K301"/>
  <c r="L302" s="1"/>
  <c r="P298"/>
  <c r="R298" s="1"/>
  <c r="R295"/>
  <c r="L291"/>
  <c r="S288"/>
  <c r="L288"/>
  <c r="P284"/>
  <c r="R284" s="1"/>
  <c r="K284"/>
  <c r="I284"/>
  <c r="P282"/>
  <c r="R282" s="1"/>
  <c r="K282"/>
  <c r="R281"/>
  <c r="I281"/>
  <c r="I663" s="1"/>
  <c r="L274"/>
  <c r="K270"/>
  <c r="I270"/>
  <c r="I785" s="1"/>
  <c r="K267"/>
  <c r="L261"/>
  <c r="K257"/>
  <c r="S249"/>
  <c r="L249"/>
  <c r="S247"/>
  <c r="AH246"/>
  <c r="AH247" s="1"/>
  <c r="AG243"/>
  <c r="R243"/>
  <c r="AG241"/>
  <c r="AG240"/>
  <c r="R240"/>
  <c r="L231"/>
  <c r="K215"/>
  <c r="L212"/>
  <c r="L211"/>
  <c r="K204"/>
  <c r="I204"/>
  <c r="L191"/>
  <c r="K189"/>
  <c r="L180"/>
  <c r="K171"/>
  <c r="K188" s="1"/>
  <c r="I171"/>
  <c r="I169"/>
  <c r="I869" s="1"/>
  <c r="I168"/>
  <c r="K168" s="1"/>
  <c r="I166"/>
  <c r="K166" s="1"/>
  <c r="K165"/>
  <c r="I165"/>
  <c r="I851" s="1"/>
  <c r="I164"/>
  <c r="K164" s="1"/>
  <c r="K153"/>
  <c r="H143"/>
  <c r="L133"/>
  <c r="K128"/>
  <c r="I128"/>
  <c r="I1090" s="1"/>
  <c r="K1090" s="1"/>
  <c r="N126"/>
  <c r="M126"/>
  <c r="L126"/>
  <c r="I126"/>
  <c r="I1088" s="1"/>
  <c r="K1088" s="1"/>
  <c r="K125"/>
  <c r="I125"/>
  <c r="I1087" s="1"/>
  <c r="K1087" s="1"/>
  <c r="L113"/>
  <c r="M104"/>
  <c r="I104"/>
  <c r="I222" s="1"/>
  <c r="I100"/>
  <c r="I218" s="1"/>
  <c r="K94"/>
  <c r="I92"/>
  <c r="L89"/>
  <c r="K86"/>
  <c r="I86"/>
  <c r="I209" s="1"/>
  <c r="K209" s="1"/>
  <c r="H86"/>
  <c r="I84"/>
  <c r="I207" s="1"/>
  <c r="K207" s="1"/>
  <c r="H84"/>
  <c r="K82"/>
  <c r="I82"/>
  <c r="I205" s="1"/>
  <c r="K205" s="1"/>
  <c r="H82"/>
  <c r="K81"/>
  <c r="H80"/>
  <c r="I79"/>
  <c r="I202" s="1"/>
  <c r="K202" s="1"/>
  <c r="H79"/>
  <c r="H78"/>
  <c r="H77"/>
  <c r="I76"/>
  <c r="I199" s="1"/>
  <c r="K199" s="1"/>
  <c r="H76"/>
  <c r="I75"/>
  <c r="I198" s="1"/>
  <c r="K198" s="1"/>
  <c r="H75"/>
  <c r="K74"/>
  <c r="I74"/>
  <c r="I197" s="1"/>
  <c r="K197" s="1"/>
  <c r="H74"/>
  <c r="L67"/>
  <c r="S65"/>
  <c r="S66" s="1"/>
  <c r="K65"/>
  <c r="K64"/>
  <c r="K63"/>
  <c r="K1030" s="1"/>
  <c r="R58"/>
  <c r="O57"/>
  <c r="O56"/>
  <c r="O53"/>
  <c r="L52"/>
  <c r="P51"/>
  <c r="R51" s="1"/>
  <c r="R50"/>
  <c r="P50"/>
  <c r="K50"/>
  <c r="K1016" s="1"/>
  <c r="P49"/>
  <c r="R49" s="1"/>
  <c r="P42"/>
  <c r="R42" s="1"/>
  <c r="P41"/>
  <c r="R41" s="1"/>
  <c r="K41"/>
  <c r="I41"/>
  <c r="H41"/>
  <c r="P40"/>
  <c r="R40" s="1"/>
  <c r="K40"/>
  <c r="P39"/>
  <c r="R39" s="1"/>
  <c r="R44" s="1"/>
  <c r="R46" s="1"/>
  <c r="K38"/>
  <c r="K37"/>
  <c r="K36"/>
  <c r="K35"/>
  <c r="K42" s="1"/>
  <c r="S32"/>
  <c r="T32" s="1"/>
  <c r="L28"/>
  <c r="R25"/>
  <c r="K25"/>
  <c r="I25"/>
  <c r="P24"/>
  <c r="R24" s="1"/>
  <c r="K24"/>
  <c r="I24"/>
  <c r="Q23"/>
  <c r="O23"/>
  <c r="I23"/>
  <c r="I174" s="1"/>
  <c r="K174" s="1"/>
  <c r="P22"/>
  <c r="R22" s="1"/>
  <c r="I22"/>
  <c r="I85" s="1"/>
  <c r="I21"/>
  <c r="I172" s="1"/>
  <c r="K172" s="1"/>
  <c r="P20"/>
  <c r="R20" s="1"/>
  <c r="K20"/>
  <c r="K49" s="1"/>
  <c r="K60" s="1"/>
  <c r="I19"/>
  <c r="R18"/>
  <c r="P18"/>
  <c r="K18"/>
  <c r="R17"/>
  <c r="R16"/>
  <c r="P16"/>
  <c r="K16"/>
  <c r="P15"/>
  <c r="P48" s="1"/>
  <c r="R48" s="1"/>
  <c r="I15"/>
  <c r="I977" s="1"/>
  <c r="K977" s="1"/>
  <c r="K14"/>
  <c r="K13"/>
  <c r="K12"/>
  <c r="L4076" i="74"/>
  <c r="I4069"/>
  <c r="K4069" s="1"/>
  <c r="I4067"/>
  <c r="J4060"/>
  <c r="J4061" s="1"/>
  <c r="F4067" s="1"/>
  <c r="K4067" s="1"/>
  <c r="K4058"/>
  <c r="J4058"/>
  <c r="F4066" s="1"/>
  <c r="J4055"/>
  <c r="F4065" s="1"/>
  <c r="J4050"/>
  <c r="J4049"/>
  <c r="I4026"/>
  <c r="K4026" s="1"/>
  <c r="K4011"/>
  <c r="I4009"/>
  <c r="K3993"/>
  <c r="I3981"/>
  <c r="K3979"/>
  <c r="I3979"/>
  <c r="I3964"/>
  <c r="I3962"/>
  <c r="K3962" s="1"/>
  <c r="H3962"/>
  <c r="I3958"/>
  <c r="H3958"/>
  <c r="K3956"/>
  <c r="I3956"/>
  <c r="I3973" s="1"/>
  <c r="K3973" s="1"/>
  <c r="K3948"/>
  <c r="K3946"/>
  <c r="I3943"/>
  <c r="I3942"/>
  <c r="K3942" s="1"/>
  <c r="K3941"/>
  <c r="I3941"/>
  <c r="I3957" s="1"/>
  <c r="I3940"/>
  <c r="K3940" s="1"/>
  <c r="K3928"/>
  <c r="K3925"/>
  <c r="K3924"/>
  <c r="K3923"/>
  <c r="K3922"/>
  <c r="E3897"/>
  <c r="G3897" s="1"/>
  <c r="G3896"/>
  <c r="H3885"/>
  <c r="H3866"/>
  <c r="H3865"/>
  <c r="H3864"/>
  <c r="H3863"/>
  <c r="I3861"/>
  <c r="H3855"/>
  <c r="H3876" s="1"/>
  <c r="H3892" s="1"/>
  <c r="J3892" s="1"/>
  <c r="H3845"/>
  <c r="H3844"/>
  <c r="H3843"/>
  <c r="H3842"/>
  <c r="H3848" s="1"/>
  <c r="I3840"/>
  <c r="K3821"/>
  <c r="K3805"/>
  <c r="K3789"/>
  <c r="K3788"/>
  <c r="K3787"/>
  <c r="K3786"/>
  <c r="K3785"/>
  <c r="K3784"/>
  <c r="K3783"/>
  <c r="K3782"/>
  <c r="K3781"/>
  <c r="K3766"/>
  <c r="K3765"/>
  <c r="K3764"/>
  <c r="K3763"/>
  <c r="I3761"/>
  <c r="K3761" s="1"/>
  <c r="K3762" s="1"/>
  <c r="I3759"/>
  <c r="K3759" s="1"/>
  <c r="K3760" s="1"/>
  <c r="K3745"/>
  <c r="K3736"/>
  <c r="K3734"/>
  <c r="V3720"/>
  <c r="X3720" s="1"/>
  <c r="X3719"/>
  <c r="V3719"/>
  <c r="X3718"/>
  <c r="V3718"/>
  <c r="R3718"/>
  <c r="X3717"/>
  <c r="V3717"/>
  <c r="J3717"/>
  <c r="V3716"/>
  <c r="R3716"/>
  <c r="K3716"/>
  <c r="J3716"/>
  <c r="R3715"/>
  <c r="K3715"/>
  <c r="J3715"/>
  <c r="R3714"/>
  <c r="K3714"/>
  <c r="J3714"/>
  <c r="R3713"/>
  <c r="K3713"/>
  <c r="J3713"/>
  <c r="N3709"/>
  <c r="X3706"/>
  <c r="X3705"/>
  <c r="X3704"/>
  <c r="X3703"/>
  <c r="K3703"/>
  <c r="V3694"/>
  <c r="X3694" s="1"/>
  <c r="V3693"/>
  <c r="X3693" s="1"/>
  <c r="H3693"/>
  <c r="X3692"/>
  <c r="V3692"/>
  <c r="K3692"/>
  <c r="I3692"/>
  <c r="H3692"/>
  <c r="F3692"/>
  <c r="X3691"/>
  <c r="V3691"/>
  <c r="K3691"/>
  <c r="I3691"/>
  <c r="H3691"/>
  <c r="F3691"/>
  <c r="X3690"/>
  <c r="V3690"/>
  <c r="X3688"/>
  <c r="V3688"/>
  <c r="H3688"/>
  <c r="V3687"/>
  <c r="X3687" s="1"/>
  <c r="H3687"/>
  <c r="X3686"/>
  <c r="V3686"/>
  <c r="H3686"/>
  <c r="V3685"/>
  <c r="X3685" s="1"/>
  <c r="H3685"/>
  <c r="F3685"/>
  <c r="K3685" s="1"/>
  <c r="X3684"/>
  <c r="V3684"/>
  <c r="K3683"/>
  <c r="F3683"/>
  <c r="H3682"/>
  <c r="H3681"/>
  <c r="F3681"/>
  <c r="K3671"/>
  <c r="K3670"/>
  <c r="AG3667"/>
  <c r="X3664"/>
  <c r="K3664"/>
  <c r="X3663"/>
  <c r="X3662"/>
  <c r="K3662"/>
  <c r="X3661"/>
  <c r="X3660"/>
  <c r="AG3659"/>
  <c r="AI3659" s="1"/>
  <c r="AI3658"/>
  <c r="X3658"/>
  <c r="AI3657"/>
  <c r="X3657"/>
  <c r="AI3656"/>
  <c r="X3656"/>
  <c r="AG3655"/>
  <c r="AI3655" s="1"/>
  <c r="X3655"/>
  <c r="AI3654"/>
  <c r="AG3654"/>
  <c r="AI3653"/>
  <c r="AG3653"/>
  <c r="X3653"/>
  <c r="V3653"/>
  <c r="V3683" s="1"/>
  <c r="V3701" s="1"/>
  <c r="X3644"/>
  <c r="X3643"/>
  <c r="X3642"/>
  <c r="X3641"/>
  <c r="X3640"/>
  <c r="X3639"/>
  <c r="K3639"/>
  <c r="I3639"/>
  <c r="I3745" s="1"/>
  <c r="X3638"/>
  <c r="K3628"/>
  <c r="I3628"/>
  <c r="AF3627"/>
  <c r="K3627"/>
  <c r="I3627"/>
  <c r="AF3626"/>
  <c r="AD3626"/>
  <c r="K3626"/>
  <c r="H3624"/>
  <c r="AE3617"/>
  <c r="Z3618" s="1"/>
  <c r="Z3619" s="1"/>
  <c r="J3617"/>
  <c r="W3616"/>
  <c r="S3617" s="1"/>
  <c r="S3618" s="1"/>
  <c r="X3611"/>
  <c r="K3607"/>
  <c r="K3606"/>
  <c r="K3605"/>
  <c r="K3604"/>
  <c r="I3604"/>
  <c r="K3603"/>
  <c r="S3602"/>
  <c r="S3603" s="1"/>
  <c r="I3602"/>
  <c r="V3601"/>
  <c r="Z3596"/>
  <c r="X3594"/>
  <c r="S3585"/>
  <c r="S3586" s="1"/>
  <c r="V3584"/>
  <c r="I3584"/>
  <c r="K3584" s="1"/>
  <c r="K3574"/>
  <c r="I3574"/>
  <c r="K3573"/>
  <c r="I3573"/>
  <c r="I3583" s="1"/>
  <c r="K3583" s="1"/>
  <c r="X3570"/>
  <c r="S3570"/>
  <c r="V3569"/>
  <c r="S3571" s="1"/>
  <c r="R3565"/>
  <c r="K3562"/>
  <c r="R3560"/>
  <c r="K3560"/>
  <c r="I3560"/>
  <c r="P3563" s="1"/>
  <c r="R3563" s="1"/>
  <c r="K3557"/>
  <c r="AD3555"/>
  <c r="S3555"/>
  <c r="AG3553"/>
  <c r="AD3554" s="1"/>
  <c r="V3553"/>
  <c r="S3554" s="1"/>
  <c r="M3550"/>
  <c r="M3549"/>
  <c r="M3548"/>
  <c r="M3547"/>
  <c r="M3546"/>
  <c r="M3545"/>
  <c r="M3544"/>
  <c r="M3542"/>
  <c r="P3541"/>
  <c r="M3543" s="1"/>
  <c r="S3539"/>
  <c r="AI3538"/>
  <c r="AG3538"/>
  <c r="AG3554" s="1"/>
  <c r="AD3538"/>
  <c r="I3538"/>
  <c r="AG3537"/>
  <c r="AD3539" s="1"/>
  <c r="V3537"/>
  <c r="S3538" s="1"/>
  <c r="I3537"/>
  <c r="F3538" s="1"/>
  <c r="P3533"/>
  <c r="R3533" s="1"/>
  <c r="R3531"/>
  <c r="I3529"/>
  <c r="K3527"/>
  <c r="I3527"/>
  <c r="P3531" s="1"/>
  <c r="P3526"/>
  <c r="V3554" s="1"/>
  <c r="V3570" s="1"/>
  <c r="V3585" s="1"/>
  <c r="I3526"/>
  <c r="P3525"/>
  <c r="M3526" s="1"/>
  <c r="M3527" s="1"/>
  <c r="K3524"/>
  <c r="R3521"/>
  <c r="I3521"/>
  <c r="F3522" s="1"/>
  <c r="S3519"/>
  <c r="S3518"/>
  <c r="V3517"/>
  <c r="I3508"/>
  <c r="K3508" s="1"/>
  <c r="M3507"/>
  <c r="K3489"/>
  <c r="I3489"/>
  <c r="I3488"/>
  <c r="K3488" s="1"/>
  <c r="K3487"/>
  <c r="I3487"/>
  <c r="I3486"/>
  <c r="K3486" s="1"/>
  <c r="K3485"/>
  <c r="I3485"/>
  <c r="I3484"/>
  <c r="K3484" s="1"/>
  <c r="K3481"/>
  <c r="J3479"/>
  <c r="J3478"/>
  <c r="J3477"/>
  <c r="I3466"/>
  <c r="R3462"/>
  <c r="P3462"/>
  <c r="I3462"/>
  <c r="R3460"/>
  <c r="P3460"/>
  <c r="K3454"/>
  <c r="R3446"/>
  <c r="P3446"/>
  <c r="P3444"/>
  <c r="R3444" s="1"/>
  <c r="R3442"/>
  <c r="P3442"/>
  <c r="P3440"/>
  <c r="R3440" s="1"/>
  <c r="P3439"/>
  <c r="R3439" s="1"/>
  <c r="R3438"/>
  <c r="I3429"/>
  <c r="K3429" s="1"/>
  <c r="K3428"/>
  <c r="K3427"/>
  <c r="K3426"/>
  <c r="K3425"/>
  <c r="K3424"/>
  <c r="F3423"/>
  <c r="I3422"/>
  <c r="I3416"/>
  <c r="I3415"/>
  <c r="I3411"/>
  <c r="I3410"/>
  <c r="I3412" s="1"/>
  <c r="F3421" s="1"/>
  <c r="I3409"/>
  <c r="F3420" s="1"/>
  <c r="I3408"/>
  <c r="I3394"/>
  <c r="I3391"/>
  <c r="I3389"/>
  <c r="P3370"/>
  <c r="K3366"/>
  <c r="I3366"/>
  <c r="K3353"/>
  <c r="I3353"/>
  <c r="K3340"/>
  <c r="P3335"/>
  <c r="R3335" s="1"/>
  <c r="P3333"/>
  <c r="R3333" s="1"/>
  <c r="P3331"/>
  <c r="R3331" s="1"/>
  <c r="P3329"/>
  <c r="R3329" s="1"/>
  <c r="R3327"/>
  <c r="P3327"/>
  <c r="K3327"/>
  <c r="I3327"/>
  <c r="I3396" s="1"/>
  <c r="R3326"/>
  <c r="P3326"/>
  <c r="K3326"/>
  <c r="I3326"/>
  <c r="I3395" s="1"/>
  <c r="I3428" s="1"/>
  <c r="I3325"/>
  <c r="K3325" s="1"/>
  <c r="K3320"/>
  <c r="I3310"/>
  <c r="I3309"/>
  <c r="I3307"/>
  <c r="K3307" s="1"/>
  <c r="I3304"/>
  <c r="K3304" s="1"/>
  <c r="K3303"/>
  <c r="I3303"/>
  <c r="I3302"/>
  <c r="K3302" s="1"/>
  <c r="I3301"/>
  <c r="K3301" s="1"/>
  <c r="P3297"/>
  <c r="P3295"/>
  <c r="P3293"/>
  <c r="I3290"/>
  <c r="K3289"/>
  <c r="K3288"/>
  <c r="K3287"/>
  <c r="K3286"/>
  <c r="K3285"/>
  <c r="K3284"/>
  <c r="K3281"/>
  <c r="R3267"/>
  <c r="P3267"/>
  <c r="R3266"/>
  <c r="P3266"/>
  <c r="I3266"/>
  <c r="K3266" s="1"/>
  <c r="R3265"/>
  <c r="P3265"/>
  <c r="P3264"/>
  <c r="R3262"/>
  <c r="P3262"/>
  <c r="I3322" s="1"/>
  <c r="K3322" s="1"/>
  <c r="K3262"/>
  <c r="R3260"/>
  <c r="V3257"/>
  <c r="X3257" s="1"/>
  <c r="X3256"/>
  <c r="V3256"/>
  <c r="V3255"/>
  <c r="X3255" s="1"/>
  <c r="X3254"/>
  <c r="V3254"/>
  <c r="V3253"/>
  <c r="X3253" s="1"/>
  <c r="X3252"/>
  <c r="V3252"/>
  <c r="X3249"/>
  <c r="V3249"/>
  <c r="L3236"/>
  <c r="R3234"/>
  <c r="P3233"/>
  <c r="P3232"/>
  <c r="P3299" s="1"/>
  <c r="R3231"/>
  <c r="P3231"/>
  <c r="P3332" s="1"/>
  <c r="R3332" s="1"/>
  <c r="R3230"/>
  <c r="P3230"/>
  <c r="P3229"/>
  <c r="I3525" s="1"/>
  <c r="P3529" s="1"/>
  <c r="R3529" s="1"/>
  <c r="R3228"/>
  <c r="P3228"/>
  <c r="I3524" s="1"/>
  <c r="R3226"/>
  <c r="R3225"/>
  <c r="R3224"/>
  <c r="R3223"/>
  <c r="P3223"/>
  <c r="P3437" s="1"/>
  <c r="R3437" s="1"/>
  <c r="L3210"/>
  <c r="P3199"/>
  <c r="P3234" s="1"/>
  <c r="P3268" s="1"/>
  <c r="R3268" s="1"/>
  <c r="T3198"/>
  <c r="S3198"/>
  <c r="R3198"/>
  <c r="R3197"/>
  <c r="R3196"/>
  <c r="R3195"/>
  <c r="L3194"/>
  <c r="R3191"/>
  <c r="R3190"/>
  <c r="X3161"/>
  <c r="X3159"/>
  <c r="P3159"/>
  <c r="R3159" s="1"/>
  <c r="P3158"/>
  <c r="K3156"/>
  <c r="I3155"/>
  <c r="I3154"/>
  <c r="K3154" s="1"/>
  <c r="U3153"/>
  <c r="M3153"/>
  <c r="I3153"/>
  <c r="U3152"/>
  <c r="K3152"/>
  <c r="I3152"/>
  <c r="U3151"/>
  <c r="K3151"/>
  <c r="I3151"/>
  <c r="K3150"/>
  <c r="I3150"/>
  <c r="P3157" s="1"/>
  <c r="R3157" s="1"/>
  <c r="U3149"/>
  <c r="U3148"/>
  <c r="U3150" s="1"/>
  <c r="I3148"/>
  <c r="F3148"/>
  <c r="P3147"/>
  <c r="P3148" s="1"/>
  <c r="M3155" s="1"/>
  <c r="P3146"/>
  <c r="P3143"/>
  <c r="M3154" s="1"/>
  <c r="P3141"/>
  <c r="P3140"/>
  <c r="M3156" s="1"/>
  <c r="V3139"/>
  <c r="X3136"/>
  <c r="V3136"/>
  <c r="V3161" s="1"/>
  <c r="V3135"/>
  <c r="X3134"/>
  <c r="V3134"/>
  <c r="V3159" s="1"/>
  <c r="V3122"/>
  <c r="R3120"/>
  <c r="K3120"/>
  <c r="X3119"/>
  <c r="R3119"/>
  <c r="K3119"/>
  <c r="X3118"/>
  <c r="V3118"/>
  <c r="I4068" s="1"/>
  <c r="K4068" s="1"/>
  <c r="X3117"/>
  <c r="X3115"/>
  <c r="V3115"/>
  <c r="I4066" s="1"/>
  <c r="K3110"/>
  <c r="I3110"/>
  <c r="AW3108"/>
  <c r="AS3108"/>
  <c r="AU3108" s="1"/>
  <c r="V3108"/>
  <c r="I3108"/>
  <c r="K3108" s="1"/>
  <c r="AU3107"/>
  <c r="AS3107"/>
  <c r="AJ3107"/>
  <c r="V3107"/>
  <c r="V3109" s="1"/>
  <c r="I3106"/>
  <c r="K3106" s="1"/>
  <c r="K3105"/>
  <c r="V3104"/>
  <c r="V3102"/>
  <c r="V3101"/>
  <c r="K3082"/>
  <c r="F3075"/>
  <c r="F3056"/>
  <c r="I3055"/>
  <c r="I3074" s="1"/>
  <c r="K3074" s="1"/>
  <c r="K3038"/>
  <c r="K3017"/>
  <c r="K3041" s="1"/>
  <c r="K3014"/>
  <c r="K3012"/>
  <c r="K3009"/>
  <c r="K2995"/>
  <c r="K2970"/>
  <c r="I2970"/>
  <c r="P2977" s="1"/>
  <c r="R2977" s="1"/>
  <c r="I2967"/>
  <c r="I2964"/>
  <c r="I2963"/>
  <c r="P2925"/>
  <c r="P2924"/>
  <c r="P2923"/>
  <c r="I2884"/>
  <c r="K2884" s="1"/>
  <c r="K2883"/>
  <c r="K2886" s="1"/>
  <c r="K2888" s="1"/>
  <c r="K2871"/>
  <c r="I2871"/>
  <c r="K2870"/>
  <c r="I2870"/>
  <c r="K2869"/>
  <c r="I2869"/>
  <c r="K2868"/>
  <c r="I2868"/>
  <c r="K2866"/>
  <c r="R2863"/>
  <c r="P2861"/>
  <c r="R2861" s="1"/>
  <c r="R2860"/>
  <c r="P2859"/>
  <c r="R2859" s="1"/>
  <c r="M2855"/>
  <c r="M2854"/>
  <c r="I2854"/>
  <c r="K2834"/>
  <c r="J2831"/>
  <c r="R2830"/>
  <c r="P2830"/>
  <c r="P2863" s="1"/>
  <c r="R2829"/>
  <c r="P2829"/>
  <c r="P2862" s="1"/>
  <c r="R2862" s="1"/>
  <c r="R2828"/>
  <c r="P2828"/>
  <c r="R2827"/>
  <c r="P2827"/>
  <c r="P2860" s="1"/>
  <c r="R2826"/>
  <c r="P2826"/>
  <c r="P2825"/>
  <c r="K2823"/>
  <c r="M2822"/>
  <c r="K2822"/>
  <c r="M2821"/>
  <c r="K2821"/>
  <c r="K2820"/>
  <c r="K2819"/>
  <c r="K2818"/>
  <c r="F2815"/>
  <c r="F2814"/>
  <c r="AG2795"/>
  <c r="AI2795" s="1"/>
  <c r="AG2794"/>
  <c r="AI2794" s="1"/>
  <c r="AI2793"/>
  <c r="AG2793"/>
  <c r="AI2792"/>
  <c r="AG2792"/>
  <c r="S2792"/>
  <c r="K2792"/>
  <c r="AG2791"/>
  <c r="AI2791" s="1"/>
  <c r="X2791"/>
  <c r="V2791"/>
  <c r="S2791"/>
  <c r="AG2790"/>
  <c r="AI2790" s="1"/>
  <c r="X2790"/>
  <c r="V2790"/>
  <c r="S2790"/>
  <c r="V2789"/>
  <c r="S2789"/>
  <c r="X2789" s="1"/>
  <c r="AI2788"/>
  <c r="AG2788"/>
  <c r="V2788"/>
  <c r="S2788"/>
  <c r="X2788" s="1"/>
  <c r="V2787"/>
  <c r="S2787"/>
  <c r="V2786"/>
  <c r="X2786" s="1"/>
  <c r="S2786"/>
  <c r="S2785"/>
  <c r="V2784"/>
  <c r="X2784" s="1"/>
  <c r="S2782"/>
  <c r="S2781"/>
  <c r="L2778"/>
  <c r="Z2777"/>
  <c r="K2774"/>
  <c r="K2773"/>
  <c r="E2759"/>
  <c r="E2760" s="1"/>
  <c r="E2757"/>
  <c r="E2756"/>
  <c r="E2755"/>
  <c r="K2733"/>
  <c r="I2733"/>
  <c r="I2717"/>
  <c r="K2717" s="1"/>
  <c r="K2711"/>
  <c r="I2711"/>
  <c r="L2688"/>
  <c r="K2685"/>
  <c r="I2680"/>
  <c r="K2680" s="1"/>
  <c r="P2675"/>
  <c r="K2670"/>
  <c r="I2670"/>
  <c r="P2677" s="1"/>
  <c r="I2669"/>
  <c r="K2668"/>
  <c r="I2668"/>
  <c r="I2667"/>
  <c r="P2674" s="1"/>
  <c r="K2665"/>
  <c r="AG2659"/>
  <c r="AI2659" s="1"/>
  <c r="AI2657"/>
  <c r="AI2656"/>
  <c r="AI2655"/>
  <c r="AI2654"/>
  <c r="AI2653"/>
  <c r="AI2651"/>
  <c r="AD2649"/>
  <c r="R2646"/>
  <c r="P2646"/>
  <c r="AG2645"/>
  <c r="P2645"/>
  <c r="R2645" s="1"/>
  <c r="AG2644"/>
  <c r="AG2646" s="1"/>
  <c r="AD2651" s="1"/>
  <c r="P2644"/>
  <c r="R2644" s="1"/>
  <c r="R2642"/>
  <c r="P2642"/>
  <c r="I2642"/>
  <c r="V2610" s="1"/>
  <c r="M2641"/>
  <c r="K2641"/>
  <c r="I2641"/>
  <c r="P2648" s="1"/>
  <c r="R2648" s="1"/>
  <c r="AG2640"/>
  <c r="M2640"/>
  <c r="K2640"/>
  <c r="I2640"/>
  <c r="P2647" s="1"/>
  <c r="R2647" s="1"/>
  <c r="AG2639"/>
  <c r="AG2641" s="1"/>
  <c r="AD2650" s="1"/>
  <c r="I2639"/>
  <c r="K2638"/>
  <c r="I2638"/>
  <c r="AG2637"/>
  <c r="AD2652" s="1"/>
  <c r="P2637"/>
  <c r="M2642" s="1"/>
  <c r="K2637"/>
  <c r="I2637"/>
  <c r="P3193" s="1"/>
  <c r="R3193" s="1"/>
  <c r="K2635"/>
  <c r="P2632"/>
  <c r="K2629"/>
  <c r="I2629"/>
  <c r="I2630" s="1"/>
  <c r="I2625"/>
  <c r="AG2623"/>
  <c r="AI2623" s="1"/>
  <c r="AI2617"/>
  <c r="AG2617"/>
  <c r="AD2615"/>
  <c r="AG2612"/>
  <c r="AD2617" s="1"/>
  <c r="AG2611"/>
  <c r="AG2610"/>
  <c r="X2610"/>
  <c r="K2610"/>
  <c r="X2609"/>
  <c r="K2609"/>
  <c r="I2609"/>
  <c r="H3854" s="1"/>
  <c r="V2608"/>
  <c r="AG2622" s="1"/>
  <c r="AI2622" s="1"/>
  <c r="AG2607"/>
  <c r="AD2616" s="1"/>
  <c r="AA2607"/>
  <c r="AG2606"/>
  <c r="X2606"/>
  <c r="V2606"/>
  <c r="AG2605"/>
  <c r="V2605"/>
  <c r="X2605" s="1"/>
  <c r="I2604"/>
  <c r="AG2603"/>
  <c r="AD2618" s="1"/>
  <c r="V2603"/>
  <c r="AG2651" s="1"/>
  <c r="AA2601"/>
  <c r="S2601"/>
  <c r="V2597"/>
  <c r="V2596"/>
  <c r="V2598" s="1"/>
  <c r="S2603" s="1"/>
  <c r="X2603" s="1"/>
  <c r="V2593"/>
  <c r="S2602" s="1"/>
  <c r="V2592"/>
  <c r="V2591"/>
  <c r="V2589"/>
  <c r="S2604" s="1"/>
  <c r="O2580"/>
  <c r="P2576"/>
  <c r="R2576" s="1"/>
  <c r="K2575"/>
  <c r="H2574"/>
  <c r="I2573"/>
  <c r="P2569"/>
  <c r="I2569"/>
  <c r="K2543"/>
  <c r="K2540"/>
  <c r="K2538"/>
  <c r="I2538"/>
  <c r="I2534"/>
  <c r="N2522"/>
  <c r="R2517"/>
  <c r="P2517"/>
  <c r="K2514"/>
  <c r="R2510"/>
  <c r="P2510"/>
  <c r="M2514" s="1"/>
  <c r="K2510"/>
  <c r="I2509"/>
  <c r="P2507"/>
  <c r="P2506"/>
  <c r="P2505"/>
  <c r="P2504"/>
  <c r="I2503"/>
  <c r="H2487"/>
  <c r="I2486"/>
  <c r="I2481"/>
  <c r="F2485" s="1"/>
  <c r="I2479"/>
  <c r="H2472"/>
  <c r="K2469"/>
  <c r="I2469"/>
  <c r="I2468"/>
  <c r="I2487" s="1"/>
  <c r="K2487" s="1"/>
  <c r="K2467"/>
  <c r="I2467"/>
  <c r="I2466"/>
  <c r="I2462"/>
  <c r="I2442"/>
  <c r="K2442" s="1"/>
  <c r="R2437"/>
  <c r="R2429"/>
  <c r="K2422"/>
  <c r="R2408"/>
  <c r="K2408"/>
  <c r="I2408"/>
  <c r="R2407"/>
  <c r="R2406"/>
  <c r="R2405"/>
  <c r="R2404"/>
  <c r="R2403"/>
  <c r="R2402"/>
  <c r="R2401"/>
  <c r="R2400"/>
  <c r="R2399"/>
  <c r="R2398"/>
  <c r="R2397"/>
  <c r="K2397"/>
  <c r="R2396"/>
  <c r="R2395"/>
  <c r="R2394"/>
  <c r="R2393"/>
  <c r="R2392"/>
  <c r="E2392"/>
  <c r="E2393" s="1"/>
  <c r="R2391"/>
  <c r="K2388"/>
  <c r="K2387"/>
  <c r="R2372"/>
  <c r="P2372"/>
  <c r="P2371"/>
  <c r="R2371" s="1"/>
  <c r="K2366"/>
  <c r="K2365"/>
  <c r="K2364"/>
  <c r="K2347"/>
  <c r="I2347"/>
  <c r="D2347"/>
  <c r="R2345"/>
  <c r="R2334"/>
  <c r="K2327"/>
  <c r="K2313"/>
  <c r="I2313"/>
  <c r="E2313"/>
  <c r="K2312"/>
  <c r="K2311"/>
  <c r="K2310"/>
  <c r="K2309"/>
  <c r="I2309"/>
  <c r="L2308"/>
  <c r="L2307"/>
  <c r="O2299"/>
  <c r="I2299"/>
  <c r="H2299"/>
  <c r="R2297"/>
  <c r="P2297"/>
  <c r="K2297"/>
  <c r="I2297"/>
  <c r="R2295"/>
  <c r="K2295"/>
  <c r="K2291"/>
  <c r="I3018" s="1"/>
  <c r="K3018" s="1"/>
  <c r="K2290"/>
  <c r="K2289"/>
  <c r="K2287"/>
  <c r="K2286"/>
  <c r="K2285"/>
  <c r="K2283"/>
  <c r="K2282"/>
  <c r="K2281"/>
  <c r="K2280"/>
  <c r="K2277"/>
  <c r="K2276"/>
  <c r="K2275"/>
  <c r="K2273"/>
  <c r="L2270"/>
  <c r="K2269"/>
  <c r="K2268"/>
  <c r="K2267"/>
  <c r="K2266"/>
  <c r="K2265"/>
  <c r="K2264"/>
  <c r="K2263"/>
  <c r="K2262"/>
  <c r="K2261"/>
  <c r="L2260"/>
  <c r="L2259"/>
  <c r="M2255"/>
  <c r="K2248"/>
  <c r="K2247"/>
  <c r="I2247"/>
  <c r="K2246"/>
  <c r="I2246"/>
  <c r="K2245"/>
  <c r="I2245"/>
  <c r="K2244"/>
  <c r="I2244"/>
  <c r="K2225"/>
  <c r="K2221"/>
  <c r="I2221"/>
  <c r="K2216"/>
  <c r="I2212"/>
  <c r="K2212" s="1"/>
  <c r="K2202"/>
  <c r="K2206" s="1"/>
  <c r="I2202"/>
  <c r="K2200"/>
  <c r="J2197"/>
  <c r="K2197" s="1"/>
  <c r="K2189"/>
  <c r="K2193" s="1"/>
  <c r="I2189"/>
  <c r="I2176"/>
  <c r="K2176" s="1"/>
  <c r="H2174"/>
  <c r="K2163"/>
  <c r="I2163"/>
  <c r="R2156"/>
  <c r="P2156"/>
  <c r="R2151"/>
  <c r="K2149"/>
  <c r="I2149"/>
  <c r="K2144"/>
  <c r="I2144"/>
  <c r="I2129"/>
  <c r="K2129" s="1"/>
  <c r="I2124"/>
  <c r="K2124" s="1"/>
  <c r="K2119"/>
  <c r="I2116"/>
  <c r="K2116" s="1"/>
  <c r="P2113"/>
  <c r="R2113" s="1"/>
  <c r="I2104"/>
  <c r="K2104" s="1"/>
  <c r="K2096"/>
  <c r="K2095"/>
  <c r="I2094"/>
  <c r="K2094" s="1"/>
  <c r="K2093"/>
  <c r="I2093"/>
  <c r="P2082"/>
  <c r="R2080"/>
  <c r="P2080"/>
  <c r="M2080"/>
  <c r="P2079"/>
  <c r="M2078"/>
  <c r="I2076"/>
  <c r="K2076" s="1"/>
  <c r="K2075"/>
  <c r="I2075"/>
  <c r="K2074"/>
  <c r="I2074"/>
  <c r="I2073"/>
  <c r="K2073" s="1"/>
  <c r="P2072"/>
  <c r="M2082" s="1"/>
  <c r="R2082" s="1"/>
  <c r="P2071"/>
  <c r="M2081" s="1"/>
  <c r="P2070"/>
  <c r="P2069"/>
  <c r="M2079" s="1"/>
  <c r="R2079" s="1"/>
  <c r="P2067"/>
  <c r="P2065"/>
  <c r="M2077" s="1"/>
  <c r="P2064"/>
  <c r="P2063"/>
  <c r="P2059"/>
  <c r="P2060" s="1"/>
  <c r="P2058"/>
  <c r="P2055"/>
  <c r="P2054"/>
  <c r="P2056" s="1"/>
  <c r="K2052"/>
  <c r="I2052"/>
  <c r="I2051"/>
  <c r="K2051" s="1"/>
  <c r="P2050"/>
  <c r="K2050"/>
  <c r="P2049"/>
  <c r="I2049"/>
  <c r="K2049" s="1"/>
  <c r="P2047"/>
  <c r="P2032"/>
  <c r="R2024"/>
  <c r="P2024"/>
  <c r="K2024"/>
  <c r="I2024"/>
  <c r="P2014"/>
  <c r="P2006"/>
  <c r="R2006" s="1"/>
  <c r="K2005"/>
  <c r="I2005"/>
  <c r="P1996"/>
  <c r="P1990"/>
  <c r="P1988"/>
  <c r="R1986"/>
  <c r="P1986"/>
  <c r="K1986"/>
  <c r="I1986"/>
  <c r="P1975"/>
  <c r="P1968"/>
  <c r="R1968" s="1"/>
  <c r="K1968"/>
  <c r="I1968"/>
  <c r="N1944"/>
  <c r="N1945" s="1"/>
  <c r="N1943"/>
  <c r="K1941"/>
  <c r="K1939"/>
  <c r="K1936"/>
  <c r="K1925"/>
  <c r="I1922"/>
  <c r="I1923" s="1"/>
  <c r="K1923" s="1"/>
  <c r="P1909"/>
  <c r="R1909" s="1"/>
  <c r="I1909"/>
  <c r="K1909" s="1"/>
  <c r="R1908"/>
  <c r="I1908"/>
  <c r="K1908" s="1"/>
  <c r="K1907"/>
  <c r="I1907"/>
  <c r="P1897"/>
  <c r="K1895"/>
  <c r="I1895"/>
  <c r="I1896" s="1"/>
  <c r="K1896" s="1"/>
  <c r="P1890"/>
  <c r="R1890" s="1"/>
  <c r="R1889"/>
  <c r="P1889"/>
  <c r="R1887"/>
  <c r="I1887"/>
  <c r="K1887" s="1"/>
  <c r="K1886"/>
  <c r="P1878"/>
  <c r="R1878" s="1"/>
  <c r="I1878"/>
  <c r="I1879" s="1"/>
  <c r="K1879" s="1"/>
  <c r="R1877"/>
  <c r="I1871"/>
  <c r="K1871" s="1"/>
  <c r="K1870"/>
  <c r="I1870"/>
  <c r="I2763" s="1"/>
  <c r="P1866"/>
  <c r="P1865"/>
  <c r="P1896" s="1"/>
  <c r="P1864"/>
  <c r="P1895" s="1"/>
  <c r="R1859"/>
  <c r="P1859"/>
  <c r="R1858"/>
  <c r="P1858"/>
  <c r="P1857"/>
  <c r="P1888" s="1"/>
  <c r="K1848"/>
  <c r="K1843"/>
  <c r="I1843"/>
  <c r="K1842"/>
  <c r="I1842"/>
  <c r="K1840"/>
  <c r="I1840"/>
  <c r="P1856" s="1"/>
  <c r="R1856" s="1"/>
  <c r="K1830"/>
  <c r="I1825"/>
  <c r="K1825" s="1"/>
  <c r="I1824"/>
  <c r="K1824" s="1"/>
  <c r="I1822"/>
  <c r="K1822" s="1"/>
  <c r="K1812"/>
  <c r="K1807"/>
  <c r="I1807"/>
  <c r="I2736" s="1"/>
  <c r="K2736" s="1"/>
  <c r="I1806"/>
  <c r="I2735" s="1"/>
  <c r="K2735" s="1"/>
  <c r="K1804"/>
  <c r="I1804"/>
  <c r="M1797"/>
  <c r="L1797"/>
  <c r="K1797"/>
  <c r="K1796"/>
  <c r="K1793"/>
  <c r="K1786"/>
  <c r="K1770"/>
  <c r="I1770"/>
  <c r="K1769"/>
  <c r="I1769"/>
  <c r="K1768"/>
  <c r="K1756"/>
  <c r="K1755"/>
  <c r="K1754"/>
  <c r="K1751"/>
  <c r="K1723"/>
  <c r="K1722"/>
  <c r="K1721"/>
  <c r="AG1695"/>
  <c r="K1695"/>
  <c r="AG1694"/>
  <c r="K1694"/>
  <c r="K1697" s="1"/>
  <c r="AG1693"/>
  <c r="AG1692"/>
  <c r="AG1691"/>
  <c r="AG1690"/>
  <c r="AG1689"/>
  <c r="AG1688"/>
  <c r="AG1687"/>
  <c r="K1687"/>
  <c r="K1690" s="1"/>
  <c r="AG1686"/>
  <c r="AG1685"/>
  <c r="AG1684"/>
  <c r="AG1683"/>
  <c r="AG1682"/>
  <c r="AG1681"/>
  <c r="AG1680"/>
  <c r="K1680"/>
  <c r="AG1679"/>
  <c r="AG1678"/>
  <c r="K1678"/>
  <c r="K1682" s="1"/>
  <c r="AG1677"/>
  <c r="AG1676"/>
  <c r="AG1675"/>
  <c r="AG1674"/>
  <c r="AG1673"/>
  <c r="AG1672"/>
  <c r="AG1671"/>
  <c r="AG1670"/>
  <c r="AG1669"/>
  <c r="AG1668"/>
  <c r="AG1667"/>
  <c r="K1667"/>
  <c r="K1670" s="1"/>
  <c r="AG1666"/>
  <c r="K1666"/>
  <c r="AG1665"/>
  <c r="AG1664"/>
  <c r="AG1663"/>
  <c r="AG1662"/>
  <c r="AG1661"/>
  <c r="AG1660"/>
  <c r="AG1659"/>
  <c r="AG1658"/>
  <c r="AG1657"/>
  <c r="AG1656"/>
  <c r="AG1655"/>
  <c r="AG1654"/>
  <c r="AG1653"/>
  <c r="AG1652"/>
  <c r="AG1651"/>
  <c r="AG1650"/>
  <c r="AG1649"/>
  <c r="AG1648"/>
  <c r="AG1647"/>
  <c r="AG1646"/>
  <c r="AG1645"/>
  <c r="AG1644"/>
  <c r="AG1643"/>
  <c r="AG1642"/>
  <c r="AG1641"/>
  <c r="AG1640"/>
  <c r="S1640"/>
  <c r="AG1639"/>
  <c r="AG1638"/>
  <c r="AG1637"/>
  <c r="AG1636"/>
  <c r="AG1635"/>
  <c r="R1635"/>
  <c r="AG1634"/>
  <c r="P1634"/>
  <c r="AG1633"/>
  <c r="AG1632"/>
  <c r="Q1632"/>
  <c r="AG1631"/>
  <c r="R1631"/>
  <c r="Q1631"/>
  <c r="AG1630"/>
  <c r="Q1630"/>
  <c r="I1630"/>
  <c r="K1630" s="1"/>
  <c r="L1601" s="1"/>
  <c r="L1602" s="1"/>
  <c r="AG1629"/>
  <c r="R1629"/>
  <c r="Q1629"/>
  <c r="K1629"/>
  <c r="I1629"/>
  <c r="AG1628"/>
  <c r="Q1628"/>
  <c r="I1628"/>
  <c r="P1630" s="1"/>
  <c r="R1630" s="1"/>
  <c r="AG1627"/>
  <c r="K1627"/>
  <c r="I1627"/>
  <c r="AG1626"/>
  <c r="K1626"/>
  <c r="I1626"/>
  <c r="P1628" s="1"/>
  <c r="R1628" s="1"/>
  <c r="AG1625"/>
  <c r="AG1624"/>
  <c r="AG1623"/>
  <c r="AG1622"/>
  <c r="AG1621"/>
  <c r="AG1620"/>
  <c r="AG1619"/>
  <c r="AG1618"/>
  <c r="AG1617"/>
  <c r="AG1616"/>
  <c r="AG1615"/>
  <c r="O1615"/>
  <c r="AG1614"/>
  <c r="AG1613"/>
  <c r="AG1612"/>
  <c r="AG1611"/>
  <c r="AG1610"/>
  <c r="AG1609"/>
  <c r="AG1608"/>
  <c r="AG1607"/>
  <c r="AG1606"/>
  <c r="AG1605"/>
  <c r="AG1604"/>
  <c r="AG1603"/>
  <c r="P1603"/>
  <c r="P1615" s="1"/>
  <c r="R1615" s="1"/>
  <c r="AG1602"/>
  <c r="AG1601"/>
  <c r="AG1600"/>
  <c r="AG1599"/>
  <c r="AG1598"/>
  <c r="AG1597"/>
  <c r="AG1596"/>
  <c r="AG1595"/>
  <c r="AG1594"/>
  <c r="AG1593"/>
  <c r="AG1592"/>
  <c r="AG1591"/>
  <c r="K1591"/>
  <c r="AG1590"/>
  <c r="AG1589"/>
  <c r="AG1588"/>
  <c r="AG1587"/>
  <c r="AG1586"/>
  <c r="AG1585"/>
  <c r="AG1584"/>
  <c r="AG1583"/>
  <c r="AG1582"/>
  <c r="AG1581"/>
  <c r="AG1580"/>
  <c r="AG1579"/>
  <c r="AG1578"/>
  <c r="K1578"/>
  <c r="AG1577"/>
  <c r="AG1576"/>
  <c r="AG1575"/>
  <c r="AG1574"/>
  <c r="AG1573"/>
  <c r="AG1572"/>
  <c r="AG1571"/>
  <c r="AG1570"/>
  <c r="AG1569"/>
  <c r="AG1568"/>
  <c r="AG1567"/>
  <c r="AG1566"/>
  <c r="AG1565"/>
  <c r="AG1564"/>
  <c r="AG1563"/>
  <c r="K1563"/>
  <c r="I1563"/>
  <c r="AG1562"/>
  <c r="K1562"/>
  <c r="AG1561"/>
  <c r="AG1560"/>
  <c r="AG1559"/>
  <c r="I1559"/>
  <c r="K1559" s="1"/>
  <c r="AG1558"/>
  <c r="AG1557"/>
  <c r="AG1556"/>
  <c r="AG1555"/>
  <c r="AG1554"/>
  <c r="AG1553"/>
  <c r="AG1552"/>
  <c r="AG1551"/>
  <c r="AG1550"/>
  <c r="AG1549"/>
  <c r="AG1548"/>
  <c r="AG1547"/>
  <c r="I1547"/>
  <c r="I3196" s="1"/>
  <c r="AG1546"/>
  <c r="AG1545"/>
  <c r="AG1544"/>
  <c r="AG1543"/>
  <c r="AG1542"/>
  <c r="AG1541"/>
  <c r="AG1540"/>
  <c r="AG1539"/>
  <c r="AG1538"/>
  <c r="P1538"/>
  <c r="R1538" s="1"/>
  <c r="AG1537"/>
  <c r="AG1536"/>
  <c r="AG1535"/>
  <c r="AG1534"/>
  <c r="I1534"/>
  <c r="I3210" s="1"/>
  <c r="AG1533"/>
  <c r="AG1532"/>
  <c r="K1532"/>
  <c r="I1532"/>
  <c r="AG1531"/>
  <c r="AG1530"/>
  <c r="AG1529"/>
  <c r="AG1528"/>
  <c r="AG1527"/>
  <c r="AG1526"/>
  <c r="AG1525"/>
  <c r="AG1524"/>
  <c r="AG1523"/>
  <c r="AG1522"/>
  <c r="AG1521"/>
  <c r="R1521"/>
  <c r="AG1520"/>
  <c r="AG1519"/>
  <c r="AG1518"/>
  <c r="AG1517"/>
  <c r="I1517"/>
  <c r="K1517" s="1"/>
  <c r="AG1516"/>
  <c r="AG1515"/>
  <c r="AG1514"/>
  <c r="AG1513"/>
  <c r="AG1512"/>
  <c r="AG1511"/>
  <c r="AG1510"/>
  <c r="AG1509"/>
  <c r="AG1508"/>
  <c r="AG1507"/>
  <c r="AG1506"/>
  <c r="AG1505"/>
  <c r="K1505"/>
  <c r="I1505"/>
  <c r="I3168" s="1"/>
  <c r="AG1504"/>
  <c r="AG1503"/>
  <c r="AG1502"/>
  <c r="AG1501"/>
  <c r="AG1500"/>
  <c r="M1500"/>
  <c r="AG1499"/>
  <c r="AG1498"/>
  <c r="AG1497"/>
  <c r="AG1496"/>
  <c r="O1496"/>
  <c r="AG1495"/>
  <c r="O1495"/>
  <c r="AG1494"/>
  <c r="O1494"/>
  <c r="AG1493"/>
  <c r="AG1492"/>
  <c r="AG1491"/>
  <c r="AG1490"/>
  <c r="AG1489"/>
  <c r="AG1488"/>
  <c r="AG1487"/>
  <c r="AG1486"/>
  <c r="AG1485"/>
  <c r="AG1484"/>
  <c r="AG1483"/>
  <c r="AG1482"/>
  <c r="U1482"/>
  <c r="T1482"/>
  <c r="S1482"/>
  <c r="AG1481"/>
  <c r="AG1480"/>
  <c r="AG1479"/>
  <c r="AG1478"/>
  <c r="AG1477"/>
  <c r="AG1476"/>
  <c r="AG1475"/>
  <c r="AG1474"/>
  <c r="AG1473"/>
  <c r="AG1472"/>
  <c r="AG1471"/>
  <c r="AG1470"/>
  <c r="AG1469"/>
  <c r="AG1468"/>
  <c r="AG1467"/>
  <c r="AG1466"/>
  <c r="AG1465"/>
  <c r="AG1464"/>
  <c r="AG1463"/>
  <c r="AG1462"/>
  <c r="AG1461"/>
  <c r="AG1460"/>
  <c r="AG1459"/>
  <c r="AG1458"/>
  <c r="AG1457"/>
  <c r="AG1456"/>
  <c r="AG1455"/>
  <c r="AG1454"/>
  <c r="S1454"/>
  <c r="AG1453"/>
  <c r="AG1452"/>
  <c r="M1452"/>
  <c r="AG1451"/>
  <c r="P1451"/>
  <c r="P1468" s="1"/>
  <c r="AG1450"/>
  <c r="AG1449"/>
  <c r="AG1448"/>
  <c r="AG1447"/>
  <c r="AG1446"/>
  <c r="AG1445"/>
  <c r="AG1444"/>
  <c r="AG1443"/>
  <c r="AG1442"/>
  <c r="AG1441"/>
  <c r="P1441"/>
  <c r="P1458" s="1"/>
  <c r="AG1440"/>
  <c r="AG1439"/>
  <c r="AG1438"/>
  <c r="AG1437"/>
  <c r="I1437"/>
  <c r="K1437" s="1"/>
  <c r="AG1436"/>
  <c r="AG1435"/>
  <c r="P1435"/>
  <c r="R1435" s="1"/>
  <c r="AG1434"/>
  <c r="AG1433"/>
  <c r="U1433"/>
  <c r="AG1432"/>
  <c r="AG1431"/>
  <c r="P1431"/>
  <c r="P1447" s="1"/>
  <c r="AG1430"/>
  <c r="S1430"/>
  <c r="AG1429"/>
  <c r="X1429"/>
  <c r="AG1428"/>
  <c r="X1428"/>
  <c r="AG1427"/>
  <c r="X1427"/>
  <c r="AG1426"/>
  <c r="AG1425"/>
  <c r="P1425"/>
  <c r="R1425" s="1"/>
  <c r="AG1424"/>
  <c r="AG1423"/>
  <c r="AG1422"/>
  <c r="AG1421"/>
  <c r="AG1420"/>
  <c r="AG1419"/>
  <c r="Z1419"/>
  <c r="L1419"/>
  <c r="AG1418"/>
  <c r="R1418"/>
  <c r="P1418"/>
  <c r="AG1417"/>
  <c r="Z1417"/>
  <c r="R1417"/>
  <c r="P1417"/>
  <c r="P1434" s="1"/>
  <c r="AG1416"/>
  <c r="P1416"/>
  <c r="P1433" s="1"/>
  <c r="AG1415"/>
  <c r="AG1414"/>
  <c r="R1414"/>
  <c r="P1414"/>
  <c r="AG1413"/>
  <c r="P1413"/>
  <c r="R1413" s="1"/>
  <c r="AG1412"/>
  <c r="R1412"/>
  <c r="P1412"/>
  <c r="P1429" s="1"/>
  <c r="AG1411"/>
  <c r="AG1410"/>
  <c r="AG1409"/>
  <c r="AG1408"/>
  <c r="R1408"/>
  <c r="P1408"/>
  <c r="AG1407"/>
  <c r="AG1406"/>
  <c r="S1406"/>
  <c r="AG1405"/>
  <c r="S1405"/>
  <c r="AG1404"/>
  <c r="S1404"/>
  <c r="L1404"/>
  <c r="AG1403"/>
  <c r="S1403"/>
  <c r="AG1402"/>
  <c r="S1402"/>
  <c r="AG1401"/>
  <c r="R1401"/>
  <c r="AG1400"/>
  <c r="R1400"/>
  <c r="AG1399"/>
  <c r="R1399"/>
  <c r="AG1398"/>
  <c r="AG1397"/>
  <c r="R1397"/>
  <c r="AG1396"/>
  <c r="V1396"/>
  <c r="V1412" s="1"/>
  <c r="R1396"/>
  <c r="AG1395"/>
  <c r="V1395"/>
  <c r="X1395" s="1"/>
  <c r="R1395"/>
  <c r="AG1394"/>
  <c r="AD1394"/>
  <c r="AF1394" s="1"/>
  <c r="P1394"/>
  <c r="R1394" s="1"/>
  <c r="AG1393"/>
  <c r="R1393"/>
  <c r="P1393"/>
  <c r="P1410" s="1"/>
  <c r="AG1392"/>
  <c r="V1392"/>
  <c r="V1408" s="1"/>
  <c r="P1392"/>
  <c r="R1392" s="1"/>
  <c r="AG1391"/>
  <c r="R1391"/>
  <c r="AG1390"/>
  <c r="AG1389"/>
  <c r="AG1388"/>
  <c r="AG1387"/>
  <c r="AG1386"/>
  <c r="AG1385"/>
  <c r="AG1384"/>
  <c r="AG1383"/>
  <c r="AG1382"/>
  <c r="AG1381"/>
  <c r="AG1380"/>
  <c r="AG1379"/>
  <c r="V1379"/>
  <c r="X1379" s="1"/>
  <c r="AG1378"/>
  <c r="X1378"/>
  <c r="V1378"/>
  <c r="K1378"/>
  <c r="I1378"/>
  <c r="AG1377"/>
  <c r="AD1377"/>
  <c r="AF1377" s="1"/>
  <c r="V1377"/>
  <c r="V1394" s="1"/>
  <c r="AG1376"/>
  <c r="AG1375"/>
  <c r="V1375"/>
  <c r="X1375" s="1"/>
  <c r="AG1374"/>
  <c r="X1374"/>
  <c r="V1374"/>
  <c r="V1391" s="1"/>
  <c r="AG1373"/>
  <c r="V1373"/>
  <c r="V1390" s="1"/>
  <c r="AG1372"/>
  <c r="R1372"/>
  <c r="P1372"/>
  <c r="AG1371"/>
  <c r="AG1370"/>
  <c r="AG1369"/>
  <c r="V1369"/>
  <c r="V1386" s="1"/>
  <c r="AG1368"/>
  <c r="AG1367"/>
  <c r="AD1367"/>
  <c r="AD1384" s="1"/>
  <c r="AF1384" s="1"/>
  <c r="AG1366"/>
  <c r="AG1365"/>
  <c r="AG1364"/>
  <c r="AG1363"/>
  <c r="AG1362"/>
  <c r="X1362"/>
  <c r="V1362"/>
  <c r="AG1361"/>
  <c r="V1361"/>
  <c r="X1361" s="1"/>
  <c r="AG1360"/>
  <c r="AF1360"/>
  <c r="AD1360"/>
  <c r="I3995" s="1"/>
  <c r="X1360"/>
  <c r="V1360"/>
  <c r="AD1358" s="1"/>
  <c r="AG1359"/>
  <c r="AD1359"/>
  <c r="AF1359" s="1"/>
  <c r="AG1358"/>
  <c r="X1358"/>
  <c r="V1358"/>
  <c r="AD1356" s="1"/>
  <c r="AG1357"/>
  <c r="X1357"/>
  <c r="V1357"/>
  <c r="R1357"/>
  <c r="R1358" s="1"/>
  <c r="AG1356"/>
  <c r="X1356"/>
  <c r="V1356"/>
  <c r="K1356"/>
  <c r="I1356"/>
  <c r="AG1355"/>
  <c r="AD1355"/>
  <c r="I3992" s="1"/>
  <c r="V1355"/>
  <c r="X1355" s="1"/>
  <c r="R1355"/>
  <c r="AG1354"/>
  <c r="AD1354"/>
  <c r="I3991" s="1"/>
  <c r="V1354"/>
  <c r="X1354" s="1"/>
  <c r="AG1353"/>
  <c r="X1353"/>
  <c r="V1353"/>
  <c r="R1353"/>
  <c r="AG1352"/>
  <c r="X1352"/>
  <c r="V1352"/>
  <c r="AG1351"/>
  <c r="AD1351"/>
  <c r="AD1368" s="1"/>
  <c r="AG1350"/>
  <c r="AF1350"/>
  <c r="AD1350"/>
  <c r="I3987" s="1"/>
  <c r="AG1349"/>
  <c r="AG1348"/>
  <c r="AG1347"/>
  <c r="Z1347"/>
  <c r="AG1346"/>
  <c r="AG1345"/>
  <c r="AG1344"/>
  <c r="AG1343"/>
  <c r="AG1342"/>
  <c r="X1342"/>
  <c r="AG1341"/>
  <c r="AG1340"/>
  <c r="X1340"/>
  <c r="AG1339"/>
  <c r="X1339"/>
  <c r="V1339"/>
  <c r="AG1338"/>
  <c r="X1338"/>
  <c r="AG1337"/>
  <c r="AG1336"/>
  <c r="AG1335"/>
  <c r="AG1334"/>
  <c r="AG1333"/>
  <c r="AG1332"/>
  <c r="R1332"/>
  <c r="AG1331"/>
  <c r="X1331"/>
  <c r="AG1330"/>
  <c r="AG1329"/>
  <c r="AG1328"/>
  <c r="AG1327"/>
  <c r="AG1326"/>
  <c r="AG1325"/>
  <c r="AG1324"/>
  <c r="X1324"/>
  <c r="V1324"/>
  <c r="AG1323"/>
  <c r="AG1322"/>
  <c r="AG1321"/>
  <c r="AG1320"/>
  <c r="P1320"/>
  <c r="R1320" s="1"/>
  <c r="AG1319"/>
  <c r="R1319"/>
  <c r="AG1318"/>
  <c r="X1318"/>
  <c r="V1318"/>
  <c r="AG1317"/>
  <c r="AG1316"/>
  <c r="AG1315"/>
  <c r="AG1314"/>
  <c r="AG1313"/>
  <c r="AG1312"/>
  <c r="AG1311"/>
  <c r="AG1310"/>
  <c r="AG1309"/>
  <c r="AG1308"/>
  <c r="AG1307"/>
  <c r="AG1306"/>
  <c r="AG1305"/>
  <c r="V1305"/>
  <c r="V1325" s="1"/>
  <c r="AG1304"/>
  <c r="X1304"/>
  <c r="AG1303"/>
  <c r="AG1302"/>
  <c r="AG1301"/>
  <c r="AG1300"/>
  <c r="R1300"/>
  <c r="AG1299"/>
  <c r="AG1298"/>
  <c r="X1298"/>
  <c r="AG1297"/>
  <c r="AG1296"/>
  <c r="AG1295"/>
  <c r="AG1294"/>
  <c r="AG1293"/>
  <c r="AG1292"/>
  <c r="AG1291"/>
  <c r="AG1290"/>
  <c r="AG1289"/>
  <c r="AG1288"/>
  <c r="AG1287"/>
  <c r="AG1286"/>
  <c r="AG1285"/>
  <c r="X1285"/>
  <c r="V1285"/>
  <c r="AG1284"/>
  <c r="AG1283"/>
  <c r="K1283"/>
  <c r="AG1282"/>
  <c r="AG1281"/>
  <c r="AG1280"/>
  <c r="AG1279"/>
  <c r="V1279"/>
  <c r="AG1278"/>
  <c r="AG1277"/>
  <c r="X1277"/>
  <c r="AG1276"/>
  <c r="AG1275"/>
  <c r="AG1274"/>
  <c r="AG1273"/>
  <c r="AG1272"/>
  <c r="AG1271"/>
  <c r="AG1270"/>
  <c r="I1270"/>
  <c r="K1270" s="1"/>
  <c r="AG1269"/>
  <c r="M1269"/>
  <c r="AG1268"/>
  <c r="AG1267"/>
  <c r="AF1267"/>
  <c r="AG1266"/>
  <c r="AE1266"/>
  <c r="AG1265"/>
  <c r="AE1265"/>
  <c r="AG1264"/>
  <c r="AE1264"/>
  <c r="P1264"/>
  <c r="P1380" s="1"/>
  <c r="R1380" s="1"/>
  <c r="AG1263"/>
  <c r="AF1263"/>
  <c r="AE1263"/>
  <c r="AD1263"/>
  <c r="AG1262"/>
  <c r="AE1262"/>
  <c r="AD1262"/>
  <c r="AF1262" s="1"/>
  <c r="AG1261"/>
  <c r="AG1260"/>
  <c r="AG1259"/>
  <c r="AG1258"/>
  <c r="R1257"/>
  <c r="AG1256"/>
  <c r="K1256"/>
  <c r="AG1255"/>
  <c r="AG1254"/>
  <c r="AG1253"/>
  <c r="AD1253"/>
  <c r="AG1252"/>
  <c r="AG1251"/>
  <c r="AG1250"/>
  <c r="AG1249"/>
  <c r="AF1249"/>
  <c r="AG1248"/>
  <c r="AG1247"/>
  <c r="AG1246"/>
  <c r="AG1245"/>
  <c r="AG1244"/>
  <c r="AG1243"/>
  <c r="AG1242"/>
  <c r="AG1241"/>
  <c r="AF1241"/>
  <c r="AG1240"/>
  <c r="AG1239"/>
  <c r="AG1238"/>
  <c r="AG1237"/>
  <c r="X1237"/>
  <c r="AG1236"/>
  <c r="AG1235"/>
  <c r="AG1234"/>
  <c r="R1234"/>
  <c r="AG1233"/>
  <c r="AG1232"/>
  <c r="I1232"/>
  <c r="K1232" s="1"/>
  <c r="AG1231"/>
  <c r="AG1230"/>
  <c r="AG1229"/>
  <c r="AG1228"/>
  <c r="AG1227"/>
  <c r="AG1226"/>
  <c r="AD1226"/>
  <c r="S1226"/>
  <c r="AG1225"/>
  <c r="AD1225"/>
  <c r="AG1224"/>
  <c r="AG1223"/>
  <c r="AG1222"/>
  <c r="AG1221"/>
  <c r="AF1221"/>
  <c r="AD1221"/>
  <c r="AG1220"/>
  <c r="AG1219"/>
  <c r="AG1218"/>
  <c r="AG1217"/>
  <c r="AG1216"/>
  <c r="AG1215"/>
  <c r="AD1215"/>
  <c r="T1215"/>
  <c r="R1215"/>
  <c r="AG1214"/>
  <c r="AG1213"/>
  <c r="AF1213"/>
  <c r="AG1212"/>
  <c r="AE1212"/>
  <c r="AG1211"/>
  <c r="AG1210"/>
  <c r="AG1209"/>
  <c r="AG1203"/>
  <c r="AG1202"/>
  <c r="R1193"/>
  <c r="P1193"/>
  <c r="K1193"/>
  <c r="I1193"/>
  <c r="R1192"/>
  <c r="P1192"/>
  <c r="AG1191"/>
  <c r="R1191"/>
  <c r="K1191"/>
  <c r="I1191"/>
  <c r="AG1190"/>
  <c r="AG1194" s="1"/>
  <c r="AG1189"/>
  <c r="AM1188"/>
  <c r="AG1188"/>
  <c r="AF1188"/>
  <c r="K1178"/>
  <c r="K1177"/>
  <c r="Q1176"/>
  <c r="K1176"/>
  <c r="I1160"/>
  <c r="K1160" s="1"/>
  <c r="I1159"/>
  <c r="K1159" s="1"/>
  <c r="X1153"/>
  <c r="P1151"/>
  <c r="P1150"/>
  <c r="P1149"/>
  <c r="I1146"/>
  <c r="K1146" s="1"/>
  <c r="I1145"/>
  <c r="K1145" s="1"/>
  <c r="Q1142"/>
  <c r="K1135"/>
  <c r="K1134"/>
  <c r="K1133"/>
  <c r="I1133"/>
  <c r="K1132"/>
  <c r="I1132"/>
  <c r="K1130"/>
  <c r="I1107"/>
  <c r="K1107" s="1"/>
  <c r="I1106"/>
  <c r="K1106" s="1"/>
  <c r="I1105"/>
  <c r="K1105" s="1"/>
  <c r="K1103"/>
  <c r="I1103"/>
  <c r="H1103"/>
  <c r="P1095"/>
  <c r="P1116" s="1"/>
  <c r="R1116" s="1"/>
  <c r="R1092"/>
  <c r="I1092"/>
  <c r="K1092" s="1"/>
  <c r="I1090"/>
  <c r="K1090" s="1"/>
  <c r="I1089"/>
  <c r="K1089" s="1"/>
  <c r="I1087"/>
  <c r="K1087" s="1"/>
  <c r="H1087"/>
  <c r="I1077"/>
  <c r="K1077" s="1"/>
  <c r="I1075"/>
  <c r="K1075" s="1"/>
  <c r="I1074"/>
  <c r="K1074" s="1"/>
  <c r="K1072"/>
  <c r="AG1070"/>
  <c r="AI1070" s="1"/>
  <c r="P1070"/>
  <c r="R1070" s="1"/>
  <c r="P1069"/>
  <c r="R1069" s="1"/>
  <c r="AG1068"/>
  <c r="AI1068" s="1"/>
  <c r="AG1067"/>
  <c r="AI1067" s="1"/>
  <c r="P1066"/>
  <c r="R1066" s="1"/>
  <c r="I1062"/>
  <c r="P1073" s="1"/>
  <c r="R1073" s="1"/>
  <c r="I1061"/>
  <c r="K1061" s="1"/>
  <c r="I1060"/>
  <c r="P1053" s="1"/>
  <c r="R1053" s="1"/>
  <c r="K1059"/>
  <c r="I1059"/>
  <c r="P1052" s="1"/>
  <c r="R1052" s="1"/>
  <c r="K1058"/>
  <c r="I1058"/>
  <c r="I1057"/>
  <c r="P1050" s="1"/>
  <c r="R1050" s="1"/>
  <c r="K1055"/>
  <c r="I1055"/>
  <c r="I3103" s="1"/>
  <c r="R1051"/>
  <c r="P1051"/>
  <c r="AG1041"/>
  <c r="AG1040"/>
  <c r="AG1039"/>
  <c r="AG1038"/>
  <c r="AG1037"/>
  <c r="AG1036"/>
  <c r="AG1034"/>
  <c r="AG1033"/>
  <c r="AG1032"/>
  <c r="K1032"/>
  <c r="AG1031"/>
  <c r="AG1030"/>
  <c r="AG1029"/>
  <c r="AG1028"/>
  <c r="AG1027"/>
  <c r="AG1026"/>
  <c r="H1026"/>
  <c r="AG1025"/>
  <c r="K1025"/>
  <c r="I1025"/>
  <c r="P1099" s="1"/>
  <c r="H1025"/>
  <c r="AG1024"/>
  <c r="K1024"/>
  <c r="I1024"/>
  <c r="P1098" s="1"/>
  <c r="H1024"/>
  <c r="AG1023"/>
  <c r="K1023"/>
  <c r="I1023"/>
  <c r="P1097" s="1"/>
  <c r="H1023"/>
  <c r="AG1022"/>
  <c r="K1022"/>
  <c r="I1022"/>
  <c r="P1096" s="1"/>
  <c r="H1022"/>
  <c r="H1057" s="1"/>
  <c r="AG1021"/>
  <c r="K1021"/>
  <c r="I1021"/>
  <c r="H1021"/>
  <c r="AG1020"/>
  <c r="K1020"/>
  <c r="I1020"/>
  <c r="P1094" s="1"/>
  <c r="AG1019"/>
  <c r="AG1018"/>
  <c r="AG1017"/>
  <c r="AG1016"/>
  <c r="AG1015"/>
  <c r="AG1014"/>
  <c r="AG1013"/>
  <c r="AG1012"/>
  <c r="AG1011"/>
  <c r="AG1010"/>
  <c r="AG1009"/>
  <c r="AG1008"/>
  <c r="AG1007"/>
  <c r="AG1006"/>
  <c r="AG1004"/>
  <c r="AG1003"/>
  <c r="AG1002"/>
  <c r="AG1001"/>
  <c r="AG1000"/>
  <c r="AG999"/>
  <c r="AG998"/>
  <c r="AG997"/>
  <c r="AG996"/>
  <c r="P996"/>
  <c r="R996" s="1"/>
  <c r="I996"/>
  <c r="I1026" s="1"/>
  <c r="H996"/>
  <c r="AG995"/>
  <c r="P995"/>
  <c r="R995" s="1"/>
  <c r="I995"/>
  <c r="I2841" s="1"/>
  <c r="H995"/>
  <c r="AG994"/>
  <c r="P994"/>
  <c r="R994" s="1"/>
  <c r="I994"/>
  <c r="I2840" s="1"/>
  <c r="H994"/>
  <c r="AG993"/>
  <c r="P993"/>
  <c r="R993" s="1"/>
  <c r="I993"/>
  <c r="I2839" s="1"/>
  <c r="H993"/>
  <c r="AG992"/>
  <c r="P992"/>
  <c r="R992" s="1"/>
  <c r="I992"/>
  <c r="I2838" s="1"/>
  <c r="H992"/>
  <c r="AG991"/>
  <c r="P991"/>
  <c r="R991" s="1"/>
  <c r="I991"/>
  <c r="I2837" s="1"/>
  <c r="H991"/>
  <c r="AG990"/>
  <c r="I990"/>
  <c r="I2836" s="1"/>
  <c r="AG989"/>
  <c r="R989"/>
  <c r="P989"/>
  <c r="AG988"/>
  <c r="AG987"/>
  <c r="AG986"/>
  <c r="AG985"/>
  <c r="AG984"/>
  <c r="AG983"/>
  <c r="AG982"/>
  <c r="AG981"/>
  <c r="AG980"/>
  <c r="AG979"/>
  <c r="AG978"/>
  <c r="AG977"/>
  <c r="AG976"/>
  <c r="AG975"/>
  <c r="AG974"/>
  <c r="AG973"/>
  <c r="AG972"/>
  <c r="AG971"/>
  <c r="AG970"/>
  <c r="AG969"/>
  <c r="AG968"/>
  <c r="AG967"/>
  <c r="AG966"/>
  <c r="AG965"/>
  <c r="AG964"/>
  <c r="AG963"/>
  <c r="AG962"/>
  <c r="AG961"/>
  <c r="K961"/>
  <c r="AG960"/>
  <c r="K960"/>
  <c r="I960"/>
  <c r="AG959"/>
  <c r="I959"/>
  <c r="K959" s="1"/>
  <c r="AG958"/>
  <c r="K958"/>
  <c r="I958"/>
  <c r="AG957"/>
  <c r="K957"/>
  <c r="I957"/>
  <c r="AG956"/>
  <c r="I956"/>
  <c r="K956" s="1"/>
  <c r="AG955"/>
  <c r="I955"/>
  <c r="AG954"/>
  <c r="AG953"/>
  <c r="P953"/>
  <c r="AG952"/>
  <c r="AG951"/>
  <c r="P951"/>
  <c r="R951" s="1"/>
  <c r="AG950"/>
  <c r="R950"/>
  <c r="P950"/>
  <c r="AG949"/>
  <c r="P949"/>
  <c r="R949" s="1"/>
  <c r="AG948"/>
  <c r="AG947"/>
  <c r="AG946"/>
  <c r="AG945"/>
  <c r="AG944"/>
  <c r="AG943"/>
  <c r="AG942"/>
  <c r="AG941"/>
  <c r="AG940"/>
  <c r="AG939"/>
  <c r="AG938"/>
  <c r="AG937"/>
  <c r="AG936"/>
  <c r="AG935"/>
  <c r="AG934"/>
  <c r="AG933"/>
  <c r="AG932"/>
  <c r="AG931"/>
  <c r="AG930"/>
  <c r="AG929"/>
  <c r="AG928"/>
  <c r="AG927"/>
  <c r="AG926"/>
  <c r="AG925"/>
  <c r="AG924"/>
  <c r="AG923"/>
  <c r="AG922"/>
  <c r="AG921"/>
  <c r="AG920"/>
  <c r="AG919"/>
  <c r="AG918"/>
  <c r="AG917"/>
  <c r="AG916"/>
  <c r="AG915"/>
  <c r="AG914"/>
  <c r="AG913"/>
  <c r="AG912"/>
  <c r="AG911"/>
  <c r="AG910"/>
  <c r="AG909"/>
  <c r="AG908"/>
  <c r="AG907"/>
  <c r="AG906"/>
  <c r="AG905"/>
  <c r="AG904"/>
  <c r="AG903"/>
  <c r="AG902"/>
  <c r="AG901"/>
  <c r="K901"/>
  <c r="H901"/>
  <c r="AG900"/>
  <c r="AG899"/>
  <c r="AG898"/>
  <c r="AG897"/>
  <c r="I897"/>
  <c r="K897" s="1"/>
  <c r="H897"/>
  <c r="AG896"/>
  <c r="AG895"/>
  <c r="AG894"/>
  <c r="AG893"/>
  <c r="AG892"/>
  <c r="AG891"/>
  <c r="AG890"/>
  <c r="AG889"/>
  <c r="AG888"/>
  <c r="AG887"/>
  <c r="AG886"/>
  <c r="AG885"/>
  <c r="V885"/>
  <c r="X885" s="1"/>
  <c r="K885"/>
  <c r="AG884"/>
  <c r="AG883"/>
  <c r="AG882"/>
  <c r="I882"/>
  <c r="I898" s="1"/>
  <c r="K898" s="1"/>
  <c r="AG881"/>
  <c r="X881"/>
  <c r="V881"/>
  <c r="V897" s="1"/>
  <c r="X897" s="1"/>
  <c r="K881"/>
  <c r="I881"/>
  <c r="AG880"/>
  <c r="V880"/>
  <c r="V896" s="1"/>
  <c r="X896" s="1"/>
  <c r="I880"/>
  <c r="K880" s="1"/>
  <c r="AG879"/>
  <c r="K879"/>
  <c r="I879"/>
  <c r="V879" s="1"/>
  <c r="AG878"/>
  <c r="AG877"/>
  <c r="AG876"/>
  <c r="AG875"/>
  <c r="AG874"/>
  <c r="AG873"/>
  <c r="AG872"/>
  <c r="AG871"/>
  <c r="AG870"/>
  <c r="AG869"/>
  <c r="AG868"/>
  <c r="AG867"/>
  <c r="X867"/>
  <c r="V867"/>
  <c r="K867"/>
  <c r="AG866"/>
  <c r="AG865"/>
  <c r="AG864"/>
  <c r="X864"/>
  <c r="V864"/>
  <c r="K864"/>
  <c r="AG863"/>
  <c r="V863"/>
  <c r="X863" s="1"/>
  <c r="K863"/>
  <c r="AG862"/>
  <c r="V862"/>
  <c r="X862" s="1"/>
  <c r="P862"/>
  <c r="K862"/>
  <c r="AG861"/>
  <c r="X861"/>
  <c r="V861"/>
  <c r="K861"/>
  <c r="AG860"/>
  <c r="R860"/>
  <c r="P860"/>
  <c r="AG859"/>
  <c r="AG858"/>
  <c r="AG857"/>
  <c r="P857"/>
  <c r="R857" s="1"/>
  <c r="AG856"/>
  <c r="R856"/>
  <c r="P856"/>
  <c r="AG855"/>
  <c r="P855"/>
  <c r="R855" s="1"/>
  <c r="AG854"/>
  <c r="R854"/>
  <c r="P854"/>
  <c r="AG853"/>
  <c r="AG852"/>
  <c r="AG851"/>
  <c r="AG850"/>
  <c r="AG849"/>
  <c r="AG848"/>
  <c r="AG847"/>
  <c r="AG846"/>
  <c r="AG845"/>
  <c r="AG844"/>
  <c r="AG843"/>
  <c r="AG842"/>
  <c r="AG841"/>
  <c r="AG840"/>
  <c r="AG839"/>
  <c r="AG838"/>
  <c r="AG837"/>
  <c r="AG827"/>
  <c r="AG826"/>
  <c r="AG825"/>
  <c r="V825"/>
  <c r="AG824"/>
  <c r="V824"/>
  <c r="AG823"/>
  <c r="V823"/>
  <c r="AG822"/>
  <c r="AG821"/>
  <c r="AG820"/>
  <c r="AG819"/>
  <c r="W819"/>
  <c r="AG818"/>
  <c r="AG817"/>
  <c r="AG816"/>
  <c r="AG815"/>
  <c r="AG814"/>
  <c r="AG813"/>
  <c r="AG812"/>
  <c r="AG811"/>
  <c r="AG810"/>
  <c r="AG809"/>
  <c r="AG808"/>
  <c r="AG807"/>
  <c r="AG806"/>
  <c r="AG805"/>
  <c r="AG804"/>
  <c r="W804"/>
  <c r="AG803"/>
  <c r="AG802"/>
  <c r="AG801"/>
  <c r="AG800"/>
  <c r="AG799"/>
  <c r="AG798"/>
  <c r="AG797"/>
  <c r="AG796"/>
  <c r="AG795"/>
  <c r="AG794"/>
  <c r="AG793"/>
  <c r="AG792"/>
  <c r="P792"/>
  <c r="R792" s="1"/>
  <c r="AG791"/>
  <c r="AG790"/>
  <c r="AG789"/>
  <c r="K789"/>
  <c r="AG788"/>
  <c r="K788"/>
  <c r="AG787"/>
  <c r="I787"/>
  <c r="K787" s="1"/>
  <c r="AG786"/>
  <c r="AG785"/>
  <c r="AG784"/>
  <c r="A784"/>
  <c r="AG783"/>
  <c r="R783"/>
  <c r="K783"/>
  <c r="I783"/>
  <c r="AG782"/>
  <c r="AG781"/>
  <c r="AG780"/>
  <c r="AG779"/>
  <c r="AG778"/>
  <c r="AG777"/>
  <c r="AG776"/>
  <c r="AG775"/>
  <c r="R775"/>
  <c r="AG774"/>
  <c r="AG773"/>
  <c r="AG772"/>
  <c r="AG771"/>
  <c r="AG770"/>
  <c r="R770"/>
  <c r="AG769"/>
  <c r="AG768"/>
  <c r="AG767"/>
  <c r="AG766"/>
  <c r="K766"/>
  <c r="AG765"/>
  <c r="K765"/>
  <c r="AG764"/>
  <c r="AG763"/>
  <c r="AG762"/>
  <c r="AG761"/>
  <c r="K761"/>
  <c r="AG760"/>
  <c r="I760"/>
  <c r="K760" s="1"/>
  <c r="AG759"/>
  <c r="K759"/>
  <c r="I780" s="1"/>
  <c r="K780" s="1"/>
  <c r="I759"/>
  <c r="AG758"/>
  <c r="AG757"/>
  <c r="AG756"/>
  <c r="R756"/>
  <c r="P756"/>
  <c r="AG755"/>
  <c r="R755"/>
  <c r="P755"/>
  <c r="AG754"/>
  <c r="R754"/>
  <c r="P754"/>
  <c r="AG753"/>
  <c r="P753"/>
  <c r="R753" s="1"/>
  <c r="AG752"/>
  <c r="AG751"/>
  <c r="P751"/>
  <c r="R751" s="1"/>
  <c r="AG750"/>
  <c r="AG749"/>
  <c r="AG748"/>
  <c r="AG747"/>
  <c r="AG746"/>
  <c r="AG745"/>
  <c r="AG744"/>
  <c r="AG743"/>
  <c r="AG742"/>
  <c r="AG741"/>
  <c r="AG740"/>
  <c r="P740"/>
  <c r="R740" s="1"/>
  <c r="AG739"/>
  <c r="P739"/>
  <c r="R739" s="1"/>
  <c r="AG738"/>
  <c r="V738"/>
  <c r="R738"/>
  <c r="P738"/>
  <c r="AG737"/>
  <c r="V737"/>
  <c r="R737"/>
  <c r="P737"/>
  <c r="AG736"/>
  <c r="AG735"/>
  <c r="R735"/>
  <c r="P735"/>
  <c r="AG734"/>
  <c r="AG733"/>
  <c r="AG732"/>
  <c r="AG731"/>
  <c r="AG730"/>
  <c r="AG729"/>
  <c r="AG728"/>
  <c r="AG727"/>
  <c r="AG726"/>
  <c r="AG725"/>
  <c r="R725"/>
  <c r="P725"/>
  <c r="AG724"/>
  <c r="P724"/>
  <c r="R724" s="1"/>
  <c r="AG723"/>
  <c r="R723"/>
  <c r="P723"/>
  <c r="AG722"/>
  <c r="R722"/>
  <c r="P722"/>
  <c r="AG721"/>
  <c r="AG720"/>
  <c r="R720"/>
  <c r="P720"/>
  <c r="K720"/>
  <c r="I720"/>
  <c r="AG719"/>
  <c r="AG718"/>
  <c r="K718"/>
  <c r="I718"/>
  <c r="AG717"/>
  <c r="V717"/>
  <c r="I717"/>
  <c r="K717" s="1"/>
  <c r="K723" s="1"/>
  <c r="I725" s="1"/>
  <c r="K725" s="1"/>
  <c r="AG716"/>
  <c r="V716"/>
  <c r="AG715"/>
  <c r="AG714"/>
  <c r="V714"/>
  <c r="AG713"/>
  <c r="V713"/>
  <c r="AG712"/>
  <c r="AG711"/>
  <c r="AG710"/>
  <c r="W710"/>
  <c r="AG709"/>
  <c r="S709"/>
  <c r="R709"/>
  <c r="R713" s="1"/>
  <c r="P709"/>
  <c r="AG708"/>
  <c r="AG707"/>
  <c r="AG706"/>
  <c r="AG705"/>
  <c r="AG704"/>
  <c r="AG703"/>
  <c r="AG702"/>
  <c r="AG701"/>
  <c r="K701"/>
  <c r="AG700"/>
  <c r="I700"/>
  <c r="K700" s="1"/>
  <c r="AG699"/>
  <c r="K699"/>
  <c r="K704" s="1"/>
  <c r="I706" s="1"/>
  <c r="I699"/>
  <c r="AG698"/>
  <c r="P698"/>
  <c r="R698" s="1"/>
  <c r="R702" s="1"/>
  <c r="AG697"/>
  <c r="AG696"/>
  <c r="AG695"/>
  <c r="AG694"/>
  <c r="AG693"/>
  <c r="AG692"/>
  <c r="AH691"/>
  <c r="AG691"/>
  <c r="AG690"/>
  <c r="AH689"/>
  <c r="AG689"/>
  <c r="AG688"/>
  <c r="R688"/>
  <c r="R692" s="1"/>
  <c r="P688"/>
  <c r="AG687"/>
  <c r="AG686"/>
  <c r="AG685"/>
  <c r="AE685"/>
  <c r="AG684"/>
  <c r="AE684"/>
  <c r="AG683"/>
  <c r="AC683"/>
  <c r="AG682"/>
  <c r="K682"/>
  <c r="AG681"/>
  <c r="AG828" s="1"/>
  <c r="I681"/>
  <c r="K681" s="1"/>
  <c r="AG680"/>
  <c r="I680"/>
  <c r="K680" s="1"/>
  <c r="K684" s="1"/>
  <c r="I686" s="1"/>
  <c r="AG679"/>
  <c r="AG678"/>
  <c r="P678"/>
  <c r="R678" s="1"/>
  <c r="R682" s="1"/>
  <c r="AG677"/>
  <c r="AG676"/>
  <c r="AG675"/>
  <c r="AG674"/>
  <c r="AG673"/>
  <c r="P660"/>
  <c r="R660" s="1"/>
  <c r="P659"/>
  <c r="R659" s="1"/>
  <c r="P658"/>
  <c r="R658" s="1"/>
  <c r="C658"/>
  <c r="V648"/>
  <c r="AF648" s="1"/>
  <c r="AH648" s="1"/>
  <c r="R642"/>
  <c r="P642"/>
  <c r="AG637"/>
  <c r="AG636"/>
  <c r="AG635"/>
  <c r="AG634"/>
  <c r="AG633"/>
  <c r="AG632"/>
  <c r="AG631"/>
  <c r="AG630"/>
  <c r="AG629"/>
  <c r="P629"/>
  <c r="R629" s="1"/>
  <c r="AG628"/>
  <c r="AG627"/>
  <c r="AG626"/>
  <c r="AG625"/>
  <c r="AG624"/>
  <c r="AG623"/>
  <c r="AG622"/>
  <c r="AG621"/>
  <c r="AG620"/>
  <c r="AG619"/>
  <c r="K619"/>
  <c r="I619"/>
  <c r="AG618"/>
  <c r="AG617"/>
  <c r="AG616"/>
  <c r="AG615"/>
  <c r="C615"/>
  <c r="AG614"/>
  <c r="AG613"/>
  <c r="AG612"/>
  <c r="AG611"/>
  <c r="AG610"/>
  <c r="AG609"/>
  <c r="AG608"/>
  <c r="C608"/>
  <c r="AG607"/>
  <c r="AG606"/>
  <c r="AG605"/>
  <c r="AG604"/>
  <c r="I604"/>
  <c r="K604" s="1"/>
  <c r="AG603"/>
  <c r="AG602"/>
  <c r="E602"/>
  <c r="C602"/>
  <c r="I1269" s="1"/>
  <c r="K1269" s="1"/>
  <c r="AG601"/>
  <c r="C601"/>
  <c r="I1248" s="1"/>
  <c r="K1248" s="1"/>
  <c r="AG600"/>
  <c r="AG599"/>
  <c r="AG598"/>
  <c r="AG597"/>
  <c r="AG596"/>
  <c r="AG595"/>
  <c r="AG594"/>
  <c r="AG593"/>
  <c r="AG592"/>
  <c r="C592"/>
  <c r="AG591"/>
  <c r="AG590"/>
  <c r="AG589"/>
  <c r="AG588"/>
  <c r="AG587"/>
  <c r="AG586"/>
  <c r="AG585"/>
  <c r="V585"/>
  <c r="P585"/>
  <c r="R585" s="1"/>
  <c r="AG584"/>
  <c r="R584"/>
  <c r="AG583"/>
  <c r="R583"/>
  <c r="AG582"/>
  <c r="V582"/>
  <c r="X582" s="1"/>
  <c r="I582"/>
  <c r="K582" s="1"/>
  <c r="AG581"/>
  <c r="AG580"/>
  <c r="AG579"/>
  <c r="AG578"/>
  <c r="P578"/>
  <c r="R578" s="1"/>
  <c r="AG577"/>
  <c r="AG576"/>
  <c r="AG575"/>
  <c r="AG574"/>
  <c r="AG573"/>
  <c r="AG572"/>
  <c r="AE572"/>
  <c r="AF572" s="1"/>
  <c r="AD572"/>
  <c r="AE566"/>
  <c r="AL566" s="1"/>
  <c r="AG564"/>
  <c r="AG563"/>
  <c r="AG562"/>
  <c r="M562"/>
  <c r="AG561"/>
  <c r="M561"/>
  <c r="AG560"/>
  <c r="M560"/>
  <c r="AG559"/>
  <c r="M559"/>
  <c r="M563" s="1"/>
  <c r="AG558"/>
  <c r="AG557"/>
  <c r="AG556"/>
  <c r="AG555"/>
  <c r="V555"/>
  <c r="AG554"/>
  <c r="AG553"/>
  <c r="R553"/>
  <c r="E553"/>
  <c r="AG552"/>
  <c r="AG551"/>
  <c r="AG550"/>
  <c r="AG549"/>
  <c r="W549"/>
  <c r="AE549" s="1"/>
  <c r="AG548"/>
  <c r="AE548"/>
  <c r="AL548" s="1"/>
  <c r="W548"/>
  <c r="P548"/>
  <c r="R548" s="1"/>
  <c r="AG539"/>
  <c r="R539"/>
  <c r="P539"/>
  <c r="AG538"/>
  <c r="AG537"/>
  <c r="P537"/>
  <c r="R537" s="1"/>
  <c r="AG536"/>
  <c r="AG535"/>
  <c r="AG534"/>
  <c r="AG533"/>
  <c r="AG532"/>
  <c r="AK531"/>
  <c r="AK555" s="1"/>
  <c r="AG531"/>
  <c r="AD531"/>
  <c r="AD555" s="1"/>
  <c r="AG530"/>
  <c r="AG529"/>
  <c r="AG528"/>
  <c r="AG527"/>
  <c r="AG526"/>
  <c r="AG525"/>
  <c r="R525"/>
  <c r="AG524"/>
  <c r="AG523"/>
  <c r="AG522"/>
  <c r="AG521"/>
  <c r="AG520"/>
  <c r="P520"/>
  <c r="R520" s="1"/>
  <c r="AG519"/>
  <c r="R519"/>
  <c r="P519"/>
  <c r="AG518"/>
  <c r="AG517"/>
  <c r="R517"/>
  <c r="P517"/>
  <c r="AG516"/>
  <c r="AG515"/>
  <c r="AG514"/>
  <c r="AG513"/>
  <c r="AG512"/>
  <c r="AG511"/>
  <c r="AG510"/>
  <c r="AG509"/>
  <c r="AG508"/>
  <c r="AG507"/>
  <c r="R507"/>
  <c r="AG506"/>
  <c r="AG505"/>
  <c r="AG504"/>
  <c r="AG503"/>
  <c r="AG502"/>
  <c r="P502"/>
  <c r="R502" s="1"/>
  <c r="AG501"/>
  <c r="P501"/>
  <c r="R501" s="1"/>
  <c r="AG500"/>
  <c r="AG499"/>
  <c r="R499"/>
  <c r="P499"/>
  <c r="AG498"/>
  <c r="AG497"/>
  <c r="AG496"/>
  <c r="AG495"/>
  <c r="AG494"/>
  <c r="AG493"/>
  <c r="AG492"/>
  <c r="I492"/>
  <c r="K492" s="1"/>
  <c r="AG491"/>
  <c r="AG490"/>
  <c r="AG489"/>
  <c r="AG488"/>
  <c r="AG487"/>
  <c r="AG486"/>
  <c r="AG485"/>
  <c r="AG484"/>
  <c r="P484"/>
  <c r="R484" s="1"/>
  <c r="AG483"/>
  <c r="P483"/>
  <c r="R483" s="1"/>
  <c r="AG482"/>
  <c r="P482"/>
  <c r="R482" s="1"/>
  <c r="AG481"/>
  <c r="AG480"/>
  <c r="AD480"/>
  <c r="AG479"/>
  <c r="AG471"/>
  <c r="AG470"/>
  <c r="R470"/>
  <c r="P470"/>
  <c r="AG469"/>
  <c r="AG468"/>
  <c r="AG467"/>
  <c r="AG466"/>
  <c r="AG465"/>
  <c r="AG464"/>
  <c r="R459"/>
  <c r="P459"/>
  <c r="R458"/>
  <c r="P458"/>
  <c r="P457"/>
  <c r="R457" s="1"/>
  <c r="AL452"/>
  <c r="P452"/>
  <c r="R452" s="1"/>
  <c r="P441"/>
  <c r="R441" s="1"/>
  <c r="P440"/>
  <c r="R440" s="1"/>
  <c r="P439"/>
  <c r="R439" s="1"/>
  <c r="P433"/>
  <c r="R433" s="1"/>
  <c r="AD432"/>
  <c r="AD431"/>
  <c r="AD430"/>
  <c r="AD429"/>
  <c r="AD428"/>
  <c r="AD424"/>
  <c r="AF422"/>
  <c r="X416"/>
  <c r="F411"/>
  <c r="H410"/>
  <c r="F410"/>
  <c r="H408"/>
  <c r="AU388"/>
  <c r="AF388"/>
  <c r="AD388"/>
  <c r="AF386"/>
  <c r="H379"/>
  <c r="F379"/>
  <c r="H377"/>
  <c r="P367"/>
  <c r="R367" s="1"/>
  <c r="AF364"/>
  <c r="H355"/>
  <c r="X341"/>
  <c r="AD336"/>
  <c r="F336"/>
  <c r="AF335"/>
  <c r="AD335"/>
  <c r="H335"/>
  <c r="F335"/>
  <c r="AF333"/>
  <c r="AF362" s="1"/>
  <c r="H333"/>
  <c r="H353" s="1"/>
  <c r="AF311"/>
  <c r="AF424" s="1"/>
  <c r="H311"/>
  <c r="K257"/>
  <c r="I256"/>
  <c r="K256" s="1"/>
  <c r="K245"/>
  <c r="K241"/>
  <c r="I241"/>
  <c r="R219"/>
  <c r="P219"/>
  <c r="R218"/>
  <c r="P218"/>
  <c r="AW217"/>
  <c r="AX217" s="1"/>
  <c r="R217"/>
  <c r="P217"/>
  <c r="AW216"/>
  <c r="AX216" s="1"/>
  <c r="R216"/>
  <c r="P216"/>
  <c r="AW215"/>
  <c r="AX215" s="1"/>
  <c r="R215"/>
  <c r="P215"/>
  <c r="AW214"/>
  <c r="AX214" s="1"/>
  <c r="R214"/>
  <c r="P214"/>
  <c r="AX213"/>
  <c r="AW213"/>
  <c r="AW212"/>
  <c r="AX212" s="1"/>
  <c r="R212"/>
  <c r="P212"/>
  <c r="AX211"/>
  <c r="AW211"/>
  <c r="AW210"/>
  <c r="AX210" s="1"/>
  <c r="AX209"/>
  <c r="AW209"/>
  <c r="AW208"/>
  <c r="AX208" s="1"/>
  <c r="AW202"/>
  <c r="AX202" s="1"/>
  <c r="AW200"/>
  <c r="AX200" s="1"/>
  <c r="AX198"/>
  <c r="AW198"/>
  <c r="AW197"/>
  <c r="AX197" s="1"/>
  <c r="AX194"/>
  <c r="AW194"/>
  <c r="AW193"/>
  <c r="AX193" s="1"/>
  <c r="AW192"/>
  <c r="AX192" s="1"/>
  <c r="AW186"/>
  <c r="AX186" s="1"/>
  <c r="K186"/>
  <c r="I186"/>
  <c r="I185"/>
  <c r="K185" s="1"/>
  <c r="AW184"/>
  <c r="AX184" s="1"/>
  <c r="AW182"/>
  <c r="AX182" s="1"/>
  <c r="AX181"/>
  <c r="AW181"/>
  <c r="AX178"/>
  <c r="AW178"/>
  <c r="AW177"/>
  <c r="AX177" s="1"/>
  <c r="AW176"/>
  <c r="AX176" s="1"/>
  <c r="AW175"/>
  <c r="AX175" s="1"/>
  <c r="AW174"/>
  <c r="AX174" s="1"/>
  <c r="AW172"/>
  <c r="AX172" s="1"/>
  <c r="AW170"/>
  <c r="AX170" s="1"/>
  <c r="AW169"/>
  <c r="AX169" s="1"/>
  <c r="AP164"/>
  <c r="AR163"/>
  <c r="AP163"/>
  <c r="AW162"/>
  <c r="AX162" s="1"/>
  <c r="AX161"/>
  <c r="AW161"/>
  <c r="AR161"/>
  <c r="AX160"/>
  <c r="AW160"/>
  <c r="I157"/>
  <c r="K157" s="1"/>
  <c r="K155"/>
  <c r="I155"/>
  <c r="AW154"/>
  <c r="AX154" s="1"/>
  <c r="I153"/>
  <c r="K153" s="1"/>
  <c r="AX152"/>
  <c r="AW152"/>
  <c r="AW150"/>
  <c r="AX150" s="1"/>
  <c r="AW149"/>
  <c r="AX149" s="1"/>
  <c r="AW146"/>
  <c r="AX146" s="1"/>
  <c r="AW145"/>
  <c r="AX145" s="1"/>
  <c r="AW144"/>
  <c r="AX144" s="1"/>
  <c r="AW143"/>
  <c r="AX143" s="1"/>
  <c r="C143"/>
  <c r="AW141"/>
  <c r="AX141" s="1"/>
  <c r="AW139"/>
  <c r="AX139" s="1"/>
  <c r="AW138"/>
  <c r="AX138" s="1"/>
  <c r="C137"/>
  <c r="I1218" s="1"/>
  <c r="K1218" s="1"/>
  <c r="AR132"/>
  <c r="AP132"/>
  <c r="AR130"/>
  <c r="AW118"/>
  <c r="AX118" s="1"/>
  <c r="AX116"/>
  <c r="AW116"/>
  <c r="AW114"/>
  <c r="AX114" s="1"/>
  <c r="AW113"/>
  <c r="AX113" s="1"/>
  <c r="AR107"/>
  <c r="AP88"/>
  <c r="AR87"/>
  <c r="AP87"/>
  <c r="AR85"/>
  <c r="AR105" s="1"/>
  <c r="AN67"/>
  <c r="AM67"/>
  <c r="AL67"/>
  <c r="AK67"/>
  <c r="AJ67"/>
  <c r="AI67"/>
  <c r="AG67"/>
  <c r="AN66"/>
  <c r="AM66"/>
  <c r="AL66"/>
  <c r="AK66"/>
  <c r="AJ66"/>
  <c r="AI66"/>
  <c r="AG66"/>
  <c r="AN65"/>
  <c r="AG65" s="1"/>
  <c r="AM65"/>
  <c r="AL65"/>
  <c r="AK65"/>
  <c r="AJ65"/>
  <c r="AI65"/>
  <c r="AN64"/>
  <c r="AM64"/>
  <c r="AL64"/>
  <c r="AK64"/>
  <c r="AJ64"/>
  <c r="AI64"/>
  <c r="AG64"/>
  <c r="AR63"/>
  <c r="AN63"/>
  <c r="AM63"/>
  <c r="AL63"/>
  <c r="AK63"/>
  <c r="AJ63"/>
  <c r="AI63"/>
  <c r="AG63"/>
  <c r="AN62"/>
  <c r="AG62" s="1"/>
  <c r="AM62"/>
  <c r="AL62"/>
  <c r="AK62"/>
  <c r="AJ62"/>
  <c r="AI62"/>
  <c r="AN61"/>
  <c r="AG61" s="1"/>
  <c r="AM61"/>
  <c r="AL61"/>
  <c r="AK61"/>
  <c r="AJ61"/>
  <c r="AI61"/>
  <c r="AN60"/>
  <c r="AM60"/>
  <c r="AL60"/>
  <c r="AK60"/>
  <c r="AJ60"/>
  <c r="AI60"/>
  <c r="AG60"/>
  <c r="C37" s="1"/>
  <c r="AN59"/>
  <c r="AG59" s="1"/>
  <c r="C36" s="1"/>
  <c r="AM59"/>
  <c r="AL59"/>
  <c r="AK59"/>
  <c r="AJ59"/>
  <c r="AI59"/>
  <c r="AN58"/>
  <c r="AM58"/>
  <c r="AL58"/>
  <c r="AK58"/>
  <c r="AJ58"/>
  <c r="AI58"/>
  <c r="AG58"/>
  <c r="P3227" s="1"/>
  <c r="AN57"/>
  <c r="AG57" s="1"/>
  <c r="I3601" s="1"/>
  <c r="K3601" s="1"/>
  <c r="AM57"/>
  <c r="AL57"/>
  <c r="AK57"/>
  <c r="AJ57"/>
  <c r="AI57"/>
  <c r="C57"/>
  <c r="I1231" s="1"/>
  <c r="K1231" s="1"/>
  <c r="AN56"/>
  <c r="AM56"/>
  <c r="AL56"/>
  <c r="AK56"/>
  <c r="AJ56"/>
  <c r="AI56"/>
  <c r="AG56"/>
  <c r="I3256" s="1"/>
  <c r="K3256" s="1"/>
  <c r="AN55"/>
  <c r="AM55"/>
  <c r="AL55"/>
  <c r="AK55"/>
  <c r="AJ55"/>
  <c r="AI55"/>
  <c r="AG55"/>
  <c r="I3212" s="1"/>
  <c r="AN54"/>
  <c r="AG54" s="1"/>
  <c r="I3198" s="1"/>
  <c r="AM54"/>
  <c r="AL54"/>
  <c r="AK54"/>
  <c r="AJ54"/>
  <c r="AI54"/>
  <c r="AN53"/>
  <c r="AG53" s="1"/>
  <c r="AM53"/>
  <c r="AL53"/>
  <c r="AK53"/>
  <c r="AJ53"/>
  <c r="AI53"/>
  <c r="AN52"/>
  <c r="AG52" s="1"/>
  <c r="AM52"/>
  <c r="AL52"/>
  <c r="AK52"/>
  <c r="AJ52"/>
  <c r="AI52"/>
  <c r="AN51"/>
  <c r="AM51"/>
  <c r="AL51"/>
  <c r="AK51"/>
  <c r="AJ51"/>
  <c r="AI51"/>
  <c r="AG51"/>
  <c r="AN50"/>
  <c r="AG50" s="1"/>
  <c r="C461" s="1"/>
  <c r="AM50"/>
  <c r="AL50"/>
  <c r="AK50"/>
  <c r="AJ50"/>
  <c r="AI50"/>
  <c r="AN49"/>
  <c r="AM49"/>
  <c r="AL49"/>
  <c r="AK49"/>
  <c r="AJ49"/>
  <c r="AI49"/>
  <c r="AG49"/>
  <c r="C460" s="1"/>
  <c r="AN48"/>
  <c r="AM48"/>
  <c r="AL48"/>
  <c r="AK48"/>
  <c r="AJ48"/>
  <c r="AI48"/>
  <c r="AG48"/>
  <c r="AN47"/>
  <c r="AM47"/>
  <c r="AL47"/>
  <c r="AK47"/>
  <c r="AJ47"/>
  <c r="AI47"/>
  <c r="AG47"/>
  <c r="Z47"/>
  <c r="W47"/>
  <c r="AK46"/>
  <c r="AH46"/>
  <c r="AN46" s="1"/>
  <c r="AG46" s="1"/>
  <c r="C24" s="1"/>
  <c r="AA46"/>
  <c r="AA47" s="1"/>
  <c r="X46"/>
  <c r="X47" s="1"/>
  <c r="AN45"/>
  <c r="AM45"/>
  <c r="AL45"/>
  <c r="AK45"/>
  <c r="AJ45"/>
  <c r="AI45"/>
  <c r="AG45"/>
  <c r="X45"/>
  <c r="AN44"/>
  <c r="AM44"/>
  <c r="AL44"/>
  <c r="AK44"/>
  <c r="AJ44"/>
  <c r="AI44"/>
  <c r="AG44"/>
  <c r="C22" s="1"/>
  <c r="Z44"/>
  <c r="AH43"/>
  <c r="AL43" s="1"/>
  <c r="AA43"/>
  <c r="AE43" s="1"/>
  <c r="P150" s="1"/>
  <c r="R150" s="1"/>
  <c r="X43"/>
  <c r="AN42"/>
  <c r="AM42"/>
  <c r="AL42"/>
  <c r="AK42"/>
  <c r="AJ42"/>
  <c r="AI42"/>
  <c r="AG42"/>
  <c r="C20" s="1"/>
  <c r="AN41"/>
  <c r="AG41" s="1"/>
  <c r="C19" s="1"/>
  <c r="AM41"/>
  <c r="AL41"/>
  <c r="AK41"/>
  <c r="AJ41"/>
  <c r="AI41"/>
  <c r="AB41"/>
  <c r="AE41" s="1"/>
  <c r="AA41"/>
  <c r="AA45" s="1"/>
  <c r="Y41"/>
  <c r="Y42" s="1"/>
  <c r="Y45" s="1"/>
  <c r="X41"/>
  <c r="X42" s="1"/>
  <c r="W41"/>
  <c r="W42" s="1"/>
  <c r="W45" s="1"/>
  <c r="AN40"/>
  <c r="AM40"/>
  <c r="AL40"/>
  <c r="AK40"/>
  <c r="AJ40"/>
  <c r="AI40"/>
  <c r="AN39"/>
  <c r="AG39" s="1"/>
  <c r="AM39"/>
  <c r="AL39"/>
  <c r="AK39"/>
  <c r="AJ39"/>
  <c r="AI39"/>
  <c r="AA39"/>
  <c r="AE39" s="1"/>
  <c r="P125" s="1"/>
  <c r="R125" s="1"/>
  <c r="X39"/>
  <c r="AN38"/>
  <c r="AM38"/>
  <c r="AL38"/>
  <c r="AK38"/>
  <c r="AJ38"/>
  <c r="AI38"/>
  <c r="AG38"/>
  <c r="AA38"/>
  <c r="AE38" s="1"/>
  <c r="X38"/>
  <c r="AN37"/>
  <c r="AM37"/>
  <c r="AL37"/>
  <c r="AK37"/>
  <c r="AJ37"/>
  <c r="AI37"/>
  <c r="AG37"/>
  <c r="Z37"/>
  <c r="I37"/>
  <c r="K37" s="1"/>
  <c r="AN36"/>
  <c r="AM36"/>
  <c r="AL36"/>
  <c r="AK36"/>
  <c r="AJ36"/>
  <c r="AI36"/>
  <c r="AG36"/>
  <c r="D61" s="1"/>
  <c r="Z36"/>
  <c r="AN35"/>
  <c r="AG35" s="1"/>
  <c r="D33" s="1"/>
  <c r="I2249" s="1"/>
  <c r="K2249" s="1"/>
  <c r="AM35"/>
  <c r="AL35"/>
  <c r="AK35"/>
  <c r="AJ35"/>
  <c r="AI35"/>
  <c r="AN34"/>
  <c r="AG34" s="1"/>
  <c r="AM34"/>
  <c r="AL34"/>
  <c r="AK34"/>
  <c r="AJ34"/>
  <c r="AI34"/>
  <c r="Z34"/>
  <c r="W34"/>
  <c r="C34"/>
  <c r="AN33"/>
  <c r="AM33"/>
  <c r="AL33"/>
  <c r="AK33"/>
  <c r="AJ33"/>
  <c r="AI33"/>
  <c r="AG33"/>
  <c r="I2664" s="1"/>
  <c r="AN32"/>
  <c r="AM32"/>
  <c r="AL32"/>
  <c r="AK32"/>
  <c r="AJ32"/>
  <c r="AI32"/>
  <c r="AG32"/>
  <c r="V3116" s="1"/>
  <c r="AA32"/>
  <c r="AA33" s="1"/>
  <c r="AE33" s="1"/>
  <c r="X32"/>
  <c r="X33" s="1"/>
  <c r="AN31"/>
  <c r="AM31"/>
  <c r="AL31"/>
  <c r="AK31"/>
  <c r="AJ31"/>
  <c r="AI31"/>
  <c r="AG31"/>
  <c r="AA31"/>
  <c r="AE31" s="1"/>
  <c r="C67" s="1"/>
  <c r="X31"/>
  <c r="D31"/>
  <c r="AN30"/>
  <c r="AG30" s="1"/>
  <c r="AM30"/>
  <c r="AL30"/>
  <c r="AK30"/>
  <c r="AJ30"/>
  <c r="AI30"/>
  <c r="AE30"/>
  <c r="D30"/>
  <c r="AN29"/>
  <c r="AG29" s="1"/>
  <c r="C61" s="1"/>
  <c r="AM29"/>
  <c r="AL29"/>
  <c r="AK29"/>
  <c r="AJ29"/>
  <c r="AI29"/>
  <c r="AA29"/>
  <c r="AA34" s="1"/>
  <c r="W29"/>
  <c r="E29"/>
  <c r="AN28"/>
  <c r="AM28"/>
  <c r="AL28"/>
  <c r="AK28"/>
  <c r="AJ28"/>
  <c r="AI28"/>
  <c r="AG28"/>
  <c r="I3005" s="1"/>
  <c r="K3005" s="1"/>
  <c r="AN27"/>
  <c r="AG27" s="1"/>
  <c r="AM27"/>
  <c r="AL27"/>
  <c r="AK27"/>
  <c r="AJ27"/>
  <c r="AI27"/>
  <c r="E27"/>
  <c r="C28" s="1"/>
  <c r="I1233" s="1"/>
  <c r="K1233" s="1"/>
  <c r="AN26"/>
  <c r="AG26" s="1"/>
  <c r="I3510" s="1"/>
  <c r="K3510" s="1"/>
  <c r="AM26"/>
  <c r="AL26"/>
  <c r="AK26"/>
  <c r="AJ26"/>
  <c r="AI26"/>
  <c r="AA26"/>
  <c r="AE26" s="1"/>
  <c r="AN25"/>
  <c r="AG25" s="1"/>
  <c r="C25" s="1"/>
  <c r="AM25"/>
  <c r="AL25"/>
  <c r="AK25"/>
  <c r="AJ25"/>
  <c r="AI25"/>
  <c r="AA25"/>
  <c r="AA24" s="1"/>
  <c r="AE24" s="1"/>
  <c r="C86" s="1"/>
  <c r="X25"/>
  <c r="X26" s="1"/>
  <c r="X27" s="1"/>
  <c r="X28" s="1"/>
  <c r="AN24"/>
  <c r="AM24"/>
  <c r="AL24"/>
  <c r="AK24"/>
  <c r="AJ24"/>
  <c r="AI24"/>
  <c r="AG24"/>
  <c r="P24"/>
  <c r="R24" s="1"/>
  <c r="AN23"/>
  <c r="AG23" s="1"/>
  <c r="C29" s="1"/>
  <c r="I1234" s="1"/>
  <c r="K1234" s="1"/>
  <c r="AM23"/>
  <c r="AL23"/>
  <c r="AK23"/>
  <c r="AJ23"/>
  <c r="AI23"/>
  <c r="AA23"/>
  <c r="AE23" s="1"/>
  <c r="C85" s="1"/>
  <c r="X23"/>
  <c r="C23"/>
  <c r="AN22"/>
  <c r="AM22"/>
  <c r="AL22"/>
  <c r="AK22"/>
  <c r="AJ22"/>
  <c r="AI22"/>
  <c r="AG22"/>
  <c r="C41" s="1"/>
  <c r="AE22"/>
  <c r="C84" s="1"/>
  <c r="X22"/>
  <c r="AN21"/>
  <c r="AG21" s="1"/>
  <c r="I2697" s="1"/>
  <c r="K2697" s="1"/>
  <c r="AM21"/>
  <c r="AL21"/>
  <c r="AK21"/>
  <c r="AJ21"/>
  <c r="AI21"/>
  <c r="AA21"/>
  <c r="AE21" s="1"/>
  <c r="C83" s="1"/>
  <c r="X21"/>
  <c r="AN20"/>
  <c r="AG20" s="1"/>
  <c r="AM20"/>
  <c r="AL20"/>
  <c r="AK20"/>
  <c r="AJ20"/>
  <c r="AI20"/>
  <c r="W20"/>
  <c r="W44" s="1"/>
  <c r="AN19"/>
  <c r="AG19" s="1"/>
  <c r="AM19"/>
  <c r="AL19"/>
  <c r="AK19"/>
  <c r="AJ19"/>
  <c r="AI19"/>
  <c r="AB19"/>
  <c r="AB20" s="1"/>
  <c r="AA19"/>
  <c r="AA20" s="1"/>
  <c r="Y19"/>
  <c r="Y20" s="1"/>
  <c r="X19"/>
  <c r="X20" s="1"/>
  <c r="W19"/>
  <c r="AN18"/>
  <c r="AM18"/>
  <c r="AL18"/>
  <c r="AK18"/>
  <c r="AJ18"/>
  <c r="AI18"/>
  <c r="AG18"/>
  <c r="C66" s="1"/>
  <c r="AB18"/>
  <c r="AA18"/>
  <c r="Y18"/>
  <c r="Y29" s="1"/>
  <c r="Y34" s="1"/>
  <c r="X18"/>
  <c r="X29" s="1"/>
  <c r="X34" s="1"/>
  <c r="C18"/>
  <c r="I46" s="1"/>
  <c r="K46" s="1"/>
  <c r="AN17"/>
  <c r="AM17"/>
  <c r="AL17"/>
  <c r="AK17"/>
  <c r="AJ17"/>
  <c r="AI17"/>
  <c r="AG17"/>
  <c r="Z17"/>
  <c r="W17"/>
  <c r="D17"/>
  <c r="C17"/>
  <c r="AN16"/>
  <c r="AM16"/>
  <c r="AL16"/>
  <c r="AK16"/>
  <c r="AJ16"/>
  <c r="AI16"/>
  <c r="AG16"/>
  <c r="AB16"/>
  <c r="AB17" s="1"/>
  <c r="AA16"/>
  <c r="AA17" s="1"/>
  <c r="Y16"/>
  <c r="Y17" s="1"/>
  <c r="X16"/>
  <c r="X17" s="1"/>
  <c r="AN15"/>
  <c r="AM15"/>
  <c r="AL15"/>
  <c r="AK15"/>
  <c r="AJ15"/>
  <c r="AI15"/>
  <c r="AG15"/>
  <c r="C15" s="1"/>
  <c r="AN14"/>
  <c r="AG14" s="1"/>
  <c r="AM14"/>
  <c r="AL14"/>
  <c r="AK14"/>
  <c r="AJ14"/>
  <c r="AI14"/>
  <c r="AN13"/>
  <c r="AG13" s="1"/>
  <c r="AM13"/>
  <c r="AL13"/>
  <c r="AK13"/>
  <c r="AJ13"/>
  <c r="AI13"/>
  <c r="AN12"/>
  <c r="AM12"/>
  <c r="AL12"/>
  <c r="AK12"/>
  <c r="AJ12"/>
  <c r="AI12"/>
  <c r="AG12"/>
  <c r="C13" s="1"/>
  <c r="A12"/>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N11"/>
  <c r="AM11"/>
  <c r="AL11"/>
  <c r="AK11"/>
  <c r="AJ11"/>
  <c r="AI11"/>
  <c r="AG11"/>
  <c r="AA11"/>
  <c r="AA44" s="1"/>
  <c r="Z11"/>
  <c r="X11"/>
  <c r="X44" s="1"/>
  <c r="P11"/>
  <c r="R11" s="1"/>
  <c r="A11"/>
  <c r="AN10"/>
  <c r="AM10"/>
  <c r="AL10"/>
  <c r="AK10"/>
  <c r="AJ10"/>
  <c r="AI10"/>
  <c r="AG10"/>
  <c r="C11" s="1"/>
  <c r="X10"/>
  <c r="W10"/>
  <c r="W11" s="1"/>
  <c r="AP9"/>
  <c r="AO9"/>
  <c r="AN9"/>
  <c r="AM9"/>
  <c r="AL9"/>
  <c r="AK9"/>
  <c r="AJ9"/>
  <c r="AI9"/>
  <c r="AG9"/>
  <c r="D11" s="1"/>
  <c r="AB9"/>
  <c r="AB15" s="1"/>
  <c r="AA9"/>
  <c r="AA10" s="1"/>
  <c r="Y9"/>
  <c r="Y11" s="1"/>
  <c r="X9"/>
  <c r="AG7"/>
  <c r="W3"/>
  <c r="U3"/>
  <c r="Q3"/>
  <c r="O3"/>
  <c r="J3"/>
  <c r="H3"/>
  <c r="C21" i="68" l="1"/>
  <c r="N21" s="1"/>
  <c r="C20" i="66"/>
  <c r="C21" i="65"/>
  <c r="J20" i="64"/>
  <c r="F20"/>
  <c r="H20"/>
  <c r="C66" i="68"/>
  <c r="C60" i="66"/>
  <c r="C66" i="65"/>
  <c r="J65" i="64"/>
  <c r="P65"/>
  <c r="H65"/>
  <c r="L65"/>
  <c r="C71" i="68"/>
  <c r="C65" i="66"/>
  <c r="C71" i="65"/>
  <c r="L70" i="64"/>
  <c r="H70"/>
  <c r="J70"/>
  <c r="P70"/>
  <c r="C11" i="68"/>
  <c r="C11" i="66"/>
  <c r="C11" i="65"/>
  <c r="H11" i="64"/>
  <c r="F11"/>
  <c r="C41" i="68"/>
  <c r="C40" i="66"/>
  <c r="C44" i="65"/>
  <c r="P40" i="64"/>
  <c r="H40"/>
  <c r="J40"/>
  <c r="L40"/>
  <c r="C48" i="68"/>
  <c r="C47" i="66"/>
  <c r="C52" i="65"/>
  <c r="L47" i="64"/>
  <c r="P47"/>
  <c r="J47"/>
  <c r="H47"/>
  <c r="C79" i="68"/>
  <c r="C73" i="66"/>
  <c r="C79" i="65"/>
  <c r="P78" i="64"/>
  <c r="J78"/>
  <c r="F78"/>
  <c r="L78"/>
  <c r="C7" i="68"/>
  <c r="L7" s="1"/>
  <c r="C7" i="66"/>
  <c r="L7" s="1"/>
  <c r="C7" i="65"/>
  <c r="L7" s="1"/>
  <c r="J7" i="64"/>
  <c r="L7"/>
  <c r="C34" i="68"/>
  <c r="C33" i="66"/>
  <c r="C34" i="65"/>
  <c r="H33" i="64"/>
  <c r="L33"/>
  <c r="P33"/>
  <c r="J33"/>
  <c r="C39" i="68"/>
  <c r="C38" i="66"/>
  <c r="C42" i="65"/>
  <c r="J38" i="64"/>
  <c r="L38"/>
  <c r="H38"/>
  <c r="P38"/>
  <c r="C43" i="68"/>
  <c r="C42" i="66"/>
  <c r="C46" i="65"/>
  <c r="J42" i="64"/>
  <c r="H42"/>
  <c r="L42"/>
  <c r="P42"/>
  <c r="C60" i="68"/>
  <c r="C54" i="66"/>
  <c r="C60" i="65"/>
  <c r="L59" i="64"/>
  <c r="H59"/>
  <c r="J59"/>
  <c r="P59"/>
  <c r="C67" i="68"/>
  <c r="C67" i="65"/>
  <c r="C61" i="66"/>
  <c r="L66" i="64"/>
  <c r="P66"/>
  <c r="J66"/>
  <c r="H66"/>
  <c r="C76" i="68"/>
  <c r="C70" i="66"/>
  <c r="C76" i="65"/>
  <c r="L75" i="64"/>
  <c r="P75"/>
  <c r="J75"/>
  <c r="F75"/>
  <c r="C81" i="66"/>
  <c r="C89" i="65"/>
  <c r="P86" i="64"/>
  <c r="F86"/>
  <c r="L86"/>
  <c r="J86"/>
  <c r="C37" i="68"/>
  <c r="C37" i="66"/>
  <c r="C40" i="65"/>
  <c r="P36" i="64"/>
  <c r="H36"/>
  <c r="L36"/>
  <c r="J36"/>
  <c r="C42" i="68"/>
  <c r="C41" i="66"/>
  <c r="C45" i="65"/>
  <c r="H41" i="64"/>
  <c r="J41"/>
  <c r="P41"/>
  <c r="L41"/>
  <c r="C55" i="68"/>
  <c r="C36" i="66"/>
  <c r="H54" i="64"/>
  <c r="P54"/>
  <c r="J54"/>
  <c r="L54"/>
  <c r="C80" i="68"/>
  <c r="C74" i="66"/>
  <c r="C80" i="65"/>
  <c r="J79" i="64"/>
  <c r="F79"/>
  <c r="P79"/>
  <c r="L79"/>
  <c r="C36" i="68"/>
  <c r="C38" i="65"/>
  <c r="C35" i="66"/>
  <c r="L35" i="64"/>
  <c r="H35"/>
  <c r="J35"/>
  <c r="P35"/>
  <c r="C65" i="68"/>
  <c r="C59" i="66"/>
  <c r="C65" i="65"/>
  <c r="F64" i="64"/>
  <c r="J64"/>
  <c r="L64"/>
  <c r="P64"/>
  <c r="C70" i="68"/>
  <c r="C64" i="66"/>
  <c r="C70" i="65"/>
  <c r="J69" i="64"/>
  <c r="L69"/>
  <c r="H69"/>
  <c r="P69"/>
  <c r="C9" i="68"/>
  <c r="J9" i="64"/>
  <c r="L9"/>
  <c r="P9"/>
  <c r="H9"/>
  <c r="C9" i="65"/>
  <c r="C35" i="68"/>
  <c r="C34" i="66"/>
  <c r="C35" i="65"/>
  <c r="J34" i="64"/>
  <c r="P34"/>
  <c r="H34"/>
  <c r="L34"/>
  <c r="C40" i="68"/>
  <c r="C39" i="66"/>
  <c r="C43" i="65"/>
  <c r="L39" i="64"/>
  <c r="P39"/>
  <c r="J39"/>
  <c r="H39"/>
  <c r="C44" i="68"/>
  <c r="C47" i="65"/>
  <c r="L43" i="64"/>
  <c r="F43"/>
  <c r="J43"/>
  <c r="P43"/>
  <c r="C61" i="68"/>
  <c r="C55" i="66"/>
  <c r="C61" i="65"/>
  <c r="P60" i="64"/>
  <c r="H60"/>
  <c r="L60"/>
  <c r="J60"/>
  <c r="C78" i="68"/>
  <c r="C72" i="66"/>
  <c r="C78" i="65"/>
  <c r="L77" i="64"/>
  <c r="P77"/>
  <c r="J77"/>
  <c r="F77"/>
  <c r="AE18" i="74"/>
  <c r="C80" s="1"/>
  <c r="P140"/>
  <c r="R140" s="1"/>
  <c r="C141"/>
  <c r="C35"/>
  <c r="AB13"/>
  <c r="AB14"/>
  <c r="AB29"/>
  <c r="AE32"/>
  <c r="C139" s="1"/>
  <c r="AA42"/>
  <c r="AE20"/>
  <c r="AA35"/>
  <c r="AA12"/>
  <c r="AA13" s="1"/>
  <c r="AA14" s="1"/>
  <c r="AA15" s="1"/>
  <c r="AE15" s="1"/>
  <c r="X14"/>
  <c r="X15"/>
  <c r="AA27"/>
  <c r="AE27" s="1"/>
  <c r="AB35"/>
  <c r="AB37" s="1"/>
  <c r="AA36"/>
  <c r="Q5" i="76"/>
  <c r="Q6" s="1"/>
  <c r="Q10"/>
  <c r="H5"/>
  <c r="H6" s="1"/>
  <c r="H10"/>
  <c r="H114"/>
  <c r="N5"/>
  <c r="N6" s="1"/>
  <c r="H292" i="75"/>
  <c r="I291"/>
  <c r="K285" s="1"/>
  <c r="R285" s="1"/>
  <c r="R299" s="1"/>
  <c r="K144"/>
  <c r="K111"/>
  <c r="K229" s="1"/>
  <c r="K245" s="1"/>
  <c r="K271" s="1"/>
  <c r="R244" s="1"/>
  <c r="AG244" s="1"/>
  <c r="K87"/>
  <c r="K26"/>
  <c r="K177" s="1"/>
  <c r="P61"/>
  <c r="R61" s="1"/>
  <c r="P28"/>
  <c r="R28" s="1"/>
  <c r="I208"/>
  <c r="K208" s="1"/>
  <c r="I109"/>
  <c r="K85"/>
  <c r="P57"/>
  <c r="R57" s="1"/>
  <c r="I980"/>
  <c r="K980" s="1"/>
  <c r="I170"/>
  <c r="K170" s="1"/>
  <c r="K21"/>
  <c r="K61" s="1"/>
  <c r="K23"/>
  <c r="K76"/>
  <c r="I1063"/>
  <c r="I241"/>
  <c r="K218"/>
  <c r="I102"/>
  <c r="I120"/>
  <c r="I878"/>
  <c r="K878" s="1"/>
  <c r="K869"/>
  <c r="K19"/>
  <c r="K62" s="1"/>
  <c r="K1029" s="1"/>
  <c r="P21"/>
  <c r="I987"/>
  <c r="K987" s="1"/>
  <c r="K1052" s="1"/>
  <c r="I175"/>
  <c r="K175" s="1"/>
  <c r="I988"/>
  <c r="K988" s="1"/>
  <c r="I176"/>
  <c r="K176" s="1"/>
  <c r="P26"/>
  <c r="P53"/>
  <c r="R53" s="1"/>
  <c r="P55"/>
  <c r="R55" s="1"/>
  <c r="K75"/>
  <c r="I78"/>
  <c r="K79"/>
  <c r="I83"/>
  <c r="K84"/>
  <c r="K100"/>
  <c r="K104"/>
  <c r="I108"/>
  <c r="I110"/>
  <c r="K126"/>
  <c r="I143"/>
  <c r="K143" s="1"/>
  <c r="I155"/>
  <c r="K155" s="1"/>
  <c r="I167"/>
  <c r="K167" s="1"/>
  <c r="K169"/>
  <c r="I447"/>
  <c r="K434"/>
  <c r="I449"/>
  <c r="K436"/>
  <c r="R870"/>
  <c r="R872" s="1"/>
  <c r="K871"/>
  <c r="L871" s="1"/>
  <c r="P27"/>
  <c r="R27" s="1"/>
  <c r="R15"/>
  <c r="K22"/>
  <c r="I1067"/>
  <c r="K1067" s="1"/>
  <c r="K222"/>
  <c r="I173"/>
  <c r="K173" s="1"/>
  <c r="P793"/>
  <c r="K792"/>
  <c r="I899"/>
  <c r="I853"/>
  <c r="K853" s="1"/>
  <c r="K15"/>
  <c r="K28" s="1"/>
  <c r="P19"/>
  <c r="P23"/>
  <c r="I77"/>
  <c r="I101"/>
  <c r="I862"/>
  <c r="K862" s="1"/>
  <c r="K851"/>
  <c r="K310"/>
  <c r="K311" s="1"/>
  <c r="K303" s="1"/>
  <c r="K304" s="1"/>
  <c r="L304" s="1"/>
  <c r="I328"/>
  <c r="K419"/>
  <c r="K420" s="1"/>
  <c r="K412" s="1"/>
  <c r="R676"/>
  <c r="R667" s="1"/>
  <c r="I80"/>
  <c r="I105"/>
  <c r="K504"/>
  <c r="I499" s="1"/>
  <c r="K499" s="1"/>
  <c r="I537"/>
  <c r="I507"/>
  <c r="K507" s="1"/>
  <c r="I466"/>
  <c r="K466" s="1"/>
  <c r="K448"/>
  <c r="I594"/>
  <c r="K594" s="1"/>
  <c r="K575"/>
  <c r="I701"/>
  <c r="K663"/>
  <c r="P296"/>
  <c r="R296" s="1"/>
  <c r="P663"/>
  <c r="R663" s="1"/>
  <c r="P795"/>
  <c r="I901"/>
  <c r="K794"/>
  <c r="R851"/>
  <c r="R852" s="1"/>
  <c r="R853" s="1"/>
  <c r="R855" s="1"/>
  <c r="R838"/>
  <c r="R840" s="1"/>
  <c r="P786"/>
  <c r="R786" s="1"/>
  <c r="K785"/>
  <c r="K281"/>
  <c r="K339"/>
  <c r="I615"/>
  <c r="K593"/>
  <c r="K596" s="1"/>
  <c r="K597" s="1"/>
  <c r="K586" s="1"/>
  <c r="L586" s="1"/>
  <c r="M586" s="1"/>
  <c r="N586" s="1"/>
  <c r="O586" s="1"/>
  <c r="K574"/>
  <c r="I616"/>
  <c r="K676"/>
  <c r="K524"/>
  <c r="K525" s="1"/>
  <c r="K576"/>
  <c r="O730"/>
  <c r="L731"/>
  <c r="I816"/>
  <c r="K816" s="1"/>
  <c r="I704"/>
  <c r="K704" s="1"/>
  <c r="I739"/>
  <c r="K739" s="1"/>
  <c r="I741"/>
  <c r="K741" s="1"/>
  <c r="K881"/>
  <c r="M881" s="1"/>
  <c r="K1257"/>
  <c r="K647"/>
  <c r="K665"/>
  <c r="I757"/>
  <c r="K757" s="1"/>
  <c r="K760" s="1"/>
  <c r="K761" s="1"/>
  <c r="K751" s="1"/>
  <c r="K752" s="1"/>
  <c r="I793"/>
  <c r="K1007"/>
  <c r="I838"/>
  <c r="K838" s="1"/>
  <c r="K831"/>
  <c r="P665"/>
  <c r="R665" s="1"/>
  <c r="K791"/>
  <c r="P792"/>
  <c r="K759"/>
  <c r="I855"/>
  <c r="K855" s="1"/>
  <c r="I888"/>
  <c r="K888" s="1"/>
  <c r="K1112"/>
  <c r="A265" i="74"/>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I3735"/>
  <c r="K3735" s="1"/>
  <c r="K3737" s="1"/>
  <c r="K3738" s="1"/>
  <c r="I3341"/>
  <c r="P2409"/>
  <c r="R2409" s="1"/>
  <c r="P1302"/>
  <c r="C14"/>
  <c r="P2410"/>
  <c r="R2410" s="1"/>
  <c r="P1303"/>
  <c r="R1303" s="1"/>
  <c r="D14"/>
  <c r="I225"/>
  <c r="K225" s="1"/>
  <c r="C82"/>
  <c r="I1321" s="1"/>
  <c r="K1321" s="1"/>
  <c r="V715"/>
  <c r="I819"/>
  <c r="K819" s="1"/>
  <c r="K515"/>
  <c r="K283"/>
  <c r="I3458"/>
  <c r="I2427"/>
  <c r="I2993"/>
  <c r="K2993" s="1"/>
  <c r="I2790"/>
  <c r="K2790" s="1"/>
  <c r="L2756" s="1"/>
  <c r="I2334"/>
  <c r="K2334" s="1"/>
  <c r="I1994"/>
  <c r="I2078"/>
  <c r="K2078" s="1"/>
  <c r="I2054"/>
  <c r="K2054" s="1"/>
  <c r="I1973"/>
  <c r="I1707"/>
  <c r="K1707" s="1"/>
  <c r="I1491"/>
  <c r="K1491" s="1"/>
  <c r="I1252"/>
  <c r="I1358"/>
  <c r="K1358" s="1"/>
  <c r="I1257"/>
  <c r="P1145"/>
  <c r="I1380"/>
  <c r="K1380" s="1"/>
  <c r="I1337"/>
  <c r="K1337" s="1"/>
  <c r="I1227"/>
  <c r="K1227" s="1"/>
  <c r="I1223"/>
  <c r="I810"/>
  <c r="V645"/>
  <c r="V710"/>
  <c r="I506"/>
  <c r="P285"/>
  <c r="R285" s="1"/>
  <c r="I273"/>
  <c r="K273" s="1"/>
  <c r="I227"/>
  <c r="I489"/>
  <c r="K489" s="1"/>
  <c r="I447"/>
  <c r="K447" s="1"/>
  <c r="I413"/>
  <c r="K413" s="1"/>
  <c r="I382"/>
  <c r="I358"/>
  <c r="P391"/>
  <c r="R391" s="1"/>
  <c r="I212"/>
  <c r="K212" s="1"/>
  <c r="P377"/>
  <c r="R377" s="1"/>
  <c r="I338"/>
  <c r="I314"/>
  <c r="I299"/>
  <c r="K299" s="1"/>
  <c r="I197"/>
  <c r="P67"/>
  <c r="R67" s="1"/>
  <c r="P82"/>
  <c r="R82" s="1"/>
  <c r="P52"/>
  <c r="R52" s="1"/>
  <c r="I3500"/>
  <c r="K3500" s="1"/>
  <c r="I3502"/>
  <c r="K3502" s="1"/>
  <c r="I764"/>
  <c r="K764" s="1"/>
  <c r="I786"/>
  <c r="K786" s="1"/>
  <c r="I2737"/>
  <c r="K2737" s="1"/>
  <c r="I1826"/>
  <c r="K1826" s="1"/>
  <c r="I1808"/>
  <c r="K1808" s="1"/>
  <c r="I1910"/>
  <c r="K1910" s="1"/>
  <c r="I1844"/>
  <c r="I607"/>
  <c r="K607" s="1"/>
  <c r="P549"/>
  <c r="R549" s="1"/>
  <c r="P503"/>
  <c r="R503" s="1"/>
  <c r="P521"/>
  <c r="R521" s="1"/>
  <c r="I3318"/>
  <c r="K3318" s="1"/>
  <c r="P3188"/>
  <c r="I2662"/>
  <c r="I3146"/>
  <c r="I2633"/>
  <c r="I2813"/>
  <c r="C88"/>
  <c r="I3147"/>
  <c r="I2814"/>
  <c r="P3189"/>
  <c r="I2634"/>
  <c r="I3319"/>
  <c r="K3319" s="1"/>
  <c r="I2663"/>
  <c r="C89"/>
  <c r="C140"/>
  <c r="C138"/>
  <c r="AB44"/>
  <c r="AE44" s="1"/>
  <c r="AD1331" s="1"/>
  <c r="AE1331" s="1"/>
  <c r="I2684"/>
  <c r="K2684" s="1"/>
  <c r="I1785"/>
  <c r="K1785" s="1"/>
  <c r="M94"/>
  <c r="V81"/>
  <c r="J707"/>
  <c r="J708" s="1"/>
  <c r="J709" s="1"/>
  <c r="J710" s="1"/>
  <c r="J687"/>
  <c r="J688" s="1"/>
  <c r="J689" s="1"/>
  <c r="J690" s="1"/>
  <c r="AH412"/>
  <c r="W403"/>
  <c r="AH449"/>
  <c r="W435"/>
  <c r="W436" s="1"/>
  <c r="W437" s="1"/>
  <c r="W438" s="1"/>
  <c r="AE17"/>
  <c r="I355"/>
  <c r="K355" s="1"/>
  <c r="I335"/>
  <c r="I410"/>
  <c r="K410" s="1"/>
  <c r="I379"/>
  <c r="I311"/>
  <c r="K311" s="1"/>
  <c r="I1375"/>
  <c r="K1375" s="1"/>
  <c r="I1353"/>
  <c r="K1353" s="1"/>
  <c r="I1490"/>
  <c r="K1490" s="1"/>
  <c r="P376"/>
  <c r="R376" s="1"/>
  <c r="P390"/>
  <c r="R390" s="1"/>
  <c r="I2145"/>
  <c r="I1750"/>
  <c r="K1750" s="1"/>
  <c r="I2125"/>
  <c r="K2125" s="1"/>
  <c r="I1969"/>
  <c r="I1780"/>
  <c r="K1780" s="1"/>
  <c r="P576"/>
  <c r="R576" s="1"/>
  <c r="P652"/>
  <c r="R652" s="1"/>
  <c r="P622"/>
  <c r="R622" s="1"/>
  <c r="P640"/>
  <c r="R640" s="1"/>
  <c r="P468"/>
  <c r="R468" s="1"/>
  <c r="P450"/>
  <c r="R450" s="1"/>
  <c r="P431"/>
  <c r="K133"/>
  <c r="K134" s="1"/>
  <c r="I82"/>
  <c r="I81"/>
  <c r="K81" s="1"/>
  <c r="K136"/>
  <c r="I110"/>
  <c r="K110" s="1"/>
  <c r="I3283"/>
  <c r="I2636"/>
  <c r="C31"/>
  <c r="I2425"/>
  <c r="I2147"/>
  <c r="I1576"/>
  <c r="K1576" s="1"/>
  <c r="I1561"/>
  <c r="K1561" s="1"/>
  <c r="I2127"/>
  <c r="K2127" s="1"/>
  <c r="I1589"/>
  <c r="K1589" s="1"/>
  <c r="I1645"/>
  <c r="I1226"/>
  <c r="I1304"/>
  <c r="K1304" s="1"/>
  <c r="I1284"/>
  <c r="K1284" s="1"/>
  <c r="I1255"/>
  <c r="I808"/>
  <c r="I504"/>
  <c r="I271"/>
  <c r="K271" s="1"/>
  <c r="I72"/>
  <c r="K72" s="1"/>
  <c r="I44"/>
  <c r="K44" s="1"/>
  <c r="I53"/>
  <c r="K53" s="1"/>
  <c r="I35"/>
  <c r="K35" s="1"/>
  <c r="I9"/>
  <c r="I63"/>
  <c r="K63" s="1"/>
  <c r="I18"/>
  <c r="K18" s="1"/>
  <c r="I27"/>
  <c r="K27" s="1"/>
  <c r="J706"/>
  <c r="J686"/>
  <c r="K686" s="1"/>
  <c r="I687" s="1"/>
  <c r="K687" s="1"/>
  <c r="I688" s="1"/>
  <c r="K688" s="1"/>
  <c r="I689" s="1"/>
  <c r="K689" s="1"/>
  <c r="I690" s="1"/>
  <c r="K690" s="1"/>
  <c r="AH448"/>
  <c r="W434"/>
  <c r="W402"/>
  <c r="AH411"/>
  <c r="AT400" s="1"/>
  <c r="I3523"/>
  <c r="I2867"/>
  <c r="I2740"/>
  <c r="K2740" s="1"/>
  <c r="I2429"/>
  <c r="I3460"/>
  <c r="I2699"/>
  <c r="K2699" s="1"/>
  <c r="I2687"/>
  <c r="K2687" s="1"/>
  <c r="I2714"/>
  <c r="I2385"/>
  <c r="K2385" s="1"/>
  <c r="I2153"/>
  <c r="I2133"/>
  <c r="K2133" s="1"/>
  <c r="I1847"/>
  <c r="P1524"/>
  <c r="R1524" s="1"/>
  <c r="I1520"/>
  <c r="K1520" s="1"/>
  <c r="I1493"/>
  <c r="K1493" s="1"/>
  <c r="I2028"/>
  <c r="I1913"/>
  <c r="K1913" s="1"/>
  <c r="I1829"/>
  <c r="K1829" s="1"/>
  <c r="I1648"/>
  <c r="I2108"/>
  <c r="K2108" s="1"/>
  <c r="I2009"/>
  <c r="I1811"/>
  <c r="K1811" s="1"/>
  <c r="I1709"/>
  <c r="K1709" s="1"/>
  <c r="I1508"/>
  <c r="I1436"/>
  <c r="K1436" s="1"/>
  <c r="I1395"/>
  <c r="K1395" s="1"/>
  <c r="I1259"/>
  <c r="I902"/>
  <c r="K902" s="1"/>
  <c r="I1421"/>
  <c r="K1421" s="1"/>
  <c r="I1382"/>
  <c r="K1382" s="1"/>
  <c r="I1235"/>
  <c r="K1235" s="1"/>
  <c r="P1147"/>
  <c r="I1408"/>
  <c r="K1408" s="1"/>
  <c r="I1360"/>
  <c r="K1360" s="1"/>
  <c r="I1339"/>
  <c r="K1339" s="1"/>
  <c r="I1254"/>
  <c r="I1229"/>
  <c r="K1229" s="1"/>
  <c r="I1203"/>
  <c r="K1203" s="1"/>
  <c r="I1325"/>
  <c r="K1325" s="1"/>
  <c r="I1307"/>
  <c r="I1225"/>
  <c r="I886"/>
  <c r="V712"/>
  <c r="I868"/>
  <c r="I812"/>
  <c r="V647"/>
  <c r="P552"/>
  <c r="R552" s="1"/>
  <c r="P524"/>
  <c r="R524" s="1"/>
  <c r="I491"/>
  <c r="K491" s="1"/>
  <c r="P366"/>
  <c r="R366" s="1"/>
  <c r="P351"/>
  <c r="R351" s="1"/>
  <c r="P339"/>
  <c r="R339" s="1"/>
  <c r="P322"/>
  <c r="R322" s="1"/>
  <c r="I316"/>
  <c r="I229"/>
  <c r="I508"/>
  <c r="I449"/>
  <c r="K449" s="1"/>
  <c r="I360"/>
  <c r="I340"/>
  <c r="P299"/>
  <c r="R299" s="1"/>
  <c r="P287"/>
  <c r="R287" s="1"/>
  <c r="I275"/>
  <c r="K275" s="1"/>
  <c r="I199"/>
  <c r="P506"/>
  <c r="R506" s="1"/>
  <c r="P393"/>
  <c r="R393" s="1"/>
  <c r="I384"/>
  <c r="P310"/>
  <c r="R310" s="1"/>
  <c r="I214"/>
  <c r="K214" s="1"/>
  <c r="I415"/>
  <c r="K415" s="1"/>
  <c r="P379"/>
  <c r="R379" s="1"/>
  <c r="I301"/>
  <c r="K301" s="1"/>
  <c r="P84"/>
  <c r="R84" s="1"/>
  <c r="P69"/>
  <c r="R69" s="1"/>
  <c r="P54"/>
  <c r="R54" s="1"/>
  <c r="I3121"/>
  <c r="J3044"/>
  <c r="K3044" s="1"/>
  <c r="I2077"/>
  <c r="K2077" s="1"/>
  <c r="I2409"/>
  <c r="K2409" s="1"/>
  <c r="I1993"/>
  <c r="I1631"/>
  <c r="I2106"/>
  <c r="K2106" s="1"/>
  <c r="I2011"/>
  <c r="I1972"/>
  <c r="I2053"/>
  <c r="K2053" s="1"/>
  <c r="I2030"/>
  <c r="I2027"/>
  <c r="I2008"/>
  <c r="I1943"/>
  <c r="P3722"/>
  <c r="R3722" s="1"/>
  <c r="I3768"/>
  <c r="K3768" s="1"/>
  <c r="I3705"/>
  <c r="K3705" s="1"/>
  <c r="C16"/>
  <c r="I3796"/>
  <c r="K3796" s="1"/>
  <c r="V3672"/>
  <c r="P1549"/>
  <c r="R1549" s="1"/>
  <c r="D16"/>
  <c r="I1322"/>
  <c r="K1322" s="1"/>
  <c r="P23"/>
  <c r="P9"/>
  <c r="R9" s="1"/>
  <c r="V2781"/>
  <c r="V2782" s="1"/>
  <c r="X2782" s="1"/>
  <c r="I2242"/>
  <c r="K2242" s="1"/>
  <c r="P1046"/>
  <c r="P943"/>
  <c r="P750"/>
  <c r="R750" s="1"/>
  <c r="P734"/>
  <c r="R734" s="1"/>
  <c r="P719"/>
  <c r="R719" s="1"/>
  <c r="I1573"/>
  <c r="K1573" s="1"/>
  <c r="I1601"/>
  <c r="I3625"/>
  <c r="K3625" s="1"/>
  <c r="D32"/>
  <c r="I1104" s="1"/>
  <c r="K1104" s="1"/>
  <c r="I124"/>
  <c r="K124" s="1"/>
  <c r="K127" s="1"/>
  <c r="K129" s="1"/>
  <c r="K130" s="1"/>
  <c r="I95"/>
  <c r="K95" s="1"/>
  <c r="I94"/>
  <c r="K94" s="1"/>
  <c r="V311"/>
  <c r="X311" s="1"/>
  <c r="V379"/>
  <c r="V355"/>
  <c r="X355" s="1"/>
  <c r="V335"/>
  <c r="X335" s="1"/>
  <c r="P79"/>
  <c r="R79" s="1"/>
  <c r="AE1197"/>
  <c r="AL1197"/>
  <c r="S1182"/>
  <c r="S1158"/>
  <c r="J590"/>
  <c r="J659"/>
  <c r="W486" s="1"/>
  <c r="AE486" s="1"/>
  <c r="J559"/>
  <c r="W561" s="1"/>
  <c r="AE561" s="1"/>
  <c r="AL561" s="1"/>
  <c r="J535"/>
  <c r="W537" s="1"/>
  <c r="AE537" s="1"/>
  <c r="AL537" s="1"/>
  <c r="J612"/>
  <c r="V590" s="1"/>
  <c r="J628"/>
  <c r="I3539"/>
  <c r="I2835"/>
  <c r="I3243"/>
  <c r="K3243" s="1"/>
  <c r="K3198"/>
  <c r="V83"/>
  <c r="C27"/>
  <c r="AL1199"/>
  <c r="J616"/>
  <c r="V594" s="1"/>
  <c r="W35"/>
  <c r="W12"/>
  <c r="Y10"/>
  <c r="Y12"/>
  <c r="P3294"/>
  <c r="I3149"/>
  <c r="I2666"/>
  <c r="I1131"/>
  <c r="K1131" s="1"/>
  <c r="I1056"/>
  <c r="P213"/>
  <c r="R213" s="1"/>
  <c r="I3483"/>
  <c r="K3483" s="1"/>
  <c r="I1073"/>
  <c r="K1073" s="1"/>
  <c r="I1088"/>
  <c r="K1088" s="1"/>
  <c r="I3769"/>
  <c r="K3769" s="1"/>
  <c r="I3749"/>
  <c r="K3749" s="1"/>
  <c r="I3723"/>
  <c r="V3671"/>
  <c r="I3795"/>
  <c r="I3706"/>
  <c r="K3706" s="1"/>
  <c r="P3515"/>
  <c r="I3342"/>
  <c r="K3342" s="1"/>
  <c r="AH3106"/>
  <c r="P2360"/>
  <c r="R2360" s="1"/>
  <c r="P1548"/>
  <c r="R1548" s="1"/>
  <c r="P1377"/>
  <c r="R1377" s="1"/>
  <c r="V1336"/>
  <c r="C12"/>
  <c r="Y15"/>
  <c r="I3794"/>
  <c r="K3794" s="1"/>
  <c r="I3767"/>
  <c r="K3767" s="1"/>
  <c r="I3704"/>
  <c r="K3704" s="1"/>
  <c r="I3722"/>
  <c r="K3722" s="1"/>
  <c r="V3670"/>
  <c r="AH3105"/>
  <c r="P1547"/>
  <c r="R1547" s="1"/>
  <c r="R1552" s="1"/>
  <c r="P1541" s="1"/>
  <c r="R1541" s="1"/>
  <c r="P1402"/>
  <c r="AE19"/>
  <c r="I3102"/>
  <c r="P2671"/>
  <c r="K2664"/>
  <c r="I2681"/>
  <c r="I745"/>
  <c r="I743"/>
  <c r="I2151"/>
  <c r="I2131"/>
  <c r="K2131" s="1"/>
  <c r="I2164"/>
  <c r="K2164" s="1"/>
  <c r="I2177"/>
  <c r="K2177" s="1"/>
  <c r="AI43"/>
  <c r="AM43"/>
  <c r="I3227"/>
  <c r="K3227" s="1"/>
  <c r="K3212"/>
  <c r="AB10"/>
  <c r="AE10" s="1"/>
  <c r="C69" s="1"/>
  <c r="I296" s="1"/>
  <c r="K296" s="1"/>
  <c r="I11"/>
  <c r="K11" s="1"/>
  <c r="AB12"/>
  <c r="AE12" s="1"/>
  <c r="X13"/>
  <c r="Y14"/>
  <c r="X24"/>
  <c r="AE25"/>
  <c r="C87" s="1"/>
  <c r="D34"/>
  <c r="I1752"/>
  <c r="K1752" s="1"/>
  <c r="I184"/>
  <c r="K184" s="1"/>
  <c r="K189" s="1"/>
  <c r="X35"/>
  <c r="AE35"/>
  <c r="I254" s="1"/>
  <c r="K254" s="1"/>
  <c r="X36"/>
  <c r="X37" s="1"/>
  <c r="AB36"/>
  <c r="AE36" s="1"/>
  <c r="I243" s="1"/>
  <c r="K243" s="1"/>
  <c r="AA37"/>
  <c r="AE37" s="1"/>
  <c r="I242" s="1"/>
  <c r="K242" s="1"/>
  <c r="AB42"/>
  <c r="AJ43"/>
  <c r="AN43"/>
  <c r="AG43" s="1"/>
  <c r="C21" s="1"/>
  <c r="AH450" s="1"/>
  <c r="AH451" s="1"/>
  <c r="AH452" s="1"/>
  <c r="AH453" s="1"/>
  <c r="AH454" s="1"/>
  <c r="AH455" s="1"/>
  <c r="AH456" s="1"/>
  <c r="AH457" s="1"/>
  <c r="AH458" s="1"/>
  <c r="AH459" s="1"/>
  <c r="AH460" s="1"/>
  <c r="AH461" s="1"/>
  <c r="AH462" s="1"/>
  <c r="AH463" s="1"/>
  <c r="AB46"/>
  <c r="AI46"/>
  <c r="AM46"/>
  <c r="I74"/>
  <c r="K74" s="1"/>
  <c r="I154"/>
  <c r="K154" s="1"/>
  <c r="I156"/>
  <c r="K156" s="1"/>
  <c r="K379"/>
  <c r="P2373"/>
  <c r="R2373" s="1"/>
  <c r="I2367"/>
  <c r="K2367" s="1"/>
  <c r="AL46"/>
  <c r="I3172"/>
  <c r="P1306"/>
  <c r="R1306" s="1"/>
  <c r="AE9"/>
  <c r="C68" s="1"/>
  <c r="I295" s="1"/>
  <c r="K295" s="1"/>
  <c r="AB11"/>
  <c r="AE11" s="1"/>
  <c r="X12"/>
  <c r="Y13"/>
  <c r="AE16"/>
  <c r="I20"/>
  <c r="K20" s="1"/>
  <c r="C26"/>
  <c r="AA28"/>
  <c r="AE28" s="1"/>
  <c r="I29"/>
  <c r="K29" s="1"/>
  <c r="C30"/>
  <c r="I3461"/>
  <c r="I2296"/>
  <c r="P1379"/>
  <c r="R1379" s="1"/>
  <c r="Y35"/>
  <c r="I3004"/>
  <c r="K3004" s="1"/>
  <c r="K3006" s="1"/>
  <c r="I244"/>
  <c r="K244" s="1"/>
  <c r="AK43"/>
  <c r="AJ46"/>
  <c r="I55"/>
  <c r="K55" s="1"/>
  <c r="I65"/>
  <c r="K65" s="1"/>
  <c r="K335"/>
  <c r="I3748"/>
  <c r="I3253"/>
  <c r="K3253" s="1"/>
  <c r="V1334"/>
  <c r="X1334" s="1"/>
  <c r="P1375"/>
  <c r="R1375" s="1"/>
  <c r="P3514"/>
  <c r="R3514" s="1"/>
  <c r="P2359"/>
  <c r="R2359" s="1"/>
  <c r="I2298"/>
  <c r="V1335"/>
  <c r="P1376"/>
  <c r="R1376" s="1"/>
  <c r="I3724"/>
  <c r="I3750"/>
  <c r="K3750" s="1"/>
  <c r="I3343"/>
  <c r="K3343" s="1"/>
  <c r="P3516"/>
  <c r="R3516" s="1"/>
  <c r="P2411"/>
  <c r="R2411" s="1"/>
  <c r="P1378"/>
  <c r="R1378" s="1"/>
  <c r="V1337"/>
  <c r="I2321"/>
  <c r="K2321" s="1"/>
  <c r="P2336"/>
  <c r="R2336" s="1"/>
  <c r="AE1198"/>
  <c r="AE1199" s="1"/>
  <c r="AE1200" s="1"/>
  <c r="AE1201" s="1"/>
  <c r="AE1202" s="1"/>
  <c r="AL1198"/>
  <c r="T1182"/>
  <c r="T1158"/>
  <c r="J629"/>
  <c r="J630" s="1"/>
  <c r="J631" s="1"/>
  <c r="J632" s="1"/>
  <c r="J614"/>
  <c r="V592" s="1"/>
  <c r="J598"/>
  <c r="J592"/>
  <c r="J660"/>
  <c r="J661" s="1"/>
  <c r="J662" s="1"/>
  <c r="J599"/>
  <c r="J536"/>
  <c r="J537" s="1"/>
  <c r="J538" s="1"/>
  <c r="J615"/>
  <c r="V593" s="1"/>
  <c r="J596"/>
  <c r="J595"/>
  <c r="J591"/>
  <c r="J613"/>
  <c r="V591" s="1"/>
  <c r="J597"/>
  <c r="J594"/>
  <c r="J593"/>
  <c r="J560"/>
  <c r="I1772"/>
  <c r="K1772" s="1"/>
  <c r="I1603"/>
  <c r="I1575"/>
  <c r="Y46"/>
  <c r="Y47" s="1"/>
  <c r="P3441"/>
  <c r="R3441" s="1"/>
  <c r="R3227"/>
  <c r="P3328"/>
  <c r="I2328"/>
  <c r="K2328" s="1"/>
  <c r="I1587"/>
  <c r="P2335"/>
  <c r="R2335" s="1"/>
  <c r="I1614"/>
  <c r="K1614" s="1"/>
  <c r="I1574"/>
  <c r="K1574" s="1"/>
  <c r="P151"/>
  <c r="R151" s="1"/>
  <c r="R154" s="1"/>
  <c r="C10"/>
  <c r="I4065"/>
  <c r="K4065" s="1"/>
  <c r="X3116"/>
  <c r="V3133"/>
  <c r="K706"/>
  <c r="I707" s="1"/>
  <c r="K707" s="1"/>
  <c r="I708" s="1"/>
  <c r="K708" s="1"/>
  <c r="I709" s="1"/>
  <c r="K709" s="1"/>
  <c r="I710" s="1"/>
  <c r="K710" s="1"/>
  <c r="V895"/>
  <c r="X895" s="1"/>
  <c r="X879"/>
  <c r="V709"/>
  <c r="X709" s="1"/>
  <c r="AA709" s="1"/>
  <c r="I895"/>
  <c r="K895" s="1"/>
  <c r="V901"/>
  <c r="X901" s="1"/>
  <c r="I1063"/>
  <c r="K1026"/>
  <c r="V1402"/>
  <c r="X1386"/>
  <c r="V1423"/>
  <c r="X1423" s="1"/>
  <c r="R1429"/>
  <c r="P1445"/>
  <c r="I2426"/>
  <c r="P1222"/>
  <c r="R1222" s="1"/>
  <c r="T1222" s="1"/>
  <c r="AH684"/>
  <c r="AH686" s="1"/>
  <c r="X880"/>
  <c r="K882"/>
  <c r="I896"/>
  <c r="K896" s="1"/>
  <c r="P1055"/>
  <c r="R1055" s="1"/>
  <c r="R953"/>
  <c r="K955"/>
  <c r="P948"/>
  <c r="R948" s="1"/>
  <c r="R1094"/>
  <c r="P1398"/>
  <c r="P1115"/>
  <c r="R1115" s="1"/>
  <c r="R1096"/>
  <c r="P1117"/>
  <c r="R1117" s="1"/>
  <c r="P1118"/>
  <c r="R1118" s="1"/>
  <c r="R1097"/>
  <c r="P1119"/>
  <c r="R1119" s="1"/>
  <c r="R1098"/>
  <c r="P1120"/>
  <c r="R1120" s="1"/>
  <c r="R1099"/>
  <c r="AD1385"/>
  <c r="AF1385" s="1"/>
  <c r="AF1368"/>
  <c r="V1407"/>
  <c r="X1391"/>
  <c r="R1410"/>
  <c r="V1371"/>
  <c r="P1427"/>
  <c r="R1433"/>
  <c r="P1449"/>
  <c r="P1464"/>
  <c r="R1447"/>
  <c r="X648"/>
  <c r="V679"/>
  <c r="V882"/>
  <c r="AD1373"/>
  <c r="AF1356"/>
  <c r="AD1375"/>
  <c r="AF1358"/>
  <c r="X1390"/>
  <c r="V1406"/>
  <c r="V1410"/>
  <c r="X1394"/>
  <c r="AD1406"/>
  <c r="X1408"/>
  <c r="AD1410"/>
  <c r="X1412"/>
  <c r="P1450"/>
  <c r="R1434"/>
  <c r="I2973"/>
  <c r="K2837"/>
  <c r="K2839"/>
  <c r="I2975"/>
  <c r="I2977"/>
  <c r="K2841"/>
  <c r="AG1066"/>
  <c r="AI1066" s="1"/>
  <c r="AG1069"/>
  <c r="AI1069" s="1"/>
  <c r="P1071"/>
  <c r="R1071" s="1"/>
  <c r="K3991"/>
  <c r="I4007"/>
  <c r="I4008"/>
  <c r="K3992"/>
  <c r="AD1371"/>
  <c r="P1411"/>
  <c r="P1475"/>
  <c r="R1458"/>
  <c r="P1489"/>
  <c r="P1499"/>
  <c r="R1468"/>
  <c r="K991"/>
  <c r="K993"/>
  <c r="K995"/>
  <c r="K3103"/>
  <c r="P2077"/>
  <c r="R2077" s="1"/>
  <c r="K1057"/>
  <c r="K1060"/>
  <c r="K1062"/>
  <c r="P1072"/>
  <c r="R1072" s="1"/>
  <c r="R1095"/>
  <c r="R1264"/>
  <c r="P1301"/>
  <c r="R1301" s="1"/>
  <c r="I3988"/>
  <c r="I4006"/>
  <c r="K4006" s="1"/>
  <c r="K3987"/>
  <c r="I4018"/>
  <c r="AF1351"/>
  <c r="AD1352"/>
  <c r="AD1353"/>
  <c r="AF1354"/>
  <c r="AF1355"/>
  <c r="X1369"/>
  <c r="X1373"/>
  <c r="AD1376"/>
  <c r="X1377"/>
  <c r="X1392"/>
  <c r="X1396"/>
  <c r="R1416"/>
  <c r="V1419"/>
  <c r="X1419" s="1"/>
  <c r="P1430"/>
  <c r="R1431"/>
  <c r="R1441"/>
  <c r="R1451"/>
  <c r="K2836"/>
  <c r="I2972"/>
  <c r="K2838"/>
  <c r="I2974"/>
  <c r="K2840"/>
  <c r="I2976"/>
  <c r="P1068"/>
  <c r="R1068" s="1"/>
  <c r="AG1071"/>
  <c r="AI1071" s="1"/>
  <c r="I1076"/>
  <c r="P1409"/>
  <c r="V1411"/>
  <c r="P2061"/>
  <c r="P952"/>
  <c r="R952" s="1"/>
  <c r="K990"/>
  <c r="K992"/>
  <c r="K994"/>
  <c r="K996"/>
  <c r="P1048"/>
  <c r="R1048" s="1"/>
  <c r="P1054"/>
  <c r="R1054" s="1"/>
  <c r="AG1064"/>
  <c r="AI1064" s="1"/>
  <c r="P1241"/>
  <c r="R1241" s="1"/>
  <c r="V1244"/>
  <c r="X1244" s="1"/>
  <c r="K3995"/>
  <c r="P1540"/>
  <c r="R1540" s="1"/>
  <c r="AF1367"/>
  <c r="AD1372"/>
  <c r="K2098"/>
  <c r="P1632"/>
  <c r="R1632" s="1"/>
  <c r="K1878"/>
  <c r="I3225"/>
  <c r="K3225" s="1"/>
  <c r="K3210"/>
  <c r="I3241"/>
  <c r="K3241" s="1"/>
  <c r="K3196"/>
  <c r="R1603"/>
  <c r="K1534"/>
  <c r="K1547"/>
  <c r="I2764"/>
  <c r="K2764" s="1"/>
  <c r="K2763"/>
  <c r="K1922"/>
  <c r="P2051"/>
  <c r="M2074" s="1"/>
  <c r="R2414"/>
  <c r="R2416" s="1"/>
  <c r="K3168"/>
  <c r="I3181"/>
  <c r="K3181" s="1"/>
  <c r="K1628"/>
  <c r="K1806"/>
  <c r="K2299"/>
  <c r="I2314"/>
  <c r="K2314" s="1"/>
  <c r="P2299"/>
  <c r="R2299" s="1"/>
  <c r="K2318"/>
  <c r="I2608"/>
  <c r="K2573"/>
  <c r="AG2619"/>
  <c r="AI2619" s="1"/>
  <c r="AG2658"/>
  <c r="AI2658" s="1"/>
  <c r="AG2624"/>
  <c r="AI2624" s="1"/>
  <c r="AA2608"/>
  <c r="P2858"/>
  <c r="R2858" s="1"/>
  <c r="R2825"/>
  <c r="K3055"/>
  <c r="P3162"/>
  <c r="R3162" s="1"/>
  <c r="K3155"/>
  <c r="L3232"/>
  <c r="AA2603"/>
  <c r="AG2620"/>
  <c r="AI2620" s="1"/>
  <c r="AA2604"/>
  <c r="X2608"/>
  <c r="AA2606" s="1"/>
  <c r="K2639"/>
  <c r="V2607"/>
  <c r="K2642"/>
  <c r="I3324"/>
  <c r="R3264"/>
  <c r="P3404"/>
  <c r="R3370"/>
  <c r="I2539"/>
  <c r="K2468"/>
  <c r="I2508"/>
  <c r="K2486"/>
  <c r="P2516"/>
  <c r="R2516" s="1"/>
  <c r="K2509"/>
  <c r="I3107"/>
  <c r="P2676"/>
  <c r="P3194"/>
  <c r="R3194" s="1"/>
  <c r="R3158"/>
  <c r="P3402"/>
  <c r="R3402" s="1"/>
  <c r="P3368"/>
  <c r="R3368" s="1"/>
  <c r="R3299"/>
  <c r="I2485"/>
  <c r="I2537"/>
  <c r="K2466"/>
  <c r="K2471" s="1"/>
  <c r="K2473" s="1"/>
  <c r="P2574"/>
  <c r="R2574" s="1"/>
  <c r="P2649"/>
  <c r="R2649" s="1"/>
  <c r="K2667"/>
  <c r="K2669"/>
  <c r="S2783"/>
  <c r="V3164"/>
  <c r="X3164" s="1"/>
  <c r="X3139"/>
  <c r="K3290"/>
  <c r="I3328"/>
  <c r="I3430" s="1"/>
  <c r="V3258"/>
  <c r="X3258" s="1"/>
  <c r="X2787"/>
  <c r="I4072"/>
  <c r="K4072" s="1"/>
  <c r="X3122"/>
  <c r="P3400"/>
  <c r="R3400" s="1"/>
  <c r="R3297"/>
  <c r="P3366"/>
  <c r="R3366" s="1"/>
  <c r="I3806"/>
  <c r="K3806" s="1"/>
  <c r="I3829"/>
  <c r="K3829" s="1"/>
  <c r="K3462"/>
  <c r="H3875"/>
  <c r="J3854"/>
  <c r="X2781"/>
  <c r="V3160"/>
  <c r="X3160" s="1"/>
  <c r="X3135"/>
  <c r="K3153"/>
  <c r="P3160"/>
  <c r="P3161"/>
  <c r="R3199"/>
  <c r="P3325"/>
  <c r="R3293"/>
  <c r="K3522"/>
  <c r="F3523"/>
  <c r="I3542"/>
  <c r="P3530"/>
  <c r="R3530" s="1"/>
  <c r="K3526"/>
  <c r="V3617"/>
  <c r="X3617" s="1"/>
  <c r="AI3554"/>
  <c r="P3334"/>
  <c r="R3334" s="1"/>
  <c r="P3300"/>
  <c r="P3447"/>
  <c r="R3447" s="1"/>
  <c r="R3233"/>
  <c r="K3525"/>
  <c r="P3542"/>
  <c r="R3542" s="1"/>
  <c r="K3538"/>
  <c r="P3062"/>
  <c r="R3062" s="1"/>
  <c r="V3132"/>
  <c r="P3155"/>
  <c r="R3155" s="1"/>
  <c r="K3148"/>
  <c r="I3540"/>
  <c r="P3528"/>
  <c r="R3528" s="1"/>
  <c r="P3398"/>
  <c r="R3398" s="1"/>
  <c r="P3364"/>
  <c r="R3364" s="1"/>
  <c r="R3295"/>
  <c r="I3417"/>
  <c r="F3422" s="1"/>
  <c r="K3422" s="1"/>
  <c r="R3526"/>
  <c r="I3545"/>
  <c r="K3529"/>
  <c r="V3538"/>
  <c r="I3541"/>
  <c r="P3263"/>
  <c r="P3330"/>
  <c r="R3330" s="1"/>
  <c r="P3443"/>
  <c r="R3443" s="1"/>
  <c r="P3445"/>
  <c r="R3445" s="1"/>
  <c r="F3539"/>
  <c r="I3543"/>
  <c r="K3585"/>
  <c r="K3586" s="1"/>
  <c r="I4024"/>
  <c r="K4009"/>
  <c r="R3229"/>
  <c r="R3232"/>
  <c r="P3296"/>
  <c r="P3298"/>
  <c r="V3602"/>
  <c r="X3602" s="1"/>
  <c r="X3585"/>
  <c r="X3554"/>
  <c r="K3575"/>
  <c r="K3576" s="1"/>
  <c r="I3577" s="1"/>
  <c r="K3577" s="1"/>
  <c r="K3791"/>
  <c r="K3792" s="1"/>
  <c r="E3852"/>
  <c r="J3848"/>
  <c r="G3899"/>
  <c r="G3900" s="1"/>
  <c r="K3958"/>
  <c r="I3975"/>
  <c r="K3975" s="1"/>
  <c r="K4066"/>
  <c r="K3602"/>
  <c r="I3624"/>
  <c r="K3624" s="1"/>
  <c r="X3683"/>
  <c r="K3708"/>
  <c r="K3709" s="1"/>
  <c r="I3959"/>
  <c r="K3943"/>
  <c r="V3715"/>
  <c r="X3701"/>
  <c r="AG3652"/>
  <c r="AI3652" s="1"/>
  <c r="K3772"/>
  <c r="K3774" s="1"/>
  <c r="K3957"/>
  <c r="I3974"/>
  <c r="K3974" s="1"/>
  <c r="J4052"/>
  <c r="F4064" s="1"/>
  <c r="H3869"/>
  <c r="E3873" s="1"/>
  <c r="I4038"/>
  <c r="K4038" s="1"/>
  <c r="J3855"/>
  <c r="L44" i="68" l="1"/>
  <c r="N44"/>
  <c r="N55"/>
  <c r="L55"/>
  <c r="L34"/>
  <c r="N34"/>
  <c r="N70"/>
  <c r="L70"/>
  <c r="N65"/>
  <c r="L65"/>
  <c r="L42"/>
  <c r="N42"/>
  <c r="L60"/>
  <c r="N60"/>
  <c r="L52" i="65"/>
  <c r="F52"/>
  <c r="H52"/>
  <c r="J52"/>
  <c r="R52"/>
  <c r="N61" i="68"/>
  <c r="L61"/>
  <c r="L76"/>
  <c r="N76"/>
  <c r="N39"/>
  <c r="L39"/>
  <c r="N48"/>
  <c r="L48"/>
  <c r="L11"/>
  <c r="N11"/>
  <c r="N67"/>
  <c r="L67"/>
  <c r="N41"/>
  <c r="L41"/>
  <c r="L71"/>
  <c r="N71"/>
  <c r="L40"/>
  <c r="N40"/>
  <c r="N66"/>
  <c r="L66"/>
  <c r="L78"/>
  <c r="N78"/>
  <c r="N35"/>
  <c r="L35"/>
  <c r="L36"/>
  <c r="N36"/>
  <c r="N80"/>
  <c r="L80"/>
  <c r="L37"/>
  <c r="N37"/>
  <c r="L43"/>
  <c r="N43"/>
  <c r="L79"/>
  <c r="N79"/>
  <c r="P2346" i="74"/>
  <c r="P231"/>
  <c r="R231" s="1"/>
  <c r="I167"/>
  <c r="K167" s="1"/>
  <c r="C74"/>
  <c r="AE13"/>
  <c r="C72" s="1"/>
  <c r="K247"/>
  <c r="K249" s="1"/>
  <c r="AE29"/>
  <c r="C91" s="1"/>
  <c r="AB34"/>
  <c r="AE34" s="1"/>
  <c r="C77" s="1"/>
  <c r="I444" s="1"/>
  <c r="K444" s="1"/>
  <c r="K179" i="75"/>
  <c r="K180" s="1"/>
  <c r="AE14" i="74"/>
  <c r="K48" i="75"/>
  <c r="K29"/>
  <c r="L29"/>
  <c r="K753"/>
  <c r="M753"/>
  <c r="M180"/>
  <c r="K187"/>
  <c r="K191" s="1"/>
  <c r="K1074"/>
  <c r="K1009"/>
  <c r="K516"/>
  <c r="K517" s="1"/>
  <c r="K547"/>
  <c r="K548" s="1"/>
  <c r="I656"/>
  <c r="K656" s="1"/>
  <c r="K616"/>
  <c r="R669"/>
  <c r="I203"/>
  <c r="K203" s="1"/>
  <c r="K80"/>
  <c r="I368"/>
  <c r="K368" s="1"/>
  <c r="K369" s="1"/>
  <c r="K370" s="1"/>
  <c r="K328"/>
  <c r="K329" s="1"/>
  <c r="K330" s="1"/>
  <c r="K101"/>
  <c r="I121"/>
  <c r="I219"/>
  <c r="I916"/>
  <c r="K916" s="1"/>
  <c r="K899"/>
  <c r="I506"/>
  <c r="K506" s="1"/>
  <c r="K508" s="1"/>
  <c r="K509" s="1"/>
  <c r="I491"/>
  <c r="K491" s="1"/>
  <c r="K447"/>
  <c r="I201"/>
  <c r="K201" s="1"/>
  <c r="K78"/>
  <c r="K89" s="1"/>
  <c r="I106"/>
  <c r="I1109"/>
  <c r="I244"/>
  <c r="K241"/>
  <c r="K705"/>
  <c r="K667"/>
  <c r="K669" s="1"/>
  <c r="K615"/>
  <c r="K617" s="1"/>
  <c r="K618" s="1"/>
  <c r="K608" s="1"/>
  <c r="I655"/>
  <c r="K655" s="1"/>
  <c r="K657" s="1"/>
  <c r="K658" s="1"/>
  <c r="K648" s="1"/>
  <c r="K941"/>
  <c r="R412"/>
  <c r="R413" s="1"/>
  <c r="I200"/>
  <c r="K200" s="1"/>
  <c r="K77"/>
  <c r="I103"/>
  <c r="I228"/>
  <c r="K228" s="1"/>
  <c r="K110"/>
  <c r="R26"/>
  <c r="P59"/>
  <c r="R59" s="1"/>
  <c r="I1082"/>
  <c r="K1082" s="1"/>
  <c r="I130"/>
  <c r="I141"/>
  <c r="K141" s="1"/>
  <c r="K120"/>
  <c r="K1063"/>
  <c r="I1073"/>
  <c r="K1073" s="1"/>
  <c r="R792"/>
  <c r="P817"/>
  <c r="R817" s="1"/>
  <c r="K577"/>
  <c r="K578" s="1"/>
  <c r="K567" s="1"/>
  <c r="L567" s="1"/>
  <c r="M567" s="1"/>
  <c r="N567" s="1"/>
  <c r="O567" s="1"/>
  <c r="I917"/>
  <c r="K917" s="1"/>
  <c r="K901"/>
  <c r="I1140"/>
  <c r="K1140" s="1"/>
  <c r="K701"/>
  <c r="K707" s="1"/>
  <c r="K413"/>
  <c r="K957" s="1"/>
  <c r="K959" s="1"/>
  <c r="L959" s="1"/>
  <c r="K857"/>
  <c r="P56"/>
  <c r="R56" s="1"/>
  <c r="R23"/>
  <c r="P818"/>
  <c r="R818" s="1"/>
  <c r="R793"/>
  <c r="I467"/>
  <c r="K449"/>
  <c r="I226"/>
  <c r="K108"/>
  <c r="I206"/>
  <c r="K206" s="1"/>
  <c r="I107"/>
  <c r="K83"/>
  <c r="R21"/>
  <c r="P54"/>
  <c r="R54" s="1"/>
  <c r="I220"/>
  <c r="K102"/>
  <c r="I122"/>
  <c r="I227"/>
  <c r="K109"/>
  <c r="I129"/>
  <c r="K795"/>
  <c r="K796" s="1"/>
  <c r="I900"/>
  <c r="K900" s="1"/>
  <c r="P794"/>
  <c r="K793"/>
  <c r="K1258"/>
  <c r="K1259" s="1"/>
  <c r="K1263" s="1"/>
  <c r="K1265" s="1"/>
  <c r="K742"/>
  <c r="K733" s="1"/>
  <c r="K735" s="1"/>
  <c r="R795"/>
  <c r="P820"/>
  <c r="R820" s="1"/>
  <c r="K537"/>
  <c r="I532" s="1"/>
  <c r="K532" s="1"/>
  <c r="I571"/>
  <c r="I223"/>
  <c r="K105"/>
  <c r="R19"/>
  <c r="R30" s="1"/>
  <c r="P52"/>
  <c r="R52" s="1"/>
  <c r="K437"/>
  <c r="K438" s="1"/>
  <c r="K430" s="1"/>
  <c r="K431" s="1"/>
  <c r="L431" s="1"/>
  <c r="K210"/>
  <c r="K131"/>
  <c r="R3161" i="74"/>
  <c r="V3120"/>
  <c r="K3107"/>
  <c r="P2081"/>
  <c r="R2081" s="1"/>
  <c r="K2539"/>
  <c r="I2574"/>
  <c r="AD1370"/>
  <c r="AF1353"/>
  <c r="V3158"/>
  <c r="X3158" s="1"/>
  <c r="X3133"/>
  <c r="V3545"/>
  <c r="K3545"/>
  <c r="P3549"/>
  <c r="R3549" s="1"/>
  <c r="AG3545"/>
  <c r="M2075"/>
  <c r="R2061"/>
  <c r="R1409"/>
  <c r="P1426"/>
  <c r="V1370"/>
  <c r="I3061"/>
  <c r="K2976"/>
  <c r="P2983"/>
  <c r="R2983" s="1"/>
  <c r="I3057"/>
  <c r="P2979"/>
  <c r="R2979" s="1"/>
  <c r="K2972"/>
  <c r="P1446"/>
  <c r="R1430"/>
  <c r="AD1369"/>
  <c r="AF1352"/>
  <c r="P1535"/>
  <c r="R1535" s="1"/>
  <c r="R1489"/>
  <c r="V1450"/>
  <c r="AD1388"/>
  <c r="AF1388" s="1"/>
  <c r="AF1371"/>
  <c r="AD1423"/>
  <c r="AF1423" s="1"/>
  <c r="AF1406"/>
  <c r="P1466"/>
  <c r="R1449"/>
  <c r="R1398"/>
  <c r="P1415"/>
  <c r="V1359"/>
  <c r="J561"/>
  <c r="W562"/>
  <c r="AE562" s="1"/>
  <c r="AL562" s="1"/>
  <c r="K3724"/>
  <c r="P3724"/>
  <c r="R3724" s="1"/>
  <c r="S2321"/>
  <c r="R2361"/>
  <c r="R2363" s="1"/>
  <c r="R2365" s="1"/>
  <c r="P2354" s="1"/>
  <c r="R2354" s="1"/>
  <c r="I3828"/>
  <c r="K3828" s="1"/>
  <c r="K3461"/>
  <c r="P3467"/>
  <c r="R3467" s="1"/>
  <c r="I1970"/>
  <c r="I2146"/>
  <c r="I1757"/>
  <c r="K1757" s="1"/>
  <c r="I2126"/>
  <c r="K2126" s="1"/>
  <c r="P577"/>
  <c r="R577" s="1"/>
  <c r="P469"/>
  <c r="R469" s="1"/>
  <c r="I482"/>
  <c r="K482" s="1"/>
  <c r="P432"/>
  <c r="P451"/>
  <c r="R451" s="1"/>
  <c r="I168"/>
  <c r="I83"/>
  <c r="I176"/>
  <c r="K176" s="1"/>
  <c r="P141"/>
  <c r="I3271"/>
  <c r="K3271" s="1"/>
  <c r="I3185"/>
  <c r="K3172"/>
  <c r="I2696"/>
  <c r="K2696" s="1"/>
  <c r="I2682"/>
  <c r="K2681"/>
  <c r="C165"/>
  <c r="C81"/>
  <c r="X3670"/>
  <c r="AG3664"/>
  <c r="AI3664" s="1"/>
  <c r="AG3665"/>
  <c r="AI3665" s="1"/>
  <c r="X3671"/>
  <c r="AG1065"/>
  <c r="AI1065" s="1"/>
  <c r="P1067"/>
  <c r="R1067" s="1"/>
  <c r="K1056"/>
  <c r="P1049"/>
  <c r="R1049" s="1"/>
  <c r="P990"/>
  <c r="R990" s="1"/>
  <c r="P3397"/>
  <c r="R3397" s="1"/>
  <c r="R3294"/>
  <c r="W13"/>
  <c r="W36"/>
  <c r="X379"/>
  <c r="V410"/>
  <c r="X410" s="1"/>
  <c r="P944"/>
  <c r="R944" s="1"/>
  <c r="R943"/>
  <c r="P2009"/>
  <c r="R2009" s="1"/>
  <c r="K2008"/>
  <c r="K1972"/>
  <c r="P1972"/>
  <c r="R1972" s="1"/>
  <c r="P1993"/>
  <c r="R1993" s="1"/>
  <c r="K1993"/>
  <c r="K3121"/>
  <c r="K3123" s="1"/>
  <c r="P3121"/>
  <c r="R3121" s="1"/>
  <c r="R3123" s="1"/>
  <c r="K199"/>
  <c r="P199"/>
  <c r="P167"/>
  <c r="R167" s="1"/>
  <c r="K340"/>
  <c r="V340"/>
  <c r="P235"/>
  <c r="R235" s="1"/>
  <c r="K229"/>
  <c r="X712"/>
  <c r="AA712" s="1"/>
  <c r="V682"/>
  <c r="V1288"/>
  <c r="X1288" s="1"/>
  <c r="K1259"/>
  <c r="I3643"/>
  <c r="K3643" s="1"/>
  <c r="K1648"/>
  <c r="P1144"/>
  <c r="V803"/>
  <c r="V643"/>
  <c r="K808"/>
  <c r="P1221"/>
  <c r="K1226"/>
  <c r="I989"/>
  <c r="K989" s="1"/>
  <c r="I954"/>
  <c r="I1019"/>
  <c r="P752"/>
  <c r="R752" s="1"/>
  <c r="P736"/>
  <c r="R736" s="1"/>
  <c r="P721"/>
  <c r="R721" s="1"/>
  <c r="I3660"/>
  <c r="R431"/>
  <c r="K1969"/>
  <c r="P1969"/>
  <c r="R1969" s="1"/>
  <c r="I1613"/>
  <c r="I1586"/>
  <c r="K1586" s="1"/>
  <c r="P3154"/>
  <c r="K3147"/>
  <c r="P3153"/>
  <c r="R3153" s="1"/>
  <c r="K3146"/>
  <c r="P1860"/>
  <c r="K1844"/>
  <c r="P197"/>
  <c r="K197"/>
  <c r="P165"/>
  <c r="R165" s="1"/>
  <c r="K382"/>
  <c r="V382"/>
  <c r="P233"/>
  <c r="R233" s="1"/>
  <c r="K227"/>
  <c r="X710"/>
  <c r="AA710" s="1"/>
  <c r="V680"/>
  <c r="K1257"/>
  <c r="V1286"/>
  <c r="X1286" s="1"/>
  <c r="P1994"/>
  <c r="R1994" s="1"/>
  <c r="K1994"/>
  <c r="P2434"/>
  <c r="R2434" s="1"/>
  <c r="K2427"/>
  <c r="K3341"/>
  <c r="K3346" s="1"/>
  <c r="K3348" s="1"/>
  <c r="I3367"/>
  <c r="V3157"/>
  <c r="X3157" s="1"/>
  <c r="X3132"/>
  <c r="V1460"/>
  <c r="R1499"/>
  <c r="I4022"/>
  <c r="K4007"/>
  <c r="X679"/>
  <c r="V765"/>
  <c r="X765" s="1"/>
  <c r="V733"/>
  <c r="X733" s="1"/>
  <c r="V1388"/>
  <c r="X1371"/>
  <c r="I1602"/>
  <c r="K1602" s="1"/>
  <c r="K1587"/>
  <c r="P3367"/>
  <c r="R3367" s="1"/>
  <c r="P3401"/>
  <c r="R3401" s="1"/>
  <c r="R3298"/>
  <c r="I3482"/>
  <c r="K3482" s="1"/>
  <c r="I2572"/>
  <c r="K2537"/>
  <c r="K2542" s="1"/>
  <c r="K2545" s="1"/>
  <c r="K2548" s="1"/>
  <c r="P3399"/>
  <c r="R3399" s="1"/>
  <c r="P3365"/>
  <c r="R3365" s="1"/>
  <c r="R3296"/>
  <c r="I4037"/>
  <c r="K4037" s="1"/>
  <c r="K4024"/>
  <c r="V3541"/>
  <c r="P3545"/>
  <c r="R3545" s="1"/>
  <c r="K3541"/>
  <c r="AG3541"/>
  <c r="P3369"/>
  <c r="R3369" s="1"/>
  <c r="R3300"/>
  <c r="P3403"/>
  <c r="R3325"/>
  <c r="P3362"/>
  <c r="H3891"/>
  <c r="J3891" s="1"/>
  <c r="J3875"/>
  <c r="I2507"/>
  <c r="K2485"/>
  <c r="K2490" s="1"/>
  <c r="K2492" s="1"/>
  <c r="P2515"/>
  <c r="R2515" s="1"/>
  <c r="K2508"/>
  <c r="R3404"/>
  <c r="P3448"/>
  <c r="X2607"/>
  <c r="AA2605"/>
  <c r="AG2621"/>
  <c r="AI2621" s="1"/>
  <c r="H3853"/>
  <c r="K2608"/>
  <c r="L3207"/>
  <c r="AD1389"/>
  <c r="AF1389" s="1"/>
  <c r="AF1372"/>
  <c r="K1076"/>
  <c r="I1091"/>
  <c r="K1091" s="1"/>
  <c r="I3989"/>
  <c r="K3988"/>
  <c r="P2984"/>
  <c r="R2984" s="1"/>
  <c r="I3062"/>
  <c r="K2977"/>
  <c r="I3058"/>
  <c r="P2980"/>
  <c r="R2980" s="1"/>
  <c r="K2973"/>
  <c r="AH687"/>
  <c r="AH690"/>
  <c r="AH688"/>
  <c r="P1462"/>
  <c r="R1445"/>
  <c r="I1078"/>
  <c r="AG1072"/>
  <c r="AI1072" s="1"/>
  <c r="P997"/>
  <c r="R997" s="1"/>
  <c r="K1063"/>
  <c r="R3328"/>
  <c r="P3363"/>
  <c r="R3363" s="1"/>
  <c r="I1588"/>
  <c r="K1588" s="1"/>
  <c r="K1575"/>
  <c r="K1580" s="1"/>
  <c r="K1582" s="1"/>
  <c r="W538"/>
  <c r="AE538" s="1"/>
  <c r="AL538" s="1"/>
  <c r="J539"/>
  <c r="K2323"/>
  <c r="K2324" s="1"/>
  <c r="I2329" s="1"/>
  <c r="K2329" s="1"/>
  <c r="K2330" s="1"/>
  <c r="K2331" s="1"/>
  <c r="I3808"/>
  <c r="K3808" s="1"/>
  <c r="K3748"/>
  <c r="Y37"/>
  <c r="Y44" s="1"/>
  <c r="Y36"/>
  <c r="I2865"/>
  <c r="K2865" s="1"/>
  <c r="I927"/>
  <c r="K927" s="1"/>
  <c r="I920"/>
  <c r="K920" s="1"/>
  <c r="I1129"/>
  <c r="K1129" s="1"/>
  <c r="V642"/>
  <c r="C70"/>
  <c r="P2158"/>
  <c r="R2158" s="1"/>
  <c r="K2151"/>
  <c r="P1419"/>
  <c r="R1402"/>
  <c r="V1363"/>
  <c r="P3507"/>
  <c r="R3507" s="1"/>
  <c r="R3509" s="1"/>
  <c r="R3510" s="1"/>
  <c r="R3515"/>
  <c r="R3518" s="1"/>
  <c r="R3519" s="1"/>
  <c r="I3506" s="1"/>
  <c r="K3506" s="1"/>
  <c r="P3723"/>
  <c r="R3723" s="1"/>
  <c r="K3723"/>
  <c r="K3725" s="1"/>
  <c r="I3717" s="1"/>
  <c r="K3717" s="1"/>
  <c r="K3718" s="1"/>
  <c r="K3719" s="1"/>
  <c r="I141"/>
  <c r="K141" s="1"/>
  <c r="P25"/>
  <c r="R25" s="1"/>
  <c r="K2835"/>
  <c r="K2843" s="1"/>
  <c r="K2845" s="1"/>
  <c r="I2971"/>
  <c r="R728"/>
  <c r="R730" s="1"/>
  <c r="P1047"/>
  <c r="R1047" s="1"/>
  <c r="R1046"/>
  <c r="W594"/>
  <c r="W593"/>
  <c r="W592"/>
  <c r="W591"/>
  <c r="R23"/>
  <c r="X3672"/>
  <c r="AG3666"/>
  <c r="AI3666" s="1"/>
  <c r="P2027"/>
  <c r="R2027" s="1"/>
  <c r="K2027"/>
  <c r="K2011"/>
  <c r="P2012"/>
  <c r="R2012" s="1"/>
  <c r="K384"/>
  <c r="V384"/>
  <c r="K360"/>
  <c r="V360"/>
  <c r="V316"/>
  <c r="K316"/>
  <c r="AF647"/>
  <c r="AH647" s="1"/>
  <c r="X647"/>
  <c r="V886"/>
  <c r="K886"/>
  <c r="K2153"/>
  <c r="P2160"/>
  <c r="R2160" s="1"/>
  <c r="K2867"/>
  <c r="I3056"/>
  <c r="I3746"/>
  <c r="K3746" s="1"/>
  <c r="K9"/>
  <c r="V1284"/>
  <c r="X1284" s="1"/>
  <c r="K1255"/>
  <c r="I3640"/>
  <c r="K3640" s="1"/>
  <c r="K1645"/>
  <c r="I3423"/>
  <c r="K3423" s="1"/>
  <c r="P2643"/>
  <c r="R2643" s="1"/>
  <c r="K2636"/>
  <c r="V2604"/>
  <c r="R462"/>
  <c r="R464" s="1"/>
  <c r="W404"/>
  <c r="W405"/>
  <c r="W406" s="1"/>
  <c r="V110"/>
  <c r="X110" s="1"/>
  <c r="V82"/>
  <c r="X82" s="1"/>
  <c r="X81"/>
  <c r="X86" s="1"/>
  <c r="X88" s="1"/>
  <c r="X136"/>
  <c r="X133"/>
  <c r="X134" s="1"/>
  <c r="I3421"/>
  <c r="K3421" s="1"/>
  <c r="K2634"/>
  <c r="V2602"/>
  <c r="P2641"/>
  <c r="R2641" s="1"/>
  <c r="I3387"/>
  <c r="I3477" s="1"/>
  <c r="K3477" s="1"/>
  <c r="I985"/>
  <c r="K985" s="1"/>
  <c r="I950"/>
  <c r="K950" s="1"/>
  <c r="I1015"/>
  <c r="K1015" s="1"/>
  <c r="I1053"/>
  <c r="I1127"/>
  <c r="K1127" s="1"/>
  <c r="I921"/>
  <c r="K921" s="1"/>
  <c r="P210"/>
  <c r="R210" s="1"/>
  <c r="I3100"/>
  <c r="K2662"/>
  <c r="P2669"/>
  <c r="X645"/>
  <c r="AF645"/>
  <c r="AH645" s="1"/>
  <c r="K1973"/>
  <c r="P1973"/>
  <c r="R1973" s="1"/>
  <c r="I3825"/>
  <c r="K3825" s="1"/>
  <c r="P3464"/>
  <c r="R3464" s="1"/>
  <c r="K3458"/>
  <c r="I3463"/>
  <c r="R2346"/>
  <c r="P2355"/>
  <c r="R2355" s="1"/>
  <c r="R1148"/>
  <c r="P1179" s="1"/>
  <c r="R1179" s="1"/>
  <c r="V807"/>
  <c r="I2775"/>
  <c r="K2775" s="1"/>
  <c r="K2778" s="1"/>
  <c r="I2718"/>
  <c r="K2718" s="1"/>
  <c r="I2712"/>
  <c r="K2712" s="1"/>
  <c r="P1522"/>
  <c r="R1522" s="1"/>
  <c r="R1527" s="1"/>
  <c r="R1529" s="1"/>
  <c r="I1548"/>
  <c r="K1548" s="1"/>
  <c r="I1533"/>
  <c r="K1533" s="1"/>
  <c r="I1506"/>
  <c r="I1535"/>
  <c r="K1535" s="1"/>
  <c r="I1518"/>
  <c r="K1518" s="1"/>
  <c r="I1161"/>
  <c r="K1161" s="1"/>
  <c r="I1147"/>
  <c r="K1147" s="1"/>
  <c r="AG3543"/>
  <c r="P3547"/>
  <c r="R3547" s="1"/>
  <c r="K3543"/>
  <c r="V3543"/>
  <c r="X1411"/>
  <c r="AD1409"/>
  <c r="AD1404"/>
  <c r="X1406"/>
  <c r="P1495"/>
  <c r="R1464"/>
  <c r="V1425"/>
  <c r="X1425" s="1"/>
  <c r="AE1203"/>
  <c r="AL1202"/>
  <c r="X3715"/>
  <c r="P3712"/>
  <c r="R3712" s="1"/>
  <c r="R3263"/>
  <c r="I3323"/>
  <c r="K3540"/>
  <c r="AG3540"/>
  <c r="V3540"/>
  <c r="P3544"/>
  <c r="R3544" s="1"/>
  <c r="R3160"/>
  <c r="V3121"/>
  <c r="I3976"/>
  <c r="K3976" s="1"/>
  <c r="K3959"/>
  <c r="X3538"/>
  <c r="V3518"/>
  <c r="X3518" s="1"/>
  <c r="R3301"/>
  <c r="K3492"/>
  <c r="I3608"/>
  <c r="K3430"/>
  <c r="M2076"/>
  <c r="R2076" s="1"/>
  <c r="K1551"/>
  <c r="K1553" s="1"/>
  <c r="I3490" s="1"/>
  <c r="K3490" s="1"/>
  <c r="L3176"/>
  <c r="I3059"/>
  <c r="K2974"/>
  <c r="P2981"/>
  <c r="R2981" s="1"/>
  <c r="AD1393"/>
  <c r="AF1393" s="1"/>
  <c r="AF1376"/>
  <c r="I4033"/>
  <c r="K4033" s="1"/>
  <c r="I4019"/>
  <c r="K4018"/>
  <c r="P1482"/>
  <c r="R1475"/>
  <c r="V1436"/>
  <c r="I4023"/>
  <c r="K4008"/>
  <c r="P2982"/>
  <c r="R2982" s="1"/>
  <c r="I3060"/>
  <c r="K2975"/>
  <c r="AF1410"/>
  <c r="AD1427"/>
  <c r="AF1427" s="1"/>
  <c r="AD1408"/>
  <c r="X1410"/>
  <c r="AD1392"/>
  <c r="AF1392" s="1"/>
  <c r="AF1375"/>
  <c r="AD1390"/>
  <c r="AF1390" s="1"/>
  <c r="AF1373"/>
  <c r="V898"/>
  <c r="X898" s="1"/>
  <c r="X882"/>
  <c r="P1443"/>
  <c r="R1427"/>
  <c r="AD1405"/>
  <c r="X1407"/>
  <c r="AD1400"/>
  <c r="X1402"/>
  <c r="I3457"/>
  <c r="I2738"/>
  <c r="K2738" s="1"/>
  <c r="K2745" s="1"/>
  <c r="K2747" s="1"/>
  <c r="I2765" s="1"/>
  <c r="K2765" s="1"/>
  <c r="K2767" s="1"/>
  <c r="I2698"/>
  <c r="K2698" s="1"/>
  <c r="I1646"/>
  <c r="I1466"/>
  <c r="K1466" s="1"/>
  <c r="I2130"/>
  <c r="K2130" s="1"/>
  <c r="I2007"/>
  <c r="I1945"/>
  <c r="I1845"/>
  <c r="I2384"/>
  <c r="I2026"/>
  <c r="I1827"/>
  <c r="K1827" s="1"/>
  <c r="I2150"/>
  <c r="I1911"/>
  <c r="K1911" s="1"/>
  <c r="K1915" s="1"/>
  <c r="K1917" s="1"/>
  <c r="I1924" s="1"/>
  <c r="K1924" s="1"/>
  <c r="K1927" s="1"/>
  <c r="I1809"/>
  <c r="K1809" s="1"/>
  <c r="K1816" s="1"/>
  <c r="K1818" s="1"/>
  <c r="I1872" s="1"/>
  <c r="K1872" s="1"/>
  <c r="K1874" s="1"/>
  <c r="I1479"/>
  <c r="K1479" s="1"/>
  <c r="I1454"/>
  <c r="K1454" s="1"/>
  <c r="I1406"/>
  <c r="K1406" s="1"/>
  <c r="I1379"/>
  <c r="K1379" s="1"/>
  <c r="I1357"/>
  <c r="K1357" s="1"/>
  <c r="I1251"/>
  <c r="I1434"/>
  <c r="K1434" s="1"/>
  <c r="I1393"/>
  <c r="K1393" s="1"/>
  <c r="I1323"/>
  <c r="K1323" s="1"/>
  <c r="I1201"/>
  <c r="K1201" s="1"/>
  <c r="I1419"/>
  <c r="K1419" s="1"/>
  <c r="I1305"/>
  <c r="I1272"/>
  <c r="I1222"/>
  <c r="I621"/>
  <c r="K621" s="1"/>
  <c r="I899"/>
  <c r="K899" s="1"/>
  <c r="I583"/>
  <c r="I883"/>
  <c r="I605"/>
  <c r="K605" s="1"/>
  <c r="I865"/>
  <c r="I651"/>
  <c r="K651" s="1"/>
  <c r="I551"/>
  <c r="K551" s="1"/>
  <c r="P550"/>
  <c r="R550" s="1"/>
  <c r="R557" s="1"/>
  <c r="R559" s="1"/>
  <c r="P522"/>
  <c r="R522" s="1"/>
  <c r="R529" s="1"/>
  <c r="R531" s="1"/>
  <c r="V478"/>
  <c r="I412"/>
  <c r="K412" s="1"/>
  <c r="I337"/>
  <c r="P308"/>
  <c r="R308" s="1"/>
  <c r="I298"/>
  <c r="K298" s="1"/>
  <c r="I527"/>
  <c r="K527" s="1"/>
  <c r="I460"/>
  <c r="K460" s="1"/>
  <c r="P363"/>
  <c r="R363" s="1"/>
  <c r="P349"/>
  <c r="R349" s="1"/>
  <c r="P320"/>
  <c r="R320" s="1"/>
  <c r="P504"/>
  <c r="R504" s="1"/>
  <c r="R511" s="1"/>
  <c r="R513" s="1"/>
  <c r="I446"/>
  <c r="K446" s="1"/>
  <c r="I427"/>
  <c r="K427" s="1"/>
  <c r="I395"/>
  <c r="P365"/>
  <c r="R365" s="1"/>
  <c r="P337"/>
  <c r="R337" s="1"/>
  <c r="P268"/>
  <c r="R268" s="1"/>
  <c r="P181"/>
  <c r="R181" s="1"/>
  <c r="V529"/>
  <c r="I488"/>
  <c r="K488" s="1"/>
  <c r="I381"/>
  <c r="I357"/>
  <c r="I313"/>
  <c r="P297"/>
  <c r="R297" s="1"/>
  <c r="P81"/>
  <c r="R81" s="1"/>
  <c r="P1604"/>
  <c r="R1604" s="1"/>
  <c r="K1603"/>
  <c r="I1615"/>
  <c r="X1337"/>
  <c r="AD1335"/>
  <c r="AE1335" s="1"/>
  <c r="X1335"/>
  <c r="AD1333"/>
  <c r="AE1333" s="1"/>
  <c r="I3504"/>
  <c r="K3504" s="1"/>
  <c r="K3514" s="1"/>
  <c r="K3515" s="1"/>
  <c r="I36"/>
  <c r="C78"/>
  <c r="AB45"/>
  <c r="AE45" s="1"/>
  <c r="AE42"/>
  <c r="I1784"/>
  <c r="K1784" s="1"/>
  <c r="K743"/>
  <c r="I3459"/>
  <c r="J3045"/>
  <c r="K3045" s="1"/>
  <c r="K3046" s="1"/>
  <c r="I2994"/>
  <c r="K2994" s="1"/>
  <c r="I2713"/>
  <c r="I2349"/>
  <c r="P2337"/>
  <c r="R2337" s="1"/>
  <c r="R2338" s="1"/>
  <c r="R2339" s="1"/>
  <c r="I2686"/>
  <c r="K2686" s="1"/>
  <c r="I2739"/>
  <c r="K2739" s="1"/>
  <c r="I2428"/>
  <c r="I2399"/>
  <c r="I2055"/>
  <c r="K2055" s="1"/>
  <c r="K2061" s="1"/>
  <c r="K2063" s="1"/>
  <c r="I2791"/>
  <c r="K2791" s="1"/>
  <c r="L2757" s="1"/>
  <c r="I2369"/>
  <c r="I2165"/>
  <c r="K2165" s="1"/>
  <c r="K2167" s="1"/>
  <c r="K2169" s="1"/>
  <c r="I1995"/>
  <c r="I1944"/>
  <c r="I1828"/>
  <c r="K1828" s="1"/>
  <c r="I1519"/>
  <c r="K1519" s="1"/>
  <c r="I2178"/>
  <c r="K2178" s="1"/>
  <c r="K2180" s="1"/>
  <c r="K2182" s="1"/>
  <c r="K2184" s="1"/>
  <c r="I2079"/>
  <c r="K2079" s="1"/>
  <c r="K2085" s="1"/>
  <c r="K2087" s="1"/>
  <c r="I1974"/>
  <c r="I1912"/>
  <c r="K1912" s="1"/>
  <c r="I1810"/>
  <c r="K1810" s="1"/>
  <c r="I1708"/>
  <c r="K1708" s="1"/>
  <c r="I1647"/>
  <c r="P1523"/>
  <c r="R1523" s="1"/>
  <c r="I2335"/>
  <c r="K2335" s="1"/>
  <c r="I2336" s="1"/>
  <c r="K2336" s="1"/>
  <c r="I2322"/>
  <c r="K2322" s="1"/>
  <c r="I2132"/>
  <c r="K2132" s="1"/>
  <c r="I2107"/>
  <c r="K2107" s="1"/>
  <c r="I2031"/>
  <c r="I1507"/>
  <c r="I1492"/>
  <c r="K1492" s="1"/>
  <c r="K1496" s="1"/>
  <c r="K1498" s="1"/>
  <c r="I2152"/>
  <c r="I2012"/>
  <c r="I1846"/>
  <c r="I1480"/>
  <c r="K1480" s="1"/>
  <c r="I1467"/>
  <c r="K1467" s="1"/>
  <c r="I1455"/>
  <c r="K1455" s="1"/>
  <c r="I1420"/>
  <c r="K1420" s="1"/>
  <c r="P1360"/>
  <c r="R1360" s="1"/>
  <c r="R1363" s="1"/>
  <c r="R1365" s="1"/>
  <c r="I1407"/>
  <c r="K1407" s="1"/>
  <c r="I1394"/>
  <c r="K1394" s="1"/>
  <c r="I1359"/>
  <c r="K1359" s="1"/>
  <c r="I1324"/>
  <c r="K1324" s="1"/>
  <c r="I1306"/>
  <c r="I1258"/>
  <c r="I1202"/>
  <c r="K1202" s="1"/>
  <c r="P1146"/>
  <c r="I1381"/>
  <c r="K1381" s="1"/>
  <c r="I1253"/>
  <c r="I1149"/>
  <c r="K1149" s="1"/>
  <c r="I1435"/>
  <c r="K1435" s="1"/>
  <c r="I1338"/>
  <c r="K1338" s="1"/>
  <c r="I1273"/>
  <c r="I1228"/>
  <c r="K1228" s="1"/>
  <c r="I1224"/>
  <c r="I1162"/>
  <c r="K1162" s="1"/>
  <c r="I727"/>
  <c r="K727" s="1"/>
  <c r="I652"/>
  <c r="K652" s="1"/>
  <c r="V646"/>
  <c r="I622"/>
  <c r="K622" s="1"/>
  <c r="I900"/>
  <c r="K900" s="1"/>
  <c r="P891"/>
  <c r="R891" s="1"/>
  <c r="I884"/>
  <c r="I811"/>
  <c r="I785"/>
  <c r="K785" s="1"/>
  <c r="I763"/>
  <c r="K763" s="1"/>
  <c r="V711"/>
  <c r="I552"/>
  <c r="K552" s="1"/>
  <c r="P551"/>
  <c r="R551" s="1"/>
  <c r="I866"/>
  <c r="I606"/>
  <c r="K606" s="1"/>
  <c r="I584"/>
  <c r="P523"/>
  <c r="R523" s="1"/>
  <c r="P505"/>
  <c r="R505" s="1"/>
  <c r="I414"/>
  <c r="K414" s="1"/>
  <c r="I315"/>
  <c r="I274"/>
  <c r="K274" s="1"/>
  <c r="I213"/>
  <c r="K213" s="1"/>
  <c r="V530"/>
  <c r="I528"/>
  <c r="K528" s="1"/>
  <c r="V479"/>
  <c r="P392"/>
  <c r="R392" s="1"/>
  <c r="R396" s="1"/>
  <c r="R398" s="1"/>
  <c r="P364"/>
  <c r="R364" s="1"/>
  <c r="P338"/>
  <c r="R338" s="1"/>
  <c r="P321"/>
  <c r="R321" s="1"/>
  <c r="P309"/>
  <c r="R309" s="1"/>
  <c r="P286"/>
  <c r="R286" s="1"/>
  <c r="I507"/>
  <c r="I490"/>
  <c r="K490" s="1"/>
  <c r="I448"/>
  <c r="K448" s="1"/>
  <c r="I339"/>
  <c r="I300"/>
  <c r="K300" s="1"/>
  <c r="P298"/>
  <c r="R298" s="1"/>
  <c r="I228"/>
  <c r="I198"/>
  <c r="I383"/>
  <c r="P378"/>
  <c r="R378" s="1"/>
  <c r="R382" s="1"/>
  <c r="R384" s="1"/>
  <c r="P413" s="1"/>
  <c r="R413" s="1"/>
  <c r="I359"/>
  <c r="P350"/>
  <c r="R350" s="1"/>
  <c r="P68"/>
  <c r="R68" s="1"/>
  <c r="P53"/>
  <c r="R53" s="1"/>
  <c r="P83"/>
  <c r="R83" s="1"/>
  <c r="I3104"/>
  <c r="K2666"/>
  <c r="P2673"/>
  <c r="X83"/>
  <c r="V111"/>
  <c r="X111" s="1"/>
  <c r="P3543"/>
  <c r="R3543" s="1"/>
  <c r="K3539"/>
  <c r="AG3539"/>
  <c r="V3539"/>
  <c r="R743"/>
  <c r="R745" s="1"/>
  <c r="R3725"/>
  <c r="P3717" s="1"/>
  <c r="R3717" s="1"/>
  <c r="P2030"/>
  <c r="R2030" s="1"/>
  <c r="K2030"/>
  <c r="K812"/>
  <c r="V806"/>
  <c r="K1225"/>
  <c r="P1220"/>
  <c r="K2009"/>
  <c r="P2010"/>
  <c r="R2010" s="1"/>
  <c r="I3827"/>
  <c r="K3827" s="1"/>
  <c r="P3466"/>
  <c r="R3466" s="1"/>
  <c r="K3460"/>
  <c r="I3465"/>
  <c r="P3527"/>
  <c r="K3523"/>
  <c r="P2154"/>
  <c r="R2154" s="1"/>
  <c r="K2147"/>
  <c r="K3283"/>
  <c r="V3251"/>
  <c r="X3251" s="1"/>
  <c r="L82"/>
  <c r="K82"/>
  <c r="R487"/>
  <c r="R489" s="1"/>
  <c r="R588"/>
  <c r="R590" s="1"/>
  <c r="I255"/>
  <c r="K255" s="1"/>
  <c r="K259" s="1"/>
  <c r="K261" s="1"/>
  <c r="C79"/>
  <c r="AT401"/>
  <c r="AT402" s="1"/>
  <c r="AT403" s="1"/>
  <c r="AT404" s="1"/>
  <c r="AT405" s="1"/>
  <c r="AT406" s="1"/>
  <c r="AH413"/>
  <c r="AH414" s="1"/>
  <c r="AH415" s="1"/>
  <c r="AH416" s="1"/>
  <c r="AH417" s="1"/>
  <c r="AH418" s="1"/>
  <c r="AH419" s="1"/>
  <c r="AH420" s="1"/>
  <c r="AH421" s="1"/>
  <c r="AH422" s="1"/>
  <c r="M116"/>
  <c r="M133" s="1"/>
  <c r="M95"/>
  <c r="M101"/>
  <c r="I3388"/>
  <c r="I3478" s="1"/>
  <c r="K3478" s="1"/>
  <c r="I1086"/>
  <c r="K1086" s="1"/>
  <c r="I1128"/>
  <c r="K1128" s="1"/>
  <c r="I1102"/>
  <c r="I1071"/>
  <c r="K1071" s="1"/>
  <c r="I986"/>
  <c r="K986" s="1"/>
  <c r="I1054"/>
  <c r="I1016"/>
  <c r="K1016" s="1"/>
  <c r="I951"/>
  <c r="K951" s="1"/>
  <c r="I928"/>
  <c r="K928" s="1"/>
  <c r="P211"/>
  <c r="R211" s="1"/>
  <c r="P3258"/>
  <c r="R3258" s="1"/>
  <c r="P3292"/>
  <c r="R3189"/>
  <c r="P3222"/>
  <c r="AG2786"/>
  <c r="AI2786" s="1"/>
  <c r="I2863"/>
  <c r="K2863" s="1"/>
  <c r="P2820"/>
  <c r="K2813"/>
  <c r="P3257"/>
  <c r="R3257" s="1"/>
  <c r="P3221"/>
  <c r="R3188"/>
  <c r="P3291"/>
  <c r="V314"/>
  <c r="K314"/>
  <c r="V804"/>
  <c r="K810"/>
  <c r="V1281"/>
  <c r="X1281" s="1"/>
  <c r="K1252"/>
  <c r="L2759"/>
  <c r="K2793" s="1"/>
  <c r="V195"/>
  <c r="X195" s="1"/>
  <c r="I195"/>
  <c r="V685"/>
  <c r="X715"/>
  <c r="I1577"/>
  <c r="K1577" s="1"/>
  <c r="I1564"/>
  <c r="K1564" s="1"/>
  <c r="K1567" s="1"/>
  <c r="I1590"/>
  <c r="K1590" s="1"/>
  <c r="P1321"/>
  <c r="R1321" s="1"/>
  <c r="R1324" s="1"/>
  <c r="R1326" s="1"/>
  <c r="S1326" s="1"/>
  <c r="R1302"/>
  <c r="P3546"/>
  <c r="R3546" s="1"/>
  <c r="AG3542"/>
  <c r="K3542"/>
  <c r="V3542"/>
  <c r="I3393"/>
  <c r="K3324"/>
  <c r="L3191"/>
  <c r="P1428"/>
  <c r="R1411"/>
  <c r="V1372"/>
  <c r="P1467"/>
  <c r="R1450"/>
  <c r="P2433"/>
  <c r="K2426"/>
  <c r="J663"/>
  <c r="W487"/>
  <c r="AE487" s="1"/>
  <c r="P2298"/>
  <c r="R2298" s="1"/>
  <c r="K2298"/>
  <c r="P2296"/>
  <c r="R2296" s="1"/>
  <c r="R2302" s="1"/>
  <c r="R2304" s="1"/>
  <c r="K2296"/>
  <c r="I3282"/>
  <c r="P3259"/>
  <c r="R3259" s="1"/>
  <c r="I2815"/>
  <c r="C90"/>
  <c r="AE46"/>
  <c r="AB47"/>
  <c r="AE47" s="1"/>
  <c r="V2783"/>
  <c r="X2783" s="1"/>
  <c r="I2243"/>
  <c r="K2243" s="1"/>
  <c r="K2252" s="1"/>
  <c r="P945"/>
  <c r="R945" s="1"/>
  <c r="V801"/>
  <c r="V706"/>
  <c r="C71"/>
  <c r="P1142" s="1"/>
  <c r="I1783"/>
  <c r="K1783" s="1"/>
  <c r="I1782"/>
  <c r="K1782" s="1"/>
  <c r="K745"/>
  <c r="K3102"/>
  <c r="P2076"/>
  <c r="AS3105"/>
  <c r="AU3105" s="1"/>
  <c r="AJ3105"/>
  <c r="X1336"/>
  <c r="AD1334"/>
  <c r="AE1334" s="1"/>
  <c r="AS3106"/>
  <c r="AU3106" s="1"/>
  <c r="AJ3106"/>
  <c r="K3795"/>
  <c r="K3799" s="1"/>
  <c r="I3789" s="1"/>
  <c r="I3809"/>
  <c r="K3809" s="1"/>
  <c r="P3156"/>
  <c r="R3156" s="1"/>
  <c r="K3149"/>
  <c r="P1602"/>
  <c r="R1602" s="1"/>
  <c r="K1601"/>
  <c r="K1606" s="1"/>
  <c r="K1608" s="1"/>
  <c r="C53" i="64" s="1"/>
  <c r="R759" i="74"/>
  <c r="R761" s="1"/>
  <c r="I1771"/>
  <c r="K1771" s="1"/>
  <c r="I1179"/>
  <c r="I2348"/>
  <c r="K2348" s="1"/>
  <c r="I2368"/>
  <c r="P794"/>
  <c r="R794" s="1"/>
  <c r="R798" s="1"/>
  <c r="R800" s="1"/>
  <c r="I784"/>
  <c r="K784" s="1"/>
  <c r="I726"/>
  <c r="K726" s="1"/>
  <c r="K730" s="1"/>
  <c r="K732" s="1"/>
  <c r="K801" s="1"/>
  <c r="P890"/>
  <c r="R890" s="1"/>
  <c r="R893" s="1"/>
  <c r="R895" s="1"/>
  <c r="I762"/>
  <c r="K762" s="1"/>
  <c r="I3564"/>
  <c r="K1943"/>
  <c r="P1633"/>
  <c r="R1633" s="1"/>
  <c r="R1637" s="1"/>
  <c r="K1631"/>
  <c r="K1635" s="1"/>
  <c r="K1638" s="1"/>
  <c r="I2902"/>
  <c r="K2902" s="1"/>
  <c r="K508"/>
  <c r="I3929"/>
  <c r="I3308"/>
  <c r="K3308" s="1"/>
  <c r="K868"/>
  <c r="P861"/>
  <c r="R861" s="1"/>
  <c r="V868"/>
  <c r="X868" s="1"/>
  <c r="P1305"/>
  <c r="K1307"/>
  <c r="K1254"/>
  <c r="V1283"/>
  <c r="X1283" s="1"/>
  <c r="R1147"/>
  <c r="P1178"/>
  <c r="R1178" s="1"/>
  <c r="I3171"/>
  <c r="K1508"/>
  <c r="P2028"/>
  <c r="R2028" s="1"/>
  <c r="K2028"/>
  <c r="K1847"/>
  <c r="P1863"/>
  <c r="I2720"/>
  <c r="K2720" s="1"/>
  <c r="K2714"/>
  <c r="P2436"/>
  <c r="R2436" s="1"/>
  <c r="K2429"/>
  <c r="I2898"/>
  <c r="K2898" s="1"/>
  <c r="K504"/>
  <c r="P2432"/>
  <c r="R2432" s="1"/>
  <c r="K2425"/>
  <c r="P2152"/>
  <c r="R2152" s="1"/>
  <c r="K2145"/>
  <c r="K2663"/>
  <c r="P2670"/>
  <c r="I3101"/>
  <c r="I3600"/>
  <c r="AG2787"/>
  <c r="AI2787" s="1"/>
  <c r="K2814"/>
  <c r="P2821"/>
  <c r="I2864"/>
  <c r="K2864" s="1"/>
  <c r="P2640"/>
  <c r="R2640" s="1"/>
  <c r="V2601"/>
  <c r="I3420"/>
  <c r="K3420" s="1"/>
  <c r="K3432" s="1"/>
  <c r="K3434" s="1"/>
  <c r="K2633"/>
  <c r="K338"/>
  <c r="V338"/>
  <c r="K358"/>
  <c r="V358"/>
  <c r="I2900"/>
  <c r="K2900" s="1"/>
  <c r="K506"/>
  <c r="P1218"/>
  <c r="K1223"/>
  <c r="P1176"/>
  <c r="R1176" s="1"/>
  <c r="R1145"/>
  <c r="K2996"/>
  <c r="K1328"/>
  <c r="K1330" s="1"/>
  <c r="I1987" s="1"/>
  <c r="P52" i="65" l="1"/>
  <c r="C54" i="68"/>
  <c r="N54" s="1"/>
  <c r="C55" i="65"/>
  <c r="L53" i="64"/>
  <c r="H53"/>
  <c r="R53"/>
  <c r="F53"/>
  <c r="P53"/>
  <c r="J53"/>
  <c r="L181" i="75"/>
  <c r="L182" s="1"/>
  <c r="R2357" i="74"/>
  <c r="C73"/>
  <c r="I175"/>
  <c r="K175" s="1"/>
  <c r="K179" s="1"/>
  <c r="V800"/>
  <c r="V705"/>
  <c r="R1057"/>
  <c r="R1059" s="1"/>
  <c r="K670" i="75"/>
  <c r="L670"/>
  <c r="R32"/>
  <c r="S33"/>
  <c r="K90"/>
  <c r="M89"/>
  <c r="L90"/>
  <c r="L91" s="1"/>
  <c r="I1065"/>
  <c r="K1065" s="1"/>
  <c r="K220"/>
  <c r="K708"/>
  <c r="L709"/>
  <c r="K212"/>
  <c r="I224"/>
  <c r="K224" s="1"/>
  <c r="K106"/>
  <c r="K450"/>
  <c r="K451" s="1"/>
  <c r="K444" s="1"/>
  <c r="K446" s="1"/>
  <c r="L446" s="1"/>
  <c r="K902"/>
  <c r="K895" s="1"/>
  <c r="K896" s="1"/>
  <c r="M896" s="1"/>
  <c r="K625"/>
  <c r="K627" s="1"/>
  <c r="L517"/>
  <c r="K817"/>
  <c r="K786"/>
  <c r="K843"/>
  <c r="I492"/>
  <c r="K492" s="1"/>
  <c r="K467"/>
  <c r="K468" s="1"/>
  <c r="K460" s="1"/>
  <c r="K462" s="1"/>
  <c r="K493"/>
  <c r="K487" s="1"/>
  <c r="K488" s="1"/>
  <c r="L488" s="1"/>
  <c r="K918"/>
  <c r="K919" s="1"/>
  <c r="K912" s="1"/>
  <c r="K341"/>
  <c r="K342" s="1"/>
  <c r="M342" s="1"/>
  <c r="K322"/>
  <c r="K323" s="1"/>
  <c r="L323" s="1"/>
  <c r="K352"/>
  <c r="K353" s="1"/>
  <c r="K1093"/>
  <c r="K990"/>
  <c r="K59"/>
  <c r="K67" s="1"/>
  <c r="K52"/>
  <c r="I225"/>
  <c r="K225" s="1"/>
  <c r="I124"/>
  <c r="K107"/>
  <c r="I1069"/>
  <c r="K1069" s="1"/>
  <c r="K223"/>
  <c r="I1091"/>
  <c r="K1091" s="1"/>
  <c r="K129"/>
  <c r="I1084"/>
  <c r="K1084" s="1"/>
  <c r="K122"/>
  <c r="K858"/>
  <c r="K861" s="1"/>
  <c r="K864" s="1"/>
  <c r="M857"/>
  <c r="L859"/>
  <c r="K103"/>
  <c r="K113" s="1"/>
  <c r="I123"/>
  <c r="I221"/>
  <c r="K943"/>
  <c r="L943" s="1"/>
  <c r="K948"/>
  <c r="K950" s="1"/>
  <c r="L950" s="1"/>
  <c r="I1115"/>
  <c r="K1115" s="1"/>
  <c r="I258"/>
  <c r="K258" s="1"/>
  <c r="K244"/>
  <c r="K501"/>
  <c r="K502" s="1"/>
  <c r="L502" s="1"/>
  <c r="K534"/>
  <c r="K535" s="1"/>
  <c r="L535" s="1"/>
  <c r="I1064"/>
  <c r="K1064" s="1"/>
  <c r="K219"/>
  <c r="I242"/>
  <c r="K363"/>
  <c r="K364" s="1"/>
  <c r="K378"/>
  <c r="K389"/>
  <c r="K390" s="1"/>
  <c r="K192"/>
  <c r="L192"/>
  <c r="I243"/>
  <c r="K227"/>
  <c r="R64"/>
  <c r="I590"/>
  <c r="K571"/>
  <c r="I566" s="1"/>
  <c r="K566" s="1"/>
  <c r="K736"/>
  <c r="L735"/>
  <c r="M737"/>
  <c r="P819"/>
  <c r="R819" s="1"/>
  <c r="R821" s="1"/>
  <c r="R822" s="1"/>
  <c r="P813" s="1"/>
  <c r="R813" s="1"/>
  <c r="R815" s="1"/>
  <c r="S815" s="1"/>
  <c r="R794"/>
  <c r="R796" s="1"/>
  <c r="R797" s="1"/>
  <c r="I1070"/>
  <c r="K1070" s="1"/>
  <c r="K226"/>
  <c r="I1092"/>
  <c r="K1092" s="1"/>
  <c r="K130"/>
  <c r="I1128"/>
  <c r="K1109"/>
  <c r="I1083"/>
  <c r="K1083" s="1"/>
  <c r="I142"/>
  <c r="K142" s="1"/>
  <c r="K146" s="1"/>
  <c r="L146" s="1"/>
  <c r="K121"/>
  <c r="R670"/>
  <c r="T670"/>
  <c r="L548"/>
  <c r="K635"/>
  <c r="K637" s="1"/>
  <c r="L637" s="1"/>
  <c r="R1640" i="74"/>
  <c r="T1640"/>
  <c r="I2937"/>
  <c r="K2937" s="1"/>
  <c r="I2928"/>
  <c r="P403"/>
  <c r="R403" s="1"/>
  <c r="P402"/>
  <c r="R402" s="1"/>
  <c r="R1305"/>
  <c r="V1303"/>
  <c r="I3280"/>
  <c r="K1102"/>
  <c r="P198"/>
  <c r="K198"/>
  <c r="P166"/>
  <c r="R166" s="1"/>
  <c r="X711"/>
  <c r="AA711" s="1"/>
  <c r="V681"/>
  <c r="K884"/>
  <c r="V884"/>
  <c r="AF646"/>
  <c r="AH646" s="1"/>
  <c r="X646"/>
  <c r="K1224"/>
  <c r="P1219"/>
  <c r="P1177"/>
  <c r="R1177" s="1"/>
  <c r="R1146"/>
  <c r="I3642"/>
  <c r="K3642" s="1"/>
  <c r="K1647"/>
  <c r="K1974"/>
  <c r="P1974"/>
  <c r="R1974" s="1"/>
  <c r="K2369"/>
  <c r="P2375"/>
  <c r="R2375" s="1"/>
  <c r="K2428"/>
  <c r="P2435"/>
  <c r="R2435" s="1"/>
  <c r="I3578"/>
  <c r="K2349"/>
  <c r="I3826"/>
  <c r="K3826" s="1"/>
  <c r="P3465"/>
  <c r="R3465" s="1"/>
  <c r="K3459"/>
  <c r="I3464"/>
  <c r="V313"/>
  <c r="K313"/>
  <c r="AD529"/>
  <c r="V553"/>
  <c r="X553" s="1"/>
  <c r="X529"/>
  <c r="V337"/>
  <c r="K337"/>
  <c r="K610"/>
  <c r="K2384"/>
  <c r="I2398"/>
  <c r="K2134"/>
  <c r="I4071"/>
  <c r="K4071" s="1"/>
  <c r="V3138"/>
  <c r="X3121"/>
  <c r="V3556"/>
  <c r="X3540"/>
  <c r="V3520"/>
  <c r="X3520" s="1"/>
  <c r="R1495"/>
  <c r="V1456"/>
  <c r="X89"/>
  <c r="X90"/>
  <c r="X91" s="1"/>
  <c r="X360"/>
  <c r="AG369"/>
  <c r="AI369" s="1"/>
  <c r="P1436"/>
  <c r="V1380"/>
  <c r="R1419"/>
  <c r="I1644"/>
  <c r="K1644" s="1"/>
  <c r="I1303"/>
  <c r="K1303" s="1"/>
  <c r="I503"/>
  <c r="K930"/>
  <c r="K2507"/>
  <c r="K2512" s="1"/>
  <c r="K2515" s="1"/>
  <c r="P2514"/>
  <c r="R2514" s="1"/>
  <c r="R2519" s="1"/>
  <c r="R2521" s="1"/>
  <c r="V3557"/>
  <c r="V3521"/>
  <c r="X3521" s="1"/>
  <c r="X3541"/>
  <c r="AD1458"/>
  <c r="AF1458" s="1"/>
  <c r="X1460"/>
  <c r="K3367"/>
  <c r="I3354"/>
  <c r="K3354" s="1"/>
  <c r="P1891"/>
  <c r="R1891" s="1"/>
  <c r="R1860"/>
  <c r="V3114"/>
  <c r="R3154"/>
  <c r="V818"/>
  <c r="X818" s="1"/>
  <c r="X803"/>
  <c r="V736"/>
  <c r="X736" s="1"/>
  <c r="X682"/>
  <c r="V768"/>
  <c r="X768" s="1"/>
  <c r="AG340"/>
  <c r="AI340" s="1"/>
  <c r="X340"/>
  <c r="I3661"/>
  <c r="R432"/>
  <c r="R444" s="1"/>
  <c r="R446" s="1"/>
  <c r="R1404"/>
  <c r="AF1369"/>
  <c r="AD1386"/>
  <c r="AF1386" s="1"/>
  <c r="AG367"/>
  <c r="AI367" s="1"/>
  <c r="X358"/>
  <c r="K2351"/>
  <c r="K2352" s="1"/>
  <c r="AU3109"/>
  <c r="X1372"/>
  <c r="V1389"/>
  <c r="V3558"/>
  <c r="X3542"/>
  <c r="V3522"/>
  <c r="X3522" s="1"/>
  <c r="X314"/>
  <c r="AG314"/>
  <c r="AI314" s="1"/>
  <c r="AS66"/>
  <c r="L2221"/>
  <c r="K2255"/>
  <c r="K2288" s="1"/>
  <c r="M2256"/>
  <c r="K339"/>
  <c r="V339"/>
  <c r="AD530"/>
  <c r="X530"/>
  <c r="V554"/>
  <c r="X554" s="1"/>
  <c r="I140"/>
  <c r="I45"/>
  <c r="K45" s="1"/>
  <c r="K49" s="1"/>
  <c r="K36"/>
  <c r="K40" s="1"/>
  <c r="I19"/>
  <c r="K19" s="1"/>
  <c r="K23" s="1"/>
  <c r="R1218"/>
  <c r="T1218" s="1"/>
  <c r="P1223"/>
  <c r="P1260"/>
  <c r="K3600"/>
  <c r="I3623"/>
  <c r="K3623" s="1"/>
  <c r="P1894"/>
  <c r="R1894" s="1"/>
  <c r="R1863"/>
  <c r="I3947"/>
  <c r="K3929"/>
  <c r="P3567"/>
  <c r="R3567" s="1"/>
  <c r="K3564"/>
  <c r="P1194"/>
  <c r="R1194" s="1"/>
  <c r="R1198" s="1"/>
  <c r="R1200" s="1"/>
  <c r="K1179"/>
  <c r="K1183" s="1"/>
  <c r="K1185" s="1"/>
  <c r="R1607"/>
  <c r="R1609" s="1"/>
  <c r="C878" s="1"/>
  <c r="V3250"/>
  <c r="X3250" s="1"/>
  <c r="K3282"/>
  <c r="I3747"/>
  <c r="R2433"/>
  <c r="P3360"/>
  <c r="R3360" s="1"/>
  <c r="R3291"/>
  <c r="P3394"/>
  <c r="R3394" s="1"/>
  <c r="V3247"/>
  <c r="X3247" s="1"/>
  <c r="P3324"/>
  <c r="R3324" s="1"/>
  <c r="R3222"/>
  <c r="P3436"/>
  <c r="R3436" s="1"/>
  <c r="AG1063"/>
  <c r="AI1063" s="1"/>
  <c r="K1054"/>
  <c r="P988"/>
  <c r="R988" s="1"/>
  <c r="P1065"/>
  <c r="R1065" s="1"/>
  <c r="P1090"/>
  <c r="P1262"/>
  <c r="P1225"/>
  <c r="R1220"/>
  <c r="T1220" s="1"/>
  <c r="AG3555"/>
  <c r="AI3555" s="1"/>
  <c r="AI3539"/>
  <c r="V359"/>
  <c r="K359"/>
  <c r="K228"/>
  <c r="P234"/>
  <c r="R234" s="1"/>
  <c r="I3927"/>
  <c r="I3306"/>
  <c r="K3306" s="1"/>
  <c r="V866"/>
  <c r="X866" s="1"/>
  <c r="K866"/>
  <c r="P859"/>
  <c r="R859" s="1"/>
  <c r="P1862"/>
  <c r="K1846"/>
  <c r="I3170"/>
  <c r="K1507"/>
  <c r="I3565"/>
  <c r="K1944"/>
  <c r="K1948" s="1"/>
  <c r="K2713"/>
  <c r="K2715" s="1"/>
  <c r="K2716" s="1"/>
  <c r="I2719"/>
  <c r="K2719" s="1"/>
  <c r="K749"/>
  <c r="K751" s="1"/>
  <c r="I757" s="1"/>
  <c r="K757" s="1"/>
  <c r="AS132"/>
  <c r="AU132" s="1"/>
  <c r="AS63"/>
  <c r="AU63" s="1"/>
  <c r="AS163"/>
  <c r="AS107"/>
  <c r="AU107" s="1"/>
  <c r="AS87"/>
  <c r="AU87" s="1"/>
  <c r="V357"/>
  <c r="K357"/>
  <c r="V395"/>
  <c r="K395"/>
  <c r="V883"/>
  <c r="K883"/>
  <c r="P1217"/>
  <c r="K1222"/>
  <c r="V1280"/>
  <c r="X1280" s="1"/>
  <c r="K1251"/>
  <c r="K2150"/>
  <c r="P2157"/>
  <c r="R2157" s="1"/>
  <c r="K1845"/>
  <c r="P1861"/>
  <c r="I3824"/>
  <c r="K3824" s="1"/>
  <c r="P3463"/>
  <c r="R3463" s="1"/>
  <c r="K3457"/>
  <c r="AD1422"/>
  <c r="AF1422" s="1"/>
  <c r="AF1405"/>
  <c r="R1482"/>
  <c r="V1443"/>
  <c r="AI3540"/>
  <c r="AG3556"/>
  <c r="R3719"/>
  <c r="R3720" s="1"/>
  <c r="AL1203"/>
  <c r="AE1204"/>
  <c r="K1152"/>
  <c r="K1154" s="1"/>
  <c r="I3169"/>
  <c r="K1506"/>
  <c r="K1511" s="1"/>
  <c r="K1513" s="1"/>
  <c r="X807"/>
  <c r="V822"/>
  <c r="X822" s="1"/>
  <c r="V771"/>
  <c r="X771" s="1"/>
  <c r="I3830"/>
  <c r="K3830" s="1"/>
  <c r="K3463"/>
  <c r="P3469"/>
  <c r="R3469" s="1"/>
  <c r="K2337"/>
  <c r="K2338" s="1"/>
  <c r="I2342" s="1"/>
  <c r="P2074"/>
  <c r="R2074" s="1"/>
  <c r="K3100"/>
  <c r="P987"/>
  <c r="R987" s="1"/>
  <c r="R998" s="1"/>
  <c r="R1000" s="1"/>
  <c r="AG1062"/>
  <c r="AI1062" s="1"/>
  <c r="AI1073" s="1"/>
  <c r="AI1075" s="1"/>
  <c r="K1053"/>
  <c r="K1064" s="1"/>
  <c r="K1066" s="1"/>
  <c r="P1064"/>
  <c r="R1064" s="1"/>
  <c r="P1089"/>
  <c r="K2971"/>
  <c r="K2979" s="1"/>
  <c r="K2981" s="1"/>
  <c r="P2978"/>
  <c r="R2978" s="1"/>
  <c r="R2986" s="1"/>
  <c r="R2988" s="1"/>
  <c r="AF642"/>
  <c r="AH642" s="1"/>
  <c r="X642"/>
  <c r="W539"/>
  <c r="AE539" s="1"/>
  <c r="AL539" s="1"/>
  <c r="J540"/>
  <c r="P1476"/>
  <c r="R1462"/>
  <c r="P1493"/>
  <c r="P3069"/>
  <c r="R3069" s="1"/>
  <c r="I3081"/>
  <c r="K3081" s="1"/>
  <c r="K3062"/>
  <c r="I3990"/>
  <c r="K3990" s="1"/>
  <c r="K3989"/>
  <c r="R3403"/>
  <c r="I3530"/>
  <c r="AG3557"/>
  <c r="AI3541"/>
  <c r="P2573"/>
  <c r="R2573" s="1"/>
  <c r="K2572"/>
  <c r="I2607"/>
  <c r="V1404"/>
  <c r="X1388"/>
  <c r="V766"/>
  <c r="X766" s="1"/>
  <c r="V734"/>
  <c r="X734" s="1"/>
  <c r="X680"/>
  <c r="AG391"/>
  <c r="V413"/>
  <c r="X413" s="1"/>
  <c r="X382"/>
  <c r="R197"/>
  <c r="V197"/>
  <c r="X197" s="1"/>
  <c r="K3157"/>
  <c r="K3159" s="1"/>
  <c r="K1593"/>
  <c r="K1595" s="1"/>
  <c r="K3660"/>
  <c r="I3681"/>
  <c r="K3681" s="1"/>
  <c r="P1093"/>
  <c r="K1019"/>
  <c r="R1221"/>
  <c r="T1221" s="1"/>
  <c r="P1263"/>
  <c r="R1144"/>
  <c r="P1175"/>
  <c r="R1175" s="1"/>
  <c r="AI3669"/>
  <c r="I3368"/>
  <c r="K3185"/>
  <c r="I96"/>
  <c r="K83"/>
  <c r="K86" s="1"/>
  <c r="K88" s="1"/>
  <c r="I111"/>
  <c r="K111" s="1"/>
  <c r="K114" s="1"/>
  <c r="K116" s="1"/>
  <c r="W563"/>
  <c r="AE563" s="1"/>
  <c r="AL563" s="1"/>
  <c r="J562"/>
  <c r="P3068"/>
  <c r="R3068" s="1"/>
  <c r="K3061"/>
  <c r="I3080"/>
  <c r="K3080" s="1"/>
  <c r="V3561"/>
  <c r="X3545"/>
  <c r="V3525"/>
  <c r="X3525" s="1"/>
  <c r="P2575"/>
  <c r="R2575" s="1"/>
  <c r="K2574"/>
  <c r="M2581"/>
  <c r="O2581" s="1"/>
  <c r="O2583" s="1"/>
  <c r="O2584" s="1"/>
  <c r="I4070"/>
  <c r="K4070" s="1"/>
  <c r="X3120"/>
  <c r="V3137"/>
  <c r="I3921"/>
  <c r="P2094"/>
  <c r="I878"/>
  <c r="X801"/>
  <c r="V816"/>
  <c r="X816" s="1"/>
  <c r="K195"/>
  <c r="P163"/>
  <c r="R163" s="1"/>
  <c r="X3539"/>
  <c r="V3519"/>
  <c r="X3519" s="1"/>
  <c r="K3104"/>
  <c r="P2078"/>
  <c r="R2078" s="1"/>
  <c r="AG388"/>
  <c r="AG311"/>
  <c r="AI311" s="1"/>
  <c r="AG364"/>
  <c r="AI364" s="1"/>
  <c r="AG335"/>
  <c r="AI335" s="1"/>
  <c r="AG338"/>
  <c r="AI338" s="1"/>
  <c r="X338"/>
  <c r="P2854"/>
  <c r="R2854" s="1"/>
  <c r="R2821"/>
  <c r="K3101"/>
  <c r="P2075"/>
  <c r="K3171"/>
  <c r="I3184"/>
  <c r="R1142"/>
  <c r="P1173"/>
  <c r="R1173" s="1"/>
  <c r="I987"/>
  <c r="K987" s="1"/>
  <c r="K998" s="1"/>
  <c r="K1000" s="1"/>
  <c r="I952"/>
  <c r="K952" s="1"/>
  <c r="I1017"/>
  <c r="K2302"/>
  <c r="K2304" s="1"/>
  <c r="P1444"/>
  <c r="R1428"/>
  <c r="AI3542"/>
  <c r="AG3558"/>
  <c r="V819"/>
  <c r="X819" s="1"/>
  <c r="X804"/>
  <c r="R2820"/>
  <c r="P2853"/>
  <c r="R2853" s="1"/>
  <c r="V3555"/>
  <c r="R3527"/>
  <c r="X479"/>
  <c r="AD479"/>
  <c r="AF479" s="1"/>
  <c r="I1287"/>
  <c r="K1287" s="1"/>
  <c r="AD1266"/>
  <c r="AF1266" s="1"/>
  <c r="K1273"/>
  <c r="K1253"/>
  <c r="V1282"/>
  <c r="X1282" s="1"/>
  <c r="K1258"/>
  <c r="V1287"/>
  <c r="X1287" s="1"/>
  <c r="K2012"/>
  <c r="P2013"/>
  <c r="R2013" s="1"/>
  <c r="P2031"/>
  <c r="R2031" s="1"/>
  <c r="K2031"/>
  <c r="P1995"/>
  <c r="R1995" s="1"/>
  <c r="K1995"/>
  <c r="K1615"/>
  <c r="P1616"/>
  <c r="R1616" s="1"/>
  <c r="V381"/>
  <c r="K381"/>
  <c r="AD478"/>
  <c r="AF478" s="1"/>
  <c r="X478"/>
  <c r="K583"/>
  <c r="V583"/>
  <c r="X583" s="1"/>
  <c r="I1286"/>
  <c r="K1286" s="1"/>
  <c r="K1272"/>
  <c r="AD1265"/>
  <c r="AF1265" s="1"/>
  <c r="K1834"/>
  <c r="K1836" s="1"/>
  <c r="I1880" s="1"/>
  <c r="K1880" s="1"/>
  <c r="K1882" s="1"/>
  <c r="I3566"/>
  <c r="K1945"/>
  <c r="I3641"/>
  <c r="K3641" s="1"/>
  <c r="K1646"/>
  <c r="I4034"/>
  <c r="K4034" s="1"/>
  <c r="K4023"/>
  <c r="I3078"/>
  <c r="K3078" s="1"/>
  <c r="P3066"/>
  <c r="R3066" s="1"/>
  <c r="K3059"/>
  <c r="AD1421"/>
  <c r="AF1421" s="1"/>
  <c r="AF1404"/>
  <c r="AG3559"/>
  <c r="AI3543"/>
  <c r="K1165"/>
  <c r="K1167" s="1"/>
  <c r="K1538"/>
  <c r="K1540" s="1"/>
  <c r="K2723"/>
  <c r="K2725" s="1"/>
  <c r="R221"/>
  <c r="R224" s="1"/>
  <c r="X114"/>
  <c r="X116" s="1"/>
  <c r="X118" s="1"/>
  <c r="X119" s="1"/>
  <c r="I3075"/>
  <c r="K3075" s="1"/>
  <c r="P3063"/>
  <c r="R3063" s="1"/>
  <c r="K3056"/>
  <c r="AG393"/>
  <c r="V415"/>
  <c r="X415" s="1"/>
  <c r="X384"/>
  <c r="X1363"/>
  <c r="AD1361"/>
  <c r="I1093"/>
  <c r="K1078"/>
  <c r="P1074"/>
  <c r="H3874"/>
  <c r="J3853"/>
  <c r="I4035"/>
  <c r="K4035" s="1"/>
  <c r="K4022"/>
  <c r="P1614"/>
  <c r="R1614" s="1"/>
  <c r="R1619" s="1"/>
  <c r="R1621" s="1"/>
  <c r="K1613"/>
  <c r="P3192"/>
  <c r="I2817"/>
  <c r="K954"/>
  <c r="P947"/>
  <c r="R947" s="1"/>
  <c r="R955" s="1"/>
  <c r="R957" s="1"/>
  <c r="W14"/>
  <c r="W15" s="1"/>
  <c r="W37"/>
  <c r="X3675"/>
  <c r="I2683"/>
  <c r="K2683" s="1"/>
  <c r="K2682"/>
  <c r="K2689" s="1"/>
  <c r="K2690" s="1"/>
  <c r="K168"/>
  <c r="K171" s="1"/>
  <c r="C166"/>
  <c r="K2146"/>
  <c r="P2153"/>
  <c r="R2153" s="1"/>
  <c r="I3994"/>
  <c r="AD1357"/>
  <c r="X1359"/>
  <c r="X1365" s="1"/>
  <c r="R1466"/>
  <c r="P1497"/>
  <c r="P3064"/>
  <c r="R3064" s="1"/>
  <c r="K3057"/>
  <c r="I3076"/>
  <c r="K3076" s="1"/>
  <c r="X1370"/>
  <c r="V1387"/>
  <c r="R2075"/>
  <c r="AI3545"/>
  <c r="AG3561"/>
  <c r="AD1387"/>
  <c r="AF1387" s="1"/>
  <c r="AF1370"/>
  <c r="P1987"/>
  <c r="R1987" s="1"/>
  <c r="K1987"/>
  <c r="AG2649"/>
  <c r="AI2649" s="1"/>
  <c r="AG2615"/>
  <c r="AI2615" s="1"/>
  <c r="X2601"/>
  <c r="AA2599"/>
  <c r="K2368"/>
  <c r="K2372" s="1"/>
  <c r="K2374" s="1"/>
  <c r="P2374"/>
  <c r="R2374" s="1"/>
  <c r="R2379" s="1"/>
  <c r="R2381" s="1"/>
  <c r="AJ3109"/>
  <c r="X706"/>
  <c r="AA706" s="1"/>
  <c r="V676"/>
  <c r="I3479"/>
  <c r="K3479" s="1"/>
  <c r="P2822"/>
  <c r="K2815"/>
  <c r="J664"/>
  <c r="W488"/>
  <c r="AE488" s="1"/>
  <c r="R1467"/>
  <c r="P1498"/>
  <c r="V739"/>
  <c r="X739" s="1"/>
  <c r="X685"/>
  <c r="P3435"/>
  <c r="R3435" s="1"/>
  <c r="R3221"/>
  <c r="R3236" s="1"/>
  <c r="R3238" s="1"/>
  <c r="P3323"/>
  <c r="R3323" s="1"/>
  <c r="R3337" s="1"/>
  <c r="R3339" s="1"/>
  <c r="R3292"/>
  <c r="P3395"/>
  <c r="R3395" s="1"/>
  <c r="P3361"/>
  <c r="R3361" s="1"/>
  <c r="K1079"/>
  <c r="K1081" s="1"/>
  <c r="C22" i="64" s="1"/>
  <c r="P627" i="74"/>
  <c r="R627" s="1"/>
  <c r="I152"/>
  <c r="K152" s="1"/>
  <c r="K161" s="1"/>
  <c r="P22"/>
  <c r="I3832"/>
  <c r="K3832" s="1"/>
  <c r="P3471"/>
  <c r="R3471" s="1"/>
  <c r="K3465"/>
  <c r="X806"/>
  <c r="V821"/>
  <c r="X821" s="1"/>
  <c r="V383"/>
  <c r="K383"/>
  <c r="I2901"/>
  <c r="K2901" s="1"/>
  <c r="K507"/>
  <c r="V315"/>
  <c r="K315"/>
  <c r="K584"/>
  <c r="V584"/>
  <c r="X584" s="1"/>
  <c r="K811"/>
  <c r="V805"/>
  <c r="K1306"/>
  <c r="P1335"/>
  <c r="P1304"/>
  <c r="R1304" s="1"/>
  <c r="R1309" s="1"/>
  <c r="R1311" s="1"/>
  <c r="P2159"/>
  <c r="R2159" s="1"/>
  <c r="K2152"/>
  <c r="I2411"/>
  <c r="K2411" s="1"/>
  <c r="K2399"/>
  <c r="I2128"/>
  <c r="K2128" s="1"/>
  <c r="K2136" s="1"/>
  <c r="K2138" s="1"/>
  <c r="I2148"/>
  <c r="I1753"/>
  <c r="K1753" s="1"/>
  <c r="K1760" s="1"/>
  <c r="K1762" s="1"/>
  <c r="P1143"/>
  <c r="I809"/>
  <c r="I505"/>
  <c r="I272"/>
  <c r="K272" s="1"/>
  <c r="I64"/>
  <c r="K64" s="1"/>
  <c r="K68" s="1"/>
  <c r="I54"/>
  <c r="K54" s="1"/>
  <c r="K58" s="1"/>
  <c r="I28"/>
  <c r="K28" s="1"/>
  <c r="K32" s="1"/>
  <c r="I73"/>
  <c r="K73" s="1"/>
  <c r="K77" s="1"/>
  <c r="P10"/>
  <c r="R10" s="1"/>
  <c r="R14" s="1"/>
  <c r="I10"/>
  <c r="K10" s="1"/>
  <c r="N14" s="1"/>
  <c r="I3926"/>
  <c r="I3305"/>
  <c r="K3305" s="1"/>
  <c r="P858"/>
  <c r="R858" s="1"/>
  <c r="V865"/>
  <c r="X865" s="1"/>
  <c r="K865"/>
  <c r="K1305"/>
  <c r="P1334"/>
  <c r="P2026"/>
  <c r="R2026" s="1"/>
  <c r="R2037" s="1"/>
  <c r="K2026"/>
  <c r="K2034" s="1"/>
  <c r="K2007"/>
  <c r="K2015" s="1"/>
  <c r="P2008"/>
  <c r="R2008" s="1"/>
  <c r="R2018" s="1"/>
  <c r="AD1417"/>
  <c r="AF1417" s="1"/>
  <c r="AF1400"/>
  <c r="P1460"/>
  <c r="R1443"/>
  <c r="AD1425"/>
  <c r="AF1425" s="1"/>
  <c r="AF1408"/>
  <c r="P3067"/>
  <c r="R3067" s="1"/>
  <c r="I3079"/>
  <c r="K3079" s="1"/>
  <c r="K3060"/>
  <c r="AD1434"/>
  <c r="AF1434" s="1"/>
  <c r="X1436"/>
  <c r="I4020"/>
  <c r="K4019"/>
  <c r="I3629"/>
  <c r="K3629" s="1"/>
  <c r="K3608"/>
  <c r="I3392"/>
  <c r="K3323"/>
  <c r="AF1409"/>
  <c r="AD1426"/>
  <c r="AF1426" s="1"/>
  <c r="V3559"/>
  <c r="X3543"/>
  <c r="V3523"/>
  <c r="X3523" s="1"/>
  <c r="K1524"/>
  <c r="K1526" s="1"/>
  <c r="K962"/>
  <c r="K964" s="1"/>
  <c r="AA2600"/>
  <c r="AG2650"/>
  <c r="AI2650" s="1"/>
  <c r="AG2616"/>
  <c r="AI2616" s="1"/>
  <c r="X2602"/>
  <c r="AG2652"/>
  <c r="AI2652" s="1"/>
  <c r="AG2618"/>
  <c r="AI2618" s="1"/>
  <c r="AA2602"/>
  <c r="X2604"/>
  <c r="X886"/>
  <c r="V902"/>
  <c r="X902" s="1"/>
  <c r="AG316"/>
  <c r="AI316" s="1"/>
  <c r="X316"/>
  <c r="AS68"/>
  <c r="K923"/>
  <c r="I3077"/>
  <c r="K3077" s="1"/>
  <c r="P3065"/>
  <c r="R3065" s="1"/>
  <c r="K3058"/>
  <c r="R3448"/>
  <c r="I3528"/>
  <c r="P3396"/>
  <c r="R3396" s="1"/>
  <c r="R3362"/>
  <c r="K1852"/>
  <c r="K1854" s="1"/>
  <c r="I1888" s="1"/>
  <c r="V708"/>
  <c r="AF643"/>
  <c r="AH643" s="1"/>
  <c r="X643"/>
  <c r="V199"/>
  <c r="X199" s="1"/>
  <c r="R199"/>
  <c r="R3124"/>
  <c r="T3123"/>
  <c r="P641"/>
  <c r="R641" s="1"/>
  <c r="R645" s="1"/>
  <c r="P50"/>
  <c r="R50" s="1"/>
  <c r="K2701"/>
  <c r="K2702" s="1"/>
  <c r="K2703" s="1"/>
  <c r="R141"/>
  <c r="R144" s="1"/>
  <c r="P126"/>
  <c r="R126" s="1"/>
  <c r="R129" s="1"/>
  <c r="K1970"/>
  <c r="P1970"/>
  <c r="R1970" s="1"/>
  <c r="P1432"/>
  <c r="V1376"/>
  <c r="R1415"/>
  <c r="R1421" s="1"/>
  <c r="AD1448"/>
  <c r="AF1448" s="1"/>
  <c r="X1450"/>
  <c r="P1463"/>
  <c r="R1446"/>
  <c r="R1426"/>
  <c r="P1442"/>
  <c r="C23" i="68" l="1"/>
  <c r="C22" i="66"/>
  <c r="C23" i="65"/>
  <c r="L22" i="64"/>
  <c r="H22"/>
  <c r="P22"/>
  <c r="J22"/>
  <c r="X800" i="74"/>
  <c r="V815"/>
  <c r="X815" s="1"/>
  <c r="I807"/>
  <c r="K807" s="1"/>
  <c r="P65"/>
  <c r="R65" s="1"/>
  <c r="I1705"/>
  <c r="K1705" s="1"/>
  <c r="I270"/>
  <c r="K270" s="1"/>
  <c r="K278" s="1"/>
  <c r="K280" s="1"/>
  <c r="P1141"/>
  <c r="I210"/>
  <c r="K210" s="1"/>
  <c r="P626"/>
  <c r="R626" s="1"/>
  <c r="P195"/>
  <c r="R195" s="1"/>
  <c r="X705"/>
  <c r="AA705" s="1"/>
  <c r="V675"/>
  <c r="R787" i="75"/>
  <c r="R789" s="1"/>
  <c r="P805" s="1"/>
  <c r="P787"/>
  <c r="K1076"/>
  <c r="L114"/>
  <c r="K114"/>
  <c r="C61" i="64" s="1"/>
  <c r="C62" i="68" s="1"/>
  <c r="L566" i="75"/>
  <c r="K569"/>
  <c r="L571" s="1"/>
  <c r="I1114"/>
  <c r="K1114" s="1"/>
  <c r="K243"/>
  <c r="I269"/>
  <c r="R378"/>
  <c r="R379" s="1"/>
  <c r="K379"/>
  <c r="L379" s="1"/>
  <c r="I1066"/>
  <c r="K1066" s="1"/>
  <c r="K221"/>
  <c r="K930"/>
  <c r="K931" s="1"/>
  <c r="L931" s="1"/>
  <c r="K913"/>
  <c r="K213"/>
  <c r="L213"/>
  <c r="I612"/>
  <c r="K590"/>
  <c r="I585" s="1"/>
  <c r="K585" s="1"/>
  <c r="M364"/>
  <c r="L364"/>
  <c r="I1085"/>
  <c r="K1085" s="1"/>
  <c r="K123"/>
  <c r="K53"/>
  <c r="L53"/>
  <c r="L353"/>
  <c r="M353"/>
  <c r="K463"/>
  <c r="L462"/>
  <c r="M463"/>
  <c r="L464"/>
  <c r="I1141"/>
  <c r="K1128"/>
  <c r="R65"/>
  <c r="T65"/>
  <c r="T64" s="1"/>
  <c r="S67"/>
  <c r="I1110"/>
  <c r="K1110" s="1"/>
  <c r="I268"/>
  <c r="K242"/>
  <c r="L68"/>
  <c r="K68"/>
  <c r="M390"/>
  <c r="L390"/>
  <c r="K398"/>
  <c r="K402" s="1"/>
  <c r="K231"/>
  <c r="I1086"/>
  <c r="K1086" s="1"/>
  <c r="I154"/>
  <c r="K154" s="1"/>
  <c r="I127"/>
  <c r="K124"/>
  <c r="P595" i="74"/>
  <c r="R595" s="1"/>
  <c r="P608"/>
  <c r="R608" s="1"/>
  <c r="K89"/>
  <c r="L89" s="1"/>
  <c r="M89" s="1"/>
  <c r="K90"/>
  <c r="P1448"/>
  <c r="R1432"/>
  <c r="I226"/>
  <c r="K226" s="1"/>
  <c r="K232" s="1"/>
  <c r="K234" s="1"/>
  <c r="P51"/>
  <c r="R51" s="1"/>
  <c r="P1459"/>
  <c r="R1442"/>
  <c r="V1393"/>
  <c r="X1376"/>
  <c r="X708"/>
  <c r="AA708" s="1"/>
  <c r="V678"/>
  <c r="P3532"/>
  <c r="R3532" s="1"/>
  <c r="I3544"/>
  <c r="K3528"/>
  <c r="X3559"/>
  <c r="V3575"/>
  <c r="P180"/>
  <c r="R180" s="1"/>
  <c r="I336"/>
  <c r="AS88"/>
  <c r="AU88" s="1"/>
  <c r="K809"/>
  <c r="K815" s="1"/>
  <c r="K817" s="1"/>
  <c r="V802"/>
  <c r="V644"/>
  <c r="X805"/>
  <c r="V820"/>
  <c r="X820" s="1"/>
  <c r="R3450"/>
  <c r="R3452" s="1"/>
  <c r="P2855"/>
  <c r="R2855" s="1"/>
  <c r="R2822"/>
  <c r="AH3113"/>
  <c r="AH3114" s="1"/>
  <c r="AH3115" s="1"/>
  <c r="AJ3113"/>
  <c r="AJ3114" s="1"/>
  <c r="AJ3115" s="1"/>
  <c r="AI3113"/>
  <c r="AI3114" s="1"/>
  <c r="AI3115" s="1"/>
  <c r="AA2610"/>
  <c r="AA2611" s="1"/>
  <c r="V3624"/>
  <c r="AI3561"/>
  <c r="R1497"/>
  <c r="V1458"/>
  <c r="K3994"/>
  <c r="I4010"/>
  <c r="K1618"/>
  <c r="K1620" s="1"/>
  <c r="R3071"/>
  <c r="R3073" s="1"/>
  <c r="I3255"/>
  <c r="K3255" s="1"/>
  <c r="K3184"/>
  <c r="I3269"/>
  <c r="K3269" s="1"/>
  <c r="L3235" s="1"/>
  <c r="AG424"/>
  <c r="AI424" s="1"/>
  <c r="AI388"/>
  <c r="V878"/>
  <c r="K878"/>
  <c r="I860"/>
  <c r="I894"/>
  <c r="K894" s="1"/>
  <c r="AG427"/>
  <c r="AI427" s="1"/>
  <c r="AI391"/>
  <c r="R2578"/>
  <c r="R2580" s="1"/>
  <c r="P1483"/>
  <c r="R1476"/>
  <c r="V1437"/>
  <c r="K2342"/>
  <c r="P2447"/>
  <c r="R2447" s="1"/>
  <c r="V1467"/>
  <c r="X1467" s="1"/>
  <c r="X1443"/>
  <c r="V899"/>
  <c r="X899" s="1"/>
  <c r="X883"/>
  <c r="X357"/>
  <c r="AG366"/>
  <c r="AI366" s="1"/>
  <c r="I3183"/>
  <c r="K3170"/>
  <c r="K3631"/>
  <c r="K3633" s="1"/>
  <c r="R1223"/>
  <c r="T1223" s="1"/>
  <c r="P1265"/>
  <c r="I3252"/>
  <c r="K3252" s="1"/>
  <c r="I1465"/>
  <c r="K1465" s="1"/>
  <c r="K1470" s="1"/>
  <c r="K1472" s="1"/>
  <c r="I1478"/>
  <c r="K1478" s="1"/>
  <c r="K1483" s="1"/>
  <c r="K1485" s="1"/>
  <c r="I1453"/>
  <c r="K1453" s="1"/>
  <c r="K1458" s="1"/>
  <c r="K1460" s="1"/>
  <c r="I1392"/>
  <c r="K1392" s="1"/>
  <c r="K1398" s="1"/>
  <c r="K1400" s="1"/>
  <c r="P336"/>
  <c r="R336" s="1"/>
  <c r="R342" s="1"/>
  <c r="R344" s="1"/>
  <c r="V312"/>
  <c r="X312" s="1"/>
  <c r="I297"/>
  <c r="K297" s="1"/>
  <c r="K304" s="1"/>
  <c r="K306" s="1"/>
  <c r="AG312"/>
  <c r="AI312" s="1"/>
  <c r="I312"/>
  <c r="K312" s="1"/>
  <c r="K319" s="1"/>
  <c r="K321" s="1"/>
  <c r="I196"/>
  <c r="K196" s="1"/>
  <c r="K202" s="1"/>
  <c r="K204" s="1"/>
  <c r="AS64"/>
  <c r="AU64" s="1"/>
  <c r="P80"/>
  <c r="R80" s="1"/>
  <c r="R87" s="1"/>
  <c r="R89" s="1"/>
  <c r="P654" s="1"/>
  <c r="R654" s="1"/>
  <c r="AD554"/>
  <c r="AF554" s="1"/>
  <c r="AK530"/>
  <c r="AF530"/>
  <c r="V1405"/>
  <c r="X1389"/>
  <c r="K1310"/>
  <c r="K1312" s="1"/>
  <c r="R1436"/>
  <c r="P1452"/>
  <c r="K14"/>
  <c r="K612"/>
  <c r="I612"/>
  <c r="I3831"/>
  <c r="K3831" s="1"/>
  <c r="K3464"/>
  <c r="P3470"/>
  <c r="R3470" s="1"/>
  <c r="P1261"/>
  <c r="P1224"/>
  <c r="R1219"/>
  <c r="T1219" s="1"/>
  <c r="V900"/>
  <c r="X900" s="1"/>
  <c r="X884"/>
  <c r="I4021"/>
  <c r="K4021" s="1"/>
  <c r="K4020"/>
  <c r="V1300"/>
  <c r="R1334"/>
  <c r="AD1190"/>
  <c r="P1174"/>
  <c r="R1174" s="1"/>
  <c r="R1143"/>
  <c r="X315"/>
  <c r="AG315"/>
  <c r="AI315" s="1"/>
  <c r="AS67"/>
  <c r="V414"/>
  <c r="X414" s="1"/>
  <c r="X383"/>
  <c r="AG392"/>
  <c r="AG2789"/>
  <c r="AI2789" s="1"/>
  <c r="P2824"/>
  <c r="K2817"/>
  <c r="V2785"/>
  <c r="X2785" s="1"/>
  <c r="K1093"/>
  <c r="K1095" s="1"/>
  <c r="K1097" s="1"/>
  <c r="I1108"/>
  <c r="K1108" s="1"/>
  <c r="K1110" s="1"/>
  <c r="K1112" s="1"/>
  <c r="C23" i="64" s="1"/>
  <c r="K3083" i="74"/>
  <c r="K3085" s="1"/>
  <c r="L2691"/>
  <c r="V3622"/>
  <c r="AI3559"/>
  <c r="P3569"/>
  <c r="R3569" s="1"/>
  <c r="K3566"/>
  <c r="P1461"/>
  <c r="R1444"/>
  <c r="P2100"/>
  <c r="R2094"/>
  <c r="K118"/>
  <c r="K119" s="1"/>
  <c r="K120" s="1"/>
  <c r="K121" s="1"/>
  <c r="L116"/>
  <c r="K3368"/>
  <c r="I3355"/>
  <c r="K3355" s="1"/>
  <c r="X1404"/>
  <c r="AD1402"/>
  <c r="W540"/>
  <c r="AE540" s="1"/>
  <c r="AL540" s="1"/>
  <c r="J541"/>
  <c r="P1111"/>
  <c r="R1089"/>
  <c r="K3169"/>
  <c r="K3174" s="1"/>
  <c r="K3175" s="1"/>
  <c r="I3182"/>
  <c r="AW132"/>
  <c r="AX132" s="1"/>
  <c r="R1225"/>
  <c r="T1225" s="1"/>
  <c r="P1267"/>
  <c r="R3406"/>
  <c r="R3408" s="1"/>
  <c r="I3963"/>
  <c r="K3947"/>
  <c r="K3610"/>
  <c r="K3612" s="1"/>
  <c r="P2348"/>
  <c r="R2348" s="1"/>
  <c r="K140"/>
  <c r="K144" s="1"/>
  <c r="C12" i="64" s="1"/>
  <c r="AG339" i="74"/>
  <c r="AI339" s="1"/>
  <c r="X339"/>
  <c r="K3357"/>
  <c r="K3358" s="1"/>
  <c r="K1651"/>
  <c r="K1653" s="1"/>
  <c r="V3163"/>
  <c r="X3163" s="1"/>
  <c r="X3138"/>
  <c r="AD553"/>
  <c r="AF553" s="1"/>
  <c r="AF529"/>
  <c r="AK529"/>
  <c r="I3587"/>
  <c r="K3587" s="1"/>
  <c r="K3589" s="1"/>
  <c r="K3590" s="1"/>
  <c r="J3592" s="1"/>
  <c r="J3593" s="1"/>
  <c r="J3594" s="1"/>
  <c r="J3595" s="1"/>
  <c r="K3578"/>
  <c r="K3580" s="1"/>
  <c r="K3581" s="1"/>
  <c r="K3591" s="1"/>
  <c r="I3592" s="1"/>
  <c r="K3592" s="1"/>
  <c r="I3593" s="1"/>
  <c r="K3593" s="1"/>
  <c r="I3594" s="1"/>
  <c r="K3594" s="1"/>
  <c r="I3595" s="1"/>
  <c r="K3595" s="1"/>
  <c r="V3248"/>
  <c r="X3248" s="1"/>
  <c r="X3259" s="1"/>
  <c r="X3261" s="1"/>
  <c r="K3280"/>
  <c r="K3291" s="1"/>
  <c r="K3293" s="1"/>
  <c r="K2928"/>
  <c r="I2947"/>
  <c r="R1438"/>
  <c r="R1335"/>
  <c r="V1302"/>
  <c r="AD1191"/>
  <c r="W590"/>
  <c r="R22"/>
  <c r="R28" s="1"/>
  <c r="R30" s="1"/>
  <c r="J665"/>
  <c r="W489"/>
  <c r="AE489" s="1"/>
  <c r="V762"/>
  <c r="X762" s="1"/>
  <c r="X676"/>
  <c r="V730"/>
  <c r="X730" s="1"/>
  <c r="AI2627"/>
  <c r="AI2629" s="1"/>
  <c r="P3261"/>
  <c r="R3192"/>
  <c r="R3201" s="1"/>
  <c r="R3203" s="1"/>
  <c r="H3890"/>
  <c r="J3890" s="1"/>
  <c r="J3874"/>
  <c r="I3996"/>
  <c r="AD1378"/>
  <c r="AF1361"/>
  <c r="AG429"/>
  <c r="AI429" s="1"/>
  <c r="AS393"/>
  <c r="AU393" s="1"/>
  <c r="AI393"/>
  <c r="I3547"/>
  <c r="I3109"/>
  <c r="X587"/>
  <c r="X589" s="1"/>
  <c r="X590" s="1"/>
  <c r="X591" s="1"/>
  <c r="X592" s="1"/>
  <c r="X593" s="1"/>
  <c r="X594" s="1"/>
  <c r="X595" s="1"/>
  <c r="Z590" s="1"/>
  <c r="Z591" s="1"/>
  <c r="Z592" s="1"/>
  <c r="Z593" s="1"/>
  <c r="Z594" s="1"/>
  <c r="AI3558"/>
  <c r="V3621"/>
  <c r="I3939"/>
  <c r="K3921"/>
  <c r="V3162"/>
  <c r="X3162" s="1"/>
  <c r="X3137"/>
  <c r="V3577"/>
  <c r="X3561"/>
  <c r="P1114"/>
  <c r="R1093"/>
  <c r="H3852"/>
  <c r="K2607"/>
  <c r="K2612" s="1"/>
  <c r="K2615" s="1"/>
  <c r="M2615" s="1"/>
  <c r="V3620"/>
  <c r="AI3557"/>
  <c r="P1536"/>
  <c r="R1536" s="1"/>
  <c r="R1493"/>
  <c r="V1454"/>
  <c r="V3619"/>
  <c r="AI3556"/>
  <c r="K2154"/>
  <c r="R1217"/>
  <c r="T1217" s="1"/>
  <c r="P1259"/>
  <c r="V427"/>
  <c r="X427" s="1"/>
  <c r="X395"/>
  <c r="AW107"/>
  <c r="AX107" s="1"/>
  <c r="I777"/>
  <c r="K777" s="1"/>
  <c r="K792" s="1"/>
  <c r="K794" s="1"/>
  <c r="K768"/>
  <c r="K770" s="1"/>
  <c r="I2356" s="1"/>
  <c r="K3565"/>
  <c r="K3569" s="1"/>
  <c r="P3568"/>
  <c r="R3568" s="1"/>
  <c r="R3572" s="1"/>
  <c r="P1893"/>
  <c r="R1893" s="1"/>
  <c r="R1862"/>
  <c r="V1242"/>
  <c r="R1262"/>
  <c r="P1239"/>
  <c r="R1239" s="1"/>
  <c r="R3303"/>
  <c r="R3305" s="1"/>
  <c r="K3747"/>
  <c r="K3752" s="1"/>
  <c r="K3753" s="1"/>
  <c r="I3644"/>
  <c r="I3807"/>
  <c r="K3807" s="1"/>
  <c r="K3812" s="1"/>
  <c r="K3814" s="1"/>
  <c r="AD1332"/>
  <c r="AE1332" s="1"/>
  <c r="AE1336" s="1"/>
  <c r="AE1337" s="1"/>
  <c r="V1341" s="1"/>
  <c r="X1341" s="1"/>
  <c r="I1271"/>
  <c r="I211"/>
  <c r="K211" s="1"/>
  <c r="K217" s="1"/>
  <c r="K219" s="1"/>
  <c r="C14" i="64" s="1"/>
  <c r="P319" i="74"/>
  <c r="R319" s="1"/>
  <c r="R325" s="1"/>
  <c r="R327" s="1"/>
  <c r="P307"/>
  <c r="R307" s="1"/>
  <c r="R313" s="1"/>
  <c r="R315" s="1"/>
  <c r="P66"/>
  <c r="R66" s="1"/>
  <c r="R72" s="1"/>
  <c r="R74" s="1"/>
  <c r="P653" s="1"/>
  <c r="R653" s="1"/>
  <c r="AS90"/>
  <c r="AU66"/>
  <c r="AT3114"/>
  <c r="AT3115" s="1"/>
  <c r="AT3116" s="1"/>
  <c r="AS3114"/>
  <c r="AS3115" s="1"/>
  <c r="AS3116" s="1"/>
  <c r="I3682"/>
  <c r="K3682" s="1"/>
  <c r="K3661"/>
  <c r="K3675" s="1"/>
  <c r="K3677" s="1"/>
  <c r="I4064"/>
  <c r="K4064" s="1"/>
  <c r="K4074" s="1"/>
  <c r="K4076" s="1"/>
  <c r="X3114"/>
  <c r="X3124" s="1"/>
  <c r="X3126" s="1"/>
  <c r="V3131"/>
  <c r="K3370"/>
  <c r="K3371" s="1"/>
  <c r="K2398"/>
  <c r="K2403" s="1"/>
  <c r="I2410"/>
  <c r="AG337"/>
  <c r="AI337" s="1"/>
  <c r="X337"/>
  <c r="V767"/>
  <c r="X767" s="1"/>
  <c r="X681"/>
  <c r="V735"/>
  <c r="X735" s="1"/>
  <c r="V198"/>
  <c r="X198" s="1"/>
  <c r="R198"/>
  <c r="I1897"/>
  <c r="K1897" s="1"/>
  <c r="K1899" s="1"/>
  <c r="K1888"/>
  <c r="K1890" s="1"/>
  <c r="P1491"/>
  <c r="R1460"/>
  <c r="V1421"/>
  <c r="X1421" s="1"/>
  <c r="P1494"/>
  <c r="V1424"/>
  <c r="X1424" s="1"/>
  <c r="R1463"/>
  <c r="R57"/>
  <c r="R60" s="1"/>
  <c r="AS92"/>
  <c r="AU68"/>
  <c r="K3926"/>
  <c r="I3944"/>
  <c r="I3455"/>
  <c r="I2424"/>
  <c r="I1706"/>
  <c r="K1706" s="1"/>
  <c r="K1711" s="1"/>
  <c r="K1713" s="1"/>
  <c r="I1433"/>
  <c r="K1433" s="1"/>
  <c r="I1376"/>
  <c r="K1376" s="1"/>
  <c r="I1336"/>
  <c r="K1336" s="1"/>
  <c r="K1342" s="1"/>
  <c r="K1344" s="1"/>
  <c r="I1220"/>
  <c r="I1418"/>
  <c r="K1418" s="1"/>
  <c r="K1424" s="1"/>
  <c r="K1426" s="1"/>
  <c r="C32" i="64" s="1"/>
  <c r="P1333" i="74"/>
  <c r="I1249"/>
  <c r="I1354"/>
  <c r="K1354" s="1"/>
  <c r="I620"/>
  <c r="K620" s="1"/>
  <c r="K625" s="1"/>
  <c r="K627" s="1"/>
  <c r="I628" s="1"/>
  <c r="K628" s="1"/>
  <c r="P348"/>
  <c r="R348" s="1"/>
  <c r="R354" s="1"/>
  <c r="R356" s="1"/>
  <c r="P296"/>
  <c r="R296" s="1"/>
  <c r="R302" s="1"/>
  <c r="R304" s="1"/>
  <c r="P196"/>
  <c r="I2899"/>
  <c r="K2899" s="1"/>
  <c r="K505"/>
  <c r="K2148"/>
  <c r="P2155"/>
  <c r="R2155" s="1"/>
  <c r="R2163" s="1"/>
  <c r="R2165" s="1"/>
  <c r="V1459"/>
  <c r="R1498"/>
  <c r="X1387"/>
  <c r="V1403"/>
  <c r="AD1374"/>
  <c r="AF1357"/>
  <c r="AF1363" s="1"/>
  <c r="V3707"/>
  <c r="V3659"/>
  <c r="P1100"/>
  <c r="R1074"/>
  <c r="R1075" s="1"/>
  <c r="R1077" s="1"/>
  <c r="K3064"/>
  <c r="K3066" s="1"/>
  <c r="I3491"/>
  <c r="K3491" s="1"/>
  <c r="K3494" s="1"/>
  <c r="I2872"/>
  <c r="K2872" s="1"/>
  <c r="K2875" s="1"/>
  <c r="K2877" s="1"/>
  <c r="I2671"/>
  <c r="I1136"/>
  <c r="K587"/>
  <c r="K589" s="1"/>
  <c r="I590" s="1"/>
  <c r="K590" s="1"/>
  <c r="I591" s="1"/>
  <c r="K591" s="1"/>
  <c r="I592" s="1"/>
  <c r="K592" s="1"/>
  <c r="I593" s="1"/>
  <c r="K593" s="1"/>
  <c r="I594" s="1"/>
  <c r="K594" s="1"/>
  <c r="X381"/>
  <c r="V412"/>
  <c r="X412" s="1"/>
  <c r="AG390"/>
  <c r="V3571"/>
  <c r="X3555"/>
  <c r="K1017"/>
  <c r="K1028" s="1"/>
  <c r="K1030" s="1"/>
  <c r="P1091"/>
  <c r="J563"/>
  <c r="W564"/>
  <c r="AE564" s="1"/>
  <c r="AL564" s="1"/>
  <c r="M96"/>
  <c r="M97" s="1"/>
  <c r="K96"/>
  <c r="K99" s="1"/>
  <c r="K101" s="1"/>
  <c r="R1263"/>
  <c r="V1243"/>
  <c r="P1240"/>
  <c r="R1240" s="1"/>
  <c r="K3695"/>
  <c r="K3697" s="1"/>
  <c r="K2577"/>
  <c r="K2580" s="1"/>
  <c r="K2583" s="1"/>
  <c r="I3546"/>
  <c r="P3534"/>
  <c r="R3534" s="1"/>
  <c r="K3530"/>
  <c r="AL1204"/>
  <c r="AE1205"/>
  <c r="P1892"/>
  <c r="R1892" s="1"/>
  <c r="R1899" s="1"/>
  <c r="R1901" s="1"/>
  <c r="P1910" s="1"/>
  <c r="R1910" s="1"/>
  <c r="R1912" s="1"/>
  <c r="R1861"/>
  <c r="AS195"/>
  <c r="AU195" s="1"/>
  <c r="AU163"/>
  <c r="I3945"/>
  <c r="K3927"/>
  <c r="AG368"/>
  <c r="AI368" s="1"/>
  <c r="X359"/>
  <c r="P1112"/>
  <c r="R1090"/>
  <c r="R3372"/>
  <c r="R3374" s="1"/>
  <c r="V1301"/>
  <c r="V1240"/>
  <c r="P1237"/>
  <c r="R1237" s="1"/>
  <c r="R1260"/>
  <c r="I1200"/>
  <c r="K1200" s="1"/>
  <c r="K1211" s="1"/>
  <c r="K1213" s="1"/>
  <c r="I1405"/>
  <c r="K1405" s="1"/>
  <c r="K1412" s="1"/>
  <c r="K1414" s="1"/>
  <c r="C31" i="64" s="1"/>
  <c r="I445" i="74"/>
  <c r="K445" s="1"/>
  <c r="K452" s="1"/>
  <c r="K454" s="1"/>
  <c r="I459" s="1"/>
  <c r="K459" s="1"/>
  <c r="K463" s="1"/>
  <c r="K465" s="1"/>
  <c r="K467" s="1"/>
  <c r="I380"/>
  <c r="I487"/>
  <c r="K487" s="1"/>
  <c r="K495" s="1"/>
  <c r="K497" s="1"/>
  <c r="P362"/>
  <c r="R362" s="1"/>
  <c r="R370" s="1"/>
  <c r="R372" s="1"/>
  <c r="I356"/>
  <c r="I411"/>
  <c r="K411" s="1"/>
  <c r="K418" s="1"/>
  <c r="K420" s="1"/>
  <c r="P232"/>
  <c r="R232" s="1"/>
  <c r="R238" s="1"/>
  <c r="R240" s="1"/>
  <c r="AS133"/>
  <c r="P164"/>
  <c r="R164" s="1"/>
  <c r="R170" s="1"/>
  <c r="R172" s="1"/>
  <c r="AS108"/>
  <c r="AU108" s="1"/>
  <c r="V3574"/>
  <c r="X3558"/>
  <c r="K2353"/>
  <c r="L2318"/>
  <c r="R1868"/>
  <c r="R1870" s="1"/>
  <c r="P1879" s="1"/>
  <c r="R1879" s="1"/>
  <c r="R1881" s="1"/>
  <c r="V3573"/>
  <c r="X3557"/>
  <c r="I2897"/>
  <c r="K2897" s="1"/>
  <c r="K503"/>
  <c r="K511" s="1"/>
  <c r="K513" s="1"/>
  <c r="X1380"/>
  <c r="X1382" s="1"/>
  <c r="V1397"/>
  <c r="X1456"/>
  <c r="AD1454"/>
  <c r="AF1454" s="1"/>
  <c r="X3556"/>
  <c r="V3572"/>
  <c r="AG313"/>
  <c r="AI313" s="1"/>
  <c r="AI319" s="1"/>
  <c r="AI321" s="1"/>
  <c r="X313"/>
  <c r="AS65"/>
  <c r="V1323"/>
  <c r="X1323" s="1"/>
  <c r="X1303"/>
  <c r="R405"/>
  <c r="R407" s="1"/>
  <c r="P414" s="1"/>
  <c r="R414" s="1"/>
  <c r="R416" s="1"/>
  <c r="R418" s="1"/>
  <c r="L23" i="68" l="1"/>
  <c r="N23"/>
  <c r="L62"/>
  <c r="N62"/>
  <c r="C32"/>
  <c r="C32" i="65"/>
  <c r="C31" i="66"/>
  <c r="L31" i="64"/>
  <c r="H31"/>
  <c r="C14" i="68"/>
  <c r="C15" i="65"/>
  <c r="C14" i="66"/>
  <c r="L14" i="64"/>
  <c r="H14"/>
  <c r="J14"/>
  <c r="C24" i="68"/>
  <c r="C24" i="65"/>
  <c r="C23" i="66"/>
  <c r="P23" i="64"/>
  <c r="J23"/>
  <c r="L23"/>
  <c r="H23"/>
  <c r="C33" i="68"/>
  <c r="C33" i="65"/>
  <c r="C32" i="66"/>
  <c r="P32" i="64"/>
  <c r="J32"/>
  <c r="L32"/>
  <c r="H32"/>
  <c r="C12" i="68"/>
  <c r="C13" i="65"/>
  <c r="C12" i="66"/>
  <c r="F12" i="64"/>
  <c r="H12"/>
  <c r="K2905" i="74"/>
  <c r="K2907" s="1"/>
  <c r="K2911" s="1"/>
  <c r="K2913" s="1"/>
  <c r="C15" i="66"/>
  <c r="C16" i="65"/>
  <c r="L15" i="64"/>
  <c r="H15"/>
  <c r="K1117" i="75"/>
  <c r="K1119" s="1"/>
  <c r="C56" i="66"/>
  <c r="C62" i="65"/>
  <c r="F61" i="64"/>
  <c r="P61"/>
  <c r="L61"/>
  <c r="J61"/>
  <c r="P656" i="74"/>
  <c r="R656" s="1"/>
  <c r="K285"/>
  <c r="K287" s="1"/>
  <c r="K288" s="1"/>
  <c r="K289" s="1"/>
  <c r="K290" s="1"/>
  <c r="K291" s="1"/>
  <c r="I637"/>
  <c r="K637" s="1"/>
  <c r="K641" s="1"/>
  <c r="K643" s="1"/>
  <c r="P599" s="1"/>
  <c r="R599" s="1"/>
  <c r="I2441"/>
  <c r="K2441" s="1"/>
  <c r="C25" i="64"/>
  <c r="P1172" i="74"/>
  <c r="R1172" s="1"/>
  <c r="R1183" s="1"/>
  <c r="R1141"/>
  <c r="R1152" s="1"/>
  <c r="R1156" s="1"/>
  <c r="S1159" s="1"/>
  <c r="I629"/>
  <c r="K629" s="1"/>
  <c r="C49" i="64"/>
  <c r="K2156" i="74"/>
  <c r="K2158" s="1"/>
  <c r="I1781"/>
  <c r="K1781" s="1"/>
  <c r="K1790" s="1"/>
  <c r="C13" i="64"/>
  <c r="P628" i="74"/>
  <c r="R628" s="1"/>
  <c r="C30" i="64"/>
  <c r="K246" i="75"/>
  <c r="K248" s="1"/>
  <c r="V761" i="74"/>
  <c r="X761" s="1"/>
  <c r="V729"/>
  <c r="X729" s="1"/>
  <c r="X675"/>
  <c r="K1120" i="75"/>
  <c r="K1126"/>
  <c r="M1119"/>
  <c r="L1121"/>
  <c r="I1089"/>
  <c r="K1089" s="1"/>
  <c r="K1095" s="1"/>
  <c r="K127"/>
  <c r="K133" s="1"/>
  <c r="K403"/>
  <c r="L402"/>
  <c r="I1174"/>
  <c r="I1153"/>
  <c r="K1153" s="1"/>
  <c r="K1141"/>
  <c r="I984"/>
  <c r="K984" s="1"/>
  <c r="K992" s="1"/>
  <c r="I283"/>
  <c r="P242"/>
  <c r="K269"/>
  <c r="M566"/>
  <c r="L569"/>
  <c r="M1077"/>
  <c r="K1077"/>
  <c r="L1078"/>
  <c r="L156"/>
  <c r="K157"/>
  <c r="L585"/>
  <c r="K588"/>
  <c r="L589" s="1"/>
  <c r="K268"/>
  <c r="K273" s="1"/>
  <c r="P241"/>
  <c r="R241" s="1"/>
  <c r="I652"/>
  <c r="K612"/>
  <c r="I606" s="1"/>
  <c r="K606" s="1"/>
  <c r="K610" s="1"/>
  <c r="L610" s="1"/>
  <c r="M913"/>
  <c r="L913"/>
  <c r="K232"/>
  <c r="L232"/>
  <c r="R805"/>
  <c r="R807" s="1"/>
  <c r="S807" s="1"/>
  <c r="W805"/>
  <c r="AU71" i="74"/>
  <c r="AU73" s="1"/>
  <c r="AU75" s="1"/>
  <c r="AU76" s="1"/>
  <c r="AU77" s="1"/>
  <c r="AU78" s="1"/>
  <c r="AU79" s="1"/>
  <c r="P597"/>
  <c r="AI323"/>
  <c r="R3536"/>
  <c r="R3537" s="1"/>
  <c r="X3572"/>
  <c r="V3587"/>
  <c r="X1397"/>
  <c r="V1413"/>
  <c r="K356"/>
  <c r="K363" s="1"/>
  <c r="K365" s="1"/>
  <c r="K367" s="1"/>
  <c r="V356"/>
  <c r="P657"/>
  <c r="R657" s="1"/>
  <c r="K468"/>
  <c r="K469" s="1"/>
  <c r="K470" s="1"/>
  <c r="P3550"/>
  <c r="R3550" s="1"/>
  <c r="AG3546"/>
  <c r="V3546"/>
  <c r="K3546"/>
  <c r="X1243"/>
  <c r="AD1248"/>
  <c r="X3571"/>
  <c r="V3586"/>
  <c r="K602"/>
  <c r="I595"/>
  <c r="K595" s="1"/>
  <c r="I596" s="1"/>
  <c r="K596" s="1"/>
  <c r="I597" s="1"/>
  <c r="K597" s="1"/>
  <c r="I598" s="1"/>
  <c r="K598" s="1"/>
  <c r="I599" s="1"/>
  <c r="K599" s="1"/>
  <c r="X3659"/>
  <c r="X3667" s="1"/>
  <c r="X3668" s="1"/>
  <c r="V3689"/>
  <c r="X3689" s="1"/>
  <c r="X3695" s="1"/>
  <c r="X3696" s="1"/>
  <c r="AG3660"/>
  <c r="AI3660" s="1"/>
  <c r="AI3661" s="1"/>
  <c r="AI3662" s="1"/>
  <c r="X1403"/>
  <c r="AD1401"/>
  <c r="AD1457"/>
  <c r="AF1457" s="1"/>
  <c r="X1459"/>
  <c r="AD1189"/>
  <c r="P1373"/>
  <c r="R1373" s="1"/>
  <c r="R1333"/>
  <c r="R1338" s="1"/>
  <c r="R1340" s="1"/>
  <c r="R1341" s="1"/>
  <c r="R1342" s="1"/>
  <c r="R1343" s="1"/>
  <c r="R1344" s="1"/>
  <c r="R1345" s="1"/>
  <c r="Q1341" s="1"/>
  <c r="Q1342" s="1"/>
  <c r="V1299"/>
  <c r="V1332"/>
  <c r="X1332" s="1"/>
  <c r="I3822"/>
  <c r="K3822" s="1"/>
  <c r="K3835" s="1"/>
  <c r="K3837" s="1"/>
  <c r="P3461"/>
  <c r="R3461" s="1"/>
  <c r="K3455"/>
  <c r="K3468" s="1"/>
  <c r="K3470" s="1"/>
  <c r="AD1247"/>
  <c r="X1242"/>
  <c r="P1236"/>
  <c r="R1236" s="1"/>
  <c r="R1259"/>
  <c r="V1239"/>
  <c r="AD3619"/>
  <c r="AF3619" s="1"/>
  <c r="X3619"/>
  <c r="K3109"/>
  <c r="K3112" s="1"/>
  <c r="K3114" s="1"/>
  <c r="P2083"/>
  <c r="R2083" s="1"/>
  <c r="R2085" s="1"/>
  <c r="R2087" s="1"/>
  <c r="R1158"/>
  <c r="R1159" s="1"/>
  <c r="R1160" s="1"/>
  <c r="R1161" s="1"/>
  <c r="R1162" s="1"/>
  <c r="R1163" s="1"/>
  <c r="R1164" s="1"/>
  <c r="R1165" s="1"/>
  <c r="R1166" s="1"/>
  <c r="R1167" s="1"/>
  <c r="R1168" s="1"/>
  <c r="R1169" s="1"/>
  <c r="R1170" s="1"/>
  <c r="R1171" s="1"/>
  <c r="R1267"/>
  <c r="V1247"/>
  <c r="P1244"/>
  <c r="R1244" s="1"/>
  <c r="P1383"/>
  <c r="R1383" s="1"/>
  <c r="I3197"/>
  <c r="K3182"/>
  <c r="K3187" s="1"/>
  <c r="K3188" s="1"/>
  <c r="W541"/>
  <c r="AE541" s="1"/>
  <c r="AL541" s="1"/>
  <c r="J542"/>
  <c r="AU67"/>
  <c r="AS91"/>
  <c r="I613"/>
  <c r="K613"/>
  <c r="AD1403"/>
  <c r="X1405"/>
  <c r="I3254"/>
  <c r="K3254" s="1"/>
  <c r="K3258" s="1"/>
  <c r="K3260" s="1"/>
  <c r="K3183"/>
  <c r="I3268"/>
  <c r="K3268" s="1"/>
  <c r="L3234" s="1"/>
  <c r="I3300"/>
  <c r="K3300" s="1"/>
  <c r="K860"/>
  <c r="V860"/>
  <c r="X860" s="1"/>
  <c r="P853"/>
  <c r="R853" s="1"/>
  <c r="AF644"/>
  <c r="AH644" s="1"/>
  <c r="AH650" s="1"/>
  <c r="AH652" s="1"/>
  <c r="AH654" s="1"/>
  <c r="V707"/>
  <c r="X644"/>
  <c r="X650" s="1"/>
  <c r="X652" s="1"/>
  <c r="X654" s="1"/>
  <c r="V336"/>
  <c r="K336"/>
  <c r="K343" s="1"/>
  <c r="K345" s="1"/>
  <c r="K347" s="1"/>
  <c r="X678"/>
  <c r="V764"/>
  <c r="X764" s="1"/>
  <c r="V732"/>
  <c r="X732" s="1"/>
  <c r="P613"/>
  <c r="R613" s="1"/>
  <c r="AU65"/>
  <c r="AS89"/>
  <c r="V3588"/>
  <c r="X3573"/>
  <c r="AU133"/>
  <c r="AS164"/>
  <c r="AU164" s="1"/>
  <c r="AD1245"/>
  <c r="X1240"/>
  <c r="V3635"/>
  <c r="X3635" s="1"/>
  <c r="R1112"/>
  <c r="I3961"/>
  <c r="K3945"/>
  <c r="W565"/>
  <c r="AE565" s="1"/>
  <c r="AL565" s="1"/>
  <c r="J564"/>
  <c r="J565" s="1"/>
  <c r="J566" s="1"/>
  <c r="J567" s="1"/>
  <c r="J568" s="1"/>
  <c r="J569" s="1"/>
  <c r="J570" s="1"/>
  <c r="J571" s="1"/>
  <c r="R1091"/>
  <c r="P1113"/>
  <c r="AG426"/>
  <c r="AS390"/>
  <c r="AU390" s="1"/>
  <c r="AG404"/>
  <c r="AI404" s="1"/>
  <c r="AI390"/>
  <c r="I3531"/>
  <c r="P3535" s="1"/>
  <c r="R3535" s="1"/>
  <c r="K1136"/>
  <c r="K1139" s="1"/>
  <c r="K1141" s="1"/>
  <c r="V3721"/>
  <c r="X3721" s="1"/>
  <c r="X3723" s="1"/>
  <c r="X3724" s="1"/>
  <c r="X3707"/>
  <c r="X3709" s="1"/>
  <c r="X3710" s="1"/>
  <c r="K1440"/>
  <c r="K1442" s="1"/>
  <c r="L1412"/>
  <c r="K3944"/>
  <c r="I3960"/>
  <c r="R1491"/>
  <c r="V1452"/>
  <c r="I2360"/>
  <c r="I2354"/>
  <c r="I2386" s="1"/>
  <c r="K2386" s="1"/>
  <c r="I2358"/>
  <c r="H3873"/>
  <c r="J3852"/>
  <c r="J3857" s="1"/>
  <c r="J3859" s="1"/>
  <c r="V3592"/>
  <c r="X3577"/>
  <c r="I3955"/>
  <c r="K3939"/>
  <c r="V3547"/>
  <c r="AG3547"/>
  <c r="AG3563" s="1"/>
  <c r="P3551"/>
  <c r="R3551" s="1"/>
  <c r="J666"/>
  <c r="J667" s="1"/>
  <c r="J668" s="1"/>
  <c r="J669" s="1"/>
  <c r="J670" s="1"/>
  <c r="W490"/>
  <c r="AE490" s="1"/>
  <c r="AE491" s="1"/>
  <c r="AE492" s="1"/>
  <c r="AE493" s="1"/>
  <c r="AE494" s="1"/>
  <c r="AE495" s="1"/>
  <c r="AE496" s="1"/>
  <c r="AE497" s="1"/>
  <c r="AK1191"/>
  <c r="AM1191" s="1"/>
  <c r="AF1191"/>
  <c r="K2947"/>
  <c r="I2956"/>
  <c r="K2956" s="1"/>
  <c r="I3980"/>
  <c r="K3980" s="1"/>
  <c r="K3963"/>
  <c r="P1492"/>
  <c r="R1461"/>
  <c r="V1422"/>
  <c r="X1422" s="1"/>
  <c r="R2824"/>
  <c r="P2857"/>
  <c r="R2857" s="1"/>
  <c r="AS392"/>
  <c r="AU392" s="1"/>
  <c r="AG428"/>
  <c r="AI428" s="1"/>
  <c r="AI392"/>
  <c r="AK1190"/>
  <c r="AM1190" s="1"/>
  <c r="AF1190"/>
  <c r="P1381"/>
  <c r="R1381" s="1"/>
  <c r="R1265"/>
  <c r="P1242"/>
  <c r="R1242" s="1"/>
  <c r="V1245"/>
  <c r="R1483"/>
  <c r="V1444"/>
  <c r="X1458"/>
  <c r="AD1456"/>
  <c r="AF1456" s="1"/>
  <c r="AD3624"/>
  <c r="AF3624" s="1"/>
  <c r="X3624"/>
  <c r="V817"/>
  <c r="X817" s="1"/>
  <c r="X826" s="1"/>
  <c r="AA815" s="1"/>
  <c r="AA816" s="1"/>
  <c r="AA817" s="1"/>
  <c r="AA818" s="1"/>
  <c r="AA819" s="1"/>
  <c r="AA820" s="1"/>
  <c r="AA821" s="1"/>
  <c r="AA822" s="1"/>
  <c r="AA823" s="1"/>
  <c r="AA824" s="1"/>
  <c r="X802"/>
  <c r="X811" s="1"/>
  <c r="K3532"/>
  <c r="K3533" s="1"/>
  <c r="R1459"/>
  <c r="P1490"/>
  <c r="V1420"/>
  <c r="X1420" s="1"/>
  <c r="P2344"/>
  <c r="R2344" s="1"/>
  <c r="I1767"/>
  <c r="K1767" s="1"/>
  <c r="K1775" s="1"/>
  <c r="K91"/>
  <c r="I550"/>
  <c r="K550" s="1"/>
  <c r="K555" s="1"/>
  <c r="K557" s="1"/>
  <c r="I559" s="1"/>
  <c r="K559" s="1"/>
  <c r="I560" s="1"/>
  <c r="K560" s="1"/>
  <c r="I561" s="1"/>
  <c r="K561" s="1"/>
  <c r="I562" s="1"/>
  <c r="K562" s="1"/>
  <c r="I563" s="1"/>
  <c r="K563" s="1"/>
  <c r="I564" s="1"/>
  <c r="K517"/>
  <c r="K519" s="1"/>
  <c r="I526"/>
  <c r="K526" s="1"/>
  <c r="K531" s="1"/>
  <c r="K533" s="1"/>
  <c r="I535" s="1"/>
  <c r="K535" s="1"/>
  <c r="I536" s="1"/>
  <c r="K536" s="1"/>
  <c r="I537" s="1"/>
  <c r="K537" s="1"/>
  <c r="I538" s="1"/>
  <c r="K538" s="1"/>
  <c r="I539" s="1"/>
  <c r="K539" s="1"/>
  <c r="I540" s="1"/>
  <c r="K540" s="1"/>
  <c r="I541" s="1"/>
  <c r="K541" s="1"/>
  <c r="I542" s="1"/>
  <c r="V3589"/>
  <c r="X3574"/>
  <c r="K2446"/>
  <c r="K2448" s="1"/>
  <c r="V1321"/>
  <c r="X1321" s="1"/>
  <c r="X1301"/>
  <c r="AW163"/>
  <c r="AX163" s="1"/>
  <c r="AL1205"/>
  <c r="AE1206"/>
  <c r="K104"/>
  <c r="K105" s="1"/>
  <c r="K102"/>
  <c r="K2671"/>
  <c r="K2674" s="1"/>
  <c r="K2676" s="1"/>
  <c r="P2678"/>
  <c r="V196"/>
  <c r="X196" s="1"/>
  <c r="X202" s="1"/>
  <c r="X204" s="1"/>
  <c r="R196"/>
  <c r="R202" s="1"/>
  <c r="R204" s="1"/>
  <c r="C15" i="68" s="1"/>
  <c r="K1220" i="74"/>
  <c r="K1238" s="1"/>
  <c r="K1241" s="1"/>
  <c r="P284" s="1"/>
  <c r="R284" s="1"/>
  <c r="R289" s="1"/>
  <c r="R291" s="1"/>
  <c r="P1216"/>
  <c r="I2383"/>
  <c r="K2383" s="1"/>
  <c r="K2390" s="1"/>
  <c r="K2392" s="1"/>
  <c r="C55" i="64" s="1"/>
  <c r="I1731" i="74"/>
  <c r="K1731" s="1"/>
  <c r="K1734" s="1"/>
  <c r="K1736" s="1"/>
  <c r="I1741" s="1"/>
  <c r="K1741" s="1"/>
  <c r="K1744" s="1"/>
  <c r="K1746" s="1"/>
  <c r="I1720"/>
  <c r="K1720" s="1"/>
  <c r="K1725" s="1"/>
  <c r="K1727" s="1"/>
  <c r="AU92"/>
  <c r="AS112"/>
  <c r="V1455"/>
  <c r="R1494"/>
  <c r="P1537"/>
  <c r="R1537" s="1"/>
  <c r="R1543" s="1"/>
  <c r="R1545" s="1"/>
  <c r="S1545" s="1"/>
  <c r="V3156"/>
  <c r="X3156" s="1"/>
  <c r="X3166" s="1"/>
  <c r="X3168" s="1"/>
  <c r="X3131"/>
  <c r="X3141" s="1"/>
  <c r="X3143" s="1"/>
  <c r="AU90"/>
  <c r="AS110"/>
  <c r="AD1395"/>
  <c r="AF1395" s="1"/>
  <c r="AF1378"/>
  <c r="V1322"/>
  <c r="X1322" s="1"/>
  <c r="X1302"/>
  <c r="AF1402"/>
  <c r="AD1419"/>
  <c r="AF1419" s="1"/>
  <c r="P2107"/>
  <c r="R2100"/>
  <c r="X3622"/>
  <c r="AD3622"/>
  <c r="AF3622" s="1"/>
  <c r="R1224"/>
  <c r="T1224" s="1"/>
  <c r="P1266"/>
  <c r="P1469"/>
  <c r="R1452"/>
  <c r="AM530"/>
  <c r="AK554"/>
  <c r="AM554" s="1"/>
  <c r="X319"/>
  <c r="X321" s="1"/>
  <c r="X323" s="1"/>
  <c r="V894"/>
  <c r="X894" s="1"/>
  <c r="X878"/>
  <c r="I2992"/>
  <c r="K2992" s="1"/>
  <c r="K2999" s="1"/>
  <c r="K3001" s="1"/>
  <c r="K821"/>
  <c r="P3548"/>
  <c r="R3548" s="1"/>
  <c r="V3544"/>
  <c r="K3544"/>
  <c r="K3548" s="1"/>
  <c r="K3549" s="1"/>
  <c r="AG3544"/>
  <c r="I2927"/>
  <c r="K2927" s="1"/>
  <c r="K2914"/>
  <c r="AW108"/>
  <c r="AX108" s="1"/>
  <c r="I426"/>
  <c r="K426" s="1"/>
  <c r="K430" s="1"/>
  <c r="K432" s="1"/>
  <c r="K434" s="1"/>
  <c r="K435" s="1"/>
  <c r="K436" s="1"/>
  <c r="K437" s="1"/>
  <c r="K438" s="1"/>
  <c r="P267"/>
  <c r="R267" s="1"/>
  <c r="R271" s="1"/>
  <c r="R273" s="1"/>
  <c r="R275" s="1"/>
  <c r="R276" s="1"/>
  <c r="R277" s="1"/>
  <c r="R278" s="1"/>
  <c r="K380"/>
  <c r="K387" s="1"/>
  <c r="K389" s="1"/>
  <c r="I394" s="1"/>
  <c r="K394" s="1"/>
  <c r="K398" s="1"/>
  <c r="K400" s="1"/>
  <c r="K402" s="1"/>
  <c r="V380"/>
  <c r="AW195"/>
  <c r="AX195" s="1"/>
  <c r="P1121"/>
  <c r="R1100"/>
  <c r="R1101" s="1"/>
  <c r="R1103" s="1"/>
  <c r="AD1391"/>
  <c r="AF1391" s="1"/>
  <c r="AF1397" s="1"/>
  <c r="AF1374"/>
  <c r="P655"/>
  <c r="R655" s="1"/>
  <c r="P612"/>
  <c r="R612" s="1"/>
  <c r="P598"/>
  <c r="R598" s="1"/>
  <c r="V1278"/>
  <c r="X1278" s="1"/>
  <c r="X1291" s="1"/>
  <c r="X1293" s="1"/>
  <c r="K1249"/>
  <c r="K1262" s="1"/>
  <c r="K1264" s="1"/>
  <c r="C52" i="64" s="1"/>
  <c r="I1355" i="74"/>
  <c r="K1355" s="1"/>
  <c r="V1333"/>
  <c r="X1333" s="1"/>
  <c r="I1377"/>
  <c r="K1377" s="1"/>
  <c r="K1385" s="1"/>
  <c r="K1387" s="1"/>
  <c r="P2431"/>
  <c r="R2431" s="1"/>
  <c r="R2440" s="1"/>
  <c r="R2442" s="1"/>
  <c r="K2424"/>
  <c r="K2433" s="1"/>
  <c r="K2435" s="1"/>
  <c r="I1991"/>
  <c r="I1971"/>
  <c r="I2105"/>
  <c r="K2105" s="1"/>
  <c r="K2111" s="1"/>
  <c r="P596"/>
  <c r="R596" s="1"/>
  <c r="P623"/>
  <c r="R623" s="1"/>
  <c r="P610"/>
  <c r="R610" s="1"/>
  <c r="I2443"/>
  <c r="K2443" s="1"/>
  <c r="K2410"/>
  <c r="K2415" s="1"/>
  <c r="AD1264"/>
  <c r="AF1264" s="1"/>
  <c r="AF1269" s="1"/>
  <c r="AF1271" s="1"/>
  <c r="I1285"/>
  <c r="K1285" s="1"/>
  <c r="K1290" s="1"/>
  <c r="K1292" s="1"/>
  <c r="K1271"/>
  <c r="K1276" s="1"/>
  <c r="K1278" s="1"/>
  <c r="C51" i="64" s="1"/>
  <c r="K3644" i="74"/>
  <c r="K3647" s="1"/>
  <c r="K3648" s="1"/>
  <c r="P3468"/>
  <c r="R3468" s="1"/>
  <c r="X1454"/>
  <c r="AD1452"/>
  <c r="AF1452" s="1"/>
  <c r="X3620"/>
  <c r="AD3620"/>
  <c r="AF3620" s="1"/>
  <c r="V3637"/>
  <c r="X3637" s="1"/>
  <c r="R1114"/>
  <c r="X3621"/>
  <c r="AD3621"/>
  <c r="AF3621" s="1"/>
  <c r="K3996"/>
  <c r="K3998" s="1"/>
  <c r="K3999" s="1"/>
  <c r="I4012"/>
  <c r="I3321"/>
  <c r="K3321" s="1"/>
  <c r="K3329" s="1"/>
  <c r="K3331" s="1"/>
  <c r="R3261"/>
  <c r="R3270" s="1"/>
  <c r="R3272" s="1"/>
  <c r="AM529"/>
  <c r="AK553"/>
  <c r="AM553" s="1"/>
  <c r="V3634"/>
  <c r="X3634" s="1"/>
  <c r="R1111"/>
  <c r="X1300"/>
  <c r="V1320"/>
  <c r="X1320" s="1"/>
  <c r="P1238"/>
  <c r="R1238" s="1"/>
  <c r="V1241"/>
  <c r="R1261"/>
  <c r="P625"/>
  <c r="R625" s="1"/>
  <c r="P624"/>
  <c r="R624" s="1"/>
  <c r="K323"/>
  <c r="X1437"/>
  <c r="AD1435"/>
  <c r="AF1435" s="1"/>
  <c r="I4025"/>
  <c r="K4010"/>
  <c r="P1539"/>
  <c r="R1539" s="1"/>
  <c r="V3590"/>
  <c r="X3575"/>
  <c r="X1393"/>
  <c r="X1399" s="1"/>
  <c r="V1409"/>
  <c r="P1465"/>
  <c r="R1448"/>
  <c r="R1454" s="1"/>
  <c r="R1455" s="1"/>
  <c r="N33" i="68" l="1"/>
  <c r="L33"/>
  <c r="L15"/>
  <c r="N16"/>
  <c r="L16"/>
  <c r="N24"/>
  <c r="L24"/>
  <c r="N12"/>
  <c r="L12"/>
  <c r="N32"/>
  <c r="L32"/>
  <c r="N14"/>
  <c r="L14"/>
  <c r="C52"/>
  <c r="C48" i="66"/>
  <c r="C53" i="65"/>
  <c r="P51" i="64"/>
  <c r="J51"/>
  <c r="L51"/>
  <c r="H51"/>
  <c r="C53" i="68"/>
  <c r="C54" i="65"/>
  <c r="C49" i="66"/>
  <c r="P52" i="64"/>
  <c r="J52"/>
  <c r="L52"/>
  <c r="H52"/>
  <c r="R672" i="74"/>
  <c r="C56" i="68"/>
  <c r="C56" i="65"/>
  <c r="C50" i="66"/>
  <c r="J55" i="64"/>
  <c r="H55"/>
  <c r="F55"/>
  <c r="P630" i="74"/>
  <c r="R630" s="1"/>
  <c r="C13" i="68"/>
  <c r="C14" i="65"/>
  <c r="C13" i="66"/>
  <c r="H13" i="64"/>
  <c r="I1989" i="74"/>
  <c r="C90" i="68"/>
  <c r="N90" s="1"/>
  <c r="I649" i="74"/>
  <c r="K649" s="1"/>
  <c r="K655" s="1"/>
  <c r="K657" s="1"/>
  <c r="I659" s="1"/>
  <c r="K659" s="1"/>
  <c r="I660" s="1"/>
  <c r="K660" s="1"/>
  <c r="I661" s="1"/>
  <c r="K661" s="1"/>
  <c r="I662" s="1"/>
  <c r="K662" s="1"/>
  <c r="I663" s="1"/>
  <c r="K663" s="1"/>
  <c r="I664" s="1"/>
  <c r="K664" s="1"/>
  <c r="I665" s="1"/>
  <c r="K665" s="1"/>
  <c r="I666" s="1"/>
  <c r="C31" i="68"/>
  <c r="C30" i="66"/>
  <c r="C31" i="65"/>
  <c r="H30" i="64"/>
  <c r="R1184" i="74"/>
  <c r="R1185" s="1"/>
  <c r="R1186" s="1"/>
  <c r="N89" i="68"/>
  <c r="C50"/>
  <c r="L49" i="64"/>
  <c r="H49"/>
  <c r="P49"/>
  <c r="J49"/>
  <c r="C26" i="68"/>
  <c r="C26" i="65"/>
  <c r="C25" i="66"/>
  <c r="L25" i="64"/>
  <c r="H25"/>
  <c r="I630" i="74"/>
  <c r="K630" s="1"/>
  <c r="I631" s="1"/>
  <c r="K631" s="1"/>
  <c r="I632" s="1"/>
  <c r="K632" s="1"/>
  <c r="C50" i="64"/>
  <c r="K256" i="75"/>
  <c r="K260" s="1"/>
  <c r="K261" s="1"/>
  <c r="C63" i="64" s="1"/>
  <c r="C64" i="68" s="1"/>
  <c r="K134" i="75"/>
  <c r="L134"/>
  <c r="K1096"/>
  <c r="C74" i="64" s="1"/>
  <c r="C75" i="68" s="1"/>
  <c r="M1096" i="75"/>
  <c r="L1097"/>
  <c r="L157"/>
  <c r="K158"/>
  <c r="R242"/>
  <c r="R246" s="1"/>
  <c r="AE242"/>
  <c r="AG242" s="1"/>
  <c r="AG246" s="1"/>
  <c r="K1130"/>
  <c r="K1131" s="1"/>
  <c r="L1131" s="1"/>
  <c r="K1139"/>
  <c r="K652"/>
  <c r="I646" s="1"/>
  <c r="K646" s="1"/>
  <c r="K650" s="1"/>
  <c r="L650" s="1"/>
  <c r="I797"/>
  <c r="M585"/>
  <c r="L588"/>
  <c r="P283"/>
  <c r="K283"/>
  <c r="K287" s="1"/>
  <c r="K1174"/>
  <c r="I1189"/>
  <c r="K1189" s="1"/>
  <c r="W815"/>
  <c r="Y815" s="1"/>
  <c r="Y817" s="1"/>
  <c r="Y805"/>
  <c r="Y807" s="1"/>
  <c r="Z807" s="1"/>
  <c r="N566"/>
  <c r="M569"/>
  <c r="P568" s="1"/>
  <c r="K993"/>
  <c r="C72" i="64" s="1"/>
  <c r="C73" i="68" s="1"/>
  <c r="M993" i="75"/>
  <c r="K1014"/>
  <c r="K274"/>
  <c r="C62" i="64" s="1"/>
  <c r="C63" i="68" s="1"/>
  <c r="L275" i="75"/>
  <c r="K249"/>
  <c r="L250"/>
  <c r="P1496" i="74"/>
  <c r="R1465"/>
  <c r="R1471" s="1"/>
  <c r="V1426"/>
  <c r="X1426" s="1"/>
  <c r="AG3560"/>
  <c r="AI3544"/>
  <c r="K3955"/>
  <c r="I3972"/>
  <c r="K3972" s="1"/>
  <c r="H3889"/>
  <c r="J3889" s="1"/>
  <c r="J3894" s="1"/>
  <c r="J3896" s="1"/>
  <c r="J3873"/>
  <c r="J3878" s="1"/>
  <c r="J3880" s="1"/>
  <c r="AD1407"/>
  <c r="X1409"/>
  <c r="X1415" s="1"/>
  <c r="R634"/>
  <c r="P1991"/>
  <c r="R1991" s="1"/>
  <c r="K1991"/>
  <c r="J402"/>
  <c r="K403"/>
  <c r="X324"/>
  <c r="Z323"/>
  <c r="P1500"/>
  <c r="P1477"/>
  <c r="R1469"/>
  <c r="V1430"/>
  <c r="X1430" s="1"/>
  <c r="AL1206"/>
  <c r="AE1207"/>
  <c r="AE1208" s="1"/>
  <c r="K564"/>
  <c r="I565" s="1"/>
  <c r="K565" s="1"/>
  <c r="I566" s="1"/>
  <c r="K566" s="1"/>
  <c r="I567" s="1"/>
  <c r="K567" s="1"/>
  <c r="I568" s="1"/>
  <c r="K568" s="1"/>
  <c r="I569" s="1"/>
  <c r="K569" s="1"/>
  <c r="I570" s="1"/>
  <c r="K570" s="1"/>
  <c r="I571" s="1"/>
  <c r="K571" s="1"/>
  <c r="X1432"/>
  <c r="X1452"/>
  <c r="AD1450"/>
  <c r="AF1450" s="1"/>
  <c r="I3978"/>
  <c r="K3978" s="1"/>
  <c r="K3961"/>
  <c r="AF1245"/>
  <c r="AD1217"/>
  <c r="AF1217" s="1"/>
  <c r="V3605"/>
  <c r="X3605" s="1"/>
  <c r="X3588"/>
  <c r="K348"/>
  <c r="L347"/>
  <c r="AH655"/>
  <c r="AH657" s="1"/>
  <c r="AD1420"/>
  <c r="AF1420" s="1"/>
  <c r="AF1403"/>
  <c r="I3211"/>
  <c r="I3242"/>
  <c r="K3197"/>
  <c r="K3200" s="1"/>
  <c r="K3202" s="1"/>
  <c r="X1345"/>
  <c r="X1347" s="1"/>
  <c r="AK1189"/>
  <c r="AM1189" s="1"/>
  <c r="AM1194" s="1"/>
  <c r="AM1196" s="1"/>
  <c r="AM1197" s="1"/>
  <c r="AM1198" s="1"/>
  <c r="AM1199" s="1"/>
  <c r="AM1200" s="1"/>
  <c r="AM1201" s="1"/>
  <c r="AM1202" s="1"/>
  <c r="AM1203" s="1"/>
  <c r="AM1204" s="1"/>
  <c r="AM1205" s="1"/>
  <c r="AF1189"/>
  <c r="AF1194" s="1"/>
  <c r="AF1196" s="1"/>
  <c r="AF1197" s="1"/>
  <c r="AF1198" s="1"/>
  <c r="AF1199" s="1"/>
  <c r="AF1200" s="1"/>
  <c r="AF1201" s="1"/>
  <c r="AF1202" s="1"/>
  <c r="AF1203" s="1"/>
  <c r="AF1204" s="1"/>
  <c r="AF1205" s="1"/>
  <c r="AF1206" s="1"/>
  <c r="AF1207" s="1"/>
  <c r="AF1208" s="1"/>
  <c r="AF1248"/>
  <c r="AD1220"/>
  <c r="AF1220" s="1"/>
  <c r="AI3546"/>
  <c r="AG3562"/>
  <c r="X356"/>
  <c r="X363" s="1"/>
  <c r="X365" s="1"/>
  <c r="AG365"/>
  <c r="AI365" s="1"/>
  <c r="AI372" s="1"/>
  <c r="AI374" s="1"/>
  <c r="AI376" s="1"/>
  <c r="V3604"/>
  <c r="X3604" s="1"/>
  <c r="X3587"/>
  <c r="R597"/>
  <c r="R603" s="1"/>
  <c r="P611"/>
  <c r="R611" s="1"/>
  <c r="R617" s="1"/>
  <c r="V3606"/>
  <c r="X3606" s="1"/>
  <c r="X3589"/>
  <c r="R1490"/>
  <c r="V1451"/>
  <c r="V3563"/>
  <c r="V3579" s="1"/>
  <c r="V3527"/>
  <c r="I2938"/>
  <c r="K2938" s="1"/>
  <c r="I2929"/>
  <c r="K1989"/>
  <c r="K1998" s="1"/>
  <c r="P1989"/>
  <c r="R1989" s="1"/>
  <c r="AW164"/>
  <c r="AX164" s="1"/>
  <c r="AU89"/>
  <c r="AU95" s="1"/>
  <c r="AU97" s="1"/>
  <c r="AU99" s="1"/>
  <c r="AS109"/>
  <c r="X336"/>
  <c r="X343" s="1"/>
  <c r="X345" s="1"/>
  <c r="X347" s="1"/>
  <c r="X348" s="1"/>
  <c r="X349" s="1"/>
  <c r="X350" s="1"/>
  <c r="X351" s="1"/>
  <c r="AG336"/>
  <c r="AI336" s="1"/>
  <c r="AI343" s="1"/>
  <c r="AI345" s="1"/>
  <c r="AI347" s="1"/>
  <c r="I614"/>
  <c r="K614"/>
  <c r="W542"/>
  <c r="AE542" s="1"/>
  <c r="AL542" s="1"/>
  <c r="J543"/>
  <c r="R3474"/>
  <c r="R3476" s="1"/>
  <c r="X1299"/>
  <c r="X1306" s="1"/>
  <c r="X1308" s="1"/>
  <c r="X1309" s="1"/>
  <c r="X1310" s="1"/>
  <c r="X1311" s="1"/>
  <c r="X1312" s="1"/>
  <c r="X1313" s="1"/>
  <c r="W1309" s="1"/>
  <c r="W1310" s="1"/>
  <c r="V1319"/>
  <c r="X1319" s="1"/>
  <c r="X1326" s="1"/>
  <c r="X1328" s="1"/>
  <c r="K368"/>
  <c r="L368" s="1"/>
  <c r="J367"/>
  <c r="I4027"/>
  <c r="K4012"/>
  <c r="K4014" s="1"/>
  <c r="K4015" s="1"/>
  <c r="L1337"/>
  <c r="L1335"/>
  <c r="I2936"/>
  <c r="K2936" s="1"/>
  <c r="K2915"/>
  <c r="V3560"/>
  <c r="X3544"/>
  <c r="V3524"/>
  <c r="X3524" s="1"/>
  <c r="R1266"/>
  <c r="V1246"/>
  <c r="P1382"/>
  <c r="R1382" s="1"/>
  <c r="R1386" s="1"/>
  <c r="R1388" s="1"/>
  <c r="P1243"/>
  <c r="R1243" s="1"/>
  <c r="AD1453"/>
  <c r="AF1453" s="1"/>
  <c r="X1455"/>
  <c r="K1363"/>
  <c r="K1365" s="1"/>
  <c r="C27" i="64" s="1"/>
  <c r="AD1250" i="74"/>
  <c r="X1245"/>
  <c r="X3592"/>
  <c r="V3609"/>
  <c r="X3609" s="1"/>
  <c r="I4036"/>
  <c r="K4036" s="1"/>
  <c r="K4025"/>
  <c r="L323"/>
  <c r="K324"/>
  <c r="AD1246"/>
  <c r="X1241"/>
  <c r="P2831"/>
  <c r="I2824"/>
  <c r="R1121"/>
  <c r="R3552"/>
  <c r="R3553" s="1"/>
  <c r="AU112"/>
  <c r="AS137"/>
  <c r="K542"/>
  <c r="I543" s="1"/>
  <c r="K543" s="1"/>
  <c r="I544" s="1"/>
  <c r="R1492"/>
  <c r="V1453"/>
  <c r="K3960"/>
  <c r="I3977"/>
  <c r="K3977" s="1"/>
  <c r="AI426"/>
  <c r="AG441"/>
  <c r="AI441" s="1"/>
  <c r="AW133"/>
  <c r="AX133" s="1"/>
  <c r="K666"/>
  <c r="I667" s="1"/>
  <c r="K667" s="1"/>
  <c r="I668" s="1"/>
  <c r="K668" s="1"/>
  <c r="I669" s="1"/>
  <c r="K669" s="1"/>
  <c r="I670" s="1"/>
  <c r="K670" s="1"/>
  <c r="X655"/>
  <c r="X657" s="1"/>
  <c r="V3603"/>
  <c r="X3586"/>
  <c r="L470"/>
  <c r="K471"/>
  <c r="X1413"/>
  <c r="AD1411"/>
  <c r="X3590"/>
  <c r="V3607"/>
  <c r="X3607" s="1"/>
  <c r="K1971"/>
  <c r="K1977" s="1"/>
  <c r="P1971"/>
  <c r="R1971" s="1"/>
  <c r="R1978" s="1"/>
  <c r="C56" i="64" s="1"/>
  <c r="AF1380" i="74"/>
  <c r="V411"/>
  <c r="X411" s="1"/>
  <c r="X418" s="1"/>
  <c r="X420" s="1"/>
  <c r="V426" s="1"/>
  <c r="X426" s="1"/>
  <c r="X430" s="1"/>
  <c r="X432" s="1"/>
  <c r="X434" s="1"/>
  <c r="X435" s="1"/>
  <c r="X436" s="1"/>
  <c r="X437" s="1"/>
  <c r="X438" s="1"/>
  <c r="AG389"/>
  <c r="X380"/>
  <c r="X387" s="1"/>
  <c r="X389" s="1"/>
  <c r="V394" s="1"/>
  <c r="X394" s="1"/>
  <c r="X398" s="1"/>
  <c r="X400" s="1"/>
  <c r="X402" s="1"/>
  <c r="X403" s="1"/>
  <c r="X404" s="1"/>
  <c r="X405" s="1"/>
  <c r="X406" s="1"/>
  <c r="I3920"/>
  <c r="K823"/>
  <c r="K824" s="1"/>
  <c r="K825" s="1"/>
  <c r="K826" s="1"/>
  <c r="K827" s="1"/>
  <c r="K828" s="1"/>
  <c r="K829" s="1"/>
  <c r="K830" s="1"/>
  <c r="K831" s="1"/>
  <c r="K832" s="1"/>
  <c r="K833" s="1"/>
  <c r="K834" s="1"/>
  <c r="K835" s="1"/>
  <c r="R2107"/>
  <c r="P2114"/>
  <c r="R2114" s="1"/>
  <c r="R2116" s="1"/>
  <c r="AU110"/>
  <c r="AS135"/>
  <c r="R1216"/>
  <c r="P1258"/>
  <c r="L519"/>
  <c r="K520"/>
  <c r="K521" s="1"/>
  <c r="K522" s="1"/>
  <c r="V1468"/>
  <c r="X1468" s="1"/>
  <c r="X1444"/>
  <c r="V3636"/>
  <c r="X3636" s="1"/>
  <c r="X3645" s="1"/>
  <c r="X3647" s="1"/>
  <c r="R1113"/>
  <c r="R1122" s="1"/>
  <c r="R1124" s="1"/>
  <c r="X707"/>
  <c r="V677"/>
  <c r="AU91"/>
  <c r="AS111"/>
  <c r="AD1252"/>
  <c r="X1247"/>
  <c r="X1239"/>
  <c r="AD1244"/>
  <c r="AD1219"/>
  <c r="AF1219" s="1"/>
  <c r="AF1247"/>
  <c r="AF1401"/>
  <c r="AD1418"/>
  <c r="AF1418" s="1"/>
  <c r="V3562"/>
  <c r="X3546"/>
  <c r="V3526"/>
  <c r="X3526" s="1"/>
  <c r="AJ323"/>
  <c r="AI324"/>
  <c r="L31" i="68" l="1"/>
  <c r="N31"/>
  <c r="N53"/>
  <c r="L53"/>
  <c r="N50"/>
  <c r="L50"/>
  <c r="L52"/>
  <c r="N52"/>
  <c r="L63"/>
  <c r="N63"/>
  <c r="N75"/>
  <c r="L75"/>
  <c r="N73"/>
  <c r="L73"/>
  <c r="L64"/>
  <c r="N64"/>
  <c r="L56"/>
  <c r="N56"/>
  <c r="L26"/>
  <c r="N26"/>
  <c r="C57"/>
  <c r="C51" i="66"/>
  <c r="C57" i="65"/>
  <c r="P56" i="64"/>
  <c r="J56"/>
  <c r="L56"/>
  <c r="H56"/>
  <c r="C51" i="68"/>
  <c r="L50" i="64"/>
  <c r="H50"/>
  <c r="P50"/>
  <c r="J50"/>
  <c r="C28" i="68"/>
  <c r="C28" i="65"/>
  <c r="C27" i="66"/>
  <c r="P27" i="64"/>
  <c r="J27"/>
  <c r="L27"/>
  <c r="H27"/>
  <c r="C58" i="66"/>
  <c r="C64" i="65"/>
  <c r="P63" i="64"/>
  <c r="L63"/>
  <c r="J63"/>
  <c r="F63"/>
  <c r="L260" i="75"/>
  <c r="C69" i="66"/>
  <c r="C75" i="65"/>
  <c r="L74" i="64"/>
  <c r="P74"/>
  <c r="J74"/>
  <c r="F74"/>
  <c r="C67" i="66"/>
  <c r="C73" i="65"/>
  <c r="F72" i="64"/>
  <c r="P72"/>
  <c r="L72"/>
  <c r="J72"/>
  <c r="C57" i="66"/>
  <c r="C63" i="65"/>
  <c r="J62" i="64"/>
  <c r="F62"/>
  <c r="P62"/>
  <c r="L62"/>
  <c r="AI348" i="74"/>
  <c r="AI349" s="1"/>
  <c r="AI350" s="1"/>
  <c r="AI351" s="1"/>
  <c r="AI352" s="1"/>
  <c r="AI353" s="1"/>
  <c r="AI354" s="1"/>
  <c r="AI355" s="1"/>
  <c r="AI356" s="1"/>
  <c r="AI357" s="1"/>
  <c r="AI358" s="1"/>
  <c r="AI359" s="1"/>
  <c r="AI360" s="1"/>
  <c r="P297" i="75"/>
  <c r="R297" s="1"/>
  <c r="R301" s="1"/>
  <c r="R283"/>
  <c r="R287" s="1"/>
  <c r="K1151"/>
  <c r="K1143"/>
  <c r="K1144" s="1"/>
  <c r="V247"/>
  <c r="V248" s="1"/>
  <c r="V249" s="1"/>
  <c r="R247"/>
  <c r="S248"/>
  <c r="S250"/>
  <c r="T247"/>
  <c r="N585"/>
  <c r="M588"/>
  <c r="K1026"/>
  <c r="K1018"/>
  <c r="N569"/>
  <c r="O566"/>
  <c r="O569" s="1"/>
  <c r="K288"/>
  <c r="L289"/>
  <c r="K797"/>
  <c r="I784" s="1"/>
  <c r="I846"/>
  <c r="K846" s="1"/>
  <c r="AI246"/>
  <c r="AG247"/>
  <c r="AI247" s="1"/>
  <c r="AI248" s="1"/>
  <c r="X659" i="74"/>
  <c r="X660" s="1"/>
  <c r="X661" s="1"/>
  <c r="X662" s="1"/>
  <c r="X663" s="1"/>
  <c r="X664" s="1"/>
  <c r="V528"/>
  <c r="AH659"/>
  <c r="AH660" s="1"/>
  <c r="AH661" s="1"/>
  <c r="AH662" s="1"/>
  <c r="AH663" s="1"/>
  <c r="AH664" s="1"/>
  <c r="AD528"/>
  <c r="X677"/>
  <c r="X683" s="1"/>
  <c r="X684" s="1"/>
  <c r="V763"/>
  <c r="X763" s="1"/>
  <c r="X769" s="1"/>
  <c r="X770" s="1"/>
  <c r="X772" s="1"/>
  <c r="V731"/>
  <c r="X731" s="1"/>
  <c r="X737" s="1"/>
  <c r="X738" s="1"/>
  <c r="R1258"/>
  <c r="R1270" s="1"/>
  <c r="R1272" s="1"/>
  <c r="V1238"/>
  <c r="P1235"/>
  <c r="R1235" s="1"/>
  <c r="R1247" s="1"/>
  <c r="R1249" s="1"/>
  <c r="K2824"/>
  <c r="K2825" s="1"/>
  <c r="K2827" s="1"/>
  <c r="I2643"/>
  <c r="R1500"/>
  <c r="V1461"/>
  <c r="AF1252"/>
  <c r="AD1224"/>
  <c r="AF1224" s="1"/>
  <c r="AA707"/>
  <c r="X713"/>
  <c r="T1216"/>
  <c r="T1228" s="1"/>
  <c r="T1230" s="1"/>
  <c r="R1228"/>
  <c r="R1230" s="1"/>
  <c r="S1230" s="1"/>
  <c r="AG425"/>
  <c r="AI425" s="1"/>
  <c r="AI432" s="1"/>
  <c r="AI434" s="1"/>
  <c r="AG440" s="1"/>
  <c r="AI440" s="1"/>
  <c r="AI444" s="1"/>
  <c r="AI446" s="1"/>
  <c r="AI448" s="1"/>
  <c r="AI449" s="1"/>
  <c r="AI450" s="1"/>
  <c r="AI451" s="1"/>
  <c r="AI452" s="1"/>
  <c r="AI453" s="1"/>
  <c r="AS389"/>
  <c r="AU389" s="1"/>
  <c r="AU396" s="1"/>
  <c r="AU398" s="1"/>
  <c r="AU400" s="1"/>
  <c r="AU401" s="1"/>
  <c r="AU402" s="1"/>
  <c r="AU403" s="1"/>
  <c r="AU404" s="1"/>
  <c r="AU405" s="1"/>
  <c r="AU406" s="1"/>
  <c r="AI389"/>
  <c r="AI396" s="1"/>
  <c r="AI398" s="1"/>
  <c r="AG403" s="1"/>
  <c r="AI403" s="1"/>
  <c r="AI407" s="1"/>
  <c r="AI409" s="1"/>
  <c r="P2864"/>
  <c r="R2831"/>
  <c r="R2832" s="1"/>
  <c r="R2834" s="1"/>
  <c r="V2792"/>
  <c r="P2650"/>
  <c r="R2650" s="1"/>
  <c r="R2652" s="1"/>
  <c r="R2654" s="1"/>
  <c r="X1246"/>
  <c r="AD1251"/>
  <c r="V3576"/>
  <c r="X3560"/>
  <c r="J368"/>
  <c r="K369"/>
  <c r="J372" s="1"/>
  <c r="W543"/>
  <c r="AE543" s="1"/>
  <c r="AL543" s="1"/>
  <c r="J544"/>
  <c r="I2948"/>
  <c r="K2929"/>
  <c r="K2930" s="1"/>
  <c r="K2931" s="1"/>
  <c r="X1451"/>
  <c r="AD1449"/>
  <c r="AF1449" s="1"/>
  <c r="AI377"/>
  <c r="AM1206"/>
  <c r="K3211"/>
  <c r="I3226"/>
  <c r="K3226" s="1"/>
  <c r="AS136"/>
  <c r="AU111"/>
  <c r="X1453"/>
  <c r="AD1451"/>
  <c r="AF1451" s="1"/>
  <c r="AF1413"/>
  <c r="AD1216"/>
  <c r="AF1216" s="1"/>
  <c r="AF1244"/>
  <c r="AS166"/>
  <c r="AU166" s="1"/>
  <c r="AU135"/>
  <c r="AD1428"/>
  <c r="AF1428" s="1"/>
  <c r="AF1411"/>
  <c r="K544"/>
  <c r="I545" s="1"/>
  <c r="I2946"/>
  <c r="K2946" s="1"/>
  <c r="K2916"/>
  <c r="I2955" s="1"/>
  <c r="K2955" s="1"/>
  <c r="X367"/>
  <c r="X325"/>
  <c r="X326" s="1"/>
  <c r="X327" s="1"/>
  <c r="Z324"/>
  <c r="AI3548"/>
  <c r="AI3549" s="1"/>
  <c r="AJ324"/>
  <c r="AJ325"/>
  <c r="AI325"/>
  <c r="AI326" s="1"/>
  <c r="AI327" s="1"/>
  <c r="V3578"/>
  <c r="X3562"/>
  <c r="AX110"/>
  <c r="AW110"/>
  <c r="K3920"/>
  <c r="K3932" s="1"/>
  <c r="I3938"/>
  <c r="X3603"/>
  <c r="V3618"/>
  <c r="AU137"/>
  <c r="AS168"/>
  <c r="AU168" s="1"/>
  <c r="AD1218"/>
  <c r="AF1218" s="1"/>
  <c r="AF1246"/>
  <c r="K4041"/>
  <c r="K4042" s="1"/>
  <c r="AD1222"/>
  <c r="AF1222" s="1"/>
  <c r="AF1250"/>
  <c r="X3528"/>
  <c r="X3529" s="1"/>
  <c r="K2939"/>
  <c r="K2940" s="1"/>
  <c r="I4039"/>
  <c r="K4039" s="1"/>
  <c r="K4027"/>
  <c r="K4029" s="1"/>
  <c r="K4030" s="1"/>
  <c r="K615"/>
  <c r="I615"/>
  <c r="AU109"/>
  <c r="AS134"/>
  <c r="R1999"/>
  <c r="C57" i="64" s="1"/>
  <c r="V3625" i="74"/>
  <c r="AI3562"/>
  <c r="AI3564" s="1"/>
  <c r="AI3565" s="1"/>
  <c r="L348"/>
  <c r="K349"/>
  <c r="P1484"/>
  <c r="R1477"/>
  <c r="R1478" s="1"/>
  <c r="R1479" s="1"/>
  <c r="V1438"/>
  <c r="J403"/>
  <c r="K404"/>
  <c r="K405" s="1"/>
  <c r="K406" s="1"/>
  <c r="AD1424"/>
  <c r="AF1424" s="1"/>
  <c r="AF1430" s="1"/>
  <c r="AF1407"/>
  <c r="V3623"/>
  <c r="AI3560"/>
  <c r="R1496"/>
  <c r="R1502" s="1"/>
  <c r="V1457"/>
  <c r="L471"/>
  <c r="K472"/>
  <c r="AX112"/>
  <c r="AW112"/>
  <c r="L324"/>
  <c r="K325"/>
  <c r="X3548"/>
  <c r="X3549" s="1"/>
  <c r="AW99"/>
  <c r="AX99" s="1"/>
  <c r="AU100"/>
  <c r="K3242"/>
  <c r="I3267"/>
  <c r="K3267" s="1"/>
  <c r="N57" i="68" l="1"/>
  <c r="L57"/>
  <c r="L51"/>
  <c r="N51"/>
  <c r="N28"/>
  <c r="L28"/>
  <c r="C18" i="65"/>
  <c r="C17" i="66"/>
  <c r="H17" i="64"/>
  <c r="F17"/>
  <c r="J17"/>
  <c r="C58" i="68"/>
  <c r="C52" i="66"/>
  <c r="C58" i="65"/>
  <c r="L57" i="64"/>
  <c r="H57"/>
  <c r="P57"/>
  <c r="J57"/>
  <c r="AI411" i="74"/>
  <c r="AI412" s="1"/>
  <c r="AI413" s="1"/>
  <c r="AI414" s="1"/>
  <c r="AI415" s="1"/>
  <c r="AI416" s="1"/>
  <c r="AI417" s="1"/>
  <c r="AI418" s="1"/>
  <c r="AI419" s="1"/>
  <c r="AI420" s="1"/>
  <c r="AI421" s="1"/>
  <c r="AI422" s="1"/>
  <c r="AK422" s="1"/>
  <c r="AK423" s="1"/>
  <c r="K1050" i="75"/>
  <c r="K1056" s="1"/>
  <c r="K1034"/>
  <c r="I842"/>
  <c r="K842" s="1"/>
  <c r="I832"/>
  <c r="K832" s="1"/>
  <c r="K1155"/>
  <c r="K1172"/>
  <c r="I815"/>
  <c r="K815" s="1"/>
  <c r="K819" s="1"/>
  <c r="L819" s="1"/>
  <c r="K784"/>
  <c r="K788" s="1"/>
  <c r="O585"/>
  <c r="O588" s="1"/>
  <c r="N588"/>
  <c r="R288"/>
  <c r="S289"/>
  <c r="K1019"/>
  <c r="C73" i="64" s="1"/>
  <c r="C74" i="68" s="1"/>
  <c r="L1018" i="75"/>
  <c r="L1020"/>
  <c r="S303"/>
  <c r="R302"/>
  <c r="K616" i="74"/>
  <c r="I616"/>
  <c r="AX135"/>
  <c r="AW135"/>
  <c r="AU136"/>
  <c r="AS167"/>
  <c r="AU167" s="1"/>
  <c r="X1463"/>
  <c r="V3591"/>
  <c r="X3576"/>
  <c r="X3580" s="1"/>
  <c r="X3581" s="1"/>
  <c r="AG2796"/>
  <c r="AI2796" s="1"/>
  <c r="AI2797" s="1"/>
  <c r="AI2799" s="1"/>
  <c r="X2792"/>
  <c r="X2793" s="1"/>
  <c r="X2795" s="1"/>
  <c r="K2643"/>
  <c r="K2645" s="1"/>
  <c r="K2647" s="1"/>
  <c r="V2612"/>
  <c r="X686"/>
  <c r="Z684"/>
  <c r="Z686" s="1"/>
  <c r="L3233"/>
  <c r="L3239" s="1"/>
  <c r="L3241" s="1"/>
  <c r="K3273"/>
  <c r="K3275" s="1"/>
  <c r="X1457"/>
  <c r="AD1455"/>
  <c r="AF1455" s="1"/>
  <c r="AD1436"/>
  <c r="AF1436" s="1"/>
  <c r="AF1437" s="1"/>
  <c r="AF1438" s="1"/>
  <c r="X1438"/>
  <c r="X1439" s="1"/>
  <c r="X1440" s="1"/>
  <c r="AS165"/>
  <c r="AU134"/>
  <c r="AS148"/>
  <c r="AU148" s="1"/>
  <c r="AD3618"/>
  <c r="AF3618" s="1"/>
  <c r="X3618"/>
  <c r="AX166"/>
  <c r="AW166"/>
  <c r="L3192"/>
  <c r="L3195" s="1"/>
  <c r="L3197" s="1"/>
  <c r="K3229"/>
  <c r="K3231" s="1"/>
  <c r="J369"/>
  <c r="K370"/>
  <c r="K372" s="1"/>
  <c r="L369"/>
  <c r="AF1251"/>
  <c r="AD1223"/>
  <c r="AF1223" s="1"/>
  <c r="AI454"/>
  <c r="AG453"/>
  <c r="X714"/>
  <c r="AA713"/>
  <c r="AD552"/>
  <c r="AF552" s="1"/>
  <c r="AF557" s="1"/>
  <c r="AF559" s="1"/>
  <c r="AD561" s="1"/>
  <c r="AF561" s="1"/>
  <c r="AD562" s="1"/>
  <c r="AF562" s="1"/>
  <c r="AD563" s="1"/>
  <c r="AF563" s="1"/>
  <c r="AD564" s="1"/>
  <c r="AF564" s="1"/>
  <c r="AD565" s="1"/>
  <c r="AF565" s="1"/>
  <c r="AD566" s="1"/>
  <c r="AF566" s="1"/>
  <c r="AF528"/>
  <c r="AF533" s="1"/>
  <c r="AF535" s="1"/>
  <c r="AD537" s="1"/>
  <c r="AF537" s="1"/>
  <c r="AD538" s="1"/>
  <c r="AF538" s="1"/>
  <c r="AD539" s="1"/>
  <c r="AF539" s="1"/>
  <c r="AD540" s="1"/>
  <c r="AF540" s="1"/>
  <c r="AD541" s="1"/>
  <c r="AF541" s="1"/>
  <c r="AD542" s="1"/>
  <c r="AF542" s="1"/>
  <c r="AD543" s="1"/>
  <c r="AF543" s="1"/>
  <c r="AD544" s="1"/>
  <c r="L3208"/>
  <c r="L3211" s="1"/>
  <c r="K3245"/>
  <c r="K3247" s="1"/>
  <c r="AX109"/>
  <c r="AW109"/>
  <c r="AU115"/>
  <c r="K2958"/>
  <c r="K2959" s="1"/>
  <c r="L3177"/>
  <c r="L3180" s="1"/>
  <c r="L3182" s="1"/>
  <c r="K3214"/>
  <c r="K3216" s="1"/>
  <c r="AI378"/>
  <c r="AJ369" s="1"/>
  <c r="AJ368"/>
  <c r="I2957"/>
  <c r="K2957" s="1"/>
  <c r="K2948"/>
  <c r="K2949" s="1"/>
  <c r="K2950" s="1"/>
  <c r="R2864"/>
  <c r="R2865" s="1"/>
  <c r="R2867" s="1"/>
  <c r="P3163"/>
  <c r="R3163" s="1"/>
  <c r="R3164" s="1"/>
  <c r="R3166" s="1"/>
  <c r="X1461"/>
  <c r="AD1459"/>
  <c r="AF1459" s="1"/>
  <c r="Z738"/>
  <c r="Z740" s="1"/>
  <c r="X740"/>
  <c r="AU101"/>
  <c r="AW100"/>
  <c r="AX100" s="1"/>
  <c r="K326"/>
  <c r="K327" s="1"/>
  <c r="M325"/>
  <c r="K473"/>
  <c r="L472"/>
  <c r="L406"/>
  <c r="L407" s="1"/>
  <c r="R1484"/>
  <c r="R1485" s="1"/>
  <c r="V1445"/>
  <c r="AD3625"/>
  <c r="AF3625" s="1"/>
  <c r="X3626"/>
  <c r="X3625"/>
  <c r="AW168"/>
  <c r="AX168" s="1"/>
  <c r="K3938"/>
  <c r="K3950" s="1"/>
  <c r="L3950" s="1"/>
  <c r="I3954"/>
  <c r="X368"/>
  <c r="Z368" s="1"/>
  <c r="AX111"/>
  <c r="AW111"/>
  <c r="AF1461"/>
  <c r="W544"/>
  <c r="AE544" s="1"/>
  <c r="AL544" s="1"/>
  <c r="J545"/>
  <c r="K545" s="1"/>
  <c r="I546" s="1"/>
  <c r="X3564"/>
  <c r="X3565" s="1"/>
  <c r="X1238"/>
  <c r="X1250" s="1"/>
  <c r="X1252" s="1"/>
  <c r="AD1242"/>
  <c r="X773"/>
  <c r="X774" s="1"/>
  <c r="X776" s="1"/>
  <c r="X777" s="1"/>
  <c r="X778" s="1"/>
  <c r="X779" s="1"/>
  <c r="X780" s="1"/>
  <c r="X781" s="1"/>
  <c r="X782" s="1"/>
  <c r="X783" s="1"/>
  <c r="V552"/>
  <c r="X552" s="1"/>
  <c r="X557" s="1"/>
  <c r="X559" s="1"/>
  <c r="X528"/>
  <c r="X533" s="1"/>
  <c r="X535" s="1"/>
  <c r="V537" s="1"/>
  <c r="X537" s="1"/>
  <c r="V538" s="1"/>
  <c r="X538" s="1"/>
  <c r="V539" s="1"/>
  <c r="X539" s="1"/>
  <c r="V540" s="1"/>
  <c r="X540" s="1"/>
  <c r="V541" s="1"/>
  <c r="X541" s="1"/>
  <c r="V542" s="1"/>
  <c r="X542" s="1"/>
  <c r="V543" s="1"/>
  <c r="X543" s="1"/>
  <c r="V544" s="1"/>
  <c r="X544" s="1"/>
  <c r="V545" s="1"/>
  <c r="X3623"/>
  <c r="AD3623"/>
  <c r="AF3623" s="1"/>
  <c r="K350"/>
  <c r="K351" s="1"/>
  <c r="L349"/>
  <c r="AX137"/>
  <c r="AW137"/>
  <c r="V3593"/>
  <c r="X3578"/>
  <c r="L74" i="68" l="1"/>
  <c r="N74"/>
  <c r="L18"/>
  <c r="N18"/>
  <c r="L58"/>
  <c r="N58"/>
  <c r="C20" i="65"/>
  <c r="C19" i="66"/>
  <c r="H19" i="64"/>
  <c r="F19"/>
  <c r="C68" i="66"/>
  <c r="C74" i="65"/>
  <c r="F73" i="64"/>
  <c r="P73"/>
  <c r="L73"/>
  <c r="J73"/>
  <c r="I805" i="75"/>
  <c r="K805" s="1"/>
  <c r="K807" s="1"/>
  <c r="L807" s="1"/>
  <c r="L788"/>
  <c r="K845"/>
  <c r="K1187"/>
  <c r="K1191" s="1"/>
  <c r="K1192" s="1"/>
  <c r="K1176"/>
  <c r="K1177" s="1"/>
  <c r="K1035"/>
  <c r="M1035"/>
  <c r="L1158"/>
  <c r="K1156"/>
  <c r="L1156" s="1"/>
  <c r="K1057"/>
  <c r="K1059" s="1"/>
  <c r="L1058"/>
  <c r="V3610" i="74"/>
  <c r="X3610" s="1"/>
  <c r="X3593"/>
  <c r="L351"/>
  <c r="L352" s="1"/>
  <c r="L353" s="1"/>
  <c r="P2347"/>
  <c r="R2347" s="1"/>
  <c r="R2350" s="1"/>
  <c r="V561"/>
  <c r="X561" s="1"/>
  <c r="V562" s="1"/>
  <c r="X562" s="1"/>
  <c r="V563" s="1"/>
  <c r="X563" s="1"/>
  <c r="V564" s="1"/>
  <c r="X564" s="1"/>
  <c r="V565" s="1"/>
  <c r="X565" s="1"/>
  <c r="I3971"/>
  <c r="K3971" s="1"/>
  <c r="K3983" s="1"/>
  <c r="K3954"/>
  <c r="K3966" s="1"/>
  <c r="R1486"/>
  <c r="S1446"/>
  <c r="K474"/>
  <c r="L473"/>
  <c r="AW101"/>
  <c r="AX101" s="1"/>
  <c r="AU102"/>
  <c r="AU117"/>
  <c r="AW115"/>
  <c r="AX115" s="1"/>
  <c r="X716"/>
  <c r="AA714"/>
  <c r="AA716" s="1"/>
  <c r="AW134"/>
  <c r="AX134" s="1"/>
  <c r="AU140"/>
  <c r="Z687"/>
  <c r="Z688" s="1"/>
  <c r="X369"/>
  <c r="AF544"/>
  <c r="AD545" s="1"/>
  <c r="X3627"/>
  <c r="X3628" s="1"/>
  <c r="AS180"/>
  <c r="AU165"/>
  <c r="X687"/>
  <c r="X688" s="1"/>
  <c r="AX167"/>
  <c r="AW167"/>
  <c r="W545"/>
  <c r="AE545" s="1"/>
  <c r="AL545" s="1"/>
  <c r="J546"/>
  <c r="X741"/>
  <c r="X742" s="1"/>
  <c r="X744" s="1"/>
  <c r="X745" s="1"/>
  <c r="X746" s="1"/>
  <c r="AI455"/>
  <c r="AG454"/>
  <c r="AF3628"/>
  <c r="AF3629" s="1"/>
  <c r="AG2660"/>
  <c r="AI2660" s="1"/>
  <c r="AI2661" s="1"/>
  <c r="AI2663" s="1"/>
  <c r="X2612"/>
  <c r="X2613" s="1"/>
  <c r="X2615" s="1"/>
  <c r="AW136"/>
  <c r="AX136" s="1"/>
  <c r="AF1242"/>
  <c r="AF1255" s="1"/>
  <c r="AF1257" s="1"/>
  <c r="AD1214"/>
  <c r="AF1214" s="1"/>
  <c r="AF1227" s="1"/>
  <c r="AF1229" s="1"/>
  <c r="Z369"/>
  <c r="V1469"/>
  <c r="X1469" s="1"/>
  <c r="X1470" s="1"/>
  <c r="X1471" s="1"/>
  <c r="X1445"/>
  <c r="X1446" s="1"/>
  <c r="X1447" s="1"/>
  <c r="Z741"/>
  <c r="Z742" s="1"/>
  <c r="AK528" s="1"/>
  <c r="AI379"/>
  <c r="AI380" s="1"/>
  <c r="AI381"/>
  <c r="K371"/>
  <c r="J371" s="1"/>
  <c r="J370"/>
  <c r="AW148"/>
  <c r="AX148" s="1"/>
  <c r="V3608"/>
  <c r="X3608" s="1"/>
  <c r="X3612" s="1"/>
  <c r="X3613" s="1"/>
  <c r="X3591"/>
  <c r="X3595" s="1"/>
  <c r="X3596" s="1"/>
  <c r="N20" i="68" l="1"/>
  <c r="L20"/>
  <c r="I2789" i="74"/>
  <c r="K2789" s="1"/>
  <c r="K2796" s="1"/>
  <c r="K2798" s="1"/>
  <c r="X690"/>
  <c r="X691" s="1"/>
  <c r="X692" s="1"/>
  <c r="X693" s="1"/>
  <c r="X694" s="1"/>
  <c r="X695" s="1"/>
  <c r="X696" s="1"/>
  <c r="X697" s="1"/>
  <c r="X698" s="1"/>
  <c r="X699" s="1"/>
  <c r="X700" s="1"/>
  <c r="X701" s="1"/>
  <c r="X702" s="1"/>
  <c r="AK552"/>
  <c r="AM552" s="1"/>
  <c r="AM557" s="1"/>
  <c r="AM559" s="1"/>
  <c r="AK561" s="1"/>
  <c r="AM561" s="1"/>
  <c r="AK562" s="1"/>
  <c r="AM562" s="1"/>
  <c r="AK563" s="1"/>
  <c r="AM563" s="1"/>
  <c r="AK564" s="1"/>
  <c r="AM564" s="1"/>
  <c r="AK565" s="1"/>
  <c r="AM565" s="1"/>
  <c r="AK566" s="1"/>
  <c r="AM566" s="1"/>
  <c r="AM528"/>
  <c r="AM533" s="1"/>
  <c r="AM535" s="1"/>
  <c r="AK537" s="1"/>
  <c r="AM537" s="1"/>
  <c r="AK538" s="1"/>
  <c r="AM538" s="1"/>
  <c r="AK539" s="1"/>
  <c r="AM539" s="1"/>
  <c r="AK540" s="1"/>
  <c r="AM540" s="1"/>
  <c r="AK541" s="1"/>
  <c r="AM541" s="1"/>
  <c r="AK542" s="1"/>
  <c r="AM542" s="1"/>
  <c r="AK543" s="1"/>
  <c r="AM543" s="1"/>
  <c r="AK544" s="1"/>
  <c r="AM544" s="1"/>
  <c r="AK545" s="1"/>
  <c r="AM545" s="1"/>
  <c r="AK546" s="1"/>
  <c r="AM546" s="1"/>
  <c r="AK547" s="1"/>
  <c r="AM547" s="1"/>
  <c r="AK548" s="1"/>
  <c r="AM548" s="1"/>
  <c r="AK549" s="1"/>
  <c r="X545"/>
  <c r="V546" s="1"/>
  <c r="AX165"/>
  <c r="AW165"/>
  <c r="AU171"/>
  <c r="AW140"/>
  <c r="AU142"/>
  <c r="AX140"/>
  <c r="X717"/>
  <c r="X718" s="1"/>
  <c r="AW102"/>
  <c r="AX102" s="1"/>
  <c r="AU103"/>
  <c r="K475"/>
  <c r="L474"/>
  <c r="Z746"/>
  <c r="X747"/>
  <c r="X748" s="1"/>
  <c r="AS196"/>
  <c r="AU196" s="1"/>
  <c r="AU180"/>
  <c r="X370"/>
  <c r="X371" s="1"/>
  <c r="X372"/>
  <c r="W546"/>
  <c r="AE546" s="1"/>
  <c r="AL546" s="1"/>
  <c r="J547"/>
  <c r="W547" s="1"/>
  <c r="AE547" s="1"/>
  <c r="AL547" s="1"/>
  <c r="AI456"/>
  <c r="AG455"/>
  <c r="AF545"/>
  <c r="AD546" s="1"/>
  <c r="AF546" s="1"/>
  <c r="AD547" s="1"/>
  <c r="I2341"/>
  <c r="K2341" s="1"/>
  <c r="K2343" s="1"/>
  <c r="C877"/>
  <c r="AD464"/>
  <c r="AF464" s="1"/>
  <c r="AF468" s="1"/>
  <c r="AF470" s="1"/>
  <c r="AD476" s="1"/>
  <c r="AF476" s="1"/>
  <c r="AF482" s="1"/>
  <c r="AF484" s="1"/>
  <c r="AD486" s="1"/>
  <c r="AF486" s="1"/>
  <c r="AD487" s="1"/>
  <c r="AF487" s="1"/>
  <c r="AD488" s="1"/>
  <c r="AF488" s="1"/>
  <c r="AD489" s="1"/>
  <c r="AF489" s="1"/>
  <c r="AD490" s="1"/>
  <c r="AF490" s="1"/>
  <c r="AF491" s="1"/>
  <c r="AF492" s="1"/>
  <c r="AF493" s="1"/>
  <c r="AF494" s="1"/>
  <c r="AF495" s="1"/>
  <c r="AF496" s="1"/>
  <c r="AF497" s="1"/>
  <c r="AF498" s="1"/>
  <c r="AA717"/>
  <c r="AA718" s="1"/>
  <c r="AU119"/>
  <c r="AW117"/>
  <c r="AX117" s="1"/>
  <c r="K546"/>
  <c r="I547" s="1"/>
  <c r="K547" s="1"/>
  <c r="X720" l="1"/>
  <c r="X721" s="1"/>
  <c r="X722" s="1"/>
  <c r="X723" s="1"/>
  <c r="X724" s="1"/>
  <c r="C88" i="68"/>
  <c r="N88" s="1"/>
  <c r="Z367" i="74"/>
  <c r="AA367" s="1"/>
  <c r="P2446"/>
  <c r="R2446" s="1"/>
  <c r="R2448" s="1"/>
  <c r="P2093"/>
  <c r="P2106"/>
  <c r="R2106" s="1"/>
  <c r="R2109" s="1"/>
  <c r="I877"/>
  <c r="V464"/>
  <c r="X464" s="1"/>
  <c r="X468" s="1"/>
  <c r="X470" s="1"/>
  <c r="V476" s="1"/>
  <c r="X476" s="1"/>
  <c r="X482" s="1"/>
  <c r="X484" s="1"/>
  <c r="V486" s="1"/>
  <c r="X486" s="1"/>
  <c r="V487" s="1"/>
  <c r="X487" s="1"/>
  <c r="V488" s="1"/>
  <c r="X488" s="1"/>
  <c r="V489" s="1"/>
  <c r="X489" s="1"/>
  <c r="V490" s="1"/>
  <c r="X490" s="1"/>
  <c r="AW119"/>
  <c r="AX119" s="1"/>
  <c r="AU120"/>
  <c r="AV119"/>
  <c r="AW103"/>
  <c r="AX103" s="1"/>
  <c r="AU104"/>
  <c r="AI457"/>
  <c r="AG456"/>
  <c r="X749"/>
  <c r="X750" s="1"/>
  <c r="X751" s="1"/>
  <c r="X752" s="1"/>
  <c r="X753" s="1"/>
  <c r="Z748"/>
  <c r="Z749" s="1"/>
  <c r="AW171"/>
  <c r="AU173"/>
  <c r="AX171"/>
  <c r="AW180"/>
  <c r="AX180"/>
  <c r="AS147"/>
  <c r="AW142"/>
  <c r="AX142" s="1"/>
  <c r="AF547"/>
  <c r="AD548" s="1"/>
  <c r="AF548" s="1"/>
  <c r="AD549" s="1"/>
  <c r="AF549" s="1"/>
  <c r="AL549" s="1"/>
  <c r="AM549" s="1"/>
  <c r="AW196"/>
  <c r="AX196" s="1"/>
  <c r="AU199"/>
  <c r="K476"/>
  <c r="L475"/>
  <c r="X546"/>
  <c r="V547" s="1"/>
  <c r="X547" s="1"/>
  <c r="V548" s="1"/>
  <c r="X548" s="1"/>
  <c r="V549" s="1"/>
  <c r="X549" s="1"/>
  <c r="AS179" l="1"/>
  <c r="AU179" s="1"/>
  <c r="AU147"/>
  <c r="AW173"/>
  <c r="AX173" s="1"/>
  <c r="K877"/>
  <c r="K889" s="1"/>
  <c r="I893"/>
  <c r="K893" s="1"/>
  <c r="K905" s="1"/>
  <c r="I859"/>
  <c r="V877"/>
  <c r="AW120"/>
  <c r="AX120" s="1"/>
  <c r="AU121"/>
  <c r="AV120"/>
  <c r="K477"/>
  <c r="L476"/>
  <c r="AI458"/>
  <c r="AG457"/>
  <c r="AU201"/>
  <c r="AX199"/>
  <c r="AW199"/>
  <c r="P2099"/>
  <c r="R2099" s="1"/>
  <c r="R2102" s="1"/>
  <c r="R2093"/>
  <c r="R2096" s="1"/>
  <c r="AI459" l="1"/>
  <c r="AG458"/>
  <c r="I3299"/>
  <c r="K3299" s="1"/>
  <c r="K3311" s="1"/>
  <c r="K859"/>
  <c r="K871" s="1"/>
  <c r="V859"/>
  <c r="X859" s="1"/>
  <c r="X871" s="1"/>
  <c r="P852"/>
  <c r="R852" s="1"/>
  <c r="R864" s="1"/>
  <c r="AW147"/>
  <c r="AX147" s="1"/>
  <c r="AU151"/>
  <c r="AW121"/>
  <c r="AU122"/>
  <c r="AX121"/>
  <c r="AU203"/>
  <c r="AW201"/>
  <c r="AX201" s="1"/>
  <c r="K478"/>
  <c r="L477"/>
  <c r="L889"/>
  <c r="K891"/>
  <c r="AU183"/>
  <c r="AW179"/>
  <c r="AX179" s="1"/>
  <c r="V893"/>
  <c r="X893" s="1"/>
  <c r="X905" s="1"/>
  <c r="X877"/>
  <c r="X889" s="1"/>
  <c r="AU185" l="1"/>
  <c r="AW183"/>
  <c r="AX183" s="1"/>
  <c r="L478"/>
  <c r="K479"/>
  <c r="L479" s="1"/>
  <c r="AW122"/>
  <c r="AX122" s="1"/>
  <c r="AU123"/>
  <c r="AU124"/>
  <c r="AW203"/>
  <c r="AX203" s="1"/>
  <c r="AU204"/>
  <c r="AU153"/>
  <c r="AW151"/>
  <c r="AX151" s="1"/>
  <c r="AI460"/>
  <c r="AG459"/>
  <c r="AW124" l="1"/>
  <c r="AX124" s="1"/>
  <c r="AI461"/>
  <c r="AG460"/>
  <c r="AW123"/>
  <c r="AX123" s="1"/>
  <c r="AU205"/>
  <c r="AW204"/>
  <c r="AX204" s="1"/>
  <c r="AW153"/>
  <c r="AX153" s="1"/>
  <c r="AV155"/>
  <c r="AU155"/>
  <c r="AW185"/>
  <c r="AX185" s="1"/>
  <c r="AU187"/>
  <c r="AT187" l="1"/>
  <c r="AT203" s="1"/>
  <c r="AW187"/>
  <c r="AX187" s="1"/>
  <c r="AU188"/>
  <c r="AU206"/>
  <c r="AW205"/>
  <c r="AX205" s="1"/>
  <c r="AG461"/>
  <c r="AI462"/>
  <c r="AU156"/>
  <c r="AT155"/>
  <c r="AW155"/>
  <c r="AX155" s="1"/>
  <c r="AT188" l="1"/>
  <c r="AT204" s="1"/>
  <c r="AU189"/>
  <c r="AW188"/>
  <c r="AX188" s="1"/>
  <c r="AU157"/>
  <c r="AT156"/>
  <c r="AW156"/>
  <c r="AX156" s="1"/>
  <c r="AV156"/>
  <c r="AU207"/>
  <c r="AW206"/>
  <c r="AX206" s="1"/>
  <c r="AG462"/>
  <c r="AI463"/>
  <c r="AG463" s="1"/>
  <c r="AW207" l="1"/>
  <c r="AX207" s="1"/>
  <c r="AW189"/>
  <c r="AX189" s="1"/>
  <c r="AU190"/>
  <c r="AT189"/>
  <c r="AT205" s="1"/>
  <c r="AW157"/>
  <c r="AX157" s="1"/>
  <c r="AU158"/>
  <c r="AT157"/>
  <c r="AW158" l="1"/>
  <c r="AU159"/>
  <c r="AT158"/>
  <c r="AX158"/>
  <c r="AW190"/>
  <c r="AX190" s="1"/>
  <c r="AU191"/>
  <c r="AT190"/>
  <c r="AT206" s="1"/>
  <c r="AW191" l="1"/>
  <c r="AX191" s="1"/>
  <c r="AT191"/>
  <c r="AT207" s="1"/>
  <c r="AW159"/>
  <c r="AX159" s="1"/>
  <c r="AT159"/>
  <c r="K54" i="68" l="1"/>
  <c r="L54" s="1"/>
  <c r="K92"/>
  <c r="L92" s="1"/>
  <c r="H45" i="71"/>
  <c r="K90" i="68"/>
  <c r="K89"/>
  <c r="K88"/>
  <c r="K13"/>
  <c r="L13" s="1"/>
  <c r="K9"/>
  <c r="L9" s="1"/>
  <c r="C52" i="71"/>
  <c r="H44"/>
  <c r="H43"/>
  <c r="H42"/>
  <c r="H41"/>
  <c r="H40"/>
  <c r="H49"/>
  <c r="H48"/>
  <c r="H50" s="1"/>
  <c r="K93" i="68" s="1"/>
  <c r="L93" s="1"/>
  <c r="H37" i="71"/>
  <c r="H18"/>
  <c r="H32"/>
  <c r="H33"/>
  <c r="H31"/>
  <c r="H28"/>
  <c r="K21" i="68" s="1"/>
  <c r="L21" s="1"/>
  <c r="H23" i="71"/>
  <c r="H24"/>
  <c r="H22"/>
  <c r="E13"/>
  <c r="H13" s="1"/>
  <c r="H17"/>
  <c r="H9"/>
  <c r="L90" i="68" l="1"/>
  <c r="Q90"/>
  <c r="R90" s="1"/>
  <c r="Q89"/>
  <c r="R89" s="1"/>
  <c r="L89"/>
  <c r="L88"/>
  <c r="Q88"/>
  <c r="R88" s="1"/>
  <c r="E12" i="69"/>
  <c r="E17" s="1"/>
  <c r="E22" s="1"/>
  <c r="E27" l="1"/>
  <c r="E26"/>
  <c r="K102" i="68" l="1"/>
  <c r="H76" i="71"/>
  <c r="H77"/>
  <c r="H78"/>
  <c r="H73"/>
  <c r="K101" i="68" s="1"/>
  <c r="H70" i="71"/>
  <c r="H67"/>
  <c r="K100" i="68" s="1"/>
  <c r="H65" i="71"/>
  <c r="K99" i="68" s="1"/>
  <c r="H62" i="71"/>
  <c r="K98" i="68" s="1"/>
  <c r="H59" i="71"/>
  <c r="K97" i="68" s="1"/>
  <c r="Q99" l="1"/>
  <c r="R99" s="1"/>
  <c r="L99"/>
  <c r="L98"/>
  <c r="Q98"/>
  <c r="R98" s="1"/>
  <c r="Q101"/>
  <c r="R101" s="1"/>
  <c r="L101"/>
  <c r="Q102"/>
  <c r="R102" s="1"/>
  <c r="L102"/>
  <c r="Q97"/>
  <c r="R97" s="1"/>
  <c r="L97"/>
  <c r="L100"/>
  <c r="Q100"/>
  <c r="R100" s="1"/>
  <c r="H79" i="71"/>
  <c r="E80" s="1"/>
  <c r="H80" s="1"/>
  <c r="K96" i="68"/>
  <c r="L96" l="1"/>
  <c r="Q96"/>
  <c r="R96" s="1"/>
  <c r="B96"/>
  <c r="B95"/>
  <c r="B90"/>
  <c r="B89"/>
  <c r="B88"/>
  <c r="B93"/>
  <c r="B92"/>
  <c r="B91"/>
  <c r="B94"/>
  <c r="K8" i="72" l="1"/>
  <c r="A5"/>
  <c r="C53" i="71" l="1"/>
  <c r="K95" i="68"/>
  <c r="Q95" l="1"/>
  <c r="R95" s="1"/>
  <c r="L95"/>
  <c r="H25" i="71"/>
  <c r="H19"/>
  <c r="H34"/>
  <c r="C54"/>
  <c r="F54" s="1"/>
  <c r="J52" s="1"/>
  <c r="J101" i="68"/>
  <c r="J99"/>
  <c r="J98"/>
  <c r="J97"/>
  <c r="J96"/>
  <c r="J95"/>
  <c r="J94"/>
  <c r="J91"/>
  <c r="J8"/>
  <c r="B9"/>
  <c r="F8"/>
  <c r="Q9" i="66"/>
  <c r="R9" s="1"/>
  <c r="L80"/>
  <c r="P80" s="1"/>
  <c r="L78"/>
  <c r="L77"/>
  <c r="L76"/>
  <c r="L75"/>
  <c r="L74"/>
  <c r="L73"/>
  <c r="L72"/>
  <c r="L71"/>
  <c r="L66"/>
  <c r="L63"/>
  <c r="L62"/>
  <c r="L61"/>
  <c r="L53"/>
  <c r="L45"/>
  <c r="L44"/>
  <c r="L35"/>
  <c r="L33"/>
  <c r="L29"/>
  <c r="L28"/>
  <c r="L26"/>
  <c r="L24"/>
  <c r="L21"/>
  <c r="L18"/>
  <c r="L16"/>
  <c r="L88" i="65"/>
  <c r="L87"/>
  <c r="L86"/>
  <c r="L85"/>
  <c r="L84"/>
  <c r="L83"/>
  <c r="L82"/>
  <c r="L81"/>
  <c r="L80"/>
  <c r="L79"/>
  <c r="L78"/>
  <c r="L77"/>
  <c r="L72"/>
  <c r="L69"/>
  <c r="L68"/>
  <c r="L67"/>
  <c r="L59"/>
  <c r="L50"/>
  <c r="L49"/>
  <c r="L41"/>
  <c r="L38"/>
  <c r="L34"/>
  <c r="L30"/>
  <c r="L29"/>
  <c r="L27"/>
  <c r="L25"/>
  <c r="L22"/>
  <c r="L19"/>
  <c r="L17"/>
  <c r="J88"/>
  <c r="J87"/>
  <c r="J86"/>
  <c r="J85"/>
  <c r="J84"/>
  <c r="P84" s="1"/>
  <c r="J83"/>
  <c r="J82"/>
  <c r="J81"/>
  <c r="J80"/>
  <c r="J79"/>
  <c r="J78"/>
  <c r="J77"/>
  <c r="J72"/>
  <c r="J69"/>
  <c r="J68"/>
  <c r="J67"/>
  <c r="J59"/>
  <c r="J50"/>
  <c r="J49"/>
  <c r="P49" s="1"/>
  <c r="J41"/>
  <c r="J38"/>
  <c r="J34"/>
  <c r="J30"/>
  <c r="J29"/>
  <c r="J27"/>
  <c r="J25"/>
  <c r="J22"/>
  <c r="J19"/>
  <c r="J17"/>
  <c r="H87"/>
  <c r="H86"/>
  <c r="H85"/>
  <c r="H84"/>
  <c r="H83"/>
  <c r="H81"/>
  <c r="H72"/>
  <c r="H69"/>
  <c r="H68"/>
  <c r="H67"/>
  <c r="H59"/>
  <c r="H50"/>
  <c r="H49"/>
  <c r="F88"/>
  <c r="F85"/>
  <c r="F84"/>
  <c r="F83"/>
  <c r="F82"/>
  <c r="F81"/>
  <c r="F80"/>
  <c r="F79"/>
  <c r="F78"/>
  <c r="F77"/>
  <c r="F72"/>
  <c r="F69"/>
  <c r="F59"/>
  <c r="F49"/>
  <c r="F41"/>
  <c r="F22"/>
  <c r="F19"/>
  <c r="F17"/>
  <c r="F10"/>
  <c r="F8"/>
  <c r="Q8"/>
  <c r="R8" s="1"/>
  <c r="O89"/>
  <c r="O88"/>
  <c r="O87"/>
  <c r="O86"/>
  <c r="O85"/>
  <c r="Q85" s="1"/>
  <c r="R85" s="1"/>
  <c r="O84"/>
  <c r="Q84" s="1"/>
  <c r="R84" s="1"/>
  <c r="O83"/>
  <c r="Q83" s="1"/>
  <c r="R83" s="1"/>
  <c r="O82"/>
  <c r="O81"/>
  <c r="Q81" s="1"/>
  <c r="R81" s="1"/>
  <c r="O80"/>
  <c r="O79"/>
  <c r="O78"/>
  <c r="O77"/>
  <c r="O76"/>
  <c r="O75"/>
  <c r="O74"/>
  <c r="O73"/>
  <c r="O72"/>
  <c r="Q72" s="1"/>
  <c r="R72" s="1"/>
  <c r="O71"/>
  <c r="O70"/>
  <c r="O69"/>
  <c r="Q69" s="1"/>
  <c r="R69" s="1"/>
  <c r="O68"/>
  <c r="O67"/>
  <c r="O66"/>
  <c r="O65"/>
  <c r="O64"/>
  <c r="O63"/>
  <c r="O62"/>
  <c r="Q62" s="1"/>
  <c r="O61"/>
  <c r="O60"/>
  <c r="O59"/>
  <c r="Q59" s="1"/>
  <c r="R59" s="1"/>
  <c r="O58"/>
  <c r="Q58" s="1"/>
  <c r="O57"/>
  <c r="O55"/>
  <c r="Q55" s="1"/>
  <c r="O54"/>
  <c r="O53"/>
  <c r="O51"/>
  <c r="O50"/>
  <c r="O49"/>
  <c r="Q49" s="1"/>
  <c r="R49" s="1"/>
  <c r="O47"/>
  <c r="O46"/>
  <c r="O45"/>
  <c r="O44"/>
  <c r="O43"/>
  <c r="O42"/>
  <c r="O41"/>
  <c r="Q41" s="1"/>
  <c r="R41" s="1"/>
  <c r="O40"/>
  <c r="O39"/>
  <c r="O38"/>
  <c r="O35"/>
  <c r="O34"/>
  <c r="O33"/>
  <c r="O30"/>
  <c r="O29"/>
  <c r="O28"/>
  <c r="O27"/>
  <c r="O25"/>
  <c r="O24"/>
  <c r="O23"/>
  <c r="O22"/>
  <c r="Q22" s="1"/>
  <c r="R22" s="1"/>
  <c r="O19"/>
  <c r="Q19" s="1"/>
  <c r="R19" s="1"/>
  <c r="O17"/>
  <c r="Q17" s="1"/>
  <c r="R17" s="1"/>
  <c r="O15"/>
  <c r="O12"/>
  <c r="Q12" s="1"/>
  <c r="Q8" i="64"/>
  <c r="O88"/>
  <c r="O86"/>
  <c r="O85"/>
  <c r="O84"/>
  <c r="O83"/>
  <c r="O82"/>
  <c r="Q82" s="1"/>
  <c r="R82" s="1"/>
  <c r="O81"/>
  <c r="O80"/>
  <c r="O79"/>
  <c r="O78"/>
  <c r="O77"/>
  <c r="O76"/>
  <c r="O75"/>
  <c r="O74"/>
  <c r="O73"/>
  <c r="O72"/>
  <c r="O71"/>
  <c r="Q71" s="1"/>
  <c r="R71" s="1"/>
  <c r="O70"/>
  <c r="O69"/>
  <c r="O67"/>
  <c r="O66"/>
  <c r="O65"/>
  <c r="O64"/>
  <c r="O63"/>
  <c r="O62"/>
  <c r="O61"/>
  <c r="O60"/>
  <c r="O59"/>
  <c r="O58"/>
  <c r="Q58" s="1"/>
  <c r="O57"/>
  <c r="O56"/>
  <c r="O54"/>
  <c r="O53"/>
  <c r="Q53" s="1"/>
  <c r="E54" i="68" s="1"/>
  <c r="O52" i="64"/>
  <c r="O51"/>
  <c r="O50"/>
  <c r="O49"/>
  <c r="O48"/>
  <c r="Q48" s="1"/>
  <c r="R48" s="1"/>
  <c r="O47"/>
  <c r="O46"/>
  <c r="O45"/>
  <c r="O44"/>
  <c r="Q44" s="1"/>
  <c r="E45" i="68" s="1"/>
  <c r="O43" i="64"/>
  <c r="O42"/>
  <c r="O41"/>
  <c r="O40"/>
  <c r="O39"/>
  <c r="O38"/>
  <c r="O37"/>
  <c r="Q37" s="1"/>
  <c r="R37" s="1"/>
  <c r="O36"/>
  <c r="O35"/>
  <c r="O34"/>
  <c r="O33"/>
  <c r="O32"/>
  <c r="O29"/>
  <c r="O28"/>
  <c r="O27"/>
  <c r="O26"/>
  <c r="O24"/>
  <c r="O23"/>
  <c r="O22"/>
  <c r="O21"/>
  <c r="Q21" s="1"/>
  <c r="R21" s="1"/>
  <c r="O18"/>
  <c r="O16"/>
  <c r="O14"/>
  <c r="P14" s="1"/>
  <c r="Q16" l="1"/>
  <c r="R16" s="1"/>
  <c r="P16"/>
  <c r="P30" i="65"/>
  <c r="Q18" i="64"/>
  <c r="R18" s="1"/>
  <c r="P18"/>
  <c r="P38" i="65"/>
  <c r="P80"/>
  <c r="P27"/>
  <c r="P88"/>
  <c r="F45" i="68"/>
  <c r="P83" i="65"/>
  <c r="P85"/>
  <c r="P79"/>
  <c r="P81"/>
  <c r="P86"/>
  <c r="P25"/>
  <c r="P68"/>
  <c r="P22"/>
  <c r="P77"/>
  <c r="E49" i="68"/>
  <c r="E22"/>
  <c r="E83"/>
  <c r="E19"/>
  <c r="E72"/>
  <c r="P69" i="65"/>
  <c r="E59" i="68"/>
  <c r="P78" i="65"/>
  <c r="P87"/>
  <c r="P17"/>
  <c r="P19"/>
  <c r="P50"/>
  <c r="P34"/>
  <c r="P41"/>
  <c r="P72"/>
  <c r="P29"/>
  <c r="P59"/>
  <c r="P67"/>
  <c r="P82"/>
  <c r="E17" i="68" l="1"/>
  <c r="F59"/>
  <c r="F19"/>
  <c r="F17"/>
  <c r="F72"/>
  <c r="F83"/>
  <c r="F49"/>
  <c r="Q49"/>
  <c r="R49" s="1"/>
  <c r="F22"/>
  <c r="I23" i="69"/>
  <c r="I27"/>
  <c r="H33"/>
  <c r="J27" l="1"/>
  <c r="K27" s="1"/>
  <c r="H27" s="1"/>
  <c r="J23"/>
  <c r="K23" s="1"/>
  <c r="H23" s="1"/>
  <c r="C11" i="70"/>
  <c r="A11"/>
  <c r="C10"/>
  <c r="B15" i="68" s="1"/>
  <c r="B10" i="70"/>
  <c r="M15" i="68" s="1"/>
  <c r="A10" i="70"/>
  <c r="C9"/>
  <c r="C8"/>
  <c r="C7"/>
  <c r="A7"/>
  <c r="C6"/>
  <c r="A6"/>
  <c r="C5"/>
  <c r="A5"/>
  <c r="C4"/>
  <c r="A4"/>
  <c r="H32" i="69"/>
  <c r="H31"/>
  <c r="H26"/>
  <c r="H22"/>
  <c r="H18"/>
  <c r="H17"/>
  <c r="H12"/>
  <c r="B6" i="70" s="1"/>
  <c r="M13" i="68" s="1"/>
  <c r="N13" s="1"/>
  <c r="H8" i="69"/>
  <c r="B5" i="70" s="1"/>
  <c r="M9" i="68" s="1"/>
  <c r="H5" i="69"/>
  <c r="B4" i="70" s="1"/>
  <c r="M7" i="68" s="1"/>
  <c r="Q15" l="1"/>
  <c r="R15" s="1"/>
  <c r="N15"/>
  <c r="N9"/>
  <c r="H19" i="69"/>
  <c r="B8" i="70" s="1"/>
  <c r="H34" i="69"/>
  <c r="H24"/>
  <c r="B9" i="70" s="1"/>
  <c r="H28" i="69"/>
  <c r="B11" i="70" l="1"/>
  <c r="F11" s="1"/>
  <c r="M94" i="68"/>
  <c r="M92"/>
  <c r="M93"/>
  <c r="E32" i="66"/>
  <c r="E23"/>
  <c r="Q23" s="1"/>
  <c r="B23"/>
  <c r="B9"/>
  <c r="B8"/>
  <c r="E24" i="65"/>
  <c r="Q24" s="1"/>
  <c r="B24"/>
  <c r="E50" i="64"/>
  <c r="E49"/>
  <c r="E23"/>
  <c r="B23"/>
  <c r="B24" i="68" s="1"/>
  <c r="Q94" l="1"/>
  <c r="R94" s="1"/>
  <c r="N94"/>
  <c r="Q49" i="64"/>
  <c r="R49" s="1"/>
  <c r="F49"/>
  <c r="Q23"/>
  <c r="R23" s="1"/>
  <c r="F23"/>
  <c r="Q50"/>
  <c r="R50" s="1"/>
  <c r="F50"/>
  <c r="Q92" i="68"/>
  <c r="R92" s="1"/>
  <c r="N92"/>
  <c r="Q93"/>
  <c r="R93" s="1"/>
  <c r="N93"/>
  <c r="G24"/>
  <c r="I24"/>
  <c r="H302" i="32"/>
  <c r="H291"/>
  <c r="H346" i="42"/>
  <c r="H387" i="40"/>
  <c r="H378"/>
  <c r="H294" i="32"/>
  <c r="H140"/>
  <c r="H139"/>
  <c r="H138"/>
  <c r="H129"/>
  <c r="H128"/>
  <c r="H127"/>
  <c r="H51"/>
  <c r="H50"/>
  <c r="H49"/>
  <c r="H48"/>
  <c r="H47"/>
  <c r="H46"/>
  <c r="H45"/>
  <c r="H44"/>
  <c r="H43"/>
  <c r="H34"/>
  <c r="H33"/>
  <c r="H22"/>
  <c r="H21"/>
  <c r="H16"/>
  <c r="H15"/>
  <c r="H11"/>
  <c r="H10"/>
  <c r="H7"/>
  <c r="H8" s="1"/>
  <c r="E7" i="66" s="1"/>
  <c r="E29" i="65"/>
  <c r="E7"/>
  <c r="D9"/>
  <c r="B9"/>
  <c r="B8"/>
  <c r="H88" i="42"/>
  <c r="H87"/>
  <c r="H85"/>
  <c r="H84"/>
  <c r="H83"/>
  <c r="H98"/>
  <c r="H97"/>
  <c r="H95"/>
  <c r="H94"/>
  <c r="H93"/>
  <c r="H51"/>
  <c r="H50"/>
  <c r="H49"/>
  <c r="H48"/>
  <c r="H47"/>
  <c r="H46"/>
  <c r="H45"/>
  <c r="H44"/>
  <c r="H43"/>
  <c r="H37"/>
  <c r="H34"/>
  <c r="G81" i="66"/>
  <c r="H91" i="30"/>
  <c r="B90"/>
  <c r="B81" i="66" s="1"/>
  <c r="B89" i="65"/>
  <c r="H22" i="42"/>
  <c r="H21"/>
  <c r="H16"/>
  <c r="H15"/>
  <c r="H17"/>
  <c r="H11"/>
  <c r="H10"/>
  <c r="H7"/>
  <c r="H85" i="44"/>
  <c r="G89" i="65" s="1"/>
  <c r="Q89" s="1"/>
  <c r="B86" i="64"/>
  <c r="B87" i="68" s="1"/>
  <c r="H87" i="38"/>
  <c r="G86" i="64" s="1"/>
  <c r="H86" s="1"/>
  <c r="E51" i="68" l="1"/>
  <c r="Q51" s="1"/>
  <c r="R51" s="1"/>
  <c r="E50"/>
  <c r="Q50" s="1"/>
  <c r="R50" s="1"/>
  <c r="E24"/>
  <c r="Q24" s="1"/>
  <c r="R24" s="1"/>
  <c r="E87"/>
  <c r="Q86" i="64"/>
  <c r="R86" s="1"/>
  <c r="I87" i="68"/>
  <c r="Q81" i="66"/>
  <c r="Q29" i="65"/>
  <c r="R29" s="1"/>
  <c r="F29"/>
  <c r="G87" i="68"/>
  <c r="H24" i="32"/>
  <c r="H52"/>
  <c r="H13"/>
  <c r="E8" i="66" s="1"/>
  <c r="H24" i="42"/>
  <c r="H89"/>
  <c r="H99"/>
  <c r="H52"/>
  <c r="H13"/>
  <c r="E9" i="65" s="1"/>
  <c r="H18" i="42"/>
  <c r="H395" i="40"/>
  <c r="H392"/>
  <c r="H72"/>
  <c r="H73"/>
  <c r="H22"/>
  <c r="Q87" i="68" l="1"/>
  <c r="I9"/>
  <c r="Q8" i="66"/>
  <c r="Q9" i="65"/>
  <c r="G9" i="68"/>
  <c r="E22" i="64"/>
  <c r="E32"/>
  <c r="E9"/>
  <c r="F9" s="1"/>
  <c r="Q22" l="1"/>
  <c r="R22" s="1"/>
  <c r="F22"/>
  <c r="Q32"/>
  <c r="R32" s="1"/>
  <c r="F32"/>
  <c r="E9" i="68"/>
  <c r="Q9" s="1"/>
  <c r="R9" s="1"/>
  <c r="Q9" i="64"/>
  <c r="R9" s="1"/>
  <c r="H245" i="40"/>
  <c r="H170"/>
  <c r="H169"/>
  <c r="H168"/>
  <c r="H167"/>
  <c r="H166"/>
  <c r="H165"/>
  <c r="H164"/>
  <c r="H163"/>
  <c r="H162"/>
  <c r="H161"/>
  <c r="H160"/>
  <c r="H156"/>
  <c r="H155"/>
  <c r="H154"/>
  <c r="H149"/>
  <c r="H147"/>
  <c r="H129"/>
  <c r="H127"/>
  <c r="H125"/>
  <c r="H123"/>
  <c r="H118"/>
  <c r="H116"/>
  <c r="H114"/>
  <c r="H113"/>
  <c r="E33" i="68" l="1"/>
  <c r="E23"/>
  <c r="H66" i="40"/>
  <c r="H65"/>
  <c r="H64"/>
  <c r="H63"/>
  <c r="H62"/>
  <c r="H61"/>
  <c r="H60"/>
  <c r="H59"/>
  <c r="H58"/>
  <c r="H57"/>
  <c r="H56"/>
  <c r="H55"/>
  <c r="H54"/>
  <c r="H53"/>
  <c r="H52"/>
  <c r="H51"/>
  <c r="H50"/>
  <c r="H49"/>
  <c r="H70"/>
  <c r="H71"/>
  <c r="H28"/>
  <c r="H29"/>
  <c r="H30"/>
  <c r="H31"/>
  <c r="H32"/>
  <c r="H33"/>
  <c r="H34"/>
  <c r="H35"/>
  <c r="H36"/>
  <c r="H37"/>
  <c r="H38"/>
  <c r="H39"/>
  <c r="H40"/>
  <c r="H41"/>
  <c r="H42"/>
  <c r="H43"/>
  <c r="H44"/>
  <c r="H27"/>
  <c r="A12"/>
  <c r="A17" s="1"/>
  <c r="H45" l="1"/>
  <c r="H67"/>
  <c r="H332"/>
  <c r="G17" i="68"/>
  <c r="N230"/>
  <c r="N229"/>
  <c r="N228"/>
  <c r="J228"/>
  <c r="F228"/>
  <c r="N227"/>
  <c r="J227"/>
  <c r="F227"/>
  <c r="N226"/>
  <c r="J226"/>
  <c r="F226"/>
  <c r="N225"/>
  <c r="J225"/>
  <c r="F225"/>
  <c r="N224"/>
  <c r="L224"/>
  <c r="J224"/>
  <c r="F224"/>
  <c r="N223"/>
  <c r="L223"/>
  <c r="J223"/>
  <c r="F223"/>
  <c r="O222"/>
  <c r="Q222" s="1"/>
  <c r="R222" s="1"/>
  <c r="N222"/>
  <c r="L222"/>
  <c r="J222"/>
  <c r="F222"/>
  <c r="O221"/>
  <c r="N221"/>
  <c r="L221"/>
  <c r="J221"/>
  <c r="F221"/>
  <c r="O220"/>
  <c r="P220" s="1"/>
  <c r="N220"/>
  <c r="L220"/>
  <c r="J220"/>
  <c r="H220"/>
  <c r="F220"/>
  <c r="O219"/>
  <c r="P219" s="1"/>
  <c r="N219"/>
  <c r="L219"/>
  <c r="J219"/>
  <c r="H219"/>
  <c r="F219"/>
  <c r="O218"/>
  <c r="P218" s="1"/>
  <c r="N218"/>
  <c r="L218"/>
  <c r="J218"/>
  <c r="H218"/>
  <c r="F218"/>
  <c r="O217"/>
  <c r="P217" s="1"/>
  <c r="N217"/>
  <c r="L217"/>
  <c r="J217"/>
  <c r="H217"/>
  <c r="F217"/>
  <c r="O216"/>
  <c r="Q216" s="1"/>
  <c r="R216" s="1"/>
  <c r="N216"/>
  <c r="L216"/>
  <c r="J216"/>
  <c r="H216"/>
  <c r="F216"/>
  <c r="O215"/>
  <c r="Q215" s="1"/>
  <c r="R215" s="1"/>
  <c r="N215"/>
  <c r="L215"/>
  <c r="J215"/>
  <c r="H215"/>
  <c r="F215"/>
  <c r="O214"/>
  <c r="P214" s="1"/>
  <c r="N214"/>
  <c r="L214"/>
  <c r="J214"/>
  <c r="H214"/>
  <c r="F214"/>
  <c r="O213"/>
  <c r="Q213" s="1"/>
  <c r="R213" s="1"/>
  <c r="N213"/>
  <c r="J213"/>
  <c r="H213"/>
  <c r="F213"/>
  <c r="O212"/>
  <c r="Q212" s="1"/>
  <c r="N212"/>
  <c r="L212"/>
  <c r="J212"/>
  <c r="H212"/>
  <c r="O211"/>
  <c r="Q211" s="1"/>
  <c r="N211"/>
  <c r="J211"/>
  <c r="H211"/>
  <c r="F211"/>
  <c r="O210"/>
  <c r="N210"/>
  <c r="L210"/>
  <c r="O209"/>
  <c r="Q209" s="1"/>
  <c r="N209"/>
  <c r="L209"/>
  <c r="J209"/>
  <c r="H209"/>
  <c r="F209"/>
  <c r="O208"/>
  <c r="Q208" s="1"/>
  <c r="R208" s="1"/>
  <c r="N208"/>
  <c r="L208"/>
  <c r="J208"/>
  <c r="H208"/>
  <c r="F208"/>
  <c r="O207"/>
  <c r="Q207" s="1"/>
  <c r="R207" s="1"/>
  <c r="N207"/>
  <c r="L207"/>
  <c r="J207"/>
  <c r="H207"/>
  <c r="F207"/>
  <c r="O206"/>
  <c r="P206" s="1"/>
  <c r="N206"/>
  <c r="L206"/>
  <c r="J206"/>
  <c r="H206"/>
  <c r="F206"/>
  <c r="O205"/>
  <c r="Q205" s="1"/>
  <c r="R205" s="1"/>
  <c r="N205"/>
  <c r="L205"/>
  <c r="J205"/>
  <c r="H205"/>
  <c r="F205"/>
  <c r="O204"/>
  <c r="Q204" s="1"/>
  <c r="R204" s="1"/>
  <c r="N204"/>
  <c r="L204"/>
  <c r="J204"/>
  <c r="H204"/>
  <c r="F204"/>
  <c r="O203"/>
  <c r="Q203" s="1"/>
  <c r="R203" s="1"/>
  <c r="N203"/>
  <c r="L203"/>
  <c r="J203"/>
  <c r="H203"/>
  <c r="F203"/>
  <c r="O202"/>
  <c r="Q202" s="1"/>
  <c r="R202" s="1"/>
  <c r="N202"/>
  <c r="L202"/>
  <c r="J202"/>
  <c r="H202"/>
  <c r="F202"/>
  <c r="O201"/>
  <c r="P201" s="1"/>
  <c r="N201"/>
  <c r="L201"/>
  <c r="J201"/>
  <c r="H201"/>
  <c r="F201"/>
  <c r="O200"/>
  <c r="Q200" s="1"/>
  <c r="B200"/>
  <c r="O199"/>
  <c r="B199"/>
  <c r="O198"/>
  <c r="Q198" s="1"/>
  <c r="O197"/>
  <c r="Q197" s="1"/>
  <c r="O196"/>
  <c r="Q196" s="1"/>
  <c r="O195"/>
  <c r="Q195" s="1"/>
  <c r="O194"/>
  <c r="Q194" s="1"/>
  <c r="O193"/>
  <c r="Q193" s="1"/>
  <c r="O192"/>
  <c r="O191"/>
  <c r="Q191" s="1"/>
  <c r="O190"/>
  <c r="Q190" s="1"/>
  <c r="O189"/>
  <c r="Q189" s="1"/>
  <c r="O188"/>
  <c r="O187"/>
  <c r="Q187" s="1"/>
  <c r="O186"/>
  <c r="Q186" s="1"/>
  <c r="O185"/>
  <c r="Q185" s="1"/>
  <c r="O184"/>
  <c r="O183"/>
  <c r="Q183" s="1"/>
  <c r="O182"/>
  <c r="Q182" s="1"/>
  <c r="O181"/>
  <c r="Q181" s="1"/>
  <c r="O180"/>
  <c r="O179"/>
  <c r="Q179" s="1"/>
  <c r="O178"/>
  <c r="Q178" s="1"/>
  <c r="O177"/>
  <c r="Q177" s="1"/>
  <c r="O176"/>
  <c r="O175"/>
  <c r="Q175" s="1"/>
  <c r="O174"/>
  <c r="Q174" s="1"/>
  <c r="O173"/>
  <c r="Q173" s="1"/>
  <c r="O172"/>
  <c r="Q172" s="1"/>
  <c r="O171"/>
  <c r="Q171" s="1"/>
  <c r="O170"/>
  <c r="Q170" s="1"/>
  <c r="O169"/>
  <c r="Q169" s="1"/>
  <c r="O168"/>
  <c r="O167"/>
  <c r="Q167" s="1"/>
  <c r="O166"/>
  <c r="Q166" s="1"/>
  <c r="O165"/>
  <c r="Q165" s="1"/>
  <c r="O164"/>
  <c r="O163"/>
  <c r="Q163" s="1"/>
  <c r="O162"/>
  <c r="Q162" s="1"/>
  <c r="O161"/>
  <c r="Q161" s="1"/>
  <c r="O160"/>
  <c r="O159"/>
  <c r="Q159" s="1"/>
  <c r="O158"/>
  <c r="Q158" s="1"/>
  <c r="O157"/>
  <c r="O156"/>
  <c r="O155"/>
  <c r="Q155" s="1"/>
  <c r="O154"/>
  <c r="O153"/>
  <c r="Q153" s="1"/>
  <c r="O152"/>
  <c r="Q152" s="1"/>
  <c r="O151"/>
  <c r="Q151" s="1"/>
  <c r="O150"/>
  <c r="Q150" s="1"/>
  <c r="O149"/>
  <c r="Q149" s="1"/>
  <c r="O148"/>
  <c r="Q148" s="1"/>
  <c r="O147"/>
  <c r="Q147" s="1"/>
  <c r="O146"/>
  <c r="O145"/>
  <c r="Q145" s="1"/>
  <c r="O144"/>
  <c r="Q144" s="1"/>
  <c r="O143"/>
  <c r="O142"/>
  <c r="Q142" s="1"/>
  <c r="O141"/>
  <c r="O140"/>
  <c r="O139"/>
  <c r="Q139" s="1"/>
  <c r="O138"/>
  <c r="Q138" s="1"/>
  <c r="O137"/>
  <c r="Q137" s="1"/>
  <c r="O136"/>
  <c r="Q136" s="1"/>
  <c r="O135"/>
  <c r="Q135" s="1"/>
  <c r="O134"/>
  <c r="Q134" s="1"/>
  <c r="O133"/>
  <c r="Q133" s="1"/>
  <c r="O132"/>
  <c r="Q132" s="1"/>
  <c r="O131"/>
  <c r="Q131" s="1"/>
  <c r="O130"/>
  <c r="Q130" s="1"/>
  <c r="O129"/>
  <c r="Q129" s="1"/>
  <c r="O128"/>
  <c r="Q128" s="1"/>
  <c r="O127"/>
  <c r="Q127" s="1"/>
  <c r="O126"/>
  <c r="Q126" s="1"/>
  <c r="O125"/>
  <c r="Q125" s="1"/>
  <c r="O124"/>
  <c r="Q124" s="1"/>
  <c r="O123"/>
  <c r="Q123" s="1"/>
  <c r="O122"/>
  <c r="Q122" s="1"/>
  <c r="O121"/>
  <c r="Q121" s="1"/>
  <c r="O120"/>
  <c r="Q120" s="1"/>
  <c r="O119"/>
  <c r="Q119" s="1"/>
  <c r="B119"/>
  <c r="O118"/>
  <c r="C118"/>
  <c r="L118" s="1"/>
  <c r="O117"/>
  <c r="Q117" s="1"/>
  <c r="O116"/>
  <c r="Q116" s="1"/>
  <c r="O115"/>
  <c r="Q115" s="1"/>
  <c r="O114"/>
  <c r="O113"/>
  <c r="Q113" s="1"/>
  <c r="O112"/>
  <c r="Q112" s="1"/>
  <c r="O111"/>
  <c r="Q111" s="1"/>
  <c r="C111"/>
  <c r="O110"/>
  <c r="N110"/>
  <c r="L110"/>
  <c r="J110"/>
  <c r="H110"/>
  <c r="F110"/>
  <c r="O109"/>
  <c r="Q109" s="1"/>
  <c r="R109" s="1"/>
  <c r="N109"/>
  <c r="L109"/>
  <c r="J109"/>
  <c r="H109"/>
  <c r="F109"/>
  <c r="O108"/>
  <c r="Q108" s="1"/>
  <c r="R108" s="1"/>
  <c r="N108"/>
  <c r="L108"/>
  <c r="J108"/>
  <c r="H108"/>
  <c r="F108"/>
  <c r="O107"/>
  <c r="P107" s="1"/>
  <c r="N107"/>
  <c r="L107"/>
  <c r="J107"/>
  <c r="H107"/>
  <c r="F107"/>
  <c r="O106"/>
  <c r="O105"/>
  <c r="Q105" s="1"/>
  <c r="AA104"/>
  <c r="AB104" s="1"/>
  <c r="Z104"/>
  <c r="O104"/>
  <c r="B82"/>
  <c r="D81"/>
  <c r="O69"/>
  <c r="J69"/>
  <c r="H69"/>
  <c r="F69"/>
  <c r="B68"/>
  <c r="B67"/>
  <c r="B46"/>
  <c r="B30"/>
  <c r="B29"/>
  <c r="B27"/>
  <c r="B25"/>
  <c r="A1"/>
  <c r="K1032" i="67"/>
  <c r="B1032"/>
  <c r="K347"/>
  <c r="K231"/>
  <c r="K139"/>
  <c r="K1031"/>
  <c r="B1031"/>
  <c r="K47"/>
  <c r="K40"/>
  <c r="K24"/>
  <c r="J639"/>
  <c r="J638"/>
  <c r="J637"/>
  <c r="H986"/>
  <c r="H956"/>
  <c r="H954"/>
  <c r="H929"/>
  <c r="H903"/>
  <c r="H677"/>
  <c r="H639"/>
  <c r="H638"/>
  <c r="H637"/>
  <c r="H463"/>
  <c r="H382"/>
  <c r="H366"/>
  <c r="H300"/>
  <c r="H138"/>
  <c r="H92"/>
  <c r="G92"/>
  <c r="N1164"/>
  <c r="N1163"/>
  <c r="N1162"/>
  <c r="J1162"/>
  <c r="F1162"/>
  <c r="N1161"/>
  <c r="J1161"/>
  <c r="F1161"/>
  <c r="N1160"/>
  <c r="J1160"/>
  <c r="F1160"/>
  <c r="N1159"/>
  <c r="J1159"/>
  <c r="F1159"/>
  <c r="N1158"/>
  <c r="L1158"/>
  <c r="J1158"/>
  <c r="F1158"/>
  <c r="N1157"/>
  <c r="L1157"/>
  <c r="J1157"/>
  <c r="F1157"/>
  <c r="O1156"/>
  <c r="P1156" s="1"/>
  <c r="N1156"/>
  <c r="L1156"/>
  <c r="J1156"/>
  <c r="F1156"/>
  <c r="N1155"/>
  <c r="L1155"/>
  <c r="J1155"/>
  <c r="F1155"/>
  <c r="O1154"/>
  <c r="P1154" s="1"/>
  <c r="N1154"/>
  <c r="L1154"/>
  <c r="J1154"/>
  <c r="H1154"/>
  <c r="F1154"/>
  <c r="N1153"/>
  <c r="L1153"/>
  <c r="J1153"/>
  <c r="H1153"/>
  <c r="F1153"/>
  <c r="O1152"/>
  <c r="P1152" s="1"/>
  <c r="N1152"/>
  <c r="L1152"/>
  <c r="J1152"/>
  <c r="H1152"/>
  <c r="F1152"/>
  <c r="O1151"/>
  <c r="P1151" s="1"/>
  <c r="N1151"/>
  <c r="L1151"/>
  <c r="J1151"/>
  <c r="H1151"/>
  <c r="F1151"/>
  <c r="N1150"/>
  <c r="L1150"/>
  <c r="J1150"/>
  <c r="H1150"/>
  <c r="F1150"/>
  <c r="O1149"/>
  <c r="P1149" s="1"/>
  <c r="N1149"/>
  <c r="L1149"/>
  <c r="J1149"/>
  <c r="H1149"/>
  <c r="F1149"/>
  <c r="O1148"/>
  <c r="P1148" s="1"/>
  <c r="N1148"/>
  <c r="L1148"/>
  <c r="J1148"/>
  <c r="H1148"/>
  <c r="F1148"/>
  <c r="O1147"/>
  <c r="P1147" s="1"/>
  <c r="N1147"/>
  <c r="L1147"/>
  <c r="J1147"/>
  <c r="H1147"/>
  <c r="F1147"/>
  <c r="O1146"/>
  <c r="P1146" s="1"/>
  <c r="N1146"/>
  <c r="L1146"/>
  <c r="J1146"/>
  <c r="H1146"/>
  <c r="F1146"/>
  <c r="O1145"/>
  <c r="N1145"/>
  <c r="L1145"/>
  <c r="J1145"/>
  <c r="H1145"/>
  <c r="F1145"/>
  <c r="O1144"/>
  <c r="N1144"/>
  <c r="L1144"/>
  <c r="J1144"/>
  <c r="H1144"/>
  <c r="F1144"/>
  <c r="O1143"/>
  <c r="P1143" s="1"/>
  <c r="N1143"/>
  <c r="L1143"/>
  <c r="J1143"/>
  <c r="H1143"/>
  <c r="F1143"/>
  <c r="O1142"/>
  <c r="P1142" s="1"/>
  <c r="N1142"/>
  <c r="L1142"/>
  <c r="J1142"/>
  <c r="H1142"/>
  <c r="F1142"/>
  <c r="N1141"/>
  <c r="L1141"/>
  <c r="J1141"/>
  <c r="H1141"/>
  <c r="F1141"/>
  <c r="O1140"/>
  <c r="P1140" s="1"/>
  <c r="N1140"/>
  <c r="L1140"/>
  <c r="J1140"/>
  <c r="H1140"/>
  <c r="F1140"/>
  <c r="O1139"/>
  <c r="P1139" s="1"/>
  <c r="N1139"/>
  <c r="L1139"/>
  <c r="J1139"/>
  <c r="H1139"/>
  <c r="F1139"/>
  <c r="O1138"/>
  <c r="P1138" s="1"/>
  <c r="N1138"/>
  <c r="L1138"/>
  <c r="J1138"/>
  <c r="H1138"/>
  <c r="F1138"/>
  <c r="O1137"/>
  <c r="P1137" s="1"/>
  <c r="N1137"/>
  <c r="L1137"/>
  <c r="J1137"/>
  <c r="H1137"/>
  <c r="F1137"/>
  <c r="N1136"/>
  <c r="L1136"/>
  <c r="J1136"/>
  <c r="H1136"/>
  <c r="F1136"/>
  <c r="O1135"/>
  <c r="P1135" s="1"/>
  <c r="N1135"/>
  <c r="L1135"/>
  <c r="J1135"/>
  <c r="H1135"/>
  <c r="F1135"/>
  <c r="O1134"/>
  <c r="P1134" s="1"/>
  <c r="N1134"/>
  <c r="L1134"/>
  <c r="J1134"/>
  <c r="H1134"/>
  <c r="F1134"/>
  <c r="B1133"/>
  <c r="O1132"/>
  <c r="B1132"/>
  <c r="O1131"/>
  <c r="O1129"/>
  <c r="O1127"/>
  <c r="O1125"/>
  <c r="O1124"/>
  <c r="O1123"/>
  <c r="O1121"/>
  <c r="O1119"/>
  <c r="O1117"/>
  <c r="O1116"/>
  <c r="O1115"/>
  <c r="O1112"/>
  <c r="O1111"/>
  <c r="O1108"/>
  <c r="O1107"/>
  <c r="O1104"/>
  <c r="O1103"/>
  <c r="O1100"/>
  <c r="O1099"/>
  <c r="O1098"/>
  <c r="O1096"/>
  <c r="O1095"/>
  <c r="O1094"/>
  <c r="O1092"/>
  <c r="O1091"/>
  <c r="O1088"/>
  <c r="O1087"/>
  <c r="O1086"/>
  <c r="O1085"/>
  <c r="O1084"/>
  <c r="O1083"/>
  <c r="O1082"/>
  <c r="O1081"/>
  <c r="O1080"/>
  <c r="O1078"/>
  <c r="O1077"/>
  <c r="O1076"/>
  <c r="O1075"/>
  <c r="O1074"/>
  <c r="O1073"/>
  <c r="O1072"/>
  <c r="O1071"/>
  <c r="O1070"/>
  <c r="O1069"/>
  <c r="O1068"/>
  <c r="O1067"/>
  <c r="O1066"/>
  <c r="O1065"/>
  <c r="O1064"/>
  <c r="O1063"/>
  <c r="O1062"/>
  <c r="O1061"/>
  <c r="O1060"/>
  <c r="O1059"/>
  <c r="O1058"/>
  <c r="O1057"/>
  <c r="O1056"/>
  <c r="O1055"/>
  <c r="O1054"/>
  <c r="O1053"/>
  <c r="O1052"/>
  <c r="B1052"/>
  <c r="O1051"/>
  <c r="C1051"/>
  <c r="O1049"/>
  <c r="O1048"/>
  <c r="O1047"/>
  <c r="O1045"/>
  <c r="O1044"/>
  <c r="C1044"/>
  <c r="N1043"/>
  <c r="L1043"/>
  <c r="J1043"/>
  <c r="H1043"/>
  <c r="F1043"/>
  <c r="O1042"/>
  <c r="P1042" s="1"/>
  <c r="N1042"/>
  <c r="L1042"/>
  <c r="J1042"/>
  <c r="H1042"/>
  <c r="F1042"/>
  <c r="N1041"/>
  <c r="L1041"/>
  <c r="J1041"/>
  <c r="H1041"/>
  <c r="F1041"/>
  <c r="N1040"/>
  <c r="L1040"/>
  <c r="J1040"/>
  <c r="H1040"/>
  <c r="F1040"/>
  <c r="O1039"/>
  <c r="O1038"/>
  <c r="O1037"/>
  <c r="O1036"/>
  <c r="P1036" s="1"/>
  <c r="N1036"/>
  <c r="L1036"/>
  <c r="J1036"/>
  <c r="H1036"/>
  <c r="F1036"/>
  <c r="O1035"/>
  <c r="P1035" s="1"/>
  <c r="N1035"/>
  <c r="L1035"/>
  <c r="J1035"/>
  <c r="H1035"/>
  <c r="F1035"/>
  <c r="N1034"/>
  <c r="L1034"/>
  <c r="J1034"/>
  <c r="H1034"/>
  <c r="F1034"/>
  <c r="Y1033"/>
  <c r="Z1033" s="1"/>
  <c r="X1033"/>
  <c r="N1033"/>
  <c r="C1033"/>
  <c r="H1030"/>
  <c r="L1028"/>
  <c r="J1028"/>
  <c r="H1028"/>
  <c r="L1027"/>
  <c r="J1027"/>
  <c r="H1027"/>
  <c r="L1026"/>
  <c r="J1026"/>
  <c r="H1026"/>
  <c r="L1025"/>
  <c r="J1025"/>
  <c r="H1025"/>
  <c r="L1024"/>
  <c r="J1024"/>
  <c r="H1024"/>
  <c r="L1023"/>
  <c r="J1023"/>
  <c r="H1023"/>
  <c r="L1022"/>
  <c r="J1022"/>
  <c r="H1022"/>
  <c r="L1021"/>
  <c r="J1021"/>
  <c r="H1021"/>
  <c r="L1020"/>
  <c r="J1020"/>
  <c r="H1020"/>
  <c r="L1019"/>
  <c r="J1019"/>
  <c r="H1019"/>
  <c r="L1018"/>
  <c r="J1018"/>
  <c r="H1018"/>
  <c r="F1018"/>
  <c r="L1017"/>
  <c r="J1017"/>
  <c r="H1017"/>
  <c r="F1017"/>
  <c r="L1016"/>
  <c r="J1016"/>
  <c r="H1016"/>
  <c r="F1016"/>
  <c r="L1015"/>
  <c r="J1015"/>
  <c r="H1015"/>
  <c r="F1015"/>
  <c r="L1014"/>
  <c r="J1014"/>
  <c r="H1014"/>
  <c r="F1014"/>
  <c r="L1013"/>
  <c r="L1012"/>
  <c r="J1012"/>
  <c r="H1012"/>
  <c r="F1012"/>
  <c r="L1011"/>
  <c r="J1011"/>
  <c r="H1011"/>
  <c r="F1011"/>
  <c r="L1010"/>
  <c r="J1010"/>
  <c r="H1010"/>
  <c r="F1010"/>
  <c r="L1009"/>
  <c r="J1009"/>
  <c r="H1009"/>
  <c r="F1009"/>
  <c r="L1008"/>
  <c r="J1008"/>
  <c r="H1008"/>
  <c r="F1008"/>
  <c r="L1007"/>
  <c r="J1007"/>
  <c r="H1007"/>
  <c r="F1007"/>
  <c r="L1006"/>
  <c r="J1006"/>
  <c r="H1006"/>
  <c r="F1006"/>
  <c r="L1005"/>
  <c r="J1005"/>
  <c r="H1005"/>
  <c r="F1005"/>
  <c r="L1004"/>
  <c r="J1004"/>
  <c r="H1004"/>
  <c r="F1004"/>
  <c r="L1003"/>
  <c r="J1003"/>
  <c r="H1003"/>
  <c r="F1003"/>
  <c r="L1002"/>
  <c r="J1002"/>
  <c r="H1002"/>
  <c r="F1002"/>
  <c r="L1001"/>
  <c r="J1001"/>
  <c r="H1001"/>
  <c r="F1001"/>
  <c r="L1000"/>
  <c r="J1000"/>
  <c r="H1000"/>
  <c r="F1000"/>
  <c r="L999"/>
  <c r="J999"/>
  <c r="H999"/>
  <c r="F999"/>
  <c r="L998"/>
  <c r="J998"/>
  <c r="H998"/>
  <c r="F998"/>
  <c r="L997"/>
  <c r="J997"/>
  <c r="H997"/>
  <c r="F997"/>
  <c r="L996"/>
  <c r="J996"/>
  <c r="H996"/>
  <c r="F996"/>
  <c r="L995"/>
  <c r="J995"/>
  <c r="H995"/>
  <c r="F995"/>
  <c r="L994"/>
  <c r="J994"/>
  <c r="H994"/>
  <c r="F994"/>
  <c r="L993"/>
  <c r="J993"/>
  <c r="H993"/>
  <c r="F993"/>
  <c r="L992"/>
  <c r="J992"/>
  <c r="H992"/>
  <c r="F992"/>
  <c r="L991"/>
  <c r="J991"/>
  <c r="H991"/>
  <c r="F991"/>
  <c r="L990"/>
  <c r="J990"/>
  <c r="H990"/>
  <c r="F990"/>
  <c r="L989"/>
  <c r="J989"/>
  <c r="H989"/>
  <c r="F989"/>
  <c r="L988"/>
  <c r="J988"/>
  <c r="H988"/>
  <c r="F988"/>
  <c r="L987"/>
  <c r="L986"/>
  <c r="L985"/>
  <c r="J985"/>
  <c r="H985"/>
  <c r="F985"/>
  <c r="L984"/>
  <c r="J984"/>
  <c r="H984"/>
  <c r="F984"/>
  <c r="L983"/>
  <c r="J983"/>
  <c r="H983"/>
  <c r="F983"/>
  <c r="L982"/>
  <c r="J982"/>
  <c r="H982"/>
  <c r="F982"/>
  <c r="L981"/>
  <c r="J981"/>
  <c r="H981"/>
  <c r="F981"/>
  <c r="L980"/>
  <c r="J980"/>
  <c r="H980"/>
  <c r="F980"/>
  <c r="L979"/>
  <c r="J979"/>
  <c r="H979"/>
  <c r="F979"/>
  <c r="L978"/>
  <c r="J978"/>
  <c r="H978"/>
  <c r="F978"/>
  <c r="L977"/>
  <c r="J977"/>
  <c r="H977"/>
  <c r="F977"/>
  <c r="L976"/>
  <c r="J976"/>
  <c r="H976"/>
  <c r="F976"/>
  <c r="L975"/>
  <c r="J975"/>
  <c r="H975"/>
  <c r="F975"/>
  <c r="L974"/>
  <c r="J974"/>
  <c r="H974"/>
  <c r="F974"/>
  <c r="L973"/>
  <c r="J973"/>
  <c r="H973"/>
  <c r="F973"/>
  <c r="L972"/>
  <c r="J972"/>
  <c r="H972"/>
  <c r="F972"/>
  <c r="L971"/>
  <c r="J971"/>
  <c r="H971"/>
  <c r="F971"/>
  <c r="L970"/>
  <c r="J970"/>
  <c r="H970"/>
  <c r="F970"/>
  <c r="L969"/>
  <c r="J969"/>
  <c r="H969"/>
  <c r="F969"/>
  <c r="L968"/>
  <c r="J968"/>
  <c r="H968"/>
  <c r="F968"/>
  <c r="L967"/>
  <c r="J967"/>
  <c r="H967"/>
  <c r="F967"/>
  <c r="L966"/>
  <c r="J966"/>
  <c r="H966"/>
  <c r="F966"/>
  <c r="L965"/>
  <c r="J965"/>
  <c r="H965"/>
  <c r="F965"/>
  <c r="L964"/>
  <c r="J964"/>
  <c r="H964"/>
  <c r="F964"/>
  <c r="L963"/>
  <c r="J963"/>
  <c r="H963"/>
  <c r="F963"/>
  <c r="L962"/>
  <c r="J962"/>
  <c r="H962"/>
  <c r="F962"/>
  <c r="L961"/>
  <c r="J961"/>
  <c r="H961"/>
  <c r="F961"/>
  <c r="L960"/>
  <c r="J960"/>
  <c r="H960"/>
  <c r="F960"/>
  <c r="L959"/>
  <c r="J959"/>
  <c r="H959"/>
  <c r="F959"/>
  <c r="L958"/>
  <c r="J958"/>
  <c r="H958"/>
  <c r="F958"/>
  <c r="L957"/>
  <c r="J957"/>
  <c r="H957"/>
  <c r="F957"/>
  <c r="L956"/>
  <c r="L955"/>
  <c r="J955"/>
  <c r="H955"/>
  <c r="F955"/>
  <c r="L954"/>
  <c r="L953"/>
  <c r="B953"/>
  <c r="L952"/>
  <c r="J952"/>
  <c r="H952"/>
  <c r="F952"/>
  <c r="L951"/>
  <c r="J951"/>
  <c r="H951"/>
  <c r="F951"/>
  <c r="L950"/>
  <c r="J950"/>
  <c r="H950"/>
  <c r="F950"/>
  <c r="L949"/>
  <c r="J949"/>
  <c r="H949"/>
  <c r="F949"/>
  <c r="L948"/>
  <c r="J948"/>
  <c r="H948"/>
  <c r="F948"/>
  <c r="L947"/>
  <c r="J947"/>
  <c r="H947"/>
  <c r="F947"/>
  <c r="L946"/>
  <c r="J946"/>
  <c r="H946"/>
  <c r="F946"/>
  <c r="L945"/>
  <c r="J945"/>
  <c r="H945"/>
  <c r="F945"/>
  <c r="L944"/>
  <c r="J944"/>
  <c r="H944"/>
  <c r="F944"/>
  <c r="L943"/>
  <c r="J943"/>
  <c r="H943"/>
  <c r="F943"/>
  <c r="L942"/>
  <c r="J942"/>
  <c r="H942"/>
  <c r="F942"/>
  <c r="L941"/>
  <c r="J941"/>
  <c r="H941"/>
  <c r="F941"/>
  <c r="L940"/>
  <c r="J940"/>
  <c r="H940"/>
  <c r="F940"/>
  <c r="L939"/>
  <c r="J939"/>
  <c r="H939"/>
  <c r="F939"/>
  <c r="L938"/>
  <c r="J938"/>
  <c r="H938"/>
  <c r="F938"/>
  <c r="L937"/>
  <c r="J937"/>
  <c r="H937"/>
  <c r="F937"/>
  <c r="L936"/>
  <c r="J936"/>
  <c r="H936"/>
  <c r="F936"/>
  <c r="L935"/>
  <c r="J935"/>
  <c r="H935"/>
  <c r="F935"/>
  <c r="L934"/>
  <c r="J934"/>
  <c r="H934"/>
  <c r="F934"/>
  <c r="L933"/>
  <c r="J933"/>
  <c r="H933"/>
  <c r="F933"/>
  <c r="L932"/>
  <c r="J932"/>
  <c r="H932"/>
  <c r="F932"/>
  <c r="L930"/>
  <c r="J930"/>
  <c r="H930"/>
  <c r="F930"/>
  <c r="L929"/>
  <c r="D929"/>
  <c r="D930" s="1"/>
  <c r="D931" s="1"/>
  <c r="D932" s="1"/>
  <c r="D933" s="1"/>
  <c r="D934" s="1"/>
  <c r="D935" s="1"/>
  <c r="D936" s="1"/>
  <c r="D937" s="1"/>
  <c r="D938" s="1"/>
  <c r="D939" s="1"/>
  <c r="D940" s="1"/>
  <c r="D941" s="1"/>
  <c r="D942" s="1"/>
  <c r="D943" s="1"/>
  <c r="D944" s="1"/>
  <c r="D945" s="1"/>
  <c r="D946" s="1"/>
  <c r="D947" s="1"/>
  <c r="D948" s="1"/>
  <c r="D949" s="1"/>
  <c r="D950" s="1"/>
  <c r="D951" s="1"/>
  <c r="D952" s="1"/>
  <c r="D953" s="1"/>
  <c r="L928"/>
  <c r="L927"/>
  <c r="L926"/>
  <c r="L925"/>
  <c r="L920"/>
  <c r="J920"/>
  <c r="H920"/>
  <c r="F920"/>
  <c r="L919"/>
  <c r="J919"/>
  <c r="H919"/>
  <c r="F919"/>
  <c r="L918"/>
  <c r="J918"/>
  <c r="H918"/>
  <c r="F918"/>
  <c r="L917"/>
  <c r="J917"/>
  <c r="H917"/>
  <c r="F917"/>
  <c r="L915"/>
  <c r="J915"/>
  <c r="H915"/>
  <c r="F915"/>
  <c r="L903"/>
  <c r="L902"/>
  <c r="J902"/>
  <c r="H902"/>
  <c r="F902"/>
  <c r="L901"/>
  <c r="J901"/>
  <c r="H901"/>
  <c r="F901"/>
  <c r="L900"/>
  <c r="J900"/>
  <c r="H900"/>
  <c r="F900"/>
  <c r="C899"/>
  <c r="C898"/>
  <c r="C897"/>
  <c r="L896"/>
  <c r="J896"/>
  <c r="H896"/>
  <c r="F896"/>
  <c r="C895"/>
  <c r="C894"/>
  <c r="C893"/>
  <c r="H893" s="1"/>
  <c r="C892"/>
  <c r="L891"/>
  <c r="J891"/>
  <c r="H891"/>
  <c r="F891"/>
  <c r="L889"/>
  <c r="J889"/>
  <c r="H889"/>
  <c r="F889"/>
  <c r="L882"/>
  <c r="J882"/>
  <c r="H882"/>
  <c r="F882"/>
  <c r="C878"/>
  <c r="L878" s="1"/>
  <c r="C877"/>
  <c r="C876"/>
  <c r="C875"/>
  <c r="C874"/>
  <c r="H874" s="1"/>
  <c r="C873"/>
  <c r="C872"/>
  <c r="J872" s="1"/>
  <c r="C871"/>
  <c r="F871" s="1"/>
  <c r="L870"/>
  <c r="J870"/>
  <c r="H870"/>
  <c r="F870"/>
  <c r="C868"/>
  <c r="C867"/>
  <c r="J867" s="1"/>
  <c r="C866"/>
  <c r="C865"/>
  <c r="H865" s="1"/>
  <c r="C864"/>
  <c r="F864" s="1"/>
  <c r="L863"/>
  <c r="J863"/>
  <c r="H863"/>
  <c r="F863"/>
  <c r="L858"/>
  <c r="J858"/>
  <c r="H858"/>
  <c r="F858"/>
  <c r="L857"/>
  <c r="J857"/>
  <c r="H857"/>
  <c r="F857"/>
  <c r="L856"/>
  <c r="J856"/>
  <c r="H856"/>
  <c r="F856"/>
  <c r="L855"/>
  <c r="J855"/>
  <c r="H855"/>
  <c r="F855"/>
  <c r="L854"/>
  <c r="J854"/>
  <c r="H854"/>
  <c r="F854"/>
  <c r="L853"/>
  <c r="J853"/>
  <c r="H853"/>
  <c r="F853"/>
  <c r="L850"/>
  <c r="J850"/>
  <c r="H850"/>
  <c r="F850"/>
  <c r="L843"/>
  <c r="J843"/>
  <c r="H843"/>
  <c r="F843"/>
  <c r="L842"/>
  <c r="J842"/>
  <c r="H842"/>
  <c r="F842"/>
  <c r="L841"/>
  <c r="J841"/>
  <c r="H841"/>
  <c r="F841"/>
  <c r="L840"/>
  <c r="J840"/>
  <c r="H840"/>
  <c r="F840"/>
  <c r="L832"/>
  <c r="J832"/>
  <c r="H832"/>
  <c r="F832"/>
  <c r="L829"/>
  <c r="J829"/>
  <c r="H829"/>
  <c r="F829"/>
  <c r="B829"/>
  <c r="L823"/>
  <c r="J823"/>
  <c r="H823"/>
  <c r="F823"/>
  <c r="L818"/>
  <c r="J818"/>
  <c r="H818"/>
  <c r="F818"/>
  <c r="L813"/>
  <c r="J813"/>
  <c r="H813"/>
  <c r="F813"/>
  <c r="L801"/>
  <c r="J801"/>
  <c r="H801"/>
  <c r="F801"/>
  <c r="L800"/>
  <c r="J800"/>
  <c r="H800"/>
  <c r="F800"/>
  <c r="L799"/>
  <c r="J799"/>
  <c r="H799"/>
  <c r="F799"/>
  <c r="L798"/>
  <c r="J798"/>
  <c r="H798"/>
  <c r="F798"/>
  <c r="L797"/>
  <c r="J797"/>
  <c r="H797"/>
  <c r="F797"/>
  <c r="L796"/>
  <c r="J796"/>
  <c r="H796"/>
  <c r="F796"/>
  <c r="L795"/>
  <c r="J795"/>
  <c r="H795"/>
  <c r="F795"/>
  <c r="L794"/>
  <c r="J794"/>
  <c r="H794"/>
  <c r="F794"/>
  <c r="L793"/>
  <c r="J793"/>
  <c r="H793"/>
  <c r="F793"/>
  <c r="L792"/>
  <c r="J792"/>
  <c r="H792"/>
  <c r="F792"/>
  <c r="L791"/>
  <c r="J791"/>
  <c r="H791"/>
  <c r="F791"/>
  <c r="L790"/>
  <c r="J790"/>
  <c r="H790"/>
  <c r="F790"/>
  <c r="L789"/>
  <c r="J789"/>
  <c r="H789"/>
  <c r="F789"/>
  <c r="L788"/>
  <c r="J788"/>
  <c r="H788"/>
  <c r="F788"/>
  <c r="L787"/>
  <c r="J787"/>
  <c r="H787"/>
  <c r="F787"/>
  <c r="L786"/>
  <c r="J786"/>
  <c r="H786"/>
  <c r="F786"/>
  <c r="L785"/>
  <c r="J785"/>
  <c r="H785"/>
  <c r="F785"/>
  <c r="L784"/>
  <c r="J784"/>
  <c r="H784"/>
  <c r="F784"/>
  <c r="L783"/>
  <c r="J783"/>
  <c r="H783"/>
  <c r="F783"/>
  <c r="L782"/>
  <c r="J782"/>
  <c r="H782"/>
  <c r="F782"/>
  <c r="L781"/>
  <c r="J781"/>
  <c r="H781"/>
  <c r="F781"/>
  <c r="L780"/>
  <c r="J780"/>
  <c r="H780"/>
  <c r="F780"/>
  <c r="L779"/>
  <c r="J779"/>
  <c r="H779"/>
  <c r="F779"/>
  <c r="L778"/>
  <c r="J778"/>
  <c r="H778"/>
  <c r="F778"/>
  <c r="L777"/>
  <c r="J777"/>
  <c r="H777"/>
  <c r="F777"/>
  <c r="L776"/>
  <c r="J776"/>
  <c r="H776"/>
  <c r="F776"/>
  <c r="L775"/>
  <c r="J775"/>
  <c r="H775"/>
  <c r="F775"/>
  <c r="L774"/>
  <c r="J774"/>
  <c r="H774"/>
  <c r="F774"/>
  <c r="C769"/>
  <c r="C768"/>
  <c r="F768" s="1"/>
  <c r="C767"/>
  <c r="L764"/>
  <c r="J764"/>
  <c r="H764"/>
  <c r="F764"/>
  <c r="L763"/>
  <c r="J763"/>
  <c r="H763"/>
  <c r="F763"/>
  <c r="L762"/>
  <c r="J762"/>
  <c r="H762"/>
  <c r="F762"/>
  <c r="L761"/>
  <c r="J761"/>
  <c r="H761"/>
  <c r="F761"/>
  <c r="L760"/>
  <c r="J760"/>
  <c r="H760"/>
  <c r="F760"/>
  <c r="L759"/>
  <c r="J759"/>
  <c r="H759"/>
  <c r="F759"/>
  <c r="L758"/>
  <c r="J758"/>
  <c r="H758"/>
  <c r="F758"/>
  <c r="L757"/>
  <c r="J757"/>
  <c r="H757"/>
  <c r="F757"/>
  <c r="L756"/>
  <c r="J756"/>
  <c r="H756"/>
  <c r="F756"/>
  <c r="L755"/>
  <c r="J755"/>
  <c r="H755"/>
  <c r="F755"/>
  <c r="L754"/>
  <c r="J754"/>
  <c r="H754"/>
  <c r="F754"/>
  <c r="L753"/>
  <c r="J753"/>
  <c r="H753"/>
  <c r="F753"/>
  <c r="L752"/>
  <c r="J752"/>
  <c r="H752"/>
  <c r="F752"/>
  <c r="L751"/>
  <c r="J751"/>
  <c r="H751"/>
  <c r="F751"/>
  <c r="L750"/>
  <c r="J750"/>
  <c r="H750"/>
  <c r="F750"/>
  <c r="L749"/>
  <c r="J749"/>
  <c r="H749"/>
  <c r="F749"/>
  <c r="L748"/>
  <c r="J748"/>
  <c r="H748"/>
  <c r="F748"/>
  <c r="L747"/>
  <c r="J747"/>
  <c r="H747"/>
  <c r="F747"/>
  <c r="L746"/>
  <c r="J746"/>
  <c r="H746"/>
  <c r="F746"/>
  <c r="L745"/>
  <c r="J745"/>
  <c r="H745"/>
  <c r="F745"/>
  <c r="L744"/>
  <c r="J744"/>
  <c r="H744"/>
  <c r="F744"/>
  <c r="L743"/>
  <c r="J743"/>
  <c r="H743"/>
  <c r="F743"/>
  <c r="A743"/>
  <c r="C739"/>
  <c r="C738"/>
  <c r="L738" s="1"/>
  <c r="C737"/>
  <c r="F737" s="1"/>
  <c r="C736"/>
  <c r="L735"/>
  <c r="J735"/>
  <c r="H735"/>
  <c r="F735"/>
  <c r="L729"/>
  <c r="J729"/>
  <c r="H729"/>
  <c r="F729"/>
  <c r="L725"/>
  <c r="J725"/>
  <c r="H725"/>
  <c r="F725"/>
  <c r="B724"/>
  <c r="B723"/>
  <c r="L722"/>
  <c r="B722"/>
  <c r="L721"/>
  <c r="B721"/>
  <c r="B719"/>
  <c r="L710"/>
  <c r="J710"/>
  <c r="H710"/>
  <c r="F710"/>
  <c r="C709"/>
  <c r="F709" s="1"/>
  <c r="L703"/>
  <c r="J703"/>
  <c r="H703"/>
  <c r="F703"/>
  <c r="C702"/>
  <c r="H702" s="1"/>
  <c r="C701"/>
  <c r="J701" s="1"/>
  <c r="C700"/>
  <c r="J700" s="1"/>
  <c r="L699"/>
  <c r="J699"/>
  <c r="H699"/>
  <c r="F699"/>
  <c r="L682"/>
  <c r="J682"/>
  <c r="H682"/>
  <c r="F682"/>
  <c r="L677"/>
  <c r="C674"/>
  <c r="H674" s="1"/>
  <c r="C672"/>
  <c r="J672" s="1"/>
  <c r="L655"/>
  <c r="J655"/>
  <c r="H655"/>
  <c r="F655"/>
  <c r="L649"/>
  <c r="J649"/>
  <c r="H649"/>
  <c r="F649"/>
  <c r="L643"/>
  <c r="J643"/>
  <c r="H643"/>
  <c r="F643"/>
  <c r="L637"/>
  <c r="C635"/>
  <c r="L634"/>
  <c r="B634"/>
  <c r="L633"/>
  <c r="J633"/>
  <c r="H633"/>
  <c r="F633"/>
  <c r="L628"/>
  <c r="J628"/>
  <c r="H628"/>
  <c r="F628"/>
  <c r="C627"/>
  <c r="L627" s="1"/>
  <c r="L620"/>
  <c r="J620"/>
  <c r="H620"/>
  <c r="F620"/>
  <c r="L616"/>
  <c r="J616"/>
  <c r="H616"/>
  <c r="F616"/>
  <c r="L614"/>
  <c r="J614"/>
  <c r="H614"/>
  <c r="F614"/>
  <c r="L613"/>
  <c r="J613"/>
  <c r="H613"/>
  <c r="F613"/>
  <c r="L610"/>
  <c r="J610"/>
  <c r="H610"/>
  <c r="F610"/>
  <c r="L606"/>
  <c r="J606"/>
  <c r="H606"/>
  <c r="F606"/>
  <c r="L603"/>
  <c r="J603"/>
  <c r="H603"/>
  <c r="F603"/>
  <c r="L601"/>
  <c r="J601"/>
  <c r="H601"/>
  <c r="F601"/>
  <c r="L596"/>
  <c r="J596"/>
  <c r="H596"/>
  <c r="F596"/>
  <c r="L588"/>
  <c r="J588"/>
  <c r="H588"/>
  <c r="F588"/>
  <c r="L583"/>
  <c r="J583"/>
  <c r="H583"/>
  <c r="F583"/>
  <c r="L582"/>
  <c r="J582"/>
  <c r="H582"/>
  <c r="F582"/>
  <c r="C581"/>
  <c r="H581" s="1"/>
  <c r="C580"/>
  <c r="C579"/>
  <c r="L579" s="1"/>
  <c r="L578"/>
  <c r="J578"/>
  <c r="H578"/>
  <c r="F578"/>
  <c r="C577"/>
  <c r="L577" s="1"/>
  <c r="C576"/>
  <c r="L576" s="1"/>
  <c r="C575"/>
  <c r="L575" s="1"/>
  <c r="L574"/>
  <c r="J574"/>
  <c r="H574"/>
  <c r="F574"/>
  <c r="L570"/>
  <c r="J570"/>
  <c r="H570"/>
  <c r="F570"/>
  <c r="L565"/>
  <c r="J565"/>
  <c r="H565"/>
  <c r="F565"/>
  <c r="L548"/>
  <c r="J548"/>
  <c r="H548"/>
  <c r="F548"/>
  <c r="L545"/>
  <c r="J545"/>
  <c r="H545"/>
  <c r="F545"/>
  <c r="L542"/>
  <c r="J542"/>
  <c r="H542"/>
  <c r="F542"/>
  <c r="L535"/>
  <c r="J535"/>
  <c r="H535"/>
  <c r="F535"/>
  <c r="L519"/>
  <c r="J519"/>
  <c r="H519"/>
  <c r="F519"/>
  <c r="L516"/>
  <c r="J516"/>
  <c r="H516"/>
  <c r="F516"/>
  <c r="L510"/>
  <c r="J510"/>
  <c r="H510"/>
  <c r="F510"/>
  <c r="L503"/>
  <c r="J503"/>
  <c r="H503"/>
  <c r="F503"/>
  <c r="C502"/>
  <c r="L496"/>
  <c r="J496"/>
  <c r="H496"/>
  <c r="F496"/>
  <c r="L490"/>
  <c r="J490"/>
  <c r="H490"/>
  <c r="F490"/>
  <c r="L483"/>
  <c r="J483"/>
  <c r="H483"/>
  <c r="F483"/>
  <c r="L477"/>
  <c r="J477"/>
  <c r="H477"/>
  <c r="F477"/>
  <c r="L470"/>
  <c r="J470"/>
  <c r="H470"/>
  <c r="F470"/>
  <c r="L464"/>
  <c r="J464"/>
  <c r="H464"/>
  <c r="F464"/>
  <c r="L463"/>
  <c r="L459"/>
  <c r="J459"/>
  <c r="H459"/>
  <c r="F459"/>
  <c r="L457"/>
  <c r="J457"/>
  <c r="H457"/>
  <c r="F457"/>
  <c r="L451"/>
  <c r="J451"/>
  <c r="H451"/>
  <c r="F451"/>
  <c r="C447"/>
  <c r="L447" s="1"/>
  <c r="L443"/>
  <c r="J443"/>
  <c r="H443"/>
  <c r="F443"/>
  <c r="L442"/>
  <c r="J442"/>
  <c r="H442"/>
  <c r="F442"/>
  <c r="L441"/>
  <c r="J441"/>
  <c r="H441"/>
  <c r="F441"/>
  <c r="C437"/>
  <c r="H437" s="1"/>
  <c r="C435"/>
  <c r="H435" s="1"/>
  <c r="C434"/>
  <c r="F434" s="1"/>
  <c r="L433"/>
  <c r="J433"/>
  <c r="H433"/>
  <c r="F433"/>
  <c r="L425"/>
  <c r="J425"/>
  <c r="H425"/>
  <c r="F425"/>
  <c r="L423"/>
  <c r="J423"/>
  <c r="H423"/>
  <c r="F423"/>
  <c r="L419"/>
  <c r="J419"/>
  <c r="H419"/>
  <c r="F419"/>
  <c r="L416"/>
  <c r="J416"/>
  <c r="H416"/>
  <c r="F416"/>
  <c r="L413"/>
  <c r="J413"/>
  <c r="H413"/>
  <c r="F413"/>
  <c r="L410"/>
  <c r="J410"/>
  <c r="H410"/>
  <c r="F410"/>
  <c r="L408"/>
  <c r="J408"/>
  <c r="H408"/>
  <c r="F408"/>
  <c r="L406"/>
  <c r="J406"/>
  <c r="H406"/>
  <c r="F406"/>
  <c r="L405"/>
  <c r="J405"/>
  <c r="H405"/>
  <c r="F405"/>
  <c r="L403"/>
  <c r="J403"/>
  <c r="H403"/>
  <c r="F403"/>
  <c r="L399"/>
  <c r="J399"/>
  <c r="H399"/>
  <c r="F399"/>
  <c r="C392"/>
  <c r="C391"/>
  <c r="C390"/>
  <c r="L390" s="1"/>
  <c r="C389"/>
  <c r="F389" s="1"/>
  <c r="L388"/>
  <c r="J388"/>
  <c r="H388"/>
  <c r="F388"/>
  <c r="L382"/>
  <c r="L376"/>
  <c r="L370"/>
  <c r="L366"/>
  <c r="L363"/>
  <c r="J363"/>
  <c r="H363"/>
  <c r="F363"/>
  <c r="L362"/>
  <c r="L361"/>
  <c r="J361"/>
  <c r="H361"/>
  <c r="F361"/>
  <c r="L360"/>
  <c r="L354"/>
  <c r="J354"/>
  <c r="H354"/>
  <c r="F354"/>
  <c r="L353"/>
  <c r="J353"/>
  <c r="H353"/>
  <c r="F353"/>
  <c r="L352"/>
  <c r="J352"/>
  <c r="H352"/>
  <c r="F352"/>
  <c r="L351"/>
  <c r="J351"/>
  <c r="H351"/>
  <c r="F351"/>
  <c r="L350"/>
  <c r="L346"/>
  <c r="B346"/>
  <c r="L345"/>
  <c r="J345"/>
  <c r="H345"/>
  <c r="F345"/>
  <c r="L344"/>
  <c r="B344"/>
  <c r="L342"/>
  <c r="J342"/>
  <c r="H342"/>
  <c r="F342"/>
  <c r="L341"/>
  <c r="B341"/>
  <c r="Z339"/>
  <c r="L334"/>
  <c r="J334"/>
  <c r="H334"/>
  <c r="F334"/>
  <c r="L332"/>
  <c r="B332"/>
  <c r="L331"/>
  <c r="J331"/>
  <c r="H331"/>
  <c r="F331"/>
  <c r="L329"/>
  <c r="J329"/>
  <c r="H329"/>
  <c r="F329"/>
  <c r="L328"/>
  <c r="J328"/>
  <c r="H328"/>
  <c r="F328"/>
  <c r="C324"/>
  <c r="H324" s="1"/>
  <c r="L310"/>
  <c r="J310"/>
  <c r="H310"/>
  <c r="F310"/>
  <c r="C309"/>
  <c r="L309" s="1"/>
  <c r="L306"/>
  <c r="J306"/>
  <c r="H306"/>
  <c r="F306"/>
  <c r="L305"/>
  <c r="J305"/>
  <c r="H305"/>
  <c r="F305"/>
  <c r="L302"/>
  <c r="J302"/>
  <c r="H302"/>
  <c r="F302"/>
  <c r="L300"/>
  <c r="L295"/>
  <c r="J295"/>
  <c r="H295"/>
  <c r="F295"/>
  <c r="C294"/>
  <c r="L294" s="1"/>
  <c r="L291"/>
  <c r="J291"/>
  <c r="H291"/>
  <c r="F291"/>
  <c r="L287"/>
  <c r="J287"/>
  <c r="H287"/>
  <c r="F287"/>
  <c r="L286"/>
  <c r="J286"/>
  <c r="H286"/>
  <c r="F286"/>
  <c r="L285"/>
  <c r="J285"/>
  <c r="H285"/>
  <c r="F285"/>
  <c r="L284"/>
  <c r="J284"/>
  <c r="H284"/>
  <c r="F284"/>
  <c r="L283"/>
  <c r="J283"/>
  <c r="H283"/>
  <c r="F283"/>
  <c r="L277"/>
  <c r="J277"/>
  <c r="H277"/>
  <c r="F277"/>
  <c r="L271"/>
  <c r="J271"/>
  <c r="H271"/>
  <c r="F271"/>
  <c r="L265"/>
  <c r="J265"/>
  <c r="H265"/>
  <c r="F265"/>
  <c r="L259"/>
  <c r="J259"/>
  <c r="H259"/>
  <c r="F259"/>
  <c r="L253"/>
  <c r="J253"/>
  <c r="H253"/>
  <c r="F253"/>
  <c r="L246"/>
  <c r="J246"/>
  <c r="H246"/>
  <c r="F246"/>
  <c r="L233"/>
  <c r="J233"/>
  <c r="H233"/>
  <c r="F233"/>
  <c r="P232"/>
  <c r="L232"/>
  <c r="J232"/>
  <c r="H232"/>
  <c r="F232"/>
  <c r="L230"/>
  <c r="J230"/>
  <c r="H230"/>
  <c r="F230"/>
  <c r="L229"/>
  <c r="J229"/>
  <c r="H229"/>
  <c r="F229"/>
  <c r="L228"/>
  <c r="J228"/>
  <c r="H228"/>
  <c r="F228"/>
  <c r="L227"/>
  <c r="J227"/>
  <c r="H227"/>
  <c r="F227"/>
  <c r="L226"/>
  <c r="J226"/>
  <c r="H226"/>
  <c r="F226"/>
  <c r="L225"/>
  <c r="J225"/>
  <c r="H225"/>
  <c r="F225"/>
  <c r="L224"/>
  <c r="J224"/>
  <c r="H224"/>
  <c r="F224"/>
  <c r="L218"/>
  <c r="J218"/>
  <c r="H218"/>
  <c r="F218"/>
  <c r="L217"/>
  <c r="J217"/>
  <c r="H217"/>
  <c r="F217"/>
  <c r="L216"/>
  <c r="J216"/>
  <c r="H216"/>
  <c r="F216"/>
  <c r="L215"/>
  <c r="J215"/>
  <c r="H215"/>
  <c r="F215"/>
  <c r="L214"/>
  <c r="J214"/>
  <c r="H214"/>
  <c r="F214"/>
  <c r="L213"/>
  <c r="J213"/>
  <c r="H213"/>
  <c r="F213"/>
  <c r="L212"/>
  <c r="J212"/>
  <c r="H212"/>
  <c r="F212"/>
  <c r="L206"/>
  <c r="J206"/>
  <c r="H206"/>
  <c r="F206"/>
  <c r="L205"/>
  <c r="J205"/>
  <c r="H205"/>
  <c r="F205"/>
  <c r="L204"/>
  <c r="J204"/>
  <c r="H204"/>
  <c r="F204"/>
  <c r="L203"/>
  <c r="J203"/>
  <c r="H203"/>
  <c r="F203"/>
  <c r="L202"/>
  <c r="J202"/>
  <c r="H202"/>
  <c r="F202"/>
  <c r="L201"/>
  <c r="J201"/>
  <c r="H201"/>
  <c r="F201"/>
  <c r="L200"/>
  <c r="J200"/>
  <c r="H200"/>
  <c r="F200"/>
  <c r="L199"/>
  <c r="J199"/>
  <c r="H199"/>
  <c r="F199"/>
  <c r="L198"/>
  <c r="J198"/>
  <c r="H198"/>
  <c r="F198"/>
  <c r="L197"/>
  <c r="J197"/>
  <c r="H197"/>
  <c r="F197"/>
  <c r="L196"/>
  <c r="J196"/>
  <c r="H196"/>
  <c r="F196"/>
  <c r="L195"/>
  <c r="J195"/>
  <c r="H195"/>
  <c r="F195"/>
  <c r="L194"/>
  <c r="J194"/>
  <c r="H194"/>
  <c r="F194"/>
  <c r="L188"/>
  <c r="J188"/>
  <c r="H188"/>
  <c r="F188"/>
  <c r="L182"/>
  <c r="J182"/>
  <c r="H182"/>
  <c r="F182"/>
  <c r="L181"/>
  <c r="J181"/>
  <c r="H181"/>
  <c r="F181"/>
  <c r="L180"/>
  <c r="J180"/>
  <c r="H180"/>
  <c r="F180"/>
  <c r="L179"/>
  <c r="J179"/>
  <c r="H179"/>
  <c r="F179"/>
  <c r="L178"/>
  <c r="J178"/>
  <c r="H178"/>
  <c r="F178"/>
  <c r="L177"/>
  <c r="J177"/>
  <c r="H177"/>
  <c r="F177"/>
  <c r="L176"/>
  <c r="J176"/>
  <c r="H176"/>
  <c r="F176"/>
  <c r="L175"/>
  <c r="J175"/>
  <c r="H175"/>
  <c r="F175"/>
  <c r="L168"/>
  <c r="J168"/>
  <c r="H168"/>
  <c r="F168"/>
  <c r="L167"/>
  <c r="J167"/>
  <c r="H167"/>
  <c r="F167"/>
  <c r="L166"/>
  <c r="J166"/>
  <c r="H166"/>
  <c r="F166"/>
  <c r="L165"/>
  <c r="J165"/>
  <c r="H165"/>
  <c r="F165"/>
  <c r="L164"/>
  <c r="J164"/>
  <c r="H164"/>
  <c r="F164"/>
  <c r="L163"/>
  <c r="J163"/>
  <c r="H163"/>
  <c r="F163"/>
  <c r="L162"/>
  <c r="J162"/>
  <c r="H162"/>
  <c r="F162"/>
  <c r="L161"/>
  <c r="J161"/>
  <c r="H161"/>
  <c r="F161"/>
  <c r="L160"/>
  <c r="J160"/>
  <c r="H160"/>
  <c r="F160"/>
  <c r="L159"/>
  <c r="J159"/>
  <c r="H159"/>
  <c r="F159"/>
  <c r="L158"/>
  <c r="J158"/>
  <c r="H158"/>
  <c r="F158"/>
  <c r="L157"/>
  <c r="J157"/>
  <c r="H157"/>
  <c r="F157"/>
  <c r="L156"/>
  <c r="J156"/>
  <c r="H156"/>
  <c r="F156"/>
  <c r="L155"/>
  <c r="J155"/>
  <c r="H155"/>
  <c r="F155"/>
  <c r="L154"/>
  <c r="J154"/>
  <c r="H154"/>
  <c r="F154"/>
  <c r="L138"/>
  <c r="L131"/>
  <c r="J131"/>
  <c r="H131"/>
  <c r="F131"/>
  <c r="L130"/>
  <c r="J130"/>
  <c r="H130"/>
  <c r="F130"/>
  <c r="L129"/>
  <c r="J129"/>
  <c r="H129"/>
  <c r="F129"/>
  <c r="L128"/>
  <c r="J128"/>
  <c r="H128"/>
  <c r="F128"/>
  <c r="L127"/>
  <c r="J127"/>
  <c r="H127"/>
  <c r="F127"/>
  <c r="L126"/>
  <c r="J126"/>
  <c r="H126"/>
  <c r="F126"/>
  <c r="L125"/>
  <c r="J125"/>
  <c r="H125"/>
  <c r="F125"/>
  <c r="L119"/>
  <c r="J119"/>
  <c r="H119"/>
  <c r="F119"/>
  <c r="L118"/>
  <c r="J118"/>
  <c r="H118"/>
  <c r="F118"/>
  <c r="L117"/>
  <c r="J117"/>
  <c r="H117"/>
  <c r="F117"/>
  <c r="L116"/>
  <c r="J116"/>
  <c r="H116"/>
  <c r="F116"/>
  <c r="L115"/>
  <c r="J115"/>
  <c r="H115"/>
  <c r="F115"/>
  <c r="L114"/>
  <c r="J114"/>
  <c r="H114"/>
  <c r="F114"/>
  <c r="L113"/>
  <c r="J113"/>
  <c r="H113"/>
  <c r="F113"/>
  <c r="L112"/>
  <c r="J112"/>
  <c r="H112"/>
  <c r="F112"/>
  <c r="L111"/>
  <c r="J111"/>
  <c r="H111"/>
  <c r="F111"/>
  <c r="L110"/>
  <c r="J110"/>
  <c r="H110"/>
  <c r="F110"/>
  <c r="L109"/>
  <c r="J109"/>
  <c r="H109"/>
  <c r="F109"/>
  <c r="L108"/>
  <c r="J108"/>
  <c r="H108"/>
  <c r="F108"/>
  <c r="L107"/>
  <c r="J107"/>
  <c r="H107"/>
  <c r="F107"/>
  <c r="L92"/>
  <c r="L86"/>
  <c r="J86"/>
  <c r="H86"/>
  <c r="F86"/>
  <c r="L72"/>
  <c r="J72"/>
  <c r="H72"/>
  <c r="F72"/>
  <c r="L66"/>
  <c r="J66"/>
  <c r="H66"/>
  <c r="F66"/>
  <c r="C64"/>
  <c r="L63"/>
  <c r="J63"/>
  <c r="H63"/>
  <c r="F63"/>
  <c r="L62"/>
  <c r="J62"/>
  <c r="H62"/>
  <c r="F62"/>
  <c r="L60"/>
  <c r="J60"/>
  <c r="H60"/>
  <c r="F60"/>
  <c r="L59"/>
  <c r="J59"/>
  <c r="H59"/>
  <c r="F59"/>
  <c r="L51"/>
  <c r="J51"/>
  <c r="H51"/>
  <c r="F51"/>
  <c r="L50"/>
  <c r="J50"/>
  <c r="H50"/>
  <c r="F50"/>
  <c r="L38"/>
  <c r="J38"/>
  <c r="H38"/>
  <c r="F38"/>
  <c r="L37"/>
  <c r="J37"/>
  <c r="H37"/>
  <c r="F37"/>
  <c r="L36"/>
  <c r="J36"/>
  <c r="H36"/>
  <c r="F36"/>
  <c r="L35"/>
  <c r="J35"/>
  <c r="H35"/>
  <c r="F35"/>
  <c r="L34"/>
  <c r="J34"/>
  <c r="H34"/>
  <c r="F34"/>
  <c r="L33"/>
  <c r="J33"/>
  <c r="H33"/>
  <c r="F33"/>
  <c r="L32"/>
  <c r="J32"/>
  <c r="H32"/>
  <c r="F32"/>
  <c r="L29"/>
  <c r="J29"/>
  <c r="H29"/>
  <c r="F29"/>
  <c r="L26"/>
  <c r="J26"/>
  <c r="H26"/>
  <c r="F26"/>
  <c r="L22"/>
  <c r="J22"/>
  <c r="L21"/>
  <c r="J21"/>
  <c r="L20"/>
  <c r="J20"/>
  <c r="L19"/>
  <c r="J19"/>
  <c r="L18"/>
  <c r="J18"/>
  <c r="H18"/>
  <c r="F18"/>
  <c r="L17"/>
  <c r="J17"/>
  <c r="L16"/>
  <c r="J16"/>
  <c r="L15"/>
  <c r="J15"/>
  <c r="H15"/>
  <c r="F15"/>
  <c r="L14"/>
  <c r="J14"/>
  <c r="L13"/>
  <c r="J13"/>
  <c r="L12"/>
  <c r="J12"/>
  <c r="H12"/>
  <c r="F12"/>
  <c r="L11"/>
  <c r="J11"/>
  <c r="L10"/>
  <c r="J10"/>
  <c r="L9"/>
  <c r="J9"/>
  <c r="H9"/>
  <c r="F9"/>
  <c r="L8"/>
  <c r="J8"/>
  <c r="A1"/>
  <c r="P208" i="68" l="1"/>
  <c r="J118"/>
  <c r="J434" i="67"/>
  <c r="N118" i="68"/>
  <c r="H118"/>
  <c r="P202"/>
  <c r="H17"/>
  <c r="P111"/>
  <c r="Q206"/>
  <c r="R206" s="1"/>
  <c r="P108"/>
  <c r="P204"/>
  <c r="Q218"/>
  <c r="R218" s="1"/>
  <c r="Q217"/>
  <c r="R217" s="1"/>
  <c r="P207"/>
  <c r="H738" i="67"/>
  <c r="P109" i="68"/>
  <c r="H111"/>
  <c r="Q214"/>
  <c r="R214" s="1"/>
  <c r="Q220"/>
  <c r="R220" s="1"/>
  <c r="R111"/>
  <c r="Q219"/>
  <c r="R219" s="1"/>
  <c r="Q107"/>
  <c r="R107" s="1"/>
  <c r="P205"/>
  <c r="P215"/>
  <c r="P216"/>
  <c r="Q201"/>
  <c r="R201" s="1"/>
  <c r="P213"/>
  <c r="P222"/>
  <c r="F118"/>
  <c r="P212"/>
  <c r="P69"/>
  <c r="Q110"/>
  <c r="R110" s="1"/>
  <c r="P110"/>
  <c r="Q118"/>
  <c r="R118" s="1"/>
  <c r="P118"/>
  <c r="Q160"/>
  <c r="Q192"/>
  <c r="Q106"/>
  <c r="Q143"/>
  <c r="Q146"/>
  <c r="Q154"/>
  <c r="Q180"/>
  <c r="N111"/>
  <c r="F111"/>
  <c r="Q157"/>
  <c r="Q168"/>
  <c r="Q221"/>
  <c r="R221" s="1"/>
  <c r="P221"/>
  <c r="J111"/>
  <c r="Q114"/>
  <c r="Q176"/>
  <c r="Q184"/>
  <c r="L111"/>
  <c r="Q141"/>
  <c r="Q164"/>
  <c r="Q188"/>
  <c r="Q156"/>
  <c r="Q140"/>
  <c r="Q199"/>
  <c r="P203"/>
  <c r="J737" i="67"/>
  <c r="L434"/>
  <c r="H577"/>
  <c r="F579"/>
  <c r="J738"/>
  <c r="F324"/>
  <c r="L324"/>
  <c r="L435"/>
  <c r="H389"/>
  <c r="L389"/>
  <c r="H434"/>
  <c r="J324"/>
  <c r="H866"/>
  <c r="J898"/>
  <c r="L898"/>
  <c r="H898"/>
  <c r="F898"/>
  <c r="J873"/>
  <c r="F738"/>
  <c r="J389"/>
  <c r="F893"/>
  <c r="F390"/>
  <c r="L700"/>
  <c r="H390"/>
  <c r="J435"/>
  <c r="J64"/>
  <c r="F64"/>
  <c r="L64"/>
  <c r="H64"/>
  <c r="F294"/>
  <c r="H294"/>
  <c r="J294"/>
  <c r="J580"/>
  <c r="F580"/>
  <c r="L391"/>
  <c r="L635"/>
  <c r="J390"/>
  <c r="N1044"/>
  <c r="L1044"/>
  <c r="J1044"/>
  <c r="H1044"/>
  <c r="F1044"/>
  <c r="H576"/>
  <c r="F627"/>
  <c r="F672"/>
  <c r="F736"/>
  <c r="L736"/>
  <c r="H736"/>
  <c r="P1044"/>
  <c r="H627"/>
  <c r="H672"/>
  <c r="F700"/>
  <c r="J736"/>
  <c r="J878"/>
  <c r="H878"/>
  <c r="F878"/>
  <c r="F581"/>
  <c r="J627"/>
  <c r="L672"/>
  <c r="H737"/>
  <c r="L737"/>
  <c r="L767"/>
  <c r="F767"/>
  <c r="N1051"/>
  <c r="L1051"/>
  <c r="J1051"/>
  <c r="H1051"/>
  <c r="F1051"/>
  <c r="F435"/>
  <c r="F447"/>
  <c r="L739"/>
  <c r="F739"/>
  <c r="F892"/>
  <c r="J892"/>
  <c r="J897"/>
  <c r="H897"/>
  <c r="J899"/>
  <c r="P1051"/>
  <c r="J447"/>
  <c r="H575"/>
  <c r="H739"/>
  <c r="H892"/>
  <c r="L897"/>
  <c r="L392"/>
  <c r="H309"/>
  <c r="F309"/>
  <c r="J309"/>
  <c r="H502"/>
  <c r="F502"/>
  <c r="J502"/>
  <c r="L502"/>
  <c r="L437"/>
  <c r="J437"/>
  <c r="F437"/>
  <c r="F877"/>
  <c r="L877"/>
  <c r="H877"/>
  <c r="J877"/>
  <c r="O1109"/>
  <c r="H447"/>
  <c r="F575"/>
  <c r="F576"/>
  <c r="F577"/>
  <c r="L674"/>
  <c r="J674"/>
  <c r="F674"/>
  <c r="H700"/>
  <c r="L709"/>
  <c r="H709"/>
  <c r="J575"/>
  <c r="J576"/>
  <c r="J577"/>
  <c r="H579"/>
  <c r="H580"/>
  <c r="J581"/>
  <c r="J709"/>
  <c r="J579"/>
  <c r="L580"/>
  <c r="L581"/>
  <c r="L702"/>
  <c r="J702"/>
  <c r="F702"/>
  <c r="L701"/>
  <c r="H701"/>
  <c r="J769"/>
  <c r="H769"/>
  <c r="F769"/>
  <c r="F701"/>
  <c r="L769"/>
  <c r="J739"/>
  <c r="L768"/>
  <c r="J768"/>
  <c r="L864"/>
  <c r="H864"/>
  <c r="H867"/>
  <c r="L867"/>
  <c r="F867"/>
  <c r="L871"/>
  <c r="H871"/>
  <c r="L874"/>
  <c r="J874"/>
  <c r="F874"/>
  <c r="J894"/>
  <c r="H894"/>
  <c r="L894"/>
  <c r="F894"/>
  <c r="H767"/>
  <c r="H768"/>
  <c r="J864"/>
  <c r="J871"/>
  <c r="L873"/>
  <c r="H873"/>
  <c r="H876"/>
  <c r="L876"/>
  <c r="F876"/>
  <c r="J767"/>
  <c r="J866"/>
  <c r="L866"/>
  <c r="F866"/>
  <c r="F873"/>
  <c r="J876"/>
  <c r="L895"/>
  <c r="H895"/>
  <c r="F895"/>
  <c r="J895"/>
  <c r="O1090"/>
  <c r="F868"/>
  <c r="L868"/>
  <c r="H868"/>
  <c r="L872"/>
  <c r="H872"/>
  <c r="J875"/>
  <c r="L875"/>
  <c r="F875"/>
  <c r="L865"/>
  <c r="J865"/>
  <c r="F865"/>
  <c r="J868"/>
  <c r="F872"/>
  <c r="H875"/>
  <c r="O1041"/>
  <c r="P1041" s="1"/>
  <c r="H899"/>
  <c r="F899"/>
  <c r="O1040"/>
  <c r="P1040" s="1"/>
  <c r="L893"/>
  <c r="J893"/>
  <c r="L899"/>
  <c r="O1122"/>
  <c r="O1043"/>
  <c r="P1043" s="1"/>
  <c r="O1128"/>
  <c r="L892"/>
  <c r="F897"/>
  <c r="O1050"/>
  <c r="O1114"/>
  <c r="O1141"/>
  <c r="P1141" s="1"/>
  <c r="O1155"/>
  <c r="P1155" s="1"/>
  <c r="O1079"/>
  <c r="O1089"/>
  <c r="O1101"/>
  <c r="O1120"/>
  <c r="O1153"/>
  <c r="P1153" s="1"/>
  <c r="O1046"/>
  <c r="O1136"/>
  <c r="P1136" s="1"/>
  <c r="O1150"/>
  <c r="P1150" s="1"/>
  <c r="O1133"/>
  <c r="O1102"/>
  <c r="O1126"/>
  <c r="O1106"/>
  <c r="O1113"/>
  <c r="O1118"/>
  <c r="O1093"/>
  <c r="O1097"/>
  <c r="O1105"/>
  <c r="O1130"/>
  <c r="O1110"/>
  <c r="E35" i="66" l="1"/>
  <c r="E61"/>
  <c r="E62"/>
  <c r="E33"/>
  <c r="E25"/>
  <c r="E24"/>
  <c r="E48"/>
  <c r="E49"/>
  <c r="E28"/>
  <c r="E27"/>
  <c r="E26"/>
  <c r="E47"/>
  <c r="E31"/>
  <c r="E30"/>
  <c r="E29"/>
  <c r="E15"/>
  <c r="E13"/>
  <c r="B21" i="58" l="1"/>
  <c r="N214" i="66" l="1"/>
  <c r="N213"/>
  <c r="N212"/>
  <c r="J212"/>
  <c r="F212"/>
  <c r="N211"/>
  <c r="J211"/>
  <c r="F211"/>
  <c r="N210"/>
  <c r="J210"/>
  <c r="F210"/>
  <c r="N209"/>
  <c r="J209"/>
  <c r="F209"/>
  <c r="N208"/>
  <c r="L208"/>
  <c r="J208"/>
  <c r="F208"/>
  <c r="N207"/>
  <c r="L207"/>
  <c r="J207"/>
  <c r="F207"/>
  <c r="O206"/>
  <c r="Q206" s="1"/>
  <c r="R206" s="1"/>
  <c r="N206"/>
  <c r="L206"/>
  <c r="J206"/>
  <c r="F206"/>
  <c r="O205"/>
  <c r="Q205" s="1"/>
  <c r="R205" s="1"/>
  <c r="N205"/>
  <c r="L205"/>
  <c r="J205"/>
  <c r="F205"/>
  <c r="O204"/>
  <c r="Q204" s="1"/>
  <c r="R204" s="1"/>
  <c r="N204"/>
  <c r="L204"/>
  <c r="J204"/>
  <c r="H204"/>
  <c r="F204"/>
  <c r="O203"/>
  <c r="Q203" s="1"/>
  <c r="R203" s="1"/>
  <c r="N203"/>
  <c r="L203"/>
  <c r="J203"/>
  <c r="H203"/>
  <c r="F203"/>
  <c r="O202"/>
  <c r="N202"/>
  <c r="L202"/>
  <c r="J202"/>
  <c r="H202"/>
  <c r="F202"/>
  <c r="O201"/>
  <c r="Q201" s="1"/>
  <c r="R201" s="1"/>
  <c r="N201"/>
  <c r="L201"/>
  <c r="J201"/>
  <c r="H201"/>
  <c r="F201"/>
  <c r="O200"/>
  <c r="P200" s="1"/>
  <c r="N200"/>
  <c r="L200"/>
  <c r="J200"/>
  <c r="H200"/>
  <c r="F200"/>
  <c r="O199"/>
  <c r="Q199" s="1"/>
  <c r="R199" s="1"/>
  <c r="N199"/>
  <c r="L199"/>
  <c r="J199"/>
  <c r="H199"/>
  <c r="F199"/>
  <c r="O198"/>
  <c r="Q198" s="1"/>
  <c r="R198" s="1"/>
  <c r="N198"/>
  <c r="L198"/>
  <c r="J198"/>
  <c r="H198"/>
  <c r="F198"/>
  <c r="O197"/>
  <c r="P197" s="1"/>
  <c r="N197"/>
  <c r="L197"/>
  <c r="J197"/>
  <c r="H197"/>
  <c r="F197"/>
  <c r="O196"/>
  <c r="Q196" s="1"/>
  <c r="R196" s="1"/>
  <c r="N196"/>
  <c r="L196"/>
  <c r="J196"/>
  <c r="H196"/>
  <c r="F196"/>
  <c r="O195"/>
  <c r="Q195" s="1"/>
  <c r="N195"/>
  <c r="L195"/>
  <c r="J195"/>
  <c r="H195"/>
  <c r="F195"/>
  <c r="O194"/>
  <c r="Q194" s="1"/>
  <c r="N194"/>
  <c r="L194"/>
  <c r="J194"/>
  <c r="H194"/>
  <c r="F194"/>
  <c r="O193"/>
  <c r="Q193" s="1"/>
  <c r="R193" s="1"/>
  <c r="N193"/>
  <c r="L193"/>
  <c r="J193"/>
  <c r="H193"/>
  <c r="F193"/>
  <c r="O192"/>
  <c r="Q192" s="1"/>
  <c r="R192" s="1"/>
  <c r="N192"/>
  <c r="L192"/>
  <c r="J192"/>
  <c r="H192"/>
  <c r="F192"/>
  <c r="O191"/>
  <c r="P191" s="1"/>
  <c r="N191"/>
  <c r="L191"/>
  <c r="J191"/>
  <c r="H191"/>
  <c r="F191"/>
  <c r="O190"/>
  <c r="Q190" s="1"/>
  <c r="R190" s="1"/>
  <c r="N190"/>
  <c r="L190"/>
  <c r="J190"/>
  <c r="H190"/>
  <c r="F190"/>
  <c r="O189"/>
  <c r="Q189" s="1"/>
  <c r="R189" s="1"/>
  <c r="N189"/>
  <c r="L189"/>
  <c r="J189"/>
  <c r="H189"/>
  <c r="F189"/>
  <c r="O188"/>
  <c r="P188" s="1"/>
  <c r="N188"/>
  <c r="L188"/>
  <c r="J188"/>
  <c r="H188"/>
  <c r="F188"/>
  <c r="O187"/>
  <c r="Q187" s="1"/>
  <c r="R187" s="1"/>
  <c r="N187"/>
  <c r="L187"/>
  <c r="J187"/>
  <c r="H187"/>
  <c r="F187"/>
  <c r="O186"/>
  <c r="P186" s="1"/>
  <c r="N186"/>
  <c r="L186"/>
  <c r="J186"/>
  <c r="H186"/>
  <c r="F186"/>
  <c r="O185"/>
  <c r="N185"/>
  <c r="L185"/>
  <c r="J185"/>
  <c r="H185"/>
  <c r="F185"/>
  <c r="O184"/>
  <c r="Q184" s="1"/>
  <c r="R184" s="1"/>
  <c r="N184"/>
  <c r="L184"/>
  <c r="J184"/>
  <c r="H184"/>
  <c r="F184"/>
  <c r="O183"/>
  <c r="B183"/>
  <c r="O182"/>
  <c r="Q182" s="1"/>
  <c r="B182"/>
  <c r="O181"/>
  <c r="O180"/>
  <c r="O179"/>
  <c r="Q179" s="1"/>
  <c r="O178"/>
  <c r="Q178" s="1"/>
  <c r="O177"/>
  <c r="O176"/>
  <c r="O175"/>
  <c r="Q175" s="1"/>
  <c r="O174"/>
  <c r="Q174" s="1"/>
  <c r="O173"/>
  <c r="O172"/>
  <c r="Q172" s="1"/>
  <c r="O171"/>
  <c r="Q171" s="1"/>
  <c r="O170"/>
  <c r="Q170" s="1"/>
  <c r="O169"/>
  <c r="O168"/>
  <c r="O167"/>
  <c r="Q167" s="1"/>
  <c r="O166"/>
  <c r="Q166" s="1"/>
  <c r="O165"/>
  <c r="O164"/>
  <c r="O163"/>
  <c r="Q163" s="1"/>
  <c r="O162"/>
  <c r="Q162" s="1"/>
  <c r="O161"/>
  <c r="O160"/>
  <c r="O159"/>
  <c r="Q159" s="1"/>
  <c r="O158"/>
  <c r="Q158" s="1"/>
  <c r="O157"/>
  <c r="O156"/>
  <c r="O155"/>
  <c r="Q155" s="1"/>
  <c r="O154"/>
  <c r="Q154" s="1"/>
  <c r="O153"/>
  <c r="O152"/>
  <c r="O151"/>
  <c r="O150"/>
  <c r="Q150" s="1"/>
  <c r="O149"/>
  <c r="O148"/>
  <c r="Q148" s="1"/>
  <c r="O147"/>
  <c r="O146"/>
  <c r="Q146" s="1"/>
  <c r="O145"/>
  <c r="O144"/>
  <c r="O143"/>
  <c r="O142"/>
  <c r="O141"/>
  <c r="O140"/>
  <c r="Q140" s="1"/>
  <c r="O139"/>
  <c r="Q139" s="1"/>
  <c r="O138"/>
  <c r="Q138" s="1"/>
  <c r="O137"/>
  <c r="O136"/>
  <c r="Q136" s="1"/>
  <c r="O135"/>
  <c r="Q135" s="1"/>
  <c r="O134"/>
  <c r="O133"/>
  <c r="O132"/>
  <c r="Q132" s="1"/>
  <c r="O131"/>
  <c r="Q131" s="1"/>
  <c r="O130"/>
  <c r="O129"/>
  <c r="O128"/>
  <c r="Q128" s="1"/>
  <c r="O127"/>
  <c r="Q127" s="1"/>
  <c r="O126"/>
  <c r="O125"/>
  <c r="O124"/>
  <c r="Q124" s="1"/>
  <c r="O123"/>
  <c r="Q123" s="1"/>
  <c r="O122"/>
  <c r="Q122" s="1"/>
  <c r="O121"/>
  <c r="Q121" s="1"/>
  <c r="O120"/>
  <c r="O119"/>
  <c r="Q119" s="1"/>
  <c r="O118"/>
  <c r="Q118" s="1"/>
  <c r="O117"/>
  <c r="O116"/>
  <c r="O115"/>
  <c r="Q115" s="1"/>
  <c r="O114"/>
  <c r="Q114" s="1"/>
  <c r="O113"/>
  <c r="Q113" s="1"/>
  <c r="O112"/>
  <c r="O111"/>
  <c r="Q111" s="1"/>
  <c r="O110"/>
  <c r="Q110" s="1"/>
  <c r="O109"/>
  <c r="Q109" s="1"/>
  <c r="O108"/>
  <c r="O107"/>
  <c r="Q107" s="1"/>
  <c r="O106"/>
  <c r="Q106" s="1"/>
  <c r="O105"/>
  <c r="Q105" s="1"/>
  <c r="O104"/>
  <c r="O103"/>
  <c r="Q103" s="1"/>
  <c r="O102"/>
  <c r="Q102" s="1"/>
  <c r="B102"/>
  <c r="O101"/>
  <c r="Q101" s="1"/>
  <c r="C101"/>
  <c r="N101" s="1"/>
  <c r="O100"/>
  <c r="Q100" s="1"/>
  <c r="O99"/>
  <c r="Q99" s="1"/>
  <c r="O98"/>
  <c r="O97"/>
  <c r="Q97" s="1"/>
  <c r="O96"/>
  <c r="Q96" s="1"/>
  <c r="O95"/>
  <c r="Q95" s="1"/>
  <c r="O94"/>
  <c r="C94"/>
  <c r="H94" s="1"/>
  <c r="O93"/>
  <c r="N93"/>
  <c r="L93"/>
  <c r="J93"/>
  <c r="H93"/>
  <c r="F93"/>
  <c r="O92"/>
  <c r="P92" s="1"/>
  <c r="N92"/>
  <c r="L92"/>
  <c r="J92"/>
  <c r="H92"/>
  <c r="F92"/>
  <c r="O91"/>
  <c r="Q91" s="1"/>
  <c r="R91" s="1"/>
  <c r="N91"/>
  <c r="L91"/>
  <c r="J91"/>
  <c r="H91"/>
  <c r="F91"/>
  <c r="O90"/>
  <c r="P90" s="1"/>
  <c r="N90"/>
  <c r="L90"/>
  <c r="J90"/>
  <c r="H90"/>
  <c r="F90"/>
  <c r="O89"/>
  <c r="Q89" s="1"/>
  <c r="O88"/>
  <c r="O87"/>
  <c r="Q87" s="1"/>
  <c r="O86"/>
  <c r="Q86" s="1"/>
  <c r="R86" s="1"/>
  <c r="N86"/>
  <c r="L86"/>
  <c r="J86"/>
  <c r="H86"/>
  <c r="F86"/>
  <c r="O85"/>
  <c r="P85" s="1"/>
  <c r="N85"/>
  <c r="L85"/>
  <c r="J85"/>
  <c r="H85"/>
  <c r="F85"/>
  <c r="O84"/>
  <c r="Q84" s="1"/>
  <c r="R84" s="1"/>
  <c r="N84"/>
  <c r="L84"/>
  <c r="J84"/>
  <c r="H84"/>
  <c r="F84"/>
  <c r="AA83"/>
  <c r="AB83" s="1"/>
  <c r="Z83"/>
  <c r="O83"/>
  <c r="N83"/>
  <c r="O78"/>
  <c r="J78"/>
  <c r="P78" s="1"/>
  <c r="H78"/>
  <c r="O77"/>
  <c r="Q77" s="1"/>
  <c r="J77"/>
  <c r="P77" s="1"/>
  <c r="H77"/>
  <c r="F77"/>
  <c r="O76"/>
  <c r="J76"/>
  <c r="P76" s="1"/>
  <c r="F76"/>
  <c r="B76"/>
  <c r="O75"/>
  <c r="J75"/>
  <c r="P75" s="1"/>
  <c r="F75"/>
  <c r="D75"/>
  <c r="O74"/>
  <c r="J74"/>
  <c r="P74" s="1"/>
  <c r="F74"/>
  <c r="O73"/>
  <c r="J73"/>
  <c r="P73" s="1"/>
  <c r="F73"/>
  <c r="O72"/>
  <c r="J72"/>
  <c r="P72" s="1"/>
  <c r="F72"/>
  <c r="O71"/>
  <c r="J71"/>
  <c r="P71" s="1"/>
  <c r="F71"/>
  <c r="O70"/>
  <c r="O69"/>
  <c r="O68"/>
  <c r="O67"/>
  <c r="O66"/>
  <c r="Q66" s="1"/>
  <c r="J66"/>
  <c r="P66" s="1"/>
  <c r="H66"/>
  <c r="F66"/>
  <c r="O65"/>
  <c r="O64"/>
  <c r="O63"/>
  <c r="Q63" s="1"/>
  <c r="R63" s="1"/>
  <c r="J63"/>
  <c r="P63" s="1"/>
  <c r="H63"/>
  <c r="F63"/>
  <c r="O62"/>
  <c r="Q62" s="1"/>
  <c r="R62" s="1"/>
  <c r="J62"/>
  <c r="P62" s="1"/>
  <c r="H62"/>
  <c r="B62"/>
  <c r="O61"/>
  <c r="Q61" s="1"/>
  <c r="R61" s="1"/>
  <c r="J61"/>
  <c r="P61" s="1"/>
  <c r="H61"/>
  <c r="F61"/>
  <c r="B61"/>
  <c r="O60"/>
  <c r="O59"/>
  <c r="O58"/>
  <c r="O57"/>
  <c r="O56"/>
  <c r="O55"/>
  <c r="O54"/>
  <c r="O53"/>
  <c r="Q53" s="1"/>
  <c r="J53"/>
  <c r="P53" s="1"/>
  <c r="H53"/>
  <c r="F53"/>
  <c r="O52"/>
  <c r="O51"/>
  <c r="I669" i="67"/>
  <c r="O49" i="66"/>
  <c r="Q49" s="1"/>
  <c r="O48"/>
  <c r="Q48" s="1"/>
  <c r="O47"/>
  <c r="Q47" s="1"/>
  <c r="O46"/>
  <c r="O45"/>
  <c r="J45"/>
  <c r="P45" s="1"/>
  <c r="H45"/>
  <c r="O44"/>
  <c r="Q44" s="1"/>
  <c r="J44"/>
  <c r="P44" s="1"/>
  <c r="H44"/>
  <c r="F44"/>
  <c r="O42"/>
  <c r="O41"/>
  <c r="O40"/>
  <c r="O39"/>
  <c r="O38"/>
  <c r="J382" i="67"/>
  <c r="O37" i="66"/>
  <c r="O36"/>
  <c r="Q36" s="1"/>
  <c r="J366" i="67"/>
  <c r="O35" i="66"/>
  <c r="Q35" s="1"/>
  <c r="R35" s="1"/>
  <c r="J35"/>
  <c r="P35" s="1"/>
  <c r="H35"/>
  <c r="F35"/>
  <c r="O34"/>
  <c r="O33"/>
  <c r="Q33" s="1"/>
  <c r="R33" s="1"/>
  <c r="J33"/>
  <c r="P33" s="1"/>
  <c r="H33"/>
  <c r="F33"/>
  <c r="O32"/>
  <c r="Q32" s="1"/>
  <c r="O29"/>
  <c r="Q29" s="1"/>
  <c r="R29" s="1"/>
  <c r="J29"/>
  <c r="P29" s="1"/>
  <c r="H29"/>
  <c r="F29"/>
  <c r="O28"/>
  <c r="Q28" s="1"/>
  <c r="R28" s="1"/>
  <c r="J28"/>
  <c r="P28" s="1"/>
  <c r="H28"/>
  <c r="F28"/>
  <c r="O27"/>
  <c r="Q27" s="1"/>
  <c r="O26"/>
  <c r="Q26" s="1"/>
  <c r="R26" s="1"/>
  <c r="J26"/>
  <c r="P26" s="1"/>
  <c r="H26"/>
  <c r="F26"/>
  <c r="O24"/>
  <c r="Q24" s="1"/>
  <c r="R24" s="1"/>
  <c r="J24"/>
  <c r="P24" s="1"/>
  <c r="H24"/>
  <c r="F24"/>
  <c r="O22"/>
  <c r="O21"/>
  <c r="Q21" s="1"/>
  <c r="R21" s="1"/>
  <c r="J300" i="67" s="1"/>
  <c r="J21" i="66"/>
  <c r="P21" s="1"/>
  <c r="H21"/>
  <c r="F21"/>
  <c r="O18"/>
  <c r="Q18" s="1"/>
  <c r="R18" s="1"/>
  <c r="J138" i="67" s="1"/>
  <c r="J18" i="66"/>
  <c r="P18" s="1"/>
  <c r="H18"/>
  <c r="F18"/>
  <c r="O16"/>
  <c r="Q16" s="1"/>
  <c r="R16" s="1"/>
  <c r="J92" i="67" s="1"/>
  <c r="J16" i="66"/>
  <c r="P16" s="1"/>
  <c r="H16"/>
  <c r="F16"/>
  <c r="O14"/>
  <c r="O10"/>
  <c r="Q10" s="1"/>
  <c r="R10" s="1"/>
  <c r="J23" i="67" s="1"/>
  <c r="L10" i="66"/>
  <c r="J10"/>
  <c r="H10"/>
  <c r="F10"/>
  <c r="O7"/>
  <c r="Q7" s="1"/>
  <c r="J7"/>
  <c r="A1"/>
  <c r="K18" i="65"/>
  <c r="E23"/>
  <c r="Q23" s="1"/>
  <c r="E38"/>
  <c r="E67"/>
  <c r="E68"/>
  <c r="E34"/>
  <c r="E26"/>
  <c r="E25"/>
  <c r="E53"/>
  <c r="Q53" s="1"/>
  <c r="E54"/>
  <c r="Q54" s="1"/>
  <c r="E28"/>
  <c r="Q28" s="1"/>
  <c r="E27"/>
  <c r="E32"/>
  <c r="E31"/>
  <c r="E33"/>
  <c r="Q33" s="1"/>
  <c r="E30"/>
  <c r="E16"/>
  <c r="E15"/>
  <c r="Q15" s="1"/>
  <c r="E14"/>
  <c r="H63" i="30"/>
  <c r="H62"/>
  <c r="H61"/>
  <c r="H60"/>
  <c r="H45"/>
  <c r="H51"/>
  <c r="H50"/>
  <c r="H49"/>
  <c r="H40"/>
  <c r="H20"/>
  <c r="H19"/>
  <c r="H301" i="32"/>
  <c r="H355" i="42"/>
  <c r="H153" i="32"/>
  <c r="H19" i="38"/>
  <c r="H50"/>
  <c r="H13" i="44"/>
  <c r="B78"/>
  <c r="B84" i="30" s="1"/>
  <c r="H50" i="44"/>
  <c r="H48"/>
  <c r="H52"/>
  <c r="H49"/>
  <c r="H60"/>
  <c r="H59"/>
  <c r="H58"/>
  <c r="H57"/>
  <c r="H39"/>
  <c r="H18"/>
  <c r="J94" i="66" l="1"/>
  <c r="P206"/>
  <c r="P204"/>
  <c r="Q92"/>
  <c r="R92" s="1"/>
  <c r="F94"/>
  <c r="P198"/>
  <c r="P203"/>
  <c r="P101"/>
  <c r="P205"/>
  <c r="Q186"/>
  <c r="R186" s="1"/>
  <c r="R53"/>
  <c r="J677" i="67" s="1"/>
  <c r="I677"/>
  <c r="I59" i="68"/>
  <c r="J59" s="1"/>
  <c r="H52" i="30"/>
  <c r="G71" i="66" s="1"/>
  <c r="H71" s="1"/>
  <c r="P184"/>
  <c r="R44"/>
  <c r="J463" i="67" s="1"/>
  <c r="I463"/>
  <c r="I45" i="68"/>
  <c r="J45" s="1"/>
  <c r="L94" i="66"/>
  <c r="R77"/>
  <c r="J986" i="67" s="1"/>
  <c r="I83" i="68"/>
  <c r="J83" s="1"/>
  <c r="I986" i="67"/>
  <c r="N94" i="66"/>
  <c r="P192"/>
  <c r="H51" i="44"/>
  <c r="G77" i="65" s="1"/>
  <c r="H77" s="1"/>
  <c r="J954" i="67"/>
  <c r="I954"/>
  <c r="P196" i="66"/>
  <c r="R66"/>
  <c r="J903" i="67" s="1"/>
  <c r="I72" i="68"/>
  <c r="J72" s="1"/>
  <c r="I903" i="67"/>
  <c r="J956"/>
  <c r="I956"/>
  <c r="J1013"/>
  <c r="J85" i="68"/>
  <c r="I1013" i="67"/>
  <c r="I668"/>
  <c r="P201" i="66"/>
  <c r="F30" i="65"/>
  <c r="Q30"/>
  <c r="R30" s="1"/>
  <c r="H42" i="66"/>
  <c r="L42"/>
  <c r="R101"/>
  <c r="F68" i="65"/>
  <c r="Q68"/>
  <c r="R68" s="1"/>
  <c r="F34"/>
  <c r="Q34"/>
  <c r="R34" s="1"/>
  <c r="Q38"/>
  <c r="R38" s="1"/>
  <c r="F38"/>
  <c r="H46" i="66"/>
  <c r="L46"/>
  <c r="F27" i="65"/>
  <c r="Q27"/>
  <c r="R27" s="1"/>
  <c r="Q25"/>
  <c r="R25" s="1"/>
  <c r="F25"/>
  <c r="Q67"/>
  <c r="R67" s="1"/>
  <c r="F67"/>
  <c r="O18"/>
  <c r="Q18" s="1"/>
  <c r="J41" i="66"/>
  <c r="L41"/>
  <c r="I92" i="67"/>
  <c r="I17" i="68"/>
  <c r="Q17" s="1"/>
  <c r="R17" s="1"/>
  <c r="I138" i="67"/>
  <c r="I19" i="68"/>
  <c r="J19" s="1"/>
  <c r="I380" i="67"/>
  <c r="I366"/>
  <c r="I375"/>
  <c r="I22" i="68"/>
  <c r="J22" s="1"/>
  <c r="I300" i="67"/>
  <c r="I372"/>
  <c r="I377"/>
  <c r="I382"/>
  <c r="I367"/>
  <c r="J370"/>
  <c r="I370"/>
  <c r="I378"/>
  <c r="I368"/>
  <c r="I373"/>
  <c r="J376"/>
  <c r="I376"/>
  <c r="I379"/>
  <c r="I55" i="68"/>
  <c r="I369" i="67"/>
  <c r="I371"/>
  <c r="I374"/>
  <c r="I638"/>
  <c r="I639"/>
  <c r="I637"/>
  <c r="P10" i="66"/>
  <c r="I10" i="68"/>
  <c r="I23" i="67"/>
  <c r="L23" s="1"/>
  <c r="H41" i="66"/>
  <c r="J42"/>
  <c r="J46"/>
  <c r="J360" i="67"/>
  <c r="I360"/>
  <c r="I52" i="68"/>
  <c r="I661" i="67"/>
  <c r="J362"/>
  <c r="I36" i="68"/>
  <c r="J36" s="1"/>
  <c r="I362" i="67"/>
  <c r="I7"/>
  <c r="L7" s="1"/>
  <c r="I7" i="68"/>
  <c r="J344" i="67"/>
  <c r="I29" i="68"/>
  <c r="J29" s="1"/>
  <c r="I344" i="67"/>
  <c r="J341"/>
  <c r="I27" i="68"/>
  <c r="J27" s="1"/>
  <c r="I341" i="67"/>
  <c r="J350"/>
  <c r="I34" i="68"/>
  <c r="J34" s="1"/>
  <c r="I350" i="67"/>
  <c r="I343"/>
  <c r="I28" i="68"/>
  <c r="J346" i="67"/>
  <c r="I346"/>
  <c r="I30" i="68"/>
  <c r="J30" s="1"/>
  <c r="J332" i="67"/>
  <c r="I25" i="68"/>
  <c r="J25" s="1"/>
  <c r="I332" i="67"/>
  <c r="I33" i="68"/>
  <c r="I349" i="67"/>
  <c r="I48" i="68"/>
  <c r="I636" i="67"/>
  <c r="I53" i="68"/>
  <c r="I663" i="67"/>
  <c r="J721"/>
  <c r="I721"/>
  <c r="I67" i="68"/>
  <c r="J67" s="1"/>
  <c r="Q147" i="66"/>
  <c r="P187"/>
  <c r="Q85"/>
  <c r="R85" s="1"/>
  <c r="Q90"/>
  <c r="R90" s="1"/>
  <c r="P91"/>
  <c r="Q134"/>
  <c r="P189"/>
  <c r="P7"/>
  <c r="Q117"/>
  <c r="F62"/>
  <c r="Q108"/>
  <c r="Q93"/>
  <c r="R93" s="1"/>
  <c r="P93"/>
  <c r="Q104"/>
  <c r="Q120"/>
  <c r="Q126"/>
  <c r="Q94"/>
  <c r="R94" s="1"/>
  <c r="P94"/>
  <c r="Q157"/>
  <c r="Q112"/>
  <c r="Q142"/>
  <c r="Q145"/>
  <c r="Q152"/>
  <c r="Q130"/>
  <c r="Q116"/>
  <c r="Q98"/>
  <c r="Q144"/>
  <c r="L101"/>
  <c r="J101"/>
  <c r="H101"/>
  <c r="F101"/>
  <c r="Q129"/>
  <c r="Q151"/>
  <c r="Q169"/>
  <c r="Q181"/>
  <c r="Q168"/>
  <c r="Q180"/>
  <c r="Q125"/>
  <c r="Q143"/>
  <c r="Q88"/>
  <c r="Q202"/>
  <c r="R202" s="1"/>
  <c r="P202"/>
  <c r="Q141"/>
  <c r="Q156"/>
  <c r="Q161"/>
  <c r="Q173"/>
  <c r="Q188"/>
  <c r="R188" s="1"/>
  <c r="P190"/>
  <c r="Q191"/>
  <c r="R191" s="1"/>
  <c r="P84"/>
  <c r="Q149"/>
  <c r="Q185"/>
  <c r="R185" s="1"/>
  <c r="P185"/>
  <c r="Q133"/>
  <c r="Q137"/>
  <c r="Q160"/>
  <c r="Q197"/>
  <c r="R197" s="1"/>
  <c r="P199"/>
  <c r="Q200"/>
  <c r="R200" s="1"/>
  <c r="Q165"/>
  <c r="Q177"/>
  <c r="Q153"/>
  <c r="Q164"/>
  <c r="Q176"/>
  <c r="Q183"/>
  <c r="H27" i="44"/>
  <c r="H19"/>
  <c r="H158" i="42"/>
  <c r="N222" i="65"/>
  <c r="N221"/>
  <c r="N220"/>
  <c r="J220"/>
  <c r="F220"/>
  <c r="N219"/>
  <c r="J219"/>
  <c r="F219"/>
  <c r="N218"/>
  <c r="J218"/>
  <c r="F218"/>
  <c r="N217"/>
  <c r="J217"/>
  <c r="F217"/>
  <c r="N216"/>
  <c r="L216"/>
  <c r="J216"/>
  <c r="F216"/>
  <c r="N215"/>
  <c r="L215"/>
  <c r="J215"/>
  <c r="F215"/>
  <c r="O214"/>
  <c r="P214" s="1"/>
  <c r="N214"/>
  <c r="L214"/>
  <c r="J214"/>
  <c r="F214"/>
  <c r="O213"/>
  <c r="P213" s="1"/>
  <c r="N213"/>
  <c r="L213"/>
  <c r="J213"/>
  <c r="F213"/>
  <c r="O212"/>
  <c r="P212" s="1"/>
  <c r="N212"/>
  <c r="L212"/>
  <c r="J212"/>
  <c r="H212"/>
  <c r="F212"/>
  <c r="O211"/>
  <c r="Q211" s="1"/>
  <c r="R211" s="1"/>
  <c r="N211"/>
  <c r="L211"/>
  <c r="J211"/>
  <c r="H211"/>
  <c r="F211"/>
  <c r="O210"/>
  <c r="P210" s="1"/>
  <c r="N210"/>
  <c r="L210"/>
  <c r="J210"/>
  <c r="H210"/>
  <c r="F210"/>
  <c r="O209"/>
  <c r="Q209" s="1"/>
  <c r="R209" s="1"/>
  <c r="N209"/>
  <c r="L209"/>
  <c r="J209"/>
  <c r="H209"/>
  <c r="F209"/>
  <c r="O208"/>
  <c r="P208" s="1"/>
  <c r="N208"/>
  <c r="L208"/>
  <c r="J208"/>
  <c r="H208"/>
  <c r="F208"/>
  <c r="O207"/>
  <c r="Q207" s="1"/>
  <c r="R207" s="1"/>
  <c r="N207"/>
  <c r="L207"/>
  <c r="J207"/>
  <c r="H207"/>
  <c r="F207"/>
  <c r="O206"/>
  <c r="N206"/>
  <c r="L206"/>
  <c r="J206"/>
  <c r="H206"/>
  <c r="F206"/>
  <c r="O205"/>
  <c r="Q205" s="1"/>
  <c r="R205" s="1"/>
  <c r="N205"/>
  <c r="L205"/>
  <c r="J205"/>
  <c r="H205"/>
  <c r="F205"/>
  <c r="O204"/>
  <c r="P204" s="1"/>
  <c r="N204"/>
  <c r="L204"/>
  <c r="J204"/>
  <c r="H204"/>
  <c r="F204"/>
  <c r="O203"/>
  <c r="Q203" s="1"/>
  <c r="N203"/>
  <c r="L203"/>
  <c r="J203"/>
  <c r="H203"/>
  <c r="F203"/>
  <c r="O202"/>
  <c r="Q202" s="1"/>
  <c r="N202"/>
  <c r="L202"/>
  <c r="J202"/>
  <c r="H202"/>
  <c r="F202"/>
  <c r="O201"/>
  <c r="Q201" s="1"/>
  <c r="R201" s="1"/>
  <c r="N201"/>
  <c r="L201"/>
  <c r="J201"/>
  <c r="H201"/>
  <c r="F201"/>
  <c r="O200"/>
  <c r="Q200" s="1"/>
  <c r="R200" s="1"/>
  <c r="N200"/>
  <c r="L200"/>
  <c r="J200"/>
  <c r="H200"/>
  <c r="F200"/>
  <c r="O199"/>
  <c r="P199" s="1"/>
  <c r="N199"/>
  <c r="L199"/>
  <c r="J199"/>
  <c r="H199"/>
  <c r="F199"/>
  <c r="O198"/>
  <c r="Q198" s="1"/>
  <c r="R198" s="1"/>
  <c r="N198"/>
  <c r="L198"/>
  <c r="J198"/>
  <c r="H198"/>
  <c r="F198"/>
  <c r="O197"/>
  <c r="N197"/>
  <c r="L197"/>
  <c r="J197"/>
  <c r="H197"/>
  <c r="F197"/>
  <c r="O196"/>
  <c r="Q196" s="1"/>
  <c r="R196" s="1"/>
  <c r="N196"/>
  <c r="L196"/>
  <c r="J196"/>
  <c r="H196"/>
  <c r="F196"/>
  <c r="O195"/>
  <c r="N195"/>
  <c r="L195"/>
  <c r="J195"/>
  <c r="H195"/>
  <c r="F195"/>
  <c r="O194"/>
  <c r="N194"/>
  <c r="L194"/>
  <c r="J194"/>
  <c r="H194"/>
  <c r="F194"/>
  <c r="O193"/>
  <c r="N193"/>
  <c r="L193"/>
  <c r="J193"/>
  <c r="H193"/>
  <c r="F193"/>
  <c r="O192"/>
  <c r="Q192" s="1"/>
  <c r="R192" s="1"/>
  <c r="N192"/>
  <c r="L192"/>
  <c r="J192"/>
  <c r="H192"/>
  <c r="F192"/>
  <c r="O191"/>
  <c r="B191"/>
  <c r="O190"/>
  <c r="Q190" s="1"/>
  <c r="B190"/>
  <c r="O189"/>
  <c r="Q189" s="1"/>
  <c r="O188"/>
  <c r="Q188" s="1"/>
  <c r="O187"/>
  <c r="O186"/>
  <c r="O185"/>
  <c r="Q185" s="1"/>
  <c r="O184"/>
  <c r="Q184" s="1"/>
  <c r="O183"/>
  <c r="O182"/>
  <c r="O181"/>
  <c r="O180"/>
  <c r="Q180" s="1"/>
  <c r="O179"/>
  <c r="O178"/>
  <c r="Q178" s="1"/>
  <c r="O177"/>
  <c r="Q177" s="1"/>
  <c r="O176"/>
  <c r="Q176" s="1"/>
  <c r="O175"/>
  <c r="O174"/>
  <c r="O173"/>
  <c r="Q173" s="1"/>
  <c r="O172"/>
  <c r="Q172" s="1"/>
  <c r="O171"/>
  <c r="O170"/>
  <c r="O169"/>
  <c r="Q169" s="1"/>
  <c r="O168"/>
  <c r="Q168" s="1"/>
  <c r="O167"/>
  <c r="O166"/>
  <c r="O165"/>
  <c r="Q165" s="1"/>
  <c r="O164"/>
  <c r="Q164" s="1"/>
  <c r="O163"/>
  <c r="O162"/>
  <c r="O161"/>
  <c r="O160"/>
  <c r="Q160" s="1"/>
  <c r="O159"/>
  <c r="O158"/>
  <c r="O157"/>
  <c r="Q157" s="1"/>
  <c r="O156"/>
  <c r="Q156" s="1"/>
  <c r="O155"/>
  <c r="O154"/>
  <c r="O153"/>
  <c r="Q153" s="1"/>
  <c r="O152"/>
  <c r="Q152" s="1"/>
  <c r="O151"/>
  <c r="O150"/>
  <c r="O149"/>
  <c r="Q149" s="1"/>
  <c r="O148"/>
  <c r="O147"/>
  <c r="O146"/>
  <c r="O145"/>
  <c r="O144"/>
  <c r="O143"/>
  <c r="O142"/>
  <c r="O141"/>
  <c r="O140"/>
  <c r="O139"/>
  <c r="Q139" s="1"/>
  <c r="O138"/>
  <c r="Q138" s="1"/>
  <c r="O137"/>
  <c r="O136"/>
  <c r="O135"/>
  <c r="O134"/>
  <c r="O133"/>
  <c r="Q133" s="1"/>
  <c r="O132"/>
  <c r="O131"/>
  <c r="O130"/>
  <c r="Q130" s="1"/>
  <c r="O129"/>
  <c r="Q129" s="1"/>
  <c r="O128"/>
  <c r="O127"/>
  <c r="O126"/>
  <c r="O125"/>
  <c r="Q125" s="1"/>
  <c r="O124"/>
  <c r="Q124" s="1"/>
  <c r="O123"/>
  <c r="O122"/>
  <c r="O121"/>
  <c r="Q121" s="1"/>
  <c r="O120"/>
  <c r="Q120" s="1"/>
  <c r="O119"/>
  <c r="O118"/>
  <c r="Q118" s="1"/>
  <c r="O117"/>
  <c r="Q117" s="1"/>
  <c r="O116"/>
  <c r="Q116" s="1"/>
  <c r="O115"/>
  <c r="O114"/>
  <c r="O113"/>
  <c r="Q113" s="1"/>
  <c r="O112"/>
  <c r="Q112" s="1"/>
  <c r="O111"/>
  <c r="O110"/>
  <c r="B110"/>
  <c r="O109"/>
  <c r="C109"/>
  <c r="H109" s="1"/>
  <c r="O108"/>
  <c r="Q108" s="1"/>
  <c r="O107"/>
  <c r="Q107" s="1"/>
  <c r="O106"/>
  <c r="Q106" s="1"/>
  <c r="O105"/>
  <c r="O104"/>
  <c r="Q104" s="1"/>
  <c r="O103"/>
  <c r="O102"/>
  <c r="C102"/>
  <c r="O101"/>
  <c r="N101"/>
  <c r="L101"/>
  <c r="J101"/>
  <c r="H101"/>
  <c r="F101"/>
  <c r="O100"/>
  <c r="N100"/>
  <c r="L100"/>
  <c r="J100"/>
  <c r="H100"/>
  <c r="F100"/>
  <c r="O99"/>
  <c r="P99" s="1"/>
  <c r="N99"/>
  <c r="L99"/>
  <c r="J99"/>
  <c r="H99"/>
  <c r="F99"/>
  <c r="O98"/>
  <c r="P98" s="1"/>
  <c r="N98"/>
  <c r="L98"/>
  <c r="J98"/>
  <c r="H98"/>
  <c r="F98"/>
  <c r="O97"/>
  <c r="Q97" s="1"/>
  <c r="O96"/>
  <c r="Q96" s="1"/>
  <c r="O95"/>
  <c r="Q95" s="1"/>
  <c r="O94"/>
  <c r="Q94" s="1"/>
  <c r="R94" s="1"/>
  <c r="N94"/>
  <c r="L94"/>
  <c r="J94"/>
  <c r="H94"/>
  <c r="F94"/>
  <c r="O93"/>
  <c r="P93" s="1"/>
  <c r="N93"/>
  <c r="L93"/>
  <c r="J93"/>
  <c r="H93"/>
  <c r="F93"/>
  <c r="O92"/>
  <c r="Q92" s="1"/>
  <c r="R92" s="1"/>
  <c r="N92"/>
  <c r="L92"/>
  <c r="J92"/>
  <c r="H92"/>
  <c r="F92"/>
  <c r="AA91"/>
  <c r="AB91" s="1"/>
  <c r="Z91"/>
  <c r="O91"/>
  <c r="N91"/>
  <c r="B82"/>
  <c r="D81"/>
  <c r="D82" s="1"/>
  <c r="B68"/>
  <c r="B67"/>
  <c r="O48"/>
  <c r="Q48" s="1"/>
  <c r="R48" s="1"/>
  <c r="L48"/>
  <c r="J48"/>
  <c r="H48"/>
  <c r="F48"/>
  <c r="H41"/>
  <c r="H38"/>
  <c r="O37"/>
  <c r="Q37" s="1"/>
  <c r="R37" s="1"/>
  <c r="L37"/>
  <c r="J37"/>
  <c r="H37"/>
  <c r="F37"/>
  <c r="O36"/>
  <c r="Q36" s="1"/>
  <c r="L36"/>
  <c r="J36"/>
  <c r="H36"/>
  <c r="H34"/>
  <c r="H30"/>
  <c r="H29"/>
  <c r="H27"/>
  <c r="H25"/>
  <c r="H22"/>
  <c r="H19"/>
  <c r="H17"/>
  <c r="O10"/>
  <c r="Q10" s="1"/>
  <c r="R10" s="1"/>
  <c r="H23" i="67" s="1"/>
  <c r="L10" i="65"/>
  <c r="J10"/>
  <c r="H10"/>
  <c r="O7"/>
  <c r="Q7" s="1"/>
  <c r="J7"/>
  <c r="A1"/>
  <c r="Q71" i="66" l="1"/>
  <c r="R71" s="1"/>
  <c r="J925" i="67" s="1"/>
  <c r="P46" i="66"/>
  <c r="P42"/>
  <c r="Q77" i="65"/>
  <c r="R77" s="1"/>
  <c r="H925" i="67" s="1"/>
  <c r="Q199" i="65"/>
  <c r="R199" s="1"/>
  <c r="P207"/>
  <c r="P192"/>
  <c r="P41" i="66"/>
  <c r="J109" i="65"/>
  <c r="L109"/>
  <c r="Q100"/>
  <c r="R100" s="1"/>
  <c r="P100"/>
  <c r="Q122"/>
  <c r="P37"/>
  <c r="H102"/>
  <c r="F102"/>
  <c r="N102"/>
  <c r="L102"/>
  <c r="J102"/>
  <c r="P200"/>
  <c r="P205"/>
  <c r="P209"/>
  <c r="Q214"/>
  <c r="R214" s="1"/>
  <c r="P196"/>
  <c r="Q208"/>
  <c r="R208" s="1"/>
  <c r="Q210"/>
  <c r="R210" s="1"/>
  <c r="H45"/>
  <c r="J45"/>
  <c r="L45"/>
  <c r="H51"/>
  <c r="L51"/>
  <c r="J51"/>
  <c r="L46"/>
  <c r="J46"/>
  <c r="F109"/>
  <c r="N109"/>
  <c r="J17" i="68"/>
  <c r="J10"/>
  <c r="G903" i="67"/>
  <c r="G72" i="68"/>
  <c r="Q72" s="1"/>
  <c r="R72" s="1"/>
  <c r="G954" i="67"/>
  <c r="G986"/>
  <c r="G83" i="68"/>
  <c r="Q83" s="1"/>
  <c r="R83" s="1"/>
  <c r="G58"/>
  <c r="G676" i="67"/>
  <c r="G668"/>
  <c r="G54" i="68"/>
  <c r="Q54" s="1"/>
  <c r="R54" s="1"/>
  <c r="G956" i="67"/>
  <c r="G45" i="68"/>
  <c r="Q45" s="1"/>
  <c r="R45" s="1"/>
  <c r="G463" i="67"/>
  <c r="G59" i="68"/>
  <c r="Q59" s="1"/>
  <c r="R59" s="1"/>
  <c r="G677" i="67"/>
  <c r="G375"/>
  <c r="H370"/>
  <c r="G370"/>
  <c r="G373"/>
  <c r="G368"/>
  <c r="G379"/>
  <c r="G19" i="68"/>
  <c r="Q19" s="1"/>
  <c r="R19" s="1"/>
  <c r="G138" i="67"/>
  <c r="G371"/>
  <c r="G374"/>
  <c r="H376"/>
  <c r="G376"/>
  <c r="G382"/>
  <c r="G380"/>
  <c r="G366"/>
  <c r="G377"/>
  <c r="G22" i="68"/>
  <c r="Q22" s="1"/>
  <c r="R22" s="1"/>
  <c r="G300" i="67"/>
  <c r="G367"/>
  <c r="G372"/>
  <c r="G378"/>
  <c r="G639"/>
  <c r="G637"/>
  <c r="G638"/>
  <c r="G23"/>
  <c r="G10" i="68"/>
  <c r="G18"/>
  <c r="G93" i="67"/>
  <c r="H46" i="65"/>
  <c r="J722" i="67"/>
  <c r="I722"/>
  <c r="I68" i="68"/>
  <c r="J68" s="1"/>
  <c r="H722" i="67"/>
  <c r="G68" i="68"/>
  <c r="G722" i="67"/>
  <c r="R36" i="65"/>
  <c r="H360" i="67" s="1"/>
  <c r="G360"/>
  <c r="G53" i="68"/>
  <c r="G663" i="67"/>
  <c r="G7"/>
  <c r="G7" i="68"/>
  <c r="G343" i="67"/>
  <c r="G28" i="68"/>
  <c r="G349" i="67"/>
  <c r="G33" i="68"/>
  <c r="Q33" s="1"/>
  <c r="R33" s="1"/>
  <c r="G14"/>
  <c r="G48" i="67"/>
  <c r="H332"/>
  <c r="G332"/>
  <c r="G25" i="68"/>
  <c r="G636" i="67"/>
  <c r="G48" i="68"/>
  <c r="G301" i="67"/>
  <c r="G23" i="68"/>
  <c r="H341" i="67"/>
  <c r="G341"/>
  <c r="G27" i="68"/>
  <c r="H350" i="67"/>
  <c r="G350"/>
  <c r="G34" i="68"/>
  <c r="H362" i="67"/>
  <c r="G36" i="68"/>
  <c r="G362" i="67"/>
  <c r="G52" i="68"/>
  <c r="G661" i="67"/>
  <c r="Q131" i="65"/>
  <c r="P92"/>
  <c r="Q154"/>
  <c r="Q191"/>
  <c r="Q126"/>
  <c r="Q148"/>
  <c r="Q103"/>
  <c r="Q110"/>
  <c r="P10"/>
  <c r="Q102"/>
  <c r="R102" s="1"/>
  <c r="P102"/>
  <c r="Q128"/>
  <c r="P48"/>
  <c r="Q99"/>
  <c r="R99" s="1"/>
  <c r="Q114"/>
  <c r="Q136"/>
  <c r="Q144"/>
  <c r="Q141"/>
  <c r="P7"/>
  <c r="P36"/>
  <c r="P195"/>
  <c r="Q195"/>
  <c r="R195" s="1"/>
  <c r="Q109"/>
  <c r="R109" s="1"/>
  <c r="P109"/>
  <c r="Q105"/>
  <c r="Q171"/>
  <c r="Q193"/>
  <c r="R193" s="1"/>
  <c r="P193"/>
  <c r="Q174"/>
  <c r="Q181"/>
  <c r="Q101"/>
  <c r="R101" s="1"/>
  <c r="P101"/>
  <c r="Q140"/>
  <c r="Q194"/>
  <c r="R194" s="1"/>
  <c r="P194"/>
  <c r="Q93"/>
  <c r="R93" s="1"/>
  <c r="Q98"/>
  <c r="R98" s="1"/>
  <c r="Q111"/>
  <c r="Q115"/>
  <c r="Q119"/>
  <c r="Q123"/>
  <c r="Q127"/>
  <c r="Q132"/>
  <c r="Q137"/>
  <c r="Q145"/>
  <c r="Q151"/>
  <c r="Q161"/>
  <c r="Q175"/>
  <c r="Q182"/>
  <c r="Q197"/>
  <c r="R197" s="1"/>
  <c r="P197"/>
  <c r="Q147"/>
  <c r="Q167"/>
  <c r="Q135"/>
  <c r="Q150"/>
  <c r="Q163"/>
  <c r="Q170"/>
  <c r="Q213"/>
  <c r="R213" s="1"/>
  <c r="Q143"/>
  <c r="Q159"/>
  <c r="Q166"/>
  <c r="Q134"/>
  <c r="Q146"/>
  <c r="Q162"/>
  <c r="Q187"/>
  <c r="Q206"/>
  <c r="R206" s="1"/>
  <c r="P206"/>
  <c r="P211"/>
  <c r="Q212"/>
  <c r="R212" s="1"/>
  <c r="Q155"/>
  <c r="Q183"/>
  <c r="Q142"/>
  <c r="Q158"/>
  <c r="Q179"/>
  <c r="Q186"/>
  <c r="Q204"/>
  <c r="R204" s="1"/>
  <c r="P198"/>
  <c r="H14" i="38"/>
  <c r="H15"/>
  <c r="H13"/>
  <c r="H56"/>
  <c r="H55"/>
  <c r="H52"/>
  <c r="H51"/>
  <c r="H49"/>
  <c r="I77" i="68" l="1"/>
  <c r="J77" s="1"/>
  <c r="I925" i="67"/>
  <c r="G77" i="68"/>
  <c r="H77" s="1"/>
  <c r="G925" i="67"/>
  <c r="P45" i="65"/>
  <c r="P46"/>
  <c r="P51"/>
  <c r="H68" i="68"/>
  <c r="H59"/>
  <c r="H25"/>
  <c r="H36"/>
  <c r="H45"/>
  <c r="H34"/>
  <c r="H27"/>
  <c r="H22"/>
  <c r="H19"/>
  <c r="H83"/>
  <c r="H72"/>
  <c r="H10"/>
  <c r="G669" i="67"/>
  <c r="G687"/>
  <c r="G62" i="68"/>
  <c r="G929" i="67"/>
  <c r="G81" i="68"/>
  <c r="H53" i="38"/>
  <c r="G76" i="64" s="1"/>
  <c r="H721" i="67"/>
  <c r="G721"/>
  <c r="G67" i="68"/>
  <c r="H346" i="67"/>
  <c r="G30" i="68"/>
  <c r="G346" i="67"/>
  <c r="H344"/>
  <c r="G29" i="68"/>
  <c r="G344" i="67"/>
  <c r="H82" i="38"/>
  <c r="H83" s="1"/>
  <c r="G85" i="64" s="1"/>
  <c r="Q85" l="1"/>
  <c r="R85" s="1"/>
  <c r="H85"/>
  <c r="Q76"/>
  <c r="R76" s="1"/>
  <c r="H76"/>
  <c r="E86" i="68"/>
  <c r="H67"/>
  <c r="H29"/>
  <c r="H30"/>
  <c r="H81"/>
  <c r="E30" i="64"/>
  <c r="F30" s="1"/>
  <c r="E77" i="68" l="1"/>
  <c r="Q77" s="1"/>
  <c r="R77" s="1"/>
  <c r="F86"/>
  <c r="F77"/>
  <c r="E1029" i="67"/>
  <c r="H28" i="38"/>
  <c r="H42"/>
  <c r="H20"/>
  <c r="H189" i="40"/>
  <c r="F1029" i="67" l="1"/>
  <c r="H168" i="42"/>
  <c r="H169" s="1"/>
  <c r="E61" i="65" s="1"/>
  <c r="H166" i="32"/>
  <c r="H167" s="1"/>
  <c r="E55" i="66" s="1"/>
  <c r="Q55" s="1"/>
  <c r="B7" i="60"/>
  <c r="O10" i="64"/>
  <c r="O68"/>
  <c r="Q68" s="1"/>
  <c r="R68" s="1"/>
  <c r="O7"/>
  <c r="P7" s="1"/>
  <c r="B81"/>
  <c r="E35"/>
  <c r="F35" s="1"/>
  <c r="E66"/>
  <c r="B66"/>
  <c r="E67"/>
  <c r="B67"/>
  <c r="E33"/>
  <c r="H198" i="40"/>
  <c r="H199" s="1"/>
  <c r="E60" i="64" s="1"/>
  <c r="E25"/>
  <c r="F25" s="1"/>
  <c r="E24"/>
  <c r="E51"/>
  <c r="E52"/>
  <c r="E28"/>
  <c r="F28" s="1"/>
  <c r="E27"/>
  <c r="E26"/>
  <c r="F26" s="1"/>
  <c r="E47"/>
  <c r="E31"/>
  <c r="F31" s="1"/>
  <c r="E29"/>
  <c r="E13"/>
  <c r="F13" s="1"/>
  <c r="E7"/>
  <c r="A1"/>
  <c r="A3" i="60" s="1"/>
  <c r="N219" i="64"/>
  <c r="N218"/>
  <c r="N217"/>
  <c r="J217"/>
  <c r="F217"/>
  <c r="N216"/>
  <c r="J216"/>
  <c r="F216"/>
  <c r="N215"/>
  <c r="J215"/>
  <c r="F215"/>
  <c r="N214"/>
  <c r="J214"/>
  <c r="F214"/>
  <c r="N213"/>
  <c r="L213"/>
  <c r="J213"/>
  <c r="F213"/>
  <c r="N212"/>
  <c r="L212"/>
  <c r="J212"/>
  <c r="F212"/>
  <c r="O211"/>
  <c r="P211" s="1"/>
  <c r="N211"/>
  <c r="L211"/>
  <c r="J211"/>
  <c r="F211"/>
  <c r="O210"/>
  <c r="P210" s="1"/>
  <c r="N210"/>
  <c r="L210"/>
  <c r="J210"/>
  <c r="F210"/>
  <c r="O209"/>
  <c r="P209" s="1"/>
  <c r="N209"/>
  <c r="L209"/>
  <c r="J209"/>
  <c r="H209"/>
  <c r="F209"/>
  <c r="O208"/>
  <c r="P208" s="1"/>
  <c r="N208"/>
  <c r="L208"/>
  <c r="J208"/>
  <c r="H208"/>
  <c r="F208"/>
  <c r="O207"/>
  <c r="P207" s="1"/>
  <c r="N207"/>
  <c r="L207"/>
  <c r="J207"/>
  <c r="H207"/>
  <c r="F207"/>
  <c r="O206"/>
  <c r="Q206" s="1"/>
  <c r="N206"/>
  <c r="L206"/>
  <c r="J206"/>
  <c r="H206"/>
  <c r="F206"/>
  <c r="O205"/>
  <c r="Q205" s="1"/>
  <c r="N205"/>
  <c r="L205"/>
  <c r="J205"/>
  <c r="H205"/>
  <c r="F205"/>
  <c r="O204"/>
  <c r="N204"/>
  <c r="L204"/>
  <c r="J204"/>
  <c r="H204"/>
  <c r="F204"/>
  <c r="O203"/>
  <c r="Q203" s="1"/>
  <c r="R203" s="1"/>
  <c r="N203"/>
  <c r="L203"/>
  <c r="J203"/>
  <c r="H203"/>
  <c r="F203"/>
  <c r="O202"/>
  <c r="P202" s="1"/>
  <c r="N202"/>
  <c r="L202"/>
  <c r="J202"/>
  <c r="H202"/>
  <c r="F202"/>
  <c r="O201"/>
  <c r="P201" s="1"/>
  <c r="N201"/>
  <c r="L201"/>
  <c r="J201"/>
  <c r="H201"/>
  <c r="F201"/>
  <c r="N200"/>
  <c r="N199"/>
  <c r="N198"/>
  <c r="N197"/>
  <c r="O196"/>
  <c r="Q196" s="1"/>
  <c r="N196"/>
  <c r="L196"/>
  <c r="J196"/>
  <c r="H196"/>
  <c r="F196"/>
  <c r="O195"/>
  <c r="N195"/>
  <c r="L195"/>
  <c r="J195"/>
  <c r="H195"/>
  <c r="F195"/>
  <c r="O194"/>
  <c r="N194"/>
  <c r="L194"/>
  <c r="J194"/>
  <c r="H194"/>
  <c r="F194"/>
  <c r="O193"/>
  <c r="P193" s="1"/>
  <c r="N193"/>
  <c r="L193"/>
  <c r="J193"/>
  <c r="H193"/>
  <c r="F193"/>
  <c r="O192"/>
  <c r="P192" s="1"/>
  <c r="N192"/>
  <c r="L192"/>
  <c r="J192"/>
  <c r="H192"/>
  <c r="F192"/>
  <c r="O191"/>
  <c r="P191" s="1"/>
  <c r="N191"/>
  <c r="L191"/>
  <c r="J191"/>
  <c r="H191"/>
  <c r="F191"/>
  <c r="O190"/>
  <c r="P190" s="1"/>
  <c r="N190"/>
  <c r="L190"/>
  <c r="J190"/>
  <c r="H190"/>
  <c r="F190"/>
  <c r="O189"/>
  <c r="Q189" s="1"/>
  <c r="R189" s="1"/>
  <c r="N189"/>
  <c r="L189"/>
  <c r="J189"/>
  <c r="H189"/>
  <c r="F189"/>
  <c r="O188"/>
  <c r="Q188" s="1"/>
  <c r="B188"/>
  <c r="O187"/>
  <c r="Q187" s="1"/>
  <c r="B187"/>
  <c r="O186"/>
  <c r="Q186" s="1"/>
  <c r="O185"/>
  <c r="Q185" s="1"/>
  <c r="O184"/>
  <c r="Q184" s="1"/>
  <c r="O183"/>
  <c r="O182"/>
  <c r="Q182" s="1"/>
  <c r="O181"/>
  <c r="Q181" s="1"/>
  <c r="O180"/>
  <c r="Q180" s="1"/>
  <c r="O179"/>
  <c r="O178"/>
  <c r="Q178" s="1"/>
  <c r="O177"/>
  <c r="Q177" s="1"/>
  <c r="O176"/>
  <c r="Q176" s="1"/>
  <c r="O175"/>
  <c r="O174"/>
  <c r="Q174" s="1"/>
  <c r="O173"/>
  <c r="Q173" s="1"/>
  <c r="O172"/>
  <c r="O171"/>
  <c r="O170"/>
  <c r="Q170" s="1"/>
  <c r="O169"/>
  <c r="Q169" s="1"/>
  <c r="O168"/>
  <c r="Q168" s="1"/>
  <c r="O167"/>
  <c r="O166"/>
  <c r="Q166" s="1"/>
  <c r="O165"/>
  <c r="Q165" s="1"/>
  <c r="O164"/>
  <c r="Q164" s="1"/>
  <c r="O163"/>
  <c r="Q163" s="1"/>
  <c r="O162"/>
  <c r="Q162" s="1"/>
  <c r="O161"/>
  <c r="Q161" s="1"/>
  <c r="O160"/>
  <c r="Q160" s="1"/>
  <c r="O159"/>
  <c r="Q159" s="1"/>
  <c r="O158"/>
  <c r="Q158" s="1"/>
  <c r="O157"/>
  <c r="Q157" s="1"/>
  <c r="O156"/>
  <c r="Q156" s="1"/>
  <c r="O155"/>
  <c r="Q155" s="1"/>
  <c r="O154"/>
  <c r="Q154" s="1"/>
  <c r="O153"/>
  <c r="Q153" s="1"/>
  <c r="O152"/>
  <c r="Q152" s="1"/>
  <c r="O151"/>
  <c r="Q151" s="1"/>
  <c r="O150"/>
  <c r="Q150" s="1"/>
  <c r="O149"/>
  <c r="Q149" s="1"/>
  <c r="O148"/>
  <c r="Q148" s="1"/>
  <c r="O147"/>
  <c r="Q147" s="1"/>
  <c r="O146"/>
  <c r="Q146" s="1"/>
  <c r="O145"/>
  <c r="Q145" s="1"/>
  <c r="O144"/>
  <c r="Q144" s="1"/>
  <c r="O143"/>
  <c r="Q143" s="1"/>
  <c r="O142"/>
  <c r="Q142" s="1"/>
  <c r="O141"/>
  <c r="Q141" s="1"/>
  <c r="O140"/>
  <c r="Q140" s="1"/>
  <c r="O139"/>
  <c r="Q139" s="1"/>
  <c r="O138"/>
  <c r="Q138" s="1"/>
  <c r="O137"/>
  <c r="Q137" s="1"/>
  <c r="O136"/>
  <c r="Q136" s="1"/>
  <c r="O135"/>
  <c r="Q135" s="1"/>
  <c r="O134"/>
  <c r="Q134" s="1"/>
  <c r="O133"/>
  <c r="Q133" s="1"/>
  <c r="O132"/>
  <c r="Q132" s="1"/>
  <c r="O131"/>
  <c r="Q131" s="1"/>
  <c r="O130"/>
  <c r="Q130" s="1"/>
  <c r="O129"/>
  <c r="Q129" s="1"/>
  <c r="O128"/>
  <c r="Q128" s="1"/>
  <c r="O127"/>
  <c r="O126"/>
  <c r="O125"/>
  <c r="Q125" s="1"/>
  <c r="O124"/>
  <c r="Q124" s="1"/>
  <c r="O123"/>
  <c r="Q123" s="1"/>
  <c r="O122"/>
  <c r="Q122" s="1"/>
  <c r="O121"/>
  <c r="Q121" s="1"/>
  <c r="O120"/>
  <c r="Q120" s="1"/>
  <c r="O119"/>
  <c r="Q119" s="1"/>
  <c r="O118"/>
  <c r="Q118" s="1"/>
  <c r="O117"/>
  <c r="Q117" s="1"/>
  <c r="O116"/>
  <c r="Q116" s="1"/>
  <c r="O115"/>
  <c r="Q115" s="1"/>
  <c r="O114"/>
  <c r="Q114" s="1"/>
  <c r="O113"/>
  <c r="Q113" s="1"/>
  <c r="O112"/>
  <c r="Q112" s="1"/>
  <c r="O111"/>
  <c r="Q111" s="1"/>
  <c r="O110"/>
  <c r="Q110" s="1"/>
  <c r="O109"/>
  <c r="Q109" s="1"/>
  <c r="O108"/>
  <c r="Q108" s="1"/>
  <c r="O107"/>
  <c r="Q107" s="1"/>
  <c r="B107"/>
  <c r="O106"/>
  <c r="C106"/>
  <c r="L106" s="1"/>
  <c r="O105"/>
  <c r="O104"/>
  <c r="Q104" s="1"/>
  <c r="O103"/>
  <c r="Q103" s="1"/>
  <c r="O102"/>
  <c r="Q102" s="1"/>
  <c r="O101"/>
  <c r="O100"/>
  <c r="Q100" s="1"/>
  <c r="O99"/>
  <c r="Q99" s="1"/>
  <c r="C99"/>
  <c r="O98"/>
  <c r="P98" s="1"/>
  <c r="N98"/>
  <c r="L98"/>
  <c r="J98"/>
  <c r="H98"/>
  <c r="F98"/>
  <c r="O97"/>
  <c r="P97" s="1"/>
  <c r="N97"/>
  <c r="L97"/>
  <c r="J97"/>
  <c r="H97"/>
  <c r="F97"/>
  <c r="O96"/>
  <c r="P96" s="1"/>
  <c r="N96"/>
  <c r="L96"/>
  <c r="J96"/>
  <c r="H96"/>
  <c r="F96"/>
  <c r="O95"/>
  <c r="Q95" s="1"/>
  <c r="R95" s="1"/>
  <c r="N95"/>
  <c r="L95"/>
  <c r="J95"/>
  <c r="H95"/>
  <c r="F95"/>
  <c r="O94"/>
  <c r="Q94" s="1"/>
  <c r="O93"/>
  <c r="Q93" s="1"/>
  <c r="O91"/>
  <c r="Q91" s="1"/>
  <c r="R91" s="1"/>
  <c r="N91"/>
  <c r="L91"/>
  <c r="J91"/>
  <c r="H91"/>
  <c r="F91"/>
  <c r="O90"/>
  <c r="Q90" s="1"/>
  <c r="R90" s="1"/>
  <c r="N90"/>
  <c r="L90"/>
  <c r="J90"/>
  <c r="H90"/>
  <c r="F90"/>
  <c r="O89"/>
  <c r="P89" s="1"/>
  <c r="N89"/>
  <c r="L89"/>
  <c r="J89"/>
  <c r="H89"/>
  <c r="F89"/>
  <c r="AA88"/>
  <c r="AB88" s="1"/>
  <c r="Z88"/>
  <c r="D80"/>
  <c r="Q10" l="1"/>
  <c r="R10" s="1"/>
  <c r="P10"/>
  <c r="Q51"/>
  <c r="R51" s="1"/>
  <c r="F51"/>
  <c r="Q33"/>
  <c r="R33" s="1"/>
  <c r="F33"/>
  <c r="Q66"/>
  <c r="R66" s="1"/>
  <c r="F66"/>
  <c r="Q47"/>
  <c r="R47" s="1"/>
  <c r="F47"/>
  <c r="Q52"/>
  <c r="R52" s="1"/>
  <c r="F52"/>
  <c r="Q60"/>
  <c r="R60" s="1"/>
  <c r="F60"/>
  <c r="Q29"/>
  <c r="R29" s="1"/>
  <c r="F29"/>
  <c r="Q27"/>
  <c r="R27" s="1"/>
  <c r="F27"/>
  <c r="Q24"/>
  <c r="R24" s="1"/>
  <c r="F24"/>
  <c r="Q67"/>
  <c r="R67" s="1"/>
  <c r="F67"/>
  <c r="C418" i="67"/>
  <c r="C373"/>
  <c r="L373" s="1"/>
  <c r="C190" i="68"/>
  <c r="C1123" i="67"/>
  <c r="C173" i="66"/>
  <c r="C181" i="65"/>
  <c r="C1124" i="67"/>
  <c r="C191" i="68"/>
  <c r="C174" i="66"/>
  <c r="C182" i="65"/>
  <c r="C357" i="67"/>
  <c r="C458"/>
  <c r="C456"/>
  <c r="C417"/>
  <c r="C381"/>
  <c r="L381" s="1"/>
  <c r="C849"/>
  <c r="C708"/>
  <c r="L708" s="1"/>
  <c r="E10" i="68"/>
  <c r="Q10" s="1"/>
  <c r="R10" s="1"/>
  <c r="C152" i="64"/>
  <c r="H152" s="1"/>
  <c r="C164" i="68"/>
  <c r="C1097" i="67"/>
  <c r="C147" i="66"/>
  <c r="C155" i="65"/>
  <c r="C153" i="64"/>
  <c r="R153" s="1"/>
  <c r="C1098" i="67"/>
  <c r="C165" i="68"/>
  <c r="C148" i="66"/>
  <c r="C156" i="65"/>
  <c r="C409" i="67"/>
  <c r="C420"/>
  <c r="C323"/>
  <c r="C374"/>
  <c r="L374" s="1"/>
  <c r="C421"/>
  <c r="C168" i="68"/>
  <c r="C1101" i="67"/>
  <c r="C1065"/>
  <c r="C132" i="68"/>
  <c r="C151" i="66"/>
  <c r="C115"/>
  <c r="C123" i="65"/>
  <c r="C159"/>
  <c r="C422" i="67"/>
  <c r="C691"/>
  <c r="Q26" i="64"/>
  <c r="R26" s="1"/>
  <c r="Q35"/>
  <c r="R35" s="1"/>
  <c r="Q61" i="65"/>
  <c r="E28" i="68"/>
  <c r="Q28" s="1"/>
  <c r="R28" s="1"/>
  <c r="Q28" i="64"/>
  <c r="R28" s="1"/>
  <c r="E986" i="67"/>
  <c r="F986" s="1"/>
  <c r="E378"/>
  <c r="E370"/>
  <c r="E92"/>
  <c r="F92" s="1"/>
  <c r="E954"/>
  <c r="F954" s="1"/>
  <c r="E377"/>
  <c r="E369"/>
  <c r="E376"/>
  <c r="E368"/>
  <c r="E639"/>
  <c r="E463"/>
  <c r="F463" s="1"/>
  <c r="E375"/>
  <c r="E367"/>
  <c r="E300"/>
  <c r="F300" s="1"/>
  <c r="E138"/>
  <c r="F138" s="1"/>
  <c r="E903"/>
  <c r="F903" s="1"/>
  <c r="E638"/>
  <c r="E382"/>
  <c r="E374"/>
  <c r="E366"/>
  <c r="E637"/>
  <c r="E373"/>
  <c r="E677"/>
  <c r="E668"/>
  <c r="E380"/>
  <c r="E372"/>
  <c r="E379"/>
  <c r="E925"/>
  <c r="B8" i="60"/>
  <c r="E349" i="67"/>
  <c r="Q7" i="64"/>
  <c r="Q207"/>
  <c r="R207" s="1"/>
  <c r="Q190"/>
  <c r="R190" s="1"/>
  <c r="Q98"/>
  <c r="R98" s="1"/>
  <c r="Q193"/>
  <c r="Q202"/>
  <c r="Q192"/>
  <c r="Q208"/>
  <c r="Q209"/>
  <c r="Q97"/>
  <c r="P106"/>
  <c r="Q106"/>
  <c r="R106" s="1"/>
  <c r="Q191"/>
  <c r="Q201"/>
  <c r="Q89"/>
  <c r="R89" s="1"/>
  <c r="R206"/>
  <c r="R196"/>
  <c r="R205"/>
  <c r="H106"/>
  <c r="Q211"/>
  <c r="J106"/>
  <c r="P196"/>
  <c r="P205"/>
  <c r="P206"/>
  <c r="Q210"/>
  <c r="C179"/>
  <c r="P179" s="1"/>
  <c r="C156"/>
  <c r="P156" s="1"/>
  <c r="C120"/>
  <c r="C178"/>
  <c r="R178" s="1"/>
  <c r="J99"/>
  <c r="N99"/>
  <c r="L99"/>
  <c r="H99"/>
  <c r="F99"/>
  <c r="R99"/>
  <c r="Q126"/>
  <c r="Q105"/>
  <c r="Q127"/>
  <c r="Q179"/>
  <c r="P95"/>
  <c r="Q96"/>
  <c r="P99"/>
  <c r="Q101"/>
  <c r="F106"/>
  <c r="N106"/>
  <c r="Q194"/>
  <c r="P194"/>
  <c r="Q172"/>
  <c r="P90"/>
  <c r="Q204"/>
  <c r="P204"/>
  <c r="Q167"/>
  <c r="Q183"/>
  <c r="P203"/>
  <c r="Q171"/>
  <c r="Q175"/>
  <c r="Q195"/>
  <c r="P195"/>
  <c r="P189"/>
  <c r="H85" i="38"/>
  <c r="G62" i="64" s="1"/>
  <c r="H41" i="38"/>
  <c r="C46" i="41"/>
  <c r="C45"/>
  <c r="H386" i="40"/>
  <c r="H385"/>
  <c r="H383"/>
  <c r="H317"/>
  <c r="H318"/>
  <c r="H308"/>
  <c r="H310"/>
  <c r="K309"/>
  <c r="L309" s="1"/>
  <c r="M309" s="1"/>
  <c r="H309" s="1"/>
  <c r="H307"/>
  <c r="H306"/>
  <c r="H305"/>
  <c r="H304"/>
  <c r="H303"/>
  <c r="H302"/>
  <c r="H301"/>
  <c r="H300"/>
  <c r="H299"/>
  <c r="H298"/>
  <c r="H290"/>
  <c r="H292"/>
  <c r="H289"/>
  <c r="H288"/>
  <c r="H287"/>
  <c r="H286"/>
  <c r="H285"/>
  <c r="H284"/>
  <c r="H283"/>
  <c r="H282"/>
  <c r="H281"/>
  <c r="H297"/>
  <c r="H267"/>
  <c r="H266"/>
  <c r="H265"/>
  <c r="H264"/>
  <c r="H263"/>
  <c r="H262"/>
  <c r="H261"/>
  <c r="H260"/>
  <c r="H259"/>
  <c r="H244"/>
  <c r="H243"/>
  <c r="H242"/>
  <c r="H241"/>
  <c r="H240"/>
  <c r="H239"/>
  <c r="H238"/>
  <c r="H237"/>
  <c r="H236"/>
  <c r="H235"/>
  <c r="H234"/>
  <c r="H233"/>
  <c r="D22" i="45"/>
  <c r="C22"/>
  <c r="H82" i="44"/>
  <c r="H40"/>
  <c r="D46" i="43"/>
  <c r="H53" i="48" s="1"/>
  <c r="D45" i="43"/>
  <c r="D45" i="41" s="1"/>
  <c r="C46" i="43"/>
  <c r="C45"/>
  <c r="H354" i="42"/>
  <c r="H357" s="1"/>
  <c r="E35" i="65" s="1"/>
  <c r="Q35" s="1"/>
  <c r="H351" i="42"/>
  <c r="H279"/>
  <c r="H278"/>
  <c r="H277"/>
  <c r="H263"/>
  <c r="H264"/>
  <c r="H265"/>
  <c r="H266"/>
  <c r="H267"/>
  <c r="H268"/>
  <c r="H269"/>
  <c r="H270"/>
  <c r="H271"/>
  <c r="H272"/>
  <c r="H273"/>
  <c r="H274"/>
  <c r="H275"/>
  <c r="H276"/>
  <c r="E23" i="67" l="1"/>
  <c r="F23" s="1"/>
  <c r="E722"/>
  <c r="E48" i="68"/>
  <c r="Q48" s="1"/>
  <c r="R48" s="1"/>
  <c r="E636" i="67"/>
  <c r="O636" s="1"/>
  <c r="E343"/>
  <c r="O343" s="1"/>
  <c r="E61" i="68"/>
  <c r="E34"/>
  <c r="Q34" s="1"/>
  <c r="R34" s="1"/>
  <c r="E68"/>
  <c r="Q68" s="1"/>
  <c r="R68" s="1"/>
  <c r="Q62" i="64"/>
  <c r="R62" s="1"/>
  <c r="H62"/>
  <c r="D46" i="41"/>
  <c r="E53" i="68"/>
  <c r="Q53" s="1"/>
  <c r="R53" s="1"/>
  <c r="E663" i="67"/>
  <c r="O663" s="1"/>
  <c r="E67" i="68"/>
  <c r="Q67" s="1"/>
  <c r="R67" s="1"/>
  <c r="E52"/>
  <c r="Q52" s="1"/>
  <c r="R52" s="1"/>
  <c r="E25"/>
  <c r="Q25" s="1"/>
  <c r="R25" s="1"/>
  <c r="E721" i="67"/>
  <c r="F721" s="1"/>
  <c r="E30" i="68"/>
  <c r="Q30" s="1"/>
  <c r="R30" s="1"/>
  <c r="N152" i="64"/>
  <c r="P152"/>
  <c r="J152"/>
  <c r="F152"/>
  <c r="L152"/>
  <c r="R152"/>
  <c r="N153"/>
  <c r="H153"/>
  <c r="P153"/>
  <c r="J153"/>
  <c r="F153"/>
  <c r="L153"/>
  <c r="C272" i="67"/>
  <c r="C728"/>
  <c r="C189" i="68"/>
  <c r="C1122" i="67"/>
  <c r="C172" i="66"/>
  <c r="C180" i="65"/>
  <c r="C278" i="67"/>
  <c r="C177" i="68"/>
  <c r="C1110" i="67"/>
  <c r="C160" i="66"/>
  <c r="C168" i="65"/>
  <c r="N159"/>
  <c r="L159"/>
  <c r="H159"/>
  <c r="J159"/>
  <c r="F159"/>
  <c r="P159"/>
  <c r="R159"/>
  <c r="N165" i="68"/>
  <c r="R165"/>
  <c r="F165"/>
  <c r="J165"/>
  <c r="P165"/>
  <c r="L165"/>
  <c r="H165"/>
  <c r="N155" i="65"/>
  <c r="L155"/>
  <c r="J155"/>
  <c r="H155"/>
  <c r="F155"/>
  <c r="P155"/>
  <c r="R155"/>
  <c r="F10" i="68"/>
  <c r="N123" i="65"/>
  <c r="P123"/>
  <c r="F123"/>
  <c r="H123"/>
  <c r="L123"/>
  <c r="J123"/>
  <c r="R123"/>
  <c r="H374" i="67"/>
  <c r="J323"/>
  <c r="H323"/>
  <c r="L323"/>
  <c r="F323"/>
  <c r="P1098"/>
  <c r="L1098"/>
  <c r="H1098"/>
  <c r="F1098"/>
  <c r="N1098"/>
  <c r="J1098"/>
  <c r="H147" i="66"/>
  <c r="P147"/>
  <c r="N147"/>
  <c r="L147"/>
  <c r="J147"/>
  <c r="F147"/>
  <c r="R147"/>
  <c r="C372" i="67"/>
  <c r="L372" s="1"/>
  <c r="H181" i="65"/>
  <c r="J181"/>
  <c r="P181"/>
  <c r="N181"/>
  <c r="F181"/>
  <c r="L181"/>
  <c r="R181"/>
  <c r="H115" i="66"/>
  <c r="F115"/>
  <c r="P115"/>
  <c r="R115"/>
  <c r="N115"/>
  <c r="L115"/>
  <c r="J115"/>
  <c r="J374" i="67"/>
  <c r="C910"/>
  <c r="H1097"/>
  <c r="N1097"/>
  <c r="J1097"/>
  <c r="L1097"/>
  <c r="F1097"/>
  <c r="P1097"/>
  <c r="F173" i="66"/>
  <c r="H173"/>
  <c r="N173"/>
  <c r="J173"/>
  <c r="L173"/>
  <c r="P173"/>
  <c r="R173"/>
  <c r="B22" i="45"/>
  <c r="F22" s="1"/>
  <c r="G63" i="65"/>
  <c r="Q63" s="1"/>
  <c r="L422" i="67"/>
  <c r="H422"/>
  <c r="J422"/>
  <c r="F422"/>
  <c r="N151" i="66"/>
  <c r="L151"/>
  <c r="J151"/>
  <c r="H151"/>
  <c r="F151"/>
  <c r="P151"/>
  <c r="R151"/>
  <c r="J164" i="68"/>
  <c r="N164"/>
  <c r="L164"/>
  <c r="F164"/>
  <c r="P164"/>
  <c r="H164"/>
  <c r="R164"/>
  <c r="H458" i="67"/>
  <c r="L458"/>
  <c r="J458"/>
  <c r="F458"/>
  <c r="N182" i="65"/>
  <c r="P182"/>
  <c r="J182"/>
  <c r="H182"/>
  <c r="F182"/>
  <c r="L182"/>
  <c r="R182"/>
  <c r="L1123" i="67"/>
  <c r="J1123"/>
  <c r="H1123"/>
  <c r="F1123"/>
  <c r="N1123"/>
  <c r="P1123"/>
  <c r="G358"/>
  <c r="G35" i="68"/>
  <c r="J132"/>
  <c r="F132"/>
  <c r="R132"/>
  <c r="N132"/>
  <c r="P132"/>
  <c r="H132"/>
  <c r="L132"/>
  <c r="C87"/>
  <c r="F357" i="67"/>
  <c r="L357"/>
  <c r="H357"/>
  <c r="J357"/>
  <c r="N174" i="66"/>
  <c r="L174"/>
  <c r="H174"/>
  <c r="R174"/>
  <c r="F174"/>
  <c r="P174"/>
  <c r="J174"/>
  <c r="P190" i="68"/>
  <c r="R190"/>
  <c r="N190"/>
  <c r="F190"/>
  <c r="J190"/>
  <c r="L190"/>
  <c r="H190"/>
  <c r="C375" i="67"/>
  <c r="L375" s="1"/>
  <c r="C564"/>
  <c r="C680"/>
  <c r="N1065"/>
  <c r="H1065"/>
  <c r="J1065"/>
  <c r="L1065"/>
  <c r="P1065"/>
  <c r="C724"/>
  <c r="F1065"/>
  <c r="L409"/>
  <c r="F409"/>
  <c r="H409"/>
  <c r="J409"/>
  <c r="J66" i="65"/>
  <c r="H66"/>
  <c r="L66"/>
  <c r="H417" i="67"/>
  <c r="L417"/>
  <c r="J417"/>
  <c r="F417"/>
  <c r="H191" i="68"/>
  <c r="P191"/>
  <c r="L191"/>
  <c r="J191"/>
  <c r="N191"/>
  <c r="F191"/>
  <c r="R191"/>
  <c r="H373" i="67"/>
  <c r="H418"/>
  <c r="L418"/>
  <c r="F418"/>
  <c r="J418"/>
  <c r="C24"/>
  <c r="L24" s="1"/>
  <c r="L1033" s="1"/>
  <c r="C30"/>
  <c r="J1101"/>
  <c r="L1101"/>
  <c r="F1101"/>
  <c r="N1101"/>
  <c r="C720"/>
  <c r="H1101"/>
  <c r="P1101"/>
  <c r="L421"/>
  <c r="H421"/>
  <c r="J421"/>
  <c r="F421"/>
  <c r="L156" i="65"/>
  <c r="H156"/>
  <c r="R156"/>
  <c r="J156"/>
  <c r="N156"/>
  <c r="P156"/>
  <c r="F156"/>
  <c r="L60" i="66"/>
  <c r="J60"/>
  <c r="H60"/>
  <c r="H40" i="65"/>
  <c r="J40"/>
  <c r="L40"/>
  <c r="H456" i="67"/>
  <c r="L456"/>
  <c r="J456"/>
  <c r="F456"/>
  <c r="C402"/>
  <c r="C681"/>
  <c r="F1124"/>
  <c r="L1124"/>
  <c r="P1124"/>
  <c r="J1124"/>
  <c r="N1124"/>
  <c r="H1124"/>
  <c r="J373"/>
  <c r="C690"/>
  <c r="C158" i="68"/>
  <c r="C1091" i="67"/>
  <c r="C141" i="66"/>
  <c r="C149" i="65"/>
  <c r="J168" i="68"/>
  <c r="P168"/>
  <c r="L168"/>
  <c r="N168"/>
  <c r="H168"/>
  <c r="F168"/>
  <c r="R168"/>
  <c r="L420" i="67"/>
  <c r="J420"/>
  <c r="H420"/>
  <c r="F420"/>
  <c r="R148" i="66"/>
  <c r="H148"/>
  <c r="F148"/>
  <c r="P148"/>
  <c r="N148"/>
  <c r="L148"/>
  <c r="J148"/>
  <c r="J849" i="67"/>
  <c r="F849"/>
  <c r="L849"/>
  <c r="H849"/>
  <c r="L37" i="66"/>
  <c r="J37"/>
  <c r="H37"/>
  <c r="F67" i="68"/>
  <c r="E27"/>
  <c r="Q27" s="1"/>
  <c r="R27" s="1"/>
  <c r="C555" i="67"/>
  <c r="E29" i="68"/>
  <c r="Q29" s="1"/>
  <c r="R29" s="1"/>
  <c r="H52" i="48"/>
  <c r="E36" i="68"/>
  <c r="Q36" s="1"/>
  <c r="R36" s="1"/>
  <c r="F691" i="67"/>
  <c r="L691"/>
  <c r="H691"/>
  <c r="J691"/>
  <c r="F34" i="68"/>
  <c r="F25"/>
  <c r="H389" i="40"/>
  <c r="E34" i="64" s="1"/>
  <c r="O380" i="67"/>
  <c r="O368"/>
  <c r="F366"/>
  <c r="O366"/>
  <c r="O375"/>
  <c r="F376"/>
  <c r="O376"/>
  <c r="O638"/>
  <c r="F637"/>
  <c r="O637"/>
  <c r="O367"/>
  <c r="E371"/>
  <c r="O379"/>
  <c r="F677"/>
  <c r="O677"/>
  <c r="O374"/>
  <c r="F374"/>
  <c r="F370"/>
  <c r="O370"/>
  <c r="O639"/>
  <c r="O377"/>
  <c r="O372"/>
  <c r="O373"/>
  <c r="F373"/>
  <c r="F382"/>
  <c r="O382"/>
  <c r="O378"/>
  <c r="F925"/>
  <c r="O925"/>
  <c r="P925" s="1"/>
  <c r="I61" i="68"/>
  <c r="I679" i="67"/>
  <c r="B45" i="43"/>
  <c r="G52" i="48" s="1"/>
  <c r="E66" i="65"/>
  <c r="G61" i="68"/>
  <c r="G679" i="67"/>
  <c r="E360"/>
  <c r="E301"/>
  <c r="E346"/>
  <c r="E341"/>
  <c r="E679"/>
  <c r="E362"/>
  <c r="O349"/>
  <c r="E344"/>
  <c r="F722"/>
  <c r="O722"/>
  <c r="P722" s="1"/>
  <c r="E661"/>
  <c r="E7" i="68"/>
  <c r="Q7" s="1"/>
  <c r="B6" i="60"/>
  <c r="E7" i="67"/>
  <c r="E332"/>
  <c r="E350"/>
  <c r="B45" i="41"/>
  <c r="E52" i="48" s="1"/>
  <c r="E65" i="64"/>
  <c r="B46" i="43"/>
  <c r="G53" i="48" s="1"/>
  <c r="R192" i="64"/>
  <c r="R193"/>
  <c r="R208"/>
  <c r="R202"/>
  <c r="R209"/>
  <c r="R201"/>
  <c r="R191"/>
  <c r="R97"/>
  <c r="R156"/>
  <c r="R210"/>
  <c r="R211"/>
  <c r="R179"/>
  <c r="F178"/>
  <c r="P178"/>
  <c r="N178"/>
  <c r="L178"/>
  <c r="J178"/>
  <c r="H178"/>
  <c r="C146"/>
  <c r="C165"/>
  <c r="R195"/>
  <c r="R96"/>
  <c r="R204"/>
  <c r="N179"/>
  <c r="L179"/>
  <c r="J179"/>
  <c r="H179"/>
  <c r="F179"/>
  <c r="N120"/>
  <c r="L120"/>
  <c r="J120"/>
  <c r="H120"/>
  <c r="R120"/>
  <c r="P120"/>
  <c r="F120"/>
  <c r="J156"/>
  <c r="H156"/>
  <c r="F156"/>
  <c r="N156"/>
  <c r="L156"/>
  <c r="R194"/>
  <c r="C177"/>
  <c r="C149"/>
  <c r="B46" i="41"/>
  <c r="H247" i="42"/>
  <c r="H246"/>
  <c r="H245"/>
  <c r="H244"/>
  <c r="H243"/>
  <c r="H242"/>
  <c r="H241"/>
  <c r="H227"/>
  <c r="H226"/>
  <c r="H225"/>
  <c r="H224"/>
  <c r="H223"/>
  <c r="H222"/>
  <c r="H221"/>
  <c r="H210"/>
  <c r="H209"/>
  <c r="H208"/>
  <c r="H207"/>
  <c r="H206"/>
  <c r="H205"/>
  <c r="H199"/>
  <c r="H200"/>
  <c r="H201"/>
  <c r="H202"/>
  <c r="H203"/>
  <c r="H204"/>
  <c r="H39" i="30"/>
  <c r="C23" i="31"/>
  <c r="B85" i="48" s="1"/>
  <c r="H88" i="30"/>
  <c r="B53" i="48"/>
  <c r="B52"/>
  <c r="C46" i="33"/>
  <c r="H300" i="32"/>
  <c r="H304" s="1"/>
  <c r="C45" i="33"/>
  <c r="H297" i="32"/>
  <c r="H266"/>
  <c r="H264"/>
  <c r="H254"/>
  <c r="H255"/>
  <c r="H256"/>
  <c r="H257"/>
  <c r="H258"/>
  <c r="H259"/>
  <c r="H260"/>
  <c r="H261"/>
  <c r="H262"/>
  <c r="H263"/>
  <c r="H265"/>
  <c r="H231"/>
  <c r="H230"/>
  <c r="H229"/>
  <c r="H228"/>
  <c r="H227"/>
  <c r="H226"/>
  <c r="H225"/>
  <c r="H224"/>
  <c r="H223"/>
  <c r="H222"/>
  <c r="H200"/>
  <c r="H201"/>
  <c r="H202"/>
  <c r="E63" i="68" l="1"/>
  <c r="O721" i="67"/>
  <c r="P721" s="1"/>
  <c r="E692"/>
  <c r="F30" i="68"/>
  <c r="F68"/>
  <c r="Q61"/>
  <c r="R61" s="1"/>
  <c r="L87"/>
  <c r="L104" s="1"/>
  <c r="N87"/>
  <c r="R87"/>
  <c r="Q65" i="64"/>
  <c r="R65" s="1"/>
  <c r="F65"/>
  <c r="Q34"/>
  <c r="R34" s="1"/>
  <c r="F34"/>
  <c r="F372" i="67"/>
  <c r="P37" i="66"/>
  <c r="P66" i="65"/>
  <c r="C916" i="67"/>
  <c r="C847"/>
  <c r="C163" i="68"/>
  <c r="C1096" i="67"/>
  <c r="C146" i="66"/>
  <c r="C154" i="65"/>
  <c r="C151" i="64"/>
  <c r="L151" s="1"/>
  <c r="J55" i="68"/>
  <c r="C369" i="67"/>
  <c r="C669"/>
  <c r="L669" s="1"/>
  <c r="C176" i="68"/>
  <c r="C1109" i="67"/>
  <c r="C159" i="66"/>
  <c r="C167" i="65"/>
  <c r="C1088" i="67"/>
  <c r="C715"/>
  <c r="C155" i="68"/>
  <c r="C138" i="66"/>
  <c r="C146" i="65"/>
  <c r="C881" i="67"/>
  <c r="C385"/>
  <c r="C714"/>
  <c r="C665"/>
  <c r="C356"/>
  <c r="C31"/>
  <c r="C158" i="64"/>
  <c r="J158" s="1"/>
  <c r="C1103" i="67"/>
  <c r="C170" i="68"/>
  <c r="C153" i="66"/>
  <c r="C161" i="65"/>
  <c r="J1091" i="67"/>
  <c r="L1091"/>
  <c r="P1091"/>
  <c r="N1091"/>
  <c r="F1091"/>
  <c r="H1091"/>
  <c r="L564"/>
  <c r="H564"/>
  <c r="J564"/>
  <c r="F564"/>
  <c r="N1110"/>
  <c r="F1110"/>
  <c r="J1110"/>
  <c r="L1110"/>
  <c r="H1110"/>
  <c r="P1110"/>
  <c r="F180" i="65"/>
  <c r="R180"/>
  <c r="J180"/>
  <c r="P180"/>
  <c r="H180"/>
  <c r="N180"/>
  <c r="L180"/>
  <c r="C562" i="67"/>
  <c r="C93" i="64"/>
  <c r="H93" s="1"/>
  <c r="C1038" i="67"/>
  <c r="C105" i="68"/>
  <c r="C88" i="66"/>
  <c r="C96" i="65"/>
  <c r="C175" i="68"/>
  <c r="C1108" i="67"/>
  <c r="C158" i="66"/>
  <c r="C166" i="65"/>
  <c r="C678" i="67"/>
  <c r="L678" s="1"/>
  <c r="C400"/>
  <c r="J61" i="68"/>
  <c r="C401" i="67"/>
  <c r="C679"/>
  <c r="L679" s="1"/>
  <c r="C25"/>
  <c r="C415"/>
  <c r="N158" i="68"/>
  <c r="R158"/>
  <c r="L158"/>
  <c r="P158"/>
  <c r="J158"/>
  <c r="F158"/>
  <c r="H158"/>
  <c r="N177"/>
  <c r="P177"/>
  <c r="H177"/>
  <c r="J177"/>
  <c r="R177"/>
  <c r="F177"/>
  <c r="L177"/>
  <c r="H172" i="66"/>
  <c r="R172"/>
  <c r="F172"/>
  <c r="L172"/>
  <c r="N172"/>
  <c r="P172"/>
  <c r="J172"/>
  <c r="L728" i="67"/>
  <c r="J728"/>
  <c r="F728"/>
  <c r="H728"/>
  <c r="C1087"/>
  <c r="C154" i="68"/>
  <c r="C137" i="66"/>
  <c r="C145" i="65"/>
  <c r="C563" i="67"/>
  <c r="C835"/>
  <c r="C726"/>
  <c r="J402"/>
  <c r="L402"/>
  <c r="F402"/>
  <c r="H402"/>
  <c r="F724"/>
  <c r="H724"/>
  <c r="J724"/>
  <c r="L724"/>
  <c r="H375"/>
  <c r="F910"/>
  <c r="H910"/>
  <c r="J910"/>
  <c r="L910"/>
  <c r="N1122"/>
  <c r="L1122"/>
  <c r="J1122"/>
  <c r="F1122"/>
  <c r="H1122"/>
  <c r="P1122"/>
  <c r="C312"/>
  <c r="C273"/>
  <c r="C1086"/>
  <c r="C153" i="68"/>
  <c r="C136" i="66"/>
  <c r="C144" i="65"/>
  <c r="C712" i="67"/>
  <c r="F30"/>
  <c r="J30"/>
  <c r="L30"/>
  <c r="H30"/>
  <c r="H680"/>
  <c r="L680"/>
  <c r="J680"/>
  <c r="F680"/>
  <c r="J375"/>
  <c r="F87" i="68"/>
  <c r="H87"/>
  <c r="J87"/>
  <c r="H372" i="67"/>
  <c r="N189" i="68"/>
  <c r="R189"/>
  <c r="H189"/>
  <c r="J189"/>
  <c r="L189"/>
  <c r="P189"/>
  <c r="F189"/>
  <c r="C885" i="67"/>
  <c r="C671"/>
  <c r="C152" i="68"/>
  <c r="C1085" i="67"/>
  <c r="C135" i="66"/>
  <c r="C143" i="65"/>
  <c r="C833" i="67"/>
  <c r="C231"/>
  <c r="L231" s="1"/>
  <c r="N92" i="64"/>
  <c r="C1037" i="67"/>
  <c r="C87" i="66"/>
  <c r="C95" i="65"/>
  <c r="L690" i="67"/>
  <c r="H690"/>
  <c r="F690"/>
  <c r="J690"/>
  <c r="G692"/>
  <c r="G63" i="68"/>
  <c r="J372" i="67"/>
  <c r="P40" i="65"/>
  <c r="F11"/>
  <c r="H11"/>
  <c r="R89"/>
  <c r="H89"/>
  <c r="J89"/>
  <c r="P89" s="1"/>
  <c r="F89"/>
  <c r="H278" i="67"/>
  <c r="F278"/>
  <c r="J278"/>
  <c r="L278"/>
  <c r="C359"/>
  <c r="C414"/>
  <c r="C279"/>
  <c r="F375"/>
  <c r="R149" i="65"/>
  <c r="H149"/>
  <c r="F149"/>
  <c r="P149"/>
  <c r="L149"/>
  <c r="J149"/>
  <c r="N149"/>
  <c r="F720" i="67"/>
  <c r="H720"/>
  <c r="L720"/>
  <c r="J720"/>
  <c r="F11" i="66"/>
  <c r="H11"/>
  <c r="R168" i="65"/>
  <c r="L168"/>
  <c r="H168"/>
  <c r="P168"/>
  <c r="N168"/>
  <c r="F168"/>
  <c r="J168"/>
  <c r="C161" i="68"/>
  <c r="C1094" i="67"/>
  <c r="C144" i="66"/>
  <c r="C152" i="65"/>
  <c r="H272" i="67"/>
  <c r="J272"/>
  <c r="F272"/>
  <c r="L272"/>
  <c r="C1090"/>
  <c r="C157" i="68"/>
  <c r="C140" i="66"/>
  <c r="C148" i="65"/>
  <c r="C129" i="64"/>
  <c r="J129" s="1"/>
  <c r="C1074" i="67"/>
  <c r="C141" i="68"/>
  <c r="C124" i="66"/>
  <c r="C132" i="65"/>
  <c r="C308" i="67"/>
  <c r="C636"/>
  <c r="P636" s="1"/>
  <c r="C931"/>
  <c r="N141" i="66"/>
  <c r="F141"/>
  <c r="P141"/>
  <c r="J141"/>
  <c r="H141"/>
  <c r="L141"/>
  <c r="R141"/>
  <c r="J681" i="67"/>
  <c r="F681"/>
  <c r="L681"/>
  <c r="H681"/>
  <c r="P60" i="66"/>
  <c r="P160"/>
  <c r="H160"/>
  <c r="F160"/>
  <c r="L160"/>
  <c r="N160"/>
  <c r="J160"/>
  <c r="R160"/>
  <c r="C1121" i="67"/>
  <c r="C188" i="68"/>
  <c r="C171" i="66"/>
  <c r="C179" i="65"/>
  <c r="C42" i="67"/>
  <c r="C157" i="64"/>
  <c r="R157" s="1"/>
  <c r="C1102" i="67"/>
  <c r="C169" i="68"/>
  <c r="C152" i="66"/>
  <c r="C160" i="65"/>
  <c r="Q66"/>
  <c r="R66" s="1"/>
  <c r="F66"/>
  <c r="F29" i="68"/>
  <c r="C186"/>
  <c r="C1119" i="67"/>
  <c r="C169" i="66"/>
  <c r="C177" i="65"/>
  <c r="C462" i="67"/>
  <c r="C44"/>
  <c r="C432"/>
  <c r="F36" i="68"/>
  <c r="L555" i="67"/>
  <c r="J555"/>
  <c r="F555"/>
  <c r="H555"/>
  <c r="F27" i="68"/>
  <c r="E35"/>
  <c r="C449" i="67"/>
  <c r="F45" i="41"/>
  <c r="F52" i="48" s="1"/>
  <c r="H61" i="68"/>
  <c r="E358" i="67"/>
  <c r="F45" i="43"/>
  <c r="B23" i="31"/>
  <c r="AA85" i="48" s="1"/>
  <c r="G57" i="66"/>
  <c r="Q57" s="1"/>
  <c r="O371" i="67"/>
  <c r="B45" i="33"/>
  <c r="F45" s="1"/>
  <c r="J52" i="48" s="1"/>
  <c r="E60" i="66"/>
  <c r="Q60" s="1"/>
  <c r="R60" s="1"/>
  <c r="B46" i="33"/>
  <c r="I53" i="48" s="1"/>
  <c r="E34" i="66"/>
  <c r="Q34" s="1"/>
  <c r="F350" i="67"/>
  <c r="O350"/>
  <c r="P350" s="1"/>
  <c r="O7"/>
  <c r="O679"/>
  <c r="F332"/>
  <c r="O332"/>
  <c r="P332" s="1"/>
  <c r="O661"/>
  <c r="F344"/>
  <c r="O344"/>
  <c r="P344" s="1"/>
  <c r="F346"/>
  <c r="O346"/>
  <c r="P346" s="1"/>
  <c r="F360"/>
  <c r="O360"/>
  <c r="P360" s="1"/>
  <c r="F362"/>
  <c r="O362"/>
  <c r="P362" s="1"/>
  <c r="O341"/>
  <c r="P341" s="1"/>
  <c r="F341"/>
  <c r="F46" i="43"/>
  <c r="Z85" i="48" s="1"/>
  <c r="Y85"/>
  <c r="C174" i="64"/>
  <c r="C141"/>
  <c r="R149"/>
  <c r="F149"/>
  <c r="L149"/>
  <c r="J149"/>
  <c r="H149"/>
  <c r="P149"/>
  <c r="N149"/>
  <c r="C145"/>
  <c r="C143"/>
  <c r="C130"/>
  <c r="C142"/>
  <c r="C121"/>
  <c r="C164"/>
  <c r="C163"/>
  <c r="R165"/>
  <c r="F165"/>
  <c r="P165"/>
  <c r="L165"/>
  <c r="J165"/>
  <c r="H165"/>
  <c r="N165"/>
  <c r="C176"/>
  <c r="J177"/>
  <c r="R177"/>
  <c r="F177"/>
  <c r="P177"/>
  <c r="N177"/>
  <c r="L177"/>
  <c r="H177"/>
  <c r="C140"/>
  <c r="P146"/>
  <c r="L146"/>
  <c r="N146"/>
  <c r="J146"/>
  <c r="H146"/>
  <c r="F146"/>
  <c r="R146"/>
  <c r="E53" i="48"/>
  <c r="F46" i="41"/>
  <c r="F53" i="48" s="1"/>
  <c r="F23" i="31"/>
  <c r="AB85" i="48" s="1"/>
  <c r="H209" i="32"/>
  <c r="H208"/>
  <c r="H207"/>
  <c r="H206"/>
  <c r="H205"/>
  <c r="H204"/>
  <c r="H7" i="73" l="1"/>
  <c r="D7"/>
  <c r="E66" i="68"/>
  <c r="F151" i="64"/>
  <c r="F157"/>
  <c r="N151"/>
  <c r="P157"/>
  <c r="L93"/>
  <c r="R129"/>
  <c r="J157"/>
  <c r="F129"/>
  <c r="L129"/>
  <c r="R151"/>
  <c r="L158"/>
  <c r="H151"/>
  <c r="J151"/>
  <c r="N158"/>
  <c r="P151"/>
  <c r="P93"/>
  <c r="F158"/>
  <c r="P158"/>
  <c r="N93"/>
  <c r="H158"/>
  <c r="F93"/>
  <c r="J93"/>
  <c r="R158"/>
  <c r="N157"/>
  <c r="L157"/>
  <c r="P129"/>
  <c r="H157"/>
  <c r="H129"/>
  <c r="C664" i="67"/>
  <c r="C159" i="68"/>
  <c r="C1092" i="67"/>
  <c r="C142" i="66"/>
  <c r="C150" i="65"/>
  <c r="C314" i="67"/>
  <c r="N129" i="64"/>
  <c r="P679" i="67"/>
  <c r="N141" i="68"/>
  <c r="L141"/>
  <c r="F141"/>
  <c r="H141"/>
  <c r="P141"/>
  <c r="J141"/>
  <c r="R141"/>
  <c r="J21" i="65"/>
  <c r="F21"/>
  <c r="H21"/>
  <c r="R153" i="68"/>
  <c r="J153"/>
  <c r="H153"/>
  <c r="L153"/>
  <c r="P153"/>
  <c r="N153"/>
  <c r="F153"/>
  <c r="J1087" i="67"/>
  <c r="N1087"/>
  <c r="F1087"/>
  <c r="P1087"/>
  <c r="H1087"/>
  <c r="L1087"/>
  <c r="H175" i="68"/>
  <c r="L175"/>
  <c r="R175"/>
  <c r="P175"/>
  <c r="J175"/>
  <c r="F175"/>
  <c r="N175"/>
  <c r="P1103" i="67"/>
  <c r="N1103"/>
  <c r="F1103"/>
  <c r="L1103"/>
  <c r="J1103"/>
  <c r="H1103"/>
  <c r="H385"/>
  <c r="F385"/>
  <c r="J385"/>
  <c r="L385"/>
  <c r="N146" i="65"/>
  <c r="L146"/>
  <c r="P146"/>
  <c r="J146"/>
  <c r="F146"/>
  <c r="H146"/>
  <c r="R146"/>
  <c r="P159" i="66"/>
  <c r="R159"/>
  <c r="H159"/>
  <c r="L159"/>
  <c r="J159"/>
  <c r="F159"/>
  <c r="N159"/>
  <c r="L154" i="65"/>
  <c r="N154"/>
  <c r="P154"/>
  <c r="J154"/>
  <c r="F154"/>
  <c r="H154"/>
  <c r="R154"/>
  <c r="C313" i="67"/>
  <c r="H47" i="66"/>
  <c r="L47"/>
  <c r="R47"/>
  <c r="J636" i="67" s="1"/>
  <c r="J47" i="66"/>
  <c r="F47"/>
  <c r="P1074" i="67"/>
  <c r="N1074"/>
  <c r="J1074"/>
  <c r="L1074"/>
  <c r="H1074"/>
  <c r="F1074"/>
  <c r="H20" i="66"/>
  <c r="J20"/>
  <c r="F20"/>
  <c r="L1086" i="67"/>
  <c r="J1086"/>
  <c r="P1086"/>
  <c r="N1086"/>
  <c r="H1086"/>
  <c r="F1086"/>
  <c r="F726"/>
  <c r="L726"/>
  <c r="H726"/>
  <c r="J726"/>
  <c r="L25"/>
  <c r="J25"/>
  <c r="F25"/>
  <c r="H25"/>
  <c r="P96" i="65"/>
  <c r="J96"/>
  <c r="L96"/>
  <c r="N96"/>
  <c r="F96"/>
  <c r="H96"/>
  <c r="F562" i="67"/>
  <c r="H562"/>
  <c r="L562"/>
  <c r="J562"/>
  <c r="P138" i="66"/>
  <c r="F138"/>
  <c r="R138"/>
  <c r="H138"/>
  <c r="L138"/>
  <c r="N138"/>
  <c r="J138"/>
  <c r="J1109" i="67"/>
  <c r="N1109"/>
  <c r="H1109"/>
  <c r="F1109"/>
  <c r="L1109"/>
  <c r="P1109"/>
  <c r="L369"/>
  <c r="F369"/>
  <c r="L146" i="66"/>
  <c r="R146"/>
  <c r="F146"/>
  <c r="P146"/>
  <c r="H146"/>
  <c r="N146"/>
  <c r="J146"/>
  <c r="D4" i="70"/>
  <c r="F4" s="1"/>
  <c r="C7" i="67"/>
  <c r="F7" s="1"/>
  <c r="L636"/>
  <c r="F636"/>
  <c r="H279"/>
  <c r="J279"/>
  <c r="L279"/>
  <c r="F279"/>
  <c r="L81" i="66"/>
  <c r="P81" s="1"/>
  <c r="R81"/>
  <c r="H81"/>
  <c r="N143" i="65"/>
  <c r="J143"/>
  <c r="L143"/>
  <c r="H143"/>
  <c r="F143"/>
  <c r="P143"/>
  <c r="R143"/>
  <c r="L671" i="67"/>
  <c r="F671"/>
  <c r="H671"/>
  <c r="J671"/>
  <c r="F35" i="68"/>
  <c r="C358" i="67"/>
  <c r="L358" s="1"/>
  <c r="R34" i="66"/>
  <c r="C884" i="67"/>
  <c r="C384"/>
  <c r="L384" s="1"/>
  <c r="J400"/>
  <c r="H400"/>
  <c r="L400"/>
  <c r="F400"/>
  <c r="H88" i="66"/>
  <c r="N88"/>
  <c r="L88"/>
  <c r="J88"/>
  <c r="F88"/>
  <c r="P88"/>
  <c r="J176" i="68"/>
  <c r="H176"/>
  <c r="N176"/>
  <c r="L176"/>
  <c r="F176"/>
  <c r="P176"/>
  <c r="R176"/>
  <c r="J1096" i="67"/>
  <c r="F1096"/>
  <c r="N1096"/>
  <c r="H1096"/>
  <c r="P1096"/>
  <c r="L1096"/>
  <c r="C387"/>
  <c r="L387" s="1"/>
  <c r="C16"/>
  <c r="C656"/>
  <c r="C260"/>
  <c r="C888"/>
  <c r="J48" i="68"/>
  <c r="H48"/>
  <c r="F48"/>
  <c r="L148" i="65"/>
  <c r="P148"/>
  <c r="N148"/>
  <c r="F148"/>
  <c r="H148"/>
  <c r="J148"/>
  <c r="R148"/>
  <c r="L359" i="67"/>
  <c r="H359"/>
  <c r="J359"/>
  <c r="F359"/>
  <c r="H95" i="65"/>
  <c r="N95"/>
  <c r="J95"/>
  <c r="L95"/>
  <c r="F95"/>
  <c r="F135" i="66"/>
  <c r="J135"/>
  <c r="P135"/>
  <c r="N135"/>
  <c r="L135"/>
  <c r="R135"/>
  <c r="H135"/>
  <c r="J885" i="67"/>
  <c r="H885"/>
  <c r="L885"/>
  <c r="F885"/>
  <c r="J712"/>
  <c r="F712"/>
  <c r="H712"/>
  <c r="L712"/>
  <c r="C386"/>
  <c r="L563"/>
  <c r="F563"/>
  <c r="J563"/>
  <c r="H563"/>
  <c r="L401"/>
  <c r="J401"/>
  <c r="F401"/>
  <c r="H401"/>
  <c r="L105" i="68"/>
  <c r="P105"/>
  <c r="J105"/>
  <c r="F105"/>
  <c r="N105"/>
  <c r="H105"/>
  <c r="H714" i="67"/>
  <c r="F714"/>
  <c r="L714"/>
  <c r="J714"/>
  <c r="H39" i="65"/>
  <c r="L39"/>
  <c r="J39"/>
  <c r="H163" i="68"/>
  <c r="R163"/>
  <c r="L163"/>
  <c r="J163"/>
  <c r="P163"/>
  <c r="N163"/>
  <c r="F163"/>
  <c r="C122" i="64"/>
  <c r="C707" i="67"/>
  <c r="C280"/>
  <c r="C887"/>
  <c r="F931"/>
  <c r="J931"/>
  <c r="L931"/>
  <c r="H931"/>
  <c r="F140" i="66"/>
  <c r="J140"/>
  <c r="L140"/>
  <c r="P140"/>
  <c r="H140"/>
  <c r="R140"/>
  <c r="N140"/>
  <c r="H152" i="65"/>
  <c r="F152"/>
  <c r="P152"/>
  <c r="J152"/>
  <c r="N152"/>
  <c r="R152"/>
  <c r="L152"/>
  <c r="N87" i="66"/>
  <c r="L87"/>
  <c r="J87"/>
  <c r="H87"/>
  <c r="F87"/>
  <c r="N1085" i="67"/>
  <c r="H1085"/>
  <c r="P1085"/>
  <c r="F1085"/>
  <c r="J1085"/>
  <c r="L1085"/>
  <c r="L312"/>
  <c r="J312"/>
  <c r="H312"/>
  <c r="F312"/>
  <c r="C908"/>
  <c r="L908" s="1"/>
  <c r="C1075"/>
  <c r="C142" i="68"/>
  <c r="C125" i="66"/>
  <c r="C133" i="65"/>
  <c r="F61" i="68"/>
  <c r="N1038" i="67"/>
  <c r="C838"/>
  <c r="L1038"/>
  <c r="J1038"/>
  <c r="F1038"/>
  <c r="H1038"/>
  <c r="L356"/>
  <c r="J356"/>
  <c r="F356"/>
  <c r="H356"/>
  <c r="F155" i="68"/>
  <c r="N155"/>
  <c r="J155"/>
  <c r="P155"/>
  <c r="H155"/>
  <c r="R155"/>
  <c r="L155"/>
  <c r="H669" i="67"/>
  <c r="C666"/>
  <c r="C274"/>
  <c r="C154" i="64"/>
  <c r="R154" s="1"/>
  <c r="C1099" i="67"/>
  <c r="C166" i="68"/>
  <c r="C149" i="66"/>
  <c r="C157" i="65"/>
  <c r="C830" i="67"/>
  <c r="C880"/>
  <c r="J308"/>
  <c r="L308"/>
  <c r="F308"/>
  <c r="H308"/>
  <c r="J157" i="68"/>
  <c r="F157"/>
  <c r="L157"/>
  <c r="P157"/>
  <c r="N157"/>
  <c r="H157"/>
  <c r="R157"/>
  <c r="F144" i="66"/>
  <c r="J144"/>
  <c r="N144"/>
  <c r="L144"/>
  <c r="P144"/>
  <c r="H144"/>
  <c r="R144"/>
  <c r="J1037" i="67"/>
  <c r="C837"/>
  <c r="L1037"/>
  <c r="H1037"/>
  <c r="F1037"/>
  <c r="N1037"/>
  <c r="J152" i="68"/>
  <c r="N152"/>
  <c r="L152"/>
  <c r="R152"/>
  <c r="F152"/>
  <c r="P152"/>
  <c r="H152"/>
  <c r="L835" i="67"/>
  <c r="F835"/>
  <c r="J835"/>
  <c r="H835"/>
  <c r="P145" i="65"/>
  <c r="J145"/>
  <c r="N145"/>
  <c r="H145"/>
  <c r="F145"/>
  <c r="L145"/>
  <c r="R145"/>
  <c r="J415" i="67"/>
  <c r="L415"/>
  <c r="H415"/>
  <c r="F415"/>
  <c r="L61" i="65"/>
  <c r="J61"/>
  <c r="H61"/>
  <c r="F61"/>
  <c r="R61"/>
  <c r="H679" i="67" s="1"/>
  <c r="L60" i="65"/>
  <c r="H60"/>
  <c r="J60"/>
  <c r="L166"/>
  <c r="P166"/>
  <c r="J166"/>
  <c r="H166"/>
  <c r="F166"/>
  <c r="N166"/>
  <c r="R166"/>
  <c r="L161"/>
  <c r="J161"/>
  <c r="P161"/>
  <c r="F161"/>
  <c r="H161"/>
  <c r="N161"/>
  <c r="R161"/>
  <c r="L881" i="67"/>
  <c r="J881"/>
  <c r="H881"/>
  <c r="F881"/>
  <c r="H715"/>
  <c r="L715"/>
  <c r="F715"/>
  <c r="J715"/>
  <c r="J669"/>
  <c r="C1066"/>
  <c r="C133" i="68"/>
  <c r="C719" i="67"/>
  <c r="C116" i="66"/>
  <c r="C124" i="65"/>
  <c r="N132"/>
  <c r="P132"/>
  <c r="L132"/>
  <c r="J132"/>
  <c r="H132"/>
  <c r="F132"/>
  <c r="R132"/>
  <c r="N1090" i="67"/>
  <c r="H1090"/>
  <c r="L1090"/>
  <c r="F1090"/>
  <c r="J1090"/>
  <c r="P1090"/>
  <c r="H1094"/>
  <c r="J1094"/>
  <c r="F1094"/>
  <c r="P1094"/>
  <c r="N1094"/>
  <c r="L1094"/>
  <c r="L414"/>
  <c r="F414"/>
  <c r="H414"/>
  <c r="J414"/>
  <c r="L144" i="65"/>
  <c r="P144"/>
  <c r="F144"/>
  <c r="H144"/>
  <c r="J144"/>
  <c r="N144"/>
  <c r="R144"/>
  <c r="H273" i="67"/>
  <c r="L273"/>
  <c r="F273"/>
  <c r="J273"/>
  <c r="N137" i="66"/>
  <c r="F137"/>
  <c r="H137"/>
  <c r="J137"/>
  <c r="P137"/>
  <c r="L137"/>
  <c r="R137"/>
  <c r="N158"/>
  <c r="L158"/>
  <c r="F158"/>
  <c r="R158"/>
  <c r="P158"/>
  <c r="H158"/>
  <c r="J158"/>
  <c r="N153"/>
  <c r="J153"/>
  <c r="H153"/>
  <c r="L153"/>
  <c r="F153"/>
  <c r="P153"/>
  <c r="R153"/>
  <c r="L31" i="67"/>
  <c r="J31"/>
  <c r="H31"/>
  <c r="F31"/>
  <c r="N1088"/>
  <c r="P1088"/>
  <c r="F1088"/>
  <c r="H1088"/>
  <c r="J1088"/>
  <c r="L1088"/>
  <c r="L36" i="66"/>
  <c r="R36"/>
  <c r="J369" i="67" s="1"/>
  <c r="J36" i="66"/>
  <c r="H36"/>
  <c r="F36"/>
  <c r="H916" i="67"/>
  <c r="L916"/>
  <c r="J916"/>
  <c r="F916"/>
  <c r="C713"/>
  <c r="C135" i="68"/>
  <c r="C611" i="67"/>
  <c r="C1068"/>
  <c r="C118" i="66"/>
  <c r="C126" i="65"/>
  <c r="C156" i="68"/>
  <c r="C1089" i="67"/>
  <c r="C139" i="66"/>
  <c r="C147" i="65"/>
  <c r="F679" i="67"/>
  <c r="H636"/>
  <c r="H124" i="66"/>
  <c r="P124"/>
  <c r="J124"/>
  <c r="R124"/>
  <c r="F124"/>
  <c r="N124"/>
  <c r="L124"/>
  <c r="N161" i="68"/>
  <c r="H161"/>
  <c r="P161"/>
  <c r="F161"/>
  <c r="L161"/>
  <c r="J161"/>
  <c r="R161"/>
  <c r="H833" i="67"/>
  <c r="F833"/>
  <c r="L833"/>
  <c r="J833"/>
  <c r="P136" i="66"/>
  <c r="H136"/>
  <c r="F136"/>
  <c r="N136"/>
  <c r="L136"/>
  <c r="J136"/>
  <c r="R136"/>
  <c r="J154" i="68"/>
  <c r="H154"/>
  <c r="P154"/>
  <c r="N154"/>
  <c r="F154"/>
  <c r="L154"/>
  <c r="R154"/>
  <c r="H12" i="65"/>
  <c r="R12"/>
  <c r="L12"/>
  <c r="J12"/>
  <c r="F12"/>
  <c r="L55" i="66"/>
  <c r="J55"/>
  <c r="H55"/>
  <c r="F55"/>
  <c r="R55"/>
  <c r="J679" i="67" s="1"/>
  <c r="L54" i="66"/>
  <c r="J54"/>
  <c r="H54"/>
  <c r="N1108" i="67"/>
  <c r="J1108"/>
  <c r="F1108"/>
  <c r="L1108"/>
  <c r="H1108"/>
  <c r="P1108"/>
  <c r="H170" i="68"/>
  <c r="P170"/>
  <c r="J170"/>
  <c r="R170"/>
  <c r="F170"/>
  <c r="L170"/>
  <c r="N170"/>
  <c r="J665" i="67"/>
  <c r="H665"/>
  <c r="F665"/>
  <c r="L665"/>
  <c r="N167" i="65"/>
  <c r="H167"/>
  <c r="J167"/>
  <c r="F167"/>
  <c r="L167"/>
  <c r="P167"/>
  <c r="R167"/>
  <c r="F847" i="67"/>
  <c r="L847"/>
  <c r="J847"/>
  <c r="H847"/>
  <c r="C52"/>
  <c r="L1119"/>
  <c r="P1119"/>
  <c r="J1119"/>
  <c r="F1119"/>
  <c r="H1119"/>
  <c r="N1119"/>
  <c r="C1120"/>
  <c r="L152" i="66"/>
  <c r="N152"/>
  <c r="H152"/>
  <c r="P152"/>
  <c r="F152"/>
  <c r="J152"/>
  <c r="R152"/>
  <c r="C340" i="67"/>
  <c r="C554"/>
  <c r="C667"/>
  <c r="C364"/>
  <c r="C460"/>
  <c r="C557"/>
  <c r="H44"/>
  <c r="J44"/>
  <c r="F44"/>
  <c r="L44"/>
  <c r="L462"/>
  <c r="J462"/>
  <c r="F462"/>
  <c r="H462"/>
  <c r="N169" i="66"/>
  <c r="F169"/>
  <c r="H169"/>
  <c r="L169"/>
  <c r="P169"/>
  <c r="C170"/>
  <c r="J169"/>
  <c r="R169"/>
  <c r="L160" i="65"/>
  <c r="F160"/>
  <c r="H160"/>
  <c r="N160"/>
  <c r="P160"/>
  <c r="R160"/>
  <c r="J160"/>
  <c r="J42" i="67"/>
  <c r="H42"/>
  <c r="L42"/>
  <c r="F42"/>
  <c r="N188" i="68"/>
  <c r="P188"/>
  <c r="H188"/>
  <c r="F188"/>
  <c r="J188"/>
  <c r="L188"/>
  <c r="R188"/>
  <c r="N1121" i="67"/>
  <c r="P1121"/>
  <c r="L1121"/>
  <c r="F1121"/>
  <c r="H1121"/>
  <c r="J1121"/>
  <c r="C436"/>
  <c r="C162" i="64"/>
  <c r="R162" s="1"/>
  <c r="C1107" i="67"/>
  <c r="C174" i="68"/>
  <c r="C157" i="66"/>
  <c r="C165" i="65"/>
  <c r="H177"/>
  <c r="F177"/>
  <c r="P177"/>
  <c r="R177"/>
  <c r="J177"/>
  <c r="L177"/>
  <c r="C178"/>
  <c r="N177"/>
  <c r="L1102" i="67"/>
  <c r="N1102"/>
  <c r="F1102"/>
  <c r="H1102"/>
  <c r="J1102"/>
  <c r="P1102"/>
  <c r="F171" i="66"/>
  <c r="N171"/>
  <c r="J171"/>
  <c r="L171"/>
  <c r="H171"/>
  <c r="R171"/>
  <c r="P171"/>
  <c r="C43" i="67"/>
  <c r="C439"/>
  <c r="C46"/>
  <c r="C45"/>
  <c r="C448"/>
  <c r="C429"/>
  <c r="C688"/>
  <c r="F449"/>
  <c r="J449"/>
  <c r="H449"/>
  <c r="L449"/>
  <c r="L432"/>
  <c r="H432"/>
  <c r="F432"/>
  <c r="J432"/>
  <c r="P186" i="68"/>
  <c r="R186"/>
  <c r="L186"/>
  <c r="N186"/>
  <c r="F186"/>
  <c r="J186"/>
  <c r="C187"/>
  <c r="H186"/>
  <c r="N169"/>
  <c r="J169"/>
  <c r="F169"/>
  <c r="R169"/>
  <c r="H169"/>
  <c r="L169"/>
  <c r="P169"/>
  <c r="N179" i="65"/>
  <c r="F179"/>
  <c r="P179"/>
  <c r="H179"/>
  <c r="L179"/>
  <c r="J179"/>
  <c r="R179"/>
  <c r="F46" i="33"/>
  <c r="J53" i="48" s="1"/>
  <c r="I52"/>
  <c r="F34" i="66"/>
  <c r="F60"/>
  <c r="G708" i="67"/>
  <c r="G66" i="68"/>
  <c r="H708" i="67"/>
  <c r="E708"/>
  <c r="C123" i="64"/>
  <c r="C147"/>
  <c r="C144"/>
  <c r="F174"/>
  <c r="P174"/>
  <c r="N174"/>
  <c r="L174"/>
  <c r="C175"/>
  <c r="J174"/>
  <c r="H174"/>
  <c r="R174"/>
  <c r="N176"/>
  <c r="J176"/>
  <c r="H176"/>
  <c r="F176"/>
  <c r="L176"/>
  <c r="P176"/>
  <c r="R176"/>
  <c r="J164"/>
  <c r="H164"/>
  <c r="F164"/>
  <c r="N164"/>
  <c r="L164"/>
  <c r="P164"/>
  <c r="R164"/>
  <c r="N143"/>
  <c r="L143"/>
  <c r="H143"/>
  <c r="J143"/>
  <c r="F143"/>
  <c r="P143"/>
  <c r="R143"/>
  <c r="N130"/>
  <c r="L130"/>
  <c r="H130"/>
  <c r="J130"/>
  <c r="F130"/>
  <c r="P130"/>
  <c r="R130"/>
  <c r="L121"/>
  <c r="J121"/>
  <c r="H121"/>
  <c r="R121"/>
  <c r="F121"/>
  <c r="P121"/>
  <c r="N121"/>
  <c r="L142"/>
  <c r="J142"/>
  <c r="H142"/>
  <c r="F142"/>
  <c r="N142"/>
  <c r="P142"/>
  <c r="R142"/>
  <c r="R145"/>
  <c r="F145"/>
  <c r="P145"/>
  <c r="N145"/>
  <c r="L145"/>
  <c r="J145"/>
  <c r="H145"/>
  <c r="F141"/>
  <c r="L141"/>
  <c r="J141"/>
  <c r="H141"/>
  <c r="P141"/>
  <c r="N141"/>
  <c r="R141"/>
  <c r="J140"/>
  <c r="H140"/>
  <c r="F140"/>
  <c r="N140"/>
  <c r="L140"/>
  <c r="P140"/>
  <c r="R140"/>
  <c r="N163"/>
  <c r="L163"/>
  <c r="H163"/>
  <c r="P163"/>
  <c r="J163"/>
  <c r="F163"/>
  <c r="R163"/>
  <c r="AH90" i="48"/>
  <c r="A1"/>
  <c r="F66" i="68" l="1"/>
  <c r="P60" i="65"/>
  <c r="H162" i="64"/>
  <c r="P154"/>
  <c r="F154"/>
  <c r="F162"/>
  <c r="F358" i="67"/>
  <c r="P36" i="66"/>
  <c r="P55"/>
  <c r="P47"/>
  <c r="P54"/>
  <c r="P12" i="65"/>
  <c r="C188" i="64"/>
  <c r="P188" s="1"/>
  <c r="C200" i="68"/>
  <c r="C1133" i="67"/>
  <c r="C183" i="66"/>
  <c r="C191" i="65"/>
  <c r="C742" i="67"/>
  <c r="C397"/>
  <c r="C812"/>
  <c r="F118" i="66"/>
  <c r="L118"/>
  <c r="N118"/>
  <c r="H118"/>
  <c r="J118"/>
  <c r="R118"/>
  <c r="P118"/>
  <c r="J162" i="64"/>
  <c r="C125"/>
  <c r="J125" s="1"/>
  <c r="C137" i="68"/>
  <c r="C1070" i="67"/>
  <c r="C120" i="66"/>
  <c r="C128" i="65"/>
  <c r="C657" i="67"/>
  <c r="C261"/>
  <c r="H154" i="64"/>
  <c r="C124"/>
  <c r="J124" s="1"/>
  <c r="C136" i="68"/>
  <c r="C1069" i="67"/>
  <c r="C119" i="66"/>
  <c r="C127" i="65"/>
  <c r="C355" i="67"/>
  <c r="C398"/>
  <c r="C10"/>
  <c r="N147" i="65"/>
  <c r="L147"/>
  <c r="J147"/>
  <c r="H147"/>
  <c r="P147"/>
  <c r="F147"/>
  <c r="R147"/>
  <c r="J124"/>
  <c r="L124"/>
  <c r="N124"/>
  <c r="R124"/>
  <c r="P124"/>
  <c r="H124"/>
  <c r="F124"/>
  <c r="P61"/>
  <c r="F837" i="67"/>
  <c r="H837"/>
  <c r="L837"/>
  <c r="J837"/>
  <c r="J830"/>
  <c r="F830"/>
  <c r="L830"/>
  <c r="H830"/>
  <c r="P1075"/>
  <c r="F1075"/>
  <c r="J1075"/>
  <c r="N1075"/>
  <c r="L1075"/>
  <c r="H1075"/>
  <c r="L280"/>
  <c r="J280"/>
  <c r="F280"/>
  <c r="H280"/>
  <c r="L888"/>
  <c r="J888"/>
  <c r="H888"/>
  <c r="F888"/>
  <c r="J40" i="66"/>
  <c r="H40"/>
  <c r="L40"/>
  <c r="C862" i="67"/>
  <c r="F1092"/>
  <c r="P1092"/>
  <c r="L1092"/>
  <c r="J1092"/>
  <c r="N1092"/>
  <c r="H1092"/>
  <c r="C851"/>
  <c r="L851" s="1"/>
  <c r="D5" i="70"/>
  <c r="F5" s="1"/>
  <c r="C19" i="67"/>
  <c r="N162" i="64"/>
  <c r="C718" i="67"/>
  <c r="C452"/>
  <c r="J154" i="64"/>
  <c r="C911" i="67"/>
  <c r="C160" i="68"/>
  <c r="C1093" i="67"/>
  <c r="C143" i="66"/>
  <c r="C151" i="65"/>
  <c r="C8" i="67"/>
  <c r="L139" i="66"/>
  <c r="H139"/>
  <c r="R139"/>
  <c r="J139"/>
  <c r="F139"/>
  <c r="P139"/>
  <c r="N139"/>
  <c r="N1068" i="67"/>
  <c r="P1068"/>
  <c r="F1068"/>
  <c r="J1068"/>
  <c r="H1068"/>
  <c r="L1068"/>
  <c r="J713"/>
  <c r="L713"/>
  <c r="F713"/>
  <c r="H713"/>
  <c r="L838"/>
  <c r="F838"/>
  <c r="J838"/>
  <c r="H838"/>
  <c r="F656"/>
  <c r="H656"/>
  <c r="J656"/>
  <c r="L656"/>
  <c r="J39" i="66"/>
  <c r="L39"/>
  <c r="H39"/>
  <c r="F159" i="68"/>
  <c r="N159"/>
  <c r="P159"/>
  <c r="H159"/>
  <c r="L159"/>
  <c r="R159"/>
  <c r="J159"/>
  <c r="C127" i="64"/>
  <c r="H127" s="1"/>
  <c r="C139" i="68"/>
  <c r="C1072" i="67"/>
  <c r="C122" i="66"/>
  <c r="C130" i="65"/>
  <c r="C852" i="67"/>
  <c r="L852" s="1"/>
  <c r="L162" i="64"/>
  <c r="N154"/>
  <c r="C590" i="67"/>
  <c r="C912"/>
  <c r="C94" i="64"/>
  <c r="F94" s="1"/>
  <c r="C106" i="68"/>
  <c r="C1039" i="67"/>
  <c r="C89" i="66"/>
  <c r="C97" i="65"/>
  <c r="C162" i="68"/>
  <c r="C1095" i="67"/>
  <c r="C145" i="66"/>
  <c r="C153" i="65"/>
  <c r="C181" i="64"/>
  <c r="R181" s="1"/>
  <c r="C193" i="68"/>
  <c r="C1126" i="67"/>
  <c r="C176" i="66"/>
  <c r="C184" i="65"/>
  <c r="C383" i="67"/>
  <c r="L383" s="1"/>
  <c r="C883"/>
  <c r="H1089"/>
  <c r="N1089"/>
  <c r="J1089"/>
  <c r="F1089"/>
  <c r="L1089"/>
  <c r="P1089"/>
  <c r="H611"/>
  <c r="F611"/>
  <c r="L611"/>
  <c r="J611"/>
  <c r="F116" i="66"/>
  <c r="H116"/>
  <c r="P116"/>
  <c r="N116"/>
  <c r="L116"/>
  <c r="J116"/>
  <c r="R116"/>
  <c r="P157" i="65"/>
  <c r="N157"/>
  <c r="R157"/>
  <c r="L157"/>
  <c r="J157"/>
  <c r="H157"/>
  <c r="F157"/>
  <c r="F274" i="67"/>
  <c r="L274"/>
  <c r="J274"/>
  <c r="H274"/>
  <c r="J386"/>
  <c r="L386"/>
  <c r="F386"/>
  <c r="H386"/>
  <c r="P7"/>
  <c r="C711"/>
  <c r="C845"/>
  <c r="C645"/>
  <c r="C255"/>
  <c r="R142" i="68"/>
  <c r="L142"/>
  <c r="P142"/>
  <c r="J142"/>
  <c r="F142"/>
  <c r="N142"/>
  <c r="H142"/>
  <c r="P162" i="64"/>
  <c r="L154"/>
  <c r="C281" i="67"/>
  <c r="N156" i="68"/>
  <c r="F156"/>
  <c r="J156"/>
  <c r="L156"/>
  <c r="H156"/>
  <c r="P156"/>
  <c r="R156"/>
  <c r="N135"/>
  <c r="R135"/>
  <c r="P135"/>
  <c r="L135"/>
  <c r="J135"/>
  <c r="H135"/>
  <c r="F135"/>
  <c r="J719" i="67"/>
  <c r="L719"/>
  <c r="H719"/>
  <c r="F719"/>
  <c r="N149" i="66"/>
  <c r="F149"/>
  <c r="H149"/>
  <c r="J149"/>
  <c r="L149"/>
  <c r="P149"/>
  <c r="R149"/>
  <c r="L887" i="67"/>
  <c r="J887"/>
  <c r="H887"/>
  <c r="F887"/>
  <c r="P39" i="65"/>
  <c r="J35"/>
  <c r="H35"/>
  <c r="F35"/>
  <c r="L35"/>
  <c r="R35"/>
  <c r="H358" i="67" s="1"/>
  <c r="H313"/>
  <c r="J313"/>
  <c r="F313"/>
  <c r="L313"/>
  <c r="L314"/>
  <c r="J314"/>
  <c r="H314"/>
  <c r="F314"/>
  <c r="C844"/>
  <c r="C651"/>
  <c r="C673"/>
  <c r="C650"/>
  <c r="F133" i="68"/>
  <c r="R133"/>
  <c r="P133"/>
  <c r="H133"/>
  <c r="N133"/>
  <c r="J133"/>
  <c r="L133"/>
  <c r="L880" i="67"/>
  <c r="H880"/>
  <c r="F880"/>
  <c r="J880"/>
  <c r="H166" i="68"/>
  <c r="R166"/>
  <c r="P166"/>
  <c r="J166"/>
  <c r="F166"/>
  <c r="N166"/>
  <c r="L166"/>
  <c r="H707" i="67"/>
  <c r="F707"/>
  <c r="J707"/>
  <c r="L707"/>
  <c r="L884"/>
  <c r="F884"/>
  <c r="J884"/>
  <c r="H884"/>
  <c r="J34" i="66"/>
  <c r="H34"/>
  <c r="L34"/>
  <c r="F7" i="65"/>
  <c r="R7"/>
  <c r="H7"/>
  <c r="C126" i="64"/>
  <c r="N126" s="1"/>
  <c r="C138" i="68"/>
  <c r="C1071" i="67"/>
  <c r="C121" i="66"/>
  <c r="C129" i="65"/>
  <c r="C17" i="67"/>
  <c r="C861"/>
  <c r="C167" i="68"/>
  <c r="C1100" i="67"/>
  <c r="C695"/>
  <c r="L695" s="1"/>
  <c r="C150" i="66"/>
  <c r="C158" i="65"/>
  <c r="C393" i="67"/>
  <c r="C187" i="64"/>
  <c r="N187" s="1"/>
  <c r="C199" i="68"/>
  <c r="C1132" i="67"/>
  <c r="C182" i="66"/>
  <c r="C190" i="65"/>
  <c r="C275" i="67"/>
  <c r="F126" i="65"/>
  <c r="P126"/>
  <c r="H126"/>
  <c r="N126"/>
  <c r="J126"/>
  <c r="L126"/>
  <c r="R126"/>
  <c r="C831" i="67"/>
  <c r="C723"/>
  <c r="J1099"/>
  <c r="L1099"/>
  <c r="F1099"/>
  <c r="H1099"/>
  <c r="N1099"/>
  <c r="P1099"/>
  <c r="R133" i="65"/>
  <c r="P133"/>
  <c r="F133"/>
  <c r="H133"/>
  <c r="N133"/>
  <c r="L133"/>
  <c r="J133"/>
  <c r="F76"/>
  <c r="L76"/>
  <c r="J76"/>
  <c r="H16" i="67"/>
  <c r="F16"/>
  <c r="F7" i="66"/>
  <c r="H7"/>
  <c r="R7"/>
  <c r="F664" i="67"/>
  <c r="J664"/>
  <c r="L664"/>
  <c r="H664"/>
  <c r="C13"/>
  <c r="L1066"/>
  <c r="N1066"/>
  <c r="J1066"/>
  <c r="F1066"/>
  <c r="H1066"/>
  <c r="P1066"/>
  <c r="F666"/>
  <c r="J666"/>
  <c r="L666"/>
  <c r="H666"/>
  <c r="P125" i="66"/>
  <c r="N125"/>
  <c r="L125"/>
  <c r="J125"/>
  <c r="H125"/>
  <c r="F125"/>
  <c r="R125"/>
  <c r="F70"/>
  <c r="L70"/>
  <c r="J70"/>
  <c r="C134" i="68"/>
  <c r="C612" i="67"/>
  <c r="C1067"/>
  <c r="C117" i="66"/>
  <c r="C125" i="65"/>
  <c r="J260" i="67"/>
  <c r="L260"/>
  <c r="H260"/>
  <c r="F260"/>
  <c r="H35" i="68"/>
  <c r="N7"/>
  <c r="N104" s="1"/>
  <c r="J7"/>
  <c r="H7"/>
  <c r="F7"/>
  <c r="R7"/>
  <c r="L150" i="65"/>
  <c r="N150"/>
  <c r="H150"/>
  <c r="F150"/>
  <c r="P150"/>
  <c r="J150"/>
  <c r="R150"/>
  <c r="H44"/>
  <c r="L44"/>
  <c r="J44"/>
  <c r="L43"/>
  <c r="H43"/>
  <c r="J43"/>
  <c r="C644" i="67"/>
  <c r="C254"/>
  <c r="L142" i="66"/>
  <c r="F142"/>
  <c r="H142"/>
  <c r="P142"/>
  <c r="N142"/>
  <c r="J142"/>
  <c r="R142"/>
  <c r="C846" i="67"/>
  <c r="L439"/>
  <c r="H439"/>
  <c r="J439"/>
  <c r="F439"/>
  <c r="L667"/>
  <c r="F667"/>
  <c r="J667"/>
  <c r="H667"/>
  <c r="C438"/>
  <c r="C378"/>
  <c r="C698"/>
  <c r="J187" i="68"/>
  <c r="N187"/>
  <c r="R187"/>
  <c r="H187"/>
  <c r="F187"/>
  <c r="P187"/>
  <c r="L187"/>
  <c r="H45" i="67"/>
  <c r="F45"/>
  <c r="J45"/>
  <c r="L45"/>
  <c r="P178" i="65"/>
  <c r="H178"/>
  <c r="J178"/>
  <c r="L178"/>
  <c r="R178"/>
  <c r="F178"/>
  <c r="N178"/>
  <c r="N157" i="66"/>
  <c r="F157"/>
  <c r="J157"/>
  <c r="H157"/>
  <c r="L157"/>
  <c r="P157"/>
  <c r="R157"/>
  <c r="H557" i="67"/>
  <c r="F557"/>
  <c r="J557"/>
  <c r="L557"/>
  <c r="J364"/>
  <c r="H364"/>
  <c r="L364"/>
  <c r="F364"/>
  <c r="J1120"/>
  <c r="F1120"/>
  <c r="L1120"/>
  <c r="H1120"/>
  <c r="N1120"/>
  <c r="P1120"/>
  <c r="C339"/>
  <c r="C53"/>
  <c r="C879"/>
  <c r="F688"/>
  <c r="J688"/>
  <c r="H688"/>
  <c r="L688"/>
  <c r="R174" i="68"/>
  <c r="P174"/>
  <c r="H174"/>
  <c r="J174"/>
  <c r="F174"/>
  <c r="N174"/>
  <c r="L174"/>
  <c r="J460" i="67"/>
  <c r="L460"/>
  <c r="H460"/>
  <c r="F460"/>
  <c r="C292"/>
  <c r="C365"/>
  <c r="C411"/>
  <c r="H429"/>
  <c r="J429"/>
  <c r="F429"/>
  <c r="L429"/>
  <c r="L448"/>
  <c r="F448"/>
  <c r="H448"/>
  <c r="J448"/>
  <c r="P165" i="65"/>
  <c r="J165"/>
  <c r="R165"/>
  <c r="L165"/>
  <c r="H165"/>
  <c r="N165"/>
  <c r="F165"/>
  <c r="F554" i="67"/>
  <c r="J554"/>
  <c r="H554"/>
  <c r="L554"/>
  <c r="L340"/>
  <c r="J340"/>
  <c r="H340"/>
  <c r="F340"/>
  <c r="L52"/>
  <c r="F52"/>
  <c r="J52"/>
  <c r="H52"/>
  <c r="C705"/>
  <c r="C461"/>
  <c r="C170" i="64"/>
  <c r="P170" s="1"/>
  <c r="C1115" i="67"/>
  <c r="C182" i="68"/>
  <c r="C165" i="66"/>
  <c r="C173" i="65"/>
  <c r="C371" i="67"/>
  <c r="C668"/>
  <c r="C367"/>
  <c r="C133" i="64"/>
  <c r="L133" s="1"/>
  <c r="C145" i="68"/>
  <c r="C1078" i="67"/>
  <c r="C128" i="66"/>
  <c r="C136" i="65"/>
  <c r="C41" i="67"/>
  <c r="F46"/>
  <c r="J46"/>
  <c r="L46"/>
  <c r="H46"/>
  <c r="H43"/>
  <c r="J43"/>
  <c r="L43"/>
  <c r="F43"/>
  <c r="L1107"/>
  <c r="P1107"/>
  <c r="J1107"/>
  <c r="H1107"/>
  <c r="F1107"/>
  <c r="N1107"/>
  <c r="L436"/>
  <c r="F436"/>
  <c r="H436"/>
  <c r="J436"/>
  <c r="L170" i="66"/>
  <c r="P170"/>
  <c r="R170"/>
  <c r="J170"/>
  <c r="F170"/>
  <c r="H170"/>
  <c r="N170"/>
  <c r="H66" i="68"/>
  <c r="I692" i="67"/>
  <c r="O692" s="1"/>
  <c r="I63" i="68"/>
  <c r="Q63" s="1"/>
  <c r="R63" s="1"/>
  <c r="J708" i="67"/>
  <c r="I66" i="68"/>
  <c r="J66" s="1"/>
  <c r="I708" i="67"/>
  <c r="O708" s="1"/>
  <c r="P708" s="1"/>
  <c r="J358"/>
  <c r="I358"/>
  <c r="O358" s="1"/>
  <c r="P358" s="1"/>
  <c r="I35" i="68"/>
  <c r="Q35" s="1"/>
  <c r="R35" s="1"/>
  <c r="F708" i="67"/>
  <c r="H7" i="64"/>
  <c r="F7"/>
  <c r="N175"/>
  <c r="L175"/>
  <c r="J175"/>
  <c r="H175"/>
  <c r="F175"/>
  <c r="P175"/>
  <c r="R175"/>
  <c r="N147"/>
  <c r="L147"/>
  <c r="H147"/>
  <c r="P147"/>
  <c r="J147"/>
  <c r="F147"/>
  <c r="R147"/>
  <c r="H122"/>
  <c r="F122"/>
  <c r="P122"/>
  <c r="L122"/>
  <c r="N122"/>
  <c r="J122"/>
  <c r="R122"/>
  <c r="R7"/>
  <c r="C148"/>
  <c r="J144"/>
  <c r="H144"/>
  <c r="N144"/>
  <c r="L144"/>
  <c r="F144"/>
  <c r="R144"/>
  <c r="P144"/>
  <c r="C150"/>
  <c r="P123"/>
  <c r="N123"/>
  <c r="L123"/>
  <c r="H123"/>
  <c r="R123"/>
  <c r="J123"/>
  <c r="F123"/>
  <c r="C155"/>
  <c r="AH54" i="48"/>
  <c r="AH56"/>
  <c r="AH57"/>
  <c r="AH58"/>
  <c r="AH64"/>
  <c r="AH65"/>
  <c r="AH66"/>
  <c r="AH67"/>
  <c r="AH68"/>
  <c r="AH69"/>
  <c r="AH70"/>
  <c r="AH71"/>
  <c r="AH72"/>
  <c r="AH73"/>
  <c r="AH74"/>
  <c r="AH75"/>
  <c r="AH76"/>
  <c r="AH77"/>
  <c r="AH78"/>
  <c r="AH79"/>
  <c r="AH80"/>
  <c r="AG54"/>
  <c r="AG56"/>
  <c r="AG57"/>
  <c r="AG58"/>
  <c r="AG64"/>
  <c r="AG65"/>
  <c r="AG66"/>
  <c r="AG67"/>
  <c r="AG68"/>
  <c r="AG69"/>
  <c r="AG70"/>
  <c r="AG71"/>
  <c r="AG72"/>
  <c r="AG73"/>
  <c r="AG74"/>
  <c r="AG75"/>
  <c r="AG76"/>
  <c r="AG77"/>
  <c r="AG78"/>
  <c r="AG79"/>
  <c r="AG80"/>
  <c r="AD82"/>
  <c r="AH82" s="1"/>
  <c r="AD83"/>
  <c r="AH83" s="1"/>
  <c r="AD84"/>
  <c r="AH84" s="1"/>
  <c r="AD81"/>
  <c r="AH81" s="1"/>
  <c r="AC81"/>
  <c r="AG81" s="1"/>
  <c r="B63"/>
  <c r="B62"/>
  <c r="AD60"/>
  <c r="AH60" s="1"/>
  <c r="B17" i="56"/>
  <c r="B59" i="48" s="1"/>
  <c r="B18" i="56"/>
  <c r="B60" i="48" s="1"/>
  <c r="B58"/>
  <c r="B61"/>
  <c r="B19"/>
  <c r="AC55"/>
  <c r="AG55" s="1"/>
  <c r="B54"/>
  <c r="B21" i="56"/>
  <c r="B81" i="48" s="1"/>
  <c r="H7" i="67" l="1"/>
  <c r="J7"/>
  <c r="Q66" i="68"/>
  <c r="R66" s="1"/>
  <c r="F8" i="73"/>
  <c r="H8"/>
  <c r="I8" s="1"/>
  <c r="N94" i="64"/>
  <c r="P124"/>
  <c r="F188"/>
  <c r="L125"/>
  <c r="N127"/>
  <c r="P125"/>
  <c r="J127"/>
  <c r="R126"/>
  <c r="H188"/>
  <c r="L181"/>
  <c r="L124"/>
  <c r="R188"/>
  <c r="P181"/>
  <c r="R124"/>
  <c r="N124"/>
  <c r="L188"/>
  <c r="J181"/>
  <c r="R127"/>
  <c r="H187"/>
  <c r="F127"/>
  <c r="F126"/>
  <c r="H124"/>
  <c r="N188"/>
  <c r="J188"/>
  <c r="N181"/>
  <c r="F181"/>
  <c r="F124"/>
  <c r="H181"/>
  <c r="L187"/>
  <c r="J126"/>
  <c r="P187"/>
  <c r="L126"/>
  <c r="P94"/>
  <c r="J133"/>
  <c r="R94"/>
  <c r="L94"/>
  <c r="H94"/>
  <c r="P133"/>
  <c r="N133"/>
  <c r="J94"/>
  <c r="L127"/>
  <c r="R187"/>
  <c r="J187"/>
  <c r="P126"/>
  <c r="H126"/>
  <c r="P127"/>
  <c r="F187"/>
  <c r="H133"/>
  <c r="F133"/>
  <c r="R133"/>
  <c r="R170"/>
  <c r="F125"/>
  <c r="N170"/>
  <c r="R125"/>
  <c r="H125"/>
  <c r="N125"/>
  <c r="P70" i="66"/>
  <c r="P35" i="65"/>
  <c r="P43"/>
  <c r="C652" i="67"/>
  <c r="C444"/>
  <c r="L254"/>
  <c r="H254"/>
  <c r="F254"/>
  <c r="J254"/>
  <c r="P44" i="65"/>
  <c r="H723" i="67"/>
  <c r="L723"/>
  <c r="J723"/>
  <c r="F723"/>
  <c r="F1132"/>
  <c r="N1132"/>
  <c r="L1132"/>
  <c r="H1132"/>
  <c r="J1132"/>
  <c r="P1132"/>
  <c r="J65" i="65"/>
  <c r="L65"/>
  <c r="F65"/>
  <c r="F17" i="67"/>
  <c r="H17"/>
  <c r="H883"/>
  <c r="F883"/>
  <c r="L883"/>
  <c r="J883"/>
  <c r="N145" i="66"/>
  <c r="F145"/>
  <c r="L145"/>
  <c r="P145"/>
  <c r="J145"/>
  <c r="H145"/>
  <c r="R145"/>
  <c r="F8" i="67"/>
  <c r="H8"/>
  <c r="H70" i="65"/>
  <c r="L70"/>
  <c r="J70"/>
  <c r="J355" i="67"/>
  <c r="H355"/>
  <c r="L355"/>
  <c r="F355"/>
  <c r="C20"/>
  <c r="F612"/>
  <c r="J612"/>
  <c r="L612"/>
  <c r="H612"/>
  <c r="N199" i="68"/>
  <c r="J199"/>
  <c r="H199"/>
  <c r="P199"/>
  <c r="F199"/>
  <c r="L199"/>
  <c r="R199"/>
  <c r="P158" i="65"/>
  <c r="L158"/>
  <c r="J158"/>
  <c r="N158"/>
  <c r="F158"/>
  <c r="H158"/>
  <c r="R158"/>
  <c r="F711" i="67"/>
  <c r="H711"/>
  <c r="L711"/>
  <c r="J711"/>
  <c r="H1095"/>
  <c r="P1095"/>
  <c r="J1095"/>
  <c r="F1095"/>
  <c r="N1095"/>
  <c r="L1095"/>
  <c r="H911"/>
  <c r="F911"/>
  <c r="L911"/>
  <c r="J911"/>
  <c r="L452"/>
  <c r="J452"/>
  <c r="H452"/>
  <c r="F452"/>
  <c r="L64" i="66"/>
  <c r="J64"/>
  <c r="H64"/>
  <c r="N128" i="65"/>
  <c r="L128"/>
  <c r="P128"/>
  <c r="H128"/>
  <c r="F128"/>
  <c r="J128"/>
  <c r="R128"/>
  <c r="L742" i="67"/>
  <c r="F742"/>
  <c r="J742"/>
  <c r="H742"/>
  <c r="C591"/>
  <c r="C658"/>
  <c r="C262"/>
  <c r="R134" i="68"/>
  <c r="J134"/>
  <c r="L134"/>
  <c r="H134"/>
  <c r="P134"/>
  <c r="F134"/>
  <c r="N134"/>
  <c r="H13" i="67"/>
  <c r="F13"/>
  <c r="P150" i="66"/>
  <c r="H150"/>
  <c r="R150"/>
  <c r="L150"/>
  <c r="N150"/>
  <c r="J150"/>
  <c r="F150"/>
  <c r="F651" i="67"/>
  <c r="J651"/>
  <c r="L651"/>
  <c r="H651"/>
  <c r="H281"/>
  <c r="J281"/>
  <c r="L281"/>
  <c r="F281"/>
  <c r="L42" i="65"/>
  <c r="J42"/>
  <c r="H42"/>
  <c r="H184"/>
  <c r="R184"/>
  <c r="J184"/>
  <c r="N184"/>
  <c r="F184"/>
  <c r="L184"/>
  <c r="P184"/>
  <c r="P162" i="68"/>
  <c r="R162"/>
  <c r="J162"/>
  <c r="N162"/>
  <c r="L162"/>
  <c r="H162"/>
  <c r="F162"/>
  <c r="L130" i="65"/>
  <c r="N130"/>
  <c r="R130"/>
  <c r="F130"/>
  <c r="H130"/>
  <c r="P130"/>
  <c r="J130"/>
  <c r="P39" i="66"/>
  <c r="N127" i="65"/>
  <c r="F127"/>
  <c r="P127"/>
  <c r="J127"/>
  <c r="H127"/>
  <c r="L127"/>
  <c r="R127"/>
  <c r="F120" i="66"/>
  <c r="N120"/>
  <c r="P120"/>
  <c r="L120"/>
  <c r="J120"/>
  <c r="H120"/>
  <c r="R120"/>
  <c r="C282" i="67"/>
  <c r="C453"/>
  <c r="C717"/>
  <c r="C316"/>
  <c r="D8" i="70"/>
  <c r="F8" s="1"/>
  <c r="C589" i="67"/>
  <c r="J644"/>
  <c r="F644"/>
  <c r="L644"/>
  <c r="H644"/>
  <c r="P76" i="65"/>
  <c r="J59" i="66"/>
  <c r="F59"/>
  <c r="L59"/>
  <c r="J861" i="67"/>
  <c r="H861"/>
  <c r="F861"/>
  <c r="L861"/>
  <c r="J129" i="65"/>
  <c r="N129"/>
  <c r="R129"/>
  <c r="L129"/>
  <c r="F129"/>
  <c r="P129"/>
  <c r="H129"/>
  <c r="H650" i="67"/>
  <c r="F650"/>
  <c r="J650"/>
  <c r="L650"/>
  <c r="C318"/>
  <c r="J176" i="66"/>
  <c r="P176"/>
  <c r="F176"/>
  <c r="N176"/>
  <c r="L176"/>
  <c r="H176"/>
  <c r="R176"/>
  <c r="N97" i="65"/>
  <c r="H97"/>
  <c r="J97"/>
  <c r="F97"/>
  <c r="R97"/>
  <c r="L97"/>
  <c r="P97"/>
  <c r="F912" i="67"/>
  <c r="J912"/>
  <c r="L912"/>
  <c r="H912"/>
  <c r="F122" i="66"/>
  <c r="R122"/>
  <c r="N122"/>
  <c r="J122"/>
  <c r="H122"/>
  <c r="L122"/>
  <c r="P122"/>
  <c r="N151" i="65"/>
  <c r="L151"/>
  <c r="H151"/>
  <c r="J151"/>
  <c r="F151"/>
  <c r="P151"/>
  <c r="R151"/>
  <c r="H718" i="67"/>
  <c r="L718"/>
  <c r="J718"/>
  <c r="F718"/>
  <c r="H398"/>
  <c r="F398"/>
  <c r="J398"/>
  <c r="L398"/>
  <c r="F119" i="66"/>
  <c r="P119"/>
  <c r="N119"/>
  <c r="R119"/>
  <c r="L119"/>
  <c r="J119"/>
  <c r="H119"/>
  <c r="J1070" i="67"/>
  <c r="L1070"/>
  <c r="F1070"/>
  <c r="H1070"/>
  <c r="N1070"/>
  <c r="P1070"/>
  <c r="L191" i="65"/>
  <c r="H191"/>
  <c r="P191"/>
  <c r="F191"/>
  <c r="J191"/>
  <c r="N191"/>
  <c r="R191"/>
  <c r="D9" i="70"/>
  <c r="F9" s="1"/>
  <c r="C592" i="67"/>
  <c r="C276"/>
  <c r="C317"/>
  <c r="H846"/>
  <c r="J846"/>
  <c r="L846"/>
  <c r="F846"/>
  <c r="F125" i="65"/>
  <c r="H125"/>
  <c r="J125"/>
  <c r="L125"/>
  <c r="N125"/>
  <c r="R125"/>
  <c r="P125"/>
  <c r="L275" i="67"/>
  <c r="F275"/>
  <c r="J275"/>
  <c r="H275"/>
  <c r="J121" i="66"/>
  <c r="P121"/>
  <c r="L121"/>
  <c r="N121"/>
  <c r="R121"/>
  <c r="H121"/>
  <c r="F121"/>
  <c r="J845" i="67"/>
  <c r="L845"/>
  <c r="H845"/>
  <c r="F845"/>
  <c r="N1126"/>
  <c r="F1126"/>
  <c r="H1126"/>
  <c r="J1126"/>
  <c r="L1126"/>
  <c r="P1126"/>
  <c r="L89" i="66"/>
  <c r="R89"/>
  <c r="H89"/>
  <c r="N89"/>
  <c r="F89"/>
  <c r="P89"/>
  <c r="J89"/>
  <c r="N1072" i="67"/>
  <c r="J1072"/>
  <c r="H1072"/>
  <c r="L1072"/>
  <c r="P1072"/>
  <c r="F1072"/>
  <c r="H143" i="66"/>
  <c r="L143"/>
  <c r="N143"/>
  <c r="P143"/>
  <c r="J143"/>
  <c r="F143"/>
  <c r="R143"/>
  <c r="N1069" i="67"/>
  <c r="P1069"/>
  <c r="F1069"/>
  <c r="H1069"/>
  <c r="J1069"/>
  <c r="L1069"/>
  <c r="P137" i="68"/>
  <c r="J137"/>
  <c r="H137"/>
  <c r="R137"/>
  <c r="N137"/>
  <c r="F137"/>
  <c r="L137"/>
  <c r="J397" i="67"/>
  <c r="F397"/>
  <c r="L397"/>
  <c r="H397"/>
  <c r="J183" i="66"/>
  <c r="P183"/>
  <c r="H183"/>
  <c r="F183"/>
  <c r="N183"/>
  <c r="L183"/>
  <c r="R183"/>
  <c r="C834" i="67"/>
  <c r="C11"/>
  <c r="C14"/>
  <c r="J117" i="66"/>
  <c r="L117"/>
  <c r="N117"/>
  <c r="P117"/>
  <c r="H117"/>
  <c r="F117"/>
  <c r="R117"/>
  <c r="N1100" i="67"/>
  <c r="P1100"/>
  <c r="H1100"/>
  <c r="J1100"/>
  <c r="F1100"/>
  <c r="L1100"/>
  <c r="F1071"/>
  <c r="L1071"/>
  <c r="N1071"/>
  <c r="H1071"/>
  <c r="J1071"/>
  <c r="P1071"/>
  <c r="L38" i="66"/>
  <c r="H38"/>
  <c r="J38"/>
  <c r="H193" i="68"/>
  <c r="N193"/>
  <c r="P193"/>
  <c r="L193"/>
  <c r="J193"/>
  <c r="R193"/>
  <c r="F193"/>
  <c r="J1039" i="67"/>
  <c r="C839"/>
  <c r="P1039"/>
  <c r="H1039"/>
  <c r="N1039"/>
  <c r="L1039"/>
  <c r="F1039"/>
  <c r="L71" i="65"/>
  <c r="J71"/>
  <c r="H71"/>
  <c r="N139" i="68"/>
  <c r="R139"/>
  <c r="P139"/>
  <c r="F139"/>
  <c r="H139"/>
  <c r="J139"/>
  <c r="L139"/>
  <c r="N1093" i="67"/>
  <c r="J1093"/>
  <c r="L1093"/>
  <c r="F1093"/>
  <c r="H1093"/>
  <c r="P1093"/>
  <c r="H19"/>
  <c r="F19"/>
  <c r="P40" i="66"/>
  <c r="R136" i="68"/>
  <c r="N136"/>
  <c r="F136"/>
  <c r="L136"/>
  <c r="H136"/>
  <c r="J136"/>
  <c r="P136"/>
  <c r="L261" i="67"/>
  <c r="J261"/>
  <c r="F261"/>
  <c r="H261"/>
  <c r="N1133"/>
  <c r="L1133"/>
  <c r="J1133"/>
  <c r="F1133"/>
  <c r="H1133"/>
  <c r="P1133"/>
  <c r="C379"/>
  <c r="C394"/>
  <c r="C27"/>
  <c r="C256"/>
  <c r="C646"/>
  <c r="F190" i="65"/>
  <c r="R190"/>
  <c r="H190"/>
  <c r="J190"/>
  <c r="N190"/>
  <c r="L190"/>
  <c r="P190"/>
  <c r="F393" i="67"/>
  <c r="H393"/>
  <c r="J393"/>
  <c r="L393"/>
  <c r="N138" i="68"/>
  <c r="P138"/>
  <c r="J138"/>
  <c r="R138"/>
  <c r="F138"/>
  <c r="L138"/>
  <c r="H138"/>
  <c r="P34" i="66"/>
  <c r="J673" i="67"/>
  <c r="F673"/>
  <c r="L673"/>
  <c r="H673"/>
  <c r="H255"/>
  <c r="J255"/>
  <c r="L255"/>
  <c r="F255"/>
  <c r="H106" i="68"/>
  <c r="P106"/>
  <c r="N106"/>
  <c r="L106"/>
  <c r="J106"/>
  <c r="F106"/>
  <c r="R106"/>
  <c r="H65" i="66"/>
  <c r="J65"/>
  <c r="L65"/>
  <c r="N160" i="68"/>
  <c r="L160"/>
  <c r="P160"/>
  <c r="H160"/>
  <c r="J160"/>
  <c r="F160"/>
  <c r="R160"/>
  <c r="J862" i="67"/>
  <c r="H862"/>
  <c r="F862"/>
  <c r="L862"/>
  <c r="L657"/>
  <c r="J657"/>
  <c r="F657"/>
  <c r="H657"/>
  <c r="H812"/>
  <c r="L812"/>
  <c r="J812"/>
  <c r="F812"/>
  <c r="N200" i="68"/>
  <c r="J200"/>
  <c r="P200"/>
  <c r="F200"/>
  <c r="H200"/>
  <c r="R200"/>
  <c r="L200"/>
  <c r="C766" i="67"/>
  <c r="J1067"/>
  <c r="P1067"/>
  <c r="N1067"/>
  <c r="L1067"/>
  <c r="H1067"/>
  <c r="F1067"/>
  <c r="H831"/>
  <c r="F831"/>
  <c r="L831"/>
  <c r="J831"/>
  <c r="J182" i="66"/>
  <c r="P182"/>
  <c r="R182"/>
  <c r="N182"/>
  <c r="F182"/>
  <c r="L182"/>
  <c r="H182"/>
  <c r="P167" i="68"/>
  <c r="R167"/>
  <c r="H167"/>
  <c r="L167"/>
  <c r="N167"/>
  <c r="F167"/>
  <c r="J167"/>
  <c r="F844" i="67"/>
  <c r="H844"/>
  <c r="L844"/>
  <c r="J844"/>
  <c r="L645"/>
  <c r="J645"/>
  <c r="H645"/>
  <c r="F645"/>
  <c r="H153" i="65"/>
  <c r="R153"/>
  <c r="N153"/>
  <c r="L153"/>
  <c r="J153"/>
  <c r="P153"/>
  <c r="F153"/>
  <c r="F590" i="67"/>
  <c r="H590"/>
  <c r="C595"/>
  <c r="J590"/>
  <c r="C594"/>
  <c r="L590"/>
  <c r="F10"/>
  <c r="H10"/>
  <c r="C320"/>
  <c r="C1052"/>
  <c r="C119" i="68"/>
  <c r="C626" i="67"/>
  <c r="C102" i="66"/>
  <c r="C110" i="65"/>
  <c r="C110" i="64"/>
  <c r="F110" s="1"/>
  <c r="C122" i="68"/>
  <c r="C1055" i="67"/>
  <c r="C105" i="66"/>
  <c r="C113" i="65"/>
  <c r="C134" i="64"/>
  <c r="P134" s="1"/>
  <c r="C1079" i="67"/>
  <c r="C146" i="68"/>
  <c r="C129" i="66"/>
  <c r="C137" i="65"/>
  <c r="D6" i="70"/>
  <c r="F6" s="1"/>
  <c r="C325" i="67"/>
  <c r="C47"/>
  <c r="L47" s="1"/>
  <c r="N1078"/>
  <c r="J1078"/>
  <c r="P1078"/>
  <c r="H1078"/>
  <c r="L1078"/>
  <c r="F1078"/>
  <c r="L668"/>
  <c r="F668"/>
  <c r="L365"/>
  <c r="F365"/>
  <c r="H365"/>
  <c r="J365"/>
  <c r="L698"/>
  <c r="F698"/>
  <c r="H698"/>
  <c r="J698"/>
  <c r="H378"/>
  <c r="J438"/>
  <c r="L438"/>
  <c r="H438"/>
  <c r="F438"/>
  <c r="C368"/>
  <c r="C58"/>
  <c r="L58" s="1"/>
  <c r="C49"/>
  <c r="C586"/>
  <c r="C604"/>
  <c r="C303"/>
  <c r="L41"/>
  <c r="J41"/>
  <c r="F41"/>
  <c r="H41"/>
  <c r="F128" i="66"/>
  <c r="H128"/>
  <c r="L128"/>
  <c r="N128"/>
  <c r="J128"/>
  <c r="R128"/>
  <c r="P128"/>
  <c r="H55" i="65"/>
  <c r="R55"/>
  <c r="H668" i="67" s="1"/>
  <c r="L55" i="65"/>
  <c r="F55"/>
  <c r="J55"/>
  <c r="L367" i="67"/>
  <c r="F367"/>
  <c r="H371"/>
  <c r="L1115"/>
  <c r="F1115"/>
  <c r="P1115"/>
  <c r="J1115"/>
  <c r="H1115"/>
  <c r="N1115"/>
  <c r="F461"/>
  <c r="J461"/>
  <c r="L461"/>
  <c r="H461"/>
  <c r="L705"/>
  <c r="F705"/>
  <c r="H705"/>
  <c r="J705"/>
  <c r="F411"/>
  <c r="J411"/>
  <c r="H411"/>
  <c r="L411"/>
  <c r="L170" i="64"/>
  <c r="C61" i="67"/>
  <c r="C135" i="64"/>
  <c r="J135" s="1"/>
  <c r="C147" i="68"/>
  <c r="C1080" i="67"/>
  <c r="C130" i="66"/>
  <c r="C138" i="65"/>
  <c r="C65" i="67"/>
  <c r="C301"/>
  <c r="C602"/>
  <c r="C886"/>
  <c r="C450"/>
  <c r="H367"/>
  <c r="J371"/>
  <c r="J173" i="65"/>
  <c r="R173"/>
  <c r="L173"/>
  <c r="P173"/>
  <c r="N173"/>
  <c r="H173"/>
  <c r="F173"/>
  <c r="H879" i="67"/>
  <c r="F879"/>
  <c r="J879"/>
  <c r="L879"/>
  <c r="L53"/>
  <c r="F53"/>
  <c r="H53"/>
  <c r="J53"/>
  <c r="C638"/>
  <c r="C48"/>
  <c r="L48" s="1"/>
  <c r="C349"/>
  <c r="C1073"/>
  <c r="C607"/>
  <c r="C140" i="68"/>
  <c r="C123" i="66"/>
  <c r="C131" i="65"/>
  <c r="C40" i="67"/>
  <c r="L40" s="1"/>
  <c r="C683"/>
  <c r="C424"/>
  <c r="C440"/>
  <c r="C347"/>
  <c r="L347" s="1"/>
  <c r="C57"/>
  <c r="C348"/>
  <c r="H136" i="65"/>
  <c r="F136"/>
  <c r="P136"/>
  <c r="L136"/>
  <c r="N136"/>
  <c r="J136"/>
  <c r="R136"/>
  <c r="J668" i="67"/>
  <c r="F54" i="68"/>
  <c r="J54"/>
  <c r="H54"/>
  <c r="P182"/>
  <c r="L182"/>
  <c r="N182"/>
  <c r="R182"/>
  <c r="J182"/>
  <c r="F182"/>
  <c r="H182"/>
  <c r="L378" i="67"/>
  <c r="F378"/>
  <c r="J170" i="64"/>
  <c r="F170"/>
  <c r="C1054" i="67"/>
  <c r="C121" i="68"/>
  <c r="C624" i="67"/>
  <c r="C104" i="66"/>
  <c r="C112" i="65"/>
  <c r="C126" i="68"/>
  <c r="C1059" i="67"/>
  <c r="C621"/>
  <c r="C109" i="66"/>
  <c r="C117" i="65"/>
  <c r="C54" i="67"/>
  <c r="C56"/>
  <c r="C219"/>
  <c r="C333"/>
  <c r="C111" i="64"/>
  <c r="L111" s="1"/>
  <c r="C1056" i="67"/>
  <c r="C123" i="68"/>
  <c r="C106" i="66"/>
  <c r="C114" i="65"/>
  <c r="C293" i="67"/>
  <c r="C297"/>
  <c r="C914"/>
  <c r="C412"/>
  <c r="N145" i="68"/>
  <c r="R145"/>
  <c r="P145"/>
  <c r="F145"/>
  <c r="L145"/>
  <c r="H145"/>
  <c r="J145"/>
  <c r="J367" i="67"/>
  <c r="L371"/>
  <c r="F371"/>
  <c r="H165" i="66"/>
  <c r="J165"/>
  <c r="L165"/>
  <c r="P165"/>
  <c r="F165"/>
  <c r="N165"/>
  <c r="R165"/>
  <c r="H292" i="67"/>
  <c r="F292"/>
  <c r="J292"/>
  <c r="L292"/>
  <c r="J339"/>
  <c r="L339"/>
  <c r="F339"/>
  <c r="H339"/>
  <c r="J378"/>
  <c r="H170" i="64"/>
  <c r="J35" i="68"/>
  <c r="C128" i="64"/>
  <c r="C109"/>
  <c r="N155"/>
  <c r="L155"/>
  <c r="H155"/>
  <c r="P155"/>
  <c r="J155"/>
  <c r="F155"/>
  <c r="R155"/>
  <c r="J148"/>
  <c r="H148"/>
  <c r="F148"/>
  <c r="N148"/>
  <c r="L148"/>
  <c r="P148"/>
  <c r="R148"/>
  <c r="C114"/>
  <c r="P150"/>
  <c r="L150"/>
  <c r="J150"/>
  <c r="H150"/>
  <c r="F150"/>
  <c r="N150"/>
  <c r="R150"/>
  <c r="C107"/>
  <c r="F21" i="56"/>
  <c r="B24"/>
  <c r="B84" i="48" s="1"/>
  <c r="B23" i="56"/>
  <c r="B83" i="48" s="1"/>
  <c r="B22" i="56"/>
  <c r="B82" i="48" s="1"/>
  <c r="N111" i="64" l="1"/>
  <c r="L110"/>
  <c r="N135"/>
  <c r="H134"/>
  <c r="J111"/>
  <c r="H111"/>
  <c r="F135"/>
  <c r="P110"/>
  <c r="R111"/>
  <c r="P111"/>
  <c r="F111"/>
  <c r="P38" i="66"/>
  <c r="P64"/>
  <c r="N134" i="64"/>
  <c r="F134"/>
  <c r="L134"/>
  <c r="R134"/>
  <c r="J134"/>
  <c r="P65" i="65"/>
  <c r="P42"/>
  <c r="P71"/>
  <c r="P70"/>
  <c r="P65" i="66"/>
  <c r="H27" i="67"/>
  <c r="L27"/>
  <c r="J27"/>
  <c r="F27"/>
  <c r="L379"/>
  <c r="F379"/>
  <c r="J317"/>
  <c r="F317"/>
  <c r="H317"/>
  <c r="L317"/>
  <c r="C319"/>
  <c r="L658"/>
  <c r="F658"/>
  <c r="H658"/>
  <c r="J658"/>
  <c r="L320"/>
  <c r="H320"/>
  <c r="F320"/>
  <c r="J320"/>
  <c r="F646"/>
  <c r="L646"/>
  <c r="H646"/>
  <c r="J646"/>
  <c r="C765"/>
  <c r="H717"/>
  <c r="L717"/>
  <c r="F717"/>
  <c r="J717"/>
  <c r="H444"/>
  <c r="L444"/>
  <c r="J444"/>
  <c r="F444"/>
  <c r="C131" i="68"/>
  <c r="C1064" i="67"/>
  <c r="C114" i="66"/>
  <c r="C122" i="65"/>
  <c r="C182" i="64"/>
  <c r="L182" s="1"/>
  <c r="C1127" i="67"/>
  <c r="C194" i="68"/>
  <c r="C177" i="66"/>
  <c r="C185" i="65"/>
  <c r="C836" i="67"/>
  <c r="L594"/>
  <c r="J594"/>
  <c r="H594"/>
  <c r="F594"/>
  <c r="C311"/>
  <c r="F256"/>
  <c r="L256"/>
  <c r="H256"/>
  <c r="J256"/>
  <c r="F11"/>
  <c r="H11"/>
  <c r="P59" i="66"/>
  <c r="H316" i="67"/>
  <c r="L316"/>
  <c r="J316"/>
  <c r="F316"/>
  <c r="C770"/>
  <c r="J839"/>
  <c r="F839"/>
  <c r="L839"/>
  <c r="H839"/>
  <c r="F453"/>
  <c r="J453"/>
  <c r="H453"/>
  <c r="L453"/>
  <c r="C654"/>
  <c r="C653"/>
  <c r="C28"/>
  <c r="C21"/>
  <c r="H595"/>
  <c r="F595"/>
  <c r="L595"/>
  <c r="J595"/>
  <c r="F9" i="68"/>
  <c r="H9"/>
  <c r="J9"/>
  <c r="H394" i="67"/>
  <c r="F394"/>
  <c r="L394"/>
  <c r="J394"/>
  <c r="L592"/>
  <c r="H592"/>
  <c r="F592"/>
  <c r="J592"/>
  <c r="L318"/>
  <c r="J318"/>
  <c r="F318"/>
  <c r="H318"/>
  <c r="F591"/>
  <c r="J591"/>
  <c r="L591"/>
  <c r="C593"/>
  <c r="H591"/>
  <c r="C773"/>
  <c r="C257"/>
  <c r="C647"/>
  <c r="R9" i="65"/>
  <c r="F9"/>
  <c r="C8" i="66"/>
  <c r="J276" i="67"/>
  <c r="H276"/>
  <c r="L276"/>
  <c r="F276"/>
  <c r="H589"/>
  <c r="F589"/>
  <c r="L589"/>
  <c r="J589"/>
  <c r="F20"/>
  <c r="H20"/>
  <c r="H379"/>
  <c r="F14"/>
  <c r="H14"/>
  <c r="J652"/>
  <c r="F652"/>
  <c r="H652"/>
  <c r="L652"/>
  <c r="C659"/>
  <c r="C263"/>
  <c r="P55" i="65"/>
  <c r="L766" i="67"/>
  <c r="H766"/>
  <c r="J766"/>
  <c r="F766"/>
  <c r="J379"/>
  <c r="H834"/>
  <c r="J834"/>
  <c r="F834"/>
  <c r="L834"/>
  <c r="C431"/>
  <c r="L431" s="1"/>
  <c r="J93" i="68"/>
  <c r="J92"/>
  <c r="F282" i="67"/>
  <c r="L282"/>
  <c r="J282"/>
  <c r="H282"/>
  <c r="L262"/>
  <c r="J262"/>
  <c r="F262"/>
  <c r="H262"/>
  <c r="C180" i="64"/>
  <c r="C192" i="68"/>
  <c r="C1125" i="67"/>
  <c r="C175" i="66"/>
  <c r="C183" i="65"/>
  <c r="C622" i="67"/>
  <c r="C117" i="64"/>
  <c r="H117" s="1"/>
  <c r="C129" i="68"/>
  <c r="C1062" i="67"/>
  <c r="C112" i="66"/>
  <c r="C120" i="65"/>
  <c r="C113" i="64"/>
  <c r="J113" s="1"/>
  <c r="C1058" i="67"/>
  <c r="C125" i="68"/>
  <c r="C108" i="66"/>
  <c r="C116" i="65"/>
  <c r="C632" i="67"/>
  <c r="C454"/>
  <c r="C566"/>
  <c r="L26" i="65"/>
  <c r="F26"/>
  <c r="H26"/>
  <c r="N1054" i="67"/>
  <c r="J1054"/>
  <c r="L1054"/>
  <c r="F1054"/>
  <c r="P1054"/>
  <c r="H1054"/>
  <c r="F131" i="65"/>
  <c r="L131"/>
  <c r="P131"/>
  <c r="N131"/>
  <c r="H131"/>
  <c r="J131"/>
  <c r="R131"/>
  <c r="J15"/>
  <c r="F15"/>
  <c r="L15"/>
  <c r="R15"/>
  <c r="H48" i="67" s="1"/>
  <c r="H15" i="65"/>
  <c r="J23"/>
  <c r="F23"/>
  <c r="L23"/>
  <c r="R23"/>
  <c r="H301" i="67" s="1"/>
  <c r="H23" i="65"/>
  <c r="F138"/>
  <c r="J138"/>
  <c r="H138"/>
  <c r="P138"/>
  <c r="L138"/>
  <c r="R138"/>
  <c r="N138"/>
  <c r="L368" i="67"/>
  <c r="F368"/>
  <c r="J325"/>
  <c r="L325"/>
  <c r="H325"/>
  <c r="F325"/>
  <c r="H129" i="66"/>
  <c r="L129"/>
  <c r="J129"/>
  <c r="N129"/>
  <c r="F129"/>
  <c r="P129"/>
  <c r="R129"/>
  <c r="F113" i="65"/>
  <c r="L113"/>
  <c r="N113"/>
  <c r="R113"/>
  <c r="H113"/>
  <c r="J113"/>
  <c r="P113"/>
  <c r="J1052" i="67"/>
  <c r="N1052"/>
  <c r="L1052"/>
  <c r="P1052"/>
  <c r="F1052"/>
  <c r="H1052"/>
  <c r="C116" i="64"/>
  <c r="H116" s="1"/>
  <c r="C128" i="68"/>
  <c r="C1061" i="67"/>
  <c r="C111" i="66"/>
  <c r="C119" i="65"/>
  <c r="C913" i="67"/>
  <c r="C625"/>
  <c r="C298"/>
  <c r="C169"/>
  <c r="C115" i="64"/>
  <c r="L115" s="1"/>
  <c r="C1060" i="67"/>
  <c r="C127" i="68"/>
  <c r="C110" i="66"/>
  <c r="C118" i="65"/>
  <c r="C517" i="67"/>
  <c r="C377"/>
  <c r="J914"/>
  <c r="L914"/>
  <c r="F914"/>
  <c r="H914"/>
  <c r="J297"/>
  <c r="L297"/>
  <c r="F297"/>
  <c r="H297"/>
  <c r="F114" i="65"/>
  <c r="J114"/>
  <c r="L114"/>
  <c r="P114"/>
  <c r="N114"/>
  <c r="H114"/>
  <c r="R114"/>
  <c r="L333" i="67"/>
  <c r="J54"/>
  <c r="F54"/>
  <c r="H54"/>
  <c r="L54"/>
  <c r="J109" i="66"/>
  <c r="N109"/>
  <c r="P109"/>
  <c r="R109"/>
  <c r="F109"/>
  <c r="H109"/>
  <c r="L109"/>
  <c r="H126" i="68"/>
  <c r="F126"/>
  <c r="L126"/>
  <c r="R126"/>
  <c r="P126"/>
  <c r="J126"/>
  <c r="N126"/>
  <c r="F104" i="66"/>
  <c r="J104"/>
  <c r="L104"/>
  <c r="N104"/>
  <c r="H104"/>
  <c r="P104"/>
  <c r="R104"/>
  <c r="H121" i="68"/>
  <c r="J121"/>
  <c r="F121"/>
  <c r="R121"/>
  <c r="P121"/>
  <c r="N121"/>
  <c r="L121"/>
  <c r="C619" i="67"/>
  <c r="C296"/>
  <c r="L440"/>
  <c r="H440"/>
  <c r="J440"/>
  <c r="F440"/>
  <c r="J683"/>
  <c r="L683"/>
  <c r="F683"/>
  <c r="H683"/>
  <c r="F12" i="66"/>
  <c r="H12"/>
  <c r="N140" i="68"/>
  <c r="L140"/>
  <c r="F140"/>
  <c r="J140"/>
  <c r="P140"/>
  <c r="H140"/>
  <c r="R140"/>
  <c r="J33" i="65"/>
  <c r="F33"/>
  <c r="L33"/>
  <c r="R33"/>
  <c r="H349" i="67" s="1"/>
  <c r="H33" i="65"/>
  <c r="H14" i="68"/>
  <c r="L638" i="67"/>
  <c r="F638"/>
  <c r="H450"/>
  <c r="J450"/>
  <c r="L450"/>
  <c r="F450"/>
  <c r="L602"/>
  <c r="F602"/>
  <c r="J602"/>
  <c r="H602"/>
  <c r="F147" i="68"/>
  <c r="J147"/>
  <c r="N147"/>
  <c r="R147"/>
  <c r="H147"/>
  <c r="P147"/>
  <c r="L147"/>
  <c r="H61" i="67"/>
  <c r="F61"/>
  <c r="L61"/>
  <c r="J61"/>
  <c r="H15" i="66"/>
  <c r="L15"/>
  <c r="F15"/>
  <c r="J368" i="67"/>
  <c r="F14" i="65"/>
  <c r="H14"/>
  <c r="H137"/>
  <c r="P137"/>
  <c r="J137"/>
  <c r="N137"/>
  <c r="L137"/>
  <c r="F137"/>
  <c r="R137"/>
  <c r="H122" i="68"/>
  <c r="L122"/>
  <c r="R122"/>
  <c r="P122"/>
  <c r="N122"/>
  <c r="J122"/>
  <c r="F122"/>
  <c r="H135" i="64"/>
  <c r="N110"/>
  <c r="C661" i="67"/>
  <c r="C337"/>
  <c r="C630"/>
  <c r="D10" i="70"/>
  <c r="C585" i="67"/>
  <c r="C266"/>
  <c r="F106" i="66"/>
  <c r="N106"/>
  <c r="R106"/>
  <c r="P106"/>
  <c r="H106"/>
  <c r="J106"/>
  <c r="L106"/>
  <c r="C615" i="67"/>
  <c r="L57"/>
  <c r="H57"/>
  <c r="J57"/>
  <c r="F57"/>
  <c r="L32" i="66"/>
  <c r="R32"/>
  <c r="J349" i="67" s="1"/>
  <c r="J32" i="66"/>
  <c r="F32"/>
  <c r="H32"/>
  <c r="F50" i="68"/>
  <c r="J886" i="67"/>
  <c r="H886"/>
  <c r="L886"/>
  <c r="F886"/>
  <c r="H303"/>
  <c r="F303"/>
  <c r="J303"/>
  <c r="L303"/>
  <c r="J49"/>
  <c r="L49"/>
  <c r="H49"/>
  <c r="F49"/>
  <c r="F102" i="66"/>
  <c r="J102"/>
  <c r="L102"/>
  <c r="H102"/>
  <c r="N102"/>
  <c r="R102"/>
  <c r="P102"/>
  <c r="C740" i="67"/>
  <c r="C618"/>
  <c r="C299"/>
  <c r="C307"/>
  <c r="C631"/>
  <c r="C629"/>
  <c r="C741"/>
  <c r="C521"/>
  <c r="C686"/>
  <c r="C427"/>
  <c r="C639"/>
  <c r="C207"/>
  <c r="C67"/>
  <c r="C130" i="68"/>
  <c r="C124"/>
  <c r="C1063" i="67"/>
  <c r="C1057"/>
  <c r="C107" i="66"/>
  <c r="C113"/>
  <c r="C115" i="65"/>
  <c r="C121"/>
  <c r="C605" i="67"/>
  <c r="C304"/>
  <c r="C103" i="64"/>
  <c r="F103" s="1"/>
  <c r="C1048" i="67"/>
  <c r="C115" i="68"/>
  <c r="C98" i="66"/>
  <c r="C106" i="65"/>
  <c r="C55" i="67"/>
  <c r="L412"/>
  <c r="H412"/>
  <c r="J412"/>
  <c r="F412"/>
  <c r="N1056"/>
  <c r="F1056"/>
  <c r="P1056"/>
  <c r="L1056"/>
  <c r="J1056"/>
  <c r="H1056"/>
  <c r="L219"/>
  <c r="H219"/>
  <c r="J219"/>
  <c r="F219"/>
  <c r="J56"/>
  <c r="L56"/>
  <c r="F56"/>
  <c r="H56"/>
  <c r="F117" i="65"/>
  <c r="J117"/>
  <c r="H117"/>
  <c r="L117"/>
  <c r="R117"/>
  <c r="N117"/>
  <c r="P117"/>
  <c r="L1059" i="67"/>
  <c r="P1059"/>
  <c r="N1059"/>
  <c r="F1059"/>
  <c r="H1059"/>
  <c r="J1059"/>
  <c r="J624"/>
  <c r="F624"/>
  <c r="H624"/>
  <c r="L624"/>
  <c r="L348"/>
  <c r="F30" i="66"/>
  <c r="H30"/>
  <c r="L424" i="67"/>
  <c r="F424"/>
  <c r="J424"/>
  <c r="H424"/>
  <c r="F13" i="65"/>
  <c r="H13"/>
  <c r="N1073" i="67"/>
  <c r="F1073"/>
  <c r="H1073"/>
  <c r="J1073"/>
  <c r="P1073"/>
  <c r="L1073"/>
  <c r="L349"/>
  <c r="F349"/>
  <c r="P349"/>
  <c r="L22" i="66"/>
  <c r="J22"/>
  <c r="H22"/>
  <c r="J65" i="67"/>
  <c r="L65"/>
  <c r="F65"/>
  <c r="H65"/>
  <c r="F1080"/>
  <c r="J1080"/>
  <c r="N1080"/>
  <c r="L1080"/>
  <c r="H1080"/>
  <c r="P1080"/>
  <c r="J586"/>
  <c r="H586"/>
  <c r="F586"/>
  <c r="L586"/>
  <c r="H16" i="65"/>
  <c r="L16"/>
  <c r="F16"/>
  <c r="H368" i="67"/>
  <c r="J1079"/>
  <c r="H1079"/>
  <c r="N1079"/>
  <c r="F1079"/>
  <c r="L1079"/>
  <c r="P1079"/>
  <c r="F1055"/>
  <c r="L1055"/>
  <c r="H1055"/>
  <c r="J1055"/>
  <c r="P1055"/>
  <c r="N1055"/>
  <c r="F110" i="65"/>
  <c r="P110"/>
  <c r="J110"/>
  <c r="H110"/>
  <c r="L110"/>
  <c r="N110"/>
  <c r="R110"/>
  <c r="N119" i="68"/>
  <c r="F119"/>
  <c r="H119"/>
  <c r="R119"/>
  <c r="P119"/>
  <c r="J119"/>
  <c r="L119"/>
  <c r="P135" i="64"/>
  <c r="R135"/>
  <c r="L135"/>
  <c r="J110"/>
  <c r="H110"/>
  <c r="C662" i="67"/>
  <c r="C663"/>
  <c r="C336"/>
  <c r="C608"/>
  <c r="C404"/>
  <c r="C407"/>
  <c r="C380"/>
  <c r="H293"/>
  <c r="F293"/>
  <c r="J293"/>
  <c r="L293"/>
  <c r="L32" i="65"/>
  <c r="F32"/>
  <c r="H32"/>
  <c r="J607" i="67"/>
  <c r="F607"/>
  <c r="H607"/>
  <c r="L607"/>
  <c r="L301"/>
  <c r="F301"/>
  <c r="H13" i="66"/>
  <c r="F13"/>
  <c r="C609" i="67"/>
  <c r="C587"/>
  <c r="C143" i="68"/>
  <c r="C584" i="67"/>
  <c r="C1076"/>
  <c r="C126" i="66"/>
  <c r="C134" i="65"/>
  <c r="C1050" i="67"/>
  <c r="C117" i="68"/>
  <c r="C556" i="67"/>
  <c r="C100" i="66"/>
  <c r="C108" i="65"/>
  <c r="C120" i="67"/>
  <c r="C220"/>
  <c r="C335"/>
  <c r="C730"/>
  <c r="C112" i="68"/>
  <c r="C1045" i="67"/>
  <c r="C95" i="66"/>
  <c r="C103" i="65"/>
  <c r="N123" i="68"/>
  <c r="P123"/>
  <c r="R123"/>
  <c r="L123"/>
  <c r="J123"/>
  <c r="H123"/>
  <c r="F123"/>
  <c r="L25" i="66"/>
  <c r="F25"/>
  <c r="H25"/>
  <c r="J621" i="67"/>
  <c r="F621"/>
  <c r="L621"/>
  <c r="H621"/>
  <c r="J112" i="65"/>
  <c r="F112"/>
  <c r="P112"/>
  <c r="L112"/>
  <c r="H112"/>
  <c r="R112"/>
  <c r="N112"/>
  <c r="C520" i="67"/>
  <c r="L31" i="66"/>
  <c r="F31"/>
  <c r="H31"/>
  <c r="H31" i="65"/>
  <c r="F31"/>
  <c r="F123" i="66"/>
  <c r="J123"/>
  <c r="L123"/>
  <c r="R123"/>
  <c r="N123"/>
  <c r="P123"/>
  <c r="H123"/>
  <c r="F33" i="68"/>
  <c r="J33"/>
  <c r="H33"/>
  <c r="L14" i="66"/>
  <c r="H14"/>
  <c r="J14"/>
  <c r="F23" i="68"/>
  <c r="H23"/>
  <c r="N130" i="66"/>
  <c r="L130"/>
  <c r="F130"/>
  <c r="H130"/>
  <c r="J130"/>
  <c r="P130"/>
  <c r="R130"/>
  <c r="F604" i="67"/>
  <c r="J604"/>
  <c r="L604"/>
  <c r="H604"/>
  <c r="F146" i="68"/>
  <c r="L146"/>
  <c r="N146"/>
  <c r="J146"/>
  <c r="H146"/>
  <c r="P146"/>
  <c r="R146"/>
  <c r="J105" i="66"/>
  <c r="L105"/>
  <c r="P105"/>
  <c r="H105"/>
  <c r="N105"/>
  <c r="R105"/>
  <c r="F105"/>
  <c r="F626" i="67"/>
  <c r="H626"/>
  <c r="L626"/>
  <c r="J626"/>
  <c r="R110" i="64"/>
  <c r="C118"/>
  <c r="C112"/>
  <c r="C131"/>
  <c r="C100"/>
  <c r="C119"/>
  <c r="C105"/>
  <c r="J128"/>
  <c r="F128"/>
  <c r="P128"/>
  <c r="L128"/>
  <c r="N128"/>
  <c r="H128"/>
  <c r="R128"/>
  <c r="J109"/>
  <c r="H109"/>
  <c r="F109"/>
  <c r="P109"/>
  <c r="N109"/>
  <c r="L109"/>
  <c r="R109"/>
  <c r="N107"/>
  <c r="H107"/>
  <c r="J107"/>
  <c r="F107"/>
  <c r="R107"/>
  <c r="P107"/>
  <c r="L107"/>
  <c r="H114"/>
  <c r="F114"/>
  <c r="L114"/>
  <c r="N114"/>
  <c r="J114"/>
  <c r="P114"/>
  <c r="R114"/>
  <c r="C24" i="56"/>
  <c r="H113" i="64" l="1"/>
  <c r="H115"/>
  <c r="P113"/>
  <c r="R113"/>
  <c r="L113"/>
  <c r="F113"/>
  <c r="R116"/>
  <c r="N113"/>
  <c r="N116"/>
  <c r="N103"/>
  <c r="R182"/>
  <c r="N182"/>
  <c r="P117"/>
  <c r="J117"/>
  <c r="H182"/>
  <c r="P182"/>
  <c r="F117"/>
  <c r="L117"/>
  <c r="J182"/>
  <c r="F182"/>
  <c r="R117"/>
  <c r="N117"/>
  <c r="P103"/>
  <c r="J103"/>
  <c r="H103"/>
  <c r="L103"/>
  <c r="R103"/>
  <c r="P32" i="66"/>
  <c r="P15" i="65"/>
  <c r="P33"/>
  <c r="C660" i="67"/>
  <c r="C264"/>
  <c r="N183" i="65"/>
  <c r="J183"/>
  <c r="F183"/>
  <c r="H183"/>
  <c r="L183"/>
  <c r="P183"/>
  <c r="R183"/>
  <c r="L654" i="67"/>
  <c r="J654"/>
  <c r="H654"/>
  <c r="F654"/>
  <c r="C771"/>
  <c r="P23" i="65"/>
  <c r="N175" i="66"/>
  <c r="H175"/>
  <c r="R175"/>
  <c r="L175"/>
  <c r="P175"/>
  <c r="J175"/>
  <c r="F175"/>
  <c r="H263" i="67"/>
  <c r="F263"/>
  <c r="L263"/>
  <c r="J263"/>
  <c r="J773"/>
  <c r="L773"/>
  <c r="F773"/>
  <c r="H773"/>
  <c r="J836"/>
  <c r="H836"/>
  <c r="L836"/>
  <c r="F836"/>
  <c r="F122" i="65"/>
  <c r="P122"/>
  <c r="R122"/>
  <c r="J122"/>
  <c r="L122"/>
  <c r="N122"/>
  <c r="H122"/>
  <c r="L1125" i="67"/>
  <c r="F1125"/>
  <c r="P1125"/>
  <c r="N1125"/>
  <c r="H1125"/>
  <c r="J1125"/>
  <c r="F47" i="65"/>
  <c r="L47"/>
  <c r="J47"/>
  <c r="J659" i="67"/>
  <c r="H659"/>
  <c r="F659"/>
  <c r="L659"/>
  <c r="F114" i="66"/>
  <c r="L114"/>
  <c r="J114"/>
  <c r="N114"/>
  <c r="H114"/>
  <c r="R114"/>
  <c r="P114"/>
  <c r="C258" i="67"/>
  <c r="C648"/>
  <c r="P192" i="68"/>
  <c r="J192"/>
  <c r="L192"/>
  <c r="F192"/>
  <c r="H192"/>
  <c r="N192"/>
  <c r="R192"/>
  <c r="J647" i="67"/>
  <c r="L647"/>
  <c r="F647"/>
  <c r="H647"/>
  <c r="L770"/>
  <c r="H770"/>
  <c r="J770"/>
  <c r="F770"/>
  <c r="N1064"/>
  <c r="C716"/>
  <c r="H1064"/>
  <c r="P1064"/>
  <c r="J1064"/>
  <c r="L1064"/>
  <c r="F1064"/>
  <c r="C806"/>
  <c r="L180" i="64"/>
  <c r="P180"/>
  <c r="R180"/>
  <c r="N180"/>
  <c r="J180"/>
  <c r="H180"/>
  <c r="F180"/>
  <c r="F8" i="66"/>
  <c r="R8"/>
  <c r="H257" i="67"/>
  <c r="L257"/>
  <c r="F257"/>
  <c r="J257"/>
  <c r="H21"/>
  <c r="F21"/>
  <c r="P185" i="65"/>
  <c r="R185"/>
  <c r="J185"/>
  <c r="H185"/>
  <c r="F185"/>
  <c r="N185"/>
  <c r="L185"/>
  <c r="N131" i="68"/>
  <c r="P131"/>
  <c r="R131"/>
  <c r="F131"/>
  <c r="H131"/>
  <c r="L131"/>
  <c r="J131"/>
  <c r="J593" i="67"/>
  <c r="L593"/>
  <c r="H593"/>
  <c r="F593"/>
  <c r="N177" i="66"/>
  <c r="F177"/>
  <c r="H177"/>
  <c r="J177"/>
  <c r="L177"/>
  <c r="P177"/>
  <c r="R177"/>
  <c r="H319" i="67"/>
  <c r="F319"/>
  <c r="J319"/>
  <c r="L319"/>
  <c r="C772"/>
  <c r="J194" i="68"/>
  <c r="N194"/>
  <c r="R194"/>
  <c r="L194"/>
  <c r="H194"/>
  <c r="F194"/>
  <c r="P194"/>
  <c r="H765" i="67"/>
  <c r="L765"/>
  <c r="J765"/>
  <c r="F765"/>
  <c r="C321"/>
  <c r="C825"/>
  <c r="C826"/>
  <c r="C22"/>
  <c r="H28"/>
  <c r="F28"/>
  <c r="J28"/>
  <c r="L28"/>
  <c r="J653"/>
  <c r="L653"/>
  <c r="F653"/>
  <c r="H653"/>
  <c r="L311"/>
  <c r="J311"/>
  <c r="H311"/>
  <c r="F311"/>
  <c r="L1127"/>
  <c r="H1127"/>
  <c r="J1127"/>
  <c r="P1127"/>
  <c r="N1127"/>
  <c r="F1127"/>
  <c r="J587"/>
  <c r="L587"/>
  <c r="H587"/>
  <c r="F587"/>
  <c r="C617"/>
  <c r="F51" i="68"/>
  <c r="J51"/>
  <c r="H51"/>
  <c r="L686" i="67"/>
  <c r="J686"/>
  <c r="F686"/>
  <c r="H686"/>
  <c r="F266"/>
  <c r="H266"/>
  <c r="L266"/>
  <c r="J266"/>
  <c r="F52" i="68"/>
  <c r="J52"/>
  <c r="H52"/>
  <c r="J377" i="67"/>
  <c r="F118" i="65"/>
  <c r="P118"/>
  <c r="H118"/>
  <c r="N118"/>
  <c r="L118"/>
  <c r="J118"/>
  <c r="R118"/>
  <c r="L625" i="67"/>
  <c r="F625"/>
  <c r="H625"/>
  <c r="J625"/>
  <c r="N119" i="65"/>
  <c r="F119"/>
  <c r="H119"/>
  <c r="J119"/>
  <c r="L119"/>
  <c r="P119"/>
  <c r="R119"/>
  <c r="L1058" i="67"/>
  <c r="F1058"/>
  <c r="N1058"/>
  <c r="J1058"/>
  <c r="H1058"/>
  <c r="P1058"/>
  <c r="C132"/>
  <c r="C685"/>
  <c r="C426"/>
  <c r="C522"/>
  <c r="C73"/>
  <c r="C518"/>
  <c r="L95" i="66"/>
  <c r="J95"/>
  <c r="R95"/>
  <c r="H95"/>
  <c r="N95"/>
  <c r="P95"/>
  <c r="F95"/>
  <c r="F730" i="67"/>
  <c r="L730"/>
  <c r="J730"/>
  <c r="H730"/>
  <c r="J335"/>
  <c r="L335"/>
  <c r="F335"/>
  <c r="H335"/>
  <c r="J220"/>
  <c r="L220"/>
  <c r="H220"/>
  <c r="F220"/>
  <c r="N1050"/>
  <c r="H1050"/>
  <c r="J1050"/>
  <c r="L1050"/>
  <c r="F1050"/>
  <c r="P1050"/>
  <c r="H126" i="66"/>
  <c r="P126"/>
  <c r="J126"/>
  <c r="L126"/>
  <c r="F126"/>
  <c r="N126"/>
  <c r="R126"/>
  <c r="F584" i="67"/>
  <c r="J584"/>
  <c r="H584"/>
  <c r="L584"/>
  <c r="H380"/>
  <c r="H336"/>
  <c r="L336"/>
  <c r="J336"/>
  <c r="F336"/>
  <c r="C338"/>
  <c r="C848"/>
  <c r="J55"/>
  <c r="F55"/>
  <c r="L55"/>
  <c r="H55"/>
  <c r="L115" i="68"/>
  <c r="H115"/>
  <c r="J115"/>
  <c r="P115"/>
  <c r="N115"/>
  <c r="R115"/>
  <c r="F115"/>
  <c r="F23" i="66"/>
  <c r="L23"/>
  <c r="P23" s="1"/>
  <c r="R23"/>
  <c r="J113"/>
  <c r="L113"/>
  <c r="F113"/>
  <c r="R113"/>
  <c r="P113"/>
  <c r="H113"/>
  <c r="N113"/>
  <c r="R124" i="68"/>
  <c r="N124"/>
  <c r="J124"/>
  <c r="L124"/>
  <c r="F124"/>
  <c r="P124"/>
  <c r="H124"/>
  <c r="F67" i="67"/>
  <c r="H67"/>
  <c r="L67"/>
  <c r="J67"/>
  <c r="F207"/>
  <c r="H207"/>
  <c r="L207"/>
  <c r="J207"/>
  <c r="L639"/>
  <c r="F639"/>
  <c r="J521"/>
  <c r="H521"/>
  <c r="F521"/>
  <c r="L521"/>
  <c r="J741"/>
  <c r="H741"/>
  <c r="L741"/>
  <c r="F741"/>
  <c r="J631"/>
  <c r="F631"/>
  <c r="H631"/>
  <c r="L631"/>
  <c r="L48" i="66"/>
  <c r="R48"/>
  <c r="J661" i="67" s="1"/>
  <c r="H48" i="66"/>
  <c r="F48"/>
  <c r="J48"/>
  <c r="L661" i="67"/>
  <c r="F661"/>
  <c r="P661"/>
  <c r="L619"/>
  <c r="F619"/>
  <c r="H619"/>
  <c r="J619"/>
  <c r="H377"/>
  <c r="N1060"/>
  <c r="J1060"/>
  <c r="H1060"/>
  <c r="F1060"/>
  <c r="L1060"/>
  <c r="P1060"/>
  <c r="F169"/>
  <c r="J169"/>
  <c r="L169"/>
  <c r="H169"/>
  <c r="L298"/>
  <c r="F298"/>
  <c r="H298"/>
  <c r="J298"/>
  <c r="J128" i="68"/>
  <c r="L128"/>
  <c r="F128"/>
  <c r="N128"/>
  <c r="P128"/>
  <c r="R128"/>
  <c r="H128"/>
  <c r="H632" i="67"/>
  <c r="J632"/>
  <c r="L632"/>
  <c r="F632"/>
  <c r="F125" i="68"/>
  <c r="H125"/>
  <c r="N125"/>
  <c r="L125"/>
  <c r="R125"/>
  <c r="P125"/>
  <c r="J125"/>
  <c r="F112" i="66"/>
  <c r="J112"/>
  <c r="L112"/>
  <c r="N112"/>
  <c r="P112"/>
  <c r="H112"/>
  <c r="R112"/>
  <c r="P116" i="64"/>
  <c r="L116"/>
  <c r="R115"/>
  <c r="P115"/>
  <c r="C136"/>
  <c r="H136" s="1"/>
  <c r="C148" i="68"/>
  <c r="C1081" i="67"/>
  <c r="C131" i="66"/>
  <c r="C139" i="65"/>
  <c r="C640" i="67"/>
  <c r="H1045"/>
  <c r="P1045"/>
  <c r="F1045"/>
  <c r="L1045"/>
  <c r="N1045"/>
  <c r="J1045"/>
  <c r="J90" i="68"/>
  <c r="F143"/>
  <c r="J143"/>
  <c r="L143"/>
  <c r="P143"/>
  <c r="N143"/>
  <c r="H143"/>
  <c r="R143"/>
  <c r="J380" i="67"/>
  <c r="C819"/>
  <c r="C670"/>
  <c r="L670" s="1"/>
  <c r="C814"/>
  <c r="C121"/>
  <c r="C183"/>
  <c r="C1032"/>
  <c r="L1032" s="1"/>
  <c r="C343"/>
  <c r="C428"/>
  <c r="C687"/>
  <c r="L687" s="1"/>
  <c r="C68"/>
  <c r="C170"/>
  <c r="C623"/>
  <c r="C859"/>
  <c r="C221"/>
  <c r="C247"/>
  <c r="H520"/>
  <c r="F520"/>
  <c r="J520"/>
  <c r="L520"/>
  <c r="R112" i="68"/>
  <c r="F112"/>
  <c r="J112"/>
  <c r="P112"/>
  <c r="H112"/>
  <c r="L112"/>
  <c r="N112"/>
  <c r="L120" i="67"/>
  <c r="J120"/>
  <c r="H120"/>
  <c r="F120"/>
  <c r="H100" i="66"/>
  <c r="R100"/>
  <c r="J100"/>
  <c r="F100"/>
  <c r="L100"/>
  <c r="P100"/>
  <c r="N100"/>
  <c r="F404" i="67"/>
  <c r="H404"/>
  <c r="J404"/>
  <c r="L404"/>
  <c r="L608"/>
  <c r="H608"/>
  <c r="J608"/>
  <c r="F608"/>
  <c r="J54" i="65"/>
  <c r="F54"/>
  <c r="H54"/>
  <c r="L54"/>
  <c r="R54"/>
  <c r="H663" i="67" s="1"/>
  <c r="L49" i="66"/>
  <c r="R49"/>
  <c r="J663" i="67" s="1"/>
  <c r="J49" i="66"/>
  <c r="F49"/>
  <c r="H49"/>
  <c r="L662" i="67"/>
  <c r="F662"/>
  <c r="H662"/>
  <c r="J662"/>
  <c r="H98" i="66"/>
  <c r="F98"/>
  <c r="L98"/>
  <c r="P98"/>
  <c r="N98"/>
  <c r="J98"/>
  <c r="R98"/>
  <c r="N115" i="65"/>
  <c r="F115"/>
  <c r="L115"/>
  <c r="J115"/>
  <c r="P115"/>
  <c r="H115"/>
  <c r="R115"/>
  <c r="F1063" i="67"/>
  <c r="L1063"/>
  <c r="P1063"/>
  <c r="N1063"/>
  <c r="J1063"/>
  <c r="H1063"/>
  <c r="F10" i="70"/>
  <c r="F12" s="1"/>
  <c r="F13" s="1"/>
  <c r="F14" s="1"/>
  <c r="J630" i="67"/>
  <c r="F630"/>
  <c r="H630"/>
  <c r="L630"/>
  <c r="L53" i="65"/>
  <c r="H53"/>
  <c r="J53"/>
  <c r="F53"/>
  <c r="R53"/>
  <c r="H661" i="67" s="1"/>
  <c r="L296"/>
  <c r="F296"/>
  <c r="H296"/>
  <c r="J296"/>
  <c r="L377"/>
  <c r="F377"/>
  <c r="L517"/>
  <c r="J517"/>
  <c r="F517"/>
  <c r="H517"/>
  <c r="N127" i="68"/>
  <c r="L127"/>
  <c r="R127"/>
  <c r="F127"/>
  <c r="P127"/>
  <c r="H127"/>
  <c r="J127"/>
  <c r="N1061" i="67"/>
  <c r="H1061"/>
  <c r="L1061"/>
  <c r="P1061"/>
  <c r="F1061"/>
  <c r="J1061"/>
  <c r="L454"/>
  <c r="J454"/>
  <c r="F454"/>
  <c r="H454"/>
  <c r="F108" i="66"/>
  <c r="P108"/>
  <c r="J108"/>
  <c r="L108"/>
  <c r="N108"/>
  <c r="H108"/>
  <c r="R108"/>
  <c r="J120" i="65"/>
  <c r="F120"/>
  <c r="H120"/>
  <c r="N120"/>
  <c r="R120"/>
  <c r="L120"/>
  <c r="P120"/>
  <c r="F116" i="64"/>
  <c r="J116"/>
  <c r="J115"/>
  <c r="N115"/>
  <c r="P14" i="66"/>
  <c r="P22"/>
  <c r="C87" i="67"/>
  <c r="C108" i="64"/>
  <c r="H108" s="1"/>
  <c r="C120" i="68"/>
  <c r="C1053" i="67"/>
  <c r="C103" i="66"/>
  <c r="C111" i="65"/>
  <c r="C567" i="67"/>
  <c r="C208"/>
  <c r="L556"/>
  <c r="F556"/>
  <c r="J556"/>
  <c r="H556"/>
  <c r="L609"/>
  <c r="F609"/>
  <c r="H609"/>
  <c r="J609"/>
  <c r="H407"/>
  <c r="L407"/>
  <c r="J407"/>
  <c r="F407"/>
  <c r="L663"/>
  <c r="F663"/>
  <c r="P663"/>
  <c r="H1048"/>
  <c r="P1048"/>
  <c r="F1048"/>
  <c r="N1048"/>
  <c r="L1048"/>
  <c r="J1048"/>
  <c r="H304"/>
  <c r="J304"/>
  <c r="L304"/>
  <c r="F304"/>
  <c r="L24" i="65"/>
  <c r="J24"/>
  <c r="F24"/>
  <c r="R24"/>
  <c r="F107" i="66"/>
  <c r="N107"/>
  <c r="H107"/>
  <c r="J107"/>
  <c r="L107"/>
  <c r="P107"/>
  <c r="R107"/>
  <c r="R130" i="68"/>
  <c r="P130"/>
  <c r="F130"/>
  <c r="J130"/>
  <c r="H130"/>
  <c r="N130"/>
  <c r="L130"/>
  <c r="L299" i="67"/>
  <c r="H299"/>
  <c r="J299"/>
  <c r="F299"/>
  <c r="L615"/>
  <c r="F615"/>
  <c r="H615"/>
  <c r="J615"/>
  <c r="L585"/>
  <c r="H585"/>
  <c r="J585"/>
  <c r="F585"/>
  <c r="N1062"/>
  <c r="H1062"/>
  <c r="L1062"/>
  <c r="J1062"/>
  <c r="F1062"/>
  <c r="P1062"/>
  <c r="C93"/>
  <c r="L93" s="1"/>
  <c r="C267"/>
  <c r="C183" i="68"/>
  <c r="C907" i="67"/>
  <c r="L907" s="1"/>
  <c r="C1116"/>
  <c r="C166" i="66"/>
  <c r="C174" i="65"/>
  <c r="C558" i="67"/>
  <c r="C675"/>
  <c r="L675" s="1"/>
  <c r="C395"/>
  <c r="C684"/>
  <c r="C132" i="64"/>
  <c r="L132" s="1"/>
  <c r="C1077" i="67"/>
  <c r="C144" i="68"/>
  <c r="C127" i="66"/>
  <c r="C135" i="65"/>
  <c r="C234" i="67"/>
  <c r="N103" i="65"/>
  <c r="H103"/>
  <c r="J103"/>
  <c r="L103"/>
  <c r="F103"/>
  <c r="P103"/>
  <c r="R103"/>
  <c r="H108"/>
  <c r="J108"/>
  <c r="R108"/>
  <c r="P108"/>
  <c r="L108"/>
  <c r="F108"/>
  <c r="N108"/>
  <c r="L117" i="68"/>
  <c r="R117"/>
  <c r="P117"/>
  <c r="F117"/>
  <c r="H117"/>
  <c r="J117"/>
  <c r="N117"/>
  <c r="H134" i="65"/>
  <c r="P134"/>
  <c r="F134"/>
  <c r="L134"/>
  <c r="N134"/>
  <c r="J134"/>
  <c r="R134"/>
  <c r="F1076" i="67"/>
  <c r="H1076"/>
  <c r="J1076"/>
  <c r="N1076"/>
  <c r="P1076"/>
  <c r="L1076"/>
  <c r="L380"/>
  <c r="F380"/>
  <c r="F53" i="68"/>
  <c r="J53"/>
  <c r="H53"/>
  <c r="H106" i="65"/>
  <c r="P106"/>
  <c r="L106"/>
  <c r="N106"/>
  <c r="R106"/>
  <c r="F106"/>
  <c r="J106"/>
  <c r="H605" i="67"/>
  <c r="J605"/>
  <c r="F605"/>
  <c r="L605"/>
  <c r="F121" i="65"/>
  <c r="H121"/>
  <c r="J121"/>
  <c r="N121"/>
  <c r="L121"/>
  <c r="R121"/>
  <c r="P121"/>
  <c r="N1057" i="67"/>
  <c r="P1057"/>
  <c r="H1057"/>
  <c r="F1057"/>
  <c r="J1057"/>
  <c r="L1057"/>
  <c r="L427"/>
  <c r="F427"/>
  <c r="H427"/>
  <c r="J427"/>
  <c r="L629"/>
  <c r="F629"/>
  <c r="J629"/>
  <c r="H629"/>
  <c r="L307"/>
  <c r="F307"/>
  <c r="J307"/>
  <c r="H307"/>
  <c r="L618"/>
  <c r="J618"/>
  <c r="F618"/>
  <c r="H618"/>
  <c r="L740"/>
  <c r="J740"/>
  <c r="F740"/>
  <c r="H740"/>
  <c r="L337"/>
  <c r="H337"/>
  <c r="J337"/>
  <c r="F337"/>
  <c r="F110" i="66"/>
  <c r="L110"/>
  <c r="H110"/>
  <c r="J110"/>
  <c r="R110"/>
  <c r="P110"/>
  <c r="N110"/>
  <c r="J913" i="67"/>
  <c r="F913"/>
  <c r="H913"/>
  <c r="L913"/>
  <c r="F111" i="66"/>
  <c r="N111"/>
  <c r="H111"/>
  <c r="J111"/>
  <c r="P111"/>
  <c r="R111"/>
  <c r="L111"/>
  <c r="J566" i="67"/>
  <c r="F566"/>
  <c r="L566"/>
  <c r="H566"/>
  <c r="J116" i="65"/>
  <c r="L116"/>
  <c r="F116"/>
  <c r="N116"/>
  <c r="R116"/>
  <c r="P116"/>
  <c r="H116"/>
  <c r="F129" i="68"/>
  <c r="H129"/>
  <c r="J129"/>
  <c r="N129"/>
  <c r="P129"/>
  <c r="R129"/>
  <c r="L129"/>
  <c r="L622" i="67"/>
  <c r="F622"/>
  <c r="J622"/>
  <c r="H622"/>
  <c r="F115" i="64"/>
  <c r="F24" i="56"/>
  <c r="AC84" i="48"/>
  <c r="AG84" s="1"/>
  <c r="N100" i="64"/>
  <c r="F100"/>
  <c r="L100"/>
  <c r="J100"/>
  <c r="H100"/>
  <c r="R100"/>
  <c r="P100"/>
  <c r="J105"/>
  <c r="H105"/>
  <c r="F105"/>
  <c r="N105"/>
  <c r="L105"/>
  <c r="P105"/>
  <c r="R105"/>
  <c r="N131"/>
  <c r="P131"/>
  <c r="L131"/>
  <c r="J131"/>
  <c r="F131"/>
  <c r="R131"/>
  <c r="H131"/>
  <c r="C171"/>
  <c r="P119"/>
  <c r="N119"/>
  <c r="L119"/>
  <c r="H119"/>
  <c r="R119"/>
  <c r="J119"/>
  <c r="F119"/>
  <c r="N112"/>
  <c r="L112"/>
  <c r="J112"/>
  <c r="H112"/>
  <c r="R112"/>
  <c r="P112"/>
  <c r="F112"/>
  <c r="H118"/>
  <c r="F118"/>
  <c r="P118"/>
  <c r="L118"/>
  <c r="N118"/>
  <c r="J118"/>
  <c r="R118"/>
  <c r="C23" i="56"/>
  <c r="C22"/>
  <c r="P136" i="64" l="1"/>
  <c r="F136"/>
  <c r="N132"/>
  <c r="L136"/>
  <c r="N136"/>
  <c r="R136"/>
  <c r="J136"/>
  <c r="P132"/>
  <c r="H132"/>
  <c r="J108"/>
  <c r="R108"/>
  <c r="F132"/>
  <c r="J132"/>
  <c r="R132"/>
  <c r="F108"/>
  <c r="N108"/>
  <c r="P108"/>
  <c r="L108"/>
  <c r="P47" i="65"/>
  <c r="P54"/>
  <c r="H825" i="67"/>
  <c r="L825"/>
  <c r="F825"/>
  <c r="J825"/>
  <c r="H321"/>
  <c r="L321"/>
  <c r="J321"/>
  <c r="F321"/>
  <c r="L772"/>
  <c r="J772"/>
  <c r="H772"/>
  <c r="F772"/>
  <c r="C172" i="68"/>
  <c r="C1105" i="67"/>
  <c r="C155" i="66"/>
  <c r="C163" i="65"/>
  <c r="C186" i="64"/>
  <c r="P186" s="1"/>
  <c r="C1131" i="67"/>
  <c r="C198" i="68"/>
  <c r="C181" i="66"/>
  <c r="C189" i="65"/>
  <c r="P24"/>
  <c r="L716" i="67"/>
  <c r="H716"/>
  <c r="J716"/>
  <c r="F716"/>
  <c r="C808"/>
  <c r="C185" i="64"/>
  <c r="F185" s="1"/>
  <c r="C197" i="68"/>
  <c r="C1130" i="67"/>
  <c r="C180" i="66"/>
  <c r="C188" i="65"/>
  <c r="C183" i="64"/>
  <c r="N183" s="1"/>
  <c r="C1128" i="67"/>
  <c r="C195" i="68"/>
  <c r="C178" i="66"/>
  <c r="C186" i="65"/>
  <c r="P48" i="66"/>
  <c r="F22" i="67"/>
  <c r="H22"/>
  <c r="H806"/>
  <c r="J806"/>
  <c r="F806"/>
  <c r="L806"/>
  <c r="L648"/>
  <c r="H648"/>
  <c r="F648"/>
  <c r="J648"/>
  <c r="C184" i="64"/>
  <c r="J184" s="1"/>
  <c r="C196" i="68"/>
  <c r="C1129" i="67"/>
  <c r="C179" i="66"/>
  <c r="C187" i="65"/>
  <c r="H826" i="67"/>
  <c r="F826"/>
  <c r="J826"/>
  <c r="L826"/>
  <c r="H258"/>
  <c r="J258"/>
  <c r="F258"/>
  <c r="L258"/>
  <c r="H264"/>
  <c r="J264"/>
  <c r="L264"/>
  <c r="F264"/>
  <c r="C161" i="64"/>
  <c r="P161" s="1"/>
  <c r="C1106" i="67"/>
  <c r="C173" i="68"/>
  <c r="C156" i="66"/>
  <c r="C164" i="65"/>
  <c r="C315" i="67"/>
  <c r="C171" i="68"/>
  <c r="C1104" i="67"/>
  <c r="C154" i="66"/>
  <c r="C162" i="65"/>
  <c r="C828" i="67"/>
  <c r="C322"/>
  <c r="J771"/>
  <c r="H771"/>
  <c r="L771"/>
  <c r="F771"/>
  <c r="J660"/>
  <c r="L660"/>
  <c r="H660"/>
  <c r="F660"/>
  <c r="C122"/>
  <c r="C268"/>
  <c r="C133"/>
  <c r="H18" i="68"/>
  <c r="L170" i="67"/>
  <c r="J170"/>
  <c r="H170"/>
  <c r="F170"/>
  <c r="J1081"/>
  <c r="L1081"/>
  <c r="H1081"/>
  <c r="N1081"/>
  <c r="F1081"/>
  <c r="P1081"/>
  <c r="C88"/>
  <c r="C641"/>
  <c r="C732"/>
  <c r="C222"/>
  <c r="C69"/>
  <c r="C139"/>
  <c r="L139" s="1"/>
  <c r="C571"/>
  <c r="C248"/>
  <c r="L234"/>
  <c r="J234"/>
  <c r="F234"/>
  <c r="H234"/>
  <c r="F144" i="68"/>
  <c r="H144"/>
  <c r="N144"/>
  <c r="P144"/>
  <c r="R144"/>
  <c r="J144"/>
  <c r="L144"/>
  <c r="J57" i="65"/>
  <c r="H57"/>
  <c r="L57"/>
  <c r="F395" i="67"/>
  <c r="H395"/>
  <c r="L395"/>
  <c r="J395"/>
  <c r="L75" i="65"/>
  <c r="J75"/>
  <c r="F75"/>
  <c r="H1116" i="67"/>
  <c r="P1116"/>
  <c r="L1116"/>
  <c r="N1116"/>
  <c r="F1116"/>
  <c r="J1116"/>
  <c r="J18" i="65"/>
  <c r="F18"/>
  <c r="L18"/>
  <c r="H18"/>
  <c r="R18"/>
  <c r="H93" i="67" s="1"/>
  <c r="J567"/>
  <c r="L567"/>
  <c r="F567"/>
  <c r="H567"/>
  <c r="R120" i="68"/>
  <c r="P120"/>
  <c r="F120"/>
  <c r="J120"/>
  <c r="N120"/>
  <c r="L120"/>
  <c r="H120"/>
  <c r="F15" i="70"/>
  <c r="F16"/>
  <c r="F247" i="67"/>
  <c r="H247"/>
  <c r="L247"/>
  <c r="J247"/>
  <c r="H859"/>
  <c r="F859"/>
  <c r="J859"/>
  <c r="L859"/>
  <c r="L28" i="65"/>
  <c r="F28"/>
  <c r="J28"/>
  <c r="R28"/>
  <c r="H343" i="67" s="1"/>
  <c r="H28" i="65"/>
  <c r="L183" i="67"/>
  <c r="H183"/>
  <c r="F183"/>
  <c r="J183"/>
  <c r="J121"/>
  <c r="L121"/>
  <c r="F121"/>
  <c r="H121"/>
  <c r="L814"/>
  <c r="F814"/>
  <c r="H814"/>
  <c r="J814"/>
  <c r="H640"/>
  <c r="J640"/>
  <c r="L640"/>
  <c r="F640"/>
  <c r="F148" i="68"/>
  <c r="L148"/>
  <c r="J148"/>
  <c r="P148"/>
  <c r="N148"/>
  <c r="H148"/>
  <c r="R148"/>
  <c r="H338" i="67"/>
  <c r="F338"/>
  <c r="L338"/>
  <c r="J338"/>
  <c r="C235"/>
  <c r="J127" i="66"/>
  <c r="R127"/>
  <c r="P127"/>
  <c r="L127"/>
  <c r="N127"/>
  <c r="F127"/>
  <c r="H127"/>
  <c r="J558" i="67"/>
  <c r="F558"/>
  <c r="H558"/>
  <c r="L558"/>
  <c r="L208"/>
  <c r="H208"/>
  <c r="F208"/>
  <c r="J208"/>
  <c r="F28" i="68"/>
  <c r="J28"/>
  <c r="H28"/>
  <c r="L848" i="67"/>
  <c r="J848"/>
  <c r="F848"/>
  <c r="H848"/>
  <c r="L426"/>
  <c r="F426"/>
  <c r="J426"/>
  <c r="H426"/>
  <c r="C74"/>
  <c r="C114" i="68"/>
  <c r="C1047" i="67"/>
  <c r="C731"/>
  <c r="C97" i="66"/>
  <c r="C105" i="65"/>
  <c r="C209" i="67"/>
  <c r="C189"/>
  <c r="C733"/>
  <c r="C1046"/>
  <c r="C734"/>
  <c r="C113" i="68"/>
  <c r="C96" i="66"/>
  <c r="C104" i="65"/>
  <c r="C172" i="64"/>
  <c r="H172" s="1"/>
  <c r="C1117" i="67"/>
  <c r="C184" i="68"/>
  <c r="C167" i="66"/>
  <c r="C175" i="65"/>
  <c r="C559" i="67"/>
  <c r="C820"/>
  <c r="C860"/>
  <c r="C94"/>
  <c r="J135" i="65"/>
  <c r="P135"/>
  <c r="F135"/>
  <c r="H135"/>
  <c r="N135"/>
  <c r="L135"/>
  <c r="R135"/>
  <c r="L69" i="66"/>
  <c r="F69"/>
  <c r="J69"/>
  <c r="H267" i="67"/>
  <c r="F267"/>
  <c r="L267"/>
  <c r="J267"/>
  <c r="N103" i="66"/>
  <c r="F103"/>
  <c r="P103"/>
  <c r="H103"/>
  <c r="J103"/>
  <c r="R103"/>
  <c r="L103"/>
  <c r="L68" i="67"/>
  <c r="F68"/>
  <c r="H68"/>
  <c r="J68"/>
  <c r="H428"/>
  <c r="F428"/>
  <c r="J428"/>
  <c r="L428"/>
  <c r="L343"/>
  <c r="F343"/>
  <c r="P343"/>
  <c r="H56" i="65"/>
  <c r="J56"/>
  <c r="F56"/>
  <c r="J131" i="66"/>
  <c r="H131"/>
  <c r="L131"/>
  <c r="N131"/>
  <c r="P131"/>
  <c r="R131"/>
  <c r="F131"/>
  <c r="J518" i="67"/>
  <c r="L518"/>
  <c r="F518"/>
  <c r="H518"/>
  <c r="H617"/>
  <c r="J617"/>
  <c r="F617"/>
  <c r="L617"/>
  <c r="P49" i="66"/>
  <c r="C869" i="67"/>
  <c r="C184"/>
  <c r="L51" i="66"/>
  <c r="J51"/>
  <c r="H51"/>
  <c r="N166"/>
  <c r="P166"/>
  <c r="R166"/>
  <c r="F166"/>
  <c r="H166"/>
  <c r="L166"/>
  <c r="J166"/>
  <c r="H183" i="68"/>
  <c r="R183"/>
  <c r="P183"/>
  <c r="L183"/>
  <c r="N183"/>
  <c r="J183"/>
  <c r="F183"/>
  <c r="F1053" i="67"/>
  <c r="H1053"/>
  <c r="L1053"/>
  <c r="N1053"/>
  <c r="J1053"/>
  <c r="P1053"/>
  <c r="L56" i="66"/>
  <c r="J56"/>
  <c r="F56"/>
  <c r="H62" i="68"/>
  <c r="F50" i="66"/>
  <c r="H50"/>
  <c r="J50"/>
  <c r="C924" i="67"/>
  <c r="C568"/>
  <c r="C689"/>
  <c r="C430"/>
  <c r="C676"/>
  <c r="L676" s="1"/>
  <c r="C396"/>
  <c r="C815"/>
  <c r="C523"/>
  <c r="C171"/>
  <c r="L1077"/>
  <c r="N1077"/>
  <c r="H1077"/>
  <c r="J1077"/>
  <c r="F1077"/>
  <c r="P1077"/>
  <c r="F684"/>
  <c r="J684"/>
  <c r="L684"/>
  <c r="H684"/>
  <c r="N174" i="65"/>
  <c r="P174"/>
  <c r="J174"/>
  <c r="F174"/>
  <c r="L174"/>
  <c r="H174"/>
  <c r="R174"/>
  <c r="J17" i="66"/>
  <c r="F17"/>
  <c r="H17"/>
  <c r="N111" i="65"/>
  <c r="P111"/>
  <c r="H111"/>
  <c r="J111"/>
  <c r="F111"/>
  <c r="L111"/>
  <c r="R111"/>
  <c r="J87" i="67"/>
  <c r="L87"/>
  <c r="F87"/>
  <c r="H87"/>
  <c r="J15" i="68"/>
  <c r="F24"/>
  <c r="J24"/>
  <c r="H24"/>
  <c r="H221" i="67"/>
  <c r="L221"/>
  <c r="F221"/>
  <c r="J221"/>
  <c r="H623"/>
  <c r="F623"/>
  <c r="J623"/>
  <c r="L623"/>
  <c r="H62" i="65"/>
  <c r="R62"/>
  <c r="L62"/>
  <c r="J62"/>
  <c r="F62"/>
  <c r="H27" i="66"/>
  <c r="L27"/>
  <c r="R27"/>
  <c r="J343" i="67" s="1"/>
  <c r="F27" i="66"/>
  <c r="J27"/>
  <c r="F819" i="67"/>
  <c r="H819"/>
  <c r="J819"/>
  <c r="L819"/>
  <c r="L139" i="65"/>
  <c r="P139"/>
  <c r="R139"/>
  <c r="F139"/>
  <c r="J139"/>
  <c r="N139"/>
  <c r="H139"/>
  <c r="L73" i="67"/>
  <c r="H73"/>
  <c r="F73"/>
  <c r="J73"/>
  <c r="H522"/>
  <c r="L522"/>
  <c r="J522"/>
  <c r="F522"/>
  <c r="J685"/>
  <c r="L685"/>
  <c r="F685"/>
  <c r="H685"/>
  <c r="L132"/>
  <c r="F132"/>
  <c r="H132"/>
  <c r="J132"/>
  <c r="P53" i="65"/>
  <c r="F22" i="56"/>
  <c r="AC82" i="48"/>
  <c r="AG82" s="1"/>
  <c r="F23" i="56"/>
  <c r="AC83" i="48"/>
  <c r="AG83" s="1"/>
  <c r="C160" i="64"/>
  <c r="C102"/>
  <c r="C159"/>
  <c r="C101"/>
  <c r="N171"/>
  <c r="L171"/>
  <c r="J171"/>
  <c r="H171"/>
  <c r="F171"/>
  <c r="P171"/>
  <c r="R171"/>
  <c r="D20" i="58"/>
  <c r="C20"/>
  <c r="D19"/>
  <c r="D18"/>
  <c r="C18"/>
  <c r="D17"/>
  <c r="C17"/>
  <c r="D15"/>
  <c r="C15"/>
  <c r="D14"/>
  <c r="C14"/>
  <c r="D13"/>
  <c r="C13"/>
  <c r="D12"/>
  <c r="C12"/>
  <c r="D11"/>
  <c r="C11"/>
  <c r="D10"/>
  <c r="F10" s="1"/>
  <c r="D9"/>
  <c r="D8"/>
  <c r="D7"/>
  <c r="D6"/>
  <c r="C58" i="57"/>
  <c r="C59" s="1"/>
  <c r="H59" s="1"/>
  <c r="H60" s="1"/>
  <c r="C19" i="58" s="1"/>
  <c r="H54" i="57"/>
  <c r="H55" s="1"/>
  <c r="H48"/>
  <c r="H43"/>
  <c r="H34"/>
  <c r="H29"/>
  <c r="H23"/>
  <c r="C9" i="58" s="1"/>
  <c r="H19" i="57"/>
  <c r="C8" i="58" s="1"/>
  <c r="H15" i="57"/>
  <c r="C7" i="58" s="1"/>
  <c r="H11" i="57"/>
  <c r="C6" i="58" s="1"/>
  <c r="H687" i="67" l="1"/>
  <c r="F186" i="64"/>
  <c r="R186"/>
  <c r="L186"/>
  <c r="H183"/>
  <c r="L183"/>
  <c r="P183"/>
  <c r="J161"/>
  <c r="J186"/>
  <c r="N186"/>
  <c r="N184"/>
  <c r="H186"/>
  <c r="L184"/>
  <c r="P185"/>
  <c r="L185"/>
  <c r="F184"/>
  <c r="R185"/>
  <c r="R184"/>
  <c r="H184"/>
  <c r="N185"/>
  <c r="J185"/>
  <c r="F161"/>
  <c r="P184"/>
  <c r="H185"/>
  <c r="N161"/>
  <c r="L161"/>
  <c r="R161"/>
  <c r="H161"/>
  <c r="N172"/>
  <c r="R183"/>
  <c r="J183"/>
  <c r="L172"/>
  <c r="F183"/>
  <c r="F172"/>
  <c r="P69" i="66"/>
  <c r="P18" i="65"/>
  <c r="P51" i="66"/>
  <c r="P28" i="65"/>
  <c r="P57"/>
  <c r="F17" i="70"/>
  <c r="N231" i="68"/>
  <c r="J162" i="65"/>
  <c r="H162"/>
  <c r="N162"/>
  <c r="L162"/>
  <c r="P162"/>
  <c r="F162"/>
  <c r="R162"/>
  <c r="P186"/>
  <c r="H186"/>
  <c r="F186"/>
  <c r="N186"/>
  <c r="L186"/>
  <c r="J186"/>
  <c r="R186"/>
  <c r="N163"/>
  <c r="J163"/>
  <c r="H163"/>
  <c r="P163"/>
  <c r="L163"/>
  <c r="F163"/>
  <c r="R163"/>
  <c r="F12" i="58"/>
  <c r="F17"/>
  <c r="P56" i="66"/>
  <c r="H154"/>
  <c r="F154"/>
  <c r="R154"/>
  <c r="N154"/>
  <c r="J154"/>
  <c r="P154"/>
  <c r="L154"/>
  <c r="H164" i="65"/>
  <c r="R164"/>
  <c r="L164"/>
  <c r="J164"/>
  <c r="P164"/>
  <c r="N164"/>
  <c r="F164"/>
  <c r="N178" i="66"/>
  <c r="L178"/>
  <c r="H178"/>
  <c r="F178"/>
  <c r="R178"/>
  <c r="P178"/>
  <c r="J178"/>
  <c r="L155"/>
  <c r="J155"/>
  <c r="F155"/>
  <c r="P155"/>
  <c r="N155"/>
  <c r="H155"/>
  <c r="R155"/>
  <c r="N1104" i="67"/>
  <c r="J1104"/>
  <c r="P1104"/>
  <c r="F1104"/>
  <c r="L1104"/>
  <c r="H1104"/>
  <c r="N156" i="66"/>
  <c r="J156"/>
  <c r="F156"/>
  <c r="L156"/>
  <c r="P156"/>
  <c r="H156"/>
  <c r="R156"/>
  <c r="P195" i="68"/>
  <c r="N195"/>
  <c r="R195"/>
  <c r="L195"/>
  <c r="J195"/>
  <c r="H195"/>
  <c r="F195"/>
  <c r="J1105" i="67"/>
  <c r="L1105"/>
  <c r="F1105"/>
  <c r="H1105"/>
  <c r="N1105"/>
  <c r="P1105"/>
  <c r="C824"/>
  <c r="C810"/>
  <c r="P171" i="68"/>
  <c r="H171"/>
  <c r="J171"/>
  <c r="F171"/>
  <c r="L171"/>
  <c r="N171"/>
  <c r="R171"/>
  <c r="N173"/>
  <c r="R173"/>
  <c r="F173"/>
  <c r="J173"/>
  <c r="P173"/>
  <c r="H173"/>
  <c r="L173"/>
  <c r="N187" i="65"/>
  <c r="L187"/>
  <c r="F187"/>
  <c r="H187"/>
  <c r="P187"/>
  <c r="J187"/>
  <c r="R187"/>
  <c r="N1128" i="67"/>
  <c r="H1128"/>
  <c r="L1128"/>
  <c r="J1128"/>
  <c r="F1128"/>
  <c r="P1128"/>
  <c r="H189" i="65"/>
  <c r="P189"/>
  <c r="R189"/>
  <c r="F189"/>
  <c r="N189"/>
  <c r="J189"/>
  <c r="L189"/>
  <c r="R172" i="68"/>
  <c r="N172"/>
  <c r="P172"/>
  <c r="F172"/>
  <c r="J172"/>
  <c r="H172"/>
  <c r="L172"/>
  <c r="C827" i="67"/>
  <c r="L322"/>
  <c r="F322"/>
  <c r="J322"/>
  <c r="H322"/>
  <c r="N1106"/>
  <c r="J1106"/>
  <c r="H1106"/>
  <c r="L1106"/>
  <c r="F1106"/>
  <c r="P1106"/>
  <c r="H179" i="66"/>
  <c r="F179"/>
  <c r="P179"/>
  <c r="R179"/>
  <c r="N179"/>
  <c r="L179"/>
  <c r="J179"/>
  <c r="L181"/>
  <c r="F181"/>
  <c r="J181"/>
  <c r="N181"/>
  <c r="H181"/>
  <c r="P181"/>
  <c r="R181"/>
  <c r="N197" i="68"/>
  <c r="R197"/>
  <c r="H197"/>
  <c r="J197"/>
  <c r="F197"/>
  <c r="L197"/>
  <c r="P197"/>
  <c r="J828" i="67"/>
  <c r="H828"/>
  <c r="L828"/>
  <c r="F828"/>
  <c r="P1129"/>
  <c r="F1129"/>
  <c r="J1129"/>
  <c r="L1129"/>
  <c r="N1129"/>
  <c r="H1129"/>
  <c r="H188" i="65"/>
  <c r="R188"/>
  <c r="L188"/>
  <c r="J188"/>
  <c r="N188"/>
  <c r="F188"/>
  <c r="P188"/>
  <c r="J198" i="68"/>
  <c r="R198"/>
  <c r="L198"/>
  <c r="P198"/>
  <c r="F198"/>
  <c r="N198"/>
  <c r="H198"/>
  <c r="J315" i="67"/>
  <c r="L315"/>
  <c r="H315"/>
  <c r="F315"/>
  <c r="L196" i="68"/>
  <c r="J196"/>
  <c r="F196"/>
  <c r="R196"/>
  <c r="N196"/>
  <c r="H196"/>
  <c r="P196"/>
  <c r="N180" i="66"/>
  <c r="P180"/>
  <c r="H180"/>
  <c r="F180"/>
  <c r="L180"/>
  <c r="J180"/>
  <c r="R180"/>
  <c r="L808" i="67"/>
  <c r="F808"/>
  <c r="J808"/>
  <c r="H808"/>
  <c r="J1131"/>
  <c r="P1131"/>
  <c r="H1131"/>
  <c r="L1131"/>
  <c r="F1131"/>
  <c r="N1131"/>
  <c r="C809"/>
  <c r="P27" i="66"/>
  <c r="N1130" i="67"/>
  <c r="H1130"/>
  <c r="L1130"/>
  <c r="J1130"/>
  <c r="F1130"/>
  <c r="P1130"/>
  <c r="C921"/>
  <c r="H58" i="68"/>
  <c r="J689" i="67"/>
  <c r="F689"/>
  <c r="L689"/>
  <c r="H689"/>
  <c r="J189"/>
  <c r="F189"/>
  <c r="L189"/>
  <c r="H189"/>
  <c r="H19" i="66"/>
  <c r="F19"/>
  <c r="C816" i="67"/>
  <c r="C572"/>
  <c r="C236"/>
  <c r="C821"/>
  <c r="J171"/>
  <c r="L171"/>
  <c r="F171"/>
  <c r="H171"/>
  <c r="H52" i="66"/>
  <c r="L52"/>
  <c r="J52"/>
  <c r="H568" i="67"/>
  <c r="J568"/>
  <c r="F568"/>
  <c r="L568"/>
  <c r="H924"/>
  <c r="F924"/>
  <c r="J924"/>
  <c r="L924"/>
  <c r="F820"/>
  <c r="J820"/>
  <c r="H820"/>
  <c r="L820"/>
  <c r="J559"/>
  <c r="H559"/>
  <c r="F559"/>
  <c r="L559"/>
  <c r="F1117"/>
  <c r="H1117"/>
  <c r="J1117"/>
  <c r="L1117"/>
  <c r="P1117"/>
  <c r="N1117"/>
  <c r="L104" i="65"/>
  <c r="N104"/>
  <c r="F104"/>
  <c r="P104"/>
  <c r="H104"/>
  <c r="J104"/>
  <c r="R104"/>
  <c r="F97" i="66"/>
  <c r="R97"/>
  <c r="H97"/>
  <c r="J97"/>
  <c r="N97"/>
  <c r="P97"/>
  <c r="L97"/>
  <c r="J74" i="67"/>
  <c r="F74"/>
  <c r="L74"/>
  <c r="H74"/>
  <c r="F20" i="65"/>
  <c r="H20"/>
  <c r="L641" i="67"/>
  <c r="J641"/>
  <c r="F641"/>
  <c r="H641"/>
  <c r="J88"/>
  <c r="F88"/>
  <c r="L88"/>
  <c r="H88"/>
  <c r="P172" i="64"/>
  <c r="J172"/>
  <c r="P62" i="65"/>
  <c r="C172" i="67"/>
  <c r="C190"/>
  <c r="C89"/>
  <c r="C140"/>
  <c r="C70"/>
  <c r="L523"/>
  <c r="H523"/>
  <c r="J523"/>
  <c r="F523"/>
  <c r="H815"/>
  <c r="F815"/>
  <c r="L815"/>
  <c r="J815"/>
  <c r="N175" i="65"/>
  <c r="H175"/>
  <c r="P175"/>
  <c r="J175"/>
  <c r="F175"/>
  <c r="L175"/>
  <c r="R175"/>
  <c r="N96" i="66"/>
  <c r="R96"/>
  <c r="F96"/>
  <c r="H96"/>
  <c r="J96"/>
  <c r="P96"/>
  <c r="L96"/>
  <c r="R113" i="68"/>
  <c r="J113"/>
  <c r="N113"/>
  <c r="L113"/>
  <c r="P113"/>
  <c r="F113"/>
  <c r="H113"/>
  <c r="F733" i="67"/>
  <c r="L733"/>
  <c r="H733"/>
  <c r="J733"/>
  <c r="F209"/>
  <c r="H209"/>
  <c r="J209"/>
  <c r="L209"/>
  <c r="H114" i="68"/>
  <c r="F114"/>
  <c r="J114"/>
  <c r="L114"/>
  <c r="P114"/>
  <c r="N114"/>
  <c r="R114"/>
  <c r="C134" i="67"/>
  <c r="C484"/>
  <c r="C95"/>
  <c r="C123"/>
  <c r="C249"/>
  <c r="C642"/>
  <c r="C569"/>
  <c r="C465"/>
  <c r="C150" i="68"/>
  <c r="C1083" i="67"/>
  <c r="C133" i="66"/>
  <c r="C141" i="65"/>
  <c r="C223" i="67"/>
  <c r="H58" i="65"/>
  <c r="R58"/>
  <c r="H676" i="67" s="1"/>
  <c r="L58" i="65"/>
  <c r="J58"/>
  <c r="F58"/>
  <c r="H184" i="67"/>
  <c r="J184"/>
  <c r="F184"/>
  <c r="L184"/>
  <c r="L184" i="68"/>
  <c r="N184"/>
  <c r="P184"/>
  <c r="H184"/>
  <c r="F184"/>
  <c r="J184"/>
  <c r="R184"/>
  <c r="N1046" i="67"/>
  <c r="H1046"/>
  <c r="J1046"/>
  <c r="L1046"/>
  <c r="F1046"/>
  <c r="P1046"/>
  <c r="H105" i="65"/>
  <c r="F105"/>
  <c r="L105"/>
  <c r="J105"/>
  <c r="N105"/>
  <c r="P105"/>
  <c r="R105"/>
  <c r="F1047" i="67"/>
  <c r="L1047"/>
  <c r="N1047"/>
  <c r="H1047"/>
  <c r="J1047"/>
  <c r="P1047"/>
  <c r="L235"/>
  <c r="H235"/>
  <c r="J235"/>
  <c r="F235"/>
  <c r="F13" i="58"/>
  <c r="F18"/>
  <c r="R172" i="64"/>
  <c r="P75" i="65"/>
  <c r="C137" i="64"/>
  <c r="L137" s="1"/>
  <c r="C149" i="68"/>
  <c r="C1082" i="67"/>
  <c r="C132" i="66"/>
  <c r="C140" i="65"/>
  <c r="C478" i="67"/>
  <c r="C210"/>
  <c r="C185" i="68"/>
  <c r="C1118" i="67"/>
  <c r="C168" i="66"/>
  <c r="C176" i="65"/>
  <c r="C560" i="67"/>
  <c r="C524"/>
  <c r="C471"/>
  <c r="C185"/>
  <c r="C178" i="68"/>
  <c r="C904" i="67"/>
  <c r="L904" s="1"/>
  <c r="C1111"/>
  <c r="C161" i="66"/>
  <c r="C169" i="65"/>
  <c r="C75" i="67"/>
  <c r="C269"/>
  <c r="L396"/>
  <c r="H396"/>
  <c r="F396"/>
  <c r="J396"/>
  <c r="L430"/>
  <c r="F430"/>
  <c r="H430"/>
  <c r="J430"/>
  <c r="J869"/>
  <c r="L869"/>
  <c r="F869"/>
  <c r="H869"/>
  <c r="F94"/>
  <c r="H94"/>
  <c r="L94"/>
  <c r="J94"/>
  <c r="F860"/>
  <c r="H860"/>
  <c r="J860"/>
  <c r="L860"/>
  <c r="H167" i="66"/>
  <c r="J167"/>
  <c r="R167"/>
  <c r="L167"/>
  <c r="N167"/>
  <c r="P167"/>
  <c r="F167"/>
  <c r="H734" i="67"/>
  <c r="J734"/>
  <c r="L734"/>
  <c r="F734"/>
  <c r="F731"/>
  <c r="J731"/>
  <c r="L731"/>
  <c r="H731"/>
  <c r="L248"/>
  <c r="H248"/>
  <c r="F248"/>
  <c r="J248"/>
  <c r="F571"/>
  <c r="H571"/>
  <c r="J571"/>
  <c r="L571"/>
  <c r="F69"/>
  <c r="H69"/>
  <c r="J69"/>
  <c r="L69"/>
  <c r="F222"/>
  <c r="H222"/>
  <c r="L222"/>
  <c r="J222"/>
  <c r="F732"/>
  <c r="J732"/>
  <c r="L732"/>
  <c r="H732"/>
  <c r="J133"/>
  <c r="F133"/>
  <c r="H133"/>
  <c r="L133"/>
  <c r="L268"/>
  <c r="H268"/>
  <c r="F268"/>
  <c r="J268"/>
  <c r="H122"/>
  <c r="F122"/>
  <c r="L122"/>
  <c r="J122"/>
  <c r="J101" i="64"/>
  <c r="N101"/>
  <c r="L101"/>
  <c r="H101"/>
  <c r="F101"/>
  <c r="P101"/>
  <c r="R101"/>
  <c r="N159"/>
  <c r="L159"/>
  <c r="H159"/>
  <c r="J159"/>
  <c r="F159"/>
  <c r="P159"/>
  <c r="R159"/>
  <c r="C166"/>
  <c r="C138"/>
  <c r="F102"/>
  <c r="N102"/>
  <c r="P102"/>
  <c r="L102"/>
  <c r="J102"/>
  <c r="H102"/>
  <c r="R102"/>
  <c r="C173"/>
  <c r="J160"/>
  <c r="H160"/>
  <c r="N160"/>
  <c r="L160"/>
  <c r="F160"/>
  <c r="R160"/>
  <c r="P160"/>
  <c r="F11" i="58"/>
  <c r="F6"/>
  <c r="F19"/>
  <c r="F9"/>
  <c r="F14"/>
  <c r="F15"/>
  <c r="F20"/>
  <c r="F7"/>
  <c r="F8"/>
  <c r="N137" i="64" l="1"/>
  <c r="H137"/>
  <c r="F137"/>
  <c r="J137"/>
  <c r="P137"/>
  <c r="R137"/>
  <c r="P58" i="65"/>
  <c r="L824" i="67"/>
  <c r="F824"/>
  <c r="J824"/>
  <c r="H824"/>
  <c r="C807"/>
  <c r="H810"/>
  <c r="J810"/>
  <c r="L810"/>
  <c r="F810"/>
  <c r="C811"/>
  <c r="C805"/>
  <c r="L827"/>
  <c r="H827"/>
  <c r="F827"/>
  <c r="J827"/>
  <c r="L809"/>
  <c r="H809"/>
  <c r="J809"/>
  <c r="F809"/>
  <c r="C817"/>
  <c r="C923"/>
  <c r="C141"/>
  <c r="J73" i="65"/>
  <c r="F73"/>
  <c r="L73"/>
  <c r="N168" i="66"/>
  <c r="J168"/>
  <c r="P168"/>
  <c r="L168"/>
  <c r="F168"/>
  <c r="H168"/>
  <c r="R168"/>
  <c r="F132"/>
  <c r="L132"/>
  <c r="P132"/>
  <c r="J132"/>
  <c r="H132"/>
  <c r="R132"/>
  <c r="N132"/>
  <c r="L141" i="65"/>
  <c r="F141"/>
  <c r="J141"/>
  <c r="P141"/>
  <c r="N141"/>
  <c r="H141"/>
  <c r="R141"/>
  <c r="L95" i="67"/>
  <c r="J95"/>
  <c r="F95"/>
  <c r="H95"/>
  <c r="J140"/>
  <c r="L140"/>
  <c r="F140"/>
  <c r="H140"/>
  <c r="L89"/>
  <c r="F89"/>
  <c r="H89"/>
  <c r="J89"/>
  <c r="L921"/>
  <c r="F921"/>
  <c r="J921"/>
  <c r="H921"/>
  <c r="C479"/>
  <c r="C96"/>
  <c r="C71"/>
  <c r="R169" i="65"/>
  <c r="J169"/>
  <c r="P169"/>
  <c r="L169"/>
  <c r="N169"/>
  <c r="H169"/>
  <c r="F169"/>
  <c r="F1111" i="67"/>
  <c r="L1111"/>
  <c r="H1111"/>
  <c r="J1111"/>
  <c r="N1111"/>
  <c r="P1111"/>
  <c r="N176" i="65"/>
  <c r="P176"/>
  <c r="F176"/>
  <c r="H176"/>
  <c r="J176"/>
  <c r="L176"/>
  <c r="R176"/>
  <c r="F140"/>
  <c r="L140"/>
  <c r="N140"/>
  <c r="J140"/>
  <c r="P140"/>
  <c r="H140"/>
  <c r="R140"/>
  <c r="H150" i="68"/>
  <c r="R150"/>
  <c r="N150"/>
  <c r="P150"/>
  <c r="J150"/>
  <c r="F150"/>
  <c r="L150"/>
  <c r="L569" i="67"/>
  <c r="J569"/>
  <c r="H569"/>
  <c r="F569"/>
  <c r="F249"/>
  <c r="H249"/>
  <c r="J249"/>
  <c r="L249"/>
  <c r="L123"/>
  <c r="F123"/>
  <c r="H123"/>
  <c r="J123"/>
  <c r="L134"/>
  <c r="J134"/>
  <c r="F134"/>
  <c r="H134"/>
  <c r="L236"/>
  <c r="F236"/>
  <c r="H236"/>
  <c r="J236"/>
  <c r="L572"/>
  <c r="J572"/>
  <c r="F572"/>
  <c r="H572"/>
  <c r="H816"/>
  <c r="J816"/>
  <c r="F816"/>
  <c r="L816"/>
  <c r="P52" i="66"/>
  <c r="C693" i="67"/>
  <c r="C445"/>
  <c r="C704"/>
  <c r="C455"/>
  <c r="C890"/>
  <c r="C135"/>
  <c r="C922"/>
  <c r="C485"/>
  <c r="C173"/>
  <c r="C573"/>
  <c r="C327"/>
  <c r="C191"/>
  <c r="C211"/>
  <c r="C90"/>
  <c r="J75"/>
  <c r="F75"/>
  <c r="H75"/>
  <c r="L75"/>
  <c r="J67" i="66"/>
  <c r="L67"/>
  <c r="F67"/>
  <c r="N185" i="68"/>
  <c r="F185"/>
  <c r="H185"/>
  <c r="R185"/>
  <c r="J185"/>
  <c r="P185"/>
  <c r="L185"/>
  <c r="J149"/>
  <c r="N149"/>
  <c r="R149"/>
  <c r="F149"/>
  <c r="L149"/>
  <c r="H149"/>
  <c r="P149"/>
  <c r="H223" i="67"/>
  <c r="F223"/>
  <c r="L223"/>
  <c r="J223"/>
  <c r="F1083"/>
  <c r="P1083"/>
  <c r="L1083"/>
  <c r="N1083"/>
  <c r="H1083"/>
  <c r="J1083"/>
  <c r="J465"/>
  <c r="F465"/>
  <c r="H465"/>
  <c r="L465"/>
  <c r="J642"/>
  <c r="L642"/>
  <c r="H642"/>
  <c r="F642"/>
  <c r="F821"/>
  <c r="J821"/>
  <c r="L821"/>
  <c r="H821"/>
  <c r="C104" i="64"/>
  <c r="N104" s="1"/>
  <c r="C116" i="68"/>
  <c r="C1049" i="67"/>
  <c r="C99" i="66"/>
  <c r="C107" i="65"/>
  <c r="C124" i="67"/>
  <c r="C822"/>
  <c r="C692"/>
  <c r="C446"/>
  <c r="C330"/>
  <c r="L484"/>
  <c r="J484"/>
  <c r="F484"/>
  <c r="H484"/>
  <c r="L190"/>
  <c r="J190"/>
  <c r="H190"/>
  <c r="F190"/>
  <c r="C76"/>
  <c r="C525"/>
  <c r="C326"/>
  <c r="C472"/>
  <c r="C270"/>
  <c r="C139" i="64"/>
  <c r="P139" s="1"/>
  <c r="C151" i="68"/>
  <c r="C1084" i="67"/>
  <c r="C134" i="66"/>
  <c r="C142" i="65"/>
  <c r="C511" i="67"/>
  <c r="C186"/>
  <c r="C466"/>
  <c r="C561"/>
  <c r="C250"/>
  <c r="C237"/>
  <c r="F269"/>
  <c r="H269"/>
  <c r="J269"/>
  <c r="L269"/>
  <c r="N161" i="66"/>
  <c r="F161"/>
  <c r="L161"/>
  <c r="H161"/>
  <c r="J161"/>
  <c r="P161"/>
  <c r="R161"/>
  <c r="R178" i="68"/>
  <c r="F178"/>
  <c r="P178"/>
  <c r="L178"/>
  <c r="N178"/>
  <c r="J178"/>
  <c r="H178"/>
  <c r="F185" i="67"/>
  <c r="L185"/>
  <c r="J185"/>
  <c r="H185"/>
  <c r="H471"/>
  <c r="F471"/>
  <c r="J471"/>
  <c r="L471"/>
  <c r="J524"/>
  <c r="L524"/>
  <c r="F524"/>
  <c r="H524"/>
  <c r="H560"/>
  <c r="J560"/>
  <c r="F560"/>
  <c r="L560"/>
  <c r="J1118"/>
  <c r="H1118"/>
  <c r="L1118"/>
  <c r="N1118"/>
  <c r="F1118"/>
  <c r="P1118"/>
  <c r="J210"/>
  <c r="H210"/>
  <c r="F210"/>
  <c r="L210"/>
  <c r="L478"/>
  <c r="J478"/>
  <c r="F478"/>
  <c r="H478"/>
  <c r="N1082"/>
  <c r="C694"/>
  <c r="L694" s="1"/>
  <c r="J1082"/>
  <c r="L1082"/>
  <c r="F1082"/>
  <c r="P1082"/>
  <c r="H1082"/>
  <c r="F133" i="66"/>
  <c r="H133"/>
  <c r="J133"/>
  <c r="P133"/>
  <c r="L133"/>
  <c r="N133"/>
  <c r="R133"/>
  <c r="H70" i="67"/>
  <c r="J70"/>
  <c r="F70"/>
  <c r="L70"/>
  <c r="L172"/>
  <c r="J172"/>
  <c r="F172"/>
  <c r="H172"/>
  <c r="L138" i="64"/>
  <c r="N138"/>
  <c r="J138"/>
  <c r="F138"/>
  <c r="H138"/>
  <c r="P138"/>
  <c r="R138"/>
  <c r="F166"/>
  <c r="P166"/>
  <c r="N166"/>
  <c r="L166"/>
  <c r="J166"/>
  <c r="H166"/>
  <c r="R166"/>
  <c r="J173"/>
  <c r="F173"/>
  <c r="P173"/>
  <c r="N173"/>
  <c r="L173"/>
  <c r="H173"/>
  <c r="R173"/>
  <c r="F22" i="58"/>
  <c r="F23" s="1"/>
  <c r="D11" i="56"/>
  <c r="AD12" i="48" s="1"/>
  <c r="D20" i="56"/>
  <c r="AD63" i="48" s="1"/>
  <c r="AH63" s="1"/>
  <c r="C20" i="56"/>
  <c r="AC63" i="48" s="1"/>
  <c r="AG63" s="1"/>
  <c r="D19" i="56"/>
  <c r="AD62" i="48" s="1"/>
  <c r="AH62" s="1"/>
  <c r="C18" i="56"/>
  <c r="AC60" i="48" s="1"/>
  <c r="AG60" s="1"/>
  <c r="D17" i="56"/>
  <c r="AD59" i="48" s="1"/>
  <c r="AH59" s="1"/>
  <c r="C17" i="56"/>
  <c r="AC59" i="48" s="1"/>
  <c r="AG59" s="1"/>
  <c r="D15" i="56"/>
  <c r="AD61" i="48" s="1"/>
  <c r="AH61" s="1"/>
  <c r="C15" i="56"/>
  <c r="AC61" i="48" s="1"/>
  <c r="AG61" s="1"/>
  <c r="D14" i="56"/>
  <c r="AD19" i="48" s="1"/>
  <c r="AH19" s="1"/>
  <c r="C14" i="56"/>
  <c r="AC19" i="48" s="1"/>
  <c r="AG19" s="1"/>
  <c r="C13" i="56"/>
  <c r="AC17" i="48" s="1"/>
  <c r="C12" i="56"/>
  <c r="AC13" i="48" s="1"/>
  <c r="C11" i="56"/>
  <c r="AC12" i="48" s="1"/>
  <c r="D10" i="56"/>
  <c r="D7"/>
  <c r="AD7" i="48" s="1"/>
  <c r="AH7" s="1"/>
  <c r="D6" i="56"/>
  <c r="AD6" i="48" s="1"/>
  <c r="C19" i="56"/>
  <c r="AC62" i="48" s="1"/>
  <c r="AG62" s="1"/>
  <c r="C9" i="56"/>
  <c r="AC8" i="48" s="1"/>
  <c r="C8" i="56"/>
  <c r="AC14" i="48" s="1"/>
  <c r="C6" i="56"/>
  <c r="AC6" i="48" s="1"/>
  <c r="N139" i="64" l="1"/>
  <c r="J139"/>
  <c r="R139"/>
  <c r="H139"/>
  <c r="F139"/>
  <c r="L139"/>
  <c r="F104"/>
  <c r="P67" i="66"/>
  <c r="L805" i="67"/>
  <c r="H805"/>
  <c r="J805"/>
  <c r="F805"/>
  <c r="C804"/>
  <c r="P73" i="65"/>
  <c r="H811" i="67"/>
  <c r="L811"/>
  <c r="J811"/>
  <c r="F811"/>
  <c r="L807"/>
  <c r="H807"/>
  <c r="J807"/>
  <c r="F807"/>
  <c r="C480"/>
  <c r="C504"/>
  <c r="C1031"/>
  <c r="L1031" s="1"/>
  <c r="F151" i="68"/>
  <c r="H151"/>
  <c r="R151"/>
  <c r="P151"/>
  <c r="J151"/>
  <c r="L151"/>
  <c r="N151"/>
  <c r="H446" i="67"/>
  <c r="F446"/>
  <c r="J446"/>
  <c r="L446"/>
  <c r="L327"/>
  <c r="H327"/>
  <c r="F327"/>
  <c r="J327"/>
  <c r="L64" i="65"/>
  <c r="J64"/>
  <c r="F64"/>
  <c r="C192" i="67"/>
  <c r="C251"/>
  <c r="C97"/>
  <c r="J250"/>
  <c r="H250"/>
  <c r="F250"/>
  <c r="L250"/>
  <c r="L561"/>
  <c r="F561"/>
  <c r="H561"/>
  <c r="J561"/>
  <c r="L186"/>
  <c r="H186"/>
  <c r="J186"/>
  <c r="F186"/>
  <c r="N1084"/>
  <c r="H1084"/>
  <c r="J1084"/>
  <c r="P1084"/>
  <c r="L1084"/>
  <c r="F1084"/>
  <c r="L57" i="66"/>
  <c r="J57"/>
  <c r="F57"/>
  <c r="R57"/>
  <c r="J692" i="67" s="1"/>
  <c r="H57" i="66"/>
  <c r="N116" i="68"/>
  <c r="F116"/>
  <c r="L116"/>
  <c r="P116"/>
  <c r="H116"/>
  <c r="R116"/>
  <c r="J116"/>
  <c r="L90" i="67"/>
  <c r="H90"/>
  <c r="J90"/>
  <c r="F90"/>
  <c r="L211"/>
  <c r="J211"/>
  <c r="H211"/>
  <c r="F211"/>
  <c r="J922"/>
  <c r="F922"/>
  <c r="H922"/>
  <c r="L922"/>
  <c r="L890"/>
  <c r="H890"/>
  <c r="J890"/>
  <c r="F890"/>
  <c r="L693"/>
  <c r="J693"/>
  <c r="F693"/>
  <c r="H693"/>
  <c r="P104" i="64"/>
  <c r="H104"/>
  <c r="C467" i="67"/>
  <c r="C512"/>
  <c r="J89" i="68"/>
  <c r="L270" i="67"/>
  <c r="H270"/>
  <c r="F270"/>
  <c r="J270"/>
  <c r="N107" i="65"/>
  <c r="H107"/>
  <c r="R107"/>
  <c r="F107"/>
  <c r="L107"/>
  <c r="J107"/>
  <c r="P107"/>
  <c r="L135" i="67"/>
  <c r="J135"/>
  <c r="H135"/>
  <c r="F135"/>
  <c r="C174"/>
  <c r="C77"/>
  <c r="C697"/>
  <c r="C142"/>
  <c r="C136"/>
  <c r="C238"/>
  <c r="C491"/>
  <c r="C706"/>
  <c r="H237"/>
  <c r="J237"/>
  <c r="L237"/>
  <c r="F237"/>
  <c r="J466"/>
  <c r="L466"/>
  <c r="F466"/>
  <c r="H466"/>
  <c r="F511"/>
  <c r="H511"/>
  <c r="L511"/>
  <c r="J511"/>
  <c r="N134" i="66"/>
  <c r="F134"/>
  <c r="H134"/>
  <c r="J134"/>
  <c r="L134"/>
  <c r="P134"/>
  <c r="R134"/>
  <c r="F76" i="67"/>
  <c r="H76"/>
  <c r="L76"/>
  <c r="J76"/>
  <c r="L330"/>
  <c r="F330"/>
  <c r="H330"/>
  <c r="J330"/>
  <c r="L692"/>
  <c r="F692"/>
  <c r="P692"/>
  <c r="L822"/>
  <c r="H822"/>
  <c r="F822"/>
  <c r="J822"/>
  <c r="H124"/>
  <c r="L124"/>
  <c r="J124"/>
  <c r="F124"/>
  <c r="C727"/>
  <c r="F1049"/>
  <c r="L1049"/>
  <c r="P1049"/>
  <c r="N1049"/>
  <c r="H1049"/>
  <c r="J1049"/>
  <c r="L173"/>
  <c r="J173"/>
  <c r="F173"/>
  <c r="H173"/>
  <c r="J485"/>
  <c r="H485"/>
  <c r="L485"/>
  <c r="F485"/>
  <c r="J704"/>
  <c r="L704"/>
  <c r="H704"/>
  <c r="F704"/>
  <c r="L445"/>
  <c r="F445"/>
  <c r="H445"/>
  <c r="J445"/>
  <c r="J479"/>
  <c r="H479"/>
  <c r="L479"/>
  <c r="F479"/>
  <c r="F58" i="66"/>
  <c r="L58"/>
  <c r="J58"/>
  <c r="R104" i="64"/>
  <c r="L104"/>
  <c r="C696" i="67"/>
  <c r="C1112"/>
  <c r="C179" i="68"/>
  <c r="C905" i="67"/>
  <c r="L905" s="1"/>
  <c r="C162" i="66"/>
  <c r="C170" i="65"/>
  <c r="C473" i="67"/>
  <c r="C526"/>
  <c r="C187"/>
  <c r="L191"/>
  <c r="J191"/>
  <c r="F191"/>
  <c r="H191"/>
  <c r="L71"/>
  <c r="J71"/>
  <c r="F71"/>
  <c r="H71"/>
  <c r="C486"/>
  <c r="C497"/>
  <c r="C91"/>
  <c r="P142" i="65"/>
  <c r="L142"/>
  <c r="F142"/>
  <c r="N142"/>
  <c r="J142"/>
  <c r="H142"/>
  <c r="R142"/>
  <c r="H472" i="67"/>
  <c r="L472"/>
  <c r="F472"/>
  <c r="J472"/>
  <c r="J326"/>
  <c r="F326"/>
  <c r="H326"/>
  <c r="L326"/>
  <c r="J525"/>
  <c r="H525"/>
  <c r="L525"/>
  <c r="F525"/>
  <c r="J63" i="65"/>
  <c r="F63"/>
  <c r="L63"/>
  <c r="H63"/>
  <c r="R63"/>
  <c r="F63" i="68"/>
  <c r="H63"/>
  <c r="J63"/>
  <c r="R99" i="66"/>
  <c r="H99"/>
  <c r="J99"/>
  <c r="F99"/>
  <c r="N99"/>
  <c r="L99"/>
  <c r="P99"/>
  <c r="J573" i="67"/>
  <c r="F573"/>
  <c r="L573"/>
  <c r="H573"/>
  <c r="J455"/>
  <c r="F455"/>
  <c r="H455"/>
  <c r="L455"/>
  <c r="F96"/>
  <c r="H96"/>
  <c r="J96"/>
  <c r="L96"/>
  <c r="J141"/>
  <c r="L141"/>
  <c r="H141"/>
  <c r="F141"/>
  <c r="F923"/>
  <c r="L923"/>
  <c r="H923"/>
  <c r="J923"/>
  <c r="L817"/>
  <c r="H817"/>
  <c r="J817"/>
  <c r="F817"/>
  <c r="J104" i="64"/>
  <c r="C7" i="56"/>
  <c r="AC7" i="48" s="1"/>
  <c r="AG7" s="1"/>
  <c r="K39" i="67"/>
  <c r="C167" i="64"/>
  <c r="F10" i="56"/>
  <c r="AD55" i="48"/>
  <c r="AH55" s="1"/>
  <c r="F18" i="56"/>
  <c r="F20"/>
  <c r="F14"/>
  <c r="F15"/>
  <c r="F11"/>
  <c r="F17"/>
  <c r="F19"/>
  <c r="F6"/>
  <c r="AA71" i="48"/>
  <c r="AB71"/>
  <c r="Y71"/>
  <c r="Z71"/>
  <c r="Y80"/>
  <c r="X71"/>
  <c r="W71"/>
  <c r="D13" i="54"/>
  <c r="D12"/>
  <c r="D13" i="56" s="1"/>
  <c r="AD17" i="48" s="1"/>
  <c r="D11" i="54"/>
  <c r="D10"/>
  <c r="D9"/>
  <c r="D8"/>
  <c r="D7"/>
  <c r="D6"/>
  <c r="H43" i="53"/>
  <c r="H44" s="1"/>
  <c r="H39"/>
  <c r="H38"/>
  <c r="H37"/>
  <c r="H36"/>
  <c r="E35"/>
  <c r="H35" s="1"/>
  <c r="E31"/>
  <c r="H31" s="1"/>
  <c r="H32" s="1"/>
  <c r="I31" i="66" s="1"/>
  <c r="H27" i="53"/>
  <c r="H26"/>
  <c r="H24"/>
  <c r="E24"/>
  <c r="H20"/>
  <c r="H22" s="1"/>
  <c r="F16"/>
  <c r="E16"/>
  <c r="H16" s="1"/>
  <c r="H18" s="1"/>
  <c r="E12"/>
  <c r="H12" s="1"/>
  <c r="H14" s="1"/>
  <c r="I12" i="66" s="1"/>
  <c r="J12" s="1"/>
  <c r="H8" i="53"/>
  <c r="H10" s="1"/>
  <c r="D13" i="52"/>
  <c r="D12"/>
  <c r="D11"/>
  <c r="D10"/>
  <c r="D9"/>
  <c r="D8"/>
  <c r="D7"/>
  <c r="D6"/>
  <c r="H43" i="51"/>
  <c r="H44" s="1"/>
  <c r="H39"/>
  <c r="H38"/>
  <c r="H37"/>
  <c r="H36"/>
  <c r="E35"/>
  <c r="H35" s="1"/>
  <c r="H31"/>
  <c r="H32" s="1"/>
  <c r="I32" i="65" s="1"/>
  <c r="E31" i="51"/>
  <c r="H27"/>
  <c r="H26"/>
  <c r="E24"/>
  <c r="H24" s="1"/>
  <c r="H20"/>
  <c r="H22" s="1"/>
  <c r="F16"/>
  <c r="E16"/>
  <c r="H16" s="1"/>
  <c r="H18" s="1"/>
  <c r="I14" i="65" s="1"/>
  <c r="J14" s="1"/>
  <c r="E12" i="51"/>
  <c r="H12" s="1"/>
  <c r="H14" s="1"/>
  <c r="I13" i="65" s="1"/>
  <c r="J13" s="1"/>
  <c r="H8" i="51"/>
  <c r="H10" s="1"/>
  <c r="D12" i="50"/>
  <c r="C12"/>
  <c r="D11"/>
  <c r="C11"/>
  <c r="D10"/>
  <c r="C10"/>
  <c r="D9"/>
  <c r="C9"/>
  <c r="E8"/>
  <c r="E11" s="1"/>
  <c r="E12" s="1"/>
  <c r="D8"/>
  <c r="C8"/>
  <c r="E7"/>
  <c r="D7"/>
  <c r="C7"/>
  <c r="E6"/>
  <c r="E10" s="1"/>
  <c r="D6"/>
  <c r="C6"/>
  <c r="E5"/>
  <c r="E9" s="1"/>
  <c r="D5"/>
  <c r="C5"/>
  <c r="A1"/>
  <c r="E23" i="49"/>
  <c r="H23" s="1"/>
  <c r="E14"/>
  <c r="H14" s="1"/>
  <c r="H16" s="1"/>
  <c r="H9"/>
  <c r="H11" s="1"/>
  <c r="P124" i="48"/>
  <c r="P123"/>
  <c r="P122"/>
  <c r="P121"/>
  <c r="P120"/>
  <c r="P119"/>
  <c r="P118"/>
  <c r="P117"/>
  <c r="P116"/>
  <c r="P115"/>
  <c r="P114"/>
  <c r="P113"/>
  <c r="P112"/>
  <c r="P111"/>
  <c r="P110"/>
  <c r="N124"/>
  <c r="N123"/>
  <c r="N122"/>
  <c r="N121"/>
  <c r="N120"/>
  <c r="N119"/>
  <c r="N118"/>
  <c r="N117"/>
  <c r="N116"/>
  <c r="N115"/>
  <c r="N114"/>
  <c r="N113"/>
  <c r="N112"/>
  <c r="N111"/>
  <c r="N110"/>
  <c r="I26"/>
  <c r="J26"/>
  <c r="I39"/>
  <c r="J39"/>
  <c r="G26"/>
  <c r="H26"/>
  <c r="G39"/>
  <c r="H39"/>
  <c r="F26"/>
  <c r="F39"/>
  <c r="E26"/>
  <c r="E39"/>
  <c r="H692" i="67" l="1"/>
  <c r="P64" i="65"/>
  <c r="B5" i="50"/>
  <c r="F5" s="1"/>
  <c r="N6" i="48" s="1"/>
  <c r="C6" i="52"/>
  <c r="S6" i="48" s="1"/>
  <c r="I11" i="65"/>
  <c r="J11" s="1"/>
  <c r="C6" i="54"/>
  <c r="U6" i="48" s="1"/>
  <c r="I11" i="66"/>
  <c r="J11" s="1"/>
  <c r="B6" i="50"/>
  <c r="M8" i="48" s="1"/>
  <c r="K14" i="65"/>
  <c r="O32"/>
  <c r="Q32" s="1"/>
  <c r="J32"/>
  <c r="P32" s="1"/>
  <c r="O31" i="66"/>
  <c r="Q31" s="1"/>
  <c r="J31"/>
  <c r="P31" s="1"/>
  <c r="C8" i="54"/>
  <c r="U8" i="48" s="1"/>
  <c r="I13" i="66"/>
  <c r="J13" s="1"/>
  <c r="C9" i="52"/>
  <c r="S10" i="48" s="1"/>
  <c r="I16" i="65"/>
  <c r="C9" i="54"/>
  <c r="U10" i="48" s="1"/>
  <c r="I15" i="66"/>
  <c r="C802" i="67"/>
  <c r="H804"/>
  <c r="L804"/>
  <c r="F804"/>
  <c r="J804"/>
  <c r="C803"/>
  <c r="C11" i="52"/>
  <c r="S32" i="48" s="1"/>
  <c r="I26" i="65"/>
  <c r="C11" i="54"/>
  <c r="U32" i="48" s="1"/>
  <c r="I25" i="66"/>
  <c r="C513" i="67"/>
  <c r="C78"/>
  <c r="C193"/>
  <c r="N1112"/>
  <c r="H1112"/>
  <c r="L1112"/>
  <c r="F1112"/>
  <c r="P1112"/>
  <c r="J1112"/>
  <c r="L706"/>
  <c r="F706"/>
  <c r="J706"/>
  <c r="H706"/>
  <c r="J136"/>
  <c r="F136"/>
  <c r="H136"/>
  <c r="L136"/>
  <c r="C906"/>
  <c r="C180" i="68"/>
  <c r="C1113" i="67"/>
  <c r="C163" i="66"/>
  <c r="C171" i="65"/>
  <c r="C597" i="67"/>
  <c r="C288"/>
  <c r="C498"/>
  <c r="J526"/>
  <c r="H526"/>
  <c r="L526"/>
  <c r="F526"/>
  <c r="F473"/>
  <c r="L473"/>
  <c r="H473"/>
  <c r="J473"/>
  <c r="F68" i="66"/>
  <c r="L68"/>
  <c r="J68"/>
  <c r="H179" i="68"/>
  <c r="R179"/>
  <c r="P179"/>
  <c r="L179"/>
  <c r="N179"/>
  <c r="F179"/>
  <c r="J179"/>
  <c r="P58" i="66"/>
  <c r="C239" i="67"/>
  <c r="C143"/>
  <c r="J91"/>
  <c r="L91"/>
  <c r="H91"/>
  <c r="F91"/>
  <c r="N162" i="66"/>
  <c r="H162"/>
  <c r="L162"/>
  <c r="F162"/>
  <c r="P162"/>
  <c r="R162"/>
  <c r="J162"/>
  <c r="F696" i="67"/>
  <c r="H696"/>
  <c r="L696"/>
  <c r="J696"/>
  <c r="J491"/>
  <c r="L491"/>
  <c r="H491"/>
  <c r="F491"/>
  <c r="L142"/>
  <c r="J142"/>
  <c r="H142"/>
  <c r="F142"/>
  <c r="F467"/>
  <c r="H467"/>
  <c r="J467"/>
  <c r="L467"/>
  <c r="C505"/>
  <c r="C527"/>
  <c r="C289"/>
  <c r="C600"/>
  <c r="C474"/>
  <c r="C137"/>
  <c r="C481"/>
  <c r="F187"/>
  <c r="H187"/>
  <c r="J187"/>
  <c r="L187"/>
  <c r="L170" i="65"/>
  <c r="H170"/>
  <c r="J170"/>
  <c r="P170"/>
  <c r="F170"/>
  <c r="N170"/>
  <c r="R170"/>
  <c r="J727" i="67"/>
  <c r="L727"/>
  <c r="H727"/>
  <c r="F727"/>
  <c r="L174"/>
  <c r="J174"/>
  <c r="H174"/>
  <c r="F174"/>
  <c r="J97"/>
  <c r="L97"/>
  <c r="F97"/>
  <c r="H97"/>
  <c r="J192"/>
  <c r="H192"/>
  <c r="F192"/>
  <c r="L192"/>
  <c r="J88" i="68"/>
  <c r="P63" i="65"/>
  <c r="P57" i="66"/>
  <c r="C252" i="67"/>
  <c r="C468"/>
  <c r="H486"/>
  <c r="J486"/>
  <c r="L486"/>
  <c r="F486"/>
  <c r="F238"/>
  <c r="L238"/>
  <c r="J238"/>
  <c r="H238"/>
  <c r="J512"/>
  <c r="F512"/>
  <c r="L512"/>
  <c r="H512"/>
  <c r="H504"/>
  <c r="F504"/>
  <c r="L504"/>
  <c r="J504"/>
  <c r="C181" i="68"/>
  <c r="C1114" i="67"/>
  <c r="C909"/>
  <c r="C164" i="66"/>
  <c r="C172" i="65"/>
  <c r="C536" i="67"/>
  <c r="C98"/>
  <c r="C487"/>
  <c r="C492"/>
  <c r="L497"/>
  <c r="H497"/>
  <c r="F497"/>
  <c r="J497"/>
  <c r="L74" i="65"/>
  <c r="F74"/>
  <c r="J74"/>
  <c r="L697" i="67"/>
  <c r="F697"/>
  <c r="H697"/>
  <c r="J697"/>
  <c r="L77"/>
  <c r="F77"/>
  <c r="J77"/>
  <c r="H77"/>
  <c r="L251"/>
  <c r="J251"/>
  <c r="H251"/>
  <c r="F251"/>
  <c r="J480"/>
  <c r="H480"/>
  <c r="L480"/>
  <c r="F480"/>
  <c r="F7" i="56"/>
  <c r="C168" i="64"/>
  <c r="C169"/>
  <c r="N167"/>
  <c r="L167"/>
  <c r="J167"/>
  <c r="H167"/>
  <c r="F167"/>
  <c r="P167"/>
  <c r="R167"/>
  <c r="D18" i="49"/>
  <c r="H18" s="1"/>
  <c r="B7" i="50" s="1"/>
  <c r="M11" i="48" s="1"/>
  <c r="E28" i="49"/>
  <c r="E32" s="1"/>
  <c r="D24"/>
  <c r="H24" s="1"/>
  <c r="AG39" i="48"/>
  <c r="AG26"/>
  <c r="AH39"/>
  <c r="AH26"/>
  <c r="H41" i="53"/>
  <c r="H29"/>
  <c r="I19" i="66" s="1"/>
  <c r="J19" s="1"/>
  <c r="H41" i="51"/>
  <c r="H29"/>
  <c r="I20" i="65" s="1"/>
  <c r="J20" s="1"/>
  <c r="F6" i="52"/>
  <c r="T6" i="48" s="1"/>
  <c r="F6" i="54"/>
  <c r="V6" i="48" s="1"/>
  <c r="F13" i="56"/>
  <c r="F9" i="52"/>
  <c r="T10" i="48" s="1"/>
  <c r="H26" i="49"/>
  <c r="C13" i="54"/>
  <c r="C10"/>
  <c r="C7"/>
  <c r="C8" i="52"/>
  <c r="C7"/>
  <c r="C13"/>
  <c r="C10"/>
  <c r="H28" i="49"/>
  <c r="H30" s="1"/>
  <c r="E36"/>
  <c r="H32"/>
  <c r="H34" s="1"/>
  <c r="M6" i="48" l="1"/>
  <c r="F11" i="52"/>
  <c r="F9" i="54"/>
  <c r="V10" i="48" s="1"/>
  <c r="F8" i="54"/>
  <c r="V8" i="48" s="1"/>
  <c r="F6" i="50"/>
  <c r="N8" i="48" s="1"/>
  <c r="F11" i="54"/>
  <c r="T32" i="48" s="1"/>
  <c r="P68" i="66"/>
  <c r="J802" i="67"/>
  <c r="L802"/>
  <c r="H802"/>
  <c r="F802"/>
  <c r="H803"/>
  <c r="L803"/>
  <c r="J803"/>
  <c r="F803"/>
  <c r="G32" i="68"/>
  <c r="H32" s="1"/>
  <c r="G348" i="67"/>
  <c r="R32" i="65"/>
  <c r="H348" i="67" s="1"/>
  <c r="B9" i="50"/>
  <c r="K21" i="65"/>
  <c r="C12" i="54"/>
  <c r="U17" i="48" s="1"/>
  <c r="I30" i="66"/>
  <c r="J30" s="1"/>
  <c r="B8" i="50"/>
  <c r="F8" s="1"/>
  <c r="N12" i="48" s="1"/>
  <c r="K20" i="65"/>
  <c r="O25" i="66"/>
  <c r="Q25" s="1"/>
  <c r="J25"/>
  <c r="P25" s="1"/>
  <c r="O15"/>
  <c r="Q15" s="1"/>
  <c r="J15"/>
  <c r="P15" s="1"/>
  <c r="O14" i="65"/>
  <c r="Q14" s="1"/>
  <c r="L14"/>
  <c r="P14" s="1"/>
  <c r="O26"/>
  <c r="Q26" s="1"/>
  <c r="J26"/>
  <c r="P26" s="1"/>
  <c r="O16"/>
  <c r="Q16" s="1"/>
  <c r="J16"/>
  <c r="P16" s="1"/>
  <c r="P74"/>
  <c r="O11"/>
  <c r="Q11" s="1"/>
  <c r="L11"/>
  <c r="B10" i="50"/>
  <c r="M14" i="48" s="1"/>
  <c r="K13" i="65"/>
  <c r="C12" i="52"/>
  <c r="S17" i="48" s="1"/>
  <c r="I31" i="65"/>
  <c r="J31" s="1"/>
  <c r="I32" i="68"/>
  <c r="J32" s="1"/>
  <c r="I348" i="67"/>
  <c r="R31" i="66"/>
  <c r="J348" i="67" s="1"/>
  <c r="H137"/>
  <c r="F137"/>
  <c r="J137"/>
  <c r="L137"/>
  <c r="L474"/>
  <c r="J474"/>
  <c r="F474"/>
  <c r="H474"/>
  <c r="L600"/>
  <c r="F600"/>
  <c r="H600"/>
  <c r="J600"/>
  <c r="C482"/>
  <c r="C469"/>
  <c r="C537"/>
  <c r="C99"/>
  <c r="C493"/>
  <c r="J492"/>
  <c r="F492"/>
  <c r="L492"/>
  <c r="H492"/>
  <c r="J164" i="66"/>
  <c r="L164"/>
  <c r="F164"/>
  <c r="N164"/>
  <c r="H164"/>
  <c r="P164"/>
  <c r="R164"/>
  <c r="F468" i="67"/>
  <c r="H468"/>
  <c r="L468"/>
  <c r="J468"/>
  <c r="L252"/>
  <c r="J252"/>
  <c r="H252"/>
  <c r="F252"/>
  <c r="J498"/>
  <c r="H498"/>
  <c r="L498"/>
  <c r="F498"/>
  <c r="L906"/>
  <c r="H906"/>
  <c r="J906"/>
  <c r="F906"/>
  <c r="H193"/>
  <c r="J193"/>
  <c r="F193"/>
  <c r="L193"/>
  <c r="F513"/>
  <c r="H513"/>
  <c r="J513"/>
  <c r="L513"/>
  <c r="C506"/>
  <c r="C598"/>
  <c r="H909"/>
  <c r="F909"/>
  <c r="J909"/>
  <c r="L909"/>
  <c r="C475"/>
  <c r="C499"/>
  <c r="C79"/>
  <c r="H487"/>
  <c r="J487"/>
  <c r="F487"/>
  <c r="L487"/>
  <c r="H181" i="68"/>
  <c r="J181"/>
  <c r="L181"/>
  <c r="R181"/>
  <c r="N181"/>
  <c r="F181"/>
  <c r="P181"/>
  <c r="L143" i="67"/>
  <c r="H143"/>
  <c r="J143"/>
  <c r="F143"/>
  <c r="L239"/>
  <c r="F239"/>
  <c r="H239"/>
  <c r="J239"/>
  <c r="F597"/>
  <c r="L597"/>
  <c r="H597"/>
  <c r="J597"/>
  <c r="N171" i="65"/>
  <c r="F171"/>
  <c r="L171"/>
  <c r="J171"/>
  <c r="H171"/>
  <c r="P171"/>
  <c r="R171"/>
  <c r="J180" i="68"/>
  <c r="L180"/>
  <c r="H180"/>
  <c r="N180"/>
  <c r="P180"/>
  <c r="F180"/>
  <c r="R180"/>
  <c r="H78" i="67"/>
  <c r="J78"/>
  <c r="L78"/>
  <c r="F78"/>
  <c r="C514"/>
  <c r="C144"/>
  <c r="L98"/>
  <c r="J98"/>
  <c r="H98"/>
  <c r="F98"/>
  <c r="H481"/>
  <c r="L481"/>
  <c r="F481"/>
  <c r="J481"/>
  <c r="N163" i="66"/>
  <c r="L163"/>
  <c r="P163"/>
  <c r="F163"/>
  <c r="R163"/>
  <c r="J163"/>
  <c r="H163"/>
  <c r="C488" i="67"/>
  <c r="C528"/>
  <c r="C240"/>
  <c r="C599"/>
  <c r="C290"/>
  <c r="F536"/>
  <c r="H536"/>
  <c r="L536"/>
  <c r="J536"/>
  <c r="N172" i="65"/>
  <c r="R172"/>
  <c r="P172"/>
  <c r="F172"/>
  <c r="J172"/>
  <c r="H172"/>
  <c r="L172"/>
  <c r="N1114" i="67"/>
  <c r="F1114"/>
  <c r="H1114"/>
  <c r="J1114"/>
  <c r="L1114"/>
  <c r="P1114"/>
  <c r="L289"/>
  <c r="J289"/>
  <c r="F289"/>
  <c r="H289"/>
  <c r="F527"/>
  <c r="J527"/>
  <c r="H527"/>
  <c r="L527"/>
  <c r="J505"/>
  <c r="L505"/>
  <c r="H505"/>
  <c r="F505"/>
  <c r="L288"/>
  <c r="F288"/>
  <c r="H288"/>
  <c r="J288"/>
  <c r="L1113"/>
  <c r="J1113"/>
  <c r="H1113"/>
  <c r="N1113"/>
  <c r="F1113"/>
  <c r="P1113"/>
  <c r="F7" i="50"/>
  <c r="N11" i="48" s="1"/>
  <c r="N168" i="64"/>
  <c r="J168"/>
  <c r="H168"/>
  <c r="F168"/>
  <c r="L168"/>
  <c r="P168"/>
  <c r="R168"/>
  <c r="J169"/>
  <c r="R169"/>
  <c r="F169"/>
  <c r="P169"/>
  <c r="N169"/>
  <c r="L169"/>
  <c r="H169"/>
  <c r="F10" i="54"/>
  <c r="V12" i="48" s="1"/>
  <c r="U12"/>
  <c r="F13" i="54"/>
  <c r="V18" i="48" s="1"/>
  <c r="U18"/>
  <c r="F7" i="54"/>
  <c r="V14" i="48" s="1"/>
  <c r="U14"/>
  <c r="F7" i="52"/>
  <c r="T14" i="48" s="1"/>
  <c r="S14"/>
  <c r="F8" i="52"/>
  <c r="S8" i="48"/>
  <c r="F10" i="52"/>
  <c r="T12" i="48" s="1"/>
  <c r="S12"/>
  <c r="F13" i="52"/>
  <c r="T18" i="48" s="1"/>
  <c r="S18"/>
  <c r="F10" i="50"/>
  <c r="N14" i="48" s="1"/>
  <c r="M12"/>
  <c r="F9" i="50"/>
  <c r="N13" i="48" s="1"/>
  <c r="M13"/>
  <c r="E40" i="49"/>
  <c r="H40" s="1"/>
  <c r="H42" s="1"/>
  <c r="H36"/>
  <c r="H38" s="1"/>
  <c r="H116" i="48"/>
  <c r="H115"/>
  <c r="H114"/>
  <c r="H113"/>
  <c r="H112"/>
  <c r="H111"/>
  <c r="H110"/>
  <c r="AB126"/>
  <c r="AB125"/>
  <c r="AB124"/>
  <c r="L124"/>
  <c r="F124"/>
  <c r="AB123"/>
  <c r="L123"/>
  <c r="F123"/>
  <c r="AB122"/>
  <c r="L122"/>
  <c r="F122"/>
  <c r="AB121"/>
  <c r="L121"/>
  <c r="F121"/>
  <c r="AB120"/>
  <c r="V120"/>
  <c r="L120"/>
  <c r="F120"/>
  <c r="AB119"/>
  <c r="V119"/>
  <c r="L119"/>
  <c r="F119"/>
  <c r="AE118"/>
  <c r="AG118" s="1"/>
  <c r="AH118" s="1"/>
  <c r="AB118"/>
  <c r="V118"/>
  <c r="L118"/>
  <c r="F118"/>
  <c r="AE117"/>
  <c r="AF117" s="1"/>
  <c r="AB117"/>
  <c r="V117"/>
  <c r="L117"/>
  <c r="F117"/>
  <c r="AE116"/>
  <c r="AG116" s="1"/>
  <c r="AH116" s="1"/>
  <c r="AB116"/>
  <c r="V116"/>
  <c r="L116"/>
  <c r="J116"/>
  <c r="F116"/>
  <c r="AE115"/>
  <c r="AF115" s="1"/>
  <c r="AB115"/>
  <c r="V115"/>
  <c r="L115"/>
  <c r="J115"/>
  <c r="F115"/>
  <c r="AE114"/>
  <c r="AF114" s="1"/>
  <c r="AB114"/>
  <c r="V114"/>
  <c r="L114"/>
  <c r="J114"/>
  <c r="F114"/>
  <c r="AE113"/>
  <c r="AG113" s="1"/>
  <c r="AH113" s="1"/>
  <c r="AB113"/>
  <c r="V113"/>
  <c r="L113"/>
  <c r="J113"/>
  <c r="F113"/>
  <c r="AE112"/>
  <c r="AG112" s="1"/>
  <c r="AH112" s="1"/>
  <c r="AB112"/>
  <c r="V112"/>
  <c r="L112"/>
  <c r="J112"/>
  <c r="F112"/>
  <c r="AE111"/>
  <c r="AG111" s="1"/>
  <c r="AH111" s="1"/>
  <c r="AB111"/>
  <c r="V111"/>
  <c r="L111"/>
  <c r="J111"/>
  <c r="F111"/>
  <c r="AE110"/>
  <c r="AB110"/>
  <c r="V110"/>
  <c r="L110"/>
  <c r="J110"/>
  <c r="F110"/>
  <c r="C22" i="39"/>
  <c r="B80" i="48" s="1"/>
  <c r="C21" i="39"/>
  <c r="B79" i="48" s="1"/>
  <c r="F29" i="31"/>
  <c r="F28" i="39"/>
  <c r="F28" i="45"/>
  <c r="C21"/>
  <c r="C20"/>
  <c r="B21"/>
  <c r="Y79" i="48" s="1"/>
  <c r="H79" i="44"/>
  <c r="D22" i="31"/>
  <c r="D22" i="39" s="1"/>
  <c r="C22" i="31"/>
  <c r="B22"/>
  <c r="AA80" i="48" s="1"/>
  <c r="D21" i="31"/>
  <c r="D21" i="39" s="1"/>
  <c r="C21" i="31"/>
  <c r="P11" i="65" l="1"/>
  <c r="J83" i="66"/>
  <c r="J91" i="65"/>
  <c r="F12" i="52"/>
  <c r="T17" i="48" s="1"/>
  <c r="V32"/>
  <c r="F12" i="54"/>
  <c r="V17" i="48" s="1"/>
  <c r="O20" i="65"/>
  <c r="Q20" s="1"/>
  <c r="L20"/>
  <c r="P20" s="1"/>
  <c r="R11"/>
  <c r="G11" i="68"/>
  <c r="H11" s="1"/>
  <c r="G24" i="67"/>
  <c r="G13" i="68"/>
  <c r="H13" s="1"/>
  <c r="G47" i="67"/>
  <c r="R14" i="65"/>
  <c r="H47" i="67" s="1"/>
  <c r="I333"/>
  <c r="I26" i="68"/>
  <c r="J26" s="1"/>
  <c r="R25" i="66"/>
  <c r="J333" i="67" s="1"/>
  <c r="B20" i="45"/>
  <c r="Y78" i="48" s="1"/>
  <c r="G88" i="65"/>
  <c r="I16" i="68"/>
  <c r="J16" s="1"/>
  <c r="I58" i="67"/>
  <c r="R15" i="66"/>
  <c r="J58" i="67" s="1"/>
  <c r="O21" i="65"/>
  <c r="Q21" s="1"/>
  <c r="L21"/>
  <c r="P21" s="1"/>
  <c r="G58" i="67"/>
  <c r="G16" i="68"/>
  <c r="H16" s="1"/>
  <c r="R16" i="65"/>
  <c r="H58" i="67" s="1"/>
  <c r="B11" i="50"/>
  <c r="F11" s="1"/>
  <c r="N15" i="48" s="1"/>
  <c r="K56" i="65"/>
  <c r="O13"/>
  <c r="Q13" s="1"/>
  <c r="L13"/>
  <c r="B12" i="50"/>
  <c r="M17" i="48" s="1"/>
  <c r="K31" i="65"/>
  <c r="G333" i="67"/>
  <c r="G26" i="68"/>
  <c r="H26" s="1"/>
  <c r="R26" i="65"/>
  <c r="H333" i="67" s="1"/>
  <c r="C145"/>
  <c r="C543"/>
  <c r="C515"/>
  <c r="C494"/>
  <c r="C80"/>
  <c r="C476"/>
  <c r="F240"/>
  <c r="H240"/>
  <c r="J240"/>
  <c r="L240"/>
  <c r="L598"/>
  <c r="H598"/>
  <c r="J598"/>
  <c r="F598"/>
  <c r="L506"/>
  <c r="J506"/>
  <c r="F506"/>
  <c r="H506"/>
  <c r="J144"/>
  <c r="H144"/>
  <c r="L144"/>
  <c r="F144"/>
  <c r="J499"/>
  <c r="H499"/>
  <c r="L499"/>
  <c r="F499"/>
  <c r="L493"/>
  <c r="F493"/>
  <c r="H493"/>
  <c r="J493"/>
  <c r="F469"/>
  <c r="J469"/>
  <c r="H469"/>
  <c r="L469"/>
  <c r="J482"/>
  <c r="H482"/>
  <c r="L482"/>
  <c r="F482"/>
  <c r="C500"/>
  <c r="C507"/>
  <c r="C241"/>
  <c r="J528"/>
  <c r="L528"/>
  <c r="H528"/>
  <c r="F528"/>
  <c r="F488"/>
  <c r="L488"/>
  <c r="H488"/>
  <c r="J488"/>
  <c r="J290"/>
  <c r="L290"/>
  <c r="F290"/>
  <c r="H290"/>
  <c r="F514"/>
  <c r="H514"/>
  <c r="J514"/>
  <c r="L514"/>
  <c r="L99"/>
  <c r="J99"/>
  <c r="F99"/>
  <c r="H99"/>
  <c r="C529"/>
  <c r="C489"/>
  <c r="C538"/>
  <c r="C100"/>
  <c r="H599"/>
  <c r="J599"/>
  <c r="F599"/>
  <c r="L599"/>
  <c r="J79"/>
  <c r="L79"/>
  <c r="F79"/>
  <c r="H79"/>
  <c r="F475"/>
  <c r="H475"/>
  <c r="J475"/>
  <c r="L475"/>
  <c r="H537"/>
  <c r="J537"/>
  <c r="L537"/>
  <c r="F537"/>
  <c r="B22" i="39"/>
  <c r="W80" i="48" s="1"/>
  <c r="B21" i="39"/>
  <c r="W79" i="48" s="1"/>
  <c r="F14" i="54"/>
  <c r="F15" s="1"/>
  <c r="F16" s="1"/>
  <c r="F14" i="52"/>
  <c r="F15" s="1"/>
  <c r="F16" s="1"/>
  <c r="T8" i="48"/>
  <c r="D20" i="45"/>
  <c r="D21"/>
  <c r="F21" s="1"/>
  <c r="Z79" i="48" s="1"/>
  <c r="M15"/>
  <c r="AF116"/>
  <c r="AG115"/>
  <c r="AH115" s="1"/>
  <c r="AG114"/>
  <c r="AH114" s="1"/>
  <c r="AF112"/>
  <c r="AF111"/>
  <c r="AG117"/>
  <c r="AH117" s="1"/>
  <c r="AF118"/>
  <c r="AG110"/>
  <c r="AH110" s="1"/>
  <c r="AF110"/>
  <c r="AF113"/>
  <c r="C44" i="43"/>
  <c r="C44" i="41"/>
  <c r="H381" i="40"/>
  <c r="H349" i="42"/>
  <c r="D44" i="33"/>
  <c r="D44" i="41" s="1"/>
  <c r="C44" i="33"/>
  <c r="B51" i="48" s="1"/>
  <c r="H24" i="67" l="1"/>
  <c r="F12" i="50"/>
  <c r="N17" i="48" s="1"/>
  <c r="F20" i="45"/>
  <c r="Z78" i="48" s="1"/>
  <c r="P13" i="65"/>
  <c r="G40" i="67"/>
  <c r="G12" i="68"/>
  <c r="H12" s="1"/>
  <c r="R13" i="65"/>
  <c r="H40" i="67" s="1"/>
  <c r="G139"/>
  <c r="G20" i="68"/>
  <c r="H20" s="1"/>
  <c r="R20" i="65"/>
  <c r="H139" i="67" s="1"/>
  <c r="O31" i="65"/>
  <c r="Q31" s="1"/>
  <c r="L31"/>
  <c r="Q88"/>
  <c r="H88"/>
  <c r="O56"/>
  <c r="Q56" s="1"/>
  <c r="L56"/>
  <c r="P56" s="1"/>
  <c r="R21"/>
  <c r="H231" i="67" s="1"/>
  <c r="G231"/>
  <c r="G21" i="68"/>
  <c r="H21" s="1"/>
  <c r="J507" i="67"/>
  <c r="F507"/>
  <c r="H507"/>
  <c r="L507"/>
  <c r="H500"/>
  <c r="F500"/>
  <c r="J500"/>
  <c r="L500"/>
  <c r="C549"/>
  <c r="J100"/>
  <c r="L100"/>
  <c r="H100"/>
  <c r="F100"/>
  <c r="C544"/>
  <c r="C146"/>
  <c r="C539"/>
  <c r="C101"/>
  <c r="F489"/>
  <c r="L489"/>
  <c r="J489"/>
  <c r="H489"/>
  <c r="J529"/>
  <c r="L529"/>
  <c r="F529"/>
  <c r="H529"/>
  <c r="J241"/>
  <c r="H241"/>
  <c r="F241"/>
  <c r="L241"/>
  <c r="L80"/>
  <c r="J80"/>
  <c r="F80"/>
  <c r="H80"/>
  <c r="H494"/>
  <c r="J494"/>
  <c r="L494"/>
  <c r="F494"/>
  <c r="L515"/>
  <c r="H515"/>
  <c r="J515"/>
  <c r="F515"/>
  <c r="H145"/>
  <c r="J145"/>
  <c r="L145"/>
  <c r="F145"/>
  <c r="L543"/>
  <c r="F543"/>
  <c r="H543"/>
  <c r="J543"/>
  <c r="C530"/>
  <c r="C508"/>
  <c r="C81"/>
  <c r="C495"/>
  <c r="C501"/>
  <c r="C242"/>
  <c r="J538"/>
  <c r="H538"/>
  <c r="L538"/>
  <c r="F538"/>
  <c r="F476"/>
  <c r="H476"/>
  <c r="J476"/>
  <c r="L476"/>
  <c r="B44" i="33"/>
  <c r="I51" i="48" s="1"/>
  <c r="E40" i="66"/>
  <c r="Q40" s="1"/>
  <c r="R40" s="1"/>
  <c r="B44" i="43"/>
  <c r="G51" i="48" s="1"/>
  <c r="E44" i="65"/>
  <c r="W85" i="48"/>
  <c r="B44" i="41"/>
  <c r="E51" i="48" s="1"/>
  <c r="E40" i="64"/>
  <c r="D44" i="43"/>
  <c r="H78" i="42"/>
  <c r="H77"/>
  <c r="H74"/>
  <c r="H75"/>
  <c r="H289"/>
  <c r="H288"/>
  <c r="H287"/>
  <c r="H286"/>
  <c r="H285"/>
  <c r="H284"/>
  <c r="H262"/>
  <c r="H261"/>
  <c r="H260"/>
  <c r="H259"/>
  <c r="H258"/>
  <c r="H257"/>
  <c r="H256"/>
  <c r="H255"/>
  <c r="H254"/>
  <c r="H253"/>
  <c r="H252"/>
  <c r="H220"/>
  <c r="H219"/>
  <c r="H218"/>
  <c r="H217"/>
  <c r="H216"/>
  <c r="E215"/>
  <c r="H215" s="1"/>
  <c r="E214"/>
  <c r="H214" s="1"/>
  <c r="E213"/>
  <c r="H213" s="1"/>
  <c r="E212"/>
  <c r="H212" s="1"/>
  <c r="H198"/>
  <c r="H197"/>
  <c r="H196"/>
  <c r="H195"/>
  <c r="H240"/>
  <c r="H239"/>
  <c r="H238"/>
  <c r="H237"/>
  <c r="H236"/>
  <c r="H235"/>
  <c r="H234"/>
  <c r="H233"/>
  <c r="H232"/>
  <c r="H231"/>
  <c r="H230"/>
  <c r="H189"/>
  <c r="H188"/>
  <c r="H187"/>
  <c r="H186"/>
  <c r="H185"/>
  <c r="H184"/>
  <c r="H183"/>
  <c r="H181"/>
  <c r="H180"/>
  <c r="H179"/>
  <c r="H178"/>
  <c r="H177"/>
  <c r="H176"/>
  <c r="H141"/>
  <c r="H140"/>
  <c r="H139"/>
  <c r="H138"/>
  <c r="H131"/>
  <c r="H130"/>
  <c r="H129"/>
  <c r="H119"/>
  <c r="H120" s="1"/>
  <c r="B21" i="43" s="1"/>
  <c r="G28" i="48" s="1"/>
  <c r="H116" i="42"/>
  <c r="H117" s="1"/>
  <c r="H109"/>
  <c r="H108"/>
  <c r="H104"/>
  <c r="H103"/>
  <c r="H102"/>
  <c r="C19" i="45"/>
  <c r="C18"/>
  <c r="D17"/>
  <c r="C17"/>
  <c r="D16"/>
  <c r="C16"/>
  <c r="C15"/>
  <c r="C14"/>
  <c r="C13"/>
  <c r="D12"/>
  <c r="C12"/>
  <c r="D11"/>
  <c r="C11"/>
  <c r="D10"/>
  <c r="C10"/>
  <c r="D9"/>
  <c r="C9"/>
  <c r="D8"/>
  <c r="C8"/>
  <c r="D7"/>
  <c r="C7"/>
  <c r="C6"/>
  <c r="A2"/>
  <c r="H75" i="44"/>
  <c r="H76" s="1"/>
  <c r="H72"/>
  <c r="H73" s="1"/>
  <c r="H68"/>
  <c r="H69" s="1"/>
  <c r="H64"/>
  <c r="H65" s="1"/>
  <c r="H44"/>
  <c r="H41"/>
  <c r="H38"/>
  <c r="H34"/>
  <c r="H33"/>
  <c r="H32"/>
  <c r="B9" i="45"/>
  <c r="Y67" i="48" s="1"/>
  <c r="H28" i="44"/>
  <c r="H26"/>
  <c r="H25"/>
  <c r="H20"/>
  <c r="H15"/>
  <c r="H14"/>
  <c r="H12"/>
  <c r="H11"/>
  <c r="H10"/>
  <c r="H9"/>
  <c r="D43" i="43"/>
  <c r="C43"/>
  <c r="G42"/>
  <c r="H42" s="1"/>
  <c r="D42" s="1"/>
  <c r="C42"/>
  <c r="C41"/>
  <c r="D40"/>
  <c r="C40"/>
  <c r="B40"/>
  <c r="G47" i="48" s="1"/>
  <c r="D39" i="43"/>
  <c r="C39"/>
  <c r="B39"/>
  <c r="G46" i="48" s="1"/>
  <c r="C38" i="43"/>
  <c r="B38"/>
  <c r="G45" i="48" s="1"/>
  <c r="C37" i="43"/>
  <c r="B37"/>
  <c r="G44" i="48" s="1"/>
  <c r="D36" i="43"/>
  <c r="C36"/>
  <c r="B36"/>
  <c r="G43" i="48" s="1"/>
  <c r="D35" i="43"/>
  <c r="C35"/>
  <c r="D34"/>
  <c r="C34"/>
  <c r="D33"/>
  <c r="C33"/>
  <c r="C32"/>
  <c r="D31"/>
  <c r="C31"/>
  <c r="D30"/>
  <c r="C30"/>
  <c r="D29"/>
  <c r="C29"/>
  <c r="C28"/>
  <c r="C27"/>
  <c r="D26"/>
  <c r="C26"/>
  <c r="D25"/>
  <c r="C25"/>
  <c r="B25"/>
  <c r="G32" i="48" s="1"/>
  <c r="C24" i="43"/>
  <c r="B24"/>
  <c r="C23"/>
  <c r="H22"/>
  <c r="I22" s="1"/>
  <c r="D22" s="1"/>
  <c r="C22"/>
  <c r="D21"/>
  <c r="C21"/>
  <c r="D20"/>
  <c r="C20"/>
  <c r="C19"/>
  <c r="D18"/>
  <c r="C18"/>
  <c r="B18"/>
  <c r="G25" i="48" s="1"/>
  <c r="D17" i="43"/>
  <c r="C17"/>
  <c r="B17"/>
  <c r="G24" i="48" s="1"/>
  <c r="D16" i="43"/>
  <c r="C16"/>
  <c r="B16"/>
  <c r="G23" i="48" s="1"/>
  <c r="D15" i="43"/>
  <c r="C15"/>
  <c r="B15"/>
  <c r="G22" i="48" s="1"/>
  <c r="C14" i="43"/>
  <c r="B14"/>
  <c r="C13"/>
  <c r="B13"/>
  <c r="G20" i="48" s="1"/>
  <c r="D12" i="43"/>
  <c r="C12"/>
  <c r="B12"/>
  <c r="G18" i="48" s="1"/>
  <c r="D11" i="43"/>
  <c r="C11"/>
  <c r="B11"/>
  <c r="G17" i="48" s="1"/>
  <c r="C10" i="43"/>
  <c r="B10"/>
  <c r="D9"/>
  <c r="C9"/>
  <c r="B9"/>
  <c r="G10" i="48" s="1"/>
  <c r="D8" i="43"/>
  <c r="C8"/>
  <c r="D7"/>
  <c r="C7"/>
  <c r="B7"/>
  <c r="G8" i="48" s="1"/>
  <c r="D6" i="43"/>
  <c r="C6"/>
  <c r="B6"/>
  <c r="G6" i="48" s="1"/>
  <c r="A2" i="43"/>
  <c r="H307" i="42"/>
  <c r="H303"/>
  <c r="H300"/>
  <c r="H299"/>
  <c r="H296"/>
  <c r="H297" s="1"/>
  <c r="H293"/>
  <c r="H173"/>
  <c r="H171"/>
  <c r="H165"/>
  <c r="H166" s="1"/>
  <c r="H161"/>
  <c r="H162" s="1"/>
  <c r="H157"/>
  <c r="H159" s="1"/>
  <c r="E46" i="65" s="1"/>
  <c r="H154" i="42"/>
  <c r="H155" s="1"/>
  <c r="E45" i="65" s="1"/>
  <c r="H152" i="42"/>
  <c r="E87" i="65" s="1"/>
  <c r="H149" i="42"/>
  <c r="H150" s="1"/>
  <c r="E42" i="65" s="1"/>
  <c r="H146" i="42"/>
  <c r="H142"/>
  <c r="H134"/>
  <c r="H133"/>
  <c r="H132"/>
  <c r="H125"/>
  <c r="H126" s="1"/>
  <c r="H122"/>
  <c r="H123" s="1"/>
  <c r="H111"/>
  <c r="H110"/>
  <c r="H73"/>
  <c r="H67"/>
  <c r="H66"/>
  <c r="H65"/>
  <c r="H61"/>
  <c r="H57"/>
  <c r="H56"/>
  <c r="H55"/>
  <c r="H38"/>
  <c r="H36"/>
  <c r="H35"/>
  <c r="H33"/>
  <c r="H32"/>
  <c r="H31"/>
  <c r="H30"/>
  <c r="H26"/>
  <c r="B8" i="43"/>
  <c r="G9" i="48" s="1"/>
  <c r="H64" i="38"/>
  <c r="H63"/>
  <c r="H62"/>
  <c r="H61"/>
  <c r="H60"/>
  <c r="H43"/>
  <c r="H40"/>
  <c r="H36"/>
  <c r="H35"/>
  <c r="H34"/>
  <c r="H33"/>
  <c r="H29"/>
  <c r="H27"/>
  <c r="H26"/>
  <c r="H25"/>
  <c r="H21"/>
  <c r="P31" i="65" l="1"/>
  <c r="P91" s="1"/>
  <c r="L91"/>
  <c r="F13" i="50"/>
  <c r="F14" s="1"/>
  <c r="F15" s="1"/>
  <c r="F17" s="1"/>
  <c r="Q40" i="64"/>
  <c r="R40" s="1"/>
  <c r="F40"/>
  <c r="B18" i="45"/>
  <c r="G65" i="65"/>
  <c r="B19" i="45"/>
  <c r="Y77" i="48" s="1"/>
  <c r="G82" i="65"/>
  <c r="G31" i="68"/>
  <c r="H31" s="1"/>
  <c r="G347" i="67"/>
  <c r="R31" i="65"/>
  <c r="R88"/>
  <c r="H1029" i="67" s="1"/>
  <c r="G86" i="68"/>
  <c r="G1029" i="67"/>
  <c r="B12" i="45"/>
  <c r="Y70" i="48" s="1"/>
  <c r="G79" i="65"/>
  <c r="B16" i="45"/>
  <c r="Y74" i="48" s="1"/>
  <c r="G80" i="65"/>
  <c r="G56" i="68"/>
  <c r="H56" s="1"/>
  <c r="G670" i="67"/>
  <c r="R56" i="65"/>
  <c r="H670" i="67" s="1"/>
  <c r="B17" i="45"/>
  <c r="Y75" i="48" s="1"/>
  <c r="G64" i="65"/>
  <c r="C147" i="67"/>
  <c r="F87" i="65"/>
  <c r="Q87"/>
  <c r="R87" s="1"/>
  <c r="C531" i="67"/>
  <c r="Q44" i="65"/>
  <c r="R44" s="1"/>
  <c r="F44"/>
  <c r="J501" i="67"/>
  <c r="L501"/>
  <c r="H501"/>
  <c r="F501"/>
  <c r="F495"/>
  <c r="L495"/>
  <c r="H495"/>
  <c r="J495"/>
  <c r="L81"/>
  <c r="J81"/>
  <c r="H81"/>
  <c r="F81"/>
  <c r="L508"/>
  <c r="J508"/>
  <c r="F508"/>
  <c r="H508"/>
  <c r="H530"/>
  <c r="L530"/>
  <c r="J530"/>
  <c r="F530"/>
  <c r="F539"/>
  <c r="H539"/>
  <c r="L539"/>
  <c r="J539"/>
  <c r="J544"/>
  <c r="L544"/>
  <c r="H544"/>
  <c r="F544"/>
  <c r="J549"/>
  <c r="L549"/>
  <c r="H549"/>
  <c r="F549"/>
  <c r="Q42" i="65"/>
  <c r="R42" s="1"/>
  <c r="F42"/>
  <c r="C82" i="67"/>
  <c r="C102"/>
  <c r="C540"/>
  <c r="C550"/>
  <c r="C509"/>
  <c r="L242"/>
  <c r="F242"/>
  <c r="H242"/>
  <c r="J242"/>
  <c r="Q45" i="65"/>
  <c r="R45" s="1"/>
  <c r="F45"/>
  <c r="C243" i="67"/>
  <c r="F146"/>
  <c r="L146"/>
  <c r="H146"/>
  <c r="J146"/>
  <c r="Q46" i="65"/>
  <c r="R46" s="1"/>
  <c r="F46"/>
  <c r="H101" i="67"/>
  <c r="J101"/>
  <c r="L101"/>
  <c r="F101"/>
  <c r="F44" i="43"/>
  <c r="H51" i="48" s="1"/>
  <c r="AG51"/>
  <c r="F44" i="33"/>
  <c r="J51" i="48" s="1"/>
  <c r="H44" i="38"/>
  <c r="F40" i="66"/>
  <c r="B20" i="43"/>
  <c r="G27" i="48" s="1"/>
  <c r="E57" i="65"/>
  <c r="B31" i="43"/>
  <c r="G38" i="48" s="1"/>
  <c r="E39" i="65"/>
  <c r="B33" i="43"/>
  <c r="G40" i="48" s="1"/>
  <c r="E60" i="65"/>
  <c r="H58" i="42"/>
  <c r="B22" i="43"/>
  <c r="G29" i="48" s="1"/>
  <c r="E50" i="65"/>
  <c r="B41" i="43"/>
  <c r="F41" s="1"/>
  <c r="H48" i="48" s="1"/>
  <c r="E86" i="65"/>
  <c r="B23" i="43"/>
  <c r="G30" i="48" s="1"/>
  <c r="E51" i="65"/>
  <c r="B42" i="43"/>
  <c r="G49" i="48" s="1"/>
  <c r="E40" i="65"/>
  <c r="H280" i="42"/>
  <c r="B35" i="43"/>
  <c r="G42" i="48" s="1"/>
  <c r="E70" i="65"/>
  <c r="B34" i="43"/>
  <c r="G41" i="48" s="1"/>
  <c r="E71" i="65"/>
  <c r="H42" i="44"/>
  <c r="G47" i="65" s="1"/>
  <c r="H35" i="44"/>
  <c r="G75" i="65" s="1"/>
  <c r="H37" i="38"/>
  <c r="G74" i="64" s="1"/>
  <c r="F44" i="41"/>
  <c r="F51" i="48" s="1"/>
  <c r="B28" i="43"/>
  <c r="F28" s="1"/>
  <c r="H35" i="48" s="1"/>
  <c r="B27" i="43"/>
  <c r="F27" s="1"/>
  <c r="H34" i="48" s="1"/>
  <c r="B30" i="43"/>
  <c r="G37" i="48" s="1"/>
  <c r="B29" i="43"/>
  <c r="F29" s="1"/>
  <c r="H36" i="48" s="1"/>
  <c r="H30" i="38"/>
  <c r="G75" i="64" s="1"/>
  <c r="G43"/>
  <c r="H248" i="42"/>
  <c r="F10" i="43"/>
  <c r="H16" i="48" s="1"/>
  <c r="G16"/>
  <c r="F24" i="43"/>
  <c r="H31" i="48" s="1"/>
  <c r="G31"/>
  <c r="F14" i="43"/>
  <c r="H21" i="48" s="1"/>
  <c r="G21"/>
  <c r="F18" i="45"/>
  <c r="Z76" i="48" s="1"/>
  <c r="Y76"/>
  <c r="F19" i="45"/>
  <c r="Z77" i="48" s="1"/>
  <c r="F16" i="45"/>
  <c r="Z74" i="48" s="1"/>
  <c r="F6" i="43"/>
  <c r="F17"/>
  <c r="H24" i="48" s="1"/>
  <c r="F25" i="43"/>
  <c r="H32" i="48" s="1"/>
  <c r="F40" i="43"/>
  <c r="H47" i="48" s="1"/>
  <c r="F16" i="50"/>
  <c r="F18" s="1"/>
  <c r="F17" i="45"/>
  <c r="Z75" i="48" s="1"/>
  <c r="F11" i="43"/>
  <c r="H17" i="48" s="1"/>
  <c r="F39" i="43"/>
  <c r="H46" i="48" s="1"/>
  <c r="F21" i="43"/>
  <c r="H28" i="48" s="1"/>
  <c r="F9" i="43"/>
  <c r="H10" i="48" s="1"/>
  <c r="F12" i="43"/>
  <c r="H18" i="48" s="1"/>
  <c r="F18" i="43"/>
  <c r="H25" i="48" s="1"/>
  <c r="F15" i="43"/>
  <c r="H22" i="48" s="1"/>
  <c r="F8" i="43"/>
  <c r="F7"/>
  <c r="H8" i="48" s="1"/>
  <c r="F16" i="43"/>
  <c r="H23" i="48" s="1"/>
  <c r="F36" i="43"/>
  <c r="H43" i="48" s="1"/>
  <c r="F9" i="45"/>
  <c r="Z67" i="48" s="1"/>
  <c r="H53" i="44"/>
  <c r="B14" i="45" s="1"/>
  <c r="H61" i="44"/>
  <c r="H21"/>
  <c r="H29"/>
  <c r="G76" i="65" s="1"/>
  <c r="H16" i="44"/>
  <c r="H79" i="42"/>
  <c r="H190"/>
  <c r="H143"/>
  <c r="H135"/>
  <c r="H112"/>
  <c r="H39"/>
  <c r="H290"/>
  <c r="H147"/>
  <c r="E43" i="65" s="1"/>
  <c r="H301" i="42"/>
  <c r="B43" i="43" s="1"/>
  <c r="H105" i="42"/>
  <c r="H68"/>
  <c r="H339" i="40"/>
  <c r="H335"/>
  <c r="H215" i="32"/>
  <c r="H214"/>
  <c r="H213"/>
  <c r="H212"/>
  <c r="H211"/>
  <c r="H253" i="40"/>
  <c r="H252"/>
  <c r="H251"/>
  <c r="H250"/>
  <c r="H249"/>
  <c r="H248"/>
  <c r="H247"/>
  <c r="H295"/>
  <c r="H258"/>
  <c r="H232"/>
  <c r="H254"/>
  <c r="H228"/>
  <c r="H321"/>
  <c r="H320"/>
  <c r="H319"/>
  <c r="H316"/>
  <c r="H315"/>
  <c r="H296"/>
  <c r="H294"/>
  <c r="H293"/>
  <c r="H291"/>
  <c r="H280"/>
  <c r="H279"/>
  <c r="H278"/>
  <c r="H277"/>
  <c r="H276"/>
  <c r="H275"/>
  <c r="H274"/>
  <c r="H273"/>
  <c r="H272"/>
  <c r="H257"/>
  <c r="H256"/>
  <c r="H255"/>
  <c r="H227"/>
  <c r="H231"/>
  <c r="H230"/>
  <c r="H229"/>
  <c r="H226"/>
  <c r="H225"/>
  <c r="H224"/>
  <c r="H223"/>
  <c r="H222"/>
  <c r="H221"/>
  <c r="H251" i="32"/>
  <c r="H215" i="40"/>
  <c r="H214"/>
  <c r="H213"/>
  <c r="H212"/>
  <c r="H211"/>
  <c r="H210"/>
  <c r="H209"/>
  <c r="H208"/>
  <c r="H207"/>
  <c r="H109"/>
  <c r="H108"/>
  <c r="H107"/>
  <c r="H106"/>
  <c r="H105"/>
  <c r="H100"/>
  <c r="H99"/>
  <c r="H98"/>
  <c r="H97"/>
  <c r="H96"/>
  <c r="H91"/>
  <c r="D43" i="41"/>
  <c r="C43"/>
  <c r="G42"/>
  <c r="H42" s="1"/>
  <c r="D42" s="1"/>
  <c r="C42"/>
  <c r="C41"/>
  <c r="D40"/>
  <c r="C40"/>
  <c r="B40"/>
  <c r="D39"/>
  <c r="C39"/>
  <c r="B39"/>
  <c r="E46" i="48" s="1"/>
  <c r="C38" i="41"/>
  <c r="B38"/>
  <c r="E45" i="48" s="1"/>
  <c r="C37" i="41"/>
  <c r="B37"/>
  <c r="E44" i="48" s="1"/>
  <c r="D36" i="41"/>
  <c r="C36"/>
  <c r="B36"/>
  <c r="D35"/>
  <c r="C35"/>
  <c r="D34"/>
  <c r="C34"/>
  <c r="D33"/>
  <c r="C33"/>
  <c r="C32"/>
  <c r="D31"/>
  <c r="C31"/>
  <c r="D30"/>
  <c r="C30"/>
  <c r="D29"/>
  <c r="C29"/>
  <c r="C28"/>
  <c r="C27"/>
  <c r="D26"/>
  <c r="C26"/>
  <c r="D25"/>
  <c r="C25"/>
  <c r="B25"/>
  <c r="C24"/>
  <c r="B24"/>
  <c r="C23"/>
  <c r="H22"/>
  <c r="I22" s="1"/>
  <c r="D22" s="1"/>
  <c r="C22"/>
  <c r="D21"/>
  <c r="C21"/>
  <c r="D20"/>
  <c r="C20"/>
  <c r="C19"/>
  <c r="D18"/>
  <c r="C18"/>
  <c r="B18"/>
  <c r="D17"/>
  <c r="C17"/>
  <c r="B17"/>
  <c r="E24" i="48" s="1"/>
  <c r="D16" i="41"/>
  <c r="C16"/>
  <c r="B16"/>
  <c r="E23" i="48" s="1"/>
  <c r="D15" i="41"/>
  <c r="C15"/>
  <c r="B15"/>
  <c r="C14"/>
  <c r="B14"/>
  <c r="C13"/>
  <c r="B13"/>
  <c r="E20" i="48" s="1"/>
  <c r="D12" i="41"/>
  <c r="C12"/>
  <c r="B12"/>
  <c r="D11"/>
  <c r="C11"/>
  <c r="B11"/>
  <c r="E17" i="48" s="1"/>
  <c r="C10" i="41"/>
  <c r="B10"/>
  <c r="D9"/>
  <c r="C9"/>
  <c r="D8"/>
  <c r="C8"/>
  <c r="D7"/>
  <c r="C7"/>
  <c r="B7"/>
  <c r="E8" i="48" s="1"/>
  <c r="D6" i="41"/>
  <c r="C6"/>
  <c r="B6"/>
  <c r="A2"/>
  <c r="H331" i="40"/>
  <c r="H333" s="1"/>
  <c r="H328"/>
  <c r="H329" s="1"/>
  <c r="H325"/>
  <c r="H204"/>
  <c r="H201"/>
  <c r="H196"/>
  <c r="H197" s="1"/>
  <c r="H192"/>
  <c r="H193" s="1"/>
  <c r="H188"/>
  <c r="H190" s="1"/>
  <c r="H185"/>
  <c r="H186" s="1"/>
  <c r="H181"/>
  <c r="E84" i="64" s="1"/>
  <c r="H178" i="40"/>
  <c r="H179" s="1"/>
  <c r="E38" i="64" s="1"/>
  <c r="H175" i="40"/>
  <c r="H171"/>
  <c r="H172" s="1"/>
  <c r="H153"/>
  <c r="H152"/>
  <c r="H151"/>
  <c r="H150"/>
  <c r="H148"/>
  <c r="H146"/>
  <c r="H143"/>
  <c r="H144" s="1"/>
  <c r="H140"/>
  <c r="H141" s="1"/>
  <c r="H137"/>
  <c r="H138" s="1"/>
  <c r="H134"/>
  <c r="H135" s="1"/>
  <c r="H128"/>
  <c r="H126"/>
  <c r="H124"/>
  <c r="H122"/>
  <c r="H117"/>
  <c r="H115"/>
  <c r="H90"/>
  <c r="H89"/>
  <c r="H88"/>
  <c r="H87"/>
  <c r="H82"/>
  <c r="H81"/>
  <c r="H80"/>
  <c r="H77"/>
  <c r="H21"/>
  <c r="H24" s="1"/>
  <c r="E15" i="64" s="1"/>
  <c r="F15" s="1"/>
  <c r="H18" i="40"/>
  <c r="H19" s="1"/>
  <c r="H14"/>
  <c r="H13"/>
  <c r="H7"/>
  <c r="H10"/>
  <c r="A2" i="36"/>
  <c r="F22" i="39"/>
  <c r="F21"/>
  <c r="X79" i="48" s="1"/>
  <c r="D20" i="39"/>
  <c r="C20"/>
  <c r="B78" i="48" s="1"/>
  <c r="C19" i="39"/>
  <c r="B77" i="48" s="1"/>
  <c r="C18" i="39"/>
  <c r="B76" i="48" s="1"/>
  <c r="D17" i="39"/>
  <c r="C17"/>
  <c r="B75" i="48" s="1"/>
  <c r="D16" i="39"/>
  <c r="C16"/>
  <c r="B74" i="48" s="1"/>
  <c r="C15" i="39"/>
  <c r="B73" i="48" s="1"/>
  <c r="C14" i="39"/>
  <c r="B72" i="48" s="1"/>
  <c r="C13" i="39"/>
  <c r="B71" i="48" s="1"/>
  <c r="D12" i="39"/>
  <c r="C12"/>
  <c r="B70" i="48" s="1"/>
  <c r="D11" i="39"/>
  <c r="C11"/>
  <c r="B69" i="48" s="1"/>
  <c r="D10" i="39"/>
  <c r="C10"/>
  <c r="B68" i="48" s="1"/>
  <c r="D9" i="39"/>
  <c r="C9"/>
  <c r="B67" i="48" s="1"/>
  <c r="D8" i="39"/>
  <c r="C8"/>
  <c r="B66" i="48" s="1"/>
  <c r="D7" i="39"/>
  <c r="C7"/>
  <c r="B65" i="48" s="1"/>
  <c r="C6" i="39"/>
  <c r="B64" i="48" s="1"/>
  <c r="A2" i="39"/>
  <c r="H79" i="38"/>
  <c r="H80" s="1"/>
  <c r="H76"/>
  <c r="H77" s="1"/>
  <c r="H73"/>
  <c r="H74" s="1"/>
  <c r="H70"/>
  <c r="H71" s="1"/>
  <c r="H67"/>
  <c r="H68" s="1"/>
  <c r="H46"/>
  <c r="H18"/>
  <c r="H12"/>
  <c r="H11"/>
  <c r="H10"/>
  <c r="H9"/>
  <c r="D12" i="37"/>
  <c r="C12"/>
  <c r="D11"/>
  <c r="C11"/>
  <c r="D10"/>
  <c r="C10"/>
  <c r="D9"/>
  <c r="D12" i="56" s="1"/>
  <c r="C9" i="37"/>
  <c r="E8"/>
  <c r="E11" s="1"/>
  <c r="E12" s="1"/>
  <c r="D8"/>
  <c r="C8"/>
  <c r="E7"/>
  <c r="D7"/>
  <c r="C7"/>
  <c r="E6"/>
  <c r="E10" s="1"/>
  <c r="D6"/>
  <c r="C6"/>
  <c r="E5"/>
  <c r="E9" s="1"/>
  <c r="D5"/>
  <c r="C5"/>
  <c r="A1"/>
  <c r="E23" i="36"/>
  <c r="E28" s="1"/>
  <c r="E14"/>
  <c r="H9"/>
  <c r="H11" s="1"/>
  <c r="D13" i="35"/>
  <c r="D12"/>
  <c r="D11"/>
  <c r="D10"/>
  <c r="D9"/>
  <c r="D8"/>
  <c r="D7"/>
  <c r="D6"/>
  <c r="H43" i="34"/>
  <c r="H44" s="1"/>
  <c r="H39"/>
  <c r="H38"/>
  <c r="H37"/>
  <c r="H36"/>
  <c r="E35"/>
  <c r="H35" s="1"/>
  <c r="E31"/>
  <c r="H31" s="1"/>
  <c r="H32" s="1"/>
  <c r="I31" i="64" s="1"/>
  <c r="J31" s="1"/>
  <c r="H27" i="34"/>
  <c r="H26"/>
  <c r="E24"/>
  <c r="H24" s="1"/>
  <c r="H20"/>
  <c r="H22" s="1"/>
  <c r="H16"/>
  <c r="H18" s="1"/>
  <c r="I13" i="64" s="1"/>
  <c r="J13" s="1"/>
  <c r="F16" i="34"/>
  <c r="E16"/>
  <c r="E12"/>
  <c r="H12" s="1"/>
  <c r="H14" s="1"/>
  <c r="I12" i="64" s="1"/>
  <c r="J12" s="1"/>
  <c r="H8" i="34"/>
  <c r="H10" s="1"/>
  <c r="H85" i="30"/>
  <c r="D43" i="33"/>
  <c r="C43"/>
  <c r="B50" i="48" s="1"/>
  <c r="H288" i="32"/>
  <c r="H287"/>
  <c r="H347" i="67" l="1"/>
  <c r="E41" i="68"/>
  <c r="F41" s="1"/>
  <c r="Q43" i="64"/>
  <c r="R43" s="1"/>
  <c r="H43"/>
  <c r="F12" i="45"/>
  <c r="Z70" i="48" s="1"/>
  <c r="Q75" i="64"/>
  <c r="R75" s="1"/>
  <c r="H75"/>
  <c r="Q74"/>
  <c r="R74" s="1"/>
  <c r="H74"/>
  <c r="H86" i="68"/>
  <c r="Q38" i="64"/>
  <c r="R38" s="1"/>
  <c r="F38"/>
  <c r="Q84"/>
  <c r="R84" s="1"/>
  <c r="F84"/>
  <c r="C6" i="35"/>
  <c r="F6" s="1"/>
  <c r="R6" i="48" s="1"/>
  <c r="I11" i="64"/>
  <c r="J11" s="1"/>
  <c r="C11" i="35"/>
  <c r="Q32" i="48" s="1"/>
  <c r="I25" i="64"/>
  <c r="J25" s="1"/>
  <c r="B7" i="45"/>
  <c r="Y65" i="48" s="1"/>
  <c r="G73" i="65"/>
  <c r="O31" i="64"/>
  <c r="Q76" i="65"/>
  <c r="H76"/>
  <c r="B8" i="45"/>
  <c r="Y66" i="48" s="1"/>
  <c r="G74" i="65"/>
  <c r="B15" i="45"/>
  <c r="G78" i="65"/>
  <c r="F42" i="43"/>
  <c r="H49" i="48" s="1"/>
  <c r="Q82" i="65"/>
  <c r="H82"/>
  <c r="Q80"/>
  <c r="H80"/>
  <c r="Q64"/>
  <c r="H64"/>
  <c r="Q65"/>
  <c r="H65"/>
  <c r="Q75"/>
  <c r="H75"/>
  <c r="Q47"/>
  <c r="H47"/>
  <c r="H79"/>
  <c r="Q79"/>
  <c r="C551" i="67"/>
  <c r="L243"/>
  <c r="J243"/>
  <c r="H243"/>
  <c r="F243"/>
  <c r="L147"/>
  <c r="H147"/>
  <c r="F147"/>
  <c r="J147"/>
  <c r="C103"/>
  <c r="C541"/>
  <c r="Q71" i="65"/>
  <c r="R71" s="1"/>
  <c r="F71"/>
  <c r="J550" i="67"/>
  <c r="F550"/>
  <c r="H550"/>
  <c r="L550"/>
  <c r="J82"/>
  <c r="L82"/>
  <c r="F82"/>
  <c r="H82"/>
  <c r="Q43" i="65"/>
  <c r="R43" s="1"/>
  <c r="F43"/>
  <c r="C83" i="67"/>
  <c r="C532"/>
  <c r="Q51" i="65"/>
  <c r="R51" s="1"/>
  <c r="F51"/>
  <c r="F50"/>
  <c r="Q50"/>
  <c r="R50" s="1"/>
  <c r="E76" i="68"/>
  <c r="C148" i="67"/>
  <c r="C546"/>
  <c r="Q70" i="65"/>
  <c r="R70" s="1"/>
  <c r="F70"/>
  <c r="Q60"/>
  <c r="R60" s="1"/>
  <c r="F60"/>
  <c r="Q57"/>
  <c r="R57" s="1"/>
  <c r="F57"/>
  <c r="H509" i="67"/>
  <c r="J509"/>
  <c r="L509"/>
  <c r="F509"/>
  <c r="F102"/>
  <c r="J102"/>
  <c r="H102"/>
  <c r="L102"/>
  <c r="F33" i="43"/>
  <c r="H40" i="48" s="1"/>
  <c r="Q39" i="65"/>
  <c r="R39" s="1"/>
  <c r="F39"/>
  <c r="F91" s="1"/>
  <c r="F531" i="67"/>
  <c r="H531"/>
  <c r="J531"/>
  <c r="L531"/>
  <c r="E44" i="68"/>
  <c r="C244" i="67"/>
  <c r="Q40" i="65"/>
  <c r="R40" s="1"/>
  <c r="F40"/>
  <c r="Q86"/>
  <c r="R86" s="1"/>
  <c r="F86"/>
  <c r="F540" i="67"/>
  <c r="L540"/>
  <c r="H540"/>
  <c r="J540"/>
  <c r="AH51" i="48"/>
  <c r="B21" i="31"/>
  <c r="AA79" i="48" s="1"/>
  <c r="G80" i="66"/>
  <c r="Q80" s="1"/>
  <c r="R80" s="1"/>
  <c r="F35" i="43"/>
  <c r="H42" i="48" s="1"/>
  <c r="F22" i="43"/>
  <c r="H29" i="48" s="1"/>
  <c r="F23" i="43"/>
  <c r="H30" i="48" s="1"/>
  <c r="F20" i="43"/>
  <c r="H27" i="48" s="1"/>
  <c r="H157" i="40"/>
  <c r="H119"/>
  <c r="H130"/>
  <c r="J387" i="67"/>
  <c r="I41" i="68"/>
  <c r="J41" s="1"/>
  <c r="I387" i="67"/>
  <c r="F34" i="43"/>
  <c r="H41" i="48" s="1"/>
  <c r="F31" i="43"/>
  <c r="H38" i="48" s="1"/>
  <c r="G34"/>
  <c r="G36"/>
  <c r="H1013" i="67"/>
  <c r="G85" i="68"/>
  <c r="G1013" i="67"/>
  <c r="G39" i="68"/>
  <c r="G383" i="67"/>
  <c r="H383"/>
  <c r="H387"/>
  <c r="G387"/>
  <c r="G41" i="68"/>
  <c r="Q41" s="1"/>
  <c r="R41" s="1"/>
  <c r="H392" i="67"/>
  <c r="G392"/>
  <c r="G43" i="68"/>
  <c r="G48" i="48"/>
  <c r="H391" i="67"/>
  <c r="G391"/>
  <c r="G42" i="68"/>
  <c r="B9" i="41"/>
  <c r="F9" s="1"/>
  <c r="F10" i="48" s="1"/>
  <c r="E387" i="67"/>
  <c r="F30" i="43"/>
  <c r="H37" i="48" s="1"/>
  <c r="C9" i="35"/>
  <c r="Q10" i="48" s="1"/>
  <c r="I15" i="64"/>
  <c r="H74" i="40"/>
  <c r="B16" i="39"/>
  <c r="W74" i="48" s="1"/>
  <c r="G79" i="64"/>
  <c r="B17" i="39"/>
  <c r="W75" i="48" s="1"/>
  <c r="G63" i="64"/>
  <c r="B18" i="39"/>
  <c r="F18" s="1"/>
  <c r="X76" i="48" s="1"/>
  <c r="G64" i="64"/>
  <c r="B20" i="39"/>
  <c r="W78" i="48" s="1"/>
  <c r="G61" i="64"/>
  <c r="B12" i="39"/>
  <c r="W70" i="48" s="1"/>
  <c r="X80"/>
  <c r="X85"/>
  <c r="B8" i="41"/>
  <c r="F8" s="1"/>
  <c r="F9" i="48" s="1"/>
  <c r="E14" i="64"/>
  <c r="B20" i="41"/>
  <c r="E27" i="48" s="1"/>
  <c r="E56" i="64"/>
  <c r="B31" i="41"/>
  <c r="E38" i="48" s="1"/>
  <c r="E54" i="64"/>
  <c r="B21" i="41"/>
  <c r="E28" i="48" s="1"/>
  <c r="E57" i="64"/>
  <c r="B22" i="41"/>
  <c r="F22" s="1"/>
  <c r="F29" i="48" s="1"/>
  <c r="E45" i="64"/>
  <c r="B23" i="41"/>
  <c r="E30" i="48" s="1"/>
  <c r="E46" i="64"/>
  <c r="B35" i="41"/>
  <c r="E42" i="48" s="1"/>
  <c r="E69" i="64"/>
  <c r="B27" i="41"/>
  <c r="E34" i="48" s="1"/>
  <c r="B41" i="41"/>
  <c r="F41" s="1"/>
  <c r="F48" i="48" s="1"/>
  <c r="E83" i="64"/>
  <c r="B28" i="41"/>
  <c r="F28" s="1"/>
  <c r="F35" i="48" s="1"/>
  <c r="B42" i="41"/>
  <c r="E49" i="48" s="1"/>
  <c r="E36" i="64"/>
  <c r="B30" i="41"/>
  <c r="E37" i="48" s="1"/>
  <c r="E42" i="64"/>
  <c r="B29" i="41"/>
  <c r="E36" i="48" s="1"/>
  <c r="E41" i="64"/>
  <c r="B33" i="41"/>
  <c r="F33" s="1"/>
  <c r="F40" i="48" s="1"/>
  <c r="E59" i="64"/>
  <c r="B34" i="41"/>
  <c r="E41" i="48" s="1"/>
  <c r="E70" i="64"/>
  <c r="G35" i="48"/>
  <c r="B26" i="43"/>
  <c r="F26" s="1"/>
  <c r="H33" i="48" s="1"/>
  <c r="B5" i="37"/>
  <c r="K6" i="48" s="1"/>
  <c r="L11" i="64"/>
  <c r="B19" i="39"/>
  <c r="W77" i="48" s="1"/>
  <c r="G81" i="64"/>
  <c r="F12" i="56"/>
  <c r="AD13" i="48"/>
  <c r="H14" i="36"/>
  <c r="H16" s="1"/>
  <c r="D18"/>
  <c r="H18" s="1"/>
  <c r="H20" s="1"/>
  <c r="B10" i="39"/>
  <c r="W68" i="48" s="1"/>
  <c r="H311" i="40"/>
  <c r="H9" i="48"/>
  <c r="H6"/>
  <c r="F43" i="43"/>
  <c r="H50" i="48" s="1"/>
  <c r="G50"/>
  <c r="F8" i="45"/>
  <c r="Z66" i="48" s="1"/>
  <c r="F14" i="45"/>
  <c r="Z72" i="48" s="1"/>
  <c r="Y72"/>
  <c r="F15" i="45"/>
  <c r="Z73" i="48" s="1"/>
  <c r="Y73"/>
  <c r="H289" i="32"/>
  <c r="H41" i="34"/>
  <c r="H29"/>
  <c r="I19" i="64" s="1"/>
  <c r="J19" s="1"/>
  <c r="C7" i="35"/>
  <c r="Q14" i="48" s="1"/>
  <c r="C8" i="35"/>
  <c r="Q8" i="48" s="1"/>
  <c r="F9" i="35"/>
  <c r="R10" i="48" s="1"/>
  <c r="F11" i="35"/>
  <c r="R32" i="48" s="1"/>
  <c r="A2" i="37"/>
  <c r="A2" i="50"/>
  <c r="A2" i="29" s="1"/>
  <c r="A2" i="49"/>
  <c r="Q6" i="48"/>
  <c r="F14" i="41"/>
  <c r="F21" i="48" s="1"/>
  <c r="E21"/>
  <c r="F24" i="41"/>
  <c r="F31" i="48" s="1"/>
  <c r="E31"/>
  <c r="F6" i="41"/>
  <c r="E6" i="48"/>
  <c r="F12" i="41"/>
  <c r="F18" i="48" s="1"/>
  <c r="E18"/>
  <c r="F15" i="41"/>
  <c r="F22" i="48" s="1"/>
  <c r="E22"/>
  <c r="F25" i="41"/>
  <c r="F32" i="48" s="1"/>
  <c r="E32"/>
  <c r="F40" i="41"/>
  <c r="F47" i="48" s="1"/>
  <c r="E47"/>
  <c r="F18" i="41"/>
  <c r="F25" i="48" s="1"/>
  <c r="E25"/>
  <c r="F10" i="41"/>
  <c r="F16" i="48" s="1"/>
  <c r="E16"/>
  <c r="F36" i="41"/>
  <c r="F43" i="48" s="1"/>
  <c r="E43"/>
  <c r="F11" i="41"/>
  <c r="F17" i="48" s="1"/>
  <c r="F39" i="41"/>
  <c r="F46" i="48" s="1"/>
  <c r="F17" i="41"/>
  <c r="F24" i="48" s="1"/>
  <c r="B11" i="45"/>
  <c r="B10"/>
  <c r="H28" i="36"/>
  <c r="H30" s="1"/>
  <c r="E32"/>
  <c r="E36" s="1"/>
  <c r="E40" s="1"/>
  <c r="H40" s="1"/>
  <c r="H42" s="1"/>
  <c r="H23"/>
  <c r="D24"/>
  <c r="H24" s="1"/>
  <c r="H57" i="38"/>
  <c r="H22"/>
  <c r="H65"/>
  <c r="B11" i="39"/>
  <c r="B9"/>
  <c r="H16" i="38"/>
  <c r="F7" i="41"/>
  <c r="F8" i="48" s="1"/>
  <c r="F16" i="41"/>
  <c r="F23" i="48" s="1"/>
  <c r="H216" i="40"/>
  <c r="H92"/>
  <c r="H110"/>
  <c r="H101"/>
  <c r="H176"/>
  <c r="B43" i="41"/>
  <c r="H268" i="40"/>
  <c r="H83"/>
  <c r="H322"/>
  <c r="H15"/>
  <c r="C10" i="35"/>
  <c r="C13"/>
  <c r="F22" i="31"/>
  <c r="AB80" i="48" s="1"/>
  <c r="F21" i="31" l="1"/>
  <c r="AB79" i="48" s="1"/>
  <c r="F7" i="45"/>
  <c r="Z65" i="48" s="1"/>
  <c r="J88" i="64"/>
  <c r="Q31"/>
  <c r="R31" s="1"/>
  <c r="P31"/>
  <c r="Q63"/>
  <c r="R63" s="1"/>
  <c r="H63"/>
  <c r="E75" i="68"/>
  <c r="F75" s="1"/>
  <c r="O15" i="64"/>
  <c r="J15"/>
  <c r="Q61"/>
  <c r="R61" s="1"/>
  <c r="H61"/>
  <c r="Q81"/>
  <c r="R81" s="1"/>
  <c r="H81"/>
  <c r="Q78"/>
  <c r="R78" s="1"/>
  <c r="H78"/>
  <c r="Q64"/>
  <c r="R64" s="1"/>
  <c r="H64"/>
  <c r="Q79"/>
  <c r="R79" s="1"/>
  <c r="H79"/>
  <c r="F5" i="37"/>
  <c r="L6" i="48" s="1"/>
  <c r="E39" i="68"/>
  <c r="F39" s="1"/>
  <c r="F76"/>
  <c r="F44"/>
  <c r="Q59" i="64"/>
  <c r="R59" s="1"/>
  <c r="F59"/>
  <c r="Q42"/>
  <c r="R42" s="1"/>
  <c r="F42"/>
  <c r="Q45"/>
  <c r="R45" s="1"/>
  <c r="F45"/>
  <c r="Q70"/>
  <c r="R70" s="1"/>
  <c r="F70"/>
  <c r="Q41"/>
  <c r="R41" s="1"/>
  <c r="F41"/>
  <c r="Q36"/>
  <c r="R36" s="1"/>
  <c r="F36"/>
  <c r="Q46"/>
  <c r="R46" s="1"/>
  <c r="F46"/>
  <c r="Q57"/>
  <c r="R57" s="1"/>
  <c r="F57"/>
  <c r="Q56"/>
  <c r="R56" s="1"/>
  <c r="F56"/>
  <c r="Q69"/>
  <c r="R69" s="1"/>
  <c r="F69"/>
  <c r="Q54"/>
  <c r="R54" s="1"/>
  <c r="F54"/>
  <c r="Q14"/>
  <c r="R14" s="1"/>
  <c r="F14"/>
  <c r="Q83"/>
  <c r="R83" s="1"/>
  <c r="F83"/>
  <c r="E85" i="68"/>
  <c r="F20" i="41"/>
  <c r="F27" i="48" s="1"/>
  <c r="G44" i="68"/>
  <c r="H44" s="1"/>
  <c r="G431" i="67"/>
  <c r="R47" i="65"/>
  <c r="H431" i="67" s="1"/>
  <c r="Q78" i="65"/>
  <c r="H78"/>
  <c r="E32" i="68"/>
  <c r="Q32" s="1"/>
  <c r="R32" s="1"/>
  <c r="R80" i="65"/>
  <c r="H928" i="67" s="1"/>
  <c r="G80" i="68"/>
  <c r="H80" s="1"/>
  <c r="G928" i="67"/>
  <c r="G75" i="68"/>
  <c r="H75" s="1"/>
  <c r="G907" i="67"/>
  <c r="R75" i="65"/>
  <c r="H907" i="67" s="1"/>
  <c r="Q73" i="65"/>
  <c r="H73"/>
  <c r="H91" s="1"/>
  <c r="R79"/>
  <c r="H927" i="67" s="1"/>
  <c r="G79" i="68"/>
  <c r="H79" s="1"/>
  <c r="G927" i="67"/>
  <c r="R82" i="65"/>
  <c r="G953" i="67"/>
  <c r="G82" i="68"/>
  <c r="H82" s="1"/>
  <c r="Q74" i="65"/>
  <c r="H74"/>
  <c r="R65"/>
  <c r="H695" i="67" s="1"/>
  <c r="G65" i="68"/>
  <c r="H65" s="1"/>
  <c r="G695" i="67"/>
  <c r="O25" i="64"/>
  <c r="G64" i="68"/>
  <c r="H64" s="1"/>
  <c r="G694" i="67"/>
  <c r="R64" i="65"/>
  <c r="G908" i="67"/>
  <c r="G76" i="68"/>
  <c r="H76" s="1"/>
  <c r="R76" i="65"/>
  <c r="H908" i="67" s="1"/>
  <c r="C149"/>
  <c r="C547"/>
  <c r="C533"/>
  <c r="C552"/>
  <c r="E84" i="68"/>
  <c r="L546" i="67"/>
  <c r="H546"/>
  <c r="J546"/>
  <c r="F546"/>
  <c r="C245"/>
  <c r="E37" i="68"/>
  <c r="J244" i="67"/>
  <c r="H244"/>
  <c r="F244"/>
  <c r="L244"/>
  <c r="J103"/>
  <c r="H103"/>
  <c r="L103"/>
  <c r="F103"/>
  <c r="E46" i="68"/>
  <c r="J532" i="67"/>
  <c r="L532"/>
  <c r="H532"/>
  <c r="F532"/>
  <c r="H83"/>
  <c r="J83"/>
  <c r="L83"/>
  <c r="F83"/>
  <c r="F7" i="35"/>
  <c r="R14" i="48" s="1"/>
  <c r="C84" i="67"/>
  <c r="C104"/>
  <c r="E65" i="68"/>
  <c r="J148" i="67"/>
  <c r="L148"/>
  <c r="F148"/>
  <c r="H148"/>
  <c r="J541"/>
  <c r="F541"/>
  <c r="H541"/>
  <c r="L541"/>
  <c r="L551"/>
  <c r="F551"/>
  <c r="H551"/>
  <c r="J551"/>
  <c r="F17" i="39"/>
  <c r="X75" i="48" s="1"/>
  <c r="H43" i="68"/>
  <c r="H85"/>
  <c r="H42"/>
  <c r="H39"/>
  <c r="H41"/>
  <c r="H80" i="66"/>
  <c r="F23" i="41"/>
  <c r="F30" i="48" s="1"/>
  <c r="F42" i="41"/>
  <c r="F49" i="48" s="1"/>
  <c r="E35"/>
  <c r="E29"/>
  <c r="E10"/>
  <c r="E9"/>
  <c r="E48"/>
  <c r="E431" i="67"/>
  <c r="E907"/>
  <c r="E908"/>
  <c r="B43" i="33"/>
  <c r="I50" i="48" s="1"/>
  <c r="E22" i="66"/>
  <c r="Q22" s="1"/>
  <c r="R22" s="1"/>
  <c r="G675" i="67"/>
  <c r="G57" i="68"/>
  <c r="H675" i="67"/>
  <c r="H852"/>
  <c r="G71" i="68"/>
  <c r="G852" i="67"/>
  <c r="H678"/>
  <c r="G60" i="68"/>
  <c r="G678" i="67"/>
  <c r="H369"/>
  <c r="G369"/>
  <c r="O369" s="1"/>
  <c r="G55" i="68"/>
  <c r="H55" s="1"/>
  <c r="H851" i="67"/>
  <c r="G70" i="68"/>
  <c r="G851" i="67"/>
  <c r="H635"/>
  <c r="G47" i="68"/>
  <c r="G635" i="67"/>
  <c r="H381"/>
  <c r="G37" i="68"/>
  <c r="G381" i="67"/>
  <c r="H634"/>
  <c r="G46" i="68"/>
  <c r="G634" i="67"/>
  <c r="H987"/>
  <c r="G84" i="68"/>
  <c r="G987" i="67"/>
  <c r="H384"/>
  <c r="G40" i="68"/>
  <c r="G384" i="67"/>
  <c r="F31" i="41"/>
  <c r="F38" i="48" s="1"/>
  <c r="F35" i="41"/>
  <c r="F42" i="48" s="1"/>
  <c r="F21" i="41"/>
  <c r="F28" i="48" s="1"/>
  <c r="E1013" i="67"/>
  <c r="E383"/>
  <c r="F387"/>
  <c r="O387"/>
  <c r="P387" s="1"/>
  <c r="F27" i="41"/>
  <c r="F34" i="48" s="1"/>
  <c r="C12" i="35"/>
  <c r="Q17" i="48" s="1"/>
  <c r="I30" i="64"/>
  <c r="J30" s="1"/>
  <c r="B7" i="37"/>
  <c r="K11" i="48" s="1"/>
  <c r="K17" i="64"/>
  <c r="B9" i="37"/>
  <c r="F9" s="1"/>
  <c r="L13" i="48" s="1"/>
  <c r="K20" i="64"/>
  <c r="H36" i="36"/>
  <c r="H38" s="1"/>
  <c r="B6" i="37"/>
  <c r="K8" i="48" s="1"/>
  <c r="K13" i="64"/>
  <c r="B12" i="37"/>
  <c r="F12" s="1"/>
  <c r="L17" i="48" s="1"/>
  <c r="K30" i="64"/>
  <c r="L30" s="1"/>
  <c r="F12" i="39"/>
  <c r="X70" i="48" s="1"/>
  <c r="O11" i="64"/>
  <c r="F20" i="39"/>
  <c r="X78" i="48" s="1"/>
  <c r="W76"/>
  <c r="F16" i="39"/>
  <c r="X74" i="48" s="1"/>
  <c r="B15" i="39"/>
  <c r="F15" s="1"/>
  <c r="X73" i="48" s="1"/>
  <c r="G77" i="64"/>
  <c r="B14" i="39"/>
  <c r="F14" s="1"/>
  <c r="X72" i="48" s="1"/>
  <c r="G80" i="64"/>
  <c r="B8" i="39"/>
  <c r="F8" s="1"/>
  <c r="X66" i="48" s="1"/>
  <c r="G73" i="64"/>
  <c r="B7" i="39"/>
  <c r="F7" s="1"/>
  <c r="X65" i="48" s="1"/>
  <c r="G72" i="64"/>
  <c r="B26" i="41"/>
  <c r="E33" i="48" s="1"/>
  <c r="E39" i="64"/>
  <c r="F30" i="41"/>
  <c r="F37" i="48" s="1"/>
  <c r="F29" i="41"/>
  <c r="F36" i="48" s="1"/>
  <c r="E40"/>
  <c r="F34" i="41"/>
  <c r="F41" i="48" s="1"/>
  <c r="G33"/>
  <c r="F19" i="39"/>
  <c r="X77" i="48" s="1"/>
  <c r="F7" i="37"/>
  <c r="L11" i="48" s="1"/>
  <c r="H32" i="36"/>
  <c r="H34" s="1"/>
  <c r="F10" i="39"/>
  <c r="X68" i="48" s="1"/>
  <c r="F9" i="39"/>
  <c r="X67" i="48" s="1"/>
  <c r="W67"/>
  <c r="F11" i="39"/>
  <c r="X69" i="48" s="1"/>
  <c r="W69"/>
  <c r="W66"/>
  <c r="F6"/>
  <c r="F11" i="45"/>
  <c r="Z69" i="48" s="1"/>
  <c r="Y69"/>
  <c r="F10" i="45"/>
  <c r="Z68" i="48" s="1"/>
  <c r="Y68"/>
  <c r="H26" i="36"/>
  <c r="F12" i="35"/>
  <c r="R17" i="48" s="1"/>
  <c r="F8" i="35"/>
  <c r="R8" i="48" s="1"/>
  <c r="F13" i="35"/>
  <c r="R18" i="48" s="1"/>
  <c r="Q18"/>
  <c r="F10" i="35"/>
  <c r="R12" i="48" s="1"/>
  <c r="Q12"/>
  <c r="F43" i="41"/>
  <c r="F50" i="48" s="1"/>
  <c r="E50"/>
  <c r="H22" i="33"/>
  <c r="I22" s="1"/>
  <c r="D22" s="1"/>
  <c r="H953" i="67" l="1"/>
  <c r="K13" i="48"/>
  <c r="E80" i="68"/>
  <c r="E71"/>
  <c r="F71" s="1"/>
  <c r="E70"/>
  <c r="F70" s="1"/>
  <c r="E62"/>
  <c r="E79"/>
  <c r="F79" s="1"/>
  <c r="E348" i="67"/>
  <c r="Q73" i="64"/>
  <c r="R73" s="1"/>
  <c r="H73"/>
  <c r="Q77"/>
  <c r="R77" s="1"/>
  <c r="H77"/>
  <c r="O20"/>
  <c r="L20"/>
  <c r="Q72"/>
  <c r="R72" s="1"/>
  <c r="H72"/>
  <c r="O17"/>
  <c r="L17"/>
  <c r="Q11"/>
  <c r="R11" s="1"/>
  <c r="P11"/>
  <c r="O13"/>
  <c r="L13"/>
  <c r="E82" i="68"/>
  <c r="F82" s="1"/>
  <c r="F6" i="37"/>
  <c r="L8" i="48" s="1"/>
  <c r="E43" i="68"/>
  <c r="Q15" i="64"/>
  <c r="E58" i="67" s="1"/>
  <c r="P15" i="64"/>
  <c r="Q25"/>
  <c r="R25" s="1"/>
  <c r="P25"/>
  <c r="Q80"/>
  <c r="R80" s="1"/>
  <c r="H80"/>
  <c r="H88" s="1"/>
  <c r="K17" i="48"/>
  <c r="E58" i="68"/>
  <c r="F58" s="1"/>
  <c r="E64"/>
  <c r="F64" s="1"/>
  <c r="E14"/>
  <c r="F14" s="1"/>
  <c r="F65"/>
  <c r="F80"/>
  <c r="F62"/>
  <c r="Q44"/>
  <c r="R44" s="1"/>
  <c r="F37"/>
  <c r="F85"/>
  <c r="Q85"/>
  <c r="R85" s="1"/>
  <c r="F43"/>
  <c r="E60"/>
  <c r="E57"/>
  <c r="F46"/>
  <c r="F84"/>
  <c r="Q39" i="64"/>
  <c r="R39" s="1"/>
  <c r="F39"/>
  <c r="F88" s="1"/>
  <c r="E55" i="68"/>
  <c r="E47"/>
  <c r="E42"/>
  <c r="H694" i="67"/>
  <c r="O30" i="64"/>
  <c r="G905" i="67"/>
  <c r="G74" i="68"/>
  <c r="H74" s="1"/>
  <c r="R74" i="65"/>
  <c r="H905" i="67" s="1"/>
  <c r="G73" i="68"/>
  <c r="H73" s="1"/>
  <c r="G904" i="67"/>
  <c r="R73" i="65"/>
  <c r="H904" i="67" s="1"/>
  <c r="O348"/>
  <c r="P348" s="1"/>
  <c r="F348"/>
  <c r="E26" i="68"/>
  <c r="Q26" s="1"/>
  <c r="R26" s="1"/>
  <c r="E333" i="67"/>
  <c r="F32" i="68"/>
  <c r="R78" i="65"/>
  <c r="H926" i="67" s="1"/>
  <c r="G926"/>
  <c r="G78" i="68"/>
  <c r="H78" s="1"/>
  <c r="C150" i="67"/>
  <c r="J104"/>
  <c r="L104"/>
  <c r="F104"/>
  <c r="H104"/>
  <c r="H552"/>
  <c r="L552"/>
  <c r="J552"/>
  <c r="F552"/>
  <c r="J149"/>
  <c r="L149"/>
  <c r="H149"/>
  <c r="F149"/>
  <c r="C534"/>
  <c r="C105"/>
  <c r="E74" i="68"/>
  <c r="F84" i="67"/>
  <c r="J84"/>
  <c r="H84"/>
  <c r="L84"/>
  <c r="C553"/>
  <c r="C85"/>
  <c r="H245"/>
  <c r="F245"/>
  <c r="J245"/>
  <c r="L245"/>
  <c r="L547"/>
  <c r="H547"/>
  <c r="J547"/>
  <c r="F547"/>
  <c r="J533"/>
  <c r="L533"/>
  <c r="F533"/>
  <c r="H533"/>
  <c r="H46" i="68"/>
  <c r="H40"/>
  <c r="H47"/>
  <c r="H71"/>
  <c r="H37"/>
  <c r="H60"/>
  <c r="H84"/>
  <c r="H70"/>
  <c r="H57"/>
  <c r="AG50" i="48"/>
  <c r="F43" i="33"/>
  <c r="J50" i="48" s="1"/>
  <c r="AH50" s="1"/>
  <c r="J1029" i="67"/>
  <c r="I86" i="68"/>
  <c r="Q86" s="1"/>
  <c r="R86" s="1"/>
  <c r="I1029" i="67"/>
  <c r="O1029" s="1"/>
  <c r="P1029" s="1"/>
  <c r="E956"/>
  <c r="F956" s="1"/>
  <c r="E927"/>
  <c r="E928"/>
  <c r="F908"/>
  <c r="E953"/>
  <c r="E694"/>
  <c r="E687"/>
  <c r="E695"/>
  <c r="F907"/>
  <c r="F431"/>
  <c r="F22" i="66"/>
  <c r="E987" i="67"/>
  <c r="F987" s="1"/>
  <c r="E392"/>
  <c r="E851"/>
  <c r="E48"/>
  <c r="E678"/>
  <c r="E635"/>
  <c r="F383"/>
  <c r="E675"/>
  <c r="E634"/>
  <c r="E676"/>
  <c r="F1013"/>
  <c r="O1013"/>
  <c r="P1013" s="1"/>
  <c r="E391"/>
  <c r="E381"/>
  <c r="E852"/>
  <c r="E669"/>
  <c r="W73" i="48"/>
  <c r="B11" i="37"/>
  <c r="K55" i="64"/>
  <c r="B8" i="37"/>
  <c r="F8" s="1"/>
  <c r="K19" i="64"/>
  <c r="B10" i="37"/>
  <c r="F10" s="1"/>
  <c r="L14" i="48" s="1"/>
  <c r="K12" i="64"/>
  <c r="W65" i="48"/>
  <c r="W72"/>
  <c r="F26" i="41"/>
  <c r="F33" i="48" s="1"/>
  <c r="F23" i="39"/>
  <c r="F24" s="1"/>
  <c r="F25" s="1"/>
  <c r="F26" s="1"/>
  <c r="F23" i="45"/>
  <c r="Z80" i="48" s="1"/>
  <c r="F14" i="35"/>
  <c r="F15" s="1"/>
  <c r="F16" s="1"/>
  <c r="D35" i="33"/>
  <c r="B40"/>
  <c r="I47" i="48" s="1"/>
  <c r="AG47" s="1"/>
  <c r="B39" i="33"/>
  <c r="I46" i="48" s="1"/>
  <c r="AG46" s="1"/>
  <c r="C35" i="33"/>
  <c r="B42" i="48" s="1"/>
  <c r="C22" i="33"/>
  <c r="B29" i="48" s="1"/>
  <c r="B16" i="33"/>
  <c r="I23" i="48" s="1"/>
  <c r="AG23" s="1"/>
  <c r="B14" i="33"/>
  <c r="I21" i="48" s="1"/>
  <c r="AG21" s="1"/>
  <c r="H272" i="32"/>
  <c r="R91" i="65" l="1"/>
  <c r="D5" i="73" s="1"/>
  <c r="K12" i="48"/>
  <c r="E24" i="67"/>
  <c r="E11" i="68"/>
  <c r="E78"/>
  <c r="F78" s="1"/>
  <c r="O55" i="64"/>
  <c r="L55"/>
  <c r="Q30"/>
  <c r="E31" i="68" s="1"/>
  <c r="F31" s="1"/>
  <c r="P30" i="64"/>
  <c r="R15"/>
  <c r="E16" i="68"/>
  <c r="Q13" i="64"/>
  <c r="P13"/>
  <c r="Q17"/>
  <c r="P17"/>
  <c r="Q20"/>
  <c r="E231" i="67" s="1"/>
  <c r="P20" i="64"/>
  <c r="E40" i="68"/>
  <c r="F40" s="1"/>
  <c r="E81"/>
  <c r="F81" s="1"/>
  <c r="O12" i="64"/>
  <c r="L12"/>
  <c r="O19"/>
  <c r="L19"/>
  <c r="B12" i="60"/>
  <c r="H104" i="68"/>
  <c r="E73"/>
  <c r="F11"/>
  <c r="F74"/>
  <c r="F73"/>
  <c r="F42"/>
  <c r="F57"/>
  <c r="F55"/>
  <c r="Q55"/>
  <c r="R55" s="1"/>
  <c r="F60"/>
  <c r="R30" i="64"/>
  <c r="F47" i="68"/>
  <c r="O333" i="67"/>
  <c r="P333" s="1"/>
  <c r="F333"/>
  <c r="F26" i="68"/>
  <c r="C106" i="67"/>
  <c r="L553"/>
  <c r="F553"/>
  <c r="H553"/>
  <c r="J553"/>
  <c r="J105"/>
  <c r="L105"/>
  <c r="F105"/>
  <c r="H105"/>
  <c r="K14" i="48"/>
  <c r="L150" i="67"/>
  <c r="J150"/>
  <c r="F150"/>
  <c r="H150"/>
  <c r="L85"/>
  <c r="F85"/>
  <c r="J85"/>
  <c r="H85"/>
  <c r="J534"/>
  <c r="H534"/>
  <c r="F534"/>
  <c r="L534"/>
  <c r="C151"/>
  <c r="J86" i="68"/>
  <c r="E904" i="67"/>
  <c r="E926"/>
  <c r="F24"/>
  <c r="E905"/>
  <c r="E93"/>
  <c r="F694"/>
  <c r="F928"/>
  <c r="E929"/>
  <c r="F695"/>
  <c r="F953"/>
  <c r="F927"/>
  <c r="F687"/>
  <c r="J301"/>
  <c r="I23" i="68"/>
  <c r="Q23" s="1"/>
  <c r="R23" s="1"/>
  <c r="I301" i="67"/>
  <c r="O301" s="1"/>
  <c r="P301" s="1"/>
  <c r="F852"/>
  <c r="F675"/>
  <c r="F678"/>
  <c r="F851"/>
  <c r="O58"/>
  <c r="P58" s="1"/>
  <c r="F58"/>
  <c r="F676"/>
  <c r="F392"/>
  <c r="F381"/>
  <c r="F635"/>
  <c r="E384"/>
  <c r="E47"/>
  <c r="F634"/>
  <c r="F48"/>
  <c r="F669"/>
  <c r="O669"/>
  <c r="P669" s="1"/>
  <c r="F391"/>
  <c r="F24" i="45"/>
  <c r="F25" s="1"/>
  <c r="F26" s="1"/>
  <c r="F11" i="37"/>
  <c r="L15" i="48" s="1"/>
  <c r="K15"/>
  <c r="F27" i="39"/>
  <c r="F29" s="1"/>
  <c r="L12" i="48"/>
  <c r="D13" i="43"/>
  <c r="F13" s="1"/>
  <c r="H252" i="32"/>
  <c r="H253"/>
  <c r="H210" i="68" l="1"/>
  <c r="H5" i="73" s="1"/>
  <c r="L88" i="64"/>
  <c r="E347" i="67"/>
  <c r="F347" s="1"/>
  <c r="R20" i="64"/>
  <c r="E21" i="68"/>
  <c r="F21" s="1"/>
  <c r="Q19" i="64"/>
  <c r="P19"/>
  <c r="R17"/>
  <c r="E18" i="68"/>
  <c r="F18" s="1"/>
  <c r="Q55" i="64"/>
  <c r="E670" i="67" s="1"/>
  <c r="P55" i="64"/>
  <c r="Q16" i="68"/>
  <c r="R16" s="1"/>
  <c r="F16"/>
  <c r="Q12" i="64"/>
  <c r="E40" i="67" s="1"/>
  <c r="P12" i="64"/>
  <c r="R13"/>
  <c r="E13" i="68"/>
  <c r="F13" s="1"/>
  <c r="P197" i="64"/>
  <c r="L151" i="67"/>
  <c r="F151"/>
  <c r="J151"/>
  <c r="H151"/>
  <c r="C152"/>
  <c r="L106"/>
  <c r="F106"/>
  <c r="H106"/>
  <c r="J106"/>
  <c r="J23" i="68"/>
  <c r="F231" i="67"/>
  <c r="F93"/>
  <c r="F905"/>
  <c r="F926"/>
  <c r="F904"/>
  <c r="F929"/>
  <c r="F384"/>
  <c r="F47"/>
  <c r="F27" i="45"/>
  <c r="F29" s="1"/>
  <c r="F13" i="37"/>
  <c r="F14" s="1"/>
  <c r="F15" s="1"/>
  <c r="D13" i="33"/>
  <c r="D13" i="41"/>
  <c r="F13" s="1"/>
  <c r="H20" i="48"/>
  <c r="H115" i="32"/>
  <c r="H116" s="1"/>
  <c r="P88" i="64" l="1"/>
  <c r="R55"/>
  <c r="E56" i="68"/>
  <c r="F56" s="1"/>
  <c r="R19" i="64"/>
  <c r="E20" i="68"/>
  <c r="F20" s="1"/>
  <c r="E139" i="67"/>
  <c r="R12" i="64"/>
  <c r="E12" i="68"/>
  <c r="F12" s="1"/>
  <c r="C153" i="67"/>
  <c r="J152"/>
  <c r="L152"/>
  <c r="F152"/>
  <c r="H152"/>
  <c r="F139"/>
  <c r="F40"/>
  <c r="F670"/>
  <c r="B22" i="33"/>
  <c r="F22" s="1"/>
  <c r="J29" i="48" s="1"/>
  <c r="AH29" s="1"/>
  <c r="E45" i="66"/>
  <c r="Q45" s="1"/>
  <c r="R45" s="1"/>
  <c r="N88" i="64"/>
  <c r="F20" i="48"/>
  <c r="F16" i="37"/>
  <c r="F17"/>
  <c r="H172" i="32"/>
  <c r="H104"/>
  <c r="H103"/>
  <c r="R88" i="64" l="1"/>
  <c r="D4" i="73" s="1"/>
  <c r="F104" i="68"/>
  <c r="I29" i="48"/>
  <c r="AG29" s="1"/>
  <c r="H153" i="67"/>
  <c r="H1033" s="1"/>
  <c r="L153"/>
  <c r="F153"/>
  <c r="J153"/>
  <c r="F1033"/>
  <c r="F45" i="66"/>
  <c r="B35" i="33"/>
  <c r="I42" i="48" s="1"/>
  <c r="AG42" s="1"/>
  <c r="E64" i="66"/>
  <c r="Q64" s="1"/>
  <c r="R64" s="1"/>
  <c r="F18" i="37"/>
  <c r="H135" i="32"/>
  <c r="H134"/>
  <c r="H133"/>
  <c r="H126"/>
  <c r="H124"/>
  <c r="H125"/>
  <c r="H91"/>
  <c r="H90"/>
  <c r="H89"/>
  <c r="H88"/>
  <c r="H83"/>
  <c r="H82"/>
  <c r="H81"/>
  <c r="H80"/>
  <c r="H75"/>
  <c r="H74"/>
  <c r="H73"/>
  <c r="H72"/>
  <c r="F210" i="68" l="1"/>
  <c r="H4" i="73" s="1"/>
  <c r="P91" i="64"/>
  <c r="F231" i="68"/>
  <c r="F4" i="73"/>
  <c r="H231" i="68"/>
  <c r="F5" i="73"/>
  <c r="F7"/>
  <c r="P1144" i="67"/>
  <c r="P1145" s="1"/>
  <c r="P1037"/>
  <c r="P1038" s="1"/>
  <c r="R95" i="65"/>
  <c r="R96" s="1"/>
  <c r="P94"/>
  <c r="F35" i="33"/>
  <c r="J42" i="48" s="1"/>
  <c r="AH42" s="1"/>
  <c r="F64" i="66"/>
  <c r="J634" i="67"/>
  <c r="I634"/>
  <c r="O634" s="1"/>
  <c r="P634" s="1"/>
  <c r="I46" i="68"/>
  <c r="Q46" s="1"/>
  <c r="R46" s="1"/>
  <c r="H76" i="32"/>
  <c r="H84"/>
  <c r="H92"/>
  <c r="H271"/>
  <c r="H273"/>
  <c r="H274"/>
  <c r="H275"/>
  <c r="H276"/>
  <c r="H277"/>
  <c r="H278"/>
  <c r="D8" i="33"/>
  <c r="C8"/>
  <c r="B9" i="48" s="1"/>
  <c r="G42" i="33"/>
  <c r="H42" s="1"/>
  <c r="D42" s="1"/>
  <c r="C42"/>
  <c r="B49" i="48" s="1"/>
  <c r="C41" i="33"/>
  <c r="B48" i="48" s="1"/>
  <c r="D40" i="33"/>
  <c r="C40"/>
  <c r="B47" i="48" s="1"/>
  <c r="D39" i="33"/>
  <c r="C39"/>
  <c r="B46" i="48" s="1"/>
  <c r="C38" i="33"/>
  <c r="B45" i="48" s="1"/>
  <c r="B38" i="33"/>
  <c r="I45" i="48" s="1"/>
  <c r="AG45" s="1"/>
  <c r="C37" i="33"/>
  <c r="B44" i="48" s="1"/>
  <c r="B37" i="33"/>
  <c r="I44" i="48" s="1"/>
  <c r="AG44" s="1"/>
  <c r="D36" i="33"/>
  <c r="C36"/>
  <c r="B43" i="48" s="1"/>
  <c r="B36" i="33"/>
  <c r="I43" i="48" s="1"/>
  <c r="AG43" s="1"/>
  <c r="D34" i="33"/>
  <c r="C34"/>
  <c r="B41" i="48" s="1"/>
  <c r="D33" i="33"/>
  <c r="C33"/>
  <c r="B40" i="48" s="1"/>
  <c r="C32" i="33"/>
  <c r="B39" i="48" s="1"/>
  <c r="D31" i="33"/>
  <c r="C31"/>
  <c r="B38" i="48" s="1"/>
  <c r="D30" i="33"/>
  <c r="C30"/>
  <c r="B37" i="48" s="1"/>
  <c r="D29" i="33"/>
  <c r="C29"/>
  <c r="B36" i="48" s="1"/>
  <c r="C28" i="33"/>
  <c r="B35" i="48" s="1"/>
  <c r="C27" i="33"/>
  <c r="B34" i="48" s="1"/>
  <c r="D26" i="33"/>
  <c r="C26"/>
  <c r="B33" i="48" s="1"/>
  <c r="D25" i="33"/>
  <c r="C25"/>
  <c r="B32" i="48" s="1"/>
  <c r="B25" i="33"/>
  <c r="I32" i="48" s="1"/>
  <c r="AG32" s="1"/>
  <c r="C24" i="33"/>
  <c r="B31" i="48" s="1"/>
  <c r="B24" i="33"/>
  <c r="C23"/>
  <c r="B30" i="48" s="1"/>
  <c r="D21" i="33"/>
  <c r="C21"/>
  <c r="B28" i="48" s="1"/>
  <c r="D20" i="33"/>
  <c r="C20"/>
  <c r="B27" i="48" s="1"/>
  <c r="C19" i="33"/>
  <c r="B26" i="48" s="1"/>
  <c r="D18" i="33"/>
  <c r="C18"/>
  <c r="B25" i="48" s="1"/>
  <c r="B18" i="33"/>
  <c r="I25" i="48" s="1"/>
  <c r="AG25" s="1"/>
  <c r="D17" i="33"/>
  <c r="C17"/>
  <c r="B24" i="48" s="1"/>
  <c r="B17" i="33"/>
  <c r="I24" i="48" s="1"/>
  <c r="AG24" s="1"/>
  <c r="D16" i="33"/>
  <c r="C16"/>
  <c r="B23" i="48" s="1"/>
  <c r="D15" i="33"/>
  <c r="C15"/>
  <c r="B22" i="48" s="1"/>
  <c r="C14" i="33"/>
  <c r="B21" i="48" s="1"/>
  <c r="C13" i="33"/>
  <c r="B20" i="48" s="1"/>
  <c r="B13" i="33"/>
  <c r="I20" i="48" s="1"/>
  <c r="AG20" s="1"/>
  <c r="D12" i="33"/>
  <c r="C12"/>
  <c r="B18" i="48" s="1"/>
  <c r="B12" i="33"/>
  <c r="I18" i="48" s="1"/>
  <c r="AG18" s="1"/>
  <c r="D11" i="33"/>
  <c r="C11"/>
  <c r="B17" i="48" s="1"/>
  <c r="B11" i="33"/>
  <c r="I17" i="48" s="1"/>
  <c r="C10" i="33"/>
  <c r="B16" i="48" s="1"/>
  <c r="B10" i="33"/>
  <c r="D9"/>
  <c r="C9"/>
  <c r="B10" i="48" s="1"/>
  <c r="B9" i="33"/>
  <c r="I10" i="48" s="1"/>
  <c r="AG10" s="1"/>
  <c r="D7" i="33"/>
  <c r="C7"/>
  <c r="B8" i="48" s="1"/>
  <c r="B7" i="33"/>
  <c r="I8" i="48" s="1"/>
  <c r="D6" i="33"/>
  <c r="C6"/>
  <c r="B5" i="48" s="1"/>
  <c r="B6" i="33"/>
  <c r="I6" i="48" s="1"/>
  <c r="A2" i="33"/>
  <c r="H284" i="32"/>
  <c r="H282"/>
  <c r="H250"/>
  <c r="H249"/>
  <c r="H248"/>
  <c r="H247"/>
  <c r="H246"/>
  <c r="H245"/>
  <c r="H244"/>
  <c r="H243"/>
  <c r="H242"/>
  <c r="H241"/>
  <c r="H240"/>
  <c r="H239"/>
  <c r="H238"/>
  <c r="H237"/>
  <c r="H236"/>
  <c r="H221"/>
  <c r="H220"/>
  <c r="H219"/>
  <c r="H218"/>
  <c r="H217"/>
  <c r="H216"/>
  <c r="H203"/>
  <c r="H199"/>
  <c r="H198"/>
  <c r="H197"/>
  <c r="H196"/>
  <c r="H195"/>
  <c r="H194"/>
  <c r="H193"/>
  <c r="H192"/>
  <c r="H191"/>
  <c r="H190"/>
  <c r="H189"/>
  <c r="H183"/>
  <c r="H182"/>
  <c r="H181"/>
  <c r="H180"/>
  <c r="H179"/>
  <c r="H178"/>
  <c r="H177"/>
  <c r="H176"/>
  <c r="H169"/>
  <c r="H163"/>
  <c r="H159"/>
  <c r="H156"/>
  <c r="H152"/>
  <c r="H154" s="1"/>
  <c r="E41" i="66" s="1"/>
  <c r="Q41" s="1"/>
  <c r="R41" s="1"/>
  <c r="H150" i="32"/>
  <c r="B28" i="33" s="1"/>
  <c r="H147" i="32"/>
  <c r="H144"/>
  <c r="H137"/>
  <c r="H136"/>
  <c r="H123"/>
  <c r="H122"/>
  <c r="H121"/>
  <c r="H118"/>
  <c r="H112"/>
  <c r="H109"/>
  <c r="H102"/>
  <c r="H101"/>
  <c r="H97"/>
  <c r="H96"/>
  <c r="H95"/>
  <c r="H67"/>
  <c r="H66"/>
  <c r="H65"/>
  <c r="H64"/>
  <c r="H61"/>
  <c r="H57"/>
  <c r="H56"/>
  <c r="H55"/>
  <c r="H38"/>
  <c r="H37"/>
  <c r="H36"/>
  <c r="H35"/>
  <c r="H32"/>
  <c r="H31"/>
  <c r="H30"/>
  <c r="H26"/>
  <c r="H17"/>
  <c r="D20" i="31"/>
  <c r="C20"/>
  <c r="C19"/>
  <c r="C18"/>
  <c r="D17"/>
  <c r="C17"/>
  <c r="D16"/>
  <c r="C16"/>
  <c r="C15"/>
  <c r="C14"/>
  <c r="C13"/>
  <c r="D12"/>
  <c r="C12"/>
  <c r="D11"/>
  <c r="C11"/>
  <c r="D10"/>
  <c r="C10"/>
  <c r="D9"/>
  <c r="C9"/>
  <c r="D8"/>
  <c r="C8"/>
  <c r="D7"/>
  <c r="C7"/>
  <c r="C6"/>
  <c r="A2"/>
  <c r="H82" i="30"/>
  <c r="H78"/>
  <c r="H75"/>
  <c r="H71"/>
  <c r="H67"/>
  <c r="H55"/>
  <c r="H54"/>
  <c r="H44"/>
  <c r="H41"/>
  <c r="H38"/>
  <c r="H34"/>
  <c r="H33"/>
  <c r="H32"/>
  <c r="H27"/>
  <c r="H26"/>
  <c r="H25"/>
  <c r="H18"/>
  <c r="H21" s="1"/>
  <c r="G68" i="66" s="1"/>
  <c r="Q68" s="1"/>
  <c r="R68" s="1"/>
  <c r="H15" i="30"/>
  <c r="H14"/>
  <c r="H13"/>
  <c r="H12"/>
  <c r="H11"/>
  <c r="H10"/>
  <c r="H9"/>
  <c r="E23" i="28"/>
  <c r="H23" s="1"/>
  <c r="A2"/>
  <c r="D12" i="29"/>
  <c r="C12"/>
  <c r="D11"/>
  <c r="C11"/>
  <c r="B15" i="48" s="1"/>
  <c r="D10" i="29"/>
  <c r="D8" i="56" s="1"/>
  <c r="C10" i="29"/>
  <c r="B14" i="48" s="1"/>
  <c r="D9" i="29"/>
  <c r="C9"/>
  <c r="B13" i="48" s="1"/>
  <c r="E8" i="29"/>
  <c r="E11" s="1"/>
  <c r="E12" s="1"/>
  <c r="D8"/>
  <c r="C8"/>
  <c r="B12" i="48" s="1"/>
  <c r="E7" i="29"/>
  <c r="D7"/>
  <c r="C7"/>
  <c r="B11" i="48" s="1"/>
  <c r="E6" i="29"/>
  <c r="E10" s="1"/>
  <c r="D6"/>
  <c r="D9" i="56" s="1"/>
  <c r="C6" i="29"/>
  <c r="E5"/>
  <c r="E9" s="1"/>
  <c r="D5"/>
  <c r="C5"/>
  <c r="A1"/>
  <c r="E14" i="28"/>
  <c r="H9"/>
  <c r="H11" s="1"/>
  <c r="R93" i="64" l="1"/>
  <c r="P95" i="65"/>
  <c r="L231" i="68"/>
  <c r="R202" i="65"/>
  <c r="R203" s="1"/>
  <c r="P202"/>
  <c r="P203" s="1"/>
  <c r="J46" i="68"/>
  <c r="H141" i="32"/>
  <c r="H68" i="66"/>
  <c r="B41" i="33"/>
  <c r="F41" s="1"/>
  <c r="J48" i="48" s="1"/>
  <c r="AH48" s="1"/>
  <c r="E78" i="66"/>
  <c r="Q78" s="1"/>
  <c r="R78" s="1"/>
  <c r="B34" i="33"/>
  <c r="I41" i="48" s="1"/>
  <c r="AG41" s="1"/>
  <c r="E65" i="66"/>
  <c r="Q65" s="1"/>
  <c r="R65" s="1"/>
  <c r="H58" i="32"/>
  <c r="F41" i="66"/>
  <c r="I70" i="68"/>
  <c r="Q70" s="1"/>
  <c r="R70" s="1"/>
  <c r="I851" i="67"/>
  <c r="O851" s="1"/>
  <c r="P851" s="1"/>
  <c r="J851"/>
  <c r="B5" i="29"/>
  <c r="O6" i="48" s="1"/>
  <c r="AG6" s="1"/>
  <c r="B12" i="31"/>
  <c r="AA70" i="48" s="1"/>
  <c r="H46" i="30"/>
  <c r="G73" i="66" s="1"/>
  <c r="Q73" s="1"/>
  <c r="R73" s="1"/>
  <c r="H267" i="32"/>
  <c r="F9" i="56"/>
  <c r="AD8" i="48"/>
  <c r="F8" i="56"/>
  <c r="F26" s="1"/>
  <c r="F27" s="1"/>
  <c r="AD14" i="48"/>
  <c r="E28" i="28"/>
  <c r="H28" s="1"/>
  <c r="H30" s="1"/>
  <c r="H232" i="32"/>
  <c r="F10" i="33"/>
  <c r="J16" i="48" s="1"/>
  <c r="AH16" s="1"/>
  <c r="I16"/>
  <c r="AG16" s="1"/>
  <c r="F24" i="33"/>
  <c r="J31" i="48" s="1"/>
  <c r="AH31" s="1"/>
  <c r="I31"/>
  <c r="AG31" s="1"/>
  <c r="F28" i="33"/>
  <c r="J35" i="48" s="1"/>
  <c r="AH35" s="1"/>
  <c r="I35"/>
  <c r="AG35" s="1"/>
  <c r="H14" i="28"/>
  <c r="H16" s="1"/>
  <c r="D18"/>
  <c r="H18" s="1"/>
  <c r="H20" s="1"/>
  <c r="D24"/>
  <c r="H24" s="1"/>
  <c r="H26" s="1"/>
  <c r="F17" i="33"/>
  <c r="J24" i="48" s="1"/>
  <c r="AH24" s="1"/>
  <c r="H105" i="32"/>
  <c r="H130"/>
  <c r="F12" i="33"/>
  <c r="J18" i="48" s="1"/>
  <c r="AH18" s="1"/>
  <c r="F16" i="33"/>
  <c r="J23" i="48" s="1"/>
  <c r="AH23" s="1"/>
  <c r="F7" i="33"/>
  <c r="J8" i="48" s="1"/>
  <c r="F25" i="33"/>
  <c r="J32" i="48" s="1"/>
  <c r="AH32" s="1"/>
  <c r="F6" i="33"/>
  <c r="F18"/>
  <c r="J25" i="48" s="1"/>
  <c r="AH25" s="1"/>
  <c r="H148" i="32"/>
  <c r="B29" i="33"/>
  <c r="H110" i="32"/>
  <c r="F13" i="33"/>
  <c r="J20" i="48" s="1"/>
  <c r="AH20" s="1"/>
  <c r="H39" i="32"/>
  <c r="H98"/>
  <c r="H145"/>
  <c r="H160"/>
  <c r="B31" i="33" s="1"/>
  <c r="F40"/>
  <c r="J47" i="48" s="1"/>
  <c r="AH47" s="1"/>
  <c r="H279" i="32"/>
  <c r="F39" i="33" s="1"/>
  <c r="J46" i="48" s="1"/>
  <c r="AH46" s="1"/>
  <c r="F9" i="33"/>
  <c r="J10" i="48" s="1"/>
  <c r="AH10" s="1"/>
  <c r="B15" i="33"/>
  <c r="H285" i="32"/>
  <c r="F11" i="33"/>
  <c r="J17" i="48" s="1"/>
  <c r="F36" i="33"/>
  <c r="J43" i="48" s="1"/>
  <c r="AH43" s="1"/>
  <c r="H164" i="32"/>
  <c r="H113"/>
  <c r="H157"/>
  <c r="H119"/>
  <c r="H68"/>
  <c r="F14" i="33"/>
  <c r="J21" i="48" s="1"/>
  <c r="AH21" s="1"/>
  <c r="H184" i="32"/>
  <c r="F12" i="31"/>
  <c r="AB70" i="48" s="1"/>
  <c r="H68" i="30"/>
  <c r="B8" i="31"/>
  <c r="H83" i="30"/>
  <c r="H28"/>
  <c r="H72"/>
  <c r="H79"/>
  <c r="H16"/>
  <c r="H35"/>
  <c r="H56"/>
  <c r="H76"/>
  <c r="H42"/>
  <c r="H64"/>
  <c r="E32" i="28"/>
  <c r="H18" i="32"/>
  <c r="F5" i="29" l="1"/>
  <c r="P6" i="48" s="1"/>
  <c r="B8" i="29"/>
  <c r="O12" i="48" s="1"/>
  <c r="AG12" s="1"/>
  <c r="K19" i="66"/>
  <c r="B7" i="29"/>
  <c r="O11" i="48" s="1"/>
  <c r="AG11" s="1"/>
  <c r="K17" i="66"/>
  <c r="B6" i="29"/>
  <c r="O8" i="48" s="1"/>
  <c r="AG8" s="1"/>
  <c r="K13" i="66"/>
  <c r="B9" i="29"/>
  <c r="O13" i="48" s="1"/>
  <c r="AG13" s="1"/>
  <c r="K20" i="66"/>
  <c r="J70" i="68"/>
  <c r="I48" i="48"/>
  <c r="AG48" s="1"/>
  <c r="F34" i="33"/>
  <c r="J41" i="48" s="1"/>
  <c r="AH41" s="1"/>
  <c r="B9" i="31"/>
  <c r="G70" i="66"/>
  <c r="Q70" s="1"/>
  <c r="R70" s="1"/>
  <c r="B16" i="31"/>
  <c r="F16" s="1"/>
  <c r="AB74" i="48" s="1"/>
  <c r="G74" i="66"/>
  <c r="Q74" s="1"/>
  <c r="R74" s="1"/>
  <c r="B11" i="31"/>
  <c r="B14"/>
  <c r="F14" s="1"/>
  <c r="AB72" i="48" s="1"/>
  <c r="G75" i="66"/>
  <c r="Q75" s="1"/>
  <c r="R75" s="1"/>
  <c r="B15" i="31"/>
  <c r="AA73" i="48" s="1"/>
  <c r="G72" i="66"/>
  <c r="Q72" s="1"/>
  <c r="R72" s="1"/>
  <c r="B18" i="31"/>
  <c r="F18" s="1"/>
  <c r="AB76" i="48" s="1"/>
  <c r="G59" i="66"/>
  <c r="Q59" s="1"/>
  <c r="R59" s="1"/>
  <c r="B10" i="31"/>
  <c r="G69" i="66"/>
  <c r="Q69" s="1"/>
  <c r="R69" s="1"/>
  <c r="B7" i="31"/>
  <c r="F7" s="1"/>
  <c r="G67" i="66"/>
  <c r="Q67" s="1"/>
  <c r="R67" s="1"/>
  <c r="B20" i="31"/>
  <c r="F20" s="1"/>
  <c r="AB78" i="48" s="1"/>
  <c r="G56" i="66"/>
  <c r="Q56" s="1"/>
  <c r="R56" s="1"/>
  <c r="H73"/>
  <c r="J905" i="67"/>
  <c r="I905"/>
  <c r="O905" s="1"/>
  <c r="P905" s="1"/>
  <c r="I74" i="68"/>
  <c r="Q74" s="1"/>
  <c r="R74" s="1"/>
  <c r="B19" i="31"/>
  <c r="F19" s="1"/>
  <c r="AB77" i="48" s="1"/>
  <c r="G76" i="66"/>
  <c r="Q76" s="1"/>
  <c r="R76" s="1"/>
  <c r="B17" i="31"/>
  <c r="AA75" i="48" s="1"/>
  <c r="G58" i="66"/>
  <c r="Q58" s="1"/>
  <c r="R58" s="1"/>
  <c r="B42" i="33"/>
  <c r="F42" s="1"/>
  <c r="J49" i="48" s="1"/>
  <c r="AH49" s="1"/>
  <c r="E37" i="66"/>
  <c r="Q37" s="1"/>
  <c r="R37" s="1"/>
  <c r="B23" i="33"/>
  <c r="F23" s="1"/>
  <c r="J30" i="48" s="1"/>
  <c r="AH30" s="1"/>
  <c r="E46" i="66"/>
  <c r="Q46" s="1"/>
  <c r="R46" s="1"/>
  <c r="B20" i="33"/>
  <c r="F20" s="1"/>
  <c r="J27" i="48" s="1"/>
  <c r="AH27" s="1"/>
  <c r="E51" i="66"/>
  <c r="Q51" s="1"/>
  <c r="R51" s="1"/>
  <c r="F65"/>
  <c r="B30" i="33"/>
  <c r="F30" s="1"/>
  <c r="J37" i="48" s="1"/>
  <c r="AH37" s="1"/>
  <c r="E42" i="66"/>
  <c r="Q42" s="1"/>
  <c r="R42" s="1"/>
  <c r="B21" i="33"/>
  <c r="I28" i="48" s="1"/>
  <c r="AG28" s="1"/>
  <c r="E52" i="66"/>
  <c r="Q52" s="1"/>
  <c r="R52" s="1"/>
  <c r="B27" i="33"/>
  <c r="I34" i="48" s="1"/>
  <c r="AG34" s="1"/>
  <c r="E38" i="66"/>
  <c r="Q38" s="1"/>
  <c r="R38" s="1"/>
  <c r="B33" i="33"/>
  <c r="I40" i="48" s="1"/>
  <c r="AG40" s="1"/>
  <c r="E54" i="66"/>
  <c r="Q54" s="1"/>
  <c r="R54" s="1"/>
  <c r="F78"/>
  <c r="B8" i="33"/>
  <c r="F8" s="1"/>
  <c r="J9" i="48" s="1"/>
  <c r="AH9" s="1"/>
  <c r="E14" i="66"/>
  <c r="Q14" s="1"/>
  <c r="R14" s="1"/>
  <c r="B26" i="33"/>
  <c r="F26" s="1"/>
  <c r="J33" i="48" s="1"/>
  <c r="AH33" s="1"/>
  <c r="E39" i="66"/>
  <c r="Q39" s="1"/>
  <c r="R39" s="1"/>
  <c r="J391" i="67"/>
  <c r="I42" i="68"/>
  <c r="Q42" s="1"/>
  <c r="R42" s="1"/>
  <c r="I391" i="67"/>
  <c r="O391" s="1"/>
  <c r="P391" s="1"/>
  <c r="L11" i="66"/>
  <c r="O11"/>
  <c r="Q11" s="1"/>
  <c r="R11" s="1"/>
  <c r="F7" i="29"/>
  <c r="P11" i="48" s="1"/>
  <c r="AH11" s="1"/>
  <c r="F9" i="29"/>
  <c r="P13" i="48" s="1"/>
  <c r="AH13" s="1"/>
  <c r="F8" i="31"/>
  <c r="AB66" i="48" s="1"/>
  <c r="AA66"/>
  <c r="F9" i="31"/>
  <c r="AB67" i="48" s="1"/>
  <c r="AA67"/>
  <c r="AA76"/>
  <c r="F10" i="31"/>
  <c r="AB68" i="48" s="1"/>
  <c r="AA68"/>
  <c r="AA78"/>
  <c r="F15" i="31"/>
  <c r="AB73" i="48" s="1"/>
  <c r="F11" i="31"/>
  <c r="AB69" i="48" s="1"/>
  <c r="AA69"/>
  <c r="F17" i="31"/>
  <c r="AB75" i="48" s="1"/>
  <c r="F29" i="33"/>
  <c r="J36" i="48" s="1"/>
  <c r="AH36" s="1"/>
  <c r="I36"/>
  <c r="AG36" s="1"/>
  <c r="F31" i="33"/>
  <c r="J38" i="48" s="1"/>
  <c r="AH38" s="1"/>
  <c r="I38"/>
  <c r="AG38" s="1"/>
  <c r="F15" i="33"/>
  <c r="J22" i="48" s="1"/>
  <c r="AH22" s="1"/>
  <c r="I22"/>
  <c r="AG22" s="1"/>
  <c r="F8" i="29"/>
  <c r="P12" i="48" s="1"/>
  <c r="AH12" s="1"/>
  <c r="J6"/>
  <c r="AH6" s="1"/>
  <c r="H32" i="28"/>
  <c r="H34" s="1"/>
  <c r="E36"/>
  <c r="F6" i="29" l="1"/>
  <c r="P8" i="48" s="1"/>
  <c r="AH8" s="1"/>
  <c r="AA65"/>
  <c r="F33" i="33"/>
  <c r="J40" i="48" s="1"/>
  <c r="AH40" s="1"/>
  <c r="O20" i="66"/>
  <c r="Q20" s="1"/>
  <c r="L20"/>
  <c r="P20" s="1"/>
  <c r="O13"/>
  <c r="Q13" s="1"/>
  <c r="L13"/>
  <c r="P13" s="1"/>
  <c r="O17"/>
  <c r="Q17" s="1"/>
  <c r="L17"/>
  <c r="P17" s="1"/>
  <c r="B10" i="29"/>
  <c r="K12" i="66"/>
  <c r="O19"/>
  <c r="Q19" s="1"/>
  <c r="L19"/>
  <c r="P19" s="1"/>
  <c r="J42" i="68"/>
  <c r="J74"/>
  <c r="J24" i="67"/>
  <c r="I11" i="68"/>
  <c r="Q11" s="1"/>
  <c r="R11" s="1"/>
  <c r="I24" i="67"/>
  <c r="O24" s="1"/>
  <c r="P24" s="1"/>
  <c r="I49" i="48"/>
  <c r="AG49" s="1"/>
  <c r="I9"/>
  <c r="AG9" s="1"/>
  <c r="I27"/>
  <c r="AG27" s="1"/>
  <c r="I37"/>
  <c r="AG37" s="1"/>
  <c r="F27" i="33"/>
  <c r="J34" i="48" s="1"/>
  <c r="AH34" s="1"/>
  <c r="I30"/>
  <c r="AG30" s="1"/>
  <c r="F21" i="33"/>
  <c r="J28" i="48" s="1"/>
  <c r="AH28" s="1"/>
  <c r="H67" i="66"/>
  <c r="H75"/>
  <c r="H69"/>
  <c r="AA77" i="48"/>
  <c r="J927" i="67"/>
  <c r="I79" i="68"/>
  <c r="Q79" s="1"/>
  <c r="R79" s="1"/>
  <c r="I927" i="67"/>
  <c r="O927" s="1"/>
  <c r="P927" s="1"/>
  <c r="H59" i="66"/>
  <c r="H74"/>
  <c r="H58"/>
  <c r="AA72" i="48"/>
  <c r="AA74"/>
  <c r="H56" i="66"/>
  <c r="H72"/>
  <c r="H70"/>
  <c r="H76"/>
  <c r="F39"/>
  <c r="F54"/>
  <c r="J852" i="67"/>
  <c r="I852"/>
  <c r="O852" s="1"/>
  <c r="P852" s="1"/>
  <c r="I71" i="68"/>
  <c r="Q71" s="1"/>
  <c r="R71" s="1"/>
  <c r="F14" i="66"/>
  <c r="F38"/>
  <c r="F51"/>
  <c r="J987" i="67"/>
  <c r="I84" i="68"/>
  <c r="Q84" s="1"/>
  <c r="R84" s="1"/>
  <c r="I987" i="67"/>
  <c r="F52" i="66"/>
  <c r="F46"/>
  <c r="I33" i="48"/>
  <c r="AG33" s="1"/>
  <c r="F42" i="66"/>
  <c r="F37"/>
  <c r="P11"/>
  <c r="AB65" i="48"/>
  <c r="F24" i="31"/>
  <c r="F25" s="1"/>
  <c r="F26" s="1"/>
  <c r="F27" s="1"/>
  <c r="F10" i="29"/>
  <c r="P14" i="48" s="1"/>
  <c r="AH14" s="1"/>
  <c r="O14"/>
  <c r="AG14" s="1"/>
  <c r="H36" i="28"/>
  <c r="H38" s="1"/>
  <c r="E40"/>
  <c r="H40" s="1"/>
  <c r="H42" s="1"/>
  <c r="H83" i="66" l="1"/>
  <c r="O12"/>
  <c r="Q12" s="1"/>
  <c r="L12"/>
  <c r="I93" i="67"/>
  <c r="O93" s="1"/>
  <c r="P93" s="1"/>
  <c r="I18" i="68"/>
  <c r="Q18" s="1"/>
  <c r="R18" s="1"/>
  <c r="R17" i="66"/>
  <c r="J93" i="67" s="1"/>
  <c r="I13" i="68"/>
  <c r="Q13" s="1"/>
  <c r="R13" s="1"/>
  <c r="I47" i="67"/>
  <c r="O47" s="1"/>
  <c r="P47" s="1"/>
  <c r="R13" i="66"/>
  <c r="J47" i="67" s="1"/>
  <c r="B10" i="60"/>
  <c r="B12" i="29"/>
  <c r="K30" i="66"/>
  <c r="B11" i="29"/>
  <c r="O15" i="48" s="1"/>
  <c r="AG15" s="1"/>
  <c r="K50" i="66"/>
  <c r="I20" i="68"/>
  <c r="Q20" s="1"/>
  <c r="R20" s="1"/>
  <c r="I139" i="67"/>
  <c r="O139" s="1"/>
  <c r="P139" s="1"/>
  <c r="R19" i="66"/>
  <c r="J139" i="67" s="1"/>
  <c r="R20" i="66"/>
  <c r="J231" i="67" s="1"/>
  <c r="I21" i="68"/>
  <c r="Q21" s="1"/>
  <c r="R21" s="1"/>
  <c r="I231" i="67"/>
  <c r="O231" s="1"/>
  <c r="P231" s="1"/>
  <c r="F83" i="66"/>
  <c r="J71" i="68"/>
  <c r="J84"/>
  <c r="J79"/>
  <c r="J11"/>
  <c r="J695" i="67"/>
  <c r="I65" i="68"/>
  <c r="Q65" s="1"/>
  <c r="R65" s="1"/>
  <c r="I695" i="67"/>
  <c r="O695" s="1"/>
  <c r="P695" s="1"/>
  <c r="J907"/>
  <c r="I75" i="68"/>
  <c r="Q75" s="1"/>
  <c r="R75" s="1"/>
  <c r="I907" i="67"/>
  <c r="O907" s="1"/>
  <c r="P907" s="1"/>
  <c r="J687"/>
  <c r="I687"/>
  <c r="O687" s="1"/>
  <c r="P687" s="1"/>
  <c r="I62" i="68"/>
  <c r="Q62" s="1"/>
  <c r="R62" s="1"/>
  <c r="I908" i="67"/>
  <c r="O908" s="1"/>
  <c r="P908" s="1"/>
  <c r="I76" i="68"/>
  <c r="Q76" s="1"/>
  <c r="R76" s="1"/>
  <c r="J908" i="67"/>
  <c r="J929"/>
  <c r="I81" i="68"/>
  <c r="Q81" s="1"/>
  <c r="R81" s="1"/>
  <c r="I929" i="67"/>
  <c r="O929" s="1"/>
  <c r="P929" s="1"/>
  <c r="J904"/>
  <c r="I73" i="68"/>
  <c r="Q73" s="1"/>
  <c r="R73" s="1"/>
  <c r="I904" i="67"/>
  <c r="O904" s="1"/>
  <c r="P904" s="1"/>
  <c r="J953"/>
  <c r="I953"/>
  <c r="O953" s="1"/>
  <c r="P953" s="1"/>
  <c r="I82" i="68"/>
  <c r="Q82" s="1"/>
  <c r="R82" s="1"/>
  <c r="J694" i="67"/>
  <c r="I694"/>
  <c r="O694" s="1"/>
  <c r="P694" s="1"/>
  <c r="I64" i="68"/>
  <c r="Q64" s="1"/>
  <c r="R64" s="1"/>
  <c r="J926" i="67"/>
  <c r="I926"/>
  <c r="O926" s="1"/>
  <c r="P926" s="1"/>
  <c r="I78" i="68"/>
  <c r="Q78" s="1"/>
  <c r="R78" s="1"/>
  <c r="J928" i="67"/>
  <c r="I80" i="68"/>
  <c r="Q80" s="1"/>
  <c r="R80" s="1"/>
  <c r="I928" i="67"/>
  <c r="O928" s="1"/>
  <c r="P928" s="1"/>
  <c r="J431"/>
  <c r="I431"/>
  <c r="O431" s="1"/>
  <c r="P431" s="1"/>
  <c r="J48"/>
  <c r="I48"/>
  <c r="O48" s="1"/>
  <c r="P48" s="1"/>
  <c r="P1030" s="1"/>
  <c r="P1034" s="1"/>
  <c r="I14" i="68"/>
  <c r="Q14" s="1"/>
  <c r="R14" s="1"/>
  <c r="B11" i="60"/>
  <c r="J392" i="67"/>
  <c r="I392"/>
  <c r="O392" s="1"/>
  <c r="P392" s="1"/>
  <c r="I43" i="68"/>
  <c r="Q43" s="1"/>
  <c r="R43" s="1"/>
  <c r="J635" i="67"/>
  <c r="I635"/>
  <c r="O635" s="1"/>
  <c r="P635" s="1"/>
  <c r="I47" i="68"/>
  <c r="Q47" s="1"/>
  <c r="R47" s="1"/>
  <c r="J678" i="67"/>
  <c r="I678"/>
  <c r="O678" s="1"/>
  <c r="P678" s="1"/>
  <c r="I60" i="68"/>
  <c r="Q60" s="1"/>
  <c r="R60" s="1"/>
  <c r="J381" i="67"/>
  <c r="I37" i="68"/>
  <c r="Q37" s="1"/>
  <c r="R37" s="1"/>
  <c r="I381" i="67"/>
  <c r="O381" s="1"/>
  <c r="P381" s="1"/>
  <c r="J383"/>
  <c r="I383"/>
  <c r="O383" s="1"/>
  <c r="P383" s="1"/>
  <c r="I39" i="68"/>
  <c r="Q39" s="1"/>
  <c r="R39" s="1"/>
  <c r="J675" i="67"/>
  <c r="I57" i="68"/>
  <c r="Q57" s="1"/>
  <c r="R57" s="1"/>
  <c r="I675" i="67"/>
  <c r="O675" s="1"/>
  <c r="P675" s="1"/>
  <c r="J676"/>
  <c r="I58" i="68"/>
  <c r="Q58" s="1"/>
  <c r="R58" s="1"/>
  <c r="I676" i="67"/>
  <c r="O676" s="1"/>
  <c r="P676" s="1"/>
  <c r="J384"/>
  <c r="I40" i="68"/>
  <c r="Q40" s="1"/>
  <c r="R40" s="1"/>
  <c r="I384" i="67"/>
  <c r="O384" s="1"/>
  <c r="P384" s="1"/>
  <c r="F28" i="31"/>
  <c r="F30" s="1"/>
  <c r="F12" i="29"/>
  <c r="P17" i="48" s="1"/>
  <c r="AH17" s="1"/>
  <c r="O17"/>
  <c r="AG17" s="1"/>
  <c r="F11" i="29"/>
  <c r="P15" i="48" s="1"/>
  <c r="AH15" s="1"/>
  <c r="J20" i="68" l="1"/>
  <c r="J13"/>
  <c r="O50" i="66"/>
  <c r="Q50" s="1"/>
  <c r="L50"/>
  <c r="O30"/>
  <c r="Q30" s="1"/>
  <c r="L30"/>
  <c r="P30" s="1"/>
  <c r="J18" i="68"/>
  <c r="J21"/>
  <c r="P12" i="66"/>
  <c r="I40" i="67"/>
  <c r="O40" s="1"/>
  <c r="P40" s="1"/>
  <c r="I12" i="68"/>
  <c r="Q12" s="1"/>
  <c r="R12" s="1"/>
  <c r="R12" i="66"/>
  <c r="B9" i="60"/>
  <c r="F13" i="29"/>
  <c r="F14" s="1"/>
  <c r="F15" s="1"/>
  <c r="F16" s="1"/>
  <c r="J58" i="68"/>
  <c r="J80"/>
  <c r="J82"/>
  <c r="J73"/>
  <c r="J62"/>
  <c r="J75"/>
  <c r="J57"/>
  <c r="J60"/>
  <c r="J81"/>
  <c r="J65"/>
  <c r="J47"/>
  <c r="J78"/>
  <c r="J76"/>
  <c r="J40"/>
  <c r="J39"/>
  <c r="J37"/>
  <c r="J43"/>
  <c r="J14"/>
  <c r="J64"/>
  <c r="D61" i="15"/>
  <c r="C61"/>
  <c r="H643" i="9"/>
  <c r="H642"/>
  <c r="C60" i="15"/>
  <c r="H638" i="9"/>
  <c r="H637"/>
  <c r="H636"/>
  <c r="P50" i="66" l="1"/>
  <c r="P83" s="1"/>
  <c r="R194" s="1"/>
  <c r="L83"/>
  <c r="P86" s="1"/>
  <c r="I56" i="68"/>
  <c r="Q56" s="1"/>
  <c r="R56" s="1"/>
  <c r="I670" i="67"/>
  <c r="O670" s="1"/>
  <c r="P670" s="1"/>
  <c r="R50" i="66"/>
  <c r="F17" i="29"/>
  <c r="F18" s="1"/>
  <c r="J40" i="67"/>
  <c r="J1033" s="1"/>
  <c r="J12" i="68"/>
  <c r="H644" i="9"/>
  <c r="B61" i="15" s="1"/>
  <c r="F61" s="1"/>
  <c r="I347" i="67"/>
  <c r="O347" s="1"/>
  <c r="P347" s="1"/>
  <c r="I31" i="68"/>
  <c r="Q31" s="1"/>
  <c r="R31" s="1"/>
  <c r="R104" s="1"/>
  <c r="R30" i="66"/>
  <c r="J347" i="67" s="1"/>
  <c r="H639" i="9"/>
  <c r="B60" i="15" s="1"/>
  <c r="F60" s="1"/>
  <c r="E44" i="9"/>
  <c r="E51" s="1"/>
  <c r="E45"/>
  <c r="E52" s="1"/>
  <c r="E43"/>
  <c r="E50" s="1"/>
  <c r="J670" i="67" l="1"/>
  <c r="R83" i="66"/>
  <c r="D6" i="73" s="1"/>
  <c r="P194" i="66"/>
  <c r="P195" s="1"/>
  <c r="P87"/>
  <c r="R87"/>
  <c r="J31" i="68"/>
  <c r="R105"/>
  <c r="J56"/>
  <c r="H10" i="9"/>
  <c r="J104" i="68" l="1"/>
  <c r="F6" i="73" s="1"/>
  <c r="F10" s="1"/>
  <c r="R195" i="66"/>
  <c r="J210" i="68"/>
  <c r="R88" i="66"/>
  <c r="E484" i="9"/>
  <c r="E485"/>
  <c r="E486"/>
  <c r="E483"/>
  <c r="H460"/>
  <c r="D10" i="15"/>
  <c r="D27"/>
  <c r="D15"/>
  <c r="D14"/>
  <c r="J231" i="68" l="1"/>
  <c r="P104"/>
  <c r="P210"/>
  <c r="H6" i="73"/>
  <c r="R210" i="68"/>
  <c r="F11" i="73"/>
  <c r="F12" s="1"/>
  <c r="F13"/>
  <c r="D59" i="15"/>
  <c r="C59"/>
  <c r="H632" i="9"/>
  <c r="H631"/>
  <c r="H630"/>
  <c r="H27"/>
  <c r="H28"/>
  <c r="R212" i="68" l="1"/>
  <c r="S209"/>
  <c r="P211"/>
  <c r="F14" i="73"/>
  <c r="F15"/>
  <c r="H17" s="1"/>
  <c r="H633" i="9"/>
  <c r="B59" i="15" s="1"/>
  <c r="F59" s="1"/>
  <c r="E23" i="9"/>
  <c r="H360"/>
  <c r="H357"/>
  <c r="H354"/>
  <c r="H310"/>
  <c r="H309"/>
  <c r="F18" i="73" l="1"/>
  <c r="H375" i="9"/>
  <c r="H350"/>
  <c r="H349"/>
  <c r="H348"/>
  <c r="H347"/>
  <c r="H345"/>
  <c r="H344"/>
  <c r="H343"/>
  <c r="H341"/>
  <c r="H340"/>
  <c r="H339"/>
  <c r="H613"/>
  <c r="D55" i="15"/>
  <c r="D37"/>
  <c r="D28"/>
  <c r="E127" i="9"/>
  <c r="E128"/>
  <c r="E126"/>
  <c r="E117"/>
  <c r="E129" s="1"/>
  <c r="E58"/>
  <c r="E64" s="1"/>
  <c r="E57"/>
  <c r="E63" s="1"/>
  <c r="E56"/>
  <c r="E62" s="1"/>
  <c r="H351" l="1"/>
  <c r="B42" i="15" s="1"/>
  <c r="L35" i="9"/>
  <c r="L36"/>
  <c r="L34"/>
  <c r="E35"/>
  <c r="E36"/>
  <c r="E34"/>
  <c r="E22"/>
  <c r="E21"/>
  <c r="E20"/>
  <c r="E25"/>
  <c r="E119" s="1"/>
  <c r="E131" s="1"/>
  <c r="E24"/>
  <c r="E118" s="1"/>
  <c r="E130" s="1"/>
  <c r="C55" i="15" l="1"/>
  <c r="B53"/>
  <c r="B52"/>
  <c r="B51"/>
  <c r="C37"/>
  <c r="B27"/>
  <c r="H120" i="9"/>
  <c r="H121"/>
  <c r="H122"/>
  <c r="H132"/>
  <c r="H238"/>
  <c r="H237"/>
  <c r="H236"/>
  <c r="H235"/>
  <c r="H38"/>
  <c r="H29"/>
  <c r="H614" l="1"/>
  <c r="H612"/>
  <c r="H611"/>
  <c r="H608"/>
  <c r="H607"/>
  <c r="H606"/>
  <c r="H605"/>
  <c r="H602"/>
  <c r="H601"/>
  <c r="H600"/>
  <c r="H599"/>
  <c r="H598"/>
  <c r="H288"/>
  <c r="B37" i="15" s="1"/>
  <c r="F37" s="1"/>
  <c r="H615" i="9" l="1"/>
  <c r="B55" i="15" s="1"/>
  <c r="F55" s="1"/>
  <c r="G58" l="1"/>
  <c r="H58" s="1"/>
  <c r="D58" s="1"/>
  <c r="C58" l="1"/>
  <c r="H625" i="9"/>
  <c r="H626"/>
  <c r="H624"/>
  <c r="H627" l="1"/>
  <c r="B58" i="15" s="1"/>
  <c r="F58" s="1"/>
  <c r="F67" l="1"/>
  <c r="C57"/>
  <c r="H621" i="9"/>
  <c r="B57" i="15" s="1"/>
  <c r="F57" s="1"/>
  <c r="C56" l="1"/>
  <c r="H618" i="9"/>
  <c r="B56" i="15" s="1"/>
  <c r="F56" s="1"/>
  <c r="B10" l="1"/>
  <c r="F10" s="1"/>
  <c r="D9"/>
  <c r="D8"/>
  <c r="D6"/>
  <c r="D5"/>
  <c r="D12"/>
  <c r="D11"/>
  <c r="D7"/>
  <c r="B15"/>
  <c r="B14"/>
  <c r="B13"/>
  <c r="F13" s="1"/>
  <c r="B12"/>
  <c r="B11"/>
  <c r="B9"/>
  <c r="B8"/>
  <c r="B7"/>
  <c r="B6"/>
  <c r="B5"/>
  <c r="C15"/>
  <c r="C14"/>
  <c r="C13"/>
  <c r="C12"/>
  <c r="C11"/>
  <c r="C10"/>
  <c r="C9"/>
  <c r="C8"/>
  <c r="C7"/>
  <c r="C6"/>
  <c r="C5"/>
  <c r="H9" i="9"/>
  <c r="F7" i="15" l="1"/>
  <c r="F9"/>
  <c r="F6"/>
  <c r="F8"/>
  <c r="F11"/>
  <c r="F14"/>
  <c r="F15"/>
  <c r="F12"/>
  <c r="F5"/>
  <c r="H118" i="9"/>
  <c r="H119"/>
  <c r="H130"/>
  <c r="H131"/>
  <c r="H127"/>
  <c r="H128"/>
  <c r="H116"/>
  <c r="H115"/>
  <c r="H114"/>
  <c r="H113"/>
  <c r="H112"/>
  <c r="H111"/>
  <c r="H110"/>
  <c r="H109"/>
  <c r="H108"/>
  <c r="H107"/>
  <c r="H106"/>
  <c r="H105"/>
  <c r="H104"/>
  <c r="H103"/>
  <c r="H102"/>
  <c r="H101"/>
  <c r="H100"/>
  <c r="H99"/>
  <c r="H98"/>
  <c r="H97"/>
  <c r="H96"/>
  <c r="H95"/>
  <c r="H126"/>
  <c r="H129"/>
  <c r="H117"/>
  <c r="H64"/>
  <c r="H58"/>
  <c r="H51"/>
  <c r="H52"/>
  <c r="H44"/>
  <c r="H45"/>
  <c r="M35"/>
  <c r="M36"/>
  <c r="M34"/>
  <c r="H35"/>
  <c r="H36"/>
  <c r="H24"/>
  <c r="H25"/>
  <c r="H21"/>
  <c r="H22"/>
  <c r="H15"/>
  <c r="H16"/>
  <c r="H7"/>
  <c r="H8"/>
  <c r="M37" l="1"/>
  <c r="H123"/>
  <c r="H133"/>
  <c r="D37" l="1"/>
  <c r="D46" s="1"/>
  <c r="H46" s="1"/>
  <c r="H90"/>
  <c r="H89"/>
  <c r="H88"/>
  <c r="H87"/>
  <c r="H86"/>
  <c r="H85"/>
  <c r="H84"/>
  <c r="H83"/>
  <c r="H82"/>
  <c r="H81"/>
  <c r="H80"/>
  <c r="H79"/>
  <c r="H78"/>
  <c r="H77"/>
  <c r="H76"/>
  <c r="H75"/>
  <c r="H74"/>
  <c r="H73"/>
  <c r="H72"/>
  <c r="H71"/>
  <c r="H70"/>
  <c r="H69"/>
  <c r="H63"/>
  <c r="H62"/>
  <c r="H57"/>
  <c r="H56"/>
  <c r="H50"/>
  <c r="H53" s="1"/>
  <c r="H43"/>
  <c r="H37"/>
  <c r="H34"/>
  <c r="H26"/>
  <c r="H23"/>
  <c r="H20"/>
  <c r="H14"/>
  <c r="H17" s="1"/>
  <c r="H6"/>
  <c r="H11" s="1"/>
  <c r="H39" l="1"/>
  <c r="H30"/>
  <c r="H59"/>
  <c r="H65"/>
  <c r="H47"/>
  <c r="H91"/>
  <c r="D54" i="15" l="1"/>
  <c r="D51"/>
  <c r="F51" s="1"/>
  <c r="D40"/>
  <c r="D49"/>
  <c r="D48"/>
  <c r="D44"/>
  <c r="D43"/>
  <c r="D42"/>
  <c r="F42" s="1"/>
  <c r="D41"/>
  <c r="D39"/>
  <c r="D36"/>
  <c r="D35"/>
  <c r="D33"/>
  <c r="D32"/>
  <c r="D31"/>
  <c r="D18"/>
  <c r="D19"/>
  <c r="F27"/>
  <c r="D24"/>
  <c r="D23"/>
  <c r="D21"/>
  <c r="D20"/>
  <c r="F389" i="20"/>
  <c r="F227"/>
  <c r="D217" s="1"/>
  <c r="F217" s="1"/>
  <c r="F224"/>
  <c r="F223"/>
  <c r="F216"/>
  <c r="F215"/>
  <c r="F214"/>
  <c r="F213"/>
  <c r="F212"/>
  <c r="F211"/>
  <c r="F210"/>
  <c r="F209"/>
  <c r="F224" i="12"/>
  <c r="F223"/>
  <c r="F227" s="1"/>
  <c r="D217" s="1"/>
  <c r="F217" s="1"/>
  <c r="F216"/>
  <c r="F215"/>
  <c r="F214"/>
  <c r="F213"/>
  <c r="F212"/>
  <c r="F211"/>
  <c r="F210"/>
  <c r="F209"/>
  <c r="F389"/>
  <c r="C54" i="15"/>
  <c r="H593" i="9"/>
  <c r="H592"/>
  <c r="H591"/>
  <c r="H590"/>
  <c r="H589"/>
  <c r="H588"/>
  <c r="H585"/>
  <c r="H584"/>
  <c r="H583"/>
  <c r="H582"/>
  <c r="H581"/>
  <c r="H580"/>
  <c r="H577"/>
  <c r="H576"/>
  <c r="H575"/>
  <c r="H574"/>
  <c r="H573"/>
  <c r="H572"/>
  <c r="H571"/>
  <c r="B26" i="15"/>
  <c r="F26" s="1"/>
  <c r="B21"/>
  <c r="B20"/>
  <c r="B19"/>
  <c r="B16"/>
  <c r="C53"/>
  <c r="C52"/>
  <c r="C51"/>
  <c r="C50"/>
  <c r="C49"/>
  <c r="C48"/>
  <c r="C47"/>
  <c r="C46"/>
  <c r="C45"/>
  <c r="C44"/>
  <c r="C43"/>
  <c r="C42"/>
  <c r="C41"/>
  <c r="C40"/>
  <c r="C39"/>
  <c r="C38"/>
  <c r="C36"/>
  <c r="C35"/>
  <c r="C34"/>
  <c r="C33"/>
  <c r="C32"/>
  <c r="C31"/>
  <c r="C30"/>
  <c r="C29"/>
  <c r="C28"/>
  <c r="C27"/>
  <c r="C26"/>
  <c r="C25"/>
  <c r="C24"/>
  <c r="C23"/>
  <c r="C22"/>
  <c r="C21"/>
  <c r="C20"/>
  <c r="C19"/>
  <c r="C18"/>
  <c r="C17"/>
  <c r="C16"/>
  <c r="H566" i="9"/>
  <c r="H550"/>
  <c r="H565"/>
  <c r="H564"/>
  <c r="H563"/>
  <c r="H562"/>
  <c r="H561"/>
  <c r="H560"/>
  <c r="H559"/>
  <c r="H558"/>
  <c r="H557"/>
  <c r="H556"/>
  <c r="H555"/>
  <c r="H554"/>
  <c r="H553"/>
  <c r="H549"/>
  <c r="H548"/>
  <c r="H547"/>
  <c r="H546"/>
  <c r="H545"/>
  <c r="H544"/>
  <c r="H543"/>
  <c r="H542"/>
  <c r="H541"/>
  <c r="H540"/>
  <c r="H539"/>
  <c r="H532"/>
  <c r="H533"/>
  <c r="H534"/>
  <c r="H535"/>
  <c r="H536"/>
  <c r="H523"/>
  <c r="H524"/>
  <c r="H525"/>
  <c r="H526"/>
  <c r="H527"/>
  <c r="H528"/>
  <c r="H529"/>
  <c r="H530"/>
  <c r="H531"/>
  <c r="H522"/>
  <c r="H494"/>
  <c r="H495"/>
  <c r="H496"/>
  <c r="H497"/>
  <c r="H498"/>
  <c r="H499"/>
  <c r="H491"/>
  <c r="H490"/>
  <c r="H489"/>
  <c r="H488"/>
  <c r="H487"/>
  <c r="H486"/>
  <c r="H485"/>
  <c r="H484"/>
  <c r="H483"/>
  <c r="H481"/>
  <c r="H480"/>
  <c r="H479"/>
  <c r="H478"/>
  <c r="H477"/>
  <c r="H476"/>
  <c r="H475"/>
  <c r="H474"/>
  <c r="H473"/>
  <c r="H470"/>
  <c r="H469"/>
  <c r="H468"/>
  <c r="H467"/>
  <c r="H466"/>
  <c r="H465"/>
  <c r="H464"/>
  <c r="H463"/>
  <c r="H462"/>
  <c r="H461"/>
  <c r="H448"/>
  <c r="H449"/>
  <c r="H450"/>
  <c r="H451"/>
  <c r="H452"/>
  <c r="H453"/>
  <c r="H454"/>
  <c r="H455"/>
  <c r="H456"/>
  <c r="H457"/>
  <c r="H458"/>
  <c r="H500"/>
  <c r="H501"/>
  <c r="H502"/>
  <c r="H503"/>
  <c r="H504"/>
  <c r="H505"/>
  <c r="H506"/>
  <c r="H507"/>
  <c r="H508"/>
  <c r="H509"/>
  <c r="H510"/>
  <c r="H511"/>
  <c r="H512"/>
  <c r="H513"/>
  <c r="H514"/>
  <c r="H515"/>
  <c r="H516"/>
  <c r="H517"/>
  <c r="H447"/>
  <c r="H441"/>
  <c r="H440"/>
  <c r="H439"/>
  <c r="H438"/>
  <c r="H437"/>
  <c r="H436"/>
  <c r="H435"/>
  <c r="H434"/>
  <c r="H433"/>
  <c r="H431"/>
  <c r="H430"/>
  <c r="H429"/>
  <c r="H428"/>
  <c r="H427"/>
  <c r="H426"/>
  <c r="H418"/>
  <c r="H419"/>
  <c r="H420"/>
  <c r="H421"/>
  <c r="H422"/>
  <c r="H423"/>
  <c r="H424"/>
  <c r="H417"/>
  <c r="H413"/>
  <c r="H412"/>
  <c r="H411"/>
  <c r="H407"/>
  <c r="H406"/>
  <c r="H405"/>
  <c r="F219" i="12" l="1"/>
  <c r="F220" s="1"/>
  <c r="F219" i="20"/>
  <c r="F220" s="1"/>
  <c r="D38" i="43"/>
  <c r="F38" s="1"/>
  <c r="H45" i="48" s="1"/>
  <c r="D38" i="41"/>
  <c r="F38" s="1"/>
  <c r="F45" i="48" s="1"/>
  <c r="D37" i="43"/>
  <c r="F37" s="1"/>
  <c r="D37" i="41"/>
  <c r="F37" s="1"/>
  <c r="F47" s="1"/>
  <c r="D52" i="15"/>
  <c r="F52" s="1"/>
  <c r="D37" i="33"/>
  <c r="F37" s="1"/>
  <c r="D53" i="15"/>
  <c r="F53" s="1"/>
  <c r="D38" i="33"/>
  <c r="F38" s="1"/>
  <c r="J45" i="48" s="1"/>
  <c r="F19" i="15"/>
  <c r="F21"/>
  <c r="F20"/>
  <c r="D16"/>
  <c r="F16" s="1"/>
  <c r="H594" i="9"/>
  <c r="B54" i="15" s="1"/>
  <c r="F54" s="1"/>
  <c r="H567" i="9"/>
  <c r="H518"/>
  <c r="H442"/>
  <c r="H414"/>
  <c r="B50" i="15" s="1"/>
  <c r="F50" s="1"/>
  <c r="H408" i="9"/>
  <c r="B49" i="15" s="1"/>
  <c r="F49" s="1"/>
  <c r="H401" i="9"/>
  <c r="H400"/>
  <c r="H399"/>
  <c r="H395"/>
  <c r="H394"/>
  <c r="H393"/>
  <c r="H392"/>
  <c r="H391"/>
  <c r="H389"/>
  <c r="H388"/>
  <c r="H387"/>
  <c r="H386"/>
  <c r="H384"/>
  <c r="H383"/>
  <c r="H382"/>
  <c r="H381"/>
  <c r="H380"/>
  <c r="H374"/>
  <c r="H373"/>
  <c r="H371"/>
  <c r="H369"/>
  <c r="H368"/>
  <c r="H364"/>
  <c r="B44" i="15" s="1"/>
  <c r="F44" s="1"/>
  <c r="H358" i="9"/>
  <c r="H361"/>
  <c r="H355"/>
  <c r="H334"/>
  <c r="H333"/>
  <c r="H332"/>
  <c r="H331"/>
  <c r="H329"/>
  <c r="H328"/>
  <c r="H327"/>
  <c r="H325"/>
  <c r="H324"/>
  <c r="H323"/>
  <c r="H318"/>
  <c r="H316"/>
  <c r="H313"/>
  <c r="H314"/>
  <c r="H308"/>
  <c r="H304"/>
  <c r="H299"/>
  <c r="H307"/>
  <c r="H306"/>
  <c r="H305"/>
  <c r="H302"/>
  <c r="H301"/>
  <c r="H300"/>
  <c r="H297"/>
  <c r="H294"/>
  <c r="H295"/>
  <c r="H296"/>
  <c r="H293"/>
  <c r="H284"/>
  <c r="H283"/>
  <c r="H282"/>
  <c r="H279"/>
  <c r="H278"/>
  <c r="H277"/>
  <c r="H272"/>
  <c r="H273"/>
  <c r="H271"/>
  <c r="H268"/>
  <c r="H267"/>
  <c r="H266"/>
  <c r="H263"/>
  <c r="H262"/>
  <c r="H261"/>
  <c r="H257"/>
  <c r="B30" i="15" s="1"/>
  <c r="F30" s="1"/>
  <c r="H362" i="9" l="1"/>
  <c r="F47" i="33"/>
  <c r="F48" s="1"/>
  <c r="F49" s="1"/>
  <c r="F50" s="1"/>
  <c r="F47" i="43"/>
  <c r="F48" s="1"/>
  <c r="F49" s="1"/>
  <c r="J44" i="48"/>
  <c r="F44"/>
  <c r="F48" i="41"/>
  <c r="F49" s="1"/>
  <c r="H44" i="48"/>
  <c r="AH45"/>
  <c r="H311" i="9"/>
  <c r="B39" i="15" s="1"/>
  <c r="F39" s="1"/>
  <c r="H376" i="9"/>
  <c r="H402"/>
  <c r="B48" i="15" s="1"/>
  <c r="F48" s="1"/>
  <c r="B43"/>
  <c r="F43" s="1"/>
  <c r="H396" i="9"/>
  <c r="B47" i="15" s="1"/>
  <c r="F47" s="1"/>
  <c r="B46"/>
  <c r="F46" s="1"/>
  <c r="H335" i="9"/>
  <c r="B41" i="15" s="1"/>
  <c r="F41" s="1"/>
  <c r="H319" i="9"/>
  <c r="B40" i="15" s="1"/>
  <c r="F40" s="1"/>
  <c r="H274" i="9"/>
  <c r="B33" i="15" s="1"/>
  <c r="F33" s="1"/>
  <c r="H269" i="9"/>
  <c r="B32" i="15" s="1"/>
  <c r="F32" s="1"/>
  <c r="H280" i="9"/>
  <c r="B35" i="15" s="1"/>
  <c r="F35" s="1"/>
  <c r="H285" i="9"/>
  <c r="B36" i="15" s="1"/>
  <c r="F36" s="1"/>
  <c r="H264" i="9"/>
  <c r="B31" i="15" s="1"/>
  <c r="F31" s="1"/>
  <c r="H247" i="9"/>
  <c r="H245"/>
  <c r="H243"/>
  <c r="H253"/>
  <c r="H252"/>
  <c r="H251"/>
  <c r="H246"/>
  <c r="H244"/>
  <c r="H242"/>
  <c r="H234"/>
  <c r="H228"/>
  <c r="H233"/>
  <c r="H232"/>
  <c r="H225"/>
  <c r="H222"/>
  <c r="H221"/>
  <c r="H223"/>
  <c r="H224"/>
  <c r="H226"/>
  <c r="H227"/>
  <c r="H220"/>
  <c r="H138"/>
  <c r="H144"/>
  <c r="H143"/>
  <c r="H142"/>
  <c r="H140"/>
  <c r="H141"/>
  <c r="H139"/>
  <c r="H137"/>
  <c r="H215"/>
  <c r="H216"/>
  <c r="H214"/>
  <c r="H210"/>
  <c r="H211"/>
  <c r="H209"/>
  <c r="H205"/>
  <c r="H206"/>
  <c r="H204"/>
  <c r="H194"/>
  <c r="H195"/>
  <c r="H196"/>
  <c r="H197"/>
  <c r="H198"/>
  <c r="H193"/>
  <c r="H185"/>
  <c r="H186"/>
  <c r="H187"/>
  <c r="H188"/>
  <c r="H189"/>
  <c r="H182"/>
  <c r="H183"/>
  <c r="H184"/>
  <c r="H181"/>
  <c r="H163"/>
  <c r="H164"/>
  <c r="H166"/>
  <c r="H167"/>
  <c r="H169"/>
  <c r="H170"/>
  <c r="H171"/>
  <c r="H173"/>
  <c r="H174"/>
  <c r="H175"/>
  <c r="H176"/>
  <c r="H162"/>
  <c r="H157"/>
  <c r="H156"/>
  <c r="H155"/>
  <c r="H150"/>
  <c r="H151"/>
  <c r="H149"/>
  <c r="F51" i="43" l="1"/>
  <c r="F50"/>
  <c r="F51" i="41"/>
  <c r="F50"/>
  <c r="F53" s="1"/>
  <c r="AH44" i="48"/>
  <c r="AH85" s="1"/>
  <c r="F51" i="33"/>
  <c r="F53" s="1"/>
  <c r="H239" i="9"/>
  <c r="H248"/>
  <c r="B28" i="15" s="1"/>
  <c r="F28" s="1"/>
  <c r="H254" i="9"/>
  <c r="B29" i="15" s="1"/>
  <c r="F29" s="1"/>
  <c r="H229" i="9"/>
  <c r="H145"/>
  <c r="H212"/>
  <c r="B24" i="15" s="1"/>
  <c r="F24" s="1"/>
  <c r="H217" i="9"/>
  <c r="B25" i="15" s="1"/>
  <c r="F25" s="1"/>
  <c r="H207" i="9"/>
  <c r="B23" i="15" s="1"/>
  <c r="F23" s="1"/>
  <c r="H190" i="9"/>
  <c r="H199"/>
  <c r="F53" i="43" l="1"/>
  <c r="AH86" i="48"/>
  <c r="AH87" s="1"/>
  <c r="H177" i="9"/>
  <c r="H158"/>
  <c r="H159" s="1"/>
  <c r="B18" i="15" s="1"/>
  <c r="F18" s="1"/>
  <c r="A2"/>
  <c r="AH89" i="48" l="1"/>
  <c r="AH88"/>
  <c r="L4076" i="16"/>
  <c r="I4069"/>
  <c r="K4069" s="1"/>
  <c r="I4067"/>
  <c r="J4060"/>
  <c r="J4061" s="1"/>
  <c r="F4067" s="1"/>
  <c r="K4067" s="1"/>
  <c r="K4058"/>
  <c r="J4058"/>
  <c r="F4066" s="1"/>
  <c r="J4055"/>
  <c r="F4065" s="1"/>
  <c r="J4050"/>
  <c r="J4049"/>
  <c r="J4052" s="1"/>
  <c r="F4064" s="1"/>
  <c r="K4026"/>
  <c r="I4026"/>
  <c r="I4038" s="1"/>
  <c r="K4038" s="1"/>
  <c r="I4024"/>
  <c r="K4024" s="1"/>
  <c r="K4011"/>
  <c r="K4009"/>
  <c r="I4009"/>
  <c r="K3993"/>
  <c r="I3964"/>
  <c r="I3981" s="1"/>
  <c r="I3962"/>
  <c r="K3962" s="1"/>
  <c r="H3962"/>
  <c r="H3958"/>
  <c r="K3948"/>
  <c r="K3946"/>
  <c r="I3943"/>
  <c r="I3959" s="1"/>
  <c r="I3942"/>
  <c r="I3958" s="1"/>
  <c r="I3941"/>
  <c r="K3941" s="1"/>
  <c r="I3940"/>
  <c r="I3956" s="1"/>
  <c r="K3928"/>
  <c r="K3925"/>
  <c r="K3924"/>
  <c r="K3923"/>
  <c r="K3922"/>
  <c r="E3897"/>
  <c r="G3897" s="1"/>
  <c r="G3896"/>
  <c r="H3892"/>
  <c r="J3892" s="1"/>
  <c r="H3891"/>
  <c r="J3891" s="1"/>
  <c r="H3890"/>
  <c r="J3890" s="1"/>
  <c r="H3889"/>
  <c r="J3889" s="1"/>
  <c r="H3885"/>
  <c r="H3866"/>
  <c r="H3865"/>
  <c r="H3864"/>
  <c r="H3863"/>
  <c r="I3861"/>
  <c r="H3855"/>
  <c r="H3876" s="1"/>
  <c r="H3845"/>
  <c r="H3844"/>
  <c r="H3843"/>
  <c r="H3842"/>
  <c r="I3840"/>
  <c r="K3821"/>
  <c r="K3805"/>
  <c r="K3789"/>
  <c r="K3788"/>
  <c r="K3787"/>
  <c r="K3786"/>
  <c r="K3785"/>
  <c r="K3784"/>
  <c r="K3783"/>
  <c r="K3782"/>
  <c r="K3766"/>
  <c r="K3765"/>
  <c r="K3763"/>
  <c r="K3764" s="1"/>
  <c r="I3761"/>
  <c r="K3761" s="1"/>
  <c r="K3762" s="1"/>
  <c r="K3750"/>
  <c r="I3745"/>
  <c r="K3745" s="1"/>
  <c r="K3734"/>
  <c r="V3720"/>
  <c r="X3720" s="1"/>
  <c r="X3719"/>
  <c r="V3719"/>
  <c r="V3718"/>
  <c r="X3718" s="1"/>
  <c r="V3717"/>
  <c r="X3717" s="1"/>
  <c r="J3717"/>
  <c r="V3716"/>
  <c r="J3716"/>
  <c r="K3715"/>
  <c r="J3715"/>
  <c r="K3714"/>
  <c r="J3714"/>
  <c r="K3713"/>
  <c r="J3713"/>
  <c r="N3709"/>
  <c r="X3706"/>
  <c r="X3705"/>
  <c r="X3704"/>
  <c r="X3703"/>
  <c r="K3703"/>
  <c r="V3694"/>
  <c r="X3694" s="1"/>
  <c r="V3693"/>
  <c r="X3693" s="1"/>
  <c r="H3693"/>
  <c r="V3692"/>
  <c r="X3692" s="1"/>
  <c r="I3692"/>
  <c r="H3692"/>
  <c r="F3692"/>
  <c r="V3691"/>
  <c r="X3691" s="1"/>
  <c r="I3691"/>
  <c r="H3691"/>
  <c r="F3691"/>
  <c r="V3690"/>
  <c r="X3690" s="1"/>
  <c r="H3689"/>
  <c r="V3688"/>
  <c r="X3688" s="1"/>
  <c r="H3688"/>
  <c r="V3687"/>
  <c r="X3687" s="1"/>
  <c r="H3687"/>
  <c r="V3686"/>
  <c r="X3686" s="1"/>
  <c r="H3686"/>
  <c r="V3685"/>
  <c r="X3685" s="1"/>
  <c r="H3685"/>
  <c r="F3685"/>
  <c r="K3685" s="1"/>
  <c r="V3684"/>
  <c r="X3684" s="1"/>
  <c r="F3683"/>
  <c r="K3683" s="1"/>
  <c r="H3682"/>
  <c r="H3681"/>
  <c r="F3681"/>
  <c r="K3671"/>
  <c r="K3670"/>
  <c r="X3664"/>
  <c r="K3664"/>
  <c r="X3663"/>
  <c r="X3662"/>
  <c r="K3662"/>
  <c r="X3661"/>
  <c r="X3660"/>
  <c r="X3658"/>
  <c r="X3657"/>
  <c r="X3656"/>
  <c r="X3655"/>
  <c r="X3644"/>
  <c r="X3643"/>
  <c r="X3642"/>
  <c r="X3641"/>
  <c r="X3640"/>
  <c r="X3639"/>
  <c r="L3639"/>
  <c r="K3639"/>
  <c r="X3638"/>
  <c r="X3637"/>
  <c r="V3636"/>
  <c r="X3636" s="1"/>
  <c r="V3635"/>
  <c r="X3635" s="1"/>
  <c r="V3634"/>
  <c r="X3634" s="1"/>
  <c r="I3628"/>
  <c r="K3628" s="1"/>
  <c r="I3627"/>
  <c r="K3627" s="1"/>
  <c r="I3626"/>
  <c r="K3626" s="1"/>
  <c r="I3625"/>
  <c r="K3625" s="1"/>
  <c r="H3624"/>
  <c r="I3623"/>
  <c r="K3623" s="1"/>
  <c r="V3618"/>
  <c r="X3619" s="1"/>
  <c r="J3617"/>
  <c r="W3616"/>
  <c r="S3617" s="1"/>
  <c r="S3618" s="1"/>
  <c r="X3611"/>
  <c r="K3607"/>
  <c r="K3606"/>
  <c r="K3605"/>
  <c r="K3604"/>
  <c r="K3603"/>
  <c r="I3602"/>
  <c r="I3624" s="1"/>
  <c r="K3624" s="1"/>
  <c r="V3601"/>
  <c r="S3602" s="1"/>
  <c r="S3603" s="1"/>
  <c r="K3601"/>
  <c r="X3594"/>
  <c r="V3584"/>
  <c r="S3585" s="1"/>
  <c r="S3586" s="1"/>
  <c r="I3574"/>
  <c r="K3574" s="1"/>
  <c r="I3573"/>
  <c r="K3573" s="1"/>
  <c r="V3569"/>
  <c r="S3571" s="1"/>
  <c r="K3562"/>
  <c r="I3560"/>
  <c r="K3560" s="1"/>
  <c r="K3557"/>
  <c r="V3553"/>
  <c r="S3554" s="1"/>
  <c r="P3542"/>
  <c r="P3541"/>
  <c r="M3543" s="1"/>
  <c r="R3543" s="1"/>
  <c r="AG3539"/>
  <c r="V3539"/>
  <c r="AG3538"/>
  <c r="V3538"/>
  <c r="V3617" s="1"/>
  <c r="AG3537"/>
  <c r="AD3539" s="1"/>
  <c r="V3537"/>
  <c r="S3539" s="1"/>
  <c r="I3537"/>
  <c r="F3539" s="1"/>
  <c r="K3539" s="1"/>
  <c r="I3529"/>
  <c r="P3533" s="1"/>
  <c r="P3527"/>
  <c r="V3555" s="1"/>
  <c r="I3527"/>
  <c r="K3527" s="1"/>
  <c r="P3526"/>
  <c r="V3554" s="1"/>
  <c r="I3526"/>
  <c r="P3530" s="1"/>
  <c r="P3525"/>
  <c r="M3526" s="1"/>
  <c r="F3522"/>
  <c r="K3522" s="1"/>
  <c r="K3510"/>
  <c r="I3508"/>
  <c r="K3508" s="1"/>
  <c r="M3507"/>
  <c r="K3502"/>
  <c r="K3500"/>
  <c r="I3487"/>
  <c r="K3487" s="1"/>
  <c r="I3486"/>
  <c r="K3486" s="1"/>
  <c r="I3485"/>
  <c r="K3485" s="1"/>
  <c r="I3484"/>
  <c r="K3484" s="1"/>
  <c r="K3481"/>
  <c r="J3479"/>
  <c r="J3478"/>
  <c r="J3477"/>
  <c r="I3466"/>
  <c r="P3462"/>
  <c r="R3462" s="1"/>
  <c r="I3462"/>
  <c r="I3829" s="1"/>
  <c r="K3829" s="1"/>
  <c r="P3460"/>
  <c r="R3460" s="1"/>
  <c r="K3454"/>
  <c r="P3441"/>
  <c r="R3441" s="1"/>
  <c r="P3440"/>
  <c r="R3440" s="1"/>
  <c r="P3439"/>
  <c r="R3439" s="1"/>
  <c r="R3438"/>
  <c r="K3428"/>
  <c r="K3427"/>
  <c r="K3426"/>
  <c r="K3425"/>
  <c r="K3424"/>
  <c r="I3422"/>
  <c r="I3416"/>
  <c r="I3415"/>
  <c r="I3417" s="1"/>
  <c r="F3422" s="1"/>
  <c r="K3422" s="1"/>
  <c r="I3411"/>
  <c r="I3410"/>
  <c r="I3409"/>
  <c r="F3420" s="1"/>
  <c r="I3408"/>
  <c r="F3423" s="1"/>
  <c r="I3389"/>
  <c r="I3366"/>
  <c r="K3366" s="1"/>
  <c r="K3340"/>
  <c r="P3328"/>
  <c r="P3363" s="1"/>
  <c r="R3363" s="1"/>
  <c r="P3327"/>
  <c r="R3327" s="1"/>
  <c r="P3326"/>
  <c r="R3326" s="1"/>
  <c r="K3320"/>
  <c r="I3310"/>
  <c r="I3309"/>
  <c r="I3307"/>
  <c r="K3307" s="1"/>
  <c r="I3304"/>
  <c r="K3304" s="1"/>
  <c r="I3303"/>
  <c r="K3303" s="1"/>
  <c r="I3302"/>
  <c r="K3302" s="1"/>
  <c r="I3301"/>
  <c r="K3301" s="1"/>
  <c r="P3293"/>
  <c r="R3293" s="1"/>
  <c r="K3290"/>
  <c r="I3290"/>
  <c r="I3328" s="1"/>
  <c r="I3430" s="1"/>
  <c r="K3289"/>
  <c r="K3288"/>
  <c r="K3287"/>
  <c r="K3286"/>
  <c r="K3285"/>
  <c r="K3284"/>
  <c r="K3281"/>
  <c r="P3267"/>
  <c r="I3327" s="1"/>
  <c r="P3266"/>
  <c r="I3326" s="1"/>
  <c r="K3266"/>
  <c r="L3232" s="1"/>
  <c r="I3266"/>
  <c r="P3265"/>
  <c r="I3325" s="1"/>
  <c r="P3264"/>
  <c r="I3324" s="1"/>
  <c r="K3262"/>
  <c r="R3260"/>
  <c r="V3258"/>
  <c r="X3258" s="1"/>
  <c r="V3257"/>
  <c r="X3257" s="1"/>
  <c r="V3256"/>
  <c r="X3256" s="1"/>
  <c r="K3256"/>
  <c r="V3255"/>
  <c r="X3255" s="1"/>
  <c r="V3254"/>
  <c r="X3254" s="1"/>
  <c r="V3253"/>
  <c r="X3253" s="1"/>
  <c r="V3252"/>
  <c r="X3252" s="1"/>
  <c r="V3249"/>
  <c r="X3249" s="1"/>
  <c r="K3243"/>
  <c r="L3236"/>
  <c r="P3233"/>
  <c r="R3233" s="1"/>
  <c r="P3232"/>
  <c r="P3446" s="1"/>
  <c r="R3446" s="1"/>
  <c r="P3231"/>
  <c r="P3445" s="1"/>
  <c r="R3445" s="1"/>
  <c r="P3230"/>
  <c r="P3331" s="1"/>
  <c r="R3331" s="1"/>
  <c r="P3229"/>
  <c r="I3525" s="1"/>
  <c r="P3228"/>
  <c r="P3262" s="1"/>
  <c r="R3227"/>
  <c r="I3227"/>
  <c r="K3227" s="1"/>
  <c r="R3226"/>
  <c r="R3225"/>
  <c r="R3224"/>
  <c r="R3223"/>
  <c r="P3223"/>
  <c r="P3437" s="1"/>
  <c r="R3437" s="1"/>
  <c r="K3212"/>
  <c r="L3210"/>
  <c r="R3199"/>
  <c r="K3492" s="1"/>
  <c r="P3199"/>
  <c r="P3234" s="1"/>
  <c r="P3268" s="1"/>
  <c r="S3198"/>
  <c r="T3198" s="1"/>
  <c r="R3198"/>
  <c r="K3198"/>
  <c r="R3197"/>
  <c r="R3196"/>
  <c r="R3195"/>
  <c r="L3194"/>
  <c r="P3193"/>
  <c r="R3193" s="1"/>
  <c r="R3191"/>
  <c r="R3190"/>
  <c r="I3172"/>
  <c r="I3185" s="1"/>
  <c r="K3156"/>
  <c r="I3155"/>
  <c r="P3162" s="1"/>
  <c r="R3162" s="1"/>
  <c r="I3154"/>
  <c r="K3154" s="1"/>
  <c r="U3153"/>
  <c r="I3153"/>
  <c r="P3160" s="1"/>
  <c r="U3152"/>
  <c r="I3152"/>
  <c r="K3152" s="1"/>
  <c r="U3151"/>
  <c r="K3151"/>
  <c r="I3151"/>
  <c r="P3158" s="1"/>
  <c r="I3150"/>
  <c r="P3157" s="1"/>
  <c r="R3157" s="1"/>
  <c r="U3149"/>
  <c r="U3148"/>
  <c r="U3150" s="1"/>
  <c r="I3148"/>
  <c r="P3155" s="1"/>
  <c r="F3148"/>
  <c r="P3147"/>
  <c r="P3146"/>
  <c r="P3148" s="1"/>
  <c r="M3155" s="1"/>
  <c r="P3143"/>
  <c r="M3154" s="1"/>
  <c r="P3141"/>
  <c r="M3153" s="1"/>
  <c r="P3140"/>
  <c r="M3156" s="1"/>
  <c r="V3136"/>
  <c r="V3161" s="1"/>
  <c r="X3161" s="1"/>
  <c r="V3134"/>
  <c r="V3159" s="1"/>
  <c r="X3159" s="1"/>
  <c r="R3120"/>
  <c r="K3120"/>
  <c r="X3119"/>
  <c r="R3119"/>
  <c r="K3119"/>
  <c r="V3118"/>
  <c r="V3135" s="1"/>
  <c r="X3117"/>
  <c r="X3115"/>
  <c r="V3115"/>
  <c r="V3132" s="1"/>
  <c r="I3110"/>
  <c r="V3122" s="1"/>
  <c r="AW3108"/>
  <c r="AS3108"/>
  <c r="AU3108" s="1"/>
  <c r="V3108"/>
  <c r="AS3107"/>
  <c r="AU3107" s="1"/>
  <c r="AJ3107"/>
  <c r="V3107"/>
  <c r="K3105"/>
  <c r="V3104"/>
  <c r="V3102"/>
  <c r="V3101"/>
  <c r="K3082"/>
  <c r="F3075"/>
  <c r="I3056"/>
  <c r="P3063" s="1"/>
  <c r="R3063" s="1"/>
  <c r="F3056"/>
  <c r="K3055" s="1"/>
  <c r="I3055"/>
  <c r="I3074" s="1"/>
  <c r="K3038"/>
  <c r="K3017"/>
  <c r="K3041" s="1"/>
  <c r="K3014"/>
  <c r="K3012"/>
  <c r="I3009"/>
  <c r="K3009" s="1"/>
  <c r="K2995"/>
  <c r="I2971"/>
  <c r="K2971" s="1"/>
  <c r="I2970"/>
  <c r="P2977" s="1"/>
  <c r="R2977" s="1"/>
  <c r="I2967"/>
  <c r="I2964"/>
  <c r="I2963"/>
  <c r="P2925"/>
  <c r="P2924"/>
  <c r="P2923"/>
  <c r="I2884"/>
  <c r="K2884" s="1"/>
  <c r="K2883"/>
  <c r="K2886" s="1"/>
  <c r="K2888" s="1"/>
  <c r="K2871"/>
  <c r="I2871"/>
  <c r="I2870"/>
  <c r="K2870" s="1"/>
  <c r="I2869"/>
  <c r="K2869" s="1"/>
  <c r="I2868"/>
  <c r="K2868" s="1"/>
  <c r="K2867"/>
  <c r="K2866"/>
  <c r="M2855"/>
  <c r="M2854"/>
  <c r="I2854"/>
  <c r="K2835"/>
  <c r="K2834"/>
  <c r="J2831"/>
  <c r="P2828"/>
  <c r="P2861" s="1"/>
  <c r="R2861" s="1"/>
  <c r="P2827"/>
  <c r="R2827" s="1"/>
  <c r="P2826"/>
  <c r="R2826" s="1"/>
  <c r="P2825"/>
  <c r="P2858" s="1"/>
  <c r="R2858" s="1"/>
  <c r="M2822"/>
  <c r="I2822"/>
  <c r="I3489" s="1"/>
  <c r="K3489" s="1"/>
  <c r="M2821"/>
  <c r="K2821"/>
  <c r="K2820"/>
  <c r="K2819"/>
  <c r="K2818"/>
  <c r="F2814"/>
  <c r="S2782" s="1"/>
  <c r="AI2793"/>
  <c r="AG2793"/>
  <c r="AG2792"/>
  <c r="AI2792" s="1"/>
  <c r="S2792"/>
  <c r="K2792"/>
  <c r="AG2791"/>
  <c r="AI2791" s="1"/>
  <c r="S2791"/>
  <c r="AI2790"/>
  <c r="AG2790"/>
  <c r="S2790"/>
  <c r="V2789"/>
  <c r="S2789"/>
  <c r="AI2788"/>
  <c r="V2788"/>
  <c r="X2788" s="1"/>
  <c r="S2788"/>
  <c r="V2787"/>
  <c r="S2787"/>
  <c r="V2786"/>
  <c r="S2786"/>
  <c r="S2785"/>
  <c r="X2784"/>
  <c r="V2784"/>
  <c r="S2781"/>
  <c r="L2778"/>
  <c r="F2815" s="1"/>
  <c r="S2783" s="1"/>
  <c r="Z2777"/>
  <c r="K2774"/>
  <c r="K2773"/>
  <c r="E2757"/>
  <c r="E2759" s="1"/>
  <c r="E2760" s="1"/>
  <c r="E2755"/>
  <c r="E2756" s="1"/>
  <c r="I2733"/>
  <c r="K2733" s="1"/>
  <c r="I2717"/>
  <c r="K2717" s="1"/>
  <c r="I2711"/>
  <c r="K2711" s="1"/>
  <c r="L2688"/>
  <c r="K2685"/>
  <c r="I2684"/>
  <c r="K2684" s="1"/>
  <c r="I2681"/>
  <c r="I2696" s="1"/>
  <c r="K2696" s="1"/>
  <c r="I2680"/>
  <c r="K2680" s="1"/>
  <c r="P2676"/>
  <c r="I2670"/>
  <c r="K2670" s="1"/>
  <c r="I2669"/>
  <c r="K2669" s="1"/>
  <c r="I2668"/>
  <c r="I3106" s="1"/>
  <c r="K3106" s="1"/>
  <c r="I2667"/>
  <c r="K2667" s="1"/>
  <c r="K2665"/>
  <c r="AG2659"/>
  <c r="AI2659" s="1"/>
  <c r="AI2657"/>
  <c r="AI2656"/>
  <c r="AI2655"/>
  <c r="AI2654"/>
  <c r="AI2653"/>
  <c r="AD2649"/>
  <c r="P2648"/>
  <c r="R2648" s="1"/>
  <c r="P2647"/>
  <c r="R2647" s="1"/>
  <c r="R2646"/>
  <c r="P2646"/>
  <c r="AG2645"/>
  <c r="P2645"/>
  <c r="R2645" s="1"/>
  <c r="AG2644"/>
  <c r="AG2646" s="1"/>
  <c r="AD2651" s="1"/>
  <c r="P2644"/>
  <c r="R2644" s="1"/>
  <c r="P2642"/>
  <c r="K2641"/>
  <c r="AG2640"/>
  <c r="M2640"/>
  <c r="K2640"/>
  <c r="AG2639"/>
  <c r="AG2641" s="1"/>
  <c r="AD2650" s="1"/>
  <c r="K2639"/>
  <c r="K2638"/>
  <c r="AG2637"/>
  <c r="AD2652" s="1"/>
  <c r="P2637"/>
  <c r="M2642" s="1"/>
  <c r="R2642" s="1"/>
  <c r="K2637"/>
  <c r="K2635"/>
  <c r="P2632"/>
  <c r="M2641" s="1"/>
  <c r="K2629"/>
  <c r="I2629"/>
  <c r="I2630" s="1"/>
  <c r="I2625"/>
  <c r="AG2623"/>
  <c r="AI2623" s="1"/>
  <c r="AD2615"/>
  <c r="AG2611"/>
  <c r="AG2610"/>
  <c r="K2610"/>
  <c r="X2609"/>
  <c r="I2609"/>
  <c r="H3854" s="1"/>
  <c r="V2608"/>
  <c r="AG2622" s="1"/>
  <c r="AI2622" s="1"/>
  <c r="AA2607"/>
  <c r="V2607"/>
  <c r="X2607" s="1"/>
  <c r="AG2606"/>
  <c r="V2606"/>
  <c r="AG2605"/>
  <c r="AG2607" s="1"/>
  <c r="AD2616" s="1"/>
  <c r="AA2605"/>
  <c r="V2605"/>
  <c r="AG2619" s="1"/>
  <c r="AI2619" s="1"/>
  <c r="I2604"/>
  <c r="AG2603"/>
  <c r="AD2618" s="1"/>
  <c r="V2603"/>
  <c r="AG2651" s="1"/>
  <c r="AA2601"/>
  <c r="S2601"/>
  <c r="V2597"/>
  <c r="V2596"/>
  <c r="V2598" s="1"/>
  <c r="S2603" s="1"/>
  <c r="X2603" s="1"/>
  <c r="V2592"/>
  <c r="V2591"/>
  <c r="V2593" s="1"/>
  <c r="S2602" s="1"/>
  <c r="V2589"/>
  <c r="S2604" s="1"/>
  <c r="O2580"/>
  <c r="P2576"/>
  <c r="R2576" s="1"/>
  <c r="K2575"/>
  <c r="H2574"/>
  <c r="P2569"/>
  <c r="I2569"/>
  <c r="K2543"/>
  <c r="K2540"/>
  <c r="I2534"/>
  <c r="N2522"/>
  <c r="R2517"/>
  <c r="P2517"/>
  <c r="K2514"/>
  <c r="R2510"/>
  <c r="K2510"/>
  <c r="I2509"/>
  <c r="P2516" s="1"/>
  <c r="R2516" s="1"/>
  <c r="P2507"/>
  <c r="P2506"/>
  <c r="P2505"/>
  <c r="P2504"/>
  <c r="I2503"/>
  <c r="H2487"/>
  <c r="I2479"/>
  <c r="I2481" s="1"/>
  <c r="F2485" s="1"/>
  <c r="H2472"/>
  <c r="I2469"/>
  <c r="K2469" s="1"/>
  <c r="I2468"/>
  <c r="K2468" s="1"/>
  <c r="I2467"/>
  <c r="I2538" s="1"/>
  <c r="I2466"/>
  <c r="I2537" s="1"/>
  <c r="I2462"/>
  <c r="I2442"/>
  <c r="K2442" s="1"/>
  <c r="R2437"/>
  <c r="R2429"/>
  <c r="I2426"/>
  <c r="K2426" s="1"/>
  <c r="K2422"/>
  <c r="R2408"/>
  <c r="I2408"/>
  <c r="K2408" s="1"/>
  <c r="R2407"/>
  <c r="R2406"/>
  <c r="R2405"/>
  <c r="R2404"/>
  <c r="R2403"/>
  <c r="R2402"/>
  <c r="R2401"/>
  <c r="R2400"/>
  <c r="R2399"/>
  <c r="R2398"/>
  <c r="R2397"/>
  <c r="K2397"/>
  <c r="R2396"/>
  <c r="R2395"/>
  <c r="R2394"/>
  <c r="R2393"/>
  <c r="E2393"/>
  <c r="R2392"/>
  <c r="E2392"/>
  <c r="R2391"/>
  <c r="K2388"/>
  <c r="K2387"/>
  <c r="P2372"/>
  <c r="R2372" s="1"/>
  <c r="P2371"/>
  <c r="R2371" s="1"/>
  <c r="K2366"/>
  <c r="K2365"/>
  <c r="K2364"/>
  <c r="D2347"/>
  <c r="P2335"/>
  <c r="R2335" s="1"/>
  <c r="R2334"/>
  <c r="I2328"/>
  <c r="K2328" s="1"/>
  <c r="K2327"/>
  <c r="E2313"/>
  <c r="I2347" s="1"/>
  <c r="K2347" s="1"/>
  <c r="I2312"/>
  <c r="K2312" s="1"/>
  <c r="I2311"/>
  <c r="K2311" s="1"/>
  <c r="I2310"/>
  <c r="K2310" s="1"/>
  <c r="I2309"/>
  <c r="K2309" s="1"/>
  <c r="L2308"/>
  <c r="L2307"/>
  <c r="I2299"/>
  <c r="I2314" s="1"/>
  <c r="K2314" s="1"/>
  <c r="H2299"/>
  <c r="I2297"/>
  <c r="K2295"/>
  <c r="K2291"/>
  <c r="I3018" s="1"/>
  <c r="K3018" s="1"/>
  <c r="K2290"/>
  <c r="K2289"/>
  <c r="K2287"/>
  <c r="K2286"/>
  <c r="K2285"/>
  <c r="K2283"/>
  <c r="K2282"/>
  <c r="K2281"/>
  <c r="K2280"/>
  <c r="K2277"/>
  <c r="K2276"/>
  <c r="K2275"/>
  <c r="K2273"/>
  <c r="L2270"/>
  <c r="K2269"/>
  <c r="K2268"/>
  <c r="K2267"/>
  <c r="K2266"/>
  <c r="K2265"/>
  <c r="K2264"/>
  <c r="K2263"/>
  <c r="K2262"/>
  <c r="K2261"/>
  <c r="L2260"/>
  <c r="L2259"/>
  <c r="M2255"/>
  <c r="K2248"/>
  <c r="I2247"/>
  <c r="K2247" s="1"/>
  <c r="I2246"/>
  <c r="K2246" s="1"/>
  <c r="I2245"/>
  <c r="K2245" s="1"/>
  <c r="I2244"/>
  <c r="K2244" s="1"/>
  <c r="I2221"/>
  <c r="K2221" s="1"/>
  <c r="K2225" s="1"/>
  <c r="I2212"/>
  <c r="K2212" s="1"/>
  <c r="K2216" s="1"/>
  <c r="I2202"/>
  <c r="K2202" s="1"/>
  <c r="K2206" s="1"/>
  <c r="J2197"/>
  <c r="K2197" s="1"/>
  <c r="K2200" s="1"/>
  <c r="I2189"/>
  <c r="K2189" s="1"/>
  <c r="K2193" s="1"/>
  <c r="I2176"/>
  <c r="K2176" s="1"/>
  <c r="H2174"/>
  <c r="I2163"/>
  <c r="K2163" s="1"/>
  <c r="R2151"/>
  <c r="I2149"/>
  <c r="K2149" s="1"/>
  <c r="K2144"/>
  <c r="I2144"/>
  <c r="I2129"/>
  <c r="K2129" s="1"/>
  <c r="I2124"/>
  <c r="K2124" s="1"/>
  <c r="I2116"/>
  <c r="K2116" s="1"/>
  <c r="K2119" s="1"/>
  <c r="I2104"/>
  <c r="K2104" s="1"/>
  <c r="K2096"/>
  <c r="K2095"/>
  <c r="I2094"/>
  <c r="K2094" s="1"/>
  <c r="I2093"/>
  <c r="K2093" s="1"/>
  <c r="I2076"/>
  <c r="K2076" s="1"/>
  <c r="K2075"/>
  <c r="I2075"/>
  <c r="I2074"/>
  <c r="K2074" s="1"/>
  <c r="K2073"/>
  <c r="I2073"/>
  <c r="I2052"/>
  <c r="K2052" s="1"/>
  <c r="K2051"/>
  <c r="I2051"/>
  <c r="K2050"/>
  <c r="I2049"/>
  <c r="K2049" s="1"/>
  <c r="P2032"/>
  <c r="I2024"/>
  <c r="K2024" s="1"/>
  <c r="P2014"/>
  <c r="I2005"/>
  <c r="P1996"/>
  <c r="P1990"/>
  <c r="P1988"/>
  <c r="I1986"/>
  <c r="P1986" s="1"/>
  <c r="R1986" s="1"/>
  <c r="P1975"/>
  <c r="I1968"/>
  <c r="N1943"/>
  <c r="K1941"/>
  <c r="K1939"/>
  <c r="I1936"/>
  <c r="K1936" s="1"/>
  <c r="K1925"/>
  <c r="I1922"/>
  <c r="K1922" s="1"/>
  <c r="I1909"/>
  <c r="K1909" s="1"/>
  <c r="P1908"/>
  <c r="P1909" s="1"/>
  <c r="R1909" s="1"/>
  <c r="I1908"/>
  <c r="K1908" s="1"/>
  <c r="I1907"/>
  <c r="K1907" s="1"/>
  <c r="P1897"/>
  <c r="I1895"/>
  <c r="I1896" s="1"/>
  <c r="K1896" s="1"/>
  <c r="R1890"/>
  <c r="R1889"/>
  <c r="R1887"/>
  <c r="I1887"/>
  <c r="K1887" s="1"/>
  <c r="K1886"/>
  <c r="I1878"/>
  <c r="I1879" s="1"/>
  <c r="K1879" s="1"/>
  <c r="P1877"/>
  <c r="P1878" s="1"/>
  <c r="R1878" s="1"/>
  <c r="I1870"/>
  <c r="I2763" s="1"/>
  <c r="P1866"/>
  <c r="P1865"/>
  <c r="P1896" s="1"/>
  <c r="P1864"/>
  <c r="P1895" s="1"/>
  <c r="R1859"/>
  <c r="R1858"/>
  <c r="P1857"/>
  <c r="P1888" s="1"/>
  <c r="K1848"/>
  <c r="K1843"/>
  <c r="I1843"/>
  <c r="K1842"/>
  <c r="I1842"/>
  <c r="K1840"/>
  <c r="I1840"/>
  <c r="P1856" s="1"/>
  <c r="R1856" s="1"/>
  <c r="K1830"/>
  <c r="I1825"/>
  <c r="K1825" s="1"/>
  <c r="I1824"/>
  <c r="K1824" s="1"/>
  <c r="I1822"/>
  <c r="K1822" s="1"/>
  <c r="K1812"/>
  <c r="I1807"/>
  <c r="I2736" s="1"/>
  <c r="K2736" s="1"/>
  <c r="I1806"/>
  <c r="I2735" s="1"/>
  <c r="K2735" s="1"/>
  <c r="I1804"/>
  <c r="K1804" s="1"/>
  <c r="K1797"/>
  <c r="K1796"/>
  <c r="K1793"/>
  <c r="K1786"/>
  <c r="I1785"/>
  <c r="K1785" s="1"/>
  <c r="I1770"/>
  <c r="K1770" s="1"/>
  <c r="I1769"/>
  <c r="K1769" s="1"/>
  <c r="K1768"/>
  <c r="K1756"/>
  <c r="K1755"/>
  <c r="K1754"/>
  <c r="K1751"/>
  <c r="K1723"/>
  <c r="K1722"/>
  <c r="K1721"/>
  <c r="AG1695"/>
  <c r="AG1694"/>
  <c r="K1694"/>
  <c r="AG1693"/>
  <c r="AG1692"/>
  <c r="AG1691"/>
  <c r="AG1690"/>
  <c r="AG1689"/>
  <c r="AG1688"/>
  <c r="AG1687"/>
  <c r="K1687"/>
  <c r="K1690" s="1"/>
  <c r="AG1686"/>
  <c r="AG1685"/>
  <c r="AG1684"/>
  <c r="AG1683"/>
  <c r="AG1682"/>
  <c r="AG1681"/>
  <c r="AG1680"/>
  <c r="K1680"/>
  <c r="AG1679"/>
  <c r="AG1678"/>
  <c r="K1678"/>
  <c r="AG1677"/>
  <c r="AG1676"/>
  <c r="AG1675"/>
  <c r="AG1674"/>
  <c r="AG1673"/>
  <c r="AG1672"/>
  <c r="AG1671"/>
  <c r="AG1670"/>
  <c r="AG1669"/>
  <c r="AG1668"/>
  <c r="AG1667"/>
  <c r="K1667"/>
  <c r="AG1666"/>
  <c r="K1666"/>
  <c r="AG1665"/>
  <c r="AG1664"/>
  <c r="AG1663"/>
  <c r="AG1662"/>
  <c r="AG1661"/>
  <c r="AG1660"/>
  <c r="AG1659"/>
  <c r="AG1658"/>
  <c r="AG1657"/>
  <c r="AG1656"/>
  <c r="AG1655"/>
  <c r="AG1654"/>
  <c r="AG1653"/>
  <c r="AG1652"/>
  <c r="AG1651"/>
  <c r="AG1650"/>
  <c r="AG1649"/>
  <c r="AG1648"/>
  <c r="AG1647"/>
  <c r="AG1646"/>
  <c r="AG1645"/>
  <c r="AG1644"/>
  <c r="AG1643"/>
  <c r="AG1642"/>
  <c r="AG1641"/>
  <c r="AG1640"/>
  <c r="S1640"/>
  <c r="AG1639"/>
  <c r="AG1638"/>
  <c r="AG1637"/>
  <c r="AG1636"/>
  <c r="AG1635"/>
  <c r="R1635"/>
  <c r="AG1634"/>
  <c r="P1634"/>
  <c r="AG1633"/>
  <c r="AG1632"/>
  <c r="Q1632"/>
  <c r="AG1631"/>
  <c r="R1631"/>
  <c r="Q1631"/>
  <c r="AG1630"/>
  <c r="Q1630"/>
  <c r="P1630"/>
  <c r="R1630" s="1"/>
  <c r="I1630"/>
  <c r="P1632" s="1"/>
  <c r="R1632" s="1"/>
  <c r="AG1629"/>
  <c r="R1629"/>
  <c r="Q1629"/>
  <c r="K1629"/>
  <c r="I1629"/>
  <c r="AG1628"/>
  <c r="Q1628"/>
  <c r="I1628"/>
  <c r="K1628" s="1"/>
  <c r="AG1627"/>
  <c r="I1627"/>
  <c r="K1627" s="1"/>
  <c r="AG1626"/>
  <c r="K1626"/>
  <c r="I1626"/>
  <c r="P1628" s="1"/>
  <c r="R1628" s="1"/>
  <c r="AG1625"/>
  <c r="AG1624"/>
  <c r="AG1623"/>
  <c r="AG1622"/>
  <c r="AG1621"/>
  <c r="AG1620"/>
  <c r="AG1619"/>
  <c r="AG1618"/>
  <c r="AG1617"/>
  <c r="AG1616"/>
  <c r="AG1615"/>
  <c r="O1615"/>
  <c r="AG1614"/>
  <c r="I1614"/>
  <c r="K1614" s="1"/>
  <c r="AG1613"/>
  <c r="AG1612"/>
  <c r="AG1611"/>
  <c r="AG1610"/>
  <c r="AG1609"/>
  <c r="AG1608"/>
  <c r="AG1607"/>
  <c r="AG1606"/>
  <c r="AG1605"/>
  <c r="AG1604"/>
  <c r="AG1603"/>
  <c r="R1603"/>
  <c r="P1603"/>
  <c r="P1615" s="1"/>
  <c r="R1615" s="1"/>
  <c r="AG1602"/>
  <c r="AG1601"/>
  <c r="AG1600"/>
  <c r="AG1599"/>
  <c r="AG1598"/>
  <c r="AG1597"/>
  <c r="AG1596"/>
  <c r="AG1595"/>
  <c r="AG1594"/>
  <c r="AG1593"/>
  <c r="AG1592"/>
  <c r="AG1591"/>
  <c r="K1591"/>
  <c r="AG1590"/>
  <c r="AG1589"/>
  <c r="AG1588"/>
  <c r="AG1587"/>
  <c r="I1587"/>
  <c r="AG1586"/>
  <c r="AG1585"/>
  <c r="AG1584"/>
  <c r="AG1583"/>
  <c r="AG1582"/>
  <c r="AG1581"/>
  <c r="AG1580"/>
  <c r="AG1579"/>
  <c r="AG1578"/>
  <c r="K1578"/>
  <c r="AG1577"/>
  <c r="AG1576"/>
  <c r="AG1575"/>
  <c r="AG1574"/>
  <c r="I1574"/>
  <c r="K1574" s="1"/>
  <c r="AG1573"/>
  <c r="AG1572"/>
  <c r="AG1571"/>
  <c r="AG1570"/>
  <c r="AG1569"/>
  <c r="AG1568"/>
  <c r="AG1567"/>
  <c r="AG1566"/>
  <c r="AG1565"/>
  <c r="AG1564"/>
  <c r="AG1563"/>
  <c r="I1563"/>
  <c r="K1563" s="1"/>
  <c r="AG1562"/>
  <c r="K1562"/>
  <c r="AG1561"/>
  <c r="AG1560"/>
  <c r="AG1559"/>
  <c r="I1559"/>
  <c r="K1559" s="1"/>
  <c r="AG1558"/>
  <c r="AG1557"/>
  <c r="AG1556"/>
  <c r="AG1555"/>
  <c r="AG1554"/>
  <c r="AG1553"/>
  <c r="AG1552"/>
  <c r="AG1551"/>
  <c r="AG1550"/>
  <c r="AG1549"/>
  <c r="AG1548"/>
  <c r="AG1547"/>
  <c r="I1547"/>
  <c r="I3196" s="1"/>
  <c r="AG1546"/>
  <c r="AG1545"/>
  <c r="AG1544"/>
  <c r="AG1543"/>
  <c r="AG1542"/>
  <c r="AG1541"/>
  <c r="AG1540"/>
  <c r="AG1539"/>
  <c r="AG1538"/>
  <c r="R1538"/>
  <c r="P1538"/>
  <c r="AG1537"/>
  <c r="AG1536"/>
  <c r="AG1535"/>
  <c r="AG1534"/>
  <c r="I1534"/>
  <c r="I3210" s="1"/>
  <c r="AG1533"/>
  <c r="AG1532"/>
  <c r="I1532"/>
  <c r="K1532" s="1"/>
  <c r="AG1531"/>
  <c r="AG1530"/>
  <c r="AG1529"/>
  <c r="AG1528"/>
  <c r="AG1527"/>
  <c r="AG1526"/>
  <c r="AG1525"/>
  <c r="AG1524"/>
  <c r="AG1523"/>
  <c r="AG1522"/>
  <c r="AG1521"/>
  <c r="R1521"/>
  <c r="AG1520"/>
  <c r="AG1519"/>
  <c r="AG1518"/>
  <c r="AG1517"/>
  <c r="I1517"/>
  <c r="K1517" s="1"/>
  <c r="AG1516"/>
  <c r="AG1515"/>
  <c r="AG1514"/>
  <c r="AG1513"/>
  <c r="AG1512"/>
  <c r="AG1511"/>
  <c r="AG1510"/>
  <c r="AG1509"/>
  <c r="AG1508"/>
  <c r="AG1507"/>
  <c r="AG1506"/>
  <c r="AG1505"/>
  <c r="I1505"/>
  <c r="AG1504"/>
  <c r="AG1503"/>
  <c r="AG1502"/>
  <c r="AG1501"/>
  <c r="AG1500"/>
  <c r="M1500"/>
  <c r="AG1499"/>
  <c r="AG1498"/>
  <c r="AG1497"/>
  <c r="AG1496"/>
  <c r="O1496"/>
  <c r="AG1495"/>
  <c r="O1495"/>
  <c r="AG1494"/>
  <c r="O1494"/>
  <c r="AG1493"/>
  <c r="AG1492"/>
  <c r="AG1491"/>
  <c r="AG1490"/>
  <c r="AG1489"/>
  <c r="AG1488"/>
  <c r="AG1487"/>
  <c r="AG1486"/>
  <c r="AG1485"/>
  <c r="AG1484"/>
  <c r="AG1483"/>
  <c r="AG1482"/>
  <c r="U1482"/>
  <c r="S1482"/>
  <c r="T1482" s="1"/>
  <c r="AG1481"/>
  <c r="AG1480"/>
  <c r="AG1479"/>
  <c r="AG1478"/>
  <c r="AG1477"/>
  <c r="AG1476"/>
  <c r="AG1475"/>
  <c r="AG1474"/>
  <c r="AG1473"/>
  <c r="AG1472"/>
  <c r="AG1471"/>
  <c r="AG1470"/>
  <c r="AG1469"/>
  <c r="AG1468"/>
  <c r="AG1467"/>
  <c r="AG1466"/>
  <c r="AG1465"/>
  <c r="AG1464"/>
  <c r="AG1463"/>
  <c r="AG1462"/>
  <c r="AG1461"/>
  <c r="AG1460"/>
  <c r="AG1459"/>
  <c r="AG1458"/>
  <c r="AG1457"/>
  <c r="AG1456"/>
  <c r="AG1455"/>
  <c r="AG1454"/>
  <c r="S1454"/>
  <c r="AG1453"/>
  <c r="AG1452"/>
  <c r="M1452"/>
  <c r="AG1451"/>
  <c r="AG1450"/>
  <c r="AG1449"/>
  <c r="AG1448"/>
  <c r="AG1447"/>
  <c r="AG1446"/>
  <c r="AG1445"/>
  <c r="AG1444"/>
  <c r="AG1443"/>
  <c r="AG1442"/>
  <c r="AG1441"/>
  <c r="AG1440"/>
  <c r="AG1439"/>
  <c r="AG1438"/>
  <c r="AG1437"/>
  <c r="I1437"/>
  <c r="K1437" s="1"/>
  <c r="AG1436"/>
  <c r="AG1435"/>
  <c r="AG1434"/>
  <c r="AG1433"/>
  <c r="U1433"/>
  <c r="AG1432"/>
  <c r="AG1431"/>
  <c r="AG1430"/>
  <c r="S1430"/>
  <c r="AG1429"/>
  <c r="X1429"/>
  <c r="AG1428"/>
  <c r="X1428"/>
  <c r="AG1427"/>
  <c r="X1427"/>
  <c r="AG1426"/>
  <c r="AG1425"/>
  <c r="AG1424"/>
  <c r="AG1423"/>
  <c r="AG1422"/>
  <c r="AG1421"/>
  <c r="AG1420"/>
  <c r="AG1419"/>
  <c r="Z1419"/>
  <c r="L1419"/>
  <c r="AG1418"/>
  <c r="P1418"/>
  <c r="R1418" s="1"/>
  <c r="AG1417"/>
  <c r="Z1417"/>
  <c r="P1417"/>
  <c r="R1417" s="1"/>
  <c r="AG1416"/>
  <c r="P1416"/>
  <c r="P1433" s="1"/>
  <c r="AG1415"/>
  <c r="AG1414"/>
  <c r="P1414"/>
  <c r="R1414" s="1"/>
  <c r="AG1413"/>
  <c r="P1413"/>
  <c r="P1430" s="1"/>
  <c r="AG1412"/>
  <c r="P1412"/>
  <c r="P1429" s="1"/>
  <c r="V1423" s="1"/>
  <c r="X1423" s="1"/>
  <c r="AG1411"/>
  <c r="AG1410"/>
  <c r="AG1409"/>
  <c r="AG1408"/>
  <c r="P1408"/>
  <c r="AG1407"/>
  <c r="AG1406"/>
  <c r="S1406"/>
  <c r="AG1405"/>
  <c r="S1405"/>
  <c r="AG1404"/>
  <c r="S1404"/>
  <c r="L1404"/>
  <c r="AG1403"/>
  <c r="S1403"/>
  <c r="AG1402"/>
  <c r="S1402"/>
  <c r="AG1401"/>
  <c r="R1401"/>
  <c r="AG1400"/>
  <c r="R1400"/>
  <c r="AG1399"/>
  <c r="R1399"/>
  <c r="AG1398"/>
  <c r="AG1397"/>
  <c r="R1397"/>
  <c r="AG1396"/>
  <c r="R1396"/>
  <c r="AG1395"/>
  <c r="R1395"/>
  <c r="AG1394"/>
  <c r="P1394"/>
  <c r="R1394" s="1"/>
  <c r="AG1393"/>
  <c r="P1393"/>
  <c r="AG1392"/>
  <c r="P1392"/>
  <c r="P1409" s="1"/>
  <c r="R1409" s="1"/>
  <c r="AG1391"/>
  <c r="R1391"/>
  <c r="AG1390"/>
  <c r="AG1389"/>
  <c r="AG1388"/>
  <c r="AG1387"/>
  <c r="AG1386"/>
  <c r="AG1385"/>
  <c r="AG1384"/>
  <c r="AG1383"/>
  <c r="AG1382"/>
  <c r="AG1381"/>
  <c r="AG1380"/>
  <c r="AG1379"/>
  <c r="V1379"/>
  <c r="V1396" s="1"/>
  <c r="AG1378"/>
  <c r="V1378"/>
  <c r="V1395" s="1"/>
  <c r="I1378"/>
  <c r="K1378" s="1"/>
  <c r="AG1377"/>
  <c r="V1377"/>
  <c r="X1377" s="1"/>
  <c r="AG1376"/>
  <c r="AG1375"/>
  <c r="V1375"/>
  <c r="X1375" s="1"/>
  <c r="K1375"/>
  <c r="I1375"/>
  <c r="AG1374"/>
  <c r="V1374"/>
  <c r="X1374" s="1"/>
  <c r="AG1373"/>
  <c r="V1373"/>
  <c r="V1390" s="1"/>
  <c r="AG1372"/>
  <c r="P1372"/>
  <c r="R1372" s="1"/>
  <c r="AG1371"/>
  <c r="AG1370"/>
  <c r="AG1369"/>
  <c r="AG1368"/>
  <c r="AG1367"/>
  <c r="AG1366"/>
  <c r="AG1365"/>
  <c r="AG1364"/>
  <c r="AG1363"/>
  <c r="AG1362"/>
  <c r="V1362"/>
  <c r="X1362" s="1"/>
  <c r="AG1361"/>
  <c r="V1361"/>
  <c r="X1361" s="1"/>
  <c r="AG1360"/>
  <c r="V1360"/>
  <c r="X1360" s="1"/>
  <c r="AG1359"/>
  <c r="AD1359"/>
  <c r="AD1376" s="1"/>
  <c r="AG1358"/>
  <c r="AD1358"/>
  <c r="AF1358" s="1"/>
  <c r="V1358"/>
  <c r="X1358" s="1"/>
  <c r="AG1357"/>
  <c r="X1357"/>
  <c r="V1357"/>
  <c r="AG1356"/>
  <c r="AD1356"/>
  <c r="AD1373" s="1"/>
  <c r="X1356"/>
  <c r="V1356"/>
  <c r="I1356"/>
  <c r="K1356" s="1"/>
  <c r="AG1355"/>
  <c r="AF1355"/>
  <c r="AD1355"/>
  <c r="I3992" s="1"/>
  <c r="R1355"/>
  <c r="AG1354"/>
  <c r="AF1354"/>
  <c r="AD1354"/>
  <c r="I3991" s="1"/>
  <c r="AG1353"/>
  <c r="V1353"/>
  <c r="X1353" s="1"/>
  <c r="R1353"/>
  <c r="R1357" s="1"/>
  <c r="R1358" s="1"/>
  <c r="AG1352"/>
  <c r="V1352"/>
  <c r="X1352" s="1"/>
  <c r="AG1351"/>
  <c r="AG1350"/>
  <c r="AG1349"/>
  <c r="AG1348"/>
  <c r="AG1347"/>
  <c r="Z1347"/>
  <c r="AG1346"/>
  <c r="AG1345"/>
  <c r="AG1344"/>
  <c r="AG1343"/>
  <c r="AG1342"/>
  <c r="X1342"/>
  <c r="AG1341"/>
  <c r="X1341"/>
  <c r="AG1340"/>
  <c r="X1340"/>
  <c r="AG1339"/>
  <c r="V1339"/>
  <c r="X1339" s="1"/>
  <c r="AG1338"/>
  <c r="X1338"/>
  <c r="AG1337"/>
  <c r="AG1336"/>
  <c r="AG1335"/>
  <c r="AG1334"/>
  <c r="AG1333"/>
  <c r="AG1332"/>
  <c r="R1332"/>
  <c r="AG1331"/>
  <c r="X1331"/>
  <c r="AG1330"/>
  <c r="AG1329"/>
  <c r="AG1328"/>
  <c r="AG1327"/>
  <c r="AG1326"/>
  <c r="AG1325"/>
  <c r="V1325"/>
  <c r="AG1324"/>
  <c r="X1324"/>
  <c r="V1324"/>
  <c r="AG1323"/>
  <c r="AG1322"/>
  <c r="AG1321"/>
  <c r="AG1320"/>
  <c r="R1320"/>
  <c r="P1320"/>
  <c r="AG1319"/>
  <c r="R1319"/>
  <c r="AG1318"/>
  <c r="V1318"/>
  <c r="X1318" s="1"/>
  <c r="AG1317"/>
  <c r="AG1316"/>
  <c r="AG1315"/>
  <c r="AG1314"/>
  <c r="AG1313"/>
  <c r="AG1312"/>
  <c r="AG1311"/>
  <c r="AG1310"/>
  <c r="AG1309"/>
  <c r="AG1308"/>
  <c r="AG1307"/>
  <c r="AG1306"/>
  <c r="P1306"/>
  <c r="R1306" s="1"/>
  <c r="AG1305"/>
  <c r="V1305"/>
  <c r="AG1304"/>
  <c r="X1304"/>
  <c r="AG1303"/>
  <c r="AG1302"/>
  <c r="AG1301"/>
  <c r="P1301"/>
  <c r="R1301" s="1"/>
  <c r="AG1300"/>
  <c r="R1300"/>
  <c r="AG1299"/>
  <c r="AG1298"/>
  <c r="X1298"/>
  <c r="AG1297"/>
  <c r="AG1296"/>
  <c r="AG1295"/>
  <c r="AG1294"/>
  <c r="AG1293"/>
  <c r="AG1292"/>
  <c r="AG1291"/>
  <c r="AG1290"/>
  <c r="AG1289"/>
  <c r="AG1288"/>
  <c r="AG1287"/>
  <c r="AG1286"/>
  <c r="AG1285"/>
  <c r="V1285"/>
  <c r="X1285" s="1"/>
  <c r="AG1284"/>
  <c r="AG1283"/>
  <c r="K1283"/>
  <c r="AG1282"/>
  <c r="AG1281"/>
  <c r="AG1280"/>
  <c r="AG1279"/>
  <c r="V1279"/>
  <c r="AG1278"/>
  <c r="AG1277"/>
  <c r="X1277"/>
  <c r="AG1276"/>
  <c r="AG1275"/>
  <c r="AG1274"/>
  <c r="AG1273"/>
  <c r="AG1272"/>
  <c r="AG1271"/>
  <c r="AG1270"/>
  <c r="I1270"/>
  <c r="K1270" s="1"/>
  <c r="AG1269"/>
  <c r="I1269"/>
  <c r="K1269" s="1"/>
  <c r="AG1268"/>
  <c r="AG1267"/>
  <c r="AF1267"/>
  <c r="AG1266"/>
  <c r="AE1266"/>
  <c r="AG1265"/>
  <c r="AE1265"/>
  <c r="AG1264"/>
  <c r="AE1264"/>
  <c r="P1264"/>
  <c r="P1380" s="1"/>
  <c r="R1380" s="1"/>
  <c r="AG1263"/>
  <c r="AE1263"/>
  <c r="AD1263"/>
  <c r="AF1263" s="1"/>
  <c r="AG1262"/>
  <c r="AE1262"/>
  <c r="AD1262"/>
  <c r="AF1262" s="1"/>
  <c r="AG1261"/>
  <c r="AG1260"/>
  <c r="AG1259"/>
  <c r="AG1258"/>
  <c r="R1257"/>
  <c r="AG1256"/>
  <c r="K1256"/>
  <c r="AG1255"/>
  <c r="AG1254"/>
  <c r="AG1253"/>
  <c r="AD1253"/>
  <c r="AD1225" s="1"/>
  <c r="AG1252"/>
  <c r="AG1251"/>
  <c r="AG1250"/>
  <c r="AG1249"/>
  <c r="AF1249"/>
  <c r="AG1248"/>
  <c r="I1248"/>
  <c r="K1248" s="1"/>
  <c r="AG1247"/>
  <c r="AG1246"/>
  <c r="AG1245"/>
  <c r="AG1244"/>
  <c r="V1244"/>
  <c r="X1244" s="1"/>
  <c r="AG1243"/>
  <c r="AG1242"/>
  <c r="AG1241"/>
  <c r="AF1241"/>
  <c r="P1241"/>
  <c r="R1241" s="1"/>
  <c r="AG1240"/>
  <c r="AG1239"/>
  <c r="AG1238"/>
  <c r="AG1237"/>
  <c r="X1237"/>
  <c r="AG1236"/>
  <c r="AG1235"/>
  <c r="AG1234"/>
  <c r="R1234"/>
  <c r="AG1233"/>
  <c r="I1233"/>
  <c r="K1233" s="1"/>
  <c r="AG1232"/>
  <c r="I1232"/>
  <c r="K1232" s="1"/>
  <c r="AG1231"/>
  <c r="I1231"/>
  <c r="K1231" s="1"/>
  <c r="AG1230"/>
  <c r="AG1229"/>
  <c r="AG1228"/>
  <c r="AG1227"/>
  <c r="AG1226"/>
  <c r="AD1226"/>
  <c r="S1226"/>
  <c r="AG1225"/>
  <c r="AG1224"/>
  <c r="AG1223"/>
  <c r="AG1222"/>
  <c r="P1222"/>
  <c r="R1222" s="1"/>
  <c r="T1222" s="1"/>
  <c r="AG1221"/>
  <c r="AD1221"/>
  <c r="AF1221" s="1"/>
  <c r="AG1220"/>
  <c r="AG1219"/>
  <c r="AG1218"/>
  <c r="AG1217"/>
  <c r="AG1216"/>
  <c r="AG1215"/>
  <c r="AD1215"/>
  <c r="T1215"/>
  <c r="R1215"/>
  <c r="AG1214"/>
  <c r="AG1213"/>
  <c r="AF1213"/>
  <c r="AG1212"/>
  <c r="AE1212"/>
  <c r="AG1211"/>
  <c r="AG1210"/>
  <c r="AG1209"/>
  <c r="AG1203"/>
  <c r="AG1202"/>
  <c r="K1193"/>
  <c r="AG1191"/>
  <c r="K1191"/>
  <c r="AG1190"/>
  <c r="AG1189"/>
  <c r="AM1188"/>
  <c r="AG1188"/>
  <c r="AF1188"/>
  <c r="AG1187"/>
  <c r="AG1186"/>
  <c r="AG1185"/>
  <c r="AG1184"/>
  <c r="AG1183"/>
  <c r="AG1182"/>
  <c r="AG1181"/>
  <c r="AG1180"/>
  <c r="AG1179"/>
  <c r="AG1178"/>
  <c r="K1178"/>
  <c r="AG1177"/>
  <c r="K1177"/>
  <c r="AG1176"/>
  <c r="Q1176"/>
  <c r="K1176"/>
  <c r="AG1175"/>
  <c r="AG1174"/>
  <c r="AG1173"/>
  <c r="AG1172"/>
  <c r="AG1171"/>
  <c r="AG1170"/>
  <c r="AG1169"/>
  <c r="AG1168"/>
  <c r="AG1167"/>
  <c r="AG1166"/>
  <c r="AG1165"/>
  <c r="AG1164"/>
  <c r="AG1163"/>
  <c r="AG1162"/>
  <c r="AG1161"/>
  <c r="AG1160"/>
  <c r="I1160"/>
  <c r="K1160" s="1"/>
  <c r="AG1159"/>
  <c r="I1159"/>
  <c r="K1159" s="1"/>
  <c r="AG1158"/>
  <c r="AG1157"/>
  <c r="AG1156"/>
  <c r="AG1155"/>
  <c r="AG1154"/>
  <c r="AG1153"/>
  <c r="X1153"/>
  <c r="AG1152"/>
  <c r="AG1151"/>
  <c r="P1151"/>
  <c r="AG1150"/>
  <c r="P1150"/>
  <c r="AG1149"/>
  <c r="P1149"/>
  <c r="AG1147"/>
  <c r="AG1146"/>
  <c r="I1146"/>
  <c r="K1146" s="1"/>
  <c r="AG1145"/>
  <c r="K1145"/>
  <c r="I1145"/>
  <c r="AG1144"/>
  <c r="AG1143"/>
  <c r="AG1142"/>
  <c r="Q1142"/>
  <c r="AG1141"/>
  <c r="AG1140"/>
  <c r="AG1139"/>
  <c r="AG1138"/>
  <c r="AG1137"/>
  <c r="AG1136"/>
  <c r="AG1135"/>
  <c r="K1135"/>
  <c r="AG1134"/>
  <c r="K1134"/>
  <c r="AG1133"/>
  <c r="I1133"/>
  <c r="K1133" s="1"/>
  <c r="AG1132"/>
  <c r="I1132"/>
  <c r="K1132" s="1"/>
  <c r="AG1131"/>
  <c r="AG1130"/>
  <c r="K1130"/>
  <c r="AG1129"/>
  <c r="AG1128"/>
  <c r="AG1127"/>
  <c r="AG1126"/>
  <c r="AG1125"/>
  <c r="AG1124"/>
  <c r="AG1123"/>
  <c r="AG1122"/>
  <c r="AG1121"/>
  <c r="AG1120"/>
  <c r="AG1119"/>
  <c r="AG1118"/>
  <c r="AG1116"/>
  <c r="AG1115"/>
  <c r="AG1114"/>
  <c r="AG1113"/>
  <c r="AG1112"/>
  <c r="AG1111"/>
  <c r="AG1110"/>
  <c r="AG1109"/>
  <c r="AG1108"/>
  <c r="AG1107"/>
  <c r="I1107"/>
  <c r="K1107" s="1"/>
  <c r="AG1106"/>
  <c r="I1106"/>
  <c r="K1106" s="1"/>
  <c r="AG1105"/>
  <c r="I1105"/>
  <c r="K1105" s="1"/>
  <c r="AG1104"/>
  <c r="AG1103"/>
  <c r="I1103"/>
  <c r="K1103" s="1"/>
  <c r="AG1101"/>
  <c r="AG1100"/>
  <c r="AG1099"/>
  <c r="AG1098"/>
  <c r="AG1097"/>
  <c r="AG1096"/>
  <c r="AG1095"/>
  <c r="AG1094"/>
  <c r="AG1093"/>
  <c r="AG1092"/>
  <c r="R1092"/>
  <c r="I1092"/>
  <c r="K1092" s="1"/>
  <c r="AG1091"/>
  <c r="AG1090"/>
  <c r="K1090"/>
  <c r="I1090"/>
  <c r="AG1089"/>
  <c r="K1089"/>
  <c r="I1089"/>
  <c r="AG1088"/>
  <c r="AG1087"/>
  <c r="I1087"/>
  <c r="K1087" s="1"/>
  <c r="H1087"/>
  <c r="H1103" s="1"/>
  <c r="AG1086"/>
  <c r="AG1085"/>
  <c r="AG1084"/>
  <c r="AG1083"/>
  <c r="AG1082"/>
  <c r="AG1081"/>
  <c r="AG1080"/>
  <c r="AG1079"/>
  <c r="AG1078"/>
  <c r="AG1077"/>
  <c r="I1077"/>
  <c r="K1077" s="1"/>
  <c r="K1075"/>
  <c r="I1075"/>
  <c r="I1074"/>
  <c r="K1074" s="1"/>
  <c r="K1072"/>
  <c r="I1062"/>
  <c r="P996" s="1"/>
  <c r="R996" s="1"/>
  <c r="K1061"/>
  <c r="I1061"/>
  <c r="P1072" s="1"/>
  <c r="R1072" s="1"/>
  <c r="I1060"/>
  <c r="I1076" s="1"/>
  <c r="K1076" s="1"/>
  <c r="I1059"/>
  <c r="AG1068" s="1"/>
  <c r="AI1068" s="1"/>
  <c r="I1058"/>
  <c r="P1069" s="1"/>
  <c r="R1069" s="1"/>
  <c r="I1057"/>
  <c r="AG1066" s="1"/>
  <c r="AI1066" s="1"/>
  <c r="K1055"/>
  <c r="I1055"/>
  <c r="I3103" s="1"/>
  <c r="K3103" s="1"/>
  <c r="P1053"/>
  <c r="R1053" s="1"/>
  <c r="AG1041"/>
  <c r="AG1040"/>
  <c r="AG1039"/>
  <c r="AG1038"/>
  <c r="AG1037"/>
  <c r="AG1036"/>
  <c r="AG1034"/>
  <c r="AG1033"/>
  <c r="AG1032"/>
  <c r="AG1031"/>
  <c r="AG1030"/>
  <c r="AG1029"/>
  <c r="AG1028"/>
  <c r="AG1027"/>
  <c r="AG1026"/>
  <c r="AG1025"/>
  <c r="I1025"/>
  <c r="P1099" s="1"/>
  <c r="AG1024"/>
  <c r="I1024"/>
  <c r="P1098" s="1"/>
  <c r="R1098" s="1"/>
  <c r="AG1023"/>
  <c r="K1023"/>
  <c r="I1023"/>
  <c r="P1097" s="1"/>
  <c r="AG1022"/>
  <c r="I1022"/>
  <c r="P1096" s="1"/>
  <c r="AG1021"/>
  <c r="I1021"/>
  <c r="P1095" s="1"/>
  <c r="R1095" s="1"/>
  <c r="AG1020"/>
  <c r="I1020"/>
  <c r="P1094" s="1"/>
  <c r="AG1019"/>
  <c r="AG1018"/>
  <c r="AG1017"/>
  <c r="AG1016"/>
  <c r="AG1015"/>
  <c r="AG1014"/>
  <c r="AG1013"/>
  <c r="AG1012"/>
  <c r="AG1011"/>
  <c r="AG1010"/>
  <c r="AG1009"/>
  <c r="AG1008"/>
  <c r="AG1007"/>
  <c r="AG1006"/>
  <c r="AG1004"/>
  <c r="AG1003"/>
  <c r="AG1002"/>
  <c r="AG1001"/>
  <c r="AG1000"/>
  <c r="AG999"/>
  <c r="AG998"/>
  <c r="AG997"/>
  <c r="AG996"/>
  <c r="K996"/>
  <c r="I996"/>
  <c r="I1026" s="1"/>
  <c r="AG995"/>
  <c r="P995"/>
  <c r="R995" s="1"/>
  <c r="I995"/>
  <c r="I2841" s="1"/>
  <c r="AG994"/>
  <c r="P994"/>
  <c r="R994" s="1"/>
  <c r="I994"/>
  <c r="I2840" s="1"/>
  <c r="AG993"/>
  <c r="I993"/>
  <c r="I2839" s="1"/>
  <c r="AG992"/>
  <c r="P992"/>
  <c r="R992" s="1"/>
  <c r="I992"/>
  <c r="AG991"/>
  <c r="P991"/>
  <c r="R991" s="1"/>
  <c r="I991"/>
  <c r="AG990"/>
  <c r="I990"/>
  <c r="AG989"/>
  <c r="R989"/>
  <c r="P989"/>
  <c r="AG988"/>
  <c r="AG987"/>
  <c r="AG986"/>
  <c r="AG985"/>
  <c r="AG984"/>
  <c r="AG983"/>
  <c r="AG982"/>
  <c r="AG981"/>
  <c r="AG980"/>
  <c r="AG979"/>
  <c r="AG978"/>
  <c r="AG977"/>
  <c r="AG976"/>
  <c r="AG975"/>
  <c r="AG974"/>
  <c r="AG973"/>
  <c r="AG972"/>
  <c r="AG971"/>
  <c r="AG970"/>
  <c r="AG969"/>
  <c r="AG968"/>
  <c r="AG967"/>
  <c r="AG966"/>
  <c r="AG965"/>
  <c r="AG964"/>
  <c r="AG963"/>
  <c r="AG962"/>
  <c r="AG961"/>
  <c r="K961"/>
  <c r="AG960"/>
  <c r="I960"/>
  <c r="K960" s="1"/>
  <c r="AG959"/>
  <c r="I959"/>
  <c r="K959" s="1"/>
  <c r="AG958"/>
  <c r="I958"/>
  <c r="P951" s="1"/>
  <c r="R951" s="1"/>
  <c r="AG957"/>
  <c r="I957"/>
  <c r="K957" s="1"/>
  <c r="AG956"/>
  <c r="K956"/>
  <c r="I956"/>
  <c r="P949" s="1"/>
  <c r="R949" s="1"/>
  <c r="AG955"/>
  <c r="K955"/>
  <c r="I955"/>
  <c r="AG954"/>
  <c r="AG953"/>
  <c r="AG952"/>
  <c r="AG951"/>
  <c r="AG950"/>
  <c r="P950"/>
  <c r="R950" s="1"/>
  <c r="AG949"/>
  <c r="AG948"/>
  <c r="P948"/>
  <c r="R948" s="1"/>
  <c r="AG947"/>
  <c r="AG946"/>
  <c r="AG945"/>
  <c r="AG944"/>
  <c r="AG943"/>
  <c r="AG942"/>
  <c r="AG941"/>
  <c r="AG940"/>
  <c r="AG939"/>
  <c r="AG938"/>
  <c r="AG937"/>
  <c r="AG936"/>
  <c r="AG935"/>
  <c r="AG934"/>
  <c r="AG933"/>
  <c r="AG932"/>
  <c r="AG931"/>
  <c r="AG930"/>
  <c r="AG929"/>
  <c r="AG928"/>
  <c r="AG927"/>
  <c r="AG926"/>
  <c r="AG925"/>
  <c r="AG924"/>
  <c r="AG923"/>
  <c r="AG922"/>
  <c r="AG921"/>
  <c r="AG920"/>
  <c r="AG919"/>
  <c r="AG918"/>
  <c r="AG917"/>
  <c r="AG916"/>
  <c r="AG915"/>
  <c r="AG914"/>
  <c r="AG913"/>
  <c r="AG912"/>
  <c r="AG911"/>
  <c r="AG910"/>
  <c r="AG909"/>
  <c r="AG908"/>
  <c r="AG907"/>
  <c r="AG906"/>
  <c r="AG905"/>
  <c r="AG904"/>
  <c r="R904"/>
  <c r="AG903"/>
  <c r="R903"/>
  <c r="AG902"/>
  <c r="R902"/>
  <c r="R908" s="1"/>
  <c r="AG901"/>
  <c r="K901"/>
  <c r="H901"/>
  <c r="AG900"/>
  <c r="AG899"/>
  <c r="AG898"/>
  <c r="AG897"/>
  <c r="H897"/>
  <c r="AG896"/>
  <c r="AG895"/>
  <c r="AG894"/>
  <c r="AG893"/>
  <c r="AG892"/>
  <c r="AG891"/>
  <c r="AG890"/>
  <c r="AG889"/>
  <c r="AG888"/>
  <c r="AG887"/>
  <c r="AG886"/>
  <c r="AG885"/>
  <c r="V885"/>
  <c r="X885" s="1"/>
  <c r="K885"/>
  <c r="AG884"/>
  <c r="AG883"/>
  <c r="AG882"/>
  <c r="I882"/>
  <c r="I898" s="1"/>
  <c r="K898" s="1"/>
  <c r="AG881"/>
  <c r="I881"/>
  <c r="I897" s="1"/>
  <c r="K897" s="1"/>
  <c r="AG880"/>
  <c r="R880"/>
  <c r="I880"/>
  <c r="K880" s="1"/>
  <c r="AG879"/>
  <c r="R879"/>
  <c r="I879"/>
  <c r="K879" s="1"/>
  <c r="AG878"/>
  <c r="R878"/>
  <c r="AG877"/>
  <c r="R877"/>
  <c r="AG876"/>
  <c r="R876"/>
  <c r="AG875"/>
  <c r="R875"/>
  <c r="AG874"/>
  <c r="P874"/>
  <c r="R874" s="1"/>
  <c r="AG873"/>
  <c r="AG872"/>
  <c r="AG871"/>
  <c r="AG870"/>
  <c r="AG869"/>
  <c r="AG868"/>
  <c r="AG867"/>
  <c r="V867"/>
  <c r="X867" s="1"/>
  <c r="K867"/>
  <c r="AG866"/>
  <c r="AG865"/>
  <c r="AG864"/>
  <c r="V864"/>
  <c r="X864" s="1"/>
  <c r="K864"/>
  <c r="AG863"/>
  <c r="V863"/>
  <c r="X863" s="1"/>
  <c r="K863"/>
  <c r="AG862"/>
  <c r="V862"/>
  <c r="X862" s="1"/>
  <c r="P862"/>
  <c r="K862"/>
  <c r="AG861"/>
  <c r="V861"/>
  <c r="X861" s="1"/>
  <c r="K861"/>
  <c r="AG860"/>
  <c r="P860"/>
  <c r="R860" s="1"/>
  <c r="AG859"/>
  <c r="AG858"/>
  <c r="AG857"/>
  <c r="R857"/>
  <c r="P857"/>
  <c r="AG856"/>
  <c r="P856"/>
  <c r="R856" s="1"/>
  <c r="AG855"/>
  <c r="P855"/>
  <c r="R855" s="1"/>
  <c r="AG854"/>
  <c r="P854"/>
  <c r="R854" s="1"/>
  <c r="AG853"/>
  <c r="AG852"/>
  <c r="AG851"/>
  <c r="AG850"/>
  <c r="AG849"/>
  <c r="AG848"/>
  <c r="AG847"/>
  <c r="AG846"/>
  <c r="AG845"/>
  <c r="AG844"/>
  <c r="R844"/>
  <c r="AG843"/>
  <c r="R843"/>
  <c r="AG842"/>
  <c r="R842"/>
  <c r="AG841"/>
  <c r="R841"/>
  <c r="AG840"/>
  <c r="R840"/>
  <c r="AG839"/>
  <c r="R839"/>
  <c r="AG838"/>
  <c r="P838"/>
  <c r="R838" s="1"/>
  <c r="AG837"/>
  <c r="AG827"/>
  <c r="AG826"/>
  <c r="AG825"/>
  <c r="V825"/>
  <c r="AG824"/>
  <c r="V824"/>
  <c r="AG823"/>
  <c r="V823"/>
  <c r="AG822"/>
  <c r="AG821"/>
  <c r="AG820"/>
  <c r="AG819"/>
  <c r="W819"/>
  <c r="AG818"/>
  <c r="AG817"/>
  <c r="R817"/>
  <c r="AG816"/>
  <c r="R816"/>
  <c r="AG815"/>
  <c r="R815"/>
  <c r="AG814"/>
  <c r="R814"/>
  <c r="AG813"/>
  <c r="R813"/>
  <c r="AG812"/>
  <c r="R812"/>
  <c r="AG811"/>
  <c r="R811"/>
  <c r="P811"/>
  <c r="AG810"/>
  <c r="AG809"/>
  <c r="AG808"/>
  <c r="R808"/>
  <c r="R820" s="1"/>
  <c r="P808"/>
  <c r="P826" s="1"/>
  <c r="AG807"/>
  <c r="AG806"/>
  <c r="AG805"/>
  <c r="AG804"/>
  <c r="W804"/>
  <c r="AG803"/>
  <c r="AG802"/>
  <c r="AG801"/>
  <c r="AG800"/>
  <c r="AG799"/>
  <c r="AG798"/>
  <c r="AG797"/>
  <c r="AG796"/>
  <c r="AG795"/>
  <c r="AG794"/>
  <c r="AG793"/>
  <c r="AG792"/>
  <c r="R792"/>
  <c r="P792"/>
  <c r="AG791"/>
  <c r="AG790"/>
  <c r="AG789"/>
  <c r="K789"/>
  <c r="AG788"/>
  <c r="K788"/>
  <c r="AG787"/>
  <c r="I787"/>
  <c r="K787" s="1"/>
  <c r="AG786"/>
  <c r="AG785"/>
  <c r="AG784"/>
  <c r="A784"/>
  <c r="AG783"/>
  <c r="R783"/>
  <c r="I783"/>
  <c r="K783" s="1"/>
  <c r="AG782"/>
  <c r="AG781"/>
  <c r="AG780"/>
  <c r="AG779"/>
  <c r="AG778"/>
  <c r="AG777"/>
  <c r="AG776"/>
  <c r="AG775"/>
  <c r="R775"/>
  <c r="AG774"/>
  <c r="AG773"/>
  <c r="AG772"/>
  <c r="AG771"/>
  <c r="AG770"/>
  <c r="R770"/>
  <c r="AG769"/>
  <c r="AG768"/>
  <c r="AG767"/>
  <c r="AG766"/>
  <c r="K766"/>
  <c r="AG765"/>
  <c r="K765"/>
  <c r="AG764"/>
  <c r="AG763"/>
  <c r="AG762"/>
  <c r="AG761"/>
  <c r="K761"/>
  <c r="AG760"/>
  <c r="I760"/>
  <c r="K760" s="1"/>
  <c r="AG759"/>
  <c r="I759"/>
  <c r="K759" s="1"/>
  <c r="I780" s="1"/>
  <c r="K780" s="1"/>
  <c r="AG758"/>
  <c r="AG757"/>
  <c r="AG756"/>
  <c r="P756"/>
  <c r="R756" s="1"/>
  <c r="AG755"/>
  <c r="P755"/>
  <c r="R755" s="1"/>
  <c r="AG754"/>
  <c r="P754"/>
  <c r="R754" s="1"/>
  <c r="AG753"/>
  <c r="P753"/>
  <c r="R753" s="1"/>
  <c r="AG752"/>
  <c r="AG751"/>
  <c r="P751"/>
  <c r="R751" s="1"/>
  <c r="AG750"/>
  <c r="AG749"/>
  <c r="AG748"/>
  <c r="AG747"/>
  <c r="AG746"/>
  <c r="AG745"/>
  <c r="I745"/>
  <c r="I1782" s="1"/>
  <c r="K1782" s="1"/>
  <c r="AG744"/>
  <c r="AG743"/>
  <c r="I743"/>
  <c r="I1784" s="1"/>
  <c r="K1784" s="1"/>
  <c r="AG742"/>
  <c r="AG741"/>
  <c r="AG740"/>
  <c r="R740"/>
  <c r="P740"/>
  <c r="AG739"/>
  <c r="P739"/>
  <c r="R739" s="1"/>
  <c r="AG738"/>
  <c r="R738"/>
  <c r="P738"/>
  <c r="AG737"/>
  <c r="R737"/>
  <c r="P737"/>
  <c r="AG736"/>
  <c r="AG735"/>
  <c r="P735"/>
  <c r="R735" s="1"/>
  <c r="AG734"/>
  <c r="AG733"/>
  <c r="AG732"/>
  <c r="AG731"/>
  <c r="AG730"/>
  <c r="AG729"/>
  <c r="AG728"/>
  <c r="AG727"/>
  <c r="AG726"/>
  <c r="AG725"/>
  <c r="R725"/>
  <c r="P725"/>
  <c r="AG724"/>
  <c r="P724"/>
  <c r="R724" s="1"/>
  <c r="AG723"/>
  <c r="P723"/>
  <c r="R723" s="1"/>
  <c r="AG722"/>
  <c r="P722"/>
  <c r="R722" s="1"/>
  <c r="AG721"/>
  <c r="AG720"/>
  <c r="R720"/>
  <c r="P720"/>
  <c r="I720"/>
  <c r="K720" s="1"/>
  <c r="AG719"/>
  <c r="AG718"/>
  <c r="K718"/>
  <c r="I718"/>
  <c r="AG717"/>
  <c r="V717"/>
  <c r="I717"/>
  <c r="K717" s="1"/>
  <c r="AG716"/>
  <c r="V716"/>
  <c r="AG715"/>
  <c r="AG714"/>
  <c r="V714"/>
  <c r="AG713"/>
  <c r="V713"/>
  <c r="AG712"/>
  <c r="AG711"/>
  <c r="AG710"/>
  <c r="W710"/>
  <c r="AG709"/>
  <c r="V709"/>
  <c r="S709"/>
  <c r="P709"/>
  <c r="R709" s="1"/>
  <c r="R713" s="1"/>
  <c r="AG708"/>
  <c r="AG707"/>
  <c r="AG706"/>
  <c r="AG705"/>
  <c r="AG704"/>
  <c r="AG703"/>
  <c r="AG702"/>
  <c r="AG701"/>
  <c r="K701"/>
  <c r="AG700"/>
  <c r="I700"/>
  <c r="K700" s="1"/>
  <c r="AG699"/>
  <c r="K699"/>
  <c r="I699"/>
  <c r="AG698"/>
  <c r="R698"/>
  <c r="R702" s="1"/>
  <c r="P698"/>
  <c r="AG697"/>
  <c r="AG696"/>
  <c r="AG695"/>
  <c r="AG694"/>
  <c r="AG693"/>
  <c r="AG692"/>
  <c r="AH691"/>
  <c r="AG691"/>
  <c r="AG690"/>
  <c r="AH689"/>
  <c r="AG689"/>
  <c r="AG688"/>
  <c r="P688"/>
  <c r="R688" s="1"/>
  <c r="R692" s="1"/>
  <c r="AG687"/>
  <c r="AG686"/>
  <c r="AG685"/>
  <c r="AE685"/>
  <c r="AG684"/>
  <c r="AE684"/>
  <c r="AG683"/>
  <c r="AC683"/>
  <c r="AG682"/>
  <c r="K682"/>
  <c r="AG681"/>
  <c r="I681"/>
  <c r="K681" s="1"/>
  <c r="AG680"/>
  <c r="I680"/>
  <c r="K680" s="1"/>
  <c r="AG679"/>
  <c r="V679"/>
  <c r="X679" s="1"/>
  <c r="AG678"/>
  <c r="R678"/>
  <c r="R682" s="1"/>
  <c r="P678"/>
  <c r="AG677"/>
  <c r="AG676"/>
  <c r="AG675"/>
  <c r="AG674"/>
  <c r="AG673"/>
  <c r="R660"/>
  <c r="P660"/>
  <c r="P659"/>
  <c r="R659" s="1"/>
  <c r="P658"/>
  <c r="R658" s="1"/>
  <c r="AF648"/>
  <c r="AH648" s="1"/>
  <c r="X648"/>
  <c r="P642"/>
  <c r="R642" s="1"/>
  <c r="AG637"/>
  <c r="AG636"/>
  <c r="AG635"/>
  <c r="AG634"/>
  <c r="AG633"/>
  <c r="AG632"/>
  <c r="AG631"/>
  <c r="AG630"/>
  <c r="AG629"/>
  <c r="P629"/>
  <c r="R629" s="1"/>
  <c r="AG628"/>
  <c r="AG627"/>
  <c r="AG626"/>
  <c r="AG625"/>
  <c r="AG624"/>
  <c r="AG623"/>
  <c r="AG622"/>
  <c r="AG621"/>
  <c r="AG620"/>
  <c r="AG619"/>
  <c r="I619"/>
  <c r="K619" s="1"/>
  <c r="AG618"/>
  <c r="AG617"/>
  <c r="AG616"/>
  <c r="AG615"/>
  <c r="C615"/>
  <c r="AG614"/>
  <c r="AG613"/>
  <c r="AG612"/>
  <c r="AG611"/>
  <c r="AG610"/>
  <c r="AG609"/>
  <c r="E609"/>
  <c r="AG608"/>
  <c r="E608"/>
  <c r="AG607"/>
  <c r="AG606"/>
  <c r="AG605"/>
  <c r="AG604"/>
  <c r="I604"/>
  <c r="K604" s="1"/>
  <c r="AG603"/>
  <c r="AG602"/>
  <c r="E602"/>
  <c r="AG601"/>
  <c r="AG600"/>
  <c r="AG599"/>
  <c r="AG598"/>
  <c r="AG597"/>
  <c r="AG596"/>
  <c r="AG595"/>
  <c r="AG594"/>
  <c r="AG593"/>
  <c r="AG592"/>
  <c r="AG591"/>
  <c r="AG590"/>
  <c r="AG589"/>
  <c r="AG588"/>
  <c r="AG587"/>
  <c r="AG586"/>
  <c r="AG585"/>
  <c r="V585"/>
  <c r="P585"/>
  <c r="R585" s="1"/>
  <c r="AG584"/>
  <c r="R584"/>
  <c r="P584"/>
  <c r="AG583"/>
  <c r="P583"/>
  <c r="R583" s="1"/>
  <c r="AG582"/>
  <c r="I582"/>
  <c r="K582" s="1"/>
  <c r="AG581"/>
  <c r="AG580"/>
  <c r="AG579"/>
  <c r="AG578"/>
  <c r="R578"/>
  <c r="P578"/>
  <c r="AG577"/>
  <c r="AG576"/>
  <c r="AG575"/>
  <c r="AG574"/>
  <c r="AG573"/>
  <c r="AG572"/>
  <c r="AE572"/>
  <c r="AD572"/>
  <c r="AE566"/>
  <c r="AG564"/>
  <c r="AG563"/>
  <c r="AG562"/>
  <c r="M562"/>
  <c r="AG561"/>
  <c r="M561"/>
  <c r="AG560"/>
  <c r="M560"/>
  <c r="AG559"/>
  <c r="M559"/>
  <c r="AG558"/>
  <c r="AG557"/>
  <c r="AG556"/>
  <c r="AG555"/>
  <c r="V555"/>
  <c r="AG554"/>
  <c r="AG553"/>
  <c r="R553"/>
  <c r="E553"/>
  <c r="AG552"/>
  <c r="AG551"/>
  <c r="AG550"/>
  <c r="AG549"/>
  <c r="W549"/>
  <c r="AE549" s="1"/>
  <c r="AG548"/>
  <c r="W548"/>
  <c r="AE548" s="1"/>
  <c r="R548"/>
  <c r="P548"/>
  <c r="AG539"/>
  <c r="P539"/>
  <c r="R539" s="1"/>
  <c r="AG538"/>
  <c r="AG537"/>
  <c r="P537"/>
  <c r="R537" s="1"/>
  <c r="AG536"/>
  <c r="AG535"/>
  <c r="AG534"/>
  <c r="AG533"/>
  <c r="AG532"/>
  <c r="AG531"/>
  <c r="AD531"/>
  <c r="AD555" s="1"/>
  <c r="AG530"/>
  <c r="AG529"/>
  <c r="AG528"/>
  <c r="AG527"/>
  <c r="AG526"/>
  <c r="AG525"/>
  <c r="R525"/>
  <c r="AG524"/>
  <c r="AG523"/>
  <c r="AG522"/>
  <c r="AG521"/>
  <c r="AG520"/>
  <c r="P520"/>
  <c r="R520" s="1"/>
  <c r="AG519"/>
  <c r="P519"/>
  <c r="R519" s="1"/>
  <c r="AG518"/>
  <c r="AG517"/>
  <c r="P517"/>
  <c r="R517" s="1"/>
  <c r="AG516"/>
  <c r="AG515"/>
  <c r="AG514"/>
  <c r="AG513"/>
  <c r="AG512"/>
  <c r="AG511"/>
  <c r="AG510"/>
  <c r="AG509"/>
  <c r="AG508"/>
  <c r="AG507"/>
  <c r="R507"/>
  <c r="AG506"/>
  <c r="AG505"/>
  <c r="AG504"/>
  <c r="AG503"/>
  <c r="AG502"/>
  <c r="P502"/>
  <c r="R502" s="1"/>
  <c r="AG501"/>
  <c r="P501"/>
  <c r="R501" s="1"/>
  <c r="AG500"/>
  <c r="AG499"/>
  <c r="P499"/>
  <c r="R499" s="1"/>
  <c r="AG498"/>
  <c r="AG497"/>
  <c r="AG496"/>
  <c r="AG495"/>
  <c r="AG494"/>
  <c r="AG493"/>
  <c r="AG492"/>
  <c r="I492"/>
  <c r="K492" s="1"/>
  <c r="AG491"/>
  <c r="AE491"/>
  <c r="AG490"/>
  <c r="AG489"/>
  <c r="AG488"/>
  <c r="AG487"/>
  <c r="AG486"/>
  <c r="AG485"/>
  <c r="AG484"/>
  <c r="P484"/>
  <c r="R484" s="1"/>
  <c r="AG483"/>
  <c r="P483"/>
  <c r="R483" s="1"/>
  <c r="AG482"/>
  <c r="P482"/>
  <c r="R482" s="1"/>
  <c r="AG481"/>
  <c r="AG480"/>
  <c r="AD480"/>
  <c r="AG479"/>
  <c r="AG471"/>
  <c r="AG470"/>
  <c r="P470"/>
  <c r="R470" s="1"/>
  <c r="AG469"/>
  <c r="AG468"/>
  <c r="AG467"/>
  <c r="AG466"/>
  <c r="AG465"/>
  <c r="AG464"/>
  <c r="P459"/>
  <c r="R459" s="1"/>
  <c r="P458"/>
  <c r="R458" s="1"/>
  <c r="P457"/>
  <c r="R457" s="1"/>
  <c r="AL452"/>
  <c r="P452"/>
  <c r="R452" s="1"/>
  <c r="P441"/>
  <c r="R441" s="1"/>
  <c r="P440"/>
  <c r="R440" s="1"/>
  <c r="R439"/>
  <c r="P439"/>
  <c r="P433"/>
  <c r="R433" s="1"/>
  <c r="AD432"/>
  <c r="AD431"/>
  <c r="AD430"/>
  <c r="AD429"/>
  <c r="AD428"/>
  <c r="AD424"/>
  <c r="AF422"/>
  <c r="X416"/>
  <c r="F411"/>
  <c r="H410"/>
  <c r="F410"/>
  <c r="H408"/>
  <c r="AF388"/>
  <c r="AD388"/>
  <c r="AF386"/>
  <c r="H379"/>
  <c r="F379"/>
  <c r="H377"/>
  <c r="P367"/>
  <c r="R367" s="1"/>
  <c r="AF364"/>
  <c r="H355"/>
  <c r="X341"/>
  <c r="AD336"/>
  <c r="F336"/>
  <c r="AF335"/>
  <c r="AD335"/>
  <c r="H335"/>
  <c r="F335"/>
  <c r="AF333"/>
  <c r="AF362" s="1"/>
  <c r="H333"/>
  <c r="H353" s="1"/>
  <c r="AF311"/>
  <c r="AF424" s="1"/>
  <c r="H311"/>
  <c r="AF278"/>
  <c r="AE278"/>
  <c r="AF277"/>
  <c r="AE277"/>
  <c r="AF276"/>
  <c r="AE276"/>
  <c r="AF275"/>
  <c r="AE275"/>
  <c r="AF274"/>
  <c r="AF280" s="1"/>
  <c r="AE274"/>
  <c r="K257"/>
  <c r="I256"/>
  <c r="K256" s="1"/>
  <c r="K245"/>
  <c r="I241"/>
  <c r="K241" s="1"/>
  <c r="P219"/>
  <c r="R219" s="1"/>
  <c r="P218"/>
  <c r="R218" s="1"/>
  <c r="AW217"/>
  <c r="AX217" s="1"/>
  <c r="P217"/>
  <c r="R217" s="1"/>
  <c r="AW216"/>
  <c r="AX216" s="1"/>
  <c r="P216"/>
  <c r="R216" s="1"/>
  <c r="AW215"/>
  <c r="AX215" s="1"/>
  <c r="P215"/>
  <c r="R215" s="1"/>
  <c r="AW214"/>
  <c r="AX214" s="1"/>
  <c r="P214"/>
  <c r="R214" s="1"/>
  <c r="AW213"/>
  <c r="AX213" s="1"/>
  <c r="AW212"/>
  <c r="AX212" s="1"/>
  <c r="R212"/>
  <c r="P212"/>
  <c r="AW211"/>
  <c r="AX211" s="1"/>
  <c r="AW210"/>
  <c r="AX210" s="1"/>
  <c r="AX209"/>
  <c r="AW209"/>
  <c r="AW208"/>
  <c r="AX208" s="1"/>
  <c r="AW207"/>
  <c r="AX207" s="1"/>
  <c r="AX206"/>
  <c r="AW206"/>
  <c r="AW205"/>
  <c r="AX205" s="1"/>
  <c r="AX204"/>
  <c r="AW204"/>
  <c r="AW203"/>
  <c r="AX203" s="1"/>
  <c r="AW202"/>
  <c r="AX202" s="1"/>
  <c r="AW201"/>
  <c r="AX201" s="1"/>
  <c r="AW200"/>
  <c r="AX200" s="1"/>
  <c r="AW199"/>
  <c r="AX199" s="1"/>
  <c r="AW198"/>
  <c r="AX198" s="1"/>
  <c r="AW197"/>
  <c r="AX197" s="1"/>
  <c r="AW196"/>
  <c r="AX196" s="1"/>
  <c r="AW195"/>
  <c r="AX195" s="1"/>
  <c r="AW194"/>
  <c r="AX194" s="1"/>
  <c r="AW193"/>
  <c r="AX193" s="1"/>
  <c r="AW192"/>
  <c r="AX192" s="1"/>
  <c r="AW186"/>
  <c r="AX186" s="1"/>
  <c r="I186"/>
  <c r="K186" s="1"/>
  <c r="I185"/>
  <c r="K185" s="1"/>
  <c r="AW184"/>
  <c r="AX184" s="1"/>
  <c r="AW182"/>
  <c r="AX182" s="1"/>
  <c r="AW181"/>
  <c r="AX181" s="1"/>
  <c r="AW178"/>
  <c r="AX178" s="1"/>
  <c r="AW177"/>
  <c r="AX177" s="1"/>
  <c r="AW176"/>
  <c r="AX176" s="1"/>
  <c r="AW175"/>
  <c r="AX175" s="1"/>
  <c r="AW174"/>
  <c r="AX174" s="1"/>
  <c r="AW172"/>
  <c r="AX172" s="1"/>
  <c r="AW170"/>
  <c r="AX170" s="1"/>
  <c r="AW169"/>
  <c r="AX169" s="1"/>
  <c r="AP164"/>
  <c r="AR163"/>
  <c r="AP163"/>
  <c r="AW162"/>
  <c r="AX162" s="1"/>
  <c r="AW161"/>
  <c r="AX161" s="1"/>
  <c r="AR161"/>
  <c r="AW160"/>
  <c r="AX160" s="1"/>
  <c r="K157"/>
  <c r="I157"/>
  <c r="I155"/>
  <c r="K155" s="1"/>
  <c r="AW154"/>
  <c r="AX154" s="1"/>
  <c r="K153"/>
  <c r="I153"/>
  <c r="AW152"/>
  <c r="AX152" s="1"/>
  <c r="AW150"/>
  <c r="AX150" s="1"/>
  <c r="AW149"/>
  <c r="AX149" s="1"/>
  <c r="AX146"/>
  <c r="AW146"/>
  <c r="AW145"/>
  <c r="AX145" s="1"/>
  <c r="AW144"/>
  <c r="AX144" s="1"/>
  <c r="AW143"/>
  <c r="AX143" s="1"/>
  <c r="AW141"/>
  <c r="AX141" s="1"/>
  <c r="AW139"/>
  <c r="AX139" s="1"/>
  <c r="AW138"/>
  <c r="AX138" s="1"/>
  <c r="AR132"/>
  <c r="AP132"/>
  <c r="AR130"/>
  <c r="AW118"/>
  <c r="AX118" s="1"/>
  <c r="AX116"/>
  <c r="AW116"/>
  <c r="M116"/>
  <c r="M133" s="1"/>
  <c r="AW114"/>
  <c r="AX114" s="1"/>
  <c r="AX113"/>
  <c r="AW113"/>
  <c r="AR107"/>
  <c r="M101"/>
  <c r="AP88"/>
  <c r="AR87"/>
  <c r="AP87"/>
  <c r="AR85"/>
  <c r="AR105" s="1"/>
  <c r="AR63"/>
  <c r="AG48"/>
  <c r="AN47"/>
  <c r="AM47"/>
  <c r="AL47"/>
  <c r="AK47"/>
  <c r="AJ47"/>
  <c r="AI47"/>
  <c r="Z47"/>
  <c r="AH46"/>
  <c r="AJ46" s="1"/>
  <c r="AA46"/>
  <c r="AA47" s="1"/>
  <c r="X46"/>
  <c r="X47" s="1"/>
  <c r="AN45"/>
  <c r="AG45" s="1"/>
  <c r="C23" s="1"/>
  <c r="AM45"/>
  <c r="AK45"/>
  <c r="AJ45"/>
  <c r="AI45"/>
  <c r="X45"/>
  <c r="AN44"/>
  <c r="AG44" s="1"/>
  <c r="C22" s="1"/>
  <c r="AM44"/>
  <c r="AL44"/>
  <c r="AK44"/>
  <c r="AJ44"/>
  <c r="AI44"/>
  <c r="AH43"/>
  <c r="AM43" s="1"/>
  <c r="AA43"/>
  <c r="AE43" s="1"/>
  <c r="P150" s="1"/>
  <c r="R150" s="1"/>
  <c r="X43"/>
  <c r="AN42"/>
  <c r="AG42" s="1"/>
  <c r="C20" s="1"/>
  <c r="AH412" s="1"/>
  <c r="AH413" s="1"/>
  <c r="AH414" s="1"/>
  <c r="AH415" s="1"/>
  <c r="AH416" s="1"/>
  <c r="AH417" s="1"/>
  <c r="AH418" s="1"/>
  <c r="AH419" s="1"/>
  <c r="AH420" s="1"/>
  <c r="AH421" s="1"/>
  <c r="AH422" s="1"/>
  <c r="AM42"/>
  <c r="AL42"/>
  <c r="AK42"/>
  <c r="AJ42"/>
  <c r="AI42"/>
  <c r="AN41"/>
  <c r="AM41"/>
  <c r="AL41"/>
  <c r="AK41"/>
  <c r="AJ41"/>
  <c r="AI41"/>
  <c r="AG41"/>
  <c r="C19" s="1"/>
  <c r="AB41"/>
  <c r="AB42" s="1"/>
  <c r="AA41"/>
  <c r="AA42" s="1"/>
  <c r="Y41"/>
  <c r="Y42" s="1"/>
  <c r="X41"/>
  <c r="X42" s="1"/>
  <c r="W41"/>
  <c r="W42" s="1"/>
  <c r="AN40"/>
  <c r="AE40"/>
  <c r="AN39"/>
  <c r="AG39" s="1"/>
  <c r="V81" s="1"/>
  <c r="AM39"/>
  <c r="AL39"/>
  <c r="AK39"/>
  <c r="AJ39"/>
  <c r="AI39"/>
  <c r="AA39"/>
  <c r="AE39" s="1"/>
  <c r="P125" s="1"/>
  <c r="R125" s="1"/>
  <c r="X39"/>
  <c r="AN38"/>
  <c r="AG38" s="1"/>
  <c r="AM38"/>
  <c r="AL38"/>
  <c r="AK38"/>
  <c r="AJ38"/>
  <c r="AI38"/>
  <c r="AA38"/>
  <c r="AE38" s="1"/>
  <c r="X38"/>
  <c r="AN37"/>
  <c r="AG37" s="1"/>
  <c r="AM37"/>
  <c r="AL37"/>
  <c r="AK37"/>
  <c r="AJ37"/>
  <c r="AI37"/>
  <c r="AN36"/>
  <c r="AG36" s="1"/>
  <c r="D61" s="1"/>
  <c r="AM36"/>
  <c r="AL36"/>
  <c r="AK36"/>
  <c r="AJ36"/>
  <c r="AI36"/>
  <c r="AN35"/>
  <c r="AG35" s="1"/>
  <c r="D33" s="1"/>
  <c r="I2249" s="1"/>
  <c r="K2249" s="1"/>
  <c r="AM35"/>
  <c r="AL35"/>
  <c r="AK35"/>
  <c r="AJ35"/>
  <c r="AI35"/>
  <c r="AN34"/>
  <c r="AG34" s="1"/>
  <c r="D32" s="1"/>
  <c r="I1104" s="1"/>
  <c r="K1104" s="1"/>
  <c r="AM34"/>
  <c r="AL34"/>
  <c r="AK34"/>
  <c r="AJ34"/>
  <c r="AI34"/>
  <c r="Z34"/>
  <c r="X34"/>
  <c r="W34"/>
  <c r="D34"/>
  <c r="AN33"/>
  <c r="AG33" s="1"/>
  <c r="I2664" s="1"/>
  <c r="AM33"/>
  <c r="AL33"/>
  <c r="AK33"/>
  <c r="AJ33"/>
  <c r="AI33"/>
  <c r="Z33"/>
  <c r="AN32"/>
  <c r="AG32" s="1"/>
  <c r="AM32"/>
  <c r="AL32"/>
  <c r="AK32"/>
  <c r="AJ32"/>
  <c r="AI32"/>
  <c r="X32"/>
  <c r="X33" s="1"/>
  <c r="AN31"/>
  <c r="AG31" s="1"/>
  <c r="D30" s="1"/>
  <c r="P213" s="1"/>
  <c r="R213" s="1"/>
  <c r="AM31"/>
  <c r="AL31"/>
  <c r="AK31"/>
  <c r="AJ31"/>
  <c r="AI31"/>
  <c r="AA31"/>
  <c r="AA32" s="1"/>
  <c r="X31"/>
  <c r="AN30"/>
  <c r="AG30" s="1"/>
  <c r="AM30"/>
  <c r="AL30"/>
  <c r="AK30"/>
  <c r="AJ30"/>
  <c r="AI30"/>
  <c r="AE30"/>
  <c r="C137" s="1"/>
  <c r="I1218" s="1"/>
  <c r="K1218" s="1"/>
  <c r="AN29"/>
  <c r="AG29" s="1"/>
  <c r="C61" s="1"/>
  <c r="AM29"/>
  <c r="AL29"/>
  <c r="AK29"/>
  <c r="AJ29"/>
  <c r="AI29"/>
  <c r="AA29"/>
  <c r="AA34" s="1"/>
  <c r="W29"/>
  <c r="E29"/>
  <c r="AN28"/>
  <c r="AG28" s="1"/>
  <c r="AM28"/>
  <c r="AL28"/>
  <c r="AK28"/>
  <c r="AJ28"/>
  <c r="AI28"/>
  <c r="AN27"/>
  <c r="AG27" s="1"/>
  <c r="C27" s="1"/>
  <c r="AM27"/>
  <c r="AL27"/>
  <c r="AK27"/>
  <c r="AJ27"/>
  <c r="AI27"/>
  <c r="E27"/>
  <c r="AN26"/>
  <c r="AG26" s="1"/>
  <c r="AM26"/>
  <c r="AL26"/>
  <c r="AK26"/>
  <c r="AJ26"/>
  <c r="AI26"/>
  <c r="AA26"/>
  <c r="AA27" s="1"/>
  <c r="E26"/>
  <c r="AN25"/>
  <c r="AG25" s="1"/>
  <c r="C25" s="1"/>
  <c r="AM25"/>
  <c r="AL25"/>
  <c r="AK25"/>
  <c r="AJ25"/>
  <c r="AI25"/>
  <c r="AA25"/>
  <c r="AA24" s="1"/>
  <c r="AE24" s="1"/>
  <c r="C86" s="1"/>
  <c r="X25"/>
  <c r="X26" s="1"/>
  <c r="X27" s="1"/>
  <c r="X28" s="1"/>
  <c r="AN24"/>
  <c r="AG24" s="1"/>
  <c r="C18" s="1"/>
  <c r="AM24"/>
  <c r="AL24"/>
  <c r="AK24"/>
  <c r="AJ24"/>
  <c r="AI24"/>
  <c r="AN23"/>
  <c r="AG23" s="1"/>
  <c r="C29" s="1"/>
  <c r="I1234" s="1"/>
  <c r="K1234" s="1"/>
  <c r="AM23"/>
  <c r="AL23"/>
  <c r="AK23"/>
  <c r="AJ23"/>
  <c r="AI23"/>
  <c r="AN22"/>
  <c r="AG22" s="1"/>
  <c r="C41" s="1"/>
  <c r="AM22"/>
  <c r="AL22"/>
  <c r="AK22"/>
  <c r="AJ22"/>
  <c r="AI22"/>
  <c r="AE22"/>
  <c r="C84" s="1"/>
  <c r="AN21"/>
  <c r="AG21" s="1"/>
  <c r="I2697" s="1"/>
  <c r="K2697" s="1"/>
  <c r="AM21"/>
  <c r="AL21"/>
  <c r="AK21"/>
  <c r="AJ21"/>
  <c r="AI21"/>
  <c r="AA21"/>
  <c r="AE21" s="1"/>
  <c r="C83" s="1"/>
  <c r="I1353" s="1"/>
  <c r="K1353" s="1"/>
  <c r="X21"/>
  <c r="AN20"/>
  <c r="AG20" s="1"/>
  <c r="D16" s="1"/>
  <c r="AM20"/>
  <c r="AL20"/>
  <c r="AK20"/>
  <c r="AJ20"/>
  <c r="AI20"/>
  <c r="W20"/>
  <c r="AN19"/>
  <c r="AG19" s="1"/>
  <c r="C16" s="1"/>
  <c r="AM19"/>
  <c r="AL19"/>
  <c r="AK19"/>
  <c r="AJ19"/>
  <c r="AI19"/>
  <c r="AB19"/>
  <c r="AB23" s="1"/>
  <c r="AA19"/>
  <c r="AA20" s="1"/>
  <c r="Y19"/>
  <c r="Y23" s="1"/>
  <c r="X19"/>
  <c r="X20" s="1"/>
  <c r="W19"/>
  <c r="AN18"/>
  <c r="AG18" s="1"/>
  <c r="AM18"/>
  <c r="AL18"/>
  <c r="AK18"/>
  <c r="AJ18"/>
  <c r="AI18"/>
  <c r="AB18"/>
  <c r="AB29" s="1"/>
  <c r="AB34" s="1"/>
  <c r="AA18"/>
  <c r="Y18"/>
  <c r="Y29" s="1"/>
  <c r="Y34" s="1"/>
  <c r="X18"/>
  <c r="X29" s="1"/>
  <c r="AN17"/>
  <c r="AG17" s="1"/>
  <c r="AM17"/>
  <c r="AL17"/>
  <c r="AK17"/>
  <c r="AJ17"/>
  <c r="AI17"/>
  <c r="Z17"/>
  <c r="W17"/>
  <c r="AN16"/>
  <c r="AG16" s="1"/>
  <c r="AM16"/>
  <c r="AL16"/>
  <c r="AK16"/>
  <c r="AJ16"/>
  <c r="AI16"/>
  <c r="AB16"/>
  <c r="AB17" s="1"/>
  <c r="AA16"/>
  <c r="AA17" s="1"/>
  <c r="Y16"/>
  <c r="Y17" s="1"/>
  <c r="X16"/>
  <c r="X17" s="1"/>
  <c r="AN15"/>
  <c r="AG15" s="1"/>
  <c r="C15" s="1"/>
  <c r="AM15"/>
  <c r="AL15"/>
  <c r="AK15"/>
  <c r="AJ15"/>
  <c r="AI15"/>
  <c r="AN14"/>
  <c r="AG14" s="1"/>
  <c r="D14" s="1"/>
  <c r="AM14"/>
  <c r="AL14"/>
  <c r="AK14"/>
  <c r="AJ14"/>
  <c r="AI14"/>
  <c r="AN13"/>
  <c r="AM13"/>
  <c r="AL13"/>
  <c r="AK13"/>
  <c r="AJ13"/>
  <c r="AI13"/>
  <c r="AG13"/>
  <c r="C14" s="1"/>
  <c r="AN12"/>
  <c r="AG12" s="1"/>
  <c r="AM12"/>
  <c r="AL12"/>
  <c r="AK12"/>
  <c r="AJ12"/>
  <c r="AI12"/>
  <c r="AN11"/>
  <c r="AG11" s="1"/>
  <c r="AM11"/>
  <c r="AL11"/>
  <c r="AK11"/>
  <c r="AJ11"/>
  <c r="AI11"/>
  <c r="AA11"/>
  <c r="AA37" s="1"/>
  <c r="X11"/>
  <c r="X36" s="1"/>
  <c r="X37" s="1"/>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N10"/>
  <c r="AG10" s="1"/>
  <c r="AM10"/>
  <c r="AL10"/>
  <c r="AK10"/>
  <c r="AJ10"/>
  <c r="AI10"/>
  <c r="X10"/>
  <c r="W10"/>
  <c r="W11" s="1"/>
  <c r="D10"/>
  <c r="AN9"/>
  <c r="AM9"/>
  <c r="AL9"/>
  <c r="AK9"/>
  <c r="AJ9"/>
  <c r="AI9"/>
  <c r="AG9"/>
  <c r="AB9"/>
  <c r="AB13" s="1"/>
  <c r="AA9"/>
  <c r="AA10" s="1"/>
  <c r="Y9"/>
  <c r="Y13" s="1"/>
  <c r="X9"/>
  <c r="W3"/>
  <c r="Q3"/>
  <c r="V3" s="1"/>
  <c r="O3"/>
  <c r="J3"/>
  <c r="H3"/>
  <c r="S2"/>
  <c r="X24" l="1"/>
  <c r="X23"/>
  <c r="AN43"/>
  <c r="AG43" s="1"/>
  <c r="C21" s="1"/>
  <c r="AH450" s="1"/>
  <c r="AH451" s="1"/>
  <c r="AH452" s="1"/>
  <c r="AH453" s="1"/>
  <c r="AH454" s="1"/>
  <c r="AH455" s="1"/>
  <c r="AH456" s="1"/>
  <c r="AH457" s="1"/>
  <c r="AH458" s="1"/>
  <c r="AH459" s="1"/>
  <c r="AH460" s="1"/>
  <c r="AH461" s="1"/>
  <c r="AH462" s="1"/>
  <c r="AH463" s="1"/>
  <c r="AK46"/>
  <c r="K1021"/>
  <c r="P2510"/>
  <c r="M2514" s="1"/>
  <c r="I3075"/>
  <c r="K3172"/>
  <c r="J3894"/>
  <c r="J3896" s="1"/>
  <c r="P1070"/>
  <c r="R1070" s="1"/>
  <c r="X709"/>
  <c r="AA709" s="1"/>
  <c r="P1052"/>
  <c r="R1052" s="1"/>
  <c r="K1059"/>
  <c r="K1870"/>
  <c r="P2860"/>
  <c r="R2860" s="1"/>
  <c r="R3231"/>
  <c r="P3333"/>
  <c r="R3333" s="1"/>
  <c r="K3529"/>
  <c r="AF1359"/>
  <c r="R1413"/>
  <c r="I1871"/>
  <c r="K1871" s="1"/>
  <c r="R1908"/>
  <c r="R2828"/>
  <c r="K3462"/>
  <c r="K881"/>
  <c r="P993"/>
  <c r="R993" s="1"/>
  <c r="P2674"/>
  <c r="P2978"/>
  <c r="R2978" s="1"/>
  <c r="I3545"/>
  <c r="V3545" s="1"/>
  <c r="M563"/>
  <c r="AD1372"/>
  <c r="AF1372" s="1"/>
  <c r="P1434"/>
  <c r="K1807"/>
  <c r="X2787"/>
  <c r="K3056"/>
  <c r="P3159"/>
  <c r="R3159" s="1"/>
  <c r="AI43"/>
  <c r="AE47"/>
  <c r="AG1194"/>
  <c r="K1878"/>
  <c r="K1895"/>
  <c r="K1986"/>
  <c r="V3109"/>
  <c r="R3155"/>
  <c r="P3161"/>
  <c r="V3120" s="1"/>
  <c r="G3899"/>
  <c r="G3900" s="1"/>
  <c r="AJ43"/>
  <c r="V582"/>
  <c r="X582" s="1"/>
  <c r="K723"/>
  <c r="I725" s="1"/>
  <c r="K725" s="1"/>
  <c r="K882"/>
  <c r="P1066"/>
  <c r="R1066" s="1"/>
  <c r="K2299"/>
  <c r="R2825"/>
  <c r="K3075"/>
  <c r="AH91" i="48"/>
  <c r="AB10" i="16"/>
  <c r="AE10" s="1"/>
  <c r="C69" s="1"/>
  <c r="I296" s="1"/>
  <c r="K296" s="1"/>
  <c r="AE18"/>
  <c r="C80" s="1"/>
  <c r="AE26"/>
  <c r="AB15"/>
  <c r="AB20"/>
  <c r="I3005"/>
  <c r="K3005" s="1"/>
  <c r="C26"/>
  <c r="I168" s="1"/>
  <c r="K168" s="1"/>
  <c r="I55"/>
  <c r="K55" s="1"/>
  <c r="I11"/>
  <c r="K11" s="1"/>
  <c r="AE280"/>
  <c r="AF572"/>
  <c r="K684"/>
  <c r="I686" s="1"/>
  <c r="AH684"/>
  <c r="AH686" s="1"/>
  <c r="AH690" s="1"/>
  <c r="V879"/>
  <c r="X879" s="1"/>
  <c r="I2836"/>
  <c r="K990"/>
  <c r="K3958"/>
  <c r="I3975"/>
  <c r="K3975" s="1"/>
  <c r="Y12"/>
  <c r="AE16"/>
  <c r="I3504" s="1"/>
  <c r="K3504" s="1"/>
  <c r="AE17"/>
  <c r="I255" s="1"/>
  <c r="K255" s="1"/>
  <c r="AE25"/>
  <c r="C87" s="1"/>
  <c r="AE31"/>
  <c r="C67" s="1"/>
  <c r="I1576" s="1"/>
  <c r="K1576" s="1"/>
  <c r="AK43"/>
  <c r="AL46"/>
  <c r="K704"/>
  <c r="I706" s="1"/>
  <c r="I2838"/>
  <c r="I2974" s="1"/>
  <c r="K992"/>
  <c r="AB11"/>
  <c r="AL43"/>
  <c r="I2837"/>
  <c r="K991"/>
  <c r="X1396"/>
  <c r="V1412"/>
  <c r="Y20"/>
  <c r="AE29"/>
  <c r="C91" s="1"/>
  <c r="AE34"/>
  <c r="C77" s="1"/>
  <c r="I444" s="1"/>
  <c r="K444" s="1"/>
  <c r="K743"/>
  <c r="V881"/>
  <c r="X881" s="1"/>
  <c r="V882"/>
  <c r="X882" s="1"/>
  <c r="AI2651"/>
  <c r="P1050"/>
  <c r="R1050" s="1"/>
  <c r="K1060"/>
  <c r="AG1064"/>
  <c r="AI1064" s="1"/>
  <c r="AG1069"/>
  <c r="AI1069" s="1"/>
  <c r="AD1375"/>
  <c r="AF1375" s="1"/>
  <c r="V1391"/>
  <c r="V1392"/>
  <c r="V1408" s="1"/>
  <c r="X1408" s="1"/>
  <c r="K1806"/>
  <c r="P2024"/>
  <c r="R2024" s="1"/>
  <c r="P2156"/>
  <c r="R2156" s="1"/>
  <c r="AG2617"/>
  <c r="X2789"/>
  <c r="K3074"/>
  <c r="P3062"/>
  <c r="R3062" s="1"/>
  <c r="X3118"/>
  <c r="R3228"/>
  <c r="R3232"/>
  <c r="P3263"/>
  <c r="R3263" s="1"/>
  <c r="I3271"/>
  <c r="K3271" s="1"/>
  <c r="P3295"/>
  <c r="P3299"/>
  <c r="R3299" s="1"/>
  <c r="P3332"/>
  <c r="R3332" s="1"/>
  <c r="I3353"/>
  <c r="K3353" s="1"/>
  <c r="I3543"/>
  <c r="V3543" s="1"/>
  <c r="K3575"/>
  <c r="K3576" s="1"/>
  <c r="I3577" s="1"/>
  <c r="K3577" s="1"/>
  <c r="K3691"/>
  <c r="H3848"/>
  <c r="H3869"/>
  <c r="E3873" s="1"/>
  <c r="AD1351"/>
  <c r="AF1351" s="1"/>
  <c r="AD1360"/>
  <c r="I3995" s="1"/>
  <c r="K3995" s="1"/>
  <c r="X1379"/>
  <c r="P1431"/>
  <c r="P2433"/>
  <c r="I2485"/>
  <c r="I2507" s="1"/>
  <c r="AG2621"/>
  <c r="AI2621" s="1"/>
  <c r="P3531"/>
  <c r="P3547" s="1"/>
  <c r="R3547" s="1"/>
  <c r="X3617"/>
  <c r="I3979"/>
  <c r="K3979" s="1"/>
  <c r="K2609"/>
  <c r="AG2612"/>
  <c r="AD2617" s="1"/>
  <c r="AI2617" s="1"/>
  <c r="K2668"/>
  <c r="AG2794"/>
  <c r="AI2794" s="1"/>
  <c r="K2822"/>
  <c r="P2829"/>
  <c r="K3150"/>
  <c r="R3229"/>
  <c r="R3264"/>
  <c r="P3296"/>
  <c r="P3365" s="1"/>
  <c r="R3365" s="1"/>
  <c r="P3325"/>
  <c r="P3362" s="1"/>
  <c r="R3362" s="1"/>
  <c r="R3328"/>
  <c r="I3412"/>
  <c r="F3421" s="1"/>
  <c r="M3542"/>
  <c r="R3542" s="1"/>
  <c r="I3584"/>
  <c r="K3584" s="1"/>
  <c r="X3645"/>
  <c r="X3647" s="1"/>
  <c r="K3942"/>
  <c r="K1022"/>
  <c r="K1025"/>
  <c r="K1057"/>
  <c r="AG1070"/>
  <c r="AI1070" s="1"/>
  <c r="I1091"/>
  <c r="K1091" s="1"/>
  <c r="R1264"/>
  <c r="R1392"/>
  <c r="K1670"/>
  <c r="K1682"/>
  <c r="R1877"/>
  <c r="K2467"/>
  <c r="I2487"/>
  <c r="K2487" s="1"/>
  <c r="P2677"/>
  <c r="X2786"/>
  <c r="V2790"/>
  <c r="X2790" s="1"/>
  <c r="K2970"/>
  <c r="K3155"/>
  <c r="P3298"/>
  <c r="P3367" s="1"/>
  <c r="R3367" s="1"/>
  <c r="R3301"/>
  <c r="P3330"/>
  <c r="R3330" s="1"/>
  <c r="P3443"/>
  <c r="R3443" s="1"/>
  <c r="S3555"/>
  <c r="K3692"/>
  <c r="V110"/>
  <c r="X110" s="1"/>
  <c r="V82"/>
  <c r="X82" s="1"/>
  <c r="X81"/>
  <c r="X136"/>
  <c r="X133"/>
  <c r="X134" s="1"/>
  <c r="I3724"/>
  <c r="K3724" s="1"/>
  <c r="P3516"/>
  <c r="R3516" s="1"/>
  <c r="I3343"/>
  <c r="K3343" s="1"/>
  <c r="P2411"/>
  <c r="R2411" s="1"/>
  <c r="V1337"/>
  <c r="P1378"/>
  <c r="R1378" s="1"/>
  <c r="C13"/>
  <c r="I2367"/>
  <c r="K2367" s="1"/>
  <c r="P2373"/>
  <c r="R2373" s="1"/>
  <c r="C66"/>
  <c r="D17"/>
  <c r="P25"/>
  <c r="R25" s="1"/>
  <c r="I141"/>
  <c r="K141" s="1"/>
  <c r="V3116"/>
  <c r="D31"/>
  <c r="I1490"/>
  <c r="K1490" s="1"/>
  <c r="P376"/>
  <c r="R376" s="1"/>
  <c r="P390"/>
  <c r="R390" s="1"/>
  <c r="I124"/>
  <c r="K124" s="1"/>
  <c r="K127" s="1"/>
  <c r="K129" s="1"/>
  <c r="K130" s="1"/>
  <c r="I94"/>
  <c r="K94" s="1"/>
  <c r="I95"/>
  <c r="K95" s="1"/>
  <c r="J3044"/>
  <c r="K3044" s="1"/>
  <c r="I3121"/>
  <c r="I2409"/>
  <c r="K2409" s="1"/>
  <c r="I1993"/>
  <c r="I2030"/>
  <c r="I2027"/>
  <c r="I1631"/>
  <c r="I2077"/>
  <c r="K2077" s="1"/>
  <c r="I2053"/>
  <c r="K2053" s="1"/>
  <c r="I2008"/>
  <c r="I1943"/>
  <c r="I2106"/>
  <c r="K2106" s="1"/>
  <c r="I2011"/>
  <c r="I1972"/>
  <c r="AE27"/>
  <c r="AA28"/>
  <c r="AE28" s="1"/>
  <c r="I3283"/>
  <c r="I2636"/>
  <c r="C31"/>
  <c r="I2164"/>
  <c r="K2164" s="1"/>
  <c r="I2151"/>
  <c r="I2177"/>
  <c r="K2177" s="1"/>
  <c r="I2131"/>
  <c r="K2131" s="1"/>
  <c r="I1575"/>
  <c r="I1603"/>
  <c r="I1772"/>
  <c r="K1772" s="1"/>
  <c r="AE42"/>
  <c r="I3767"/>
  <c r="K3767" s="1"/>
  <c r="I3704"/>
  <c r="K3704" s="1"/>
  <c r="I3722"/>
  <c r="K3722" s="1"/>
  <c r="AH3105"/>
  <c r="I3794"/>
  <c r="K3794" s="1"/>
  <c r="V3670"/>
  <c r="X3670" s="1"/>
  <c r="P1402"/>
  <c r="P1547"/>
  <c r="R1547" s="1"/>
  <c r="C17"/>
  <c r="AE20"/>
  <c r="AA23"/>
  <c r="AE23" s="1"/>
  <c r="C85" s="1"/>
  <c r="V2781"/>
  <c r="I2242"/>
  <c r="K2242" s="1"/>
  <c r="P734"/>
  <c r="R734" s="1"/>
  <c r="P1046"/>
  <c r="P719"/>
  <c r="R719" s="1"/>
  <c r="P943"/>
  <c r="P750"/>
  <c r="R750" s="1"/>
  <c r="A207"/>
  <c r="A208" s="1"/>
  <c r="A265"/>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V2783"/>
  <c r="I2243"/>
  <c r="K2243" s="1"/>
  <c r="P945"/>
  <c r="R945" s="1"/>
  <c r="AE1197"/>
  <c r="AL1197" s="1"/>
  <c r="S1182"/>
  <c r="S1158"/>
  <c r="J659"/>
  <c r="W486" s="1"/>
  <c r="AE486" s="1"/>
  <c r="J612"/>
  <c r="V590" s="1"/>
  <c r="J590"/>
  <c r="J559"/>
  <c r="W561" s="1"/>
  <c r="AE561" s="1"/>
  <c r="J535"/>
  <c r="W537" s="1"/>
  <c r="AE537" s="1"/>
  <c r="J628"/>
  <c r="W35"/>
  <c r="W12"/>
  <c r="I2737"/>
  <c r="K2737" s="1"/>
  <c r="I1808"/>
  <c r="K1808" s="1"/>
  <c r="I1826"/>
  <c r="K1826" s="1"/>
  <c r="I1844"/>
  <c r="I1910"/>
  <c r="K1910" s="1"/>
  <c r="P521"/>
  <c r="R521" s="1"/>
  <c r="P503"/>
  <c r="R503" s="1"/>
  <c r="I607"/>
  <c r="K607" s="1"/>
  <c r="P549"/>
  <c r="R549" s="1"/>
  <c r="I819"/>
  <c r="K819" s="1"/>
  <c r="K515"/>
  <c r="V715"/>
  <c r="K283"/>
  <c r="I2425"/>
  <c r="I1561"/>
  <c r="K1561" s="1"/>
  <c r="I35"/>
  <c r="K35" s="1"/>
  <c r="I3795"/>
  <c r="I3342"/>
  <c r="K3342" s="1"/>
  <c r="P2360"/>
  <c r="R2360" s="1"/>
  <c r="V3671"/>
  <c r="X3671" s="1"/>
  <c r="I3749"/>
  <c r="K3749" s="1"/>
  <c r="AH3106"/>
  <c r="I3769"/>
  <c r="K3769" s="1"/>
  <c r="I3723"/>
  <c r="K3723" s="1"/>
  <c r="I3706"/>
  <c r="K3706" s="1"/>
  <c r="P3515"/>
  <c r="P1548"/>
  <c r="R1548" s="1"/>
  <c r="P1377"/>
  <c r="R1377" s="1"/>
  <c r="V1336"/>
  <c r="C12"/>
  <c r="I379"/>
  <c r="K379" s="1"/>
  <c r="I355"/>
  <c r="K355" s="1"/>
  <c r="I335"/>
  <c r="K335" s="1"/>
  <c r="I410"/>
  <c r="K410" s="1"/>
  <c r="I311"/>
  <c r="K311" s="1"/>
  <c r="I1780"/>
  <c r="K1780" s="1"/>
  <c r="I2145"/>
  <c r="I2125"/>
  <c r="K2125" s="1"/>
  <c r="I1969"/>
  <c r="P576"/>
  <c r="R576" s="1"/>
  <c r="P652"/>
  <c r="R652" s="1"/>
  <c r="P640"/>
  <c r="R640" s="1"/>
  <c r="P431"/>
  <c r="P622"/>
  <c r="R622" s="1"/>
  <c r="I1750"/>
  <c r="K1750" s="1"/>
  <c r="P450"/>
  <c r="R450" s="1"/>
  <c r="P468"/>
  <c r="R468" s="1"/>
  <c r="I82"/>
  <c r="I81"/>
  <c r="K81" s="1"/>
  <c r="I110"/>
  <c r="K110" s="1"/>
  <c r="K133"/>
  <c r="K134" s="1"/>
  <c r="K136"/>
  <c r="AA33"/>
  <c r="AE33" s="1"/>
  <c r="AE32"/>
  <c r="C139" s="1"/>
  <c r="I3004"/>
  <c r="K3004" s="1"/>
  <c r="K3006" s="1"/>
  <c r="I244"/>
  <c r="K244" s="1"/>
  <c r="C141"/>
  <c r="C35"/>
  <c r="P140"/>
  <c r="R140" s="1"/>
  <c r="I3748"/>
  <c r="I3253"/>
  <c r="K3253" s="1"/>
  <c r="P1375"/>
  <c r="R1375" s="1"/>
  <c r="V1334"/>
  <c r="X1334" s="1"/>
  <c r="I2368"/>
  <c r="I2348"/>
  <c r="K2348" s="1"/>
  <c r="P890"/>
  <c r="R890" s="1"/>
  <c r="I726"/>
  <c r="K726" s="1"/>
  <c r="P794"/>
  <c r="R794" s="1"/>
  <c r="R798" s="1"/>
  <c r="R800" s="1"/>
  <c r="I784"/>
  <c r="K784" s="1"/>
  <c r="I762"/>
  <c r="K762" s="1"/>
  <c r="J686"/>
  <c r="W434"/>
  <c r="AH448"/>
  <c r="J706"/>
  <c r="K706" s="1"/>
  <c r="I707" s="1"/>
  <c r="AE9"/>
  <c r="C68" s="1"/>
  <c r="I295" s="1"/>
  <c r="K295" s="1"/>
  <c r="C10"/>
  <c r="Y10"/>
  <c r="AE19"/>
  <c r="AA45"/>
  <c r="AE45" s="1"/>
  <c r="AI46"/>
  <c r="I74"/>
  <c r="K74" s="1"/>
  <c r="P141"/>
  <c r="W402"/>
  <c r="AH411"/>
  <c r="I1590"/>
  <c r="K1590" s="1"/>
  <c r="I1577"/>
  <c r="K1577" s="1"/>
  <c r="I1564"/>
  <c r="K1564" s="1"/>
  <c r="I1757"/>
  <c r="K1757" s="1"/>
  <c r="I2146"/>
  <c r="I2126"/>
  <c r="K2126" s="1"/>
  <c r="I482"/>
  <c r="K482" s="1"/>
  <c r="P451"/>
  <c r="R451" s="1"/>
  <c r="P577"/>
  <c r="R577" s="1"/>
  <c r="P469"/>
  <c r="R469" s="1"/>
  <c r="I1970"/>
  <c r="P432"/>
  <c r="AE11"/>
  <c r="AB14"/>
  <c r="W403"/>
  <c r="I3735"/>
  <c r="I3341"/>
  <c r="P1302"/>
  <c r="P2409"/>
  <c r="R2409" s="1"/>
  <c r="I3102"/>
  <c r="K3102" s="1"/>
  <c r="P2671"/>
  <c r="K2664"/>
  <c r="I1063"/>
  <c r="K1026"/>
  <c r="I36"/>
  <c r="V83"/>
  <c r="I156"/>
  <c r="K156" s="1"/>
  <c r="AH687"/>
  <c r="AH688"/>
  <c r="D11"/>
  <c r="AB12"/>
  <c r="Y14"/>
  <c r="AB35"/>
  <c r="I37"/>
  <c r="K37" s="1"/>
  <c r="AE41"/>
  <c r="AE46"/>
  <c r="AN46"/>
  <c r="AG46" s="1"/>
  <c r="C24" s="1"/>
  <c r="J616" s="1"/>
  <c r="V594" s="1"/>
  <c r="I2712"/>
  <c r="K2712" s="1"/>
  <c r="I2718"/>
  <c r="K2718" s="1"/>
  <c r="I2775"/>
  <c r="K2775" s="1"/>
  <c r="K2778" s="1"/>
  <c r="I1535"/>
  <c r="K1535" s="1"/>
  <c r="I1518"/>
  <c r="K1518" s="1"/>
  <c r="I1533"/>
  <c r="K1533" s="1"/>
  <c r="I1506"/>
  <c r="P1522"/>
  <c r="R1522" s="1"/>
  <c r="I1548"/>
  <c r="K1548" s="1"/>
  <c r="I1161"/>
  <c r="K1161" s="1"/>
  <c r="I1147"/>
  <c r="K1147" s="1"/>
  <c r="P3514"/>
  <c r="R3514" s="1"/>
  <c r="AK1191"/>
  <c r="AM1191" s="1"/>
  <c r="I2298"/>
  <c r="K2298" s="1"/>
  <c r="P1376"/>
  <c r="R1376" s="1"/>
  <c r="P2359"/>
  <c r="R2359" s="1"/>
  <c r="V1335"/>
  <c r="I2666"/>
  <c r="I3149"/>
  <c r="P3294"/>
  <c r="I1131"/>
  <c r="K1131" s="1"/>
  <c r="I1056"/>
  <c r="P1120"/>
  <c r="R1120" s="1"/>
  <c r="R1099"/>
  <c r="C11"/>
  <c r="Y11"/>
  <c r="AA12"/>
  <c r="X14"/>
  <c r="Y15"/>
  <c r="P24"/>
  <c r="AA35"/>
  <c r="AM46"/>
  <c r="C78"/>
  <c r="P151"/>
  <c r="R151" s="1"/>
  <c r="R154" s="1"/>
  <c r="I2662"/>
  <c r="I3318"/>
  <c r="K3318" s="1"/>
  <c r="P3188"/>
  <c r="I3146"/>
  <c r="I2633"/>
  <c r="I2813"/>
  <c r="X15"/>
  <c r="I29"/>
  <c r="K29" s="1"/>
  <c r="C30"/>
  <c r="Y35"/>
  <c r="AA36"/>
  <c r="AA44"/>
  <c r="AE44" s="1"/>
  <c r="AD1331" s="1"/>
  <c r="AE1331" s="1"/>
  <c r="C88"/>
  <c r="I176"/>
  <c r="K176" s="1"/>
  <c r="I3796"/>
  <c r="K3796" s="1"/>
  <c r="V3672"/>
  <c r="X3672" s="1"/>
  <c r="P1549"/>
  <c r="R1549" s="1"/>
  <c r="T1182"/>
  <c r="T1158"/>
  <c r="AE1198"/>
  <c r="J614"/>
  <c r="V592" s="1"/>
  <c r="J599"/>
  <c r="J660"/>
  <c r="J661" s="1"/>
  <c r="J662" s="1"/>
  <c r="J613"/>
  <c r="V591" s="1"/>
  <c r="J598"/>
  <c r="J597"/>
  <c r="J536"/>
  <c r="J537" s="1"/>
  <c r="J538" s="1"/>
  <c r="J596"/>
  <c r="J595"/>
  <c r="J594"/>
  <c r="J629"/>
  <c r="J630" s="1"/>
  <c r="J631" s="1"/>
  <c r="J632" s="1"/>
  <c r="J593"/>
  <c r="J592"/>
  <c r="J591"/>
  <c r="J560"/>
  <c r="J615"/>
  <c r="V593" s="1"/>
  <c r="X12"/>
  <c r="I20"/>
  <c r="K20" s="1"/>
  <c r="X35"/>
  <c r="X44"/>
  <c r="I65"/>
  <c r="K65" s="1"/>
  <c r="I83"/>
  <c r="P1303"/>
  <c r="R1303" s="1"/>
  <c r="P2410"/>
  <c r="R2410" s="1"/>
  <c r="I1179"/>
  <c r="K1179" s="1"/>
  <c r="I1771"/>
  <c r="K1771" s="1"/>
  <c r="I3768"/>
  <c r="K3768" s="1"/>
  <c r="I3705"/>
  <c r="K3705" s="1"/>
  <c r="J687"/>
  <c r="J688" s="1"/>
  <c r="J689" s="1"/>
  <c r="J690" s="1"/>
  <c r="AH449"/>
  <c r="W435"/>
  <c r="W436" s="1"/>
  <c r="W437" s="1"/>
  <c r="W438" s="1"/>
  <c r="J707"/>
  <c r="J708" s="1"/>
  <c r="J709" s="1"/>
  <c r="J710" s="1"/>
  <c r="R826"/>
  <c r="R847" s="1"/>
  <c r="P871"/>
  <c r="R871" s="1"/>
  <c r="R883" s="1"/>
  <c r="X13"/>
  <c r="I46"/>
  <c r="K46" s="1"/>
  <c r="K686"/>
  <c r="I687" s="1"/>
  <c r="K2839"/>
  <c r="I2975"/>
  <c r="P1398"/>
  <c r="P1115"/>
  <c r="R1115" s="1"/>
  <c r="AD1390"/>
  <c r="AF1390" s="1"/>
  <c r="AF1373"/>
  <c r="P3335"/>
  <c r="R3268"/>
  <c r="X3555"/>
  <c r="V3571"/>
  <c r="V895"/>
  <c r="X895" s="1"/>
  <c r="V898"/>
  <c r="X898" s="1"/>
  <c r="K1183"/>
  <c r="K1185" s="1"/>
  <c r="X1412"/>
  <c r="AD1410"/>
  <c r="P1449"/>
  <c r="R1433"/>
  <c r="I2313"/>
  <c r="K2313" s="1"/>
  <c r="K2297"/>
  <c r="V901"/>
  <c r="X901" s="1"/>
  <c r="P1051"/>
  <c r="R1051" s="1"/>
  <c r="P1116"/>
  <c r="R1116" s="1"/>
  <c r="I2973"/>
  <c r="K2837"/>
  <c r="P1117"/>
  <c r="R1117" s="1"/>
  <c r="R1096"/>
  <c r="R1408"/>
  <c r="V1369"/>
  <c r="P1425"/>
  <c r="P1445"/>
  <c r="R1429"/>
  <c r="R1434"/>
  <c r="P1450"/>
  <c r="K1968"/>
  <c r="P1968"/>
  <c r="R1968" s="1"/>
  <c r="P952"/>
  <c r="R952" s="1"/>
  <c r="K994"/>
  <c r="K1062"/>
  <c r="P1068"/>
  <c r="R1068" s="1"/>
  <c r="I1783"/>
  <c r="K1783" s="1"/>
  <c r="K2318"/>
  <c r="I2976"/>
  <c r="K2840"/>
  <c r="AF1376"/>
  <c r="AD1393"/>
  <c r="AF1393" s="1"/>
  <c r="P1426"/>
  <c r="V1370"/>
  <c r="N1944"/>
  <c r="N1945" s="1"/>
  <c r="I895"/>
  <c r="K895" s="1"/>
  <c r="K1024"/>
  <c r="K1058"/>
  <c r="P1073"/>
  <c r="R1073" s="1"/>
  <c r="K2098"/>
  <c r="X1395"/>
  <c r="V1411"/>
  <c r="K1587"/>
  <c r="I1602"/>
  <c r="K1602" s="1"/>
  <c r="AG1067"/>
  <c r="AI1067" s="1"/>
  <c r="V1407"/>
  <c r="X1391"/>
  <c r="K1695"/>
  <c r="K1697" s="1"/>
  <c r="K2005"/>
  <c r="P2006"/>
  <c r="R2006" s="1"/>
  <c r="K745"/>
  <c r="K749" s="1"/>
  <c r="K751" s="1"/>
  <c r="I757" s="1"/>
  <c r="K757" s="1"/>
  <c r="V880"/>
  <c r="I896"/>
  <c r="K896" s="1"/>
  <c r="V897"/>
  <c r="X897" s="1"/>
  <c r="K958"/>
  <c r="K995"/>
  <c r="X2783"/>
  <c r="I2977"/>
  <c r="K2841"/>
  <c r="I2823"/>
  <c r="V1406"/>
  <c r="X1390"/>
  <c r="I3168"/>
  <c r="K1505"/>
  <c r="AG828"/>
  <c r="AG1071"/>
  <c r="AI1071" s="1"/>
  <c r="R1094"/>
  <c r="P1119"/>
  <c r="R1119" s="1"/>
  <c r="I2972"/>
  <c r="K2836"/>
  <c r="R1097"/>
  <c r="P1118"/>
  <c r="R1118" s="1"/>
  <c r="R1393"/>
  <c r="V1354"/>
  <c r="P1410"/>
  <c r="P1446"/>
  <c r="R1430"/>
  <c r="P953"/>
  <c r="K993"/>
  <c r="K1020"/>
  <c r="P1048"/>
  <c r="R1048" s="1"/>
  <c r="P1054"/>
  <c r="R1054" s="1"/>
  <c r="P1071"/>
  <c r="R1071" s="1"/>
  <c r="K2763"/>
  <c r="I2764"/>
  <c r="K2764" s="1"/>
  <c r="K3525"/>
  <c r="I3541"/>
  <c r="P3529"/>
  <c r="K3324"/>
  <c r="I3393"/>
  <c r="X3545"/>
  <c r="V3561"/>
  <c r="AD1389"/>
  <c r="AF1389" s="1"/>
  <c r="R1412"/>
  <c r="P1435"/>
  <c r="K1534"/>
  <c r="K1538" s="1"/>
  <c r="K1540" s="1"/>
  <c r="K1630"/>
  <c r="L1601" s="1"/>
  <c r="L1602" s="1"/>
  <c r="I3225"/>
  <c r="K3225" s="1"/>
  <c r="K3210"/>
  <c r="X3132"/>
  <c r="V3157"/>
  <c r="X3157" s="1"/>
  <c r="P3194"/>
  <c r="R3194" s="1"/>
  <c r="R3158"/>
  <c r="K3185"/>
  <c r="I3368"/>
  <c r="I3608"/>
  <c r="K3430"/>
  <c r="V3570"/>
  <c r="X3554"/>
  <c r="V3559"/>
  <c r="X3543"/>
  <c r="AD1350"/>
  <c r="AD1368"/>
  <c r="I4007"/>
  <c r="K3991"/>
  <c r="K3992"/>
  <c r="I4008"/>
  <c r="I3747"/>
  <c r="R2433"/>
  <c r="V3139"/>
  <c r="X3122"/>
  <c r="I4072"/>
  <c r="K4072" s="1"/>
  <c r="R3262"/>
  <c r="I3322"/>
  <c r="I3396"/>
  <c r="I3429" s="1"/>
  <c r="K3429" s="1"/>
  <c r="K3327"/>
  <c r="R3530"/>
  <c r="P3546"/>
  <c r="R3546" s="1"/>
  <c r="I3976"/>
  <c r="K3976" s="1"/>
  <c r="K3959"/>
  <c r="AF1356"/>
  <c r="AF1360"/>
  <c r="AD1371"/>
  <c r="P1411"/>
  <c r="K2538"/>
  <c r="I2573"/>
  <c r="AA2604"/>
  <c r="AG2620"/>
  <c r="AI2620" s="1"/>
  <c r="X2606"/>
  <c r="X3120"/>
  <c r="V3137"/>
  <c r="I4070"/>
  <c r="K4070" s="1"/>
  <c r="K3326"/>
  <c r="I3395"/>
  <c r="P3396"/>
  <c r="R3396" s="1"/>
  <c r="R3526"/>
  <c r="M3527"/>
  <c r="R3527" s="1"/>
  <c r="P1540"/>
  <c r="R1540" s="1"/>
  <c r="I1923"/>
  <c r="K1923" s="1"/>
  <c r="K2537"/>
  <c r="I2572"/>
  <c r="I3482"/>
  <c r="K3482" s="1"/>
  <c r="R3160"/>
  <c r="V3121"/>
  <c r="V1355"/>
  <c r="AD1377"/>
  <c r="X1378"/>
  <c r="AD1392"/>
  <c r="AF1392" s="1"/>
  <c r="V1394"/>
  <c r="K1547"/>
  <c r="K1551" s="1"/>
  <c r="K1553" s="1"/>
  <c r="I3490" s="1"/>
  <c r="K3490" s="1"/>
  <c r="I3241"/>
  <c r="K3241" s="1"/>
  <c r="K3196"/>
  <c r="P2514"/>
  <c r="R2514" s="1"/>
  <c r="K2507"/>
  <c r="H3875"/>
  <c r="J3875" s="1"/>
  <c r="J3854"/>
  <c r="J3848"/>
  <c r="E3852"/>
  <c r="X1373"/>
  <c r="X1392"/>
  <c r="R1416"/>
  <c r="AI3539"/>
  <c r="P2862"/>
  <c r="R2862" s="1"/>
  <c r="R2829"/>
  <c r="X3135"/>
  <c r="V3160"/>
  <c r="X3160" s="1"/>
  <c r="I3394"/>
  <c r="K3325"/>
  <c r="P3549"/>
  <c r="R3549" s="1"/>
  <c r="R3533"/>
  <c r="I3973"/>
  <c r="K3973" s="1"/>
  <c r="K3956"/>
  <c r="X3539"/>
  <c r="X3134"/>
  <c r="K3148"/>
  <c r="K3153"/>
  <c r="R3161"/>
  <c r="R3230"/>
  <c r="R3265"/>
  <c r="R3267"/>
  <c r="R3325"/>
  <c r="P3334"/>
  <c r="R3334" s="1"/>
  <c r="P3398"/>
  <c r="R3398" s="1"/>
  <c r="P3402"/>
  <c r="R3402" s="1"/>
  <c r="P3444"/>
  <c r="R3444" s="1"/>
  <c r="F3523"/>
  <c r="K3523" s="1"/>
  <c r="K3526"/>
  <c r="R3531"/>
  <c r="F3538"/>
  <c r="K3538" s="1"/>
  <c r="S3570"/>
  <c r="K3602"/>
  <c r="X3618"/>
  <c r="I4037"/>
  <c r="K4037" s="1"/>
  <c r="I3107"/>
  <c r="K3107" s="1"/>
  <c r="K3543"/>
  <c r="K3545"/>
  <c r="I3806"/>
  <c r="K3806" s="1"/>
  <c r="J3855"/>
  <c r="K3940"/>
  <c r="I4066"/>
  <c r="K4066" s="1"/>
  <c r="P3401"/>
  <c r="R3401" s="1"/>
  <c r="P3447"/>
  <c r="R3447" s="1"/>
  <c r="I3957"/>
  <c r="K2466"/>
  <c r="K2471" s="1"/>
  <c r="K2473" s="1"/>
  <c r="K2509"/>
  <c r="I2539"/>
  <c r="I2682"/>
  <c r="P2859"/>
  <c r="R2859" s="1"/>
  <c r="I3108"/>
  <c r="K3108" s="1"/>
  <c r="R3298"/>
  <c r="P3329"/>
  <c r="R3329" s="1"/>
  <c r="P3368"/>
  <c r="R3368" s="1"/>
  <c r="AD3538"/>
  <c r="AI3538" s="1"/>
  <c r="I3542"/>
  <c r="K3943"/>
  <c r="I2486"/>
  <c r="AA2603"/>
  <c r="X2605"/>
  <c r="X2608"/>
  <c r="AA2606" s="1"/>
  <c r="P2675"/>
  <c r="K2681"/>
  <c r="X3136"/>
  <c r="R3234"/>
  <c r="R3266"/>
  <c r="P3300"/>
  <c r="P3442"/>
  <c r="R3442" s="1"/>
  <c r="AG3543"/>
  <c r="AI3543" s="1"/>
  <c r="AG3545"/>
  <c r="AI3545" s="1"/>
  <c r="I3583"/>
  <c r="K3583" s="1"/>
  <c r="K3585" s="1"/>
  <c r="K3586" s="1"/>
  <c r="I4068"/>
  <c r="K4068" s="1"/>
  <c r="P3297"/>
  <c r="P3399"/>
  <c r="R3399" s="1"/>
  <c r="I3524"/>
  <c r="S3538"/>
  <c r="X3538" s="1"/>
  <c r="K3110"/>
  <c r="R3296"/>
  <c r="K1567" l="1"/>
  <c r="R462"/>
  <c r="R464" s="1"/>
  <c r="K2485"/>
  <c r="I44"/>
  <c r="K44" s="1"/>
  <c r="I1589"/>
  <c r="K1589" s="1"/>
  <c r="I27"/>
  <c r="K27" s="1"/>
  <c r="I1284"/>
  <c r="K1284" s="1"/>
  <c r="I72"/>
  <c r="K72" s="1"/>
  <c r="I2127"/>
  <c r="K2127" s="1"/>
  <c r="I2296"/>
  <c r="K2296" s="1"/>
  <c r="K2302" s="1"/>
  <c r="K2304" s="1"/>
  <c r="I808"/>
  <c r="P1144" s="1"/>
  <c r="I1255"/>
  <c r="C79"/>
  <c r="R1431"/>
  <c r="P1447"/>
  <c r="I3323"/>
  <c r="I3392" s="1"/>
  <c r="K2838"/>
  <c r="K2843" s="1"/>
  <c r="K2845" s="1"/>
  <c r="AD1406"/>
  <c r="P1379"/>
  <c r="R1379" s="1"/>
  <c r="K3708"/>
  <c r="K3709" s="1"/>
  <c r="I53"/>
  <c r="K53" s="1"/>
  <c r="I271"/>
  <c r="K271" s="1"/>
  <c r="I1304"/>
  <c r="K1304" s="1"/>
  <c r="I2147"/>
  <c r="P2154" s="1"/>
  <c r="R2154" s="1"/>
  <c r="I1645"/>
  <c r="I3461"/>
  <c r="R2414"/>
  <c r="R2416" s="1"/>
  <c r="I3716" s="1"/>
  <c r="K3716" s="1"/>
  <c r="I9"/>
  <c r="I3746" s="1"/>
  <c r="K3746" s="1"/>
  <c r="I63"/>
  <c r="K63" s="1"/>
  <c r="I18"/>
  <c r="K18" s="1"/>
  <c r="I504"/>
  <c r="I2898" s="1"/>
  <c r="K2898" s="1"/>
  <c r="I1226"/>
  <c r="P1221" s="1"/>
  <c r="P3364"/>
  <c r="R3364" s="1"/>
  <c r="R3295"/>
  <c r="I777"/>
  <c r="K777" s="1"/>
  <c r="X1355"/>
  <c r="AD1353"/>
  <c r="K3608"/>
  <c r="I3629"/>
  <c r="K3629" s="1"/>
  <c r="K3631" s="1"/>
  <c r="K3633" s="1"/>
  <c r="P3528"/>
  <c r="K3524"/>
  <c r="I3540"/>
  <c r="K3323"/>
  <c r="V3162"/>
  <c r="X3162" s="1"/>
  <c r="X3137"/>
  <c r="I3391"/>
  <c r="K3322"/>
  <c r="P1427"/>
  <c r="V1371"/>
  <c r="R1410"/>
  <c r="K2977"/>
  <c r="I3062"/>
  <c r="P2984"/>
  <c r="R2984" s="1"/>
  <c r="L3207"/>
  <c r="X1394"/>
  <c r="V1410"/>
  <c r="P2573"/>
  <c r="R2573" s="1"/>
  <c r="I2607"/>
  <c r="K2572"/>
  <c r="AD1388"/>
  <c r="AF1388" s="1"/>
  <c r="AF1371"/>
  <c r="I4023"/>
  <c r="K4008"/>
  <c r="X3570"/>
  <c r="V3585"/>
  <c r="P1463"/>
  <c r="R1446"/>
  <c r="P2980"/>
  <c r="R2980" s="1"/>
  <c r="K2973"/>
  <c r="I3058"/>
  <c r="P3370"/>
  <c r="R3335"/>
  <c r="P2669"/>
  <c r="K2662"/>
  <c r="I3100"/>
  <c r="K3100" s="1"/>
  <c r="W594"/>
  <c r="R24"/>
  <c r="P1067"/>
  <c r="R1067" s="1"/>
  <c r="P1049"/>
  <c r="R1049" s="1"/>
  <c r="P990"/>
  <c r="R990" s="1"/>
  <c r="AG1065"/>
  <c r="AI1065" s="1"/>
  <c r="K1056"/>
  <c r="AG1072"/>
  <c r="AI1072" s="1"/>
  <c r="K1063"/>
  <c r="P997"/>
  <c r="R997" s="1"/>
  <c r="I1078"/>
  <c r="AS132"/>
  <c r="AU132" s="1"/>
  <c r="AS63"/>
  <c r="AU63" s="1"/>
  <c r="AS163"/>
  <c r="AU163" s="1"/>
  <c r="AS107"/>
  <c r="AU107" s="1"/>
  <c r="AS87"/>
  <c r="AU87" s="1"/>
  <c r="P2152"/>
  <c r="R2152" s="1"/>
  <c r="K2145"/>
  <c r="AD1334"/>
  <c r="AE1334" s="1"/>
  <c r="X1336"/>
  <c r="K1226"/>
  <c r="P2158"/>
  <c r="R2158" s="1"/>
  <c r="K2151"/>
  <c r="K2011"/>
  <c r="P2012"/>
  <c r="R2012" s="1"/>
  <c r="K2030"/>
  <c r="P2030"/>
  <c r="R2030" s="1"/>
  <c r="I786"/>
  <c r="K786" s="1"/>
  <c r="I764"/>
  <c r="K764" s="1"/>
  <c r="K687"/>
  <c r="I688" s="1"/>
  <c r="K688" s="1"/>
  <c r="I689" s="1"/>
  <c r="K689" s="1"/>
  <c r="I690" s="1"/>
  <c r="K690" s="1"/>
  <c r="R1552"/>
  <c r="P1541" s="1"/>
  <c r="R1541" s="1"/>
  <c r="I3109"/>
  <c r="K3109" s="1"/>
  <c r="I3547"/>
  <c r="V1372"/>
  <c r="R1411"/>
  <c r="P1428"/>
  <c r="I3644"/>
  <c r="K3747"/>
  <c r="V3577"/>
  <c r="X3561"/>
  <c r="P2979"/>
  <c r="R2979" s="1"/>
  <c r="K2972"/>
  <c r="I3057"/>
  <c r="P2830"/>
  <c r="I3488"/>
  <c r="K3488" s="1"/>
  <c r="V2791"/>
  <c r="X2791" s="1"/>
  <c r="I2642"/>
  <c r="K2823"/>
  <c r="AG2795"/>
  <c r="AI2795" s="1"/>
  <c r="AD1409"/>
  <c r="X1411"/>
  <c r="AD1423"/>
  <c r="AF1423" s="1"/>
  <c r="AF1406"/>
  <c r="I3169"/>
  <c r="K1506"/>
  <c r="I3759"/>
  <c r="K3759" s="1"/>
  <c r="K3735"/>
  <c r="K3737" s="1"/>
  <c r="K3738" s="1"/>
  <c r="K2368"/>
  <c r="P2374"/>
  <c r="R2374" s="1"/>
  <c r="C140"/>
  <c r="C138"/>
  <c r="I1601"/>
  <c r="I1573"/>
  <c r="K1573" s="1"/>
  <c r="P2337"/>
  <c r="R2337" s="1"/>
  <c r="I3459"/>
  <c r="J3045"/>
  <c r="K3045" s="1"/>
  <c r="K3046" s="1"/>
  <c r="I2791"/>
  <c r="K2791" s="1"/>
  <c r="L2757" s="1"/>
  <c r="I2713"/>
  <c r="I2686"/>
  <c r="K2686" s="1"/>
  <c r="I2994"/>
  <c r="K2994" s="1"/>
  <c r="I2739"/>
  <c r="K2739" s="1"/>
  <c r="I2428"/>
  <c r="I2369"/>
  <c r="I2079"/>
  <c r="K2079" s="1"/>
  <c r="I2055"/>
  <c r="K2055" s="1"/>
  <c r="I1995"/>
  <c r="I1944"/>
  <c r="I1480"/>
  <c r="K1480" s="1"/>
  <c r="I1258"/>
  <c r="I1202"/>
  <c r="K1202" s="1"/>
  <c r="I2322"/>
  <c r="K2322" s="1"/>
  <c r="I2178"/>
  <c r="K2178" s="1"/>
  <c r="K2180" s="1"/>
  <c r="K2182" s="1"/>
  <c r="K2184" s="1"/>
  <c r="I2152"/>
  <c r="I2132"/>
  <c r="K2132" s="1"/>
  <c r="I2107"/>
  <c r="K2107" s="1"/>
  <c r="I2012"/>
  <c r="I1338"/>
  <c r="K1338" s="1"/>
  <c r="I1912"/>
  <c r="K1912" s="1"/>
  <c r="I1708"/>
  <c r="K1708" s="1"/>
  <c r="I1647"/>
  <c r="I1162"/>
  <c r="K1162" s="1"/>
  <c r="K1165" s="1"/>
  <c r="K1167" s="1"/>
  <c r="I1519"/>
  <c r="K1519" s="1"/>
  <c r="I1455"/>
  <c r="K1455" s="1"/>
  <c r="I1420"/>
  <c r="K1420" s="1"/>
  <c r="I1306"/>
  <c r="I2349"/>
  <c r="I2335"/>
  <c r="K2335" s="1"/>
  <c r="I1810"/>
  <c r="K1810" s="1"/>
  <c r="I1467"/>
  <c r="K1467" s="1"/>
  <c r="I1435"/>
  <c r="K1435" s="1"/>
  <c r="I2399"/>
  <c r="I1828"/>
  <c r="K1828" s="1"/>
  <c r="I1507"/>
  <c r="I1492"/>
  <c r="K1492" s="1"/>
  <c r="I1381"/>
  <c r="K1381" s="1"/>
  <c r="I1273"/>
  <c r="P1146"/>
  <c r="I2031"/>
  <c r="I1846"/>
  <c r="P1523"/>
  <c r="R1523" s="1"/>
  <c r="I1407"/>
  <c r="K1407" s="1"/>
  <c r="I1394"/>
  <c r="K1394" s="1"/>
  <c r="I1359"/>
  <c r="K1359" s="1"/>
  <c r="I1228"/>
  <c r="K1228" s="1"/>
  <c r="I1224"/>
  <c r="I1149"/>
  <c r="K1149" s="1"/>
  <c r="K1152" s="1"/>
  <c r="K1154" s="1"/>
  <c r="I1974"/>
  <c r="I1253"/>
  <c r="I785"/>
  <c r="K785" s="1"/>
  <c r="V646"/>
  <c r="I622"/>
  <c r="K622" s="1"/>
  <c r="I584"/>
  <c r="P505"/>
  <c r="R505" s="1"/>
  <c r="V711"/>
  <c r="I606"/>
  <c r="K606" s="1"/>
  <c r="I507"/>
  <c r="I448"/>
  <c r="K448" s="1"/>
  <c r="I763"/>
  <c r="K763" s="1"/>
  <c r="I552"/>
  <c r="K552" s="1"/>
  <c r="P523"/>
  <c r="R523" s="1"/>
  <c r="I490"/>
  <c r="K490" s="1"/>
  <c r="I1324"/>
  <c r="K1324" s="1"/>
  <c r="P891"/>
  <c r="R891" s="1"/>
  <c r="I884"/>
  <c r="I866"/>
  <c r="V479"/>
  <c r="I2165"/>
  <c r="K2165" s="1"/>
  <c r="K2167" s="1"/>
  <c r="K2169" s="1"/>
  <c r="I811"/>
  <c r="I727"/>
  <c r="K727" s="1"/>
  <c r="K730" s="1"/>
  <c r="K732" s="1"/>
  <c r="K801" s="1"/>
  <c r="V530"/>
  <c r="P1360"/>
  <c r="R1360" s="1"/>
  <c r="R1363" s="1"/>
  <c r="R1365" s="1"/>
  <c r="I900"/>
  <c r="K900" s="1"/>
  <c r="I652"/>
  <c r="K652" s="1"/>
  <c r="P551"/>
  <c r="R551" s="1"/>
  <c r="I528"/>
  <c r="K528" s="1"/>
  <c r="P53"/>
  <c r="R53" s="1"/>
  <c r="P392"/>
  <c r="R392" s="1"/>
  <c r="I339"/>
  <c r="I300"/>
  <c r="K300" s="1"/>
  <c r="P298"/>
  <c r="R298" s="1"/>
  <c r="I228"/>
  <c r="I414"/>
  <c r="K414" s="1"/>
  <c r="P364"/>
  <c r="R364" s="1"/>
  <c r="P338"/>
  <c r="R338" s="1"/>
  <c r="I315"/>
  <c r="I213"/>
  <c r="K213" s="1"/>
  <c r="P83"/>
  <c r="R83" s="1"/>
  <c r="I383"/>
  <c r="P378"/>
  <c r="R378" s="1"/>
  <c r="I359"/>
  <c r="P350"/>
  <c r="R350" s="1"/>
  <c r="I198"/>
  <c r="P321"/>
  <c r="R321" s="1"/>
  <c r="P309"/>
  <c r="R309" s="1"/>
  <c r="P286"/>
  <c r="R286" s="1"/>
  <c r="P68"/>
  <c r="R68" s="1"/>
  <c r="I274"/>
  <c r="K274" s="1"/>
  <c r="AJ3106"/>
  <c r="AS3106"/>
  <c r="AU3106" s="1"/>
  <c r="P944"/>
  <c r="R944" s="1"/>
  <c r="R943"/>
  <c r="P2336"/>
  <c r="R2336" s="1"/>
  <c r="R2338" s="1"/>
  <c r="R2339" s="1"/>
  <c r="I2321"/>
  <c r="K2321" s="1"/>
  <c r="K1972"/>
  <c r="P1972"/>
  <c r="R1972" s="1"/>
  <c r="K2027"/>
  <c r="P2027"/>
  <c r="R2027" s="1"/>
  <c r="P627"/>
  <c r="R627" s="1"/>
  <c r="I152"/>
  <c r="K152" s="1"/>
  <c r="P22"/>
  <c r="AE35"/>
  <c r="I254" s="1"/>
  <c r="K254" s="1"/>
  <c r="K259" s="1"/>
  <c r="K261" s="1"/>
  <c r="P3403"/>
  <c r="R3300"/>
  <c r="P3369"/>
  <c r="R3369" s="1"/>
  <c r="I2608"/>
  <c r="K2573"/>
  <c r="P2574"/>
  <c r="R2574" s="1"/>
  <c r="R953"/>
  <c r="P1055"/>
  <c r="R1055" s="1"/>
  <c r="X1406"/>
  <c r="AD1404"/>
  <c r="P1442"/>
  <c r="R1426"/>
  <c r="P1467"/>
  <c r="R1450"/>
  <c r="W487"/>
  <c r="AE487" s="1"/>
  <c r="J663"/>
  <c r="P3221"/>
  <c r="P3291"/>
  <c r="R3188"/>
  <c r="P3257"/>
  <c r="R3257" s="1"/>
  <c r="S2321"/>
  <c r="R2361"/>
  <c r="R2363" s="1"/>
  <c r="R2365" s="1"/>
  <c r="P2354" s="1"/>
  <c r="R2354" s="1"/>
  <c r="I19"/>
  <c r="K19" s="1"/>
  <c r="K23" s="1"/>
  <c r="I140"/>
  <c r="I45"/>
  <c r="K45" s="1"/>
  <c r="K36"/>
  <c r="K40" s="1"/>
  <c r="I3367"/>
  <c r="K3341"/>
  <c r="K3346" s="1"/>
  <c r="K3348" s="1"/>
  <c r="K1969"/>
  <c r="P1969"/>
  <c r="R1969" s="1"/>
  <c r="W36"/>
  <c r="W13"/>
  <c r="C166"/>
  <c r="I225"/>
  <c r="K225" s="1"/>
  <c r="C82"/>
  <c r="I1321" s="1"/>
  <c r="K1321" s="1"/>
  <c r="I2634"/>
  <c r="I2814"/>
  <c r="I3147"/>
  <c r="I2663"/>
  <c r="I3319"/>
  <c r="K3319" s="1"/>
  <c r="P3189"/>
  <c r="C89"/>
  <c r="P1633"/>
  <c r="R1633" s="1"/>
  <c r="R1637" s="1"/>
  <c r="K1631"/>
  <c r="K1635" s="1"/>
  <c r="K1638" s="1"/>
  <c r="R487"/>
  <c r="R489" s="1"/>
  <c r="P1451"/>
  <c r="R1435"/>
  <c r="I2574"/>
  <c r="K2539"/>
  <c r="K2542" s="1"/>
  <c r="K2545" s="1"/>
  <c r="K2548" s="1"/>
  <c r="V3575"/>
  <c r="X3559"/>
  <c r="K2974"/>
  <c r="I3059"/>
  <c r="P2981"/>
  <c r="R2981" s="1"/>
  <c r="V3542"/>
  <c r="AG3542"/>
  <c r="AI3542" s="1"/>
  <c r="K3542"/>
  <c r="K2682"/>
  <c r="I2683"/>
  <c r="K2683" s="1"/>
  <c r="I4071"/>
  <c r="K4071" s="1"/>
  <c r="V3138"/>
  <c r="X3121"/>
  <c r="X3139"/>
  <c r="V3164"/>
  <c r="X3164" s="1"/>
  <c r="X880"/>
  <c r="V896"/>
  <c r="X896" s="1"/>
  <c r="V1387"/>
  <c r="X1370"/>
  <c r="AF1410"/>
  <c r="AD1427"/>
  <c r="AF1427" s="1"/>
  <c r="X3571"/>
  <c r="V3586"/>
  <c r="I3060"/>
  <c r="P2982"/>
  <c r="R2982" s="1"/>
  <c r="K2975"/>
  <c r="I2865"/>
  <c r="K2865" s="1"/>
  <c r="I1129"/>
  <c r="K1129" s="1"/>
  <c r="I927"/>
  <c r="K927" s="1"/>
  <c r="I920"/>
  <c r="K920" s="1"/>
  <c r="K3146"/>
  <c r="P3153"/>
  <c r="R3153" s="1"/>
  <c r="I2148"/>
  <c r="I2128"/>
  <c r="K2128" s="1"/>
  <c r="I1753"/>
  <c r="K1753" s="1"/>
  <c r="I809"/>
  <c r="P1143"/>
  <c r="I505"/>
  <c r="I272"/>
  <c r="K272" s="1"/>
  <c r="I10"/>
  <c r="K10" s="1"/>
  <c r="I73"/>
  <c r="K73" s="1"/>
  <c r="K77" s="1"/>
  <c r="I28"/>
  <c r="K28" s="1"/>
  <c r="I54"/>
  <c r="K54" s="1"/>
  <c r="P10"/>
  <c r="R10" s="1"/>
  <c r="I64"/>
  <c r="K64" s="1"/>
  <c r="K68" s="1"/>
  <c r="I3458"/>
  <c r="I2993"/>
  <c r="K2993" s="1"/>
  <c r="K2996" s="1"/>
  <c r="I2790"/>
  <c r="K2790" s="1"/>
  <c r="L2756" s="1"/>
  <c r="L2759" s="1"/>
  <c r="K2793" s="1"/>
  <c r="I2334"/>
  <c r="K2334" s="1"/>
  <c r="I2427"/>
  <c r="I1707"/>
  <c r="K1707" s="1"/>
  <c r="I1491"/>
  <c r="K1491" s="1"/>
  <c r="I1252"/>
  <c r="I1337"/>
  <c r="K1337" s="1"/>
  <c r="I1227"/>
  <c r="K1227" s="1"/>
  <c r="I1973"/>
  <c r="I1994"/>
  <c r="I1257"/>
  <c r="I1380"/>
  <c r="K1380" s="1"/>
  <c r="I2078"/>
  <c r="K2078" s="1"/>
  <c r="K2085" s="1"/>
  <c r="K2087" s="1"/>
  <c r="I2054"/>
  <c r="K2054" s="1"/>
  <c r="K2061" s="1"/>
  <c r="K2063" s="1"/>
  <c r="I1358"/>
  <c r="K1358" s="1"/>
  <c r="I1223"/>
  <c r="I489"/>
  <c r="K489" s="1"/>
  <c r="P1145"/>
  <c r="I810"/>
  <c r="V710"/>
  <c r="V645"/>
  <c r="I506"/>
  <c r="I447"/>
  <c r="K447" s="1"/>
  <c r="P377"/>
  <c r="R377" s="1"/>
  <c r="I338"/>
  <c r="I413"/>
  <c r="K413" s="1"/>
  <c r="P285"/>
  <c r="R285" s="1"/>
  <c r="I273"/>
  <c r="K273" s="1"/>
  <c r="P82"/>
  <c r="R82" s="1"/>
  <c r="P52"/>
  <c r="R52" s="1"/>
  <c r="P391"/>
  <c r="R391" s="1"/>
  <c r="I314"/>
  <c r="I299"/>
  <c r="K299" s="1"/>
  <c r="I197"/>
  <c r="I212"/>
  <c r="K212" s="1"/>
  <c r="I382"/>
  <c r="I358"/>
  <c r="I227"/>
  <c r="P67"/>
  <c r="R67" s="1"/>
  <c r="X1335"/>
  <c r="AD1333"/>
  <c r="AE1333" s="1"/>
  <c r="V111"/>
  <c r="X111" s="1"/>
  <c r="X114" s="1"/>
  <c r="X116" s="1"/>
  <c r="X118" s="1"/>
  <c r="X119" s="1"/>
  <c r="X83"/>
  <c r="X86" s="1"/>
  <c r="X88" s="1"/>
  <c r="P1321"/>
  <c r="R1321" s="1"/>
  <c r="R1324" s="1"/>
  <c r="R1326" s="1"/>
  <c r="S1326" s="1"/>
  <c r="R1302"/>
  <c r="K1970"/>
  <c r="P1970"/>
  <c r="R1970" s="1"/>
  <c r="R141"/>
  <c r="P126"/>
  <c r="R126" s="1"/>
  <c r="R129" s="1"/>
  <c r="K82"/>
  <c r="L82"/>
  <c r="V1284"/>
  <c r="X1284" s="1"/>
  <c r="K1255"/>
  <c r="I1322"/>
  <c r="K1322" s="1"/>
  <c r="P9"/>
  <c r="R9" s="1"/>
  <c r="P23"/>
  <c r="K1575"/>
  <c r="I1588"/>
  <c r="K1588" s="1"/>
  <c r="I2815"/>
  <c r="I3282"/>
  <c r="P3259"/>
  <c r="R3259" s="1"/>
  <c r="C90"/>
  <c r="AD1335"/>
  <c r="AE1335" s="1"/>
  <c r="X1337"/>
  <c r="R893"/>
  <c r="R895" s="1"/>
  <c r="R588"/>
  <c r="R590" s="1"/>
  <c r="K32"/>
  <c r="K3725"/>
  <c r="I3717" s="1"/>
  <c r="K3717" s="1"/>
  <c r="K3718" s="1"/>
  <c r="K3719" s="1"/>
  <c r="I3781"/>
  <c r="I3987"/>
  <c r="AD1367"/>
  <c r="AF1350"/>
  <c r="P1466"/>
  <c r="R1449"/>
  <c r="V1359"/>
  <c r="R1398"/>
  <c r="P1415"/>
  <c r="Y37"/>
  <c r="Y36"/>
  <c r="I3420"/>
  <c r="K3420" s="1"/>
  <c r="V2601"/>
  <c r="P2640"/>
  <c r="R2640" s="1"/>
  <c r="K2633"/>
  <c r="I3104"/>
  <c r="K3104" s="1"/>
  <c r="P2673"/>
  <c r="K2666"/>
  <c r="AB37"/>
  <c r="AE37" s="1"/>
  <c r="I242" s="1"/>
  <c r="K242" s="1"/>
  <c r="AB36"/>
  <c r="K3795"/>
  <c r="K3799" s="1"/>
  <c r="I3789" s="1"/>
  <c r="I3809"/>
  <c r="K3809" s="1"/>
  <c r="R1148"/>
  <c r="P1179" s="1"/>
  <c r="R1179" s="1"/>
  <c r="V807"/>
  <c r="X2781"/>
  <c r="V2782"/>
  <c r="X2782" s="1"/>
  <c r="AJ3105"/>
  <c r="AJ3109" s="1"/>
  <c r="AS3105"/>
  <c r="AU3105" s="1"/>
  <c r="K1603"/>
  <c r="I1615"/>
  <c r="P1604"/>
  <c r="R1604" s="1"/>
  <c r="V3251"/>
  <c r="X3251" s="1"/>
  <c r="K3283"/>
  <c r="I4065"/>
  <c r="K4065" s="1"/>
  <c r="V3133"/>
  <c r="X3116"/>
  <c r="I3661"/>
  <c r="R432"/>
  <c r="R3297"/>
  <c r="P3400"/>
  <c r="R3400" s="1"/>
  <c r="P3366"/>
  <c r="R3366" s="1"/>
  <c r="I2508"/>
  <c r="K2486"/>
  <c r="K2490" s="1"/>
  <c r="K2492" s="1"/>
  <c r="AF1377"/>
  <c r="AD1394"/>
  <c r="AF1394" s="1"/>
  <c r="I4022"/>
  <c r="K4007"/>
  <c r="AF1368"/>
  <c r="AD1385"/>
  <c r="AF1385" s="1"/>
  <c r="I3355"/>
  <c r="K3355" s="1"/>
  <c r="K3368"/>
  <c r="P3545"/>
  <c r="R3545" s="1"/>
  <c r="R3529"/>
  <c r="X1369"/>
  <c r="V1386"/>
  <c r="I111"/>
  <c r="K111" s="1"/>
  <c r="I96"/>
  <c r="K83"/>
  <c r="AG2786"/>
  <c r="AI2786" s="1"/>
  <c r="P2820"/>
  <c r="I2863"/>
  <c r="K2863" s="1"/>
  <c r="K2813"/>
  <c r="AE12"/>
  <c r="AA13"/>
  <c r="P3156"/>
  <c r="R3156" s="1"/>
  <c r="K3149"/>
  <c r="V642"/>
  <c r="C70"/>
  <c r="K2146"/>
  <c r="P2153"/>
  <c r="R2153" s="1"/>
  <c r="I2738"/>
  <c r="K2738" s="1"/>
  <c r="I3457"/>
  <c r="I2698"/>
  <c r="K2698" s="1"/>
  <c r="I1911"/>
  <c r="K1911" s="1"/>
  <c r="I1419"/>
  <c r="K1419" s="1"/>
  <c r="I1272"/>
  <c r="I2384"/>
  <c r="I1809"/>
  <c r="K1809" s="1"/>
  <c r="I1454"/>
  <c r="K1454" s="1"/>
  <c r="I1323"/>
  <c r="K1323" s="1"/>
  <c r="I1201"/>
  <c r="K1201" s="1"/>
  <c r="I2007"/>
  <c r="I1945"/>
  <c r="I1827"/>
  <c r="K1827" s="1"/>
  <c r="I2150"/>
  <c r="I1845"/>
  <c r="I1479"/>
  <c r="K1479" s="1"/>
  <c r="I1251"/>
  <c r="I2130"/>
  <c r="K2130" s="1"/>
  <c r="I1434"/>
  <c r="K1434" s="1"/>
  <c r="I1393"/>
  <c r="K1393" s="1"/>
  <c r="I1305"/>
  <c r="I2026"/>
  <c r="I1406"/>
  <c r="K1406" s="1"/>
  <c r="I1379"/>
  <c r="K1379" s="1"/>
  <c r="I1357"/>
  <c r="K1357" s="1"/>
  <c r="I1222"/>
  <c r="I865"/>
  <c r="I583"/>
  <c r="V529"/>
  <c r="P522"/>
  <c r="R522" s="1"/>
  <c r="P550"/>
  <c r="R550" s="1"/>
  <c r="I899"/>
  <c r="K899" s="1"/>
  <c r="P504"/>
  <c r="R504" s="1"/>
  <c r="I460"/>
  <c r="K460" s="1"/>
  <c r="I446"/>
  <c r="K446" s="1"/>
  <c r="I1466"/>
  <c r="K1466" s="1"/>
  <c r="I527"/>
  <c r="K527" s="1"/>
  <c r="I1646"/>
  <c r="I651"/>
  <c r="K651" s="1"/>
  <c r="I621"/>
  <c r="K621" s="1"/>
  <c r="I605"/>
  <c r="K605" s="1"/>
  <c r="I551"/>
  <c r="K551" s="1"/>
  <c r="V478"/>
  <c r="I427"/>
  <c r="K427" s="1"/>
  <c r="I883"/>
  <c r="I488"/>
  <c r="K488" s="1"/>
  <c r="I395"/>
  <c r="I381"/>
  <c r="I357"/>
  <c r="P365"/>
  <c r="R365" s="1"/>
  <c r="P337"/>
  <c r="R337" s="1"/>
  <c r="I412"/>
  <c r="K412" s="1"/>
  <c r="P320"/>
  <c r="R320" s="1"/>
  <c r="P81"/>
  <c r="R81" s="1"/>
  <c r="P308"/>
  <c r="R308" s="1"/>
  <c r="I313"/>
  <c r="P297"/>
  <c r="R297" s="1"/>
  <c r="P268"/>
  <c r="R268" s="1"/>
  <c r="P181"/>
  <c r="R181" s="1"/>
  <c r="P363"/>
  <c r="R363" s="1"/>
  <c r="P349"/>
  <c r="R349" s="1"/>
  <c r="I337"/>
  <c r="I298"/>
  <c r="K298" s="1"/>
  <c r="K3748"/>
  <c r="I3808"/>
  <c r="K3808" s="1"/>
  <c r="I1752"/>
  <c r="K1752" s="1"/>
  <c r="K1760" s="1"/>
  <c r="K1762" s="1"/>
  <c r="I154"/>
  <c r="K154" s="1"/>
  <c r="I184"/>
  <c r="K184" s="1"/>
  <c r="K189" s="1"/>
  <c r="R3515"/>
  <c r="R3518" s="1"/>
  <c r="R3519" s="1"/>
  <c r="I3506" s="1"/>
  <c r="K3506" s="1"/>
  <c r="K3514" s="1"/>
  <c r="K3515" s="1"/>
  <c r="P3507"/>
  <c r="R3507" s="1"/>
  <c r="R3509" s="1"/>
  <c r="R3510" s="1"/>
  <c r="I3640"/>
  <c r="K3640" s="1"/>
  <c r="K1645"/>
  <c r="I3423"/>
  <c r="K3423" s="1"/>
  <c r="P2643"/>
  <c r="R2643" s="1"/>
  <c r="K2636"/>
  <c r="V2604"/>
  <c r="P2009"/>
  <c r="R2009" s="1"/>
  <c r="K2008"/>
  <c r="K3121"/>
  <c r="K3123" s="1"/>
  <c r="P3121"/>
  <c r="R3121" s="1"/>
  <c r="R3123" s="1"/>
  <c r="I3483"/>
  <c r="K3483" s="1"/>
  <c r="I1088"/>
  <c r="K1088" s="1"/>
  <c r="I1073"/>
  <c r="K1073" s="1"/>
  <c r="I2385"/>
  <c r="K2385" s="1"/>
  <c r="I2699"/>
  <c r="K2699" s="1"/>
  <c r="I3460"/>
  <c r="I2714"/>
  <c r="I2687"/>
  <c r="K2687" s="1"/>
  <c r="I1847"/>
  <c r="I1508"/>
  <c r="I1235"/>
  <c r="K1235" s="1"/>
  <c r="I2009"/>
  <c r="I1307"/>
  <c r="I2429"/>
  <c r="P1524"/>
  <c r="R1524" s="1"/>
  <c r="I1493"/>
  <c r="K1493" s="1"/>
  <c r="I1421"/>
  <c r="K1421" s="1"/>
  <c r="I1382"/>
  <c r="K1382" s="1"/>
  <c r="P1147"/>
  <c r="I2740"/>
  <c r="K2740" s="1"/>
  <c r="I2133"/>
  <c r="K2133" s="1"/>
  <c r="I2108"/>
  <c r="K2108" s="1"/>
  <c r="I1436"/>
  <c r="K1436" s="1"/>
  <c r="I1254"/>
  <c r="I1229"/>
  <c r="K1229" s="1"/>
  <c r="I1709"/>
  <c r="K1709" s="1"/>
  <c r="I2153"/>
  <c r="I1913"/>
  <c r="K1913" s="1"/>
  <c r="I1648"/>
  <c r="I1408"/>
  <c r="K1408" s="1"/>
  <c r="I1360"/>
  <c r="K1360" s="1"/>
  <c r="I1325"/>
  <c r="K1325" s="1"/>
  <c r="I1259"/>
  <c r="I2028"/>
  <c r="I1811"/>
  <c r="K1811" s="1"/>
  <c r="I1520"/>
  <c r="K1520" s="1"/>
  <c r="I1339"/>
  <c r="K1339" s="1"/>
  <c r="I1225"/>
  <c r="P524"/>
  <c r="R524" s="1"/>
  <c r="I902"/>
  <c r="K902" s="1"/>
  <c r="I812"/>
  <c r="I1395"/>
  <c r="K1395" s="1"/>
  <c r="V647"/>
  <c r="P552"/>
  <c r="R552" s="1"/>
  <c r="I886"/>
  <c r="I868"/>
  <c r="V712"/>
  <c r="P506"/>
  <c r="R506" s="1"/>
  <c r="I491"/>
  <c r="K491" s="1"/>
  <c r="I1829"/>
  <c r="K1829" s="1"/>
  <c r="I1203"/>
  <c r="K1203" s="1"/>
  <c r="I508"/>
  <c r="I449"/>
  <c r="K449" s="1"/>
  <c r="I384"/>
  <c r="P310"/>
  <c r="R310" s="1"/>
  <c r="I214"/>
  <c r="K214" s="1"/>
  <c r="P84"/>
  <c r="R84" s="1"/>
  <c r="I360"/>
  <c r="I340"/>
  <c r="P287"/>
  <c r="R287" s="1"/>
  <c r="I415"/>
  <c r="K415" s="1"/>
  <c r="P351"/>
  <c r="R351" s="1"/>
  <c r="P339"/>
  <c r="R339" s="1"/>
  <c r="P322"/>
  <c r="R322" s="1"/>
  <c r="I316"/>
  <c r="I229"/>
  <c r="P379"/>
  <c r="R379" s="1"/>
  <c r="R382" s="1"/>
  <c r="R384" s="1"/>
  <c r="P413" s="1"/>
  <c r="R413" s="1"/>
  <c r="I301"/>
  <c r="K301" s="1"/>
  <c r="I275"/>
  <c r="K275" s="1"/>
  <c r="P69"/>
  <c r="R69" s="1"/>
  <c r="P54"/>
  <c r="R54" s="1"/>
  <c r="P393"/>
  <c r="R393" s="1"/>
  <c r="P299"/>
  <c r="R299" s="1"/>
  <c r="I199"/>
  <c r="P366"/>
  <c r="R366" s="1"/>
  <c r="AE36"/>
  <c r="I243" s="1"/>
  <c r="K243" s="1"/>
  <c r="K114"/>
  <c r="K116" s="1"/>
  <c r="K58"/>
  <c r="K2252"/>
  <c r="V3541"/>
  <c r="AG3541"/>
  <c r="AI3541" s="1"/>
  <c r="K3541"/>
  <c r="K3168"/>
  <c r="I3181"/>
  <c r="K3181" s="1"/>
  <c r="X1407"/>
  <c r="AD1405"/>
  <c r="L3191"/>
  <c r="X1354"/>
  <c r="AD1352"/>
  <c r="K2976"/>
  <c r="I3061"/>
  <c r="P2983"/>
  <c r="R2983" s="1"/>
  <c r="R1425"/>
  <c r="P1441"/>
  <c r="W562"/>
  <c r="AE562" s="1"/>
  <c r="J561"/>
  <c r="J539"/>
  <c r="W538"/>
  <c r="AE538" s="1"/>
  <c r="K3461"/>
  <c r="I3828"/>
  <c r="K3828" s="1"/>
  <c r="P3467"/>
  <c r="R3467" s="1"/>
  <c r="R3294"/>
  <c r="P3397"/>
  <c r="R3397" s="1"/>
  <c r="V355"/>
  <c r="X355" s="1"/>
  <c r="V335"/>
  <c r="X335" s="1"/>
  <c r="V379"/>
  <c r="V311"/>
  <c r="X311" s="1"/>
  <c r="P79"/>
  <c r="R79" s="1"/>
  <c r="I3660"/>
  <c r="R431"/>
  <c r="R444" s="1"/>
  <c r="R446" s="1"/>
  <c r="P2432"/>
  <c r="R2432" s="1"/>
  <c r="K2425"/>
  <c r="V685"/>
  <c r="X685" s="1"/>
  <c r="X715"/>
  <c r="P1860"/>
  <c r="K1844"/>
  <c r="P752"/>
  <c r="R752" s="1"/>
  <c r="R759" s="1"/>
  <c r="R761" s="1"/>
  <c r="P736"/>
  <c r="R736" s="1"/>
  <c r="R743" s="1"/>
  <c r="R745" s="1"/>
  <c r="I989"/>
  <c r="K989" s="1"/>
  <c r="I954"/>
  <c r="I1019"/>
  <c r="P721"/>
  <c r="R721" s="1"/>
  <c r="R728" s="1"/>
  <c r="R730" s="1"/>
  <c r="I3564"/>
  <c r="K3564" s="1"/>
  <c r="K1943"/>
  <c r="R144"/>
  <c r="X3675"/>
  <c r="I3974"/>
  <c r="K3974" s="1"/>
  <c r="K3957"/>
  <c r="L3176"/>
  <c r="P1462"/>
  <c r="R1445"/>
  <c r="AE1199"/>
  <c r="AL1198"/>
  <c r="I3387"/>
  <c r="I3477" s="1"/>
  <c r="K3477" s="1"/>
  <c r="I921"/>
  <c r="K921" s="1"/>
  <c r="I950"/>
  <c r="K950" s="1"/>
  <c r="I1053"/>
  <c r="I1015"/>
  <c r="K1015" s="1"/>
  <c r="I1127"/>
  <c r="K1127" s="1"/>
  <c r="I985"/>
  <c r="K985" s="1"/>
  <c r="P210"/>
  <c r="R210" s="1"/>
  <c r="W405"/>
  <c r="W406" s="1"/>
  <c r="W404"/>
  <c r="C165"/>
  <c r="C81"/>
  <c r="R1046"/>
  <c r="P1047"/>
  <c r="R1047" s="1"/>
  <c r="V1363"/>
  <c r="R1402"/>
  <c r="R1404" s="1"/>
  <c r="P1419"/>
  <c r="AG335"/>
  <c r="AI335" s="1"/>
  <c r="AG311"/>
  <c r="AI311" s="1"/>
  <c r="AG364"/>
  <c r="AI364" s="1"/>
  <c r="AG388"/>
  <c r="K1993"/>
  <c r="P1993"/>
  <c r="R1993" s="1"/>
  <c r="K707"/>
  <c r="I708" s="1"/>
  <c r="K708" s="1"/>
  <c r="I709" s="1"/>
  <c r="K709" s="1"/>
  <c r="I710" s="1"/>
  <c r="K710" s="1"/>
  <c r="K49"/>
  <c r="K1496" l="1"/>
  <c r="K1498" s="1"/>
  <c r="K504"/>
  <c r="K808"/>
  <c r="V643"/>
  <c r="V803"/>
  <c r="X803" s="1"/>
  <c r="K768"/>
  <c r="K770" s="1"/>
  <c r="I2356" s="1"/>
  <c r="K1524"/>
  <c r="K1526" s="1"/>
  <c r="R1447"/>
  <c r="P1464"/>
  <c r="K610"/>
  <c r="R14"/>
  <c r="R396"/>
  <c r="R398" s="1"/>
  <c r="K2323"/>
  <c r="K2324" s="1"/>
  <c r="I2329" s="1"/>
  <c r="K2329" s="1"/>
  <c r="K2330" s="1"/>
  <c r="K2331" s="1"/>
  <c r="K2147"/>
  <c r="K9"/>
  <c r="K1816"/>
  <c r="K1818" s="1"/>
  <c r="I1872" s="1"/>
  <c r="K1872" s="1"/>
  <c r="K1874" s="1"/>
  <c r="AU3109"/>
  <c r="K86"/>
  <c r="K88" s="1"/>
  <c r="K2689"/>
  <c r="K2690" s="1"/>
  <c r="P403"/>
  <c r="R403" s="1"/>
  <c r="P402"/>
  <c r="R402" s="1"/>
  <c r="I3807"/>
  <c r="K3807" s="1"/>
  <c r="K3812" s="1"/>
  <c r="K3814" s="1"/>
  <c r="AD1332"/>
  <c r="AE1332" s="1"/>
  <c r="AE1336" s="1"/>
  <c r="AE1337" s="1"/>
  <c r="I1271"/>
  <c r="P307"/>
  <c r="R307" s="1"/>
  <c r="R313" s="1"/>
  <c r="R315" s="1"/>
  <c r="P66"/>
  <c r="R66" s="1"/>
  <c r="P319"/>
  <c r="R319" s="1"/>
  <c r="R325" s="1"/>
  <c r="R327" s="1"/>
  <c r="I211"/>
  <c r="K211" s="1"/>
  <c r="I2358"/>
  <c r="I2360"/>
  <c r="P608"/>
  <c r="R608" s="1"/>
  <c r="P595"/>
  <c r="R595" s="1"/>
  <c r="K90"/>
  <c r="K89"/>
  <c r="P51"/>
  <c r="R51" s="1"/>
  <c r="I226"/>
  <c r="K226" s="1"/>
  <c r="I3491"/>
  <c r="K3491" s="1"/>
  <c r="I2872"/>
  <c r="K2872" s="1"/>
  <c r="I2671"/>
  <c r="I1136"/>
  <c r="V1380"/>
  <c r="R1419"/>
  <c r="P1436"/>
  <c r="V818"/>
  <c r="X818" s="1"/>
  <c r="J540"/>
  <c r="W539"/>
  <c r="AE539" s="1"/>
  <c r="AD1369"/>
  <c r="AF1352"/>
  <c r="K118"/>
  <c r="K119" s="1"/>
  <c r="K120" s="1"/>
  <c r="K121" s="1"/>
  <c r="L116"/>
  <c r="K1254"/>
  <c r="V1283"/>
  <c r="X1283" s="1"/>
  <c r="T3123"/>
  <c r="R3124"/>
  <c r="K313"/>
  <c r="V313"/>
  <c r="K381"/>
  <c r="V381"/>
  <c r="V801"/>
  <c r="C71"/>
  <c r="P1142" s="1"/>
  <c r="V1402"/>
  <c r="X1386"/>
  <c r="K2508"/>
  <c r="K2512" s="1"/>
  <c r="K2515" s="1"/>
  <c r="P2515"/>
  <c r="R2515" s="1"/>
  <c r="R2519" s="1"/>
  <c r="R2521" s="1"/>
  <c r="X807"/>
  <c r="V822"/>
  <c r="X822" s="1"/>
  <c r="I4018"/>
  <c r="I4006"/>
  <c r="K4006" s="1"/>
  <c r="K3987"/>
  <c r="I3988"/>
  <c r="V358"/>
  <c r="K358"/>
  <c r="X645"/>
  <c r="AF645"/>
  <c r="AH645" s="1"/>
  <c r="K809"/>
  <c r="V644"/>
  <c r="V802"/>
  <c r="V3163"/>
  <c r="X3163" s="1"/>
  <c r="X3138"/>
  <c r="P3066"/>
  <c r="R3066" s="1"/>
  <c r="I3078"/>
  <c r="K3078" s="1"/>
  <c r="K3059"/>
  <c r="R1640"/>
  <c r="T1640"/>
  <c r="I3354"/>
  <c r="K3354" s="1"/>
  <c r="K3357" s="1"/>
  <c r="K3358" s="1"/>
  <c r="K3367"/>
  <c r="K3370" s="1"/>
  <c r="K3371" s="1"/>
  <c r="H3853"/>
  <c r="K2608"/>
  <c r="K228"/>
  <c r="P234"/>
  <c r="R234" s="1"/>
  <c r="I3306"/>
  <c r="K3306" s="1"/>
  <c r="I3927"/>
  <c r="P859"/>
  <c r="R859" s="1"/>
  <c r="K866"/>
  <c r="V866"/>
  <c r="X866" s="1"/>
  <c r="I3170"/>
  <c r="K1507"/>
  <c r="P1304"/>
  <c r="R1304" s="1"/>
  <c r="K1306"/>
  <c r="P1335"/>
  <c r="K1258"/>
  <c r="V1287"/>
  <c r="X1287" s="1"/>
  <c r="V2610"/>
  <c r="P2649"/>
  <c r="R2649" s="1"/>
  <c r="K2642"/>
  <c r="X3577"/>
  <c r="V3592"/>
  <c r="R1221"/>
  <c r="T1221" s="1"/>
  <c r="P1263"/>
  <c r="AW107"/>
  <c r="AX107" s="1"/>
  <c r="P1494"/>
  <c r="R1463"/>
  <c r="V1424"/>
  <c r="X1424" s="1"/>
  <c r="K2607"/>
  <c r="H3852"/>
  <c r="K2745"/>
  <c r="K2747" s="1"/>
  <c r="I2765" s="1"/>
  <c r="K2765" s="1"/>
  <c r="K2767" s="1"/>
  <c r="K1328"/>
  <c r="K1330" s="1"/>
  <c r="I1987" s="1"/>
  <c r="K1580"/>
  <c r="K1582" s="1"/>
  <c r="V410"/>
  <c r="X410" s="1"/>
  <c r="X379"/>
  <c r="K316"/>
  <c r="V316"/>
  <c r="V806"/>
  <c r="K812"/>
  <c r="V1288"/>
  <c r="X1288" s="1"/>
  <c r="K1259"/>
  <c r="P1863"/>
  <c r="K1847"/>
  <c r="K357"/>
  <c r="V357"/>
  <c r="I612"/>
  <c r="K612"/>
  <c r="V1280"/>
  <c r="X1280" s="1"/>
  <c r="K1251"/>
  <c r="P3463"/>
  <c r="R3463" s="1"/>
  <c r="I3824"/>
  <c r="K3824" s="1"/>
  <c r="K3457"/>
  <c r="AE13"/>
  <c r="C72" s="1"/>
  <c r="AA14"/>
  <c r="AD1384"/>
  <c r="AF1384" s="1"/>
  <c r="AF1367"/>
  <c r="I1017"/>
  <c r="I987"/>
  <c r="K987" s="1"/>
  <c r="I952"/>
  <c r="K952" s="1"/>
  <c r="K227"/>
  <c r="P233"/>
  <c r="R233" s="1"/>
  <c r="I2900"/>
  <c r="K2900" s="1"/>
  <c r="K506"/>
  <c r="K1252"/>
  <c r="V1281"/>
  <c r="X1281" s="1"/>
  <c r="R1143"/>
  <c r="P1174"/>
  <c r="R1174" s="1"/>
  <c r="P1468"/>
  <c r="R1451"/>
  <c r="K2634"/>
  <c r="P2641"/>
  <c r="R2641" s="1"/>
  <c r="R2652" s="1"/>
  <c r="R2654" s="1"/>
  <c r="I3421"/>
  <c r="K3421" s="1"/>
  <c r="K3432" s="1"/>
  <c r="K3434" s="1"/>
  <c r="V2602"/>
  <c r="P1498"/>
  <c r="R1467"/>
  <c r="K359"/>
  <c r="V359"/>
  <c r="X479"/>
  <c r="AD479"/>
  <c r="AF479" s="1"/>
  <c r="X646"/>
  <c r="AF646"/>
  <c r="AH646" s="1"/>
  <c r="K2349"/>
  <c r="K2351" s="1"/>
  <c r="K2352" s="1"/>
  <c r="I3578"/>
  <c r="P2435"/>
  <c r="R2435" s="1"/>
  <c r="K2428"/>
  <c r="K3760"/>
  <c r="K3772" s="1"/>
  <c r="K3774" s="1"/>
  <c r="I3081"/>
  <c r="K3081" s="1"/>
  <c r="K3062"/>
  <c r="P3069"/>
  <c r="R3069" s="1"/>
  <c r="AF1353"/>
  <c r="AD1370"/>
  <c r="R511"/>
  <c r="R513" s="1"/>
  <c r="K247"/>
  <c r="K249" s="1"/>
  <c r="P199"/>
  <c r="P167"/>
  <c r="R167" s="1"/>
  <c r="K199"/>
  <c r="K229"/>
  <c r="P235"/>
  <c r="R235" s="1"/>
  <c r="K360"/>
  <c r="V360"/>
  <c r="P2028"/>
  <c r="R2028" s="1"/>
  <c r="K2028"/>
  <c r="I3171"/>
  <c r="K1508"/>
  <c r="P1217"/>
  <c r="K1222"/>
  <c r="K96"/>
  <c r="K99" s="1"/>
  <c r="K101" s="1"/>
  <c r="M96"/>
  <c r="M97" s="1"/>
  <c r="X90"/>
  <c r="X91" s="1"/>
  <c r="X89"/>
  <c r="I3463"/>
  <c r="K3458"/>
  <c r="I3825"/>
  <c r="K3825" s="1"/>
  <c r="P3464"/>
  <c r="R3464" s="1"/>
  <c r="I2899"/>
  <c r="K2899" s="1"/>
  <c r="K505"/>
  <c r="X3542"/>
  <c r="V3558"/>
  <c r="I2864"/>
  <c r="K2864" s="1"/>
  <c r="K2875" s="1"/>
  <c r="K2877" s="1"/>
  <c r="I3600"/>
  <c r="K3600" s="1"/>
  <c r="K3610" s="1"/>
  <c r="K3612" s="1"/>
  <c r="K2814"/>
  <c r="P2821"/>
  <c r="AG2787"/>
  <c r="AI2787" s="1"/>
  <c r="P2375"/>
  <c r="R2375" s="1"/>
  <c r="R2379" s="1"/>
  <c r="R2381" s="1"/>
  <c r="K2369"/>
  <c r="K2372" s="1"/>
  <c r="K2374" s="1"/>
  <c r="P3465"/>
  <c r="R3465" s="1"/>
  <c r="K3459"/>
  <c r="I3464"/>
  <c r="I3826"/>
  <c r="K3826" s="1"/>
  <c r="V3547"/>
  <c r="V3563" s="1"/>
  <c r="AG3547"/>
  <c r="K2134"/>
  <c r="K2136" s="1"/>
  <c r="K2138" s="1"/>
  <c r="K2701"/>
  <c r="K2702" s="1"/>
  <c r="K2703" s="1"/>
  <c r="K923"/>
  <c r="R2986"/>
  <c r="R2988" s="1"/>
  <c r="K3061"/>
  <c r="P3068"/>
  <c r="R3068" s="1"/>
  <c r="I3080"/>
  <c r="K3080" s="1"/>
  <c r="I3252"/>
  <c r="K3252" s="1"/>
  <c r="I1478"/>
  <c r="K1478" s="1"/>
  <c r="K1483" s="1"/>
  <c r="K1485" s="1"/>
  <c r="I1465"/>
  <c r="K1465" s="1"/>
  <c r="K1470" s="1"/>
  <c r="K1472" s="1"/>
  <c r="I1453"/>
  <c r="K1453" s="1"/>
  <c r="K1458" s="1"/>
  <c r="K1460" s="1"/>
  <c r="I1392"/>
  <c r="K1392" s="1"/>
  <c r="K1398" s="1"/>
  <c r="K1400" s="1"/>
  <c r="P628" s="1"/>
  <c r="R628" s="1"/>
  <c r="AG312"/>
  <c r="AI312" s="1"/>
  <c r="I297"/>
  <c r="K297" s="1"/>
  <c r="K304" s="1"/>
  <c r="K306" s="1"/>
  <c r="I196"/>
  <c r="K196" s="1"/>
  <c r="P80"/>
  <c r="R80" s="1"/>
  <c r="I312"/>
  <c r="K312" s="1"/>
  <c r="AS64"/>
  <c r="AU64" s="1"/>
  <c r="P336"/>
  <c r="R336" s="1"/>
  <c r="R342" s="1"/>
  <c r="R344" s="1"/>
  <c r="V312"/>
  <c r="X312" s="1"/>
  <c r="P641"/>
  <c r="R641" s="1"/>
  <c r="R645" s="1"/>
  <c r="P50"/>
  <c r="R50" s="1"/>
  <c r="R57" s="1"/>
  <c r="R60" s="1"/>
  <c r="K1053"/>
  <c r="P1089"/>
  <c r="P1064"/>
  <c r="R1064" s="1"/>
  <c r="P987"/>
  <c r="R987" s="1"/>
  <c r="AG1062"/>
  <c r="AI1062" s="1"/>
  <c r="P3192"/>
  <c r="I2817"/>
  <c r="P947"/>
  <c r="R947" s="1"/>
  <c r="K954"/>
  <c r="I336"/>
  <c r="AS88"/>
  <c r="AU88" s="1"/>
  <c r="P180"/>
  <c r="R180" s="1"/>
  <c r="K340"/>
  <c r="V340"/>
  <c r="X647"/>
  <c r="AF647"/>
  <c r="AH647" s="1"/>
  <c r="P2160"/>
  <c r="R2160" s="1"/>
  <c r="K2153"/>
  <c r="R1147"/>
  <c r="P1178"/>
  <c r="R1178" s="1"/>
  <c r="AD478"/>
  <c r="AF478" s="1"/>
  <c r="X478"/>
  <c r="I3926"/>
  <c r="I3305"/>
  <c r="K3305" s="1"/>
  <c r="K865"/>
  <c r="V865"/>
  <c r="X865" s="1"/>
  <c r="P858"/>
  <c r="R858" s="1"/>
  <c r="K2007"/>
  <c r="P2008"/>
  <c r="R2008" s="1"/>
  <c r="K3661"/>
  <c r="I3682"/>
  <c r="K3682" s="1"/>
  <c r="V3158"/>
  <c r="X3158" s="1"/>
  <c r="X3133"/>
  <c r="AH3113"/>
  <c r="AH3114" s="1"/>
  <c r="AH3115" s="1"/>
  <c r="AI3113"/>
  <c r="AI3114" s="1"/>
  <c r="AI3115" s="1"/>
  <c r="AJ3113"/>
  <c r="AJ3114" s="1"/>
  <c r="AJ3115" s="1"/>
  <c r="AG2649"/>
  <c r="AI2649" s="1"/>
  <c r="AG2615"/>
  <c r="AI2615" s="1"/>
  <c r="X2601"/>
  <c r="AA2599"/>
  <c r="R1466"/>
  <c r="P1497"/>
  <c r="W593"/>
  <c r="W592"/>
  <c r="W591"/>
  <c r="R23"/>
  <c r="K314"/>
  <c r="V314"/>
  <c r="P1218"/>
  <c r="K1223"/>
  <c r="V3603"/>
  <c r="X3603" s="1"/>
  <c r="X3586"/>
  <c r="P2575"/>
  <c r="R2575" s="1"/>
  <c r="M2581"/>
  <c r="O2581" s="1"/>
  <c r="O2583" s="1"/>
  <c r="O2584" s="1"/>
  <c r="K2574"/>
  <c r="K2577" s="1"/>
  <c r="K2580" s="1"/>
  <c r="K2583" s="1"/>
  <c r="K3147"/>
  <c r="K3157" s="1"/>
  <c r="K3159" s="1"/>
  <c r="P3154"/>
  <c r="P166"/>
  <c r="R166" s="1"/>
  <c r="K198"/>
  <c r="P198"/>
  <c r="V805"/>
  <c r="K811"/>
  <c r="K584"/>
  <c r="V584"/>
  <c r="X584" s="1"/>
  <c r="I1287"/>
  <c r="K1287" s="1"/>
  <c r="AD1266"/>
  <c r="AF1266" s="1"/>
  <c r="K1273"/>
  <c r="I3642"/>
  <c r="K3642" s="1"/>
  <c r="K1647"/>
  <c r="AF1409"/>
  <c r="AD1426"/>
  <c r="AF1426" s="1"/>
  <c r="X1372"/>
  <c r="V1389"/>
  <c r="R87"/>
  <c r="R89" s="1"/>
  <c r="K1915"/>
  <c r="K1917" s="1"/>
  <c r="I1924" s="1"/>
  <c r="K1924" s="1"/>
  <c r="K1927" s="1"/>
  <c r="K2979"/>
  <c r="K2981" s="1"/>
  <c r="K792"/>
  <c r="K794" s="1"/>
  <c r="AG424"/>
  <c r="AI424" s="1"/>
  <c r="AI388"/>
  <c r="R1462"/>
  <c r="P1476"/>
  <c r="P1493"/>
  <c r="I1200"/>
  <c r="K1200" s="1"/>
  <c r="K1211" s="1"/>
  <c r="K1213" s="1"/>
  <c r="I2441" s="1"/>
  <c r="K2441" s="1"/>
  <c r="I1405"/>
  <c r="K1405" s="1"/>
  <c r="K1412" s="1"/>
  <c r="K1414" s="1"/>
  <c r="I487"/>
  <c r="K487" s="1"/>
  <c r="K495" s="1"/>
  <c r="K497" s="1"/>
  <c r="I445"/>
  <c r="K445" s="1"/>
  <c r="K452" s="1"/>
  <c r="K454" s="1"/>
  <c r="I459" s="1"/>
  <c r="K459" s="1"/>
  <c r="K463" s="1"/>
  <c r="K465" s="1"/>
  <c r="K467" s="1"/>
  <c r="P232"/>
  <c r="R232" s="1"/>
  <c r="AS133"/>
  <c r="P362"/>
  <c r="R362" s="1"/>
  <c r="R370" s="1"/>
  <c r="R372" s="1"/>
  <c r="I356"/>
  <c r="I380"/>
  <c r="P164"/>
  <c r="R164" s="1"/>
  <c r="AS108"/>
  <c r="AU108" s="1"/>
  <c r="I411"/>
  <c r="K411" s="1"/>
  <c r="K418" s="1"/>
  <c r="K420" s="1"/>
  <c r="P1093"/>
  <c r="K1019"/>
  <c r="K3660"/>
  <c r="K3675" s="1"/>
  <c r="K3677" s="1"/>
  <c r="I3681"/>
  <c r="K3681" s="1"/>
  <c r="K3695" s="1"/>
  <c r="K3697" s="1"/>
  <c r="AD1422"/>
  <c r="AF1422" s="1"/>
  <c r="AF1405"/>
  <c r="L2221"/>
  <c r="K2255"/>
  <c r="K2288" s="1"/>
  <c r="M2256"/>
  <c r="I2902"/>
  <c r="K2902" s="1"/>
  <c r="K508"/>
  <c r="K2009"/>
  <c r="P2010"/>
  <c r="R2010" s="1"/>
  <c r="AG2618"/>
  <c r="AI2618" s="1"/>
  <c r="AG2652"/>
  <c r="AI2652" s="1"/>
  <c r="AA2602"/>
  <c r="X2604"/>
  <c r="K583"/>
  <c r="V583"/>
  <c r="X583" s="1"/>
  <c r="I3566"/>
  <c r="K3566" s="1"/>
  <c r="K1945"/>
  <c r="X642"/>
  <c r="AF642"/>
  <c r="AH642" s="1"/>
  <c r="K4022"/>
  <c r="I4035"/>
  <c r="K4035" s="1"/>
  <c r="AS3114"/>
  <c r="AS3115" s="1"/>
  <c r="AS3116" s="1"/>
  <c r="AT3114"/>
  <c r="AT3115" s="1"/>
  <c r="AT3116" s="1"/>
  <c r="K338"/>
  <c r="V338"/>
  <c r="K1973"/>
  <c r="P1973"/>
  <c r="R1973" s="1"/>
  <c r="K3060"/>
  <c r="P3067"/>
  <c r="R3067" s="1"/>
  <c r="I3079"/>
  <c r="K3079" s="1"/>
  <c r="I3101"/>
  <c r="K3101" s="1"/>
  <c r="K3112" s="1"/>
  <c r="K3114" s="1"/>
  <c r="P2670"/>
  <c r="K2663"/>
  <c r="J664"/>
  <c r="W488"/>
  <c r="AE488" s="1"/>
  <c r="K315"/>
  <c r="V315"/>
  <c r="P1219"/>
  <c r="K1224"/>
  <c r="P1177"/>
  <c r="R1177" s="1"/>
  <c r="R1146"/>
  <c r="K2152"/>
  <c r="P2159"/>
  <c r="R2159" s="1"/>
  <c r="P3064"/>
  <c r="R3064" s="1"/>
  <c r="K3057"/>
  <c r="I3076"/>
  <c r="K3076" s="1"/>
  <c r="I1093"/>
  <c r="K1078"/>
  <c r="P1074"/>
  <c r="I3077"/>
  <c r="K3077" s="1"/>
  <c r="P3065"/>
  <c r="R3065" s="1"/>
  <c r="K3058"/>
  <c r="I4034"/>
  <c r="K4034" s="1"/>
  <c r="K4023"/>
  <c r="R3528"/>
  <c r="P3544"/>
  <c r="R3544" s="1"/>
  <c r="R1057"/>
  <c r="R1059" s="1"/>
  <c r="R1441"/>
  <c r="P1458"/>
  <c r="V886"/>
  <c r="K886"/>
  <c r="I3643"/>
  <c r="K3643" s="1"/>
  <c r="K1648"/>
  <c r="K1307"/>
  <c r="P1305"/>
  <c r="K883"/>
  <c r="V883"/>
  <c r="X529"/>
  <c r="AD529"/>
  <c r="V553"/>
  <c r="X553" s="1"/>
  <c r="P1334"/>
  <c r="K1305"/>
  <c r="K1272"/>
  <c r="I1286"/>
  <c r="K1286" s="1"/>
  <c r="AD1265"/>
  <c r="AF1265" s="1"/>
  <c r="I1303"/>
  <c r="K1303" s="1"/>
  <c r="I1644"/>
  <c r="K1644" s="1"/>
  <c r="I503"/>
  <c r="R2820"/>
  <c r="P2853"/>
  <c r="R2853" s="1"/>
  <c r="I3994"/>
  <c r="X1359"/>
  <c r="AD1357"/>
  <c r="I3455"/>
  <c r="I2424"/>
  <c r="I1354"/>
  <c r="K1354" s="1"/>
  <c r="I1220"/>
  <c r="I1418"/>
  <c r="K1418" s="1"/>
  <c r="K1424" s="1"/>
  <c r="K1426" s="1"/>
  <c r="I1376"/>
  <c r="K1376" s="1"/>
  <c r="I1249"/>
  <c r="I1336"/>
  <c r="K1336" s="1"/>
  <c r="K1342" s="1"/>
  <c r="K1344" s="1"/>
  <c r="I1706"/>
  <c r="K1706" s="1"/>
  <c r="P1333"/>
  <c r="I620"/>
  <c r="K620" s="1"/>
  <c r="K625" s="1"/>
  <c r="K627" s="1"/>
  <c r="I628" s="1"/>
  <c r="K628" s="1"/>
  <c r="I629" s="1"/>
  <c r="K629" s="1"/>
  <c r="I630" s="1"/>
  <c r="K630" s="1"/>
  <c r="I631" s="1"/>
  <c r="K631" s="1"/>
  <c r="I632" s="1"/>
  <c r="K632" s="1"/>
  <c r="I1433"/>
  <c r="K1433" s="1"/>
  <c r="P196"/>
  <c r="P348"/>
  <c r="R348" s="1"/>
  <c r="R354" s="1"/>
  <c r="R356" s="1"/>
  <c r="P296"/>
  <c r="R296" s="1"/>
  <c r="R302" s="1"/>
  <c r="R304" s="1"/>
  <c r="P165"/>
  <c r="R165" s="1"/>
  <c r="K197"/>
  <c r="P197"/>
  <c r="R1145"/>
  <c r="P1176"/>
  <c r="R1176" s="1"/>
  <c r="K1994"/>
  <c r="P1994"/>
  <c r="R1994" s="1"/>
  <c r="K2337"/>
  <c r="K2338" s="1"/>
  <c r="I2342" s="1"/>
  <c r="K2342" s="1"/>
  <c r="I2336"/>
  <c r="K2336" s="1"/>
  <c r="K2148"/>
  <c r="P2155"/>
  <c r="R2155" s="1"/>
  <c r="X3575"/>
  <c r="V3590"/>
  <c r="W14"/>
  <c r="W15" s="1"/>
  <c r="W37"/>
  <c r="P2348"/>
  <c r="R2348" s="1"/>
  <c r="K140"/>
  <c r="K144" s="1"/>
  <c r="R3221"/>
  <c r="P3435"/>
  <c r="R3435" s="1"/>
  <c r="P3323"/>
  <c r="R3323" s="1"/>
  <c r="I3530"/>
  <c r="R3403"/>
  <c r="K339"/>
  <c r="V339"/>
  <c r="AD530"/>
  <c r="V554"/>
  <c r="X554" s="1"/>
  <c r="X530"/>
  <c r="X711"/>
  <c r="AA711" s="1"/>
  <c r="V681"/>
  <c r="X681" s="1"/>
  <c r="P2031"/>
  <c r="R2031" s="1"/>
  <c r="K2031"/>
  <c r="K1995"/>
  <c r="P1995"/>
  <c r="R1995" s="1"/>
  <c r="K2713"/>
  <c r="I2719"/>
  <c r="K2719" s="1"/>
  <c r="R2830"/>
  <c r="P2863"/>
  <c r="R2863" s="1"/>
  <c r="P1444"/>
  <c r="R1428"/>
  <c r="AW132"/>
  <c r="AX132" s="1"/>
  <c r="R3370"/>
  <c r="P3404"/>
  <c r="R1427"/>
  <c r="P1443"/>
  <c r="K1834"/>
  <c r="K1836" s="1"/>
  <c r="I1880" s="1"/>
  <c r="K1880" s="1"/>
  <c r="K1882" s="1"/>
  <c r="AD1361"/>
  <c r="X1363"/>
  <c r="AL1199"/>
  <c r="AE1200"/>
  <c r="V3707"/>
  <c r="V3659"/>
  <c r="R1860"/>
  <c r="P1891"/>
  <c r="R1891" s="1"/>
  <c r="P1175"/>
  <c r="R1175" s="1"/>
  <c r="R1144"/>
  <c r="X3541"/>
  <c r="V3557"/>
  <c r="K384"/>
  <c r="V384"/>
  <c r="I3929"/>
  <c r="I3308"/>
  <c r="K3308" s="1"/>
  <c r="V868"/>
  <c r="X868" s="1"/>
  <c r="P861"/>
  <c r="R861" s="1"/>
  <c r="K868"/>
  <c r="P1220"/>
  <c r="K1225"/>
  <c r="P2436"/>
  <c r="R2436" s="1"/>
  <c r="K2429"/>
  <c r="I3465"/>
  <c r="I3827"/>
  <c r="K3827" s="1"/>
  <c r="P3466"/>
  <c r="R3466" s="1"/>
  <c r="K3460"/>
  <c r="K337"/>
  <c r="V337"/>
  <c r="I3641"/>
  <c r="K3641" s="1"/>
  <c r="K1646"/>
  <c r="P2026"/>
  <c r="R2026" s="1"/>
  <c r="K2026"/>
  <c r="P2157"/>
  <c r="R2157" s="1"/>
  <c r="K2150"/>
  <c r="K2154" s="1"/>
  <c r="K2384"/>
  <c r="I2398"/>
  <c r="P1616"/>
  <c r="R1616" s="1"/>
  <c r="K1615"/>
  <c r="I3479"/>
  <c r="K3479" s="1"/>
  <c r="P2822"/>
  <c r="K2815"/>
  <c r="K810"/>
  <c r="V804"/>
  <c r="V1286"/>
  <c r="X1286" s="1"/>
  <c r="K1257"/>
  <c r="P2434"/>
  <c r="R2434" s="1"/>
  <c r="K2427"/>
  <c r="V1403"/>
  <c r="X1387"/>
  <c r="P3258"/>
  <c r="R3258" s="1"/>
  <c r="P3222"/>
  <c r="P3292"/>
  <c r="R3189"/>
  <c r="V3247"/>
  <c r="X3247" s="1"/>
  <c r="P3394"/>
  <c r="R3394" s="1"/>
  <c r="R3291"/>
  <c r="P3360"/>
  <c r="R3360" s="1"/>
  <c r="AF1404"/>
  <c r="AD1421"/>
  <c r="AF1421" s="1"/>
  <c r="K1974"/>
  <c r="P1974"/>
  <c r="R1974" s="1"/>
  <c r="P1862"/>
  <c r="K1846"/>
  <c r="I2411"/>
  <c r="K2411" s="1"/>
  <c r="K2399"/>
  <c r="I3565"/>
  <c r="K3565" s="1"/>
  <c r="K3569" s="1"/>
  <c r="K1944"/>
  <c r="K1948" s="1"/>
  <c r="I1586"/>
  <c r="K1586" s="1"/>
  <c r="K1593" s="1"/>
  <c r="K1595" s="1"/>
  <c r="I1613"/>
  <c r="K3644"/>
  <c r="K3647" s="1"/>
  <c r="K3648" s="1"/>
  <c r="P3468"/>
  <c r="R3468" s="1"/>
  <c r="X1410"/>
  <c r="AD1408"/>
  <c r="X1371"/>
  <c r="V1388"/>
  <c r="K3540"/>
  <c r="V3540"/>
  <c r="AG3540"/>
  <c r="AI3540" s="1"/>
  <c r="R529"/>
  <c r="R531" s="1"/>
  <c r="K161"/>
  <c r="R955"/>
  <c r="R957" s="1"/>
  <c r="K3752"/>
  <c r="K3753" s="1"/>
  <c r="V708"/>
  <c r="X643"/>
  <c r="AF643"/>
  <c r="AH643" s="1"/>
  <c r="W563"/>
  <c r="AE563" s="1"/>
  <c r="J562"/>
  <c r="V682"/>
  <c r="X682" s="1"/>
  <c r="X712"/>
  <c r="AA712" s="1"/>
  <c r="K2714"/>
  <c r="I2720"/>
  <c r="K2720" s="1"/>
  <c r="K395"/>
  <c r="V395"/>
  <c r="P1861"/>
  <c r="K1845"/>
  <c r="K1852" s="1"/>
  <c r="K1854" s="1"/>
  <c r="I1888" s="1"/>
  <c r="P1432"/>
  <c r="R1415"/>
  <c r="R1421" s="1"/>
  <c r="V1376"/>
  <c r="V3653"/>
  <c r="K3781"/>
  <c r="K3791" s="1"/>
  <c r="K3792" s="1"/>
  <c r="K3282"/>
  <c r="V3250"/>
  <c r="X3250" s="1"/>
  <c r="V382"/>
  <c r="K382"/>
  <c r="X710"/>
  <c r="AA710" s="1"/>
  <c r="V680"/>
  <c r="X680" s="1"/>
  <c r="I3388"/>
  <c r="I3478" s="1"/>
  <c r="K3478" s="1"/>
  <c r="I1071"/>
  <c r="K1071" s="1"/>
  <c r="I1128"/>
  <c r="K1128" s="1"/>
  <c r="I1086"/>
  <c r="K1086" s="1"/>
  <c r="I986"/>
  <c r="K986" s="1"/>
  <c r="K998" s="1"/>
  <c r="K1000" s="1"/>
  <c r="I928"/>
  <c r="K928" s="1"/>
  <c r="K930" s="1"/>
  <c r="I1102"/>
  <c r="I1016"/>
  <c r="K1016" s="1"/>
  <c r="I1054"/>
  <c r="I951"/>
  <c r="K951" s="1"/>
  <c r="K962" s="1"/>
  <c r="K964" s="1"/>
  <c r="P211"/>
  <c r="R211" s="1"/>
  <c r="R221" s="1"/>
  <c r="R224" s="1"/>
  <c r="R1442"/>
  <c r="P1459"/>
  <c r="W590"/>
  <c r="R22"/>
  <c r="K383"/>
  <c r="V383"/>
  <c r="K884"/>
  <c r="V884"/>
  <c r="I2901"/>
  <c r="K2901" s="1"/>
  <c r="K507"/>
  <c r="K1253"/>
  <c r="V1282"/>
  <c r="X1282" s="1"/>
  <c r="K2012"/>
  <c r="P2013"/>
  <c r="R2013" s="1"/>
  <c r="K1601"/>
  <c r="K1606" s="1"/>
  <c r="K1608" s="1"/>
  <c r="P1602"/>
  <c r="R1602" s="1"/>
  <c r="R1607" s="1"/>
  <c r="R1609" s="1"/>
  <c r="C878" s="1"/>
  <c r="I3182"/>
  <c r="K3169"/>
  <c r="N14"/>
  <c r="K14"/>
  <c r="AW163"/>
  <c r="AX163" s="1"/>
  <c r="V3602"/>
  <c r="X3602" s="1"/>
  <c r="X3585"/>
  <c r="X1365"/>
  <c r="R557"/>
  <c r="R559" s="1"/>
  <c r="R1527"/>
  <c r="R1529" s="1"/>
  <c r="R2578"/>
  <c r="R2580" s="1"/>
  <c r="K232" l="1"/>
  <c r="K234" s="1"/>
  <c r="K3494"/>
  <c r="R405"/>
  <c r="R407" s="1"/>
  <c r="P414" s="1"/>
  <c r="R414" s="1"/>
  <c r="R416" s="1"/>
  <c r="R418" s="1"/>
  <c r="R28"/>
  <c r="R30" s="1"/>
  <c r="R2163"/>
  <c r="R2165" s="1"/>
  <c r="K587"/>
  <c r="K589" s="1"/>
  <c r="I590" s="1"/>
  <c r="K590" s="1"/>
  <c r="I591" s="1"/>
  <c r="K591" s="1"/>
  <c r="I592" s="1"/>
  <c r="K592" s="1"/>
  <c r="I593" s="1"/>
  <c r="K593" s="1"/>
  <c r="I594" s="1"/>
  <c r="K594" s="1"/>
  <c r="I595" s="1"/>
  <c r="K595" s="1"/>
  <c r="I596" s="1"/>
  <c r="K596" s="1"/>
  <c r="I597" s="1"/>
  <c r="K597" s="1"/>
  <c r="I598" s="1"/>
  <c r="K598" s="1"/>
  <c r="I599" s="1"/>
  <c r="K599" s="1"/>
  <c r="K1079"/>
  <c r="K1081" s="1"/>
  <c r="R1464"/>
  <c r="P1495"/>
  <c r="V1425"/>
  <c r="X1425" s="1"/>
  <c r="P3395"/>
  <c r="R3395" s="1"/>
  <c r="P3361"/>
  <c r="R3361" s="1"/>
  <c r="R3372" s="1"/>
  <c r="R3374" s="1"/>
  <c r="R3292"/>
  <c r="R3303" s="1"/>
  <c r="R3305" s="1"/>
  <c r="X337"/>
  <c r="AG337"/>
  <c r="AI337" s="1"/>
  <c r="V3721"/>
  <c r="X3721" s="1"/>
  <c r="X3707"/>
  <c r="R1443"/>
  <c r="P1460"/>
  <c r="R1444"/>
  <c r="P1461"/>
  <c r="R196"/>
  <c r="V196"/>
  <c r="X196" s="1"/>
  <c r="P1100"/>
  <c r="R1074"/>
  <c r="X338"/>
  <c r="AG338"/>
  <c r="AI338" s="1"/>
  <c r="K380"/>
  <c r="K387" s="1"/>
  <c r="K389" s="1"/>
  <c r="I394" s="1"/>
  <c r="K394" s="1"/>
  <c r="K398" s="1"/>
  <c r="K400" s="1"/>
  <c r="K402" s="1"/>
  <c r="V380"/>
  <c r="K104"/>
  <c r="K105" s="1"/>
  <c r="K102"/>
  <c r="K2353"/>
  <c r="L2318"/>
  <c r="R1498"/>
  <c r="V1459"/>
  <c r="R1863"/>
  <c r="P1894"/>
  <c r="R1894" s="1"/>
  <c r="K3988"/>
  <c r="I3989"/>
  <c r="AF1369"/>
  <c r="AD1386"/>
  <c r="AF1386" s="1"/>
  <c r="I3531"/>
  <c r="K1136"/>
  <c r="K1139" s="1"/>
  <c r="K1141" s="1"/>
  <c r="K2156"/>
  <c r="K2158" s="1"/>
  <c r="K319"/>
  <c r="K321" s="1"/>
  <c r="V427"/>
  <c r="X427" s="1"/>
  <c r="X395"/>
  <c r="AG369"/>
  <c r="AI369" s="1"/>
  <c r="X360"/>
  <c r="I3587"/>
  <c r="K3587" s="1"/>
  <c r="K3589" s="1"/>
  <c r="K3590" s="1"/>
  <c r="J3592" s="1"/>
  <c r="J3593" s="1"/>
  <c r="J3594" s="1"/>
  <c r="J3595" s="1"/>
  <c r="K3578"/>
  <c r="K3580" s="1"/>
  <c r="K3581" s="1"/>
  <c r="K3591" s="1"/>
  <c r="I3592" s="1"/>
  <c r="K3592" s="1"/>
  <c r="I3593" s="1"/>
  <c r="K3593" s="1"/>
  <c r="I3594" s="1"/>
  <c r="K3594" s="1"/>
  <c r="I3595" s="1"/>
  <c r="K3595" s="1"/>
  <c r="AG2658"/>
  <c r="AI2658" s="1"/>
  <c r="X2610"/>
  <c r="AA2608"/>
  <c r="AG2624"/>
  <c r="AI2624" s="1"/>
  <c r="H3874"/>
  <c r="J3874" s="1"/>
  <c r="J3853"/>
  <c r="X358"/>
  <c r="AG367"/>
  <c r="AI367" s="1"/>
  <c r="X313"/>
  <c r="AG313"/>
  <c r="AI313" s="1"/>
  <c r="AS65"/>
  <c r="X1380"/>
  <c r="V1397"/>
  <c r="P2344"/>
  <c r="R2344" s="1"/>
  <c r="I1767"/>
  <c r="K1767" s="1"/>
  <c r="K1775" s="1"/>
  <c r="K91"/>
  <c r="K2015"/>
  <c r="I4010"/>
  <c r="K3994"/>
  <c r="P1489"/>
  <c r="V1419"/>
  <c r="X1419" s="1"/>
  <c r="P1475"/>
  <c r="R1458"/>
  <c r="R198"/>
  <c r="V198"/>
  <c r="X198" s="1"/>
  <c r="I3197"/>
  <c r="K3182"/>
  <c r="P1892"/>
  <c r="R1892" s="1"/>
  <c r="R1861"/>
  <c r="I3947"/>
  <c r="K3929"/>
  <c r="X339"/>
  <c r="AG339"/>
  <c r="AI339" s="1"/>
  <c r="P598"/>
  <c r="R598" s="1"/>
  <c r="P612"/>
  <c r="R612" s="1"/>
  <c r="P655"/>
  <c r="R655" s="1"/>
  <c r="K1249"/>
  <c r="K1262" s="1"/>
  <c r="K1264" s="1"/>
  <c r="V1278"/>
  <c r="X1278" s="1"/>
  <c r="X1291" s="1"/>
  <c r="X1293" s="1"/>
  <c r="X886"/>
  <c r="V902"/>
  <c r="X902" s="1"/>
  <c r="AW108"/>
  <c r="AX108" s="1"/>
  <c r="V820"/>
  <c r="X820" s="1"/>
  <c r="X805"/>
  <c r="AF1370"/>
  <c r="AD1387"/>
  <c r="AF1387" s="1"/>
  <c r="P1499"/>
  <c r="R1468"/>
  <c r="I3183"/>
  <c r="K3170"/>
  <c r="I2938"/>
  <c r="K2938" s="1"/>
  <c r="I2929"/>
  <c r="K1310"/>
  <c r="K1312" s="1"/>
  <c r="R2018"/>
  <c r="X884"/>
  <c r="V900"/>
  <c r="X900" s="1"/>
  <c r="AG393"/>
  <c r="V415"/>
  <c r="X415" s="1"/>
  <c r="X384"/>
  <c r="X883"/>
  <c r="V899"/>
  <c r="X899" s="1"/>
  <c r="P1490"/>
  <c r="V1420"/>
  <c r="X1420" s="1"/>
  <c r="R1459"/>
  <c r="X382"/>
  <c r="V413"/>
  <c r="X413" s="1"/>
  <c r="AG391"/>
  <c r="W564"/>
  <c r="AE564" s="1"/>
  <c r="J563"/>
  <c r="P3471"/>
  <c r="R3471" s="1"/>
  <c r="K3465"/>
  <c r="I3832"/>
  <c r="K3832" s="1"/>
  <c r="AF530"/>
  <c r="AD554"/>
  <c r="AF554" s="1"/>
  <c r="V1333"/>
  <c r="X1333" s="1"/>
  <c r="I1377"/>
  <c r="K1377" s="1"/>
  <c r="I1355"/>
  <c r="K1355" s="1"/>
  <c r="AF1357"/>
  <c r="AD1374"/>
  <c r="AD553"/>
  <c r="AF553" s="1"/>
  <c r="AF529"/>
  <c r="I426"/>
  <c r="K426" s="1"/>
  <c r="K430" s="1"/>
  <c r="K432" s="1"/>
  <c r="K434" s="1"/>
  <c r="K435" s="1"/>
  <c r="K436" s="1"/>
  <c r="K437" s="1"/>
  <c r="K438" s="1"/>
  <c r="P267"/>
  <c r="R267" s="1"/>
  <c r="R271" s="1"/>
  <c r="R273" s="1"/>
  <c r="R275" s="1"/>
  <c r="R276" s="1"/>
  <c r="R277" s="1"/>
  <c r="R278" s="1"/>
  <c r="P657"/>
  <c r="R657" s="1"/>
  <c r="K468"/>
  <c r="K469" s="1"/>
  <c r="K470" s="1"/>
  <c r="P654"/>
  <c r="R654" s="1"/>
  <c r="P597"/>
  <c r="R597" s="1"/>
  <c r="P611"/>
  <c r="R611" s="1"/>
  <c r="X340"/>
  <c r="AG340"/>
  <c r="AI340" s="1"/>
  <c r="P3261"/>
  <c r="R3192"/>
  <c r="R3201" s="1"/>
  <c r="R3203" s="1"/>
  <c r="V3574"/>
  <c r="X3558"/>
  <c r="R199"/>
  <c r="V199"/>
  <c r="X199" s="1"/>
  <c r="AG368"/>
  <c r="AI368" s="1"/>
  <c r="X359"/>
  <c r="AG366"/>
  <c r="AI366" s="1"/>
  <c r="X357"/>
  <c r="AS68"/>
  <c r="X316"/>
  <c r="AG316"/>
  <c r="AI316" s="1"/>
  <c r="P1537"/>
  <c r="R1537" s="1"/>
  <c r="R1494"/>
  <c r="V1455"/>
  <c r="AG390"/>
  <c r="X381"/>
  <c r="V412"/>
  <c r="X412" s="1"/>
  <c r="P1452"/>
  <c r="R1436"/>
  <c r="R2037"/>
  <c r="K1651"/>
  <c r="K1653" s="1"/>
  <c r="R3071"/>
  <c r="R3073" s="1"/>
  <c r="K1511"/>
  <c r="K1513" s="1"/>
  <c r="I3921"/>
  <c r="I878"/>
  <c r="I2410"/>
  <c r="K2398"/>
  <c r="K2403" s="1"/>
  <c r="V3556"/>
  <c r="X3540"/>
  <c r="P1614"/>
  <c r="R1614" s="1"/>
  <c r="R1619" s="1"/>
  <c r="R1621" s="1"/>
  <c r="K1613"/>
  <c r="K1618" s="1"/>
  <c r="K1620" s="1"/>
  <c r="V3689"/>
  <c r="X3689" s="1"/>
  <c r="X3659"/>
  <c r="W489"/>
  <c r="AE489" s="1"/>
  <c r="J665"/>
  <c r="P1893"/>
  <c r="R1893" s="1"/>
  <c r="R1862"/>
  <c r="P1448"/>
  <c r="R1432"/>
  <c r="R1438" s="1"/>
  <c r="X1403"/>
  <c r="AD1401"/>
  <c r="R2822"/>
  <c r="P2855"/>
  <c r="R2855" s="1"/>
  <c r="I3996"/>
  <c r="AF1361"/>
  <c r="AD1378"/>
  <c r="I3822"/>
  <c r="K3822" s="1"/>
  <c r="P3461"/>
  <c r="R3461" s="1"/>
  <c r="K3455"/>
  <c r="I2897"/>
  <c r="K2897" s="1"/>
  <c r="K2905" s="1"/>
  <c r="K2907" s="1"/>
  <c r="K2911" s="1"/>
  <c r="K2913" s="1"/>
  <c r="K503"/>
  <c r="K511" s="1"/>
  <c r="K513" s="1"/>
  <c r="AG315"/>
  <c r="AI315" s="1"/>
  <c r="AS67"/>
  <c r="X315"/>
  <c r="P1114"/>
  <c r="R1114" s="1"/>
  <c r="R1093"/>
  <c r="K3926"/>
  <c r="I3944"/>
  <c r="AG2789"/>
  <c r="AI2789" s="1"/>
  <c r="P2824"/>
  <c r="V2785"/>
  <c r="X2785" s="1"/>
  <c r="K2817"/>
  <c r="K3463"/>
  <c r="P3469"/>
  <c r="R3469" s="1"/>
  <c r="I3830"/>
  <c r="K3830" s="1"/>
  <c r="I3184"/>
  <c r="K3171"/>
  <c r="AA15"/>
  <c r="AE15" s="1"/>
  <c r="AE14"/>
  <c r="X806"/>
  <c r="V821"/>
  <c r="X821" s="1"/>
  <c r="K1987"/>
  <c r="P1987"/>
  <c r="R1987" s="1"/>
  <c r="AD1264"/>
  <c r="AF1264" s="1"/>
  <c r="AF1269" s="1"/>
  <c r="AF1271" s="1"/>
  <c r="I1285"/>
  <c r="K1285" s="1"/>
  <c r="K1290" s="1"/>
  <c r="K1292" s="1"/>
  <c r="K1271"/>
  <c r="K1276" s="1"/>
  <c r="K1278" s="1"/>
  <c r="K1385"/>
  <c r="K1387" s="1"/>
  <c r="K2034"/>
  <c r="K2715"/>
  <c r="K2716" s="1"/>
  <c r="K3064"/>
  <c r="K3066" s="1"/>
  <c r="V706"/>
  <c r="I2354"/>
  <c r="I2386" s="1"/>
  <c r="K2386" s="1"/>
  <c r="K1888"/>
  <c r="K1890" s="1"/>
  <c r="I1897"/>
  <c r="K1897" s="1"/>
  <c r="K1899" s="1"/>
  <c r="I3280"/>
  <c r="K1102"/>
  <c r="AF1408"/>
  <c r="AD1425"/>
  <c r="AF1425" s="1"/>
  <c r="V197"/>
  <c r="X197" s="1"/>
  <c r="R197"/>
  <c r="V1332"/>
  <c r="X1332" s="1"/>
  <c r="AD1189"/>
  <c r="P1373"/>
  <c r="R1373" s="1"/>
  <c r="V1299"/>
  <c r="R1333"/>
  <c r="P2431"/>
  <c r="R2431" s="1"/>
  <c r="R2440" s="1"/>
  <c r="R2442" s="1"/>
  <c r="K2424"/>
  <c r="K2433" s="1"/>
  <c r="K2435" s="1"/>
  <c r="V1300"/>
  <c r="R1334"/>
  <c r="AD1190"/>
  <c r="P1224"/>
  <c r="R1219"/>
  <c r="T1219" s="1"/>
  <c r="P1261"/>
  <c r="K602"/>
  <c r="AU133"/>
  <c r="AS164"/>
  <c r="AU164" s="1"/>
  <c r="AG314"/>
  <c r="AI314" s="1"/>
  <c r="AS66"/>
  <c r="X314"/>
  <c r="I1971"/>
  <c r="I1991"/>
  <c r="I2105"/>
  <c r="K2105" s="1"/>
  <c r="K2111" s="1"/>
  <c r="P610"/>
  <c r="R610" s="1"/>
  <c r="P596"/>
  <c r="R596" s="1"/>
  <c r="P623"/>
  <c r="R623" s="1"/>
  <c r="I3831"/>
  <c r="K3831" s="1"/>
  <c r="K3464"/>
  <c r="P3470"/>
  <c r="R3470" s="1"/>
  <c r="I613"/>
  <c r="K613"/>
  <c r="X3592"/>
  <c r="V3609"/>
  <c r="K4018"/>
  <c r="I4019"/>
  <c r="I4033"/>
  <c r="K4033" s="1"/>
  <c r="V816"/>
  <c r="X816" s="1"/>
  <c r="X801"/>
  <c r="K2723"/>
  <c r="K2725" s="1"/>
  <c r="L2691" s="1"/>
  <c r="K3083"/>
  <c r="K3085" s="1"/>
  <c r="X1376"/>
  <c r="X1382" s="1"/>
  <c r="V1393"/>
  <c r="R3404"/>
  <c r="R3406" s="1"/>
  <c r="R3408" s="1"/>
  <c r="P3448"/>
  <c r="I1108"/>
  <c r="K1108" s="1"/>
  <c r="K1093"/>
  <c r="K1095" s="1"/>
  <c r="K1097" s="1"/>
  <c r="P1483"/>
  <c r="R1476"/>
  <c r="V1437"/>
  <c r="V1405"/>
  <c r="X1389"/>
  <c r="R3154"/>
  <c r="V3114"/>
  <c r="P1223"/>
  <c r="P1260"/>
  <c r="R1218"/>
  <c r="T1218" s="1"/>
  <c r="R1217"/>
  <c r="T1217" s="1"/>
  <c r="P1259"/>
  <c r="I2937"/>
  <c r="K2937" s="1"/>
  <c r="I2928"/>
  <c r="V1302"/>
  <c r="AD1191"/>
  <c r="AF1191" s="1"/>
  <c r="R1335"/>
  <c r="K3927"/>
  <c r="I3945"/>
  <c r="V707"/>
  <c r="X644"/>
  <c r="X650" s="1"/>
  <c r="X652" s="1"/>
  <c r="X654" s="1"/>
  <c r="AF644"/>
  <c r="AH644" s="1"/>
  <c r="AH650" s="1"/>
  <c r="AH652" s="1"/>
  <c r="AH654" s="1"/>
  <c r="P1173"/>
  <c r="R1173" s="1"/>
  <c r="R1142"/>
  <c r="J541"/>
  <c r="W540"/>
  <c r="AE540" s="1"/>
  <c r="K1363"/>
  <c r="K1365" s="1"/>
  <c r="X587"/>
  <c r="X589" s="1"/>
  <c r="X590" s="1"/>
  <c r="X591" s="1"/>
  <c r="X592" s="1"/>
  <c r="X593" s="1"/>
  <c r="X594" s="1"/>
  <c r="X595" s="1"/>
  <c r="K2612"/>
  <c r="K2615" s="1"/>
  <c r="M2615" s="1"/>
  <c r="AG392"/>
  <c r="V414"/>
  <c r="X414" s="1"/>
  <c r="X383"/>
  <c r="P1090"/>
  <c r="P988"/>
  <c r="R988" s="1"/>
  <c r="R998" s="1"/>
  <c r="R1000" s="1"/>
  <c r="P1065"/>
  <c r="R1065" s="1"/>
  <c r="R1075" s="1"/>
  <c r="R1077" s="1"/>
  <c r="AG1063"/>
  <c r="AI1063" s="1"/>
  <c r="AI1073" s="1"/>
  <c r="AI1075" s="1"/>
  <c r="K1054"/>
  <c r="K1064" s="1"/>
  <c r="K1066" s="1"/>
  <c r="V3683"/>
  <c r="X3653"/>
  <c r="X3667" s="1"/>
  <c r="X3668" s="1"/>
  <c r="X708"/>
  <c r="AA708" s="1"/>
  <c r="V678"/>
  <c r="X678" s="1"/>
  <c r="X1388"/>
  <c r="V1404"/>
  <c r="P3436"/>
  <c r="R3436" s="1"/>
  <c r="P3324"/>
  <c r="R3324" s="1"/>
  <c r="R3337" s="1"/>
  <c r="R3339" s="1"/>
  <c r="R3222"/>
  <c r="R3236" s="1"/>
  <c r="R3238" s="1"/>
  <c r="V819"/>
  <c r="X819" s="1"/>
  <c r="X804"/>
  <c r="P1225"/>
  <c r="P1262"/>
  <c r="R1220"/>
  <c r="T1220" s="1"/>
  <c r="V3573"/>
  <c r="X3557"/>
  <c r="AL1200"/>
  <c r="AE1201"/>
  <c r="K3530"/>
  <c r="I3546"/>
  <c r="P3534"/>
  <c r="V3607"/>
  <c r="X3590"/>
  <c r="K1440"/>
  <c r="K1442" s="1"/>
  <c r="I1989" s="1"/>
  <c r="L1412"/>
  <c r="K1220"/>
  <c r="K1238" s="1"/>
  <c r="K1241" s="1"/>
  <c r="P284" s="1"/>
  <c r="R284" s="1"/>
  <c r="R289" s="1"/>
  <c r="R291" s="1"/>
  <c r="P1216"/>
  <c r="R1305"/>
  <c r="R1309" s="1"/>
  <c r="R1311" s="1"/>
  <c r="V1303"/>
  <c r="K356"/>
  <c r="K363" s="1"/>
  <c r="K365" s="1"/>
  <c r="K367" s="1"/>
  <c r="V356"/>
  <c r="P1536"/>
  <c r="R1536" s="1"/>
  <c r="R1493"/>
  <c r="V1454"/>
  <c r="V1458"/>
  <c r="R1497"/>
  <c r="V336"/>
  <c r="K336"/>
  <c r="K343" s="1"/>
  <c r="K345" s="1"/>
  <c r="K347" s="1"/>
  <c r="R1089"/>
  <c r="P1111"/>
  <c r="R1111" s="1"/>
  <c r="X3563"/>
  <c r="V3579"/>
  <c r="X3579" s="1"/>
  <c r="P2854"/>
  <c r="R2854" s="1"/>
  <c r="R2821"/>
  <c r="AG2650"/>
  <c r="AI2650" s="1"/>
  <c r="AG2616"/>
  <c r="AI2616" s="1"/>
  <c r="AI2627" s="1"/>
  <c r="AI2629" s="1"/>
  <c r="AA2600"/>
  <c r="AA2610" s="1"/>
  <c r="AA2611" s="1"/>
  <c r="X2602"/>
  <c r="P1091"/>
  <c r="K1017"/>
  <c r="K1028" s="1"/>
  <c r="K1030" s="1"/>
  <c r="H3873"/>
  <c r="J3873" s="1"/>
  <c r="J3878" s="1"/>
  <c r="J3880" s="1"/>
  <c r="J3852"/>
  <c r="J3857" s="1"/>
  <c r="J3859" s="1"/>
  <c r="R1263"/>
  <c r="V1243"/>
  <c r="P1240"/>
  <c r="R1240" s="1"/>
  <c r="V817"/>
  <c r="X817" s="1"/>
  <c r="X802"/>
  <c r="AD1400"/>
  <c r="X1402"/>
  <c r="P2678"/>
  <c r="K2671"/>
  <c r="K2674" s="1"/>
  <c r="K2676" s="1"/>
  <c r="AF1363" l="1"/>
  <c r="K3174"/>
  <c r="K3175" s="1"/>
  <c r="X1345"/>
  <c r="X1347" s="1"/>
  <c r="R1868"/>
  <c r="R1870" s="1"/>
  <c r="P1879" s="1"/>
  <c r="R1879" s="1"/>
  <c r="R1881" s="1"/>
  <c r="R1899"/>
  <c r="R1901" s="1"/>
  <c r="P1910" s="1"/>
  <c r="R1910" s="1"/>
  <c r="R1912" s="1"/>
  <c r="R1495"/>
  <c r="V1456"/>
  <c r="K1110"/>
  <c r="K1112" s="1"/>
  <c r="AH655"/>
  <c r="AH657" s="1"/>
  <c r="X655"/>
  <c r="X657" s="1"/>
  <c r="J542"/>
  <c r="W541"/>
  <c r="AE541" s="1"/>
  <c r="V1444"/>
  <c r="R1483"/>
  <c r="X1299"/>
  <c r="V1319"/>
  <c r="X1319" s="1"/>
  <c r="K517"/>
  <c r="K519" s="1"/>
  <c r="I550"/>
  <c r="K550" s="1"/>
  <c r="K555" s="1"/>
  <c r="K557" s="1"/>
  <c r="I559" s="1"/>
  <c r="K559" s="1"/>
  <c r="I560" s="1"/>
  <c r="K560" s="1"/>
  <c r="I561" s="1"/>
  <c r="K561" s="1"/>
  <c r="I562" s="1"/>
  <c r="K562" s="1"/>
  <c r="I563" s="1"/>
  <c r="K563" s="1"/>
  <c r="I564" s="1"/>
  <c r="I526"/>
  <c r="K526" s="1"/>
  <c r="K531" s="1"/>
  <c r="K533" s="1"/>
  <c r="I535" s="1"/>
  <c r="K535" s="1"/>
  <c r="I536" s="1"/>
  <c r="K536" s="1"/>
  <c r="I537" s="1"/>
  <c r="K537" s="1"/>
  <c r="I538" s="1"/>
  <c r="K538" s="1"/>
  <c r="I539" s="1"/>
  <c r="K539" s="1"/>
  <c r="I540" s="1"/>
  <c r="K540" s="1"/>
  <c r="I541" s="1"/>
  <c r="K541" s="1"/>
  <c r="I542" s="1"/>
  <c r="K542" s="1"/>
  <c r="I543" s="1"/>
  <c r="J666"/>
  <c r="J667" s="1"/>
  <c r="J668" s="1"/>
  <c r="J669" s="1"/>
  <c r="J670" s="1"/>
  <c r="W490"/>
  <c r="AE490" s="1"/>
  <c r="X3607"/>
  <c r="V3622"/>
  <c r="X1404"/>
  <c r="AD1402"/>
  <c r="V1301"/>
  <c r="P1237"/>
  <c r="R1237" s="1"/>
  <c r="V1240"/>
  <c r="R1260"/>
  <c r="X336"/>
  <c r="X343" s="1"/>
  <c r="X345" s="1"/>
  <c r="X347" s="1"/>
  <c r="X348" s="1"/>
  <c r="X349" s="1"/>
  <c r="X350" s="1"/>
  <c r="X351" s="1"/>
  <c r="AG336"/>
  <c r="AI336" s="1"/>
  <c r="AI343" s="1"/>
  <c r="AI345" s="1"/>
  <c r="AI347" s="1"/>
  <c r="AI348" s="1"/>
  <c r="AI349" s="1"/>
  <c r="AI350" s="1"/>
  <c r="AI351" s="1"/>
  <c r="AI352" s="1"/>
  <c r="AI353" s="1"/>
  <c r="AI354" s="1"/>
  <c r="AI355" s="1"/>
  <c r="AI356" s="1"/>
  <c r="AI357" s="1"/>
  <c r="AI358" s="1"/>
  <c r="AI359" s="1"/>
  <c r="AI360" s="1"/>
  <c r="V1323"/>
  <c r="X1323" s="1"/>
  <c r="X1303"/>
  <c r="X3573"/>
  <c r="V3588"/>
  <c r="K1971"/>
  <c r="K1977" s="1"/>
  <c r="P1971"/>
  <c r="R1971" s="1"/>
  <c r="R1978" s="1"/>
  <c r="P1238"/>
  <c r="R1238" s="1"/>
  <c r="R1261"/>
  <c r="V1241"/>
  <c r="P2346"/>
  <c r="P231"/>
  <c r="R231" s="1"/>
  <c r="R238" s="1"/>
  <c r="R240" s="1"/>
  <c r="C74"/>
  <c r="I167"/>
  <c r="K167" s="1"/>
  <c r="K171" s="1"/>
  <c r="P2857"/>
  <c r="R2857" s="1"/>
  <c r="R2824"/>
  <c r="I4012"/>
  <c r="K3996"/>
  <c r="X3556"/>
  <c r="V3572"/>
  <c r="AU68"/>
  <c r="AS92"/>
  <c r="X3574"/>
  <c r="V3589"/>
  <c r="K471"/>
  <c r="L470"/>
  <c r="L1337"/>
  <c r="L1335"/>
  <c r="W565"/>
  <c r="AE565" s="1"/>
  <c r="J564"/>
  <c r="J565" s="1"/>
  <c r="J566" s="1"/>
  <c r="J567" s="1"/>
  <c r="J568" s="1"/>
  <c r="J569" s="1"/>
  <c r="J570" s="1"/>
  <c r="J571" s="1"/>
  <c r="I3963"/>
  <c r="K3947"/>
  <c r="R1475"/>
  <c r="P1482"/>
  <c r="V1436"/>
  <c r="P3535"/>
  <c r="K3531"/>
  <c r="R1338"/>
  <c r="R1340" s="1"/>
  <c r="R1341" s="1"/>
  <c r="R1342" s="1"/>
  <c r="R1343" s="1"/>
  <c r="R1344" s="1"/>
  <c r="R1345" s="1"/>
  <c r="Q1341" s="1"/>
  <c r="Q1342" s="1"/>
  <c r="X319"/>
  <c r="X321" s="1"/>
  <c r="X323" s="1"/>
  <c r="AD1248"/>
  <c r="X1243"/>
  <c r="J367"/>
  <c r="K368"/>
  <c r="AD1435"/>
  <c r="AF1435" s="1"/>
  <c r="X1437"/>
  <c r="K1991"/>
  <c r="P1991"/>
  <c r="R1991" s="1"/>
  <c r="V705"/>
  <c r="V800"/>
  <c r="C73"/>
  <c r="I175"/>
  <c r="K175" s="1"/>
  <c r="K179" s="1"/>
  <c r="AS91"/>
  <c r="AU67"/>
  <c r="P1469"/>
  <c r="R1452"/>
  <c r="R1490"/>
  <c r="V1451"/>
  <c r="R1499"/>
  <c r="V1460"/>
  <c r="X1459"/>
  <c r="AD1457"/>
  <c r="AF1457" s="1"/>
  <c r="P1491"/>
  <c r="V1421"/>
  <c r="X1421" s="1"/>
  <c r="R1460"/>
  <c r="AI319"/>
  <c r="AI321" s="1"/>
  <c r="AI323" s="1"/>
  <c r="L347"/>
  <c r="K348"/>
  <c r="K1989"/>
  <c r="P1989"/>
  <c r="R1989" s="1"/>
  <c r="R1999" s="1"/>
  <c r="K3945"/>
  <c r="I3961"/>
  <c r="AG365"/>
  <c r="AI365" s="1"/>
  <c r="AI372" s="1"/>
  <c r="AI374" s="1"/>
  <c r="AI376" s="1"/>
  <c r="X356"/>
  <c r="X363" s="1"/>
  <c r="X365" s="1"/>
  <c r="X3683"/>
  <c r="X3695" s="1"/>
  <c r="X3696" s="1"/>
  <c r="V3701"/>
  <c r="AG428"/>
  <c r="AI428" s="1"/>
  <c r="AI392"/>
  <c r="X707"/>
  <c r="AA707" s="1"/>
  <c r="V677"/>
  <c r="X677" s="1"/>
  <c r="R1259"/>
  <c r="V1239"/>
  <c r="P1236"/>
  <c r="R1236" s="1"/>
  <c r="X1405"/>
  <c r="AD1403"/>
  <c r="V1409"/>
  <c r="X1393"/>
  <c r="K614"/>
  <c r="I614"/>
  <c r="X706"/>
  <c r="AA706" s="1"/>
  <c r="V676"/>
  <c r="X676" s="1"/>
  <c r="AD1395"/>
  <c r="AF1395" s="1"/>
  <c r="AF1378"/>
  <c r="P1465"/>
  <c r="R1448"/>
  <c r="AF1374"/>
  <c r="AD1391"/>
  <c r="AF1391" s="1"/>
  <c r="AF1397" s="1"/>
  <c r="AS89"/>
  <c r="AU65"/>
  <c r="K403"/>
  <c r="J402"/>
  <c r="AE1202"/>
  <c r="AL1201"/>
  <c r="AW133"/>
  <c r="AX133" s="1"/>
  <c r="V1320"/>
  <c r="X1320" s="1"/>
  <c r="X1300"/>
  <c r="I3268"/>
  <c r="K3268" s="1"/>
  <c r="L3234" s="1"/>
  <c r="I3254"/>
  <c r="K3254" s="1"/>
  <c r="K3183"/>
  <c r="AG389"/>
  <c r="V411"/>
  <c r="X411" s="1"/>
  <c r="X418" s="1"/>
  <c r="X420" s="1"/>
  <c r="V426" s="1"/>
  <c r="X426" s="1"/>
  <c r="X430" s="1"/>
  <c r="X432" s="1"/>
  <c r="X434" s="1"/>
  <c r="X435" s="1"/>
  <c r="X436" s="1"/>
  <c r="X437" s="1"/>
  <c r="X438" s="1"/>
  <c r="X380"/>
  <c r="X387" s="1"/>
  <c r="X389" s="1"/>
  <c r="V394" s="1"/>
  <c r="X394" s="1"/>
  <c r="X398" s="1"/>
  <c r="X400" s="1"/>
  <c r="X402" s="1"/>
  <c r="X403" s="1"/>
  <c r="X404" s="1"/>
  <c r="X405" s="1"/>
  <c r="X406" s="1"/>
  <c r="V1422"/>
  <c r="X1422" s="1"/>
  <c r="R1461"/>
  <c r="P1492"/>
  <c r="K3835"/>
  <c r="K3837" s="1"/>
  <c r="X3609"/>
  <c r="V3624"/>
  <c r="X3625" s="1"/>
  <c r="AW164"/>
  <c r="AX164" s="1"/>
  <c r="I3939"/>
  <c r="K3921"/>
  <c r="AG429"/>
  <c r="AI429" s="1"/>
  <c r="AI393"/>
  <c r="K3197"/>
  <c r="K3200" s="1"/>
  <c r="K3202" s="1"/>
  <c r="I3211"/>
  <c r="I3242"/>
  <c r="K4010"/>
  <c r="I4025"/>
  <c r="P1539"/>
  <c r="R1539" s="1"/>
  <c r="V1413"/>
  <c r="X1397"/>
  <c r="R3474"/>
  <c r="R3476" s="1"/>
  <c r="P1258"/>
  <c r="R1216"/>
  <c r="I2947"/>
  <c r="K2928"/>
  <c r="AF1400"/>
  <c r="AD1417"/>
  <c r="AF1417" s="1"/>
  <c r="AD1452"/>
  <c r="AF1452" s="1"/>
  <c r="X1454"/>
  <c r="V3546"/>
  <c r="AG3546"/>
  <c r="AI3546" s="1"/>
  <c r="K3546"/>
  <c r="P1267"/>
  <c r="R1225"/>
  <c r="T1225" s="1"/>
  <c r="P1112"/>
  <c r="R1112" s="1"/>
  <c r="R1090"/>
  <c r="X1302"/>
  <c r="V1322"/>
  <c r="X1322" s="1"/>
  <c r="I4064"/>
  <c r="K4064" s="1"/>
  <c r="K4074" s="1"/>
  <c r="K4076" s="1"/>
  <c r="V3131"/>
  <c r="X3114"/>
  <c r="X3124" s="1"/>
  <c r="X3126" s="1"/>
  <c r="AF1190"/>
  <c r="AK1190"/>
  <c r="AM1190" s="1"/>
  <c r="AF1189"/>
  <c r="AF1194" s="1"/>
  <c r="AF1196" s="1"/>
  <c r="AF1197" s="1"/>
  <c r="AF1198" s="1"/>
  <c r="AF1199" s="1"/>
  <c r="AF1200" s="1"/>
  <c r="AF1201" s="1"/>
  <c r="AF1202" s="1"/>
  <c r="AK1189"/>
  <c r="AM1189" s="1"/>
  <c r="AD1418"/>
  <c r="AF1418" s="1"/>
  <c r="AF1401"/>
  <c r="K878"/>
  <c r="I860"/>
  <c r="V878"/>
  <c r="I894"/>
  <c r="K894" s="1"/>
  <c r="X1455"/>
  <c r="AD1453"/>
  <c r="AF1453" s="1"/>
  <c r="K3989"/>
  <c r="I3990"/>
  <c r="K3990" s="1"/>
  <c r="K3468"/>
  <c r="K3470" s="1"/>
  <c r="R1091"/>
  <c r="P1113"/>
  <c r="R1113" s="1"/>
  <c r="I3528"/>
  <c r="R3448"/>
  <c r="R3450" s="1"/>
  <c r="R3452" s="1"/>
  <c r="X1458"/>
  <c r="AD1456"/>
  <c r="AF1456" s="1"/>
  <c r="P3550"/>
  <c r="R3550" s="1"/>
  <c r="R3534"/>
  <c r="R1262"/>
  <c r="P1239"/>
  <c r="R1239" s="1"/>
  <c r="V1242"/>
  <c r="R1223"/>
  <c r="T1223" s="1"/>
  <c r="P1265"/>
  <c r="K4019"/>
  <c r="I4020"/>
  <c r="AS90"/>
  <c r="AU66"/>
  <c r="R1224"/>
  <c r="T1224" s="1"/>
  <c r="P1266"/>
  <c r="V3248"/>
  <c r="X3248" s="1"/>
  <c r="X3259" s="1"/>
  <c r="X3261" s="1"/>
  <c r="K3280"/>
  <c r="K3291" s="1"/>
  <c r="K3293" s="1"/>
  <c r="I3269"/>
  <c r="K3269" s="1"/>
  <c r="L3235" s="1"/>
  <c r="I3255"/>
  <c r="K3255" s="1"/>
  <c r="K3184"/>
  <c r="K3187" s="1"/>
  <c r="K3188" s="1"/>
  <c r="I3960"/>
  <c r="K3944"/>
  <c r="I2927"/>
  <c r="K2927" s="1"/>
  <c r="K2914"/>
  <c r="I2443"/>
  <c r="K2443" s="1"/>
  <c r="K2446" s="1"/>
  <c r="K2448" s="1"/>
  <c r="K2410"/>
  <c r="K2415" s="1"/>
  <c r="AG426"/>
  <c r="AI390"/>
  <c r="AG404"/>
  <c r="AI404" s="1"/>
  <c r="I3321"/>
  <c r="K3321" s="1"/>
  <c r="K3329" s="1"/>
  <c r="K3331" s="1"/>
  <c r="R3261"/>
  <c r="R3270" s="1"/>
  <c r="R3272" s="1"/>
  <c r="AG427"/>
  <c r="AI427" s="1"/>
  <c r="AI391"/>
  <c r="I2948"/>
  <c r="K2929"/>
  <c r="R1489"/>
  <c r="P1535"/>
  <c r="R1535" s="1"/>
  <c r="V1450"/>
  <c r="P624"/>
  <c r="R624" s="1"/>
  <c r="P625"/>
  <c r="R625" s="1"/>
  <c r="K323"/>
  <c r="R1100"/>
  <c r="P1121"/>
  <c r="K1998" l="1"/>
  <c r="AM1194"/>
  <c r="AM1196" s="1"/>
  <c r="AM1197" s="1"/>
  <c r="AM1198" s="1"/>
  <c r="AM1199" s="1"/>
  <c r="AM1200" s="1"/>
  <c r="AM1201" s="1"/>
  <c r="K564"/>
  <c r="I565" s="1"/>
  <c r="K565" s="1"/>
  <c r="I566" s="1"/>
  <c r="K566" s="1"/>
  <c r="I567" s="1"/>
  <c r="K567" s="1"/>
  <c r="I568" s="1"/>
  <c r="K568" s="1"/>
  <c r="I569" s="1"/>
  <c r="K569" s="1"/>
  <c r="I570" s="1"/>
  <c r="K570" s="1"/>
  <c r="I571" s="1"/>
  <c r="K571" s="1"/>
  <c r="AD1454"/>
  <c r="AF1454" s="1"/>
  <c r="X1456"/>
  <c r="R1101"/>
  <c r="R1103" s="1"/>
  <c r="AU71"/>
  <c r="AU73" s="1"/>
  <c r="AU75" s="1"/>
  <c r="AU76" s="1"/>
  <c r="AU77" s="1"/>
  <c r="AU78" s="1"/>
  <c r="AU79" s="1"/>
  <c r="X1399"/>
  <c r="I2957"/>
  <c r="K2957" s="1"/>
  <c r="K2948"/>
  <c r="AG425"/>
  <c r="AI425" s="1"/>
  <c r="AI389"/>
  <c r="AI396" s="1"/>
  <c r="AI398" s="1"/>
  <c r="AG403" s="1"/>
  <c r="AI403" s="1"/>
  <c r="AI407" s="1"/>
  <c r="AI409" s="1"/>
  <c r="AI411" s="1"/>
  <c r="AI412" s="1"/>
  <c r="AI413" s="1"/>
  <c r="AI414" s="1"/>
  <c r="AI415" s="1"/>
  <c r="AI416" s="1"/>
  <c r="AI417" s="1"/>
  <c r="AI418" s="1"/>
  <c r="AI419" s="1"/>
  <c r="AI420" s="1"/>
  <c r="AI421" s="1"/>
  <c r="AI422" s="1"/>
  <c r="AK422" s="1"/>
  <c r="AK423" s="1"/>
  <c r="AI377"/>
  <c r="X1460"/>
  <c r="AD1458"/>
  <c r="AF1458" s="1"/>
  <c r="K369"/>
  <c r="J368"/>
  <c r="Z323"/>
  <c r="X324"/>
  <c r="I3980"/>
  <c r="K3980" s="1"/>
  <c r="K3963"/>
  <c r="V528"/>
  <c r="X659"/>
  <c r="X660" s="1"/>
  <c r="X661" s="1"/>
  <c r="X662" s="1"/>
  <c r="X663" s="1"/>
  <c r="X664" s="1"/>
  <c r="I2824"/>
  <c r="K2824" s="1"/>
  <c r="K2825" s="1"/>
  <c r="K2827" s="1"/>
  <c r="P2831"/>
  <c r="R1121"/>
  <c r="R1122" s="1"/>
  <c r="R1124" s="1"/>
  <c r="I3226"/>
  <c r="K3226" s="1"/>
  <c r="K3211"/>
  <c r="AS109"/>
  <c r="AU89"/>
  <c r="AD1244"/>
  <c r="X1239"/>
  <c r="X367"/>
  <c r="AI324"/>
  <c r="AJ323"/>
  <c r="AU91"/>
  <c r="AS111"/>
  <c r="AF1248"/>
  <c r="AD1220"/>
  <c r="AF1220" s="1"/>
  <c r="X3589"/>
  <c r="V3606"/>
  <c r="L519"/>
  <c r="K520"/>
  <c r="K521" s="1"/>
  <c r="K522" s="1"/>
  <c r="L471"/>
  <c r="K472"/>
  <c r="I4027"/>
  <c r="K4012"/>
  <c r="K4014" s="1"/>
  <c r="K4015" s="1"/>
  <c r="AD528"/>
  <c r="AH659"/>
  <c r="AH660" s="1"/>
  <c r="AH661" s="1"/>
  <c r="AH662" s="1"/>
  <c r="AH663" s="1"/>
  <c r="AH664" s="1"/>
  <c r="AI426"/>
  <c r="AG441"/>
  <c r="AI441" s="1"/>
  <c r="K4020"/>
  <c r="I4021"/>
  <c r="K4021" s="1"/>
  <c r="AU90"/>
  <c r="AS110"/>
  <c r="I3267"/>
  <c r="K3267" s="1"/>
  <c r="K3242"/>
  <c r="I3977"/>
  <c r="K3977" s="1"/>
  <c r="K3960"/>
  <c r="V3562"/>
  <c r="X3546"/>
  <c r="P1235"/>
  <c r="R1235" s="1"/>
  <c r="R1258"/>
  <c r="V1238"/>
  <c r="J403"/>
  <c r="K404"/>
  <c r="K405" s="1"/>
  <c r="K406" s="1"/>
  <c r="X3701"/>
  <c r="X3709" s="1"/>
  <c r="X3710" s="1"/>
  <c r="V3715"/>
  <c r="X3715" s="1"/>
  <c r="X3723" s="1"/>
  <c r="X3724" s="1"/>
  <c r="K349"/>
  <c r="L348"/>
  <c r="R1491"/>
  <c r="V1452"/>
  <c r="R1469"/>
  <c r="V1430"/>
  <c r="X1430" s="1"/>
  <c r="P1477"/>
  <c r="P1500"/>
  <c r="R1482"/>
  <c r="V1443"/>
  <c r="X1241"/>
  <c r="AD1246"/>
  <c r="W542"/>
  <c r="AE542" s="1"/>
  <c r="J543"/>
  <c r="R1543"/>
  <c r="R1545" s="1"/>
  <c r="S1545" s="1"/>
  <c r="K3998"/>
  <c r="K3999" s="1"/>
  <c r="L368"/>
  <c r="I3955"/>
  <c r="K3939"/>
  <c r="AF1403"/>
  <c r="AD1420"/>
  <c r="AF1420" s="1"/>
  <c r="X1436"/>
  <c r="AD1434"/>
  <c r="AF1434" s="1"/>
  <c r="P2355"/>
  <c r="R2355" s="1"/>
  <c r="R2357" s="1"/>
  <c r="R2346"/>
  <c r="AD1419"/>
  <c r="AF1419" s="1"/>
  <c r="AF1402"/>
  <c r="X1450"/>
  <c r="AD1448"/>
  <c r="AF1448" s="1"/>
  <c r="K4025"/>
  <c r="I4036"/>
  <c r="K4036" s="1"/>
  <c r="X3131"/>
  <c r="X3141" s="1"/>
  <c r="X3143" s="1"/>
  <c r="V3156"/>
  <c r="X3156" s="1"/>
  <c r="X3166" s="1"/>
  <c r="X3168" s="1"/>
  <c r="I2956"/>
  <c r="K2956" s="1"/>
  <c r="K2947"/>
  <c r="R1492"/>
  <c r="V1453"/>
  <c r="P1496"/>
  <c r="V1426"/>
  <c r="X1426" s="1"/>
  <c r="X1432" s="1"/>
  <c r="R1465"/>
  <c r="R1471" s="1"/>
  <c r="X1409"/>
  <c r="AD1407"/>
  <c r="X705"/>
  <c r="V675"/>
  <c r="X675" s="1"/>
  <c r="X683" s="1"/>
  <c r="X684" s="1"/>
  <c r="R3535"/>
  <c r="P3551"/>
  <c r="R3551" s="1"/>
  <c r="V3587"/>
  <c r="X3572"/>
  <c r="X1301"/>
  <c r="V1321"/>
  <c r="X1321" s="1"/>
  <c r="X1326" s="1"/>
  <c r="X1328" s="1"/>
  <c r="X1444"/>
  <c r="V1468"/>
  <c r="X1468" s="1"/>
  <c r="K2930"/>
  <c r="K2931" s="1"/>
  <c r="R1228"/>
  <c r="R1230" s="1"/>
  <c r="S1230" s="1"/>
  <c r="T1216"/>
  <c r="T1228" s="1"/>
  <c r="T1230" s="1"/>
  <c r="P1243"/>
  <c r="R1243" s="1"/>
  <c r="R1266"/>
  <c r="V1246"/>
  <c r="P1382"/>
  <c r="R1382" s="1"/>
  <c r="AD1247"/>
  <c r="X1242"/>
  <c r="P3532"/>
  <c r="K3528"/>
  <c r="K3532" s="1"/>
  <c r="K3533" s="1"/>
  <c r="I3544"/>
  <c r="I2936"/>
  <c r="K2936" s="1"/>
  <c r="K2939" s="1"/>
  <c r="K2940" s="1"/>
  <c r="K2915"/>
  <c r="I3300"/>
  <c r="K3300" s="1"/>
  <c r="V860"/>
  <c r="X860" s="1"/>
  <c r="P853"/>
  <c r="R853" s="1"/>
  <c r="K860"/>
  <c r="P1383"/>
  <c r="R1383" s="1"/>
  <c r="R1267"/>
  <c r="V1247"/>
  <c r="P1244"/>
  <c r="R1244" s="1"/>
  <c r="AD1411"/>
  <c r="X1413"/>
  <c r="AE1203"/>
  <c r="AL1202"/>
  <c r="AM1202" s="1"/>
  <c r="AD1449"/>
  <c r="AF1449" s="1"/>
  <c r="X1451"/>
  <c r="X800"/>
  <c r="X811" s="1"/>
  <c r="V815"/>
  <c r="X815" s="1"/>
  <c r="X826" s="1"/>
  <c r="AA815" s="1"/>
  <c r="AA816" s="1"/>
  <c r="AA817" s="1"/>
  <c r="AA818" s="1"/>
  <c r="AA819" s="1"/>
  <c r="AA820" s="1"/>
  <c r="AA821" s="1"/>
  <c r="AA822" s="1"/>
  <c r="AA823" s="1"/>
  <c r="AA824" s="1"/>
  <c r="I195"/>
  <c r="V195"/>
  <c r="X195" s="1"/>
  <c r="X202" s="1"/>
  <c r="X204" s="1"/>
  <c r="V3605"/>
  <c r="X3588"/>
  <c r="K3258"/>
  <c r="K3260" s="1"/>
  <c r="R1454"/>
  <c r="R1455" s="1"/>
  <c r="K324"/>
  <c r="L323"/>
  <c r="P1242"/>
  <c r="R1242" s="1"/>
  <c r="R1265"/>
  <c r="V1245"/>
  <c r="P1381"/>
  <c r="R1381" s="1"/>
  <c r="V894"/>
  <c r="X894" s="1"/>
  <c r="X878"/>
  <c r="I615"/>
  <c r="K615"/>
  <c r="I3978"/>
  <c r="K3978" s="1"/>
  <c r="K3961"/>
  <c r="P1141"/>
  <c r="I1705"/>
  <c r="K1705" s="1"/>
  <c r="K1711" s="1"/>
  <c r="K1713" s="1"/>
  <c r="P626"/>
  <c r="R626" s="1"/>
  <c r="I807"/>
  <c r="K807" s="1"/>
  <c r="K815" s="1"/>
  <c r="K817" s="1"/>
  <c r="I270"/>
  <c r="K270" s="1"/>
  <c r="K278" s="1"/>
  <c r="K280" s="1"/>
  <c r="I210"/>
  <c r="K210" s="1"/>
  <c r="K217" s="1"/>
  <c r="K219" s="1"/>
  <c r="P65"/>
  <c r="R65" s="1"/>
  <c r="R72" s="1"/>
  <c r="R74" s="1"/>
  <c r="P653" s="1"/>
  <c r="R653" s="1"/>
  <c r="P195"/>
  <c r="R195" s="1"/>
  <c r="R202" s="1"/>
  <c r="R204" s="1"/>
  <c r="AS112"/>
  <c r="AU92"/>
  <c r="AD1245"/>
  <c r="X1240"/>
  <c r="AF1380"/>
  <c r="X1306"/>
  <c r="X1308" s="1"/>
  <c r="X1309" s="1"/>
  <c r="X1310" s="1"/>
  <c r="X1311" s="1"/>
  <c r="X1312" s="1"/>
  <c r="X1313" s="1"/>
  <c r="W1309" s="1"/>
  <c r="W1310" s="1"/>
  <c r="R1386" l="1"/>
  <c r="R1388" s="1"/>
  <c r="R1270"/>
  <c r="R1272" s="1"/>
  <c r="I2341"/>
  <c r="K2341" s="1"/>
  <c r="K2343" s="1"/>
  <c r="I637"/>
  <c r="K637" s="1"/>
  <c r="K641" s="1"/>
  <c r="K643" s="1"/>
  <c r="P656"/>
  <c r="R656" s="1"/>
  <c r="K285"/>
  <c r="K287" s="1"/>
  <c r="K288" s="1"/>
  <c r="K289" s="1"/>
  <c r="K290" s="1"/>
  <c r="K291" s="1"/>
  <c r="K325"/>
  <c r="L324"/>
  <c r="I2946"/>
  <c r="K2946" s="1"/>
  <c r="K2949" s="1"/>
  <c r="K2950" s="1"/>
  <c r="K2916"/>
  <c r="I2955" s="1"/>
  <c r="K2955" s="1"/>
  <c r="K2958" s="1"/>
  <c r="K2959" s="1"/>
  <c r="X1246"/>
  <c r="AD1251"/>
  <c r="AF1407"/>
  <c r="AD1424"/>
  <c r="AF1424" s="1"/>
  <c r="W543"/>
  <c r="AE543" s="1"/>
  <c r="J544"/>
  <c r="L406"/>
  <c r="L407" s="1"/>
  <c r="AS136"/>
  <c r="AU111"/>
  <c r="AU95"/>
  <c r="AU97" s="1"/>
  <c r="AU99" s="1"/>
  <c r="AI432"/>
  <c r="AI434" s="1"/>
  <c r="AG440" s="1"/>
  <c r="AI440" s="1"/>
  <c r="AI444" s="1"/>
  <c r="AI446" s="1"/>
  <c r="AI448" s="1"/>
  <c r="AI449" s="1"/>
  <c r="AI450" s="1"/>
  <c r="AI451" s="1"/>
  <c r="AI452" s="1"/>
  <c r="AI453" s="1"/>
  <c r="I616"/>
  <c r="K616"/>
  <c r="P163"/>
  <c r="R163" s="1"/>
  <c r="R170" s="1"/>
  <c r="R172" s="1"/>
  <c r="K195"/>
  <c r="K202" s="1"/>
  <c r="K204" s="1"/>
  <c r="I1781" s="1"/>
  <c r="K1781" s="1"/>
  <c r="K1790" s="1"/>
  <c r="AF1411"/>
  <c r="AD1428"/>
  <c r="AF1428" s="1"/>
  <c r="AA705"/>
  <c r="X713"/>
  <c r="V1438"/>
  <c r="P1484"/>
  <c r="R1477"/>
  <c r="R1478" s="1"/>
  <c r="R1479" s="1"/>
  <c r="L472"/>
  <c r="K473"/>
  <c r="AD1216"/>
  <c r="AF1216" s="1"/>
  <c r="AF1244"/>
  <c r="AF1247"/>
  <c r="AD1219"/>
  <c r="AF1219" s="1"/>
  <c r="R1500"/>
  <c r="V1461"/>
  <c r="X3562"/>
  <c r="V3578"/>
  <c r="I4039"/>
  <c r="K4039" s="1"/>
  <c r="K4027"/>
  <c r="K4029" s="1"/>
  <c r="K4030" s="1"/>
  <c r="Z324"/>
  <c r="X325"/>
  <c r="X326" s="1"/>
  <c r="X327" s="1"/>
  <c r="AJ368"/>
  <c r="AI378"/>
  <c r="AI379" s="1"/>
  <c r="AI380" s="1"/>
  <c r="X686"/>
  <c r="Z684"/>
  <c r="Z686" s="1"/>
  <c r="V3620"/>
  <c r="X3621" s="1"/>
  <c r="X3605"/>
  <c r="AL1203"/>
  <c r="AM1203" s="1"/>
  <c r="AE1204"/>
  <c r="AD1451"/>
  <c r="AF1451" s="1"/>
  <c r="X1453"/>
  <c r="K350"/>
  <c r="K351" s="1"/>
  <c r="L349"/>
  <c r="X368"/>
  <c r="X369" s="1"/>
  <c r="X370" s="1"/>
  <c r="X371" s="1"/>
  <c r="P2864"/>
  <c r="I2643"/>
  <c r="V2792"/>
  <c r="R2831"/>
  <c r="R2832" s="1"/>
  <c r="R2834" s="1"/>
  <c r="R672"/>
  <c r="AU112"/>
  <c r="AS137"/>
  <c r="P1172"/>
  <c r="R1172" s="1"/>
  <c r="R1183" s="1"/>
  <c r="R1184" s="1"/>
  <c r="R1185" s="1"/>
  <c r="R1141"/>
  <c r="R1152" s="1"/>
  <c r="R1156" s="1"/>
  <c r="AD1250"/>
  <c r="X1245"/>
  <c r="R3532"/>
  <c r="R3536" s="1"/>
  <c r="R3537" s="1"/>
  <c r="P3548"/>
  <c r="R3548" s="1"/>
  <c r="R3552" s="1"/>
  <c r="R3553" s="1"/>
  <c r="V1457"/>
  <c r="R1496"/>
  <c r="V1467"/>
  <c r="X1467" s="1"/>
  <c r="X1443"/>
  <c r="AD552"/>
  <c r="AF552" s="1"/>
  <c r="AF557" s="1"/>
  <c r="AF559" s="1"/>
  <c r="AD561" s="1"/>
  <c r="AF561" s="1"/>
  <c r="AD562" s="1"/>
  <c r="AF562" s="1"/>
  <c r="AD563" s="1"/>
  <c r="AF563" s="1"/>
  <c r="AD564" s="1"/>
  <c r="AF564" s="1"/>
  <c r="AD565" s="1"/>
  <c r="AF565" s="1"/>
  <c r="AD566" s="1"/>
  <c r="AF566" s="1"/>
  <c r="AF528"/>
  <c r="AF533" s="1"/>
  <c r="AF535" s="1"/>
  <c r="AD537" s="1"/>
  <c r="AF537" s="1"/>
  <c r="AD538" s="1"/>
  <c r="AF538" s="1"/>
  <c r="AD539" s="1"/>
  <c r="AF539" s="1"/>
  <c r="AD540" s="1"/>
  <c r="AF540" s="1"/>
  <c r="AD541" s="1"/>
  <c r="AF541" s="1"/>
  <c r="AD542" s="1"/>
  <c r="AF542" s="1"/>
  <c r="AD543" s="1"/>
  <c r="AF543" s="1"/>
  <c r="AD544" s="1"/>
  <c r="V3621"/>
  <c r="X3622" s="1"/>
  <c r="X3606"/>
  <c r="R1247"/>
  <c r="R1249" s="1"/>
  <c r="I2383"/>
  <c r="K2383" s="1"/>
  <c r="K2390" s="1"/>
  <c r="K2392" s="1"/>
  <c r="I1720"/>
  <c r="K1720" s="1"/>
  <c r="K1725" s="1"/>
  <c r="K1727" s="1"/>
  <c r="I1731"/>
  <c r="K1731" s="1"/>
  <c r="K1734" s="1"/>
  <c r="K1736" s="1"/>
  <c r="I1741" s="1"/>
  <c r="K1741" s="1"/>
  <c r="K1744" s="1"/>
  <c r="K1746" s="1"/>
  <c r="AI325"/>
  <c r="AI326" s="1"/>
  <c r="AI327" s="1"/>
  <c r="AJ325"/>
  <c r="AJ324"/>
  <c r="L3192"/>
  <c r="L3195" s="1"/>
  <c r="L3197" s="1"/>
  <c r="K3229"/>
  <c r="K3231" s="1"/>
  <c r="X528"/>
  <c r="X533" s="1"/>
  <c r="X535" s="1"/>
  <c r="V537" s="1"/>
  <c r="X537" s="1"/>
  <c r="V538" s="1"/>
  <c r="X538" s="1"/>
  <c r="V539" s="1"/>
  <c r="X539" s="1"/>
  <c r="V540" s="1"/>
  <c r="X540" s="1"/>
  <c r="V541" s="1"/>
  <c r="X541" s="1"/>
  <c r="V542" s="1"/>
  <c r="X542" s="1"/>
  <c r="V543" s="1"/>
  <c r="X543" s="1"/>
  <c r="V544" s="1"/>
  <c r="V552"/>
  <c r="X552" s="1"/>
  <c r="X557" s="1"/>
  <c r="X559" s="1"/>
  <c r="K4041"/>
  <c r="K4042" s="1"/>
  <c r="V3544"/>
  <c r="AG3544"/>
  <c r="AI3544" s="1"/>
  <c r="AI3548" s="1"/>
  <c r="AI3549" s="1"/>
  <c r="K3544"/>
  <c r="K3548" s="1"/>
  <c r="K3549" s="1"/>
  <c r="AF1246"/>
  <c r="AD1218"/>
  <c r="AF1218" s="1"/>
  <c r="AD1450"/>
  <c r="AF1450" s="1"/>
  <c r="X1452"/>
  <c r="X1463" s="1"/>
  <c r="X1238"/>
  <c r="AD1242"/>
  <c r="K3273"/>
  <c r="K3275" s="1"/>
  <c r="L3233"/>
  <c r="L3239" s="1"/>
  <c r="L3241" s="1"/>
  <c r="L3177"/>
  <c r="L3180" s="1"/>
  <c r="L3182" s="1"/>
  <c r="K3214"/>
  <c r="K3216" s="1"/>
  <c r="K543"/>
  <c r="I544" s="1"/>
  <c r="K544" s="1"/>
  <c r="I545" s="1"/>
  <c r="V3604"/>
  <c r="X3587"/>
  <c r="AS135"/>
  <c r="AU110"/>
  <c r="AF1245"/>
  <c r="AD1217"/>
  <c r="AF1217" s="1"/>
  <c r="I2992"/>
  <c r="K821"/>
  <c r="X1247"/>
  <c r="AD1252"/>
  <c r="I3972"/>
  <c r="K3972" s="1"/>
  <c r="K3955"/>
  <c r="L3208"/>
  <c r="L3211" s="1"/>
  <c r="K3245"/>
  <c r="K3247" s="1"/>
  <c r="AS134"/>
  <c r="AU109"/>
  <c r="K370"/>
  <c r="J369"/>
  <c r="L369"/>
  <c r="J372"/>
  <c r="X1415"/>
  <c r="AF1203"/>
  <c r="AF1204" s="1"/>
  <c r="AF1430" l="1"/>
  <c r="Z367"/>
  <c r="AA367" s="1"/>
  <c r="R1502"/>
  <c r="AS148"/>
  <c r="AU148" s="1"/>
  <c r="AS165"/>
  <c r="AU134"/>
  <c r="K2992"/>
  <c r="K2999" s="1"/>
  <c r="K3001" s="1"/>
  <c r="I2789"/>
  <c r="K2789" s="1"/>
  <c r="K2796" s="1"/>
  <c r="K2798" s="1"/>
  <c r="V561"/>
  <c r="X561" s="1"/>
  <c r="V562" s="1"/>
  <c r="X562" s="1"/>
  <c r="V563" s="1"/>
  <c r="X563" s="1"/>
  <c r="V564" s="1"/>
  <c r="X564" s="1"/>
  <c r="V565" s="1"/>
  <c r="X565" s="1"/>
  <c r="P2347"/>
  <c r="R2347" s="1"/>
  <c r="R2350" s="1"/>
  <c r="AL1204"/>
  <c r="AM1204" s="1"/>
  <c r="AE1205"/>
  <c r="AD1436"/>
  <c r="AF1436" s="1"/>
  <c r="AF1437" s="1"/>
  <c r="AF1438" s="1"/>
  <c r="X1438"/>
  <c r="X1439" s="1"/>
  <c r="X1440" s="1"/>
  <c r="K326"/>
  <c r="K327" s="1"/>
  <c r="M325"/>
  <c r="X372"/>
  <c r="AW109"/>
  <c r="AX109" s="1"/>
  <c r="AU115"/>
  <c r="R2864"/>
  <c r="R2865" s="1"/>
  <c r="R2867" s="1"/>
  <c r="P3163"/>
  <c r="R3163" s="1"/>
  <c r="R3164" s="1"/>
  <c r="R3166" s="1"/>
  <c r="V1445"/>
  <c r="R1484"/>
  <c r="R1485" s="1"/>
  <c r="J545"/>
  <c r="K545" s="1"/>
  <c r="I546" s="1"/>
  <c r="W544"/>
  <c r="AE544" s="1"/>
  <c r="X1250"/>
  <c r="X1252" s="1"/>
  <c r="AI381"/>
  <c r="J370"/>
  <c r="K371"/>
  <c r="J371" s="1"/>
  <c r="K372"/>
  <c r="AW112"/>
  <c r="AX112" s="1"/>
  <c r="V2612"/>
  <c r="K2643"/>
  <c r="K2645" s="1"/>
  <c r="K2647" s="1"/>
  <c r="AD1459"/>
  <c r="AF1459" s="1"/>
  <c r="X1461"/>
  <c r="I3920"/>
  <c r="K823"/>
  <c r="K824" s="1"/>
  <c r="K825" s="1"/>
  <c r="K826" s="1"/>
  <c r="K827" s="1"/>
  <c r="K828" s="1"/>
  <c r="K829" s="1"/>
  <c r="K830" s="1"/>
  <c r="K831" s="1"/>
  <c r="K832" s="1"/>
  <c r="K833" s="1"/>
  <c r="K834" s="1"/>
  <c r="K835" s="1"/>
  <c r="V3619"/>
  <c r="X3620" s="1"/>
  <c r="X3604"/>
  <c r="AF1242"/>
  <c r="AD1214"/>
  <c r="AF1214" s="1"/>
  <c r="X3544"/>
  <c r="X3548" s="1"/>
  <c r="X3549" s="1"/>
  <c r="V3560"/>
  <c r="AD1455"/>
  <c r="AF1455" s="1"/>
  <c r="AF1461" s="1"/>
  <c r="X1457"/>
  <c r="AD1224"/>
  <c r="AF1224" s="1"/>
  <c r="AF1252"/>
  <c r="AS168"/>
  <c r="AU168" s="1"/>
  <c r="AU137"/>
  <c r="AG2796"/>
  <c r="AI2796" s="1"/>
  <c r="AI2797" s="1"/>
  <c r="AI2799" s="1"/>
  <c r="X2792"/>
  <c r="X2793" s="1"/>
  <c r="X2795" s="1"/>
  <c r="L351"/>
  <c r="L352" s="1"/>
  <c r="L353" s="1"/>
  <c r="X687"/>
  <c r="X688" s="1"/>
  <c r="X690" s="1"/>
  <c r="X691" s="1"/>
  <c r="X692" s="1"/>
  <c r="X693" s="1"/>
  <c r="X694" s="1"/>
  <c r="AS166"/>
  <c r="AU166" s="1"/>
  <c r="AU135"/>
  <c r="Z687"/>
  <c r="Z688" s="1"/>
  <c r="X3578"/>
  <c r="V3593"/>
  <c r="K474"/>
  <c r="L473"/>
  <c r="AU136"/>
  <c r="AS167"/>
  <c r="AU167" s="1"/>
  <c r="R1158"/>
  <c r="R1159" s="1"/>
  <c r="R1160" s="1"/>
  <c r="R1161" s="1"/>
  <c r="R1162" s="1"/>
  <c r="R1163" s="1"/>
  <c r="R1164" s="1"/>
  <c r="R1165" s="1"/>
  <c r="R1166" s="1"/>
  <c r="R1167" s="1"/>
  <c r="R1168" s="1"/>
  <c r="R1169" s="1"/>
  <c r="R1170" s="1"/>
  <c r="R1171" s="1"/>
  <c r="S1159"/>
  <c r="AW111"/>
  <c r="AX111"/>
  <c r="AD1223"/>
  <c r="AF1223" s="1"/>
  <c r="AF1251"/>
  <c r="P599"/>
  <c r="R599" s="1"/>
  <c r="R603" s="1"/>
  <c r="P613"/>
  <c r="R613" s="1"/>
  <c r="R617" s="1"/>
  <c r="P630"/>
  <c r="R630" s="1"/>
  <c r="R634" s="1"/>
  <c r="I649"/>
  <c r="K649" s="1"/>
  <c r="K655" s="1"/>
  <c r="K657" s="1"/>
  <c r="I659" s="1"/>
  <c r="K659" s="1"/>
  <c r="I660" s="1"/>
  <c r="K660" s="1"/>
  <c r="I661" s="1"/>
  <c r="K661" s="1"/>
  <c r="I662" s="1"/>
  <c r="K662" s="1"/>
  <c r="I663" s="1"/>
  <c r="K663" s="1"/>
  <c r="I664" s="1"/>
  <c r="K664" s="1"/>
  <c r="I665" s="1"/>
  <c r="K665" s="1"/>
  <c r="I666" s="1"/>
  <c r="K666" s="1"/>
  <c r="I667" s="1"/>
  <c r="K667" s="1"/>
  <c r="I668" s="1"/>
  <c r="K668" s="1"/>
  <c r="I669" s="1"/>
  <c r="K669" s="1"/>
  <c r="I670" s="1"/>
  <c r="K670" s="1"/>
  <c r="AW110"/>
  <c r="AX110"/>
  <c r="AF1250"/>
  <c r="AD1222"/>
  <c r="AF1222" s="1"/>
  <c r="AW99"/>
  <c r="AX99" s="1"/>
  <c r="AU100"/>
  <c r="AJ369"/>
  <c r="Z368"/>
  <c r="AF1413"/>
  <c r="X714"/>
  <c r="AA713"/>
  <c r="AI454"/>
  <c r="AG453"/>
  <c r="AF1205"/>
  <c r="AF544"/>
  <c r="AD545" s="1"/>
  <c r="Z369"/>
  <c r="AW136" l="1"/>
  <c r="AX136"/>
  <c r="L474"/>
  <c r="K475"/>
  <c r="AW168"/>
  <c r="AX168" s="1"/>
  <c r="X2612"/>
  <c r="X2613" s="1"/>
  <c r="X2615" s="1"/>
  <c r="AG2660"/>
  <c r="AI2660" s="1"/>
  <c r="AI2661" s="1"/>
  <c r="AI2663" s="1"/>
  <c r="AL1205"/>
  <c r="AM1205" s="1"/>
  <c r="AE1206"/>
  <c r="AW148"/>
  <c r="AX148" s="1"/>
  <c r="AF1255"/>
  <c r="AF1257" s="1"/>
  <c r="AU117"/>
  <c r="AW115"/>
  <c r="AX115" s="1"/>
  <c r="AS180"/>
  <c r="AU180" s="1"/>
  <c r="AU165"/>
  <c r="X716"/>
  <c r="AA714"/>
  <c r="AA716" s="1"/>
  <c r="AW167"/>
  <c r="AX167"/>
  <c r="AW135"/>
  <c r="AX135" s="1"/>
  <c r="AW134"/>
  <c r="AX134" s="1"/>
  <c r="AU140"/>
  <c r="AF1227"/>
  <c r="AF1229" s="1"/>
  <c r="AW166"/>
  <c r="AX166" s="1"/>
  <c r="AI455"/>
  <c r="AG454"/>
  <c r="V3576"/>
  <c r="X3560"/>
  <c r="X3564" s="1"/>
  <c r="X3565" s="1"/>
  <c r="I3938"/>
  <c r="K3920"/>
  <c r="K3932" s="1"/>
  <c r="X1445"/>
  <c r="X1446" s="1"/>
  <c r="X1447" s="1"/>
  <c r="V1469"/>
  <c r="X1469" s="1"/>
  <c r="X1470" s="1"/>
  <c r="X1471" s="1"/>
  <c r="R1486"/>
  <c r="S1446"/>
  <c r="AF1206"/>
  <c r="AW137"/>
  <c r="AX137" s="1"/>
  <c r="AU101"/>
  <c r="AW100"/>
  <c r="AX100" s="1"/>
  <c r="AD464"/>
  <c r="AF464" s="1"/>
  <c r="AF468" s="1"/>
  <c r="AF470" s="1"/>
  <c r="AD476" s="1"/>
  <c r="AF476" s="1"/>
  <c r="AF482" s="1"/>
  <c r="AF484" s="1"/>
  <c r="AD486" s="1"/>
  <c r="AF486" s="1"/>
  <c r="AD487" s="1"/>
  <c r="AF487" s="1"/>
  <c r="AD488" s="1"/>
  <c r="AF488" s="1"/>
  <c r="AD489" s="1"/>
  <c r="AF489" s="1"/>
  <c r="AD490" s="1"/>
  <c r="AF490" s="1"/>
  <c r="C877"/>
  <c r="X3593"/>
  <c r="V3610"/>
  <c r="J546"/>
  <c r="K546" s="1"/>
  <c r="I547" s="1"/>
  <c r="W545"/>
  <c r="AE545" s="1"/>
  <c r="AF545" s="1"/>
  <c r="AD546" s="1"/>
  <c r="X544"/>
  <c r="V545" s="1"/>
  <c r="X545" s="1"/>
  <c r="V546" s="1"/>
  <c r="AU119" l="1"/>
  <c r="AW117"/>
  <c r="AX117" s="1"/>
  <c r="AI456"/>
  <c r="AG455"/>
  <c r="X3576"/>
  <c r="X3580" s="1"/>
  <c r="X3581" s="1"/>
  <c r="V3591"/>
  <c r="AW180"/>
  <c r="AX180"/>
  <c r="AL1206"/>
  <c r="AM1206" s="1"/>
  <c r="AE1207"/>
  <c r="AE1208" s="1"/>
  <c r="L475"/>
  <c r="K476"/>
  <c r="AW165"/>
  <c r="AX165" s="1"/>
  <c r="AU171"/>
  <c r="J547"/>
  <c r="W547" s="1"/>
  <c r="AE547" s="1"/>
  <c r="W546"/>
  <c r="AE546" s="1"/>
  <c r="AF546" s="1"/>
  <c r="AD547" s="1"/>
  <c r="AF547" s="1"/>
  <c r="AD548" s="1"/>
  <c r="AF548" s="1"/>
  <c r="AD549" s="1"/>
  <c r="AF549" s="1"/>
  <c r="K3938"/>
  <c r="K3950" s="1"/>
  <c r="L3950" s="1"/>
  <c r="I3954"/>
  <c r="AW140"/>
  <c r="AX140" s="1"/>
  <c r="AU142"/>
  <c r="X717"/>
  <c r="X718" s="1"/>
  <c r="X720" s="1"/>
  <c r="X721" s="1"/>
  <c r="X722" s="1"/>
  <c r="X723" s="1"/>
  <c r="X724" s="1"/>
  <c r="V3625"/>
  <c r="X3626" s="1"/>
  <c r="X3610"/>
  <c r="AW101"/>
  <c r="AX101" s="1"/>
  <c r="AU102"/>
  <c r="AA717"/>
  <c r="AA718" s="1"/>
  <c r="K547" l="1"/>
  <c r="X546"/>
  <c r="V547" s="1"/>
  <c r="X547" s="1"/>
  <c r="V548" s="1"/>
  <c r="X548" s="1"/>
  <c r="V549" s="1"/>
  <c r="X549" s="1"/>
  <c r="I877"/>
  <c r="V464"/>
  <c r="X464" s="1"/>
  <c r="X468" s="1"/>
  <c r="X470" s="1"/>
  <c r="V476" s="1"/>
  <c r="X476" s="1"/>
  <c r="X482" s="1"/>
  <c r="X484" s="1"/>
  <c r="V486" s="1"/>
  <c r="X486" s="1"/>
  <c r="V487" s="1"/>
  <c r="X487" s="1"/>
  <c r="V488" s="1"/>
  <c r="X488" s="1"/>
  <c r="V489" s="1"/>
  <c r="X489" s="1"/>
  <c r="V490" s="1"/>
  <c r="X490" s="1"/>
  <c r="AW102"/>
  <c r="AX102" s="1"/>
  <c r="AU103"/>
  <c r="V3608"/>
  <c r="X3591"/>
  <c r="X3595" s="1"/>
  <c r="X3596" s="1"/>
  <c r="AS147"/>
  <c r="AW142"/>
  <c r="AX142" s="1"/>
  <c r="AU173"/>
  <c r="AW171"/>
  <c r="AX171" s="1"/>
  <c r="AW119"/>
  <c r="AX119" s="1"/>
  <c r="AU120"/>
  <c r="AV119"/>
  <c r="AI457"/>
  <c r="AG456"/>
  <c r="K3954"/>
  <c r="K3966" s="1"/>
  <c r="I3971"/>
  <c r="K3971" s="1"/>
  <c r="K3983" s="1"/>
  <c r="K477"/>
  <c r="L476"/>
  <c r="AF1207"/>
  <c r="AF1208" s="1"/>
  <c r="AU121" l="1"/>
  <c r="AV120"/>
  <c r="AW120"/>
  <c r="AX120" s="1"/>
  <c r="I893"/>
  <c r="K893" s="1"/>
  <c r="K905" s="1"/>
  <c r="K877"/>
  <c r="K889" s="1"/>
  <c r="I859"/>
  <c r="V877"/>
  <c r="AI458"/>
  <c r="AG457"/>
  <c r="AW173"/>
  <c r="AX173" s="1"/>
  <c r="AW103"/>
  <c r="AX103" s="1"/>
  <c r="V3623"/>
  <c r="X3608"/>
  <c r="X3612" s="1"/>
  <c r="X3613" s="1"/>
  <c r="L477"/>
  <c r="K478"/>
  <c r="AS179"/>
  <c r="AU179" s="1"/>
  <c r="AU147"/>
  <c r="AI459" l="1"/>
  <c r="AG458"/>
  <c r="AW121"/>
  <c r="AX121" s="1"/>
  <c r="AU122"/>
  <c r="AU124" s="1"/>
  <c r="K479"/>
  <c r="L479" s="1"/>
  <c r="L478"/>
  <c r="AU183"/>
  <c r="AW179"/>
  <c r="AX179" s="1"/>
  <c r="AU151"/>
  <c r="AW147"/>
  <c r="AX147" s="1"/>
  <c r="X3624"/>
  <c r="X3623"/>
  <c r="I3299"/>
  <c r="K3299" s="1"/>
  <c r="K3311" s="1"/>
  <c r="P852"/>
  <c r="R852" s="1"/>
  <c r="R864" s="1"/>
  <c r="V859"/>
  <c r="X859" s="1"/>
  <c r="X871" s="1"/>
  <c r="K859"/>
  <c r="K871" s="1"/>
  <c r="K891"/>
  <c r="L889"/>
  <c r="X877"/>
  <c r="X889" s="1"/>
  <c r="V893"/>
  <c r="X893" s="1"/>
  <c r="X905" s="1"/>
  <c r="AI460" l="1"/>
  <c r="AG459"/>
  <c r="AU153"/>
  <c r="AW151"/>
  <c r="AX151" s="1"/>
  <c r="AW122"/>
  <c r="AX122" s="1"/>
  <c r="AU123"/>
  <c r="AW124"/>
  <c r="AX124" s="1"/>
  <c r="AU185"/>
  <c r="AW183"/>
  <c r="AX183" s="1"/>
  <c r="X3627"/>
  <c r="X3628" s="1"/>
  <c r="AI461" l="1"/>
  <c r="AG460"/>
  <c r="AU187"/>
  <c r="AW185"/>
  <c r="AX185" s="1"/>
  <c r="AU155"/>
  <c r="AW153"/>
  <c r="AX153" s="1"/>
  <c r="AW123"/>
  <c r="AX123" s="1"/>
  <c r="AG461" l="1"/>
  <c r="AI462"/>
  <c r="AU188"/>
  <c r="AT187"/>
  <c r="AW187"/>
  <c r="AX187" s="1"/>
  <c r="AU156"/>
  <c r="AT155"/>
  <c r="AW155"/>
  <c r="AX155" s="1"/>
  <c r="AV155"/>
  <c r="AI463" l="1"/>
  <c r="AG463" s="1"/>
  <c r="AG462"/>
  <c r="AW188"/>
  <c r="AX188" s="1"/>
  <c r="AU189"/>
  <c r="AT188"/>
  <c r="AV156"/>
  <c r="AW156"/>
  <c r="AX156" s="1"/>
  <c r="AU157"/>
  <c r="AT156"/>
  <c r="AW157" l="1"/>
  <c r="AX157" s="1"/>
  <c r="AU158"/>
  <c r="AT157"/>
  <c r="AU190"/>
  <c r="AT189"/>
  <c r="AW189"/>
  <c r="AX189" s="1"/>
  <c r="AT158" l="1"/>
  <c r="AW158"/>
  <c r="AX158" s="1"/>
  <c r="AU159"/>
  <c r="AT190"/>
  <c r="AW190"/>
  <c r="AX190" s="1"/>
  <c r="AU191"/>
  <c r="AW159" l="1"/>
  <c r="AX159" s="1"/>
  <c r="AT159"/>
  <c r="AT191"/>
  <c r="AW191"/>
  <c r="AX191" s="1"/>
  <c r="H123" i="17" l="1"/>
  <c r="H122"/>
  <c r="H121"/>
  <c r="E120"/>
  <c r="H120" s="1"/>
  <c r="H119"/>
  <c r="H118"/>
  <c r="H117"/>
  <c r="H116"/>
  <c r="H115"/>
  <c r="H114"/>
  <c r="H113"/>
  <c r="H112"/>
  <c r="H111"/>
  <c r="H110"/>
  <c r="H109"/>
  <c r="H108"/>
  <c r="H107"/>
  <c r="H106"/>
  <c r="H105"/>
  <c r="H104"/>
  <c r="H103"/>
  <c r="H102"/>
  <c r="H101"/>
  <c r="H100"/>
  <c r="H99"/>
  <c r="H98"/>
  <c r="H97"/>
  <c r="H96"/>
  <c r="H95"/>
  <c r="H94"/>
  <c r="H93"/>
  <c r="H92"/>
  <c r="H91"/>
  <c r="H90"/>
  <c r="H89"/>
  <c r="H88"/>
  <c r="H87"/>
  <c r="H86"/>
  <c r="H85"/>
  <c r="H84"/>
  <c r="H83"/>
  <c r="H82"/>
  <c r="H81"/>
  <c r="H80"/>
  <c r="H79"/>
  <c r="H78"/>
  <c r="H77"/>
  <c r="H76"/>
  <c r="H75"/>
  <c r="H74"/>
  <c r="H73"/>
  <c r="H71"/>
  <c r="H70"/>
  <c r="H69"/>
  <c r="H68"/>
  <c r="H67"/>
  <c r="H66"/>
  <c r="H65"/>
  <c r="H64"/>
  <c r="H63"/>
  <c r="H62"/>
  <c r="H61"/>
  <c r="H60"/>
  <c r="H59"/>
  <c r="H58"/>
  <c r="H57"/>
  <c r="H56"/>
  <c r="H55"/>
  <c r="H54"/>
  <c r="H53"/>
  <c r="H52"/>
  <c r="H51"/>
  <c r="H50"/>
  <c r="H49"/>
  <c r="H48"/>
  <c r="H47"/>
  <c r="H46"/>
  <c r="H45"/>
  <c r="H44"/>
  <c r="H43"/>
  <c r="H42"/>
  <c r="H41"/>
  <c r="H40"/>
  <c r="H39"/>
  <c r="H38"/>
  <c r="H37"/>
  <c r="H36"/>
  <c r="H35"/>
  <c r="H34"/>
  <c r="H33"/>
  <c r="H32"/>
  <c r="H31"/>
  <c r="H30"/>
  <c r="H29"/>
  <c r="H28"/>
  <c r="H27"/>
  <c r="H26"/>
  <c r="H25"/>
  <c r="H24"/>
  <c r="H23"/>
  <c r="H22"/>
  <c r="H21"/>
  <c r="H20"/>
  <c r="H19"/>
  <c r="H18"/>
  <c r="H17"/>
  <c r="H16"/>
  <c r="H15"/>
  <c r="H14"/>
  <c r="H13"/>
  <c r="H12"/>
  <c r="H11"/>
  <c r="H10"/>
  <c r="H9"/>
  <c r="H8"/>
  <c r="H7"/>
  <c r="H6"/>
  <c r="H124" l="1"/>
  <c r="H152" i="9"/>
  <c r="H153" s="1"/>
  <c r="B17" i="15" s="1"/>
  <c r="F17" l="1"/>
  <c r="F62" s="1"/>
  <c r="H435" i="13"/>
  <c r="H434"/>
  <c r="H433"/>
  <c r="H432"/>
  <c r="H431"/>
  <c r="H430"/>
  <c r="H429"/>
  <c r="H428"/>
  <c r="H427"/>
  <c r="H426"/>
  <c r="H425"/>
  <c r="H424"/>
  <c r="H422"/>
  <c r="H420"/>
  <c r="H418"/>
  <c r="H416"/>
  <c r="H414"/>
  <c r="H412"/>
  <c r="H410"/>
  <c r="H408"/>
  <c r="H406"/>
  <c r="H402"/>
  <c r="H401"/>
  <c r="H400"/>
  <c r="H399"/>
  <c r="H397"/>
  <c r="H395"/>
  <c r="H393"/>
  <c r="H391"/>
  <c r="H389"/>
  <c r="H386"/>
  <c r="H385"/>
  <c r="H382"/>
  <c r="H381"/>
  <c r="H380"/>
  <c r="H379"/>
  <c r="H375"/>
  <c r="H374"/>
  <c r="H373"/>
  <c r="H372"/>
  <c r="H371"/>
  <c r="H370"/>
  <c r="H369"/>
  <c r="H368"/>
  <c r="H364"/>
  <c r="E363"/>
  <c r="H363" s="1"/>
  <c r="E362"/>
  <c r="H362" s="1"/>
  <c r="E361"/>
  <c r="H361" s="1"/>
  <c r="E360"/>
  <c r="H360" s="1"/>
  <c r="E359"/>
  <c r="H359" s="1"/>
  <c r="E358"/>
  <c r="H358" s="1"/>
  <c r="E357"/>
  <c r="H357" s="1"/>
  <c r="H356"/>
  <c r="H352"/>
  <c r="H351"/>
  <c r="H350"/>
  <c r="H349"/>
  <c r="H348"/>
  <c r="H347"/>
  <c r="H346"/>
  <c r="H344"/>
  <c r="H341"/>
  <c r="H338"/>
  <c r="H337"/>
  <c r="H336"/>
  <c r="H334"/>
  <c r="H331"/>
  <c r="H330"/>
  <c r="H332" s="1"/>
  <c r="H328"/>
  <c r="H326"/>
  <c r="H324"/>
  <c r="H322"/>
  <c r="H319"/>
  <c r="H317"/>
  <c r="H315"/>
  <c r="H313"/>
  <c r="H309"/>
  <c r="H308"/>
  <c r="H307"/>
  <c r="H306"/>
  <c r="H305"/>
  <c r="H301"/>
  <c r="H300"/>
  <c r="H299"/>
  <c r="H302" s="1"/>
  <c r="H298"/>
  <c r="H296"/>
  <c r="H294"/>
  <c r="H291"/>
  <c r="H288"/>
  <c r="H287"/>
  <c r="H289" s="1"/>
  <c r="H285"/>
  <c r="H283"/>
  <c r="H281"/>
  <c r="H279"/>
  <c r="H275"/>
  <c r="H274"/>
  <c r="H273"/>
  <c r="H269"/>
  <c r="H268"/>
  <c r="H267"/>
  <c r="H266"/>
  <c r="H265"/>
  <c r="H264"/>
  <c r="H263"/>
  <c r="H262"/>
  <c r="H261"/>
  <c r="H260"/>
  <c r="H259"/>
  <c r="H258"/>
  <c r="H255"/>
  <c r="H251"/>
  <c r="H250"/>
  <c r="H246"/>
  <c r="H245"/>
  <c r="H241"/>
  <c r="H240"/>
  <c r="H239"/>
  <c r="H238"/>
  <c r="H237"/>
  <c r="H236"/>
  <c r="H235"/>
  <c r="H234"/>
  <c r="H233"/>
  <c r="H229"/>
  <c r="H228"/>
  <c r="H230" s="1"/>
  <c r="H224"/>
  <c r="H223"/>
  <c r="H222"/>
  <c r="H221"/>
  <c r="H220"/>
  <c r="H219"/>
  <c r="H218"/>
  <c r="H217"/>
  <c r="H216"/>
  <c r="H215"/>
  <c r="H213"/>
  <c r="H209"/>
  <c r="H208"/>
  <c r="H207"/>
  <c r="H205"/>
  <c r="H203"/>
  <c r="H200"/>
  <c r="H198"/>
  <c r="H194"/>
  <c r="H193"/>
  <c r="H192"/>
  <c r="H195" s="1"/>
  <c r="H188"/>
  <c r="H187"/>
  <c r="H189" s="1"/>
  <c r="H183"/>
  <c r="H182"/>
  <c r="H181"/>
  <c r="H180"/>
  <c r="H179"/>
  <c r="H178"/>
  <c r="H177"/>
  <c r="H176"/>
  <c r="H174"/>
  <c r="H173"/>
  <c r="H172"/>
  <c r="H171"/>
  <c r="H170"/>
  <c r="H169"/>
  <c r="H168"/>
  <c r="H167"/>
  <c r="H166"/>
  <c r="H165"/>
  <c r="H164"/>
  <c r="H163"/>
  <c r="H162"/>
  <c r="H161"/>
  <c r="H160"/>
  <c r="H159"/>
  <c r="H158"/>
  <c r="H157"/>
  <c r="H156"/>
  <c r="H155"/>
  <c r="H154"/>
  <c r="H153"/>
  <c r="H152"/>
  <c r="H151"/>
  <c r="H150"/>
  <c r="H149"/>
  <c r="H148"/>
  <c r="H147"/>
  <c r="H146"/>
  <c r="H145"/>
  <c r="H144"/>
  <c r="H143"/>
  <c r="H142"/>
  <c r="H141"/>
  <c r="H140"/>
  <c r="H139"/>
  <c r="H138"/>
  <c r="H137"/>
  <c r="H136"/>
  <c r="H135"/>
  <c r="H134"/>
  <c r="H133"/>
  <c r="H132"/>
  <c r="H131"/>
  <c r="H130"/>
  <c r="H129"/>
  <c r="H128"/>
  <c r="H127"/>
  <c r="H126"/>
  <c r="H125"/>
  <c r="H124"/>
  <c r="H123"/>
  <c r="H122"/>
  <c r="H121"/>
  <c r="H120"/>
  <c r="H119"/>
  <c r="H118"/>
  <c r="H117"/>
  <c r="H116"/>
  <c r="H115"/>
  <c r="H111"/>
  <c r="H110"/>
  <c r="H112" s="1"/>
  <c r="H107"/>
  <c r="H106"/>
  <c r="H108" s="1"/>
  <c r="H103"/>
  <c r="H102"/>
  <c r="H101"/>
  <c r="H100"/>
  <c r="H99"/>
  <c r="H98"/>
  <c r="H95"/>
  <c r="H94"/>
  <c r="H96" s="1"/>
  <c r="H90"/>
  <c r="H89"/>
  <c r="H88"/>
  <c r="H84"/>
  <c r="H83"/>
  <c r="H82"/>
  <c r="H81"/>
  <c r="H80"/>
  <c r="H79"/>
  <c r="H75"/>
  <c r="H74"/>
  <c r="H73"/>
  <c r="H72"/>
  <c r="H71"/>
  <c r="H70"/>
  <c r="H69"/>
  <c r="H68"/>
  <c r="H63"/>
  <c r="H62"/>
  <c r="H61"/>
  <c r="H54"/>
  <c r="H58" s="1"/>
  <c r="H59" s="1"/>
  <c r="H53"/>
  <c r="H55" s="1"/>
  <c r="H52"/>
  <c r="H48"/>
  <c r="H47"/>
  <c r="H46"/>
  <c r="H45"/>
  <c r="H44"/>
  <c r="H43"/>
  <c r="H42"/>
  <c r="H38"/>
  <c r="H37"/>
  <c r="H39" s="1"/>
  <c r="H34"/>
  <c r="H30"/>
  <c r="H29"/>
  <c r="H28"/>
  <c r="H27"/>
  <c r="H26"/>
  <c r="H25"/>
  <c r="H24"/>
  <c r="H23"/>
  <c r="H19"/>
  <c r="H18"/>
  <c r="H17"/>
  <c r="H16"/>
  <c r="H15"/>
  <c r="H14"/>
  <c r="H13"/>
  <c r="H12"/>
  <c r="H11"/>
  <c r="H20" s="1"/>
  <c r="H6"/>
  <c r="H8" s="1"/>
  <c r="H76" l="1"/>
  <c r="H85"/>
  <c r="H353"/>
  <c r="H104"/>
  <c r="H403"/>
  <c r="H64"/>
  <c r="H65" s="1"/>
  <c r="H252"/>
  <c r="H276"/>
  <c r="F63" i="15"/>
  <c r="F64" s="1"/>
  <c r="H242" i="13"/>
  <c r="H247"/>
  <c r="H91"/>
  <c r="H184"/>
  <c r="H31"/>
  <c r="H49"/>
  <c r="H210"/>
  <c r="H225"/>
  <c r="H270"/>
  <c r="H310"/>
  <c r="H339"/>
  <c r="H365"/>
  <c r="H376"/>
  <c r="H383"/>
  <c r="H387"/>
  <c r="H436"/>
  <c r="F66" i="15" l="1"/>
  <c r="F65"/>
  <c r="F68" l="1"/>
</calcChain>
</file>

<file path=xl/sharedStrings.xml><?xml version="1.0" encoding="utf-8"?>
<sst xmlns="http://schemas.openxmlformats.org/spreadsheetml/2006/main" count="45360" uniqueCount="5815">
  <si>
    <t>Kitchen</t>
  </si>
  <si>
    <t>Toilet</t>
  </si>
  <si>
    <t>W1</t>
  </si>
  <si>
    <t>Qty</t>
  </si>
  <si>
    <t>NO</t>
  </si>
  <si>
    <t>L</t>
  </si>
  <si>
    <t>B</t>
  </si>
  <si>
    <t>D</t>
  </si>
  <si>
    <t>Alround</t>
  </si>
  <si>
    <t>Say</t>
  </si>
  <si>
    <t>Unit</t>
  </si>
  <si>
    <t>Description of work</t>
  </si>
  <si>
    <t>Sl. No</t>
  </si>
  <si>
    <t>Kg</t>
  </si>
  <si>
    <t>Detailed Estimate</t>
  </si>
  <si>
    <t>Dismantling RR masonry</t>
  </si>
  <si>
    <t>For ventilator</t>
  </si>
  <si>
    <t>Dismantling floor plastering</t>
  </si>
  <si>
    <t>Bath</t>
  </si>
  <si>
    <t xml:space="preserve">Bath wall </t>
  </si>
  <si>
    <t>Dismantling wall plastering</t>
  </si>
  <si>
    <t>-</t>
  </si>
  <si>
    <t>Toilet wall</t>
  </si>
  <si>
    <t>New partition wall</t>
  </si>
  <si>
    <t>Loft bottom wall</t>
  </si>
  <si>
    <r>
      <t>m</t>
    </r>
    <r>
      <rPr>
        <vertAlign val="superscript"/>
        <sz val="12"/>
        <color theme="1"/>
        <rFont val="Times New Roman"/>
        <family val="1"/>
      </rPr>
      <t>3</t>
    </r>
  </si>
  <si>
    <r>
      <t>m</t>
    </r>
    <r>
      <rPr>
        <vertAlign val="superscript"/>
        <sz val="12"/>
        <color theme="1"/>
        <rFont val="Times New Roman"/>
        <family val="1"/>
      </rPr>
      <t>2</t>
    </r>
  </si>
  <si>
    <t>Dismantling wooden window</t>
  </si>
  <si>
    <t>W</t>
  </si>
  <si>
    <t>Window</t>
  </si>
  <si>
    <t>Brick work in CM 1:6, using chamber burnt bricks etc.,</t>
  </si>
  <si>
    <t>Window wall</t>
  </si>
  <si>
    <t>For loft bottom wall</t>
  </si>
  <si>
    <t>New toilet partition wall</t>
  </si>
  <si>
    <t>D/f Door</t>
  </si>
  <si>
    <t>D/f Lintel concrete</t>
  </si>
  <si>
    <t>Toilet partition</t>
  </si>
  <si>
    <t>For lintel</t>
  </si>
  <si>
    <r>
      <t>(0.05 x 120 Kg/m</t>
    </r>
    <r>
      <rPr>
        <vertAlign val="superscript"/>
        <sz val="12"/>
        <color theme="1"/>
        <rFont val="Times New Roman"/>
        <family val="1"/>
      </rPr>
      <t>3</t>
    </r>
    <r>
      <rPr>
        <sz val="12"/>
        <color theme="1"/>
        <rFont val="Times New Roman"/>
        <family val="1"/>
      </rPr>
      <t>)</t>
    </r>
  </si>
  <si>
    <t>M..T</t>
  </si>
  <si>
    <t>Supplying and fixing of steel ventilator etc.,</t>
  </si>
  <si>
    <t>Ventilator</t>
  </si>
  <si>
    <t>Plastering in CM 1:5 using 12mm thick etc.,</t>
  </si>
  <si>
    <t xml:space="preserve">Loft bottom wall </t>
  </si>
  <si>
    <t>New toilet wall</t>
  </si>
  <si>
    <t>Add jams</t>
  </si>
  <si>
    <t xml:space="preserve">Toilet wall </t>
  </si>
  <si>
    <t>Ventilator alround</t>
  </si>
  <si>
    <t>Supplying and laying of Glazed tiles with CM 1:2 etc.,</t>
  </si>
  <si>
    <t>New toilet alround</t>
  </si>
  <si>
    <t>D/f Door Open</t>
  </si>
  <si>
    <t>Supplying and laying of Anti skid tiles with CM 1:3 etc.,</t>
  </si>
  <si>
    <t>New toilet floor</t>
  </si>
  <si>
    <t>Supplying and fixing of following ASTM pipes etc.,</t>
  </si>
  <si>
    <t>m</t>
  </si>
  <si>
    <t>b. 25mm dia ASTM pipe</t>
  </si>
  <si>
    <t>c. 20mm ASTM pipe</t>
  </si>
  <si>
    <t>Inner house</t>
  </si>
  <si>
    <t>Tank to FF new toilet</t>
  </si>
  <si>
    <t>Tank to First floor toilet</t>
  </si>
  <si>
    <t>Tank to Ground floor toilet</t>
  </si>
  <si>
    <t>Tank to GF new toilet</t>
  </si>
  <si>
    <t>a. 32mm dia ASTM pipe</t>
  </si>
  <si>
    <t>Ground to tank block 1</t>
  </si>
  <si>
    <t>Ground to tank block 2</t>
  </si>
  <si>
    <t>Supplying and fixing of G.I Pipe 20mm dia for Hot water line (Fully Concealed in walls)</t>
  </si>
  <si>
    <t>For new bath &amp; Toilet</t>
  </si>
  <si>
    <t>Existing bath</t>
  </si>
  <si>
    <t>No</t>
  </si>
  <si>
    <t xml:space="preserve">Bath </t>
  </si>
  <si>
    <t>Tank to Kitchen line GF</t>
  </si>
  <si>
    <t>Kitchen line</t>
  </si>
  <si>
    <t>Painting two coats of Plastic emulsion paint with primer including thorougly scrapping etc.,</t>
  </si>
  <si>
    <t>Inner</t>
  </si>
  <si>
    <t>Verandah</t>
  </si>
  <si>
    <t>D/f  M.D</t>
  </si>
  <si>
    <t>D/f  D</t>
  </si>
  <si>
    <t>D/f Step open</t>
  </si>
  <si>
    <t>Add jams M.D</t>
  </si>
  <si>
    <t>Passage</t>
  </si>
  <si>
    <t>Kitchen alround</t>
  </si>
  <si>
    <t>D/f D</t>
  </si>
  <si>
    <t>Add jams D</t>
  </si>
  <si>
    <t>Add jams W</t>
  </si>
  <si>
    <t>Cupboard wall</t>
  </si>
  <si>
    <t>Hall alround</t>
  </si>
  <si>
    <t>D/f  D1</t>
  </si>
  <si>
    <t>D/f  W1</t>
  </si>
  <si>
    <t>D/f  W</t>
  </si>
  <si>
    <t>Add jams D1</t>
  </si>
  <si>
    <t>Add jams W1</t>
  </si>
  <si>
    <t>Bed 1 alround</t>
  </si>
  <si>
    <t>Bath alround</t>
  </si>
  <si>
    <t>Toilet alround</t>
  </si>
  <si>
    <t>D/F D2</t>
  </si>
  <si>
    <t>D/F V</t>
  </si>
  <si>
    <t>Jams D2</t>
  </si>
  <si>
    <t>Jams V</t>
  </si>
  <si>
    <t>Passage alround</t>
  </si>
  <si>
    <t>Add Slab</t>
  </si>
  <si>
    <t>Small portion</t>
  </si>
  <si>
    <t>D/F D</t>
  </si>
  <si>
    <t>D/F V1</t>
  </si>
  <si>
    <t>Jams D</t>
  </si>
  <si>
    <t>Side wall portion alround</t>
  </si>
  <si>
    <t>Loft top &amp; bottom</t>
  </si>
  <si>
    <t>Bed 2 Alround</t>
  </si>
  <si>
    <t>Staircase alround</t>
  </si>
  <si>
    <t>Outer</t>
  </si>
  <si>
    <t>D/F W</t>
  </si>
  <si>
    <t>D/F W1</t>
  </si>
  <si>
    <t>D/F D1</t>
  </si>
  <si>
    <t>Front gate</t>
  </si>
  <si>
    <t>Earth workexcavation excluding refilling etc.,</t>
  </si>
  <si>
    <t>For Road</t>
  </si>
  <si>
    <t>PCC 1:5:10 using 40mm jelly etc.,</t>
  </si>
  <si>
    <t>For road</t>
  </si>
  <si>
    <t>For plinth protection wall</t>
  </si>
  <si>
    <t>Supplying and fixing of EWC in GF including Specials, tank etc.,</t>
  </si>
  <si>
    <t>For new Bath &amp; Toilet</t>
  </si>
  <si>
    <t>Supplying and fixing of following SWR pipe etc.,</t>
  </si>
  <si>
    <t>a. 110mm dia SWR pipe</t>
  </si>
  <si>
    <t>for damaged portion</t>
  </si>
  <si>
    <t>b. 75mm dia SWR pipe</t>
  </si>
  <si>
    <t xml:space="preserve">Supplying and fixing of Solid PVC Door frame and shutter etc., </t>
  </si>
  <si>
    <t>For Bath</t>
  </si>
  <si>
    <t>For toilet</t>
  </si>
  <si>
    <t xml:space="preserve">Providing precast Kerb stone in C.C. 1:3:6,  450 x 300 x 150 mm </t>
  </si>
  <si>
    <t>For road sides</t>
  </si>
  <si>
    <t>Hall</t>
  </si>
  <si>
    <t>Bed1</t>
  </si>
  <si>
    <t>Bed2</t>
  </si>
  <si>
    <t>Two coat of White washing including cost of lime,gum,blue etc.,</t>
  </si>
  <si>
    <t>New Bath &amp; toilet</t>
  </si>
  <si>
    <t>Painting two coat of new iron work etc.,</t>
  </si>
  <si>
    <t>Kerb stone</t>
  </si>
  <si>
    <t>Painting two coat of old wood work etc.,</t>
  </si>
  <si>
    <t>M.D</t>
  </si>
  <si>
    <t>D1</t>
  </si>
  <si>
    <t>D2</t>
  </si>
  <si>
    <t>F.W</t>
  </si>
  <si>
    <t>W2</t>
  </si>
  <si>
    <t>Dismantling Hydraulic pressed tiles , clearing away and carefully stacking the materials etc.,</t>
  </si>
  <si>
    <t>Block 1</t>
  </si>
  <si>
    <t>Block 2</t>
  </si>
  <si>
    <t>Supplying and fixing of Hydraulic pressed tiles using CM 1:3etc.,</t>
  </si>
  <si>
    <r>
      <t xml:space="preserve">Providing precast slab 1:3:6 using 20mm thick etc., </t>
    </r>
    <r>
      <rPr>
        <b/>
        <sz val="12"/>
        <color theme="1"/>
        <rFont val="Times New Roman"/>
        <family val="1"/>
      </rPr>
      <t>50mm thick</t>
    </r>
  </si>
  <si>
    <t>Pinth protection Alround</t>
  </si>
  <si>
    <t>Supplying and laying of Vitrified tiles etc.,</t>
  </si>
  <si>
    <t>Skirting</t>
  </si>
  <si>
    <t xml:space="preserve"> </t>
  </si>
  <si>
    <t>CUM</t>
  </si>
  <si>
    <t>SQM</t>
  </si>
  <si>
    <t>NO.</t>
  </si>
  <si>
    <t>Nos</t>
  </si>
  <si>
    <t>RATE PER SQM</t>
  </si>
  <si>
    <t>=</t>
  </si>
  <si>
    <t>Providing T.W double leaf shutters for cupboard/ward robes with 9mm thick etc.,</t>
  </si>
  <si>
    <t>Loft bottom cupboard</t>
  </si>
  <si>
    <t>Bed 1 Shelf</t>
  </si>
  <si>
    <t>Bed 2 Cupboard</t>
  </si>
  <si>
    <t>Providing Earthing station using pipe electrode as per IS 3043 using 2.5m of 40mm and etc.,</t>
  </si>
  <si>
    <t>For Block 1 &amp; 2</t>
  </si>
  <si>
    <t>For House</t>
  </si>
  <si>
    <t>Supplying and fixing of Bevelled edge mirror of approved quality and brand of size 500x400x5.5mm shelf type etc.,</t>
  </si>
  <si>
    <t>For bath</t>
  </si>
  <si>
    <t>Supplying and fixing of aluminium towel rails of 75cm long, including cost of etc.,</t>
  </si>
  <si>
    <t>Supplying and fixing of aluminium plate with five pins for coat stand including etc.,</t>
  </si>
  <si>
    <t>Bed 1 &amp; Bed 2</t>
  </si>
  <si>
    <t>Supplying and fixing of 4mm thhick pin heade glass panels with aluminium anodized etc.,</t>
  </si>
  <si>
    <t>Supplying and fixing of water tight bulk head fittings with guard, suitable for CFL etc.,</t>
  </si>
  <si>
    <t>For damaged portion</t>
  </si>
  <si>
    <t>Supply and fixing of CFL road way lighting luminaries suitable for fixing 36 watts CFL etc.,(street light)</t>
  </si>
  <si>
    <t>Removing and redoing of wooden door etc.,</t>
  </si>
  <si>
    <t>Removing and redoing of wooden window shutter etc.,</t>
  </si>
  <si>
    <t>Supplying and fixing best country wood meter cupboard with shutters double leaf etc.,</t>
  </si>
  <si>
    <t>Wiring with 1.5 sq.mm PVC insulated single core multistrand  fire retardant etc., switch board itself</t>
  </si>
  <si>
    <t>Wiring with 1.5 sq.mm PVC insulated single core multistrand  fire retardant etc., Convenient places</t>
  </si>
  <si>
    <t>Supplying and fixing of CFL bulbs suitable for fixing it to pendent/bakelite holder etc.,</t>
  </si>
  <si>
    <t>a) 14 watts cfl bulb for bath &amp; WC</t>
  </si>
  <si>
    <t>b) 18 watts CFL bulb for bulk head fiitings</t>
  </si>
  <si>
    <t>Supply, assembling and fixing of patty type fluroscent tubular lamp with fitting of 4' long etc.,</t>
  </si>
  <si>
    <t>Run off main with 2 wires of 1.5 Sq.mm PVC insulated single core multi strand fire retardant etc.,</t>
  </si>
  <si>
    <t>Run off main with 2 wires of 2.5 Sq.mm PVC insulated single core multi strand fire retardant etc.,</t>
  </si>
  <si>
    <t>Run off 4 wires of 4 sq.mm PVC insulated single core multi strand fire retardant flexible etc.,</t>
  </si>
  <si>
    <t>Supplying and fixing 15 amps 3 pin plug type socket on a suitable MS box 16g thick etc.,</t>
  </si>
  <si>
    <t>For bath &amp; toilet</t>
  </si>
  <si>
    <t>verandah</t>
  </si>
  <si>
    <t>For service connection</t>
  </si>
  <si>
    <t>For Bulk head</t>
  </si>
  <si>
    <t>For Kitchen</t>
  </si>
  <si>
    <t>For alround</t>
  </si>
  <si>
    <t>For gate light</t>
  </si>
  <si>
    <t>Supplying and fixing of Gate light etc.,</t>
  </si>
  <si>
    <t>For Gate</t>
  </si>
  <si>
    <t>Brick pillar</t>
  </si>
  <si>
    <t>For fencing intermidate</t>
  </si>
  <si>
    <t>SS hand rail</t>
  </si>
  <si>
    <t>Front side</t>
  </si>
  <si>
    <t>Supply and laying concrete tiles superior such as (Hindustan /Eurocon tiles)  for flooring in CM 1:3 20mm thick, etc.,</t>
  </si>
  <si>
    <t>Staircase side</t>
  </si>
  <si>
    <t>Steps</t>
  </si>
  <si>
    <t>Staircase</t>
  </si>
  <si>
    <t>Landing</t>
  </si>
  <si>
    <t>Supplying and fixing of aluminium hanger rod etc.,</t>
  </si>
  <si>
    <t>W3</t>
  </si>
  <si>
    <t>New bath &amp; toilet alround</t>
  </si>
  <si>
    <t>Supplying and fixing of C.P tap 2 in 1 tap with necessary specials etc.,</t>
  </si>
  <si>
    <t>Supplying and fixing of  C.P Angle valve etc.,</t>
  </si>
  <si>
    <t>Supplying and fixing of  15mm dia C.P half turn short body tapetc.,</t>
  </si>
  <si>
    <t>Supplying and fixing of  Diveter mixer etc.,</t>
  </si>
  <si>
    <t>For house</t>
  </si>
  <si>
    <t>Supplying and fixing of Diveter spout with fittings etc.,</t>
  </si>
  <si>
    <t>Supplying and fixing of wash hand basin withPedestal and fiitings etc.,</t>
  </si>
  <si>
    <t>For fencing</t>
  </si>
  <si>
    <t>Fencing</t>
  </si>
  <si>
    <t>Suplying and fixing of Chain link Fencing with binding wire etc.,</t>
  </si>
  <si>
    <t>Rate</t>
  </si>
  <si>
    <t>Amount</t>
  </si>
  <si>
    <t>S. No</t>
  </si>
  <si>
    <r>
      <t xml:space="preserve">Standardized concrete mix </t>
    </r>
    <r>
      <rPr>
        <b/>
        <sz val="12"/>
        <color theme="1"/>
        <rFont val="Times New Roman"/>
        <family val="1"/>
      </rPr>
      <t>M</t>
    </r>
    <r>
      <rPr>
        <b/>
        <vertAlign val="subscript"/>
        <sz val="12"/>
        <color theme="1"/>
        <rFont val="Times New Roman"/>
        <family val="1"/>
      </rPr>
      <t xml:space="preserve">20 </t>
    </r>
    <r>
      <rPr>
        <sz val="12"/>
        <color theme="1"/>
        <rFont val="Times New Roman"/>
        <family val="1"/>
      </rPr>
      <t>using 20mm jelly etc.,</t>
    </r>
  </si>
  <si>
    <t>Supplying and fabricating of MS/RTS etc.,</t>
  </si>
  <si>
    <t>Supplying and fixing og HDPE Tank 700 litres etc.,</t>
  </si>
  <si>
    <t>Sub-Total  I</t>
  </si>
  <si>
    <t>Labour welfare fund @ 1%</t>
  </si>
  <si>
    <t>Supervision charges @ 7.50%</t>
  </si>
  <si>
    <t>L.S</t>
  </si>
  <si>
    <t>Total</t>
  </si>
  <si>
    <r>
      <t>(18.36 x 35 Kg/m</t>
    </r>
    <r>
      <rPr>
        <vertAlign val="superscript"/>
        <sz val="12"/>
        <color theme="1"/>
        <rFont val="Times New Roman"/>
        <family val="1"/>
      </rPr>
      <t>2</t>
    </r>
    <r>
      <rPr>
        <sz val="12"/>
        <color theme="1"/>
        <rFont val="Times New Roman"/>
        <family val="1"/>
      </rPr>
      <t>)</t>
    </r>
  </si>
  <si>
    <t>For hand rail wall</t>
  </si>
  <si>
    <t>**</t>
  </si>
  <si>
    <t>POINTING WITH C.M.(1:3)FOR</t>
  </si>
  <si>
    <t>PRESSED TILES</t>
  </si>
  <si>
    <t>CEMENT MORTER(1:3)</t>
  </si>
  <si>
    <t>MASON II</t>
  </si>
  <si>
    <t>MAZDOOR I</t>
  </si>
  <si>
    <t>MAZDOOR II</t>
  </si>
  <si>
    <t>SUNDRIES</t>
  </si>
  <si>
    <t>TOTAL FOR 10 SQM</t>
  </si>
  <si>
    <t>Pressed Tile pointing with CM 1:3 etc.,</t>
  </si>
  <si>
    <t>Block 1&amp;2</t>
  </si>
  <si>
    <t>TAMIL NADU POLICE HOUSING CORPORATION</t>
  </si>
  <si>
    <t>PLACE:-</t>
  </si>
  <si>
    <t>OOTY</t>
  </si>
  <si>
    <t>QTY</t>
  </si>
  <si>
    <t>COST OF MATERIALS</t>
  </si>
  <si>
    <t>RATE</t>
  </si>
  <si>
    <t>PER</t>
  </si>
  <si>
    <t>AMOUNT</t>
  </si>
  <si>
    <t>*</t>
  </si>
  <si>
    <t>CEMENT MORTAR(1:1.5)</t>
  </si>
  <si>
    <t>M.T</t>
  </si>
  <si>
    <t>CEMENT</t>
  </si>
  <si>
    <t>SAND</t>
  </si>
  <si>
    <t>MIXING OF MORTAR</t>
  </si>
  <si>
    <t>TOTAL FOR 1 CUM</t>
  </si>
  <si>
    <t>CEMENT MORTAR(1:2)</t>
  </si>
  <si>
    <t>CEMENT MORTAR(1:3)</t>
  </si>
  <si>
    <t>CEMENT MORTAR(1:4)</t>
  </si>
  <si>
    <t>CEMENT MORTAR(1:5)</t>
  </si>
  <si>
    <t>CEMENT MORTAR(1:6)</t>
  </si>
  <si>
    <t>EARTH WORK EXCAVATION IN SS20B</t>
  </si>
  <si>
    <t xml:space="preserve"> 1/3REFILLING CHARGES</t>
  </si>
  <si>
    <t>TOTAL FOR 10 CUM</t>
  </si>
  <si>
    <t>RATE PER CUM EXCLUDING REFILLING</t>
  </si>
  <si>
    <t>0 TO 2M</t>
  </si>
  <si>
    <t>2 TO 3M</t>
  </si>
  <si>
    <t>NOS.</t>
  </si>
  <si>
    <t xml:space="preserve"> 1000NO.</t>
  </si>
  <si>
    <t>MASON I</t>
  </si>
  <si>
    <t>RATE PER CUM</t>
  </si>
  <si>
    <t>G.F</t>
  </si>
  <si>
    <t>F.F</t>
  </si>
  <si>
    <t>PARATITION B.W IN C.M(1:4)</t>
  </si>
  <si>
    <t>Brick partition wall, 112mm thick using chamber burnt bricks etc., in GF</t>
  </si>
  <si>
    <t>Standardised concrete Mix M20 Grade Concrete</t>
  </si>
  <si>
    <t>cum</t>
  </si>
  <si>
    <t>MT</t>
  </si>
  <si>
    <t>Cement</t>
  </si>
  <si>
    <t>Plasticiser /Super plasticiser @ .60% of cement (P57 item NO.198</t>
  </si>
  <si>
    <t>Mason II</t>
  </si>
  <si>
    <t>Maz I</t>
  </si>
  <si>
    <t>Maz II</t>
  </si>
  <si>
    <t>Total for 10 cum</t>
  </si>
  <si>
    <t>for 1 cum</t>
  </si>
  <si>
    <t>Vibrating charges p-28 /103</t>
  </si>
  <si>
    <t>Sub Total</t>
  </si>
  <si>
    <t>LS</t>
  </si>
  <si>
    <t>Add for water charges &amp; other sundries (0.5 % of sub total</t>
  </si>
  <si>
    <t>Foundation &amp; Basement</t>
  </si>
  <si>
    <t>FINISHING TOP OF ROOF WITH</t>
  </si>
  <si>
    <t>ONE  COURSE OF PRESSED TILES</t>
  </si>
  <si>
    <t>OVER A BED OF C.M(1:3),</t>
  </si>
  <si>
    <t>12mmTHICK MIXED WITH WATER PROOF COMPOUND</t>
  </si>
  <si>
    <t>AT 2% BY WEIGHT OF CEMENT</t>
  </si>
  <si>
    <t>NOS</t>
  </si>
  <si>
    <t>PRESSED TILES 23X23X2cm P-15</t>
  </si>
  <si>
    <t>1000 Nos</t>
  </si>
  <si>
    <t>C.M(1:3)</t>
  </si>
  <si>
    <t>POINTING WITH C.M(1:3)</t>
  </si>
  <si>
    <t>WPC</t>
  </si>
  <si>
    <t>33.</t>
  </si>
  <si>
    <t>PLASTERING C.M(1:5) 12mmTHICK</t>
  </si>
  <si>
    <t>Rmt</t>
  </si>
  <si>
    <t>Plastic Emulsion PAINT</t>
  </si>
  <si>
    <t>nos</t>
  </si>
  <si>
    <t>Sqm</t>
  </si>
  <si>
    <t xml:space="preserve">SUNDRIES </t>
  </si>
  <si>
    <t>Supplying and fixing of staineless steel hand rails</t>
  </si>
  <si>
    <t>3.1</t>
  </si>
  <si>
    <t>CEMENT CONCRETE(1:5:10) USING</t>
  </si>
  <si>
    <t>40mm HBSTONE METEL</t>
  </si>
  <si>
    <t xml:space="preserve">  H.B.STONEJELLY 40mm</t>
  </si>
  <si>
    <t>Cum</t>
  </si>
  <si>
    <t>WHITE WASHING TWO COAT</t>
  </si>
  <si>
    <t>SLACKED SHELL LIME</t>
  </si>
  <si>
    <t>SUNDRIES FOR BRUSH ETC</t>
  </si>
  <si>
    <t>TOTAL FOR 100 SQM</t>
  </si>
  <si>
    <t>IRON WORKS WITH IIND CLASS</t>
  </si>
  <si>
    <t>SYNTHETIC ENAMEL PAINT</t>
  </si>
  <si>
    <t>LIT</t>
  </si>
  <si>
    <t>READY MIXED IIND CLASS PAINT</t>
  </si>
  <si>
    <t xml:space="preserve">PAINTER I </t>
  </si>
  <si>
    <t>SUNDRIES FOR BRUSHES,ETC</t>
  </si>
  <si>
    <t>WOOD WORKS WITH IIND CLASS</t>
  </si>
  <si>
    <t>Lit</t>
  </si>
  <si>
    <t>Pre cast slab 50mm thick in c.c. 1:3:6 mixed with fibre of size .28 x .28 m , 50mm thick</t>
  </si>
  <si>
    <t xml:space="preserve">   </t>
  </si>
  <si>
    <t>Pcc slab - 500 x .28 x .28 = 39.2 Sq.m</t>
  </si>
  <si>
    <t xml:space="preserve">                =39.2 x .05 =1.96 cum</t>
  </si>
  <si>
    <t>C.C 1:3:6 using 20mm HBS</t>
  </si>
  <si>
    <t>Mason I class</t>
  </si>
  <si>
    <t>Mazdoor II class</t>
  </si>
  <si>
    <t>Moulding charge</t>
  </si>
  <si>
    <t>Cutting, Transporting , Laying &amp; Pointing charges</t>
  </si>
  <si>
    <t>Packet</t>
  </si>
  <si>
    <t xml:space="preserve">Fibre (125g/packet) Qtn </t>
  </si>
  <si>
    <t>Sundries</t>
  </si>
  <si>
    <t>Rate for 39.2 sqm</t>
  </si>
  <si>
    <t>Rate for 1 sqm</t>
  </si>
  <si>
    <t>Each</t>
  </si>
  <si>
    <t>23.2</t>
  </si>
  <si>
    <t>headed glass panels 450x1350</t>
  </si>
  <si>
    <t xml:space="preserve"> 4mm glass frosted </t>
  </si>
  <si>
    <t xml:space="preserve"> 12x12mm Alu.Beedings ( Qtn)</t>
  </si>
  <si>
    <t>No.</t>
  </si>
  <si>
    <t>Alu. bolts and nuts( Qtn)</t>
  </si>
  <si>
    <t>Labour for fixing glass paneles</t>
  </si>
  <si>
    <t xml:space="preserve"> (1.08SQM LABOUR =.25CARPENTER-II)</t>
  </si>
  <si>
    <t>Total for 0.5334 Sqm</t>
  </si>
  <si>
    <t>Rate for one Sqm.</t>
  </si>
  <si>
    <t>Abstract Estimate</t>
  </si>
  <si>
    <t>Brick pillar for gate</t>
  </si>
  <si>
    <t>Painting two coats for new wood work etc.,</t>
  </si>
  <si>
    <t xml:space="preserve">S &amp; F of Indian Water closet white glazed (Oriya type) of size 580 x 440mm  - in G.F.  </t>
  </si>
  <si>
    <t xml:space="preserve">S &amp; F of Indian Water closet white glazed (Oriya type) of size 580 x 440mm  - Other than  G.F.  </t>
  </si>
  <si>
    <t>For GF Houses</t>
  </si>
  <si>
    <t>For FF house</t>
  </si>
  <si>
    <t>40.</t>
  </si>
  <si>
    <t>Supplying and fixing of Shower with arm etc.,</t>
  </si>
  <si>
    <t xml:space="preserve">For Bath </t>
  </si>
  <si>
    <t>Supplying and laying of granite tile etc.,</t>
  </si>
  <si>
    <t>For Bed 1 &amp; 2</t>
  </si>
  <si>
    <t>Supplying and fixing of exhaust fan 300mm etc.,</t>
  </si>
  <si>
    <t xml:space="preserve">Supplying and fixing of stainless steel health faucet CER.no: </t>
  </si>
  <si>
    <t>Supplying and fixing of stainless steel sink mixer with hot &amp; Cold water feature (CER.no:</t>
  </si>
  <si>
    <t>Supplying and fixing of basin mixer etc.,</t>
  </si>
  <si>
    <t>Supplying and fixing of waste coupling etc.,</t>
  </si>
  <si>
    <t>Bath &amp; toilet</t>
  </si>
  <si>
    <t xml:space="preserve">Supplying,laying and fixing of acrylic  mat including fixing solution etc., </t>
  </si>
  <si>
    <t>For exhaust</t>
  </si>
  <si>
    <t>((3.14/4)*0.30*0.30)*0.40</t>
  </si>
  <si>
    <t>Supplying and fixing of geaser 25 litre capacity etc.,</t>
  </si>
  <si>
    <t>Supply and laying Granite Tiles flooring in cm1:3,20mm thick, etc., RUBY red colour</t>
  </si>
  <si>
    <t>2.1</t>
  </si>
  <si>
    <t>FILLING IN FOUNDATION AND</t>
  </si>
  <si>
    <t>COST OF FILLINGSAND</t>
  </si>
  <si>
    <t>LABOUR CHARGES FOR FILLING</t>
  </si>
  <si>
    <t>TOTAL FOR 1.0 CUM</t>
  </si>
  <si>
    <t>Name of work : Providing Special repair work for the existing ADSP quarters at Church Hill ooty in the Nilgiris District</t>
  </si>
  <si>
    <t>34.</t>
  </si>
  <si>
    <t>PLASTERING C.M(1:4) 12mmTHICK</t>
  </si>
  <si>
    <t>GST @ 12%</t>
  </si>
  <si>
    <t>CEMENT MORTAR(1:7)</t>
  </si>
  <si>
    <t>CEMENT MORTAR(1:8)</t>
  </si>
  <si>
    <t xml:space="preserve">B.W IN C.M(1:5) using chamber burnt  bricks </t>
  </si>
  <si>
    <t>Bricks of size 23x11.4x7.5 cm</t>
  </si>
  <si>
    <t xml:space="preserve">B.W IN C.M(1:6) using chamber burnt </t>
  </si>
  <si>
    <t>PARTITION WALL</t>
  </si>
  <si>
    <t>B.W IN C.M(1:4) using Chamber burnt Bricks of size 23x11.4x7.5Cm</t>
  </si>
  <si>
    <t>PARTITION WALL OF 114 mm thick</t>
  </si>
  <si>
    <t xml:space="preserve">  5"BUTT HINGS</t>
  </si>
  <si>
    <t xml:space="preserve"> 6"X1/2"TOWER BOLT</t>
  </si>
  <si>
    <t>10"X5/8"ALDROP</t>
  </si>
  <si>
    <t xml:space="preserve">PLASTERED SURFACE WITH </t>
  </si>
  <si>
    <t>OBD</t>
  </si>
  <si>
    <t>Primer     (LMR item 112) p44</t>
  </si>
  <si>
    <t>3.2</t>
  </si>
  <si>
    <t>20mm HBSTONE METEL</t>
  </si>
  <si>
    <t xml:space="preserve">  H.B.STONEJELLY 20mm</t>
  </si>
  <si>
    <t>PAINTING TWO COATS OVER OLD</t>
  </si>
  <si>
    <t>Thorouh scrapping</t>
  </si>
  <si>
    <t>Tamil Nadu Police Housing Corparation Ltd.</t>
  </si>
  <si>
    <t>DESCRIPTION OF MATERIALS</t>
  </si>
  <si>
    <t>UNIT</t>
  </si>
  <si>
    <t>SOURCE</t>
  </si>
  <si>
    <t>LABOUR RATE</t>
  </si>
  <si>
    <t>1.</t>
  </si>
  <si>
    <t>CUM.</t>
  </si>
  <si>
    <t>Kurunthamalai</t>
  </si>
  <si>
    <t>MASON-I Brick / Stone work</t>
  </si>
  <si>
    <t>2.</t>
  </si>
  <si>
    <t>MASON-II Brick / Stone work</t>
  </si>
  <si>
    <t>3.</t>
  </si>
  <si>
    <t>HARD BROKEN STONE JELLY 3mm To 10mm p-18</t>
  </si>
  <si>
    <t>MAZDOOR-I</t>
  </si>
  <si>
    <t>4.</t>
  </si>
  <si>
    <t>HARD BROKEN STONE JELLY 10mm</t>
  </si>
  <si>
    <t>MAZDOOR-II</t>
  </si>
  <si>
    <t>5.</t>
  </si>
  <si>
    <t>HARD BROKEN STONE JELLY 12mm</t>
  </si>
  <si>
    <t>PAINTER-I</t>
  </si>
  <si>
    <t>6.</t>
  </si>
  <si>
    <t>HARD BROKEN STONE JELLY 20mm</t>
  </si>
  <si>
    <t>PAINTER-II</t>
  </si>
  <si>
    <t>7.</t>
  </si>
  <si>
    <t>HARD BROKEN STONE JELLY 40mm</t>
  </si>
  <si>
    <t>PLUMBER-I</t>
  </si>
  <si>
    <t>8.</t>
  </si>
  <si>
    <t>Karamadai 
[Kannarpalayam]</t>
  </si>
  <si>
    <t>PLUMBER-II</t>
  </si>
  <si>
    <t>9.</t>
  </si>
  <si>
    <t>FITTER-I</t>
  </si>
  <si>
    <t>10.</t>
  </si>
  <si>
    <t>1000nos.</t>
  </si>
  <si>
    <t>Thadagam</t>
  </si>
  <si>
    <t>FITTER-II</t>
  </si>
  <si>
    <t>11.</t>
  </si>
  <si>
    <t>CARPENTER-I</t>
  </si>
  <si>
    <t>12.</t>
  </si>
  <si>
    <t>BRICK JELLY 20mmGAUGE</t>
  </si>
  <si>
    <t>CARPENTER-II</t>
  </si>
  <si>
    <t>13.</t>
  </si>
  <si>
    <t>Local</t>
  </si>
  <si>
    <t>STONE CUTTER-I</t>
  </si>
  <si>
    <t>14.</t>
  </si>
  <si>
    <t>STONE CUTTER-II</t>
  </si>
  <si>
    <t>15.</t>
  </si>
  <si>
    <t>FLOOR POLISHER</t>
  </si>
  <si>
    <t>16.</t>
  </si>
  <si>
    <t>local</t>
  </si>
  <si>
    <t>17.</t>
  </si>
  <si>
    <t>C.W. PLANK UPTO 40mmTHICK UPTO 30 Cm WIDTH</t>
  </si>
  <si>
    <t>18.</t>
  </si>
  <si>
    <t>Vibrat-charges(P.C.C) sl.102</t>
  </si>
  <si>
    <t>19.</t>
  </si>
  <si>
    <t>20.</t>
  </si>
  <si>
    <t>21.</t>
  </si>
  <si>
    <t>22.</t>
  </si>
  <si>
    <t>23.</t>
  </si>
  <si>
    <t>CEMENT (supply at site)</t>
  </si>
  <si>
    <t>24.</t>
  </si>
  <si>
    <t>R.T.S. / M.S upto 16mm</t>
  </si>
  <si>
    <t>25.</t>
  </si>
  <si>
    <t>M.S./ R.T.S above 16mm</t>
  </si>
  <si>
    <t>26.</t>
  </si>
  <si>
    <t>Country BricksKiln Burnt  SIZE 22x11x5Cm</t>
  </si>
  <si>
    <t>27.</t>
  </si>
  <si>
    <t>HBSJ 11.2mm IRC metal (High W ay SR16-17)</t>
  </si>
  <si>
    <t>28.</t>
  </si>
  <si>
    <t>HBSJ 37.5mm to 26.5mm IRC metal</t>
  </si>
  <si>
    <t>29.</t>
  </si>
  <si>
    <t>HBSJ 63mm to 45mm IRC metal</t>
  </si>
  <si>
    <t>30.</t>
  </si>
  <si>
    <t>CERTIFIED THAT THE LEAD PARTICULARS FURNISHED HERE ARE FOUND CORRECT UPTO BEST OF MY KNOWLEDGE</t>
  </si>
  <si>
    <t>Two coats of OBD including scrapping of wall etc.,</t>
  </si>
  <si>
    <t>Verandah Alround</t>
  </si>
  <si>
    <t>D/F Door</t>
  </si>
  <si>
    <t>D/F Open</t>
  </si>
  <si>
    <t>D/F M.D</t>
  </si>
  <si>
    <t>D/F F.G</t>
  </si>
  <si>
    <t>Reception hall</t>
  </si>
  <si>
    <t>D/F D3</t>
  </si>
  <si>
    <t>Inspector</t>
  </si>
  <si>
    <t>D/F D5</t>
  </si>
  <si>
    <t>WC</t>
  </si>
  <si>
    <t>D/F V3</t>
  </si>
  <si>
    <t>Sub-Inspector</t>
  </si>
  <si>
    <t>Station writer</t>
  </si>
  <si>
    <t>Cupboard slab</t>
  </si>
  <si>
    <t>Property room</t>
  </si>
  <si>
    <t>Cupboard   wall</t>
  </si>
  <si>
    <t>Arms and ammunition</t>
  </si>
  <si>
    <t>Add Loft</t>
  </si>
  <si>
    <t>Lock up Men</t>
  </si>
  <si>
    <t>Add handrail</t>
  </si>
  <si>
    <t>Lock up Men wall</t>
  </si>
  <si>
    <t>FF</t>
  </si>
  <si>
    <t>GF</t>
  </si>
  <si>
    <t>Rear side toilet</t>
  </si>
  <si>
    <t>Sub-Inspector Crime</t>
  </si>
  <si>
    <t>Communication room</t>
  </si>
  <si>
    <t>Lock up women</t>
  </si>
  <si>
    <t>Rest room Women</t>
  </si>
  <si>
    <t>D/F V2</t>
  </si>
  <si>
    <t>D/F GW</t>
  </si>
  <si>
    <t>Corridor</t>
  </si>
  <si>
    <t>Rest room Men</t>
  </si>
  <si>
    <t>Dismantling and clearing away the Pressed tiles etc.,</t>
  </si>
  <si>
    <t>Supplying and laying of hydraulic pressed tiles etc.,</t>
  </si>
  <si>
    <t>Pointing the pressed tiles in CM 1:3 with WPC etc.,</t>
  </si>
  <si>
    <t>Supplying and fixing of PVC SWR 110 mm dia with ISI mark type- A for Rain water down fall pipe</t>
  </si>
  <si>
    <t>Supplying and fixing of 4mm thick pin headed glasses etc.,</t>
  </si>
  <si>
    <t>ASTM-D SCHEDULE- 40 THREADED PVC PIPE</t>
  </si>
  <si>
    <t>c.</t>
  </si>
  <si>
    <t xml:space="preserve"> 20MM DIA PVC PIPE ABOVE G.L:-</t>
  </si>
  <si>
    <t xml:space="preserve">COST OF 20MM DIA PVC PIPE </t>
  </si>
  <si>
    <t>ADD 70% FOR PVC/GI SPECIALS</t>
  </si>
  <si>
    <t>LABOUR FOR LAYING &amp; FIXING</t>
  </si>
  <si>
    <t>TOTAL FOR 1 RMT</t>
  </si>
  <si>
    <t>b.</t>
  </si>
  <si>
    <t xml:space="preserve"> 25MM DIA PVC PIPE ABOVE G.L:-</t>
  </si>
  <si>
    <t xml:space="preserve">COST OF 25MM DIA PVC PIPE </t>
  </si>
  <si>
    <t>ADD 40% FOR PVC/GI SPECIALS</t>
  </si>
  <si>
    <t>a.</t>
  </si>
  <si>
    <t xml:space="preserve"> 32MM DIA PVC PIPE ABOVE G.L:-</t>
  </si>
  <si>
    <t xml:space="preserve">COST OF 32MM DIA PVC PIPE </t>
  </si>
  <si>
    <t>ADD 20% FOR PVC/GI SPECIALS</t>
  </si>
  <si>
    <t>Form work for Roof and lintels using M.S sheet</t>
  </si>
  <si>
    <t>Form work for Small quantity and column using M.S. sheet</t>
  </si>
  <si>
    <t>d.</t>
  </si>
  <si>
    <t>Form work for Vertical walls</t>
  </si>
  <si>
    <t>Chain link fencing data for 15sqm</t>
  </si>
  <si>
    <t>sqm</t>
  </si>
  <si>
    <t>kg</t>
  </si>
  <si>
    <t>Binding wire</t>
  </si>
  <si>
    <t>Fitter I class</t>
  </si>
  <si>
    <t>Mazdoor I class</t>
  </si>
  <si>
    <t>Rate for 15sqm</t>
  </si>
  <si>
    <t>43.</t>
  </si>
  <si>
    <t>PLACING R.T.S RODS/MS RODS upto 16mm dia(without cement  slurry)</t>
  </si>
  <si>
    <t>QUTL</t>
  </si>
  <si>
    <t>R.T.S RODS/M.S.RODS UPTO 16MM DIA</t>
  </si>
  <si>
    <t>BINDING WIRE</t>
  </si>
  <si>
    <t>FITTER I</t>
  </si>
  <si>
    <t>TOTTAL FOR 1 QTL</t>
  </si>
  <si>
    <t>RATE PER M.T</t>
  </si>
  <si>
    <t>14.II</t>
  </si>
  <si>
    <t>TOTAL FOR 0.743 SQM</t>
  </si>
  <si>
    <t>SUPPLY AND FIXING OF</t>
  </si>
  <si>
    <t>110mmDIA P.V.C RAIN WATER</t>
  </si>
  <si>
    <t>DOWN FALL PIPE    Type- A  SWR pipe</t>
  </si>
  <si>
    <t>RMT</t>
  </si>
  <si>
    <t xml:space="preserve"> 110mmDIA P.V.C PIPE</t>
  </si>
  <si>
    <t xml:space="preserve"> 110mmDIA P.V.C PLAIN BEND</t>
  </si>
  <si>
    <t xml:space="preserve"> 110mmDIA P.V.C SHOE</t>
  </si>
  <si>
    <t>SPECIAL CLAMP</t>
  </si>
  <si>
    <t>C.I. GRATING 100mm DIA</t>
  </si>
  <si>
    <t>PLUMBER I</t>
  </si>
  <si>
    <t>COST OF PLUG SCREWS , RUBBER</t>
  </si>
  <si>
    <t>LUBRICANT ETC</t>
  </si>
  <si>
    <t>TOTAL FOR 3 RMT</t>
  </si>
  <si>
    <t>RATE PER RMT</t>
  </si>
  <si>
    <t>COMPLETE  type 'B'.</t>
  </si>
  <si>
    <t>P.V.C. PIPE 110mm DIA</t>
  </si>
  <si>
    <t>P.V.C BEND WITH DOOR 110MM</t>
  </si>
  <si>
    <t>EACH</t>
  </si>
  <si>
    <t>P.V.C COWL 110MM</t>
  </si>
  <si>
    <t>P.V.C DOOR TEE 110MM p-61 D-c</t>
  </si>
  <si>
    <t>COST OF RUBBER</t>
  </si>
  <si>
    <t>LUBRICANTT.W.PLUGS AND</t>
  </si>
  <si>
    <t>C.I.CLAMPS ETC</t>
  </si>
  <si>
    <t>SUNDERS</t>
  </si>
  <si>
    <t>58.1(b)</t>
  </si>
  <si>
    <t>B.</t>
  </si>
  <si>
    <t>SUPPLY AND FIXING OF PVC PIPE</t>
  </si>
  <si>
    <t xml:space="preserve">75MM DIA OF PVC SWR PIPE INCLUDING </t>
  </si>
  <si>
    <t>P.V.C. PIPE 75mm DIA</t>
  </si>
  <si>
    <t>P.V.C BEND WITH DOOR</t>
  </si>
  <si>
    <t>P.V.C COWL</t>
  </si>
  <si>
    <t>P.V.C DOOR TEE</t>
  </si>
  <si>
    <t>OBD p-50 sl.129</t>
  </si>
  <si>
    <t>Plastic Emulsion PAINT  (LMR item 113) p-50 132( First qty</t>
  </si>
  <si>
    <t xml:space="preserve">GALVANISIED IRON WIRE 2" x 2" using 10 gauge (of all sizes) p49/143 </t>
  </si>
  <si>
    <t>Steel grill for Verandah Enclousure PWD SR p23/ Item 168/131</t>
  </si>
  <si>
    <t>58.1(a)</t>
  </si>
  <si>
    <t>SUPPLY AND FIXING P.V.C.SOIL</t>
  </si>
  <si>
    <t>PIPESPECIALS OF FOLLOWING DIA:-</t>
  </si>
  <si>
    <t>A.</t>
  </si>
  <si>
    <t>SUPPLY AND FIXING OF PVC soil PIPE</t>
  </si>
  <si>
    <t xml:space="preserve">110MM DIA OF PVC SWR PIPE INCLUDING </t>
  </si>
  <si>
    <t>WITH NECESSARY PVC-GI SPECIALS</t>
  </si>
  <si>
    <t>PACKING THE JOINTS WITH RUBBER</t>
  </si>
  <si>
    <t>LUBRICANT AND FIXING IN TO</t>
  </si>
  <si>
    <t>WALL WITH WOODEN PLUGS</t>
  </si>
  <si>
    <t>SCREWSHOLDING CLAMPSETC</t>
  </si>
  <si>
    <t>LUBERICANT AND FIXING IN TO</t>
  </si>
  <si>
    <t>WALL WITH WOODEN PLUGES</t>
  </si>
  <si>
    <t>SUPPLYING AND FABRICATING AND</t>
  </si>
  <si>
    <t>18.1.a.</t>
  </si>
  <si>
    <t>Form work for Plinth beam, Grade beam, Raft beam</t>
  </si>
  <si>
    <t xml:space="preserve">standardised concrete mix M20 </t>
  </si>
  <si>
    <t>RATE PER SQM (Foundation and basement)</t>
  </si>
  <si>
    <t>ROUGH STONE sl.38  p18</t>
  </si>
  <si>
    <t>BOND STONE sl.57 p18</t>
  </si>
  <si>
    <t>SAND FOR FILLING</t>
  </si>
  <si>
    <t>Kiln Burnt Country Bricks  SIZE 22x11x7Cm p-16 it-5a</t>
  </si>
  <si>
    <t>BRICK JELLY 40mmGAUGE p-17 it-17 a</t>
  </si>
  <si>
    <t>MACHINE PRESSED TILES 23x 23x 2 Cm p-17 It-20</t>
  </si>
  <si>
    <t>SLACKED SHELL LIME sl.106 p20</t>
  </si>
  <si>
    <t>SLACKED &amp;SREENED LIME STONE sl107/67</t>
  </si>
  <si>
    <t>C.W SCANTLING UPTO 4M LONG p-21 it-127</t>
  </si>
  <si>
    <t>Mortar mix charges manual  sl.165(Ann3 p-34)</t>
  </si>
  <si>
    <t>Vibrat-charges(R.C.C) sl.103/2 p30</t>
  </si>
  <si>
    <t>T.W SCANTLING 2M TO 3M LONG 112/73 p-21</t>
  </si>
  <si>
    <t>T.W.SCANTLING BELOW 2M LONG 113/74 p-21</t>
  </si>
  <si>
    <t>Sand filling charges sl.75 p-28</t>
  </si>
  <si>
    <t>T.W.PLANKS 15TO30cm WIDTH &amp; 12to25mm Thick it-119 p-21</t>
  </si>
  <si>
    <t>Earth filling charges sl.76 p-28</t>
  </si>
  <si>
    <t>Country BricksKiln Burnt of SIZE 22x11x5Cm (7c)p-16</t>
  </si>
  <si>
    <t>E.W.  61/62 p-27</t>
  </si>
  <si>
    <t>MOSAIC TILES GRAY 25X25X2cm.it-30 p-17</t>
  </si>
  <si>
    <t>L.C.T.W.Door- 144/2 p-32</t>
  </si>
  <si>
    <t>L.C.marine doors-145/3 p-32</t>
  </si>
  <si>
    <t>TW glazed window 149/8 p-33</t>
  </si>
  <si>
    <t>Wrought&amp;putup 143/1 p-32</t>
  </si>
  <si>
    <t>Ventilator 153/14 p-33</t>
  </si>
  <si>
    <t>Meter- Cupboard Weldmesh 158/23 p-34</t>
  </si>
  <si>
    <t>E.W (SDR) 62/67 p-27</t>
  </si>
  <si>
    <t>FITTER-II (Pipe &amp; Bar Bend) 69/20a p-14</t>
  </si>
  <si>
    <t xml:space="preserve"> Gravel p20  92/57</t>
  </si>
  <si>
    <t>FITTER-I (Pipe &amp; Bar Bend) 19/20 p-12</t>
  </si>
  <si>
    <t xml:space="preserve"> Well Gravel p20  It93/57a</t>
  </si>
  <si>
    <t>E.W  loose soil p-26 SS20B/55/50</t>
  </si>
  <si>
    <t>Chamber Burnt Bricks of size 23x11.2x7Cm p16/4b</t>
  </si>
  <si>
    <t>Chamber Burnt Bricks  of size 23x11.4x7.5Cmp16 /3a</t>
  </si>
  <si>
    <t>Stone dust p20 96-58a</t>
  </si>
  <si>
    <t>6mmto 10mm HBG metal p-19 it-83+84/2</t>
  </si>
  <si>
    <t>Fly Ash Bricks  it-3A/8a p-16</t>
  </si>
  <si>
    <t>Crushed Stone SAND FOR MORTAR sl.98/58C p20</t>
  </si>
  <si>
    <t>Crushed Stone SAND FOR FILLING</t>
  </si>
  <si>
    <r>
      <t xml:space="preserve">Tamil Nadu Police Housing Corparation Ltd. </t>
    </r>
    <r>
      <rPr>
        <b/>
        <sz val="12"/>
        <rFont val="Helv"/>
      </rPr>
      <t xml:space="preserve"> DATA</t>
    </r>
  </si>
  <si>
    <t>======================================</t>
  </si>
  <si>
    <t>==========================================================</t>
  </si>
  <si>
    <t>2020-2021</t>
  </si>
  <si>
    <t>Ooty</t>
  </si>
  <si>
    <t xml:space="preserve">  </t>
  </si>
  <si>
    <t xml:space="preserve">         </t>
  </si>
  <si>
    <t>SL.NO</t>
  </si>
  <si>
    <t>Total  LEAD</t>
  </si>
  <si>
    <t xml:space="preserve">COST OF </t>
  </si>
  <si>
    <t>LEAD CHARGES</t>
  </si>
  <si>
    <t xml:space="preserve">Add 10% </t>
  </si>
  <si>
    <t>UN LO-</t>
  </si>
  <si>
    <t>MATERIAL</t>
  </si>
  <si>
    <t>LIME MORTAR(1:2)</t>
  </si>
  <si>
    <t>PLAIN</t>
  </si>
  <si>
    <t>HILL</t>
  </si>
  <si>
    <t>for quarry at</t>
  </si>
  <si>
    <t>ADING</t>
  </si>
  <si>
    <t>COST @ SITE</t>
  </si>
  <si>
    <t>LABOUR CHARGES</t>
  </si>
  <si>
    <t xml:space="preserve">Thuvakudi </t>
  </si>
  <si>
    <t>10%</t>
  </si>
  <si>
    <t>20%</t>
  </si>
  <si>
    <t>50%</t>
  </si>
  <si>
    <t>5%</t>
  </si>
  <si>
    <t>25%</t>
  </si>
  <si>
    <t>40%</t>
  </si>
  <si>
    <t xml:space="preserve"> -------------</t>
  </si>
  <si>
    <t>LIME</t>
  </si>
  <si>
    <t>MASON  I *</t>
  </si>
  <si>
    <t>MASON  II  *</t>
  </si>
  <si>
    <t>GRINDING OF MORTAR</t>
  </si>
  <si>
    <t>MAZDOOR I   *</t>
  </si>
  <si>
    <t>MAZDOOR II*</t>
  </si>
  <si>
    <t>PAINTER I/II*</t>
  </si>
  <si>
    <t>PLUMBER  I*</t>
  </si>
  <si>
    <t>CARPENTER I/II*</t>
  </si>
  <si>
    <t>SUPPLYING MIXINNG AND LAYING</t>
  </si>
  <si>
    <t>C.S.SAND FOR MORTAR sl.100  p20</t>
  </si>
  <si>
    <t>FITTER I/II*</t>
  </si>
  <si>
    <t>LIME SAND MIX 1:1 RATIO</t>
  </si>
  <si>
    <t>C.S.SAND FOR FILLING</t>
  </si>
  <si>
    <t>MIXING OF MORTAR* it-165</t>
  </si>
  <si>
    <t>CUM*</t>
  </si>
  <si>
    <t>INCLUDING COST OF</t>
  </si>
  <si>
    <t>LIFT CHARGES FOR B.W IN G.F  * it-94 p-29</t>
  </si>
  <si>
    <t>SAND,LIME,LABOUR FOR MIXING</t>
  </si>
  <si>
    <t>LIFT CHARGES FOR B.W IN F.F  *</t>
  </si>
  <si>
    <t>&amp;LAYING ETC COMPLETE.</t>
  </si>
  <si>
    <t>LIFT CHARGES FOR B.W IN S.F  *</t>
  </si>
  <si>
    <t>LIFT CHARGES FOR CONCRETE IN G.F  *it-92 p-29</t>
  </si>
  <si>
    <t>COST OF SAND</t>
  </si>
  <si>
    <t>LIFT CHARGES FOR CONCRETE IN F.F  *</t>
  </si>
  <si>
    <t>COST OF LIME</t>
  </si>
  <si>
    <t>LIFT CHARGES FOR CONCRETE IN S.F  *</t>
  </si>
  <si>
    <t>LABOUR CHARGES FOR MIXING</t>
  </si>
  <si>
    <t>VIBRATER CHARGES  * it-103 p-28</t>
  </si>
  <si>
    <t>EARTH FILLING  * it-76/85</t>
  </si>
  <si>
    <t xml:space="preserve"> 1CUM</t>
  </si>
  <si>
    <t>SAND FILLING  * it-75/85</t>
  </si>
  <si>
    <t>POLISHING STONE (average of rough, medium, fine) it-52 p-43</t>
  </si>
  <si>
    <t>TOTAL FOR 1.5 CUM</t>
  </si>
  <si>
    <t>FLOOR POLISHER (MOSAIC)  * p-11 it-17</t>
  </si>
  <si>
    <t>LABOUR CHARGE FOR WROUGHT &amp; PUTUP /V-SHUTTER *p-30 it-143</t>
  </si>
  <si>
    <t>LABOUR CHARGE FOR DOOR/WINDOW SHUTTER  *p-30 it-144</t>
  </si>
  <si>
    <t>COST OF RUBBER ,LUBRICATION,PLUG,CLAMP</t>
  </si>
  <si>
    <t>M.S. HOLD FAST WITH SCREWS *</t>
  </si>
  <si>
    <t>M.S. SHEET/ANGLE PER M.T p23 I-159/112</t>
  </si>
  <si>
    <t>Gravel</t>
  </si>
  <si>
    <t>Earth work lift for addl 1M p-27 it-66/77</t>
  </si>
  <si>
    <t>Labour for petty iron worksp-34 it-167/1</t>
  </si>
  <si>
    <t>TRANSPORTING &amp; ERRECTION</t>
  </si>
  <si>
    <t>LABOUR COST OF CHANNELMOULD/PAINTING ANTCORROSIVE</t>
  </si>
  <si>
    <t>COST OF PLASTERXERS/COST OF ANTI-CORROSIVE</t>
  </si>
  <si>
    <t>STONE CUTTER II  *</t>
  </si>
  <si>
    <t>CONVEYING,LOWERING&amp; JOINTING LABOUR</t>
  </si>
  <si>
    <t>LABOUR FOR CUTTING 15mm DIA   * p-32 it-125 pwd</t>
  </si>
  <si>
    <t>LABOUR FOR CUTTING 20mm DIA  *</t>
  </si>
  <si>
    <t>LABOUR FOR CUTTING 25mm DIA  *</t>
  </si>
  <si>
    <t>LABOUR FOR CUTTING 32mm DIA  *</t>
  </si>
  <si>
    <t>LABOUR FOR CUTTING 40mm DIA  *</t>
  </si>
  <si>
    <t>CEMENT CONCRETE(1:8:16) USING</t>
  </si>
  <si>
    <t>LABOUR FOR CUTTING 50mm DIA/100mm Dia  *</t>
  </si>
  <si>
    <t>40mm BRICK JELLY</t>
  </si>
  <si>
    <t>LABOUR FOR CUTTING 65mm DIA/80mm Dia  *</t>
  </si>
  <si>
    <t>LABOUR FOR THREADING 15mm DIA  * it-126</t>
  </si>
  <si>
    <t>A.E.E</t>
  </si>
  <si>
    <t>LABOUR FOR THREADING 20mm DIA  *</t>
  </si>
  <si>
    <t>LABOUR FOR THREADING 25mm DIA  *</t>
  </si>
  <si>
    <t>LABOUR FOR THREADING 32mm DIA /100mm Dia *</t>
  </si>
  <si>
    <t>JE / AE</t>
  </si>
  <si>
    <t>AEE</t>
  </si>
  <si>
    <t>EE</t>
  </si>
  <si>
    <t>LABOUR FOR THREADING 40mm DIA /80mm Dia *</t>
  </si>
  <si>
    <t>LABOUR FOR THREADING 50mm DIA /65mm Dia *</t>
  </si>
  <si>
    <t>COST OF JOINTING MATERIALS</t>
  </si>
  <si>
    <t>HIRE CHARGES FOR   POWER POLISHER</t>
  </si>
  <si>
    <t>ELC. CONSUMPTION CHARGES</t>
  </si>
  <si>
    <t xml:space="preserve">FLY  ASH BRICKS DATA </t>
  </si>
  <si>
    <t>LABOUR FOR FIXING WINDOW BARS p-34 it-169</t>
  </si>
  <si>
    <t>Kg*</t>
  </si>
  <si>
    <t xml:space="preserve">B.W IN C.M(1:5) using fly ash  bricks </t>
  </si>
  <si>
    <t>E.W.EXCAVATION SS 20B AS PER SR ITEM 61,62 * P-25</t>
  </si>
  <si>
    <t>Bricks of size 23x11x7 cm</t>
  </si>
  <si>
    <t>MIXER OPERATER * p-15 S.No.83/79</t>
  </si>
  <si>
    <t>CEMENT CONCRETE(1:2:4) USING</t>
  </si>
  <si>
    <t>TESTING CHARGES FOR S.W. LINE</t>
  </si>
  <si>
    <t>GRINDING MORTAR * 164/2 p-34</t>
  </si>
  <si>
    <t>G.I. SHEET SR156 / 114 1.6mmT.K,30cmWIDE P-23 it-162/114</t>
  </si>
  <si>
    <t>SQM*</t>
  </si>
  <si>
    <t>FITTER II *</t>
  </si>
  <si>
    <t xml:space="preserve">ROUGH STONE </t>
  </si>
  <si>
    <t>BOND STONE</t>
  </si>
  <si>
    <t>HARD BROKEN STONE JELLY 3mmTo10mm SIZE</t>
  </si>
  <si>
    <t>HARD BROKEN STONE JELLY  10mm SIZE</t>
  </si>
  <si>
    <t>TOTAL FOR 2.83168 CUM</t>
  </si>
  <si>
    <t>HARD BROKEN STONE JELLY 12mm SIZE</t>
  </si>
  <si>
    <t>HARD BROKEN STONE JELLY 20mm SIZE</t>
  </si>
  <si>
    <t>HARD BROKEN STONE JELLY 40mm SIZE</t>
  </si>
  <si>
    <t>TERRACOTTA JALLY 110mm/50mmT.K FIXING CHARGE</t>
  </si>
  <si>
    <t>TERRACOTTA JALLY 110mmT.K/50mmT.K</t>
  </si>
  <si>
    <t xml:space="preserve">Qtn </t>
  </si>
  <si>
    <t>B.W IN C.M(1:5) USING CHAMBER BURNT</t>
  </si>
  <si>
    <t>KILN BURNT COUNTRY G.M(2D) BRICK 8-3/4"X4-1/4"X2"</t>
  </si>
  <si>
    <t>Bricks of size 23X11.2X7Cm</t>
  </si>
  <si>
    <t>S.F</t>
  </si>
  <si>
    <t>SAND FOR MARTER</t>
  </si>
  <si>
    <t>T.F</t>
  </si>
  <si>
    <t>EARTH WORK EXCAVATION</t>
  </si>
  <si>
    <t>Bricks of size 22X11X5Cm</t>
  </si>
  <si>
    <t>EARTH WORK EXCAVATION for loose soil</t>
  </si>
  <si>
    <t>Forth floor</t>
  </si>
  <si>
    <t>STOCK BRICK-IISORT(2A)T.M OF SIZE 9"x4-1/2"X3"</t>
  </si>
  <si>
    <t>---------------------</t>
  </si>
  <si>
    <t>BRICK JELLY 40mm GAUGE</t>
  </si>
  <si>
    <t>BRICK JELLY 20mm GAUGE</t>
  </si>
  <si>
    <t>ADD 100% FOR NARROW CUTTING</t>
  </si>
  <si>
    <t>PRESSED TILES 23X23X2cm</t>
  </si>
  <si>
    <t>SLACKED LIME</t>
  </si>
  <si>
    <t xml:space="preserve">B.W IN C.M(1:6) using fly ash bricks </t>
  </si>
  <si>
    <t>C.W.SCANTLING UP TO 4M LONG P-20 -it-120/77i</t>
  </si>
  <si>
    <t>C.W. PLANK 40mmT.K.UPTO30cm WIDTH</t>
  </si>
  <si>
    <t>T.W SANDLING OVER2M,BLOW3M</t>
  </si>
  <si>
    <t>RATE PER CUM INCLUDING REFILLING</t>
  </si>
  <si>
    <t>T.W.SCANDLING UPTO 2M</t>
  </si>
  <si>
    <t>T.W. PLANK 12mm to 25mm T.K UPTO 30cmWIDTH</t>
  </si>
  <si>
    <t>1.2</t>
  </si>
  <si>
    <t xml:space="preserve">RATE PER CUM EXCLUDING REFILLING 
</t>
  </si>
  <si>
    <t xml:space="preserve">
RATE PER CUM EXCLUDING REFILLING 
</t>
  </si>
  <si>
    <t>COUNTRY BRICK-ISORT(2B)T.M SIZE 9"x4-3/8"X2-3/4"</t>
  </si>
  <si>
    <t>1.3</t>
  </si>
  <si>
    <r>
      <t xml:space="preserve">EARTH WORK EXCAVATION  for </t>
    </r>
    <r>
      <rPr>
        <b/>
        <sz val="12"/>
        <rFont val="Helv"/>
      </rPr>
      <t>SDR</t>
    </r>
  </si>
  <si>
    <t>Loose soil</t>
  </si>
  <si>
    <t>EARTH WORK EXCAVATION IN SDR</t>
  </si>
  <si>
    <t>RATE PER CUM EXCLUDING REFILLING IN SDR</t>
  </si>
  <si>
    <t>B.W IN C.M(1:4) using  fly ash bricks</t>
  </si>
  <si>
    <r>
      <t xml:space="preserve">EARTH WORK EXCAVATION  for </t>
    </r>
    <r>
      <rPr>
        <b/>
        <sz val="12"/>
        <rFont val="Helv"/>
      </rPr>
      <t>open foundation</t>
    </r>
    <r>
      <rPr>
        <sz val="11"/>
        <color theme="1"/>
        <rFont val="Calibri"/>
        <family val="2"/>
        <scheme val="minor"/>
      </rPr>
      <t>EXCLUDING REFILLING</t>
    </r>
  </si>
  <si>
    <t>3 to 4</t>
  </si>
  <si>
    <t>4 to 5</t>
  </si>
  <si>
    <r>
      <t xml:space="preserve">EARTH WORK EXCAVATION  for open foundation
</t>
    </r>
    <r>
      <rPr>
        <sz val="11"/>
        <color theme="1"/>
        <rFont val="Calibri"/>
        <family val="2"/>
        <scheme val="minor"/>
      </rPr>
      <t>IN SDR (EXCLUDING REFILLING)</t>
    </r>
  </si>
  <si>
    <r>
      <t xml:space="preserve">BASEMENT  WITH  </t>
    </r>
    <r>
      <rPr>
        <b/>
        <sz val="12"/>
        <rFont val="Helv"/>
      </rPr>
      <t>FILLING WELL GRAVEL</t>
    </r>
  </si>
  <si>
    <t>Average rate for staircase steps</t>
  </si>
  <si>
    <t>COST OF FILLING GRAVEL</t>
  </si>
  <si>
    <r>
      <t xml:space="preserve">RATE PER CUM EXCLUDING REFILLING
</t>
    </r>
    <r>
      <rPr>
        <b/>
        <sz val="12"/>
        <rFont val="Helv"/>
      </rPr>
      <t>IN SDR (OPEN FOUNDATION)</t>
    </r>
  </si>
  <si>
    <t>B.W IN C.M(1:4) using fly ash bricks of size 23x11.4x7.5Cm</t>
  </si>
  <si>
    <t>EARTH WORK EXCAVATION FOR DRAINS</t>
  </si>
  <si>
    <t xml:space="preserve">up to 1.25m width </t>
  </si>
  <si>
    <t xml:space="preserve"> 1.5 times E.W</t>
  </si>
  <si>
    <t>From 1.25m to 2m width (1.25 times E.W)</t>
  </si>
  <si>
    <t>From 1.25m to 2m width</t>
  </si>
  <si>
    <t>MOSIC TILES GREY 25X25X2cm</t>
  </si>
  <si>
    <t>RTS/MS above 16mm dia</t>
  </si>
  <si>
    <r>
      <t xml:space="preserve">BASEMENT  WITH  </t>
    </r>
    <r>
      <rPr>
        <b/>
        <sz val="12"/>
        <rFont val="Helv"/>
      </rPr>
      <t>FILLING SAND</t>
    </r>
  </si>
  <si>
    <r>
      <t xml:space="preserve">BASEMENT  WITH  </t>
    </r>
    <r>
      <rPr>
        <b/>
        <sz val="12"/>
        <rFont val="Helv"/>
      </rPr>
      <t>FILLING GRAVEL</t>
    </r>
  </si>
  <si>
    <t>RTS/MS upto 16mm dia</t>
  </si>
  <si>
    <t>M.S. WIRE 3mm</t>
  </si>
  <si>
    <t>GRAVEL</t>
  </si>
  <si>
    <t>BITUMEN</t>
  </si>
  <si>
    <t>BINDING WIRE p-23 it-160/161</t>
  </si>
  <si>
    <t>POLISHING  STONE</t>
  </si>
  <si>
    <t>PARTITION WALL OF 110 mm thick</t>
  </si>
  <si>
    <t>LABOUR CHARGES FOR SPREADING  bull dozer p27 / Item68/78a</t>
  </si>
  <si>
    <t>2.2</t>
  </si>
  <si>
    <r>
      <t xml:space="preserve">PROVIDING </t>
    </r>
    <r>
      <rPr>
        <b/>
        <sz val="12"/>
        <rFont val="Helv"/>
      </rPr>
      <t>SAND  GRAVEL MIX</t>
    </r>
  </si>
  <si>
    <t>CRUDE OIL</t>
  </si>
  <si>
    <t>IN 1:1 RATIO INCLUDING</t>
  </si>
  <si>
    <t>RED OXIDE P-43/ it-41</t>
  </si>
  <si>
    <t>COST OF SAND,GRAVEL,STACKING,LABOUR FOR</t>
  </si>
  <si>
    <r>
      <t xml:space="preserve">BASEMENT  WITH  </t>
    </r>
    <r>
      <rPr>
        <b/>
        <sz val="12"/>
        <rFont val="Helv"/>
      </rPr>
      <t>STONE DUST</t>
    </r>
  </si>
  <si>
    <t>MIXING &amp;CONSOLIDATION ETC</t>
  </si>
  <si>
    <t>COMPLETE.</t>
  </si>
  <si>
    <t>COST OFSTONE DUST</t>
  </si>
  <si>
    <t>STACKING CHARGES</t>
  </si>
  <si>
    <t>COST OF gravel</t>
  </si>
  <si>
    <t>LABOUR CHARGES FOR SPREADING</t>
  </si>
  <si>
    <t>WATERING&amp;POWER ROLLING</t>
  </si>
  <si>
    <t>Fourth Floor</t>
  </si>
  <si>
    <t>CEMENT CONCRETE(1:4:8) USING</t>
  </si>
  <si>
    <t>B.W IN C.M(1:4) USING 2-B Categery using fly ash bricks</t>
  </si>
  <si>
    <t>1000NO.</t>
  </si>
  <si>
    <t>SUPLLYING AND FILLING WITH 40MM Brick jelly</t>
  </si>
  <si>
    <t>SUPLLYING AND FILLING WITH 40MM HBSJ</t>
  </si>
  <si>
    <t>SUPLLYING AND FILLING WITH 20MM Brick jelly</t>
  </si>
  <si>
    <t>COST OF 40mm HBSJ</t>
  </si>
  <si>
    <t>SUPLLYING AND FILLING WITH 20MM HBSJ</t>
  </si>
  <si>
    <t>COST OF 20mm HBSJ</t>
  </si>
  <si>
    <t>***</t>
  </si>
  <si>
    <t>PARTITION WALL OF 70mm thick</t>
  </si>
  <si>
    <t>PRATITION B.W IN C.M(1:4)</t>
  </si>
  <si>
    <t>2.5</t>
  </si>
  <si>
    <r>
      <t xml:space="preserve">Providing </t>
    </r>
    <r>
      <rPr>
        <b/>
        <sz val="12"/>
        <rFont val="Helv"/>
      </rPr>
      <t>GRAVEL SOLING</t>
    </r>
    <r>
      <rPr>
        <sz val="11"/>
        <color theme="1"/>
        <rFont val="Calibri"/>
        <family val="2"/>
        <scheme val="minor"/>
      </rPr>
      <t xml:space="preserve"> of 150mm thick</t>
    </r>
  </si>
  <si>
    <t>COST OF Gravel</t>
  </si>
  <si>
    <t>Forth Floor</t>
  </si>
  <si>
    <t>WINE VERNISH</t>
  </si>
  <si>
    <t>LITTER</t>
  </si>
  <si>
    <t>CEMENT CONCRETE(1:3:6) USING</t>
  </si>
  <si>
    <t>LINSEED OIL (BOILED)</t>
  </si>
  <si>
    <t>BEST GOPALVARNISH REDY MIX (PWD LR) p43 It.51</t>
  </si>
  <si>
    <t>READY MIX PAINT II ND/ IST for wood p-50 sl.115</t>
  </si>
  <si>
    <t>READY MIX PRIMER PAINT sl.133/ p50 wood primer)</t>
  </si>
  <si>
    <t>M.S WASHER</t>
  </si>
  <si>
    <t>CHICKEN MESH 10X10X10G it-166/129 P-23</t>
  </si>
  <si>
    <t>WELD MESH  75X25X10G / Fly proof mesh Sl.no.163 p-23</t>
  </si>
  <si>
    <t>WELD MESH 100X100X10G S.no.165 p-23</t>
  </si>
  <si>
    <t>IWC ORIYA PAN p54/161 ( white)</t>
  </si>
  <si>
    <t>S.W. SIGLE Y</t>
  </si>
  <si>
    <t>S.W.TEE 100/150mm DIA WITH ISI MARK it-192/a p-58</t>
  </si>
  <si>
    <t>S.W.PIPE 100mm DIAWITH ISI MARKit-191/a p-58</t>
  </si>
  <si>
    <t>S.W.PIPE 150mm DIAWITH ISI MARK</t>
  </si>
  <si>
    <t>S.W.BEND 100/150mm DIAWITH ISI MARK it-192/b p-58</t>
  </si>
  <si>
    <t>READY MIX PAINT II ND/ IST for iron it-136 p-50</t>
  </si>
  <si>
    <t>LTR</t>
  </si>
  <si>
    <r>
      <t>CEMENT CONCRETE</t>
    </r>
    <r>
      <rPr>
        <b/>
        <sz val="12"/>
        <rFont val="Helv"/>
      </rPr>
      <t xml:space="preserve"> PCC (1:2:4)</t>
    </r>
    <r>
      <rPr>
        <sz val="11"/>
        <color theme="1"/>
        <rFont val="Calibri"/>
        <family val="2"/>
        <scheme val="minor"/>
      </rPr>
      <t xml:space="preserve"> USING</t>
    </r>
  </si>
  <si>
    <t>S.W.TEE 150mm DIA WITH ISI MARK it-192/i p-58</t>
  </si>
  <si>
    <t>DOOR OF SIZE 70X210Cm</t>
  </si>
  <si>
    <t>T.W.SCANTLING above 2M length</t>
  </si>
  <si>
    <t>T.W.SCANTLING below 2M length</t>
  </si>
  <si>
    <t>Phenol bonded BWR Plywood 9mm</t>
  </si>
  <si>
    <t>LABOUR CHARGE</t>
  </si>
  <si>
    <t xml:space="preserve"> 6"X1/2"ALU.TOWER BOLT</t>
  </si>
  <si>
    <t xml:space="preserve"> 5" ALU.BUTT HINGS</t>
  </si>
  <si>
    <t xml:space="preserve"> 10"X5/8" ALU. ALDROP</t>
  </si>
  <si>
    <t>NYLON BUSH</t>
  </si>
  <si>
    <t>ALU.HANDLE WITH C.P.SCREWS150mm long</t>
  </si>
  <si>
    <t>DOOR STOPPER</t>
  </si>
  <si>
    <t>TOTAL FOR 1.23 SQM</t>
  </si>
  <si>
    <t>3.3</t>
  </si>
  <si>
    <r>
      <t>CEMENT CONCRETE</t>
    </r>
    <r>
      <rPr>
        <b/>
        <sz val="12"/>
        <rFont val="Helv"/>
      </rPr>
      <t>(1:8:16)</t>
    </r>
    <r>
      <rPr>
        <sz val="11"/>
        <color theme="1"/>
        <rFont val="Calibri"/>
        <family val="2"/>
        <scheme val="minor"/>
      </rPr>
      <t xml:space="preserve"> USING</t>
    </r>
  </si>
  <si>
    <t>20mm brick jelly</t>
  </si>
  <si>
    <t xml:space="preserve"> 20mmbrick jelly</t>
  </si>
  <si>
    <t>|::</t>
  </si>
  <si>
    <r>
      <t>CEMENT CONCRETE</t>
    </r>
    <r>
      <rPr>
        <b/>
        <sz val="12"/>
        <rFont val="Helv"/>
      </rPr>
      <t>(1:4:8)</t>
    </r>
    <r>
      <rPr>
        <sz val="11"/>
        <color theme="1"/>
        <rFont val="Calibri"/>
        <family val="2"/>
        <scheme val="minor"/>
      </rPr>
      <t xml:space="preserve"> USING</t>
    </r>
  </si>
  <si>
    <t>40mm brick jelly</t>
  </si>
  <si>
    <t xml:space="preserve"> 40mm HGJ jelly</t>
  </si>
  <si>
    <r>
      <t xml:space="preserve">PROVIDING  </t>
    </r>
    <r>
      <rPr>
        <b/>
        <sz val="12"/>
        <rFont val="Helv"/>
      </rPr>
      <t>WBM 125mm</t>
    </r>
    <r>
      <rPr>
        <sz val="11"/>
        <color theme="1"/>
        <rFont val="Calibri"/>
        <family val="2"/>
        <scheme val="minor"/>
      </rPr>
      <t xml:space="preserve"> CONSOLIDATED</t>
    </r>
  </si>
  <si>
    <t>THICK WITH GRAVEL BLINDAGE</t>
  </si>
  <si>
    <t>Stacking charges</t>
  </si>
  <si>
    <t>63mm to 45mm IRC metal</t>
  </si>
  <si>
    <t>37.5mm to 26.5mm IRC metal</t>
  </si>
  <si>
    <t>Gravel blindage 2 layers</t>
  </si>
  <si>
    <t>Spreading charges for 2 layers</t>
  </si>
  <si>
    <t>(10.1+7.72)</t>
  </si>
  <si>
    <t>Total for 10 m2</t>
  </si>
  <si>
    <t>for 1 m2</t>
  </si>
  <si>
    <r>
      <t xml:space="preserve">SURFACE DRESSING OVER </t>
    </r>
    <r>
      <rPr>
        <b/>
        <sz val="12"/>
        <rFont val="Helv"/>
      </rPr>
      <t>WBM 25mm TK.</t>
    </r>
  </si>
  <si>
    <t>11.2mm IRC metal</t>
  </si>
  <si>
    <t>Filling sand</t>
  </si>
  <si>
    <t>Bitumen</t>
  </si>
  <si>
    <t>Labour charges</t>
  </si>
  <si>
    <t>Total for 100M2</t>
  </si>
  <si>
    <t>S.W.BEND 150mm DIA p-58 it-192 b</t>
  </si>
  <si>
    <t>4.1</t>
  </si>
  <si>
    <t xml:space="preserve">REINFORCED CEMENT CONCRETE </t>
  </si>
  <si>
    <t>PARTITION WALL OF 114mmTHICK</t>
  </si>
  <si>
    <t>S.W.GULLY TRAP 150X100mm it-186 p-56</t>
  </si>
  <si>
    <t>NAHANI TRAP 63mm/75mmPVC TYP,4 way/3way p-56 it-188</t>
  </si>
  <si>
    <t>C.C(1:2:4)USING 20mm HBSTONE</t>
  </si>
  <si>
    <t>CENTERING C.W BOARDING 40mmT.K ( Silver oakplank 40mm thick) 137/78 b p-22</t>
  </si>
  <si>
    <t>JELLY FOR ALL RCCWORK</t>
  </si>
  <si>
    <t>CENTERING C.W. JOIST ( Silver oak scantling)  it-131/77d p-21</t>
  </si>
  <si>
    <t>CASURINA POST 10cm TO 13cm DIA *p-22 /146b</t>
  </si>
  <si>
    <t xml:space="preserve"> 20mm HB STONE JELLY</t>
  </si>
  <si>
    <t>CEMENT PAINT / matt paint  p50 s.128 / p43 sl.45</t>
  </si>
  <si>
    <t>GLASS 4mmTHICK p49/125</t>
  </si>
  <si>
    <t>A.C. PIPE 100mm DIA p-44 / it 66</t>
  </si>
  <si>
    <t>A.C.BEND100mm DIAp-44 /68</t>
  </si>
  <si>
    <t>A.C. SHOE 100mm DIAp-44 /67</t>
  </si>
  <si>
    <t xml:space="preserve"> 20a</t>
  </si>
  <si>
    <t>C.I EVERITE CLAMOE 100mm DIA</t>
  </si>
  <si>
    <t xml:space="preserve"> 20b</t>
  </si>
  <si>
    <t>CI GREATINGS 100mm DIA p44 sl.71</t>
  </si>
  <si>
    <t xml:space="preserve"> 20c</t>
  </si>
  <si>
    <t>G.I.SHEET 22G p43 / 61</t>
  </si>
  <si>
    <t>TOTAL FOR 10CUM</t>
  </si>
  <si>
    <t xml:space="preserve"> 20d</t>
  </si>
  <si>
    <t>ALU  HINGS 5" (PWD LR) p-45 /77a</t>
  </si>
  <si>
    <t>ALU  HINGS 4" (PWD LR)p-45 /77b</t>
  </si>
  <si>
    <t>DADOING WALL WITH MASAIC</t>
  </si>
  <si>
    <t>ALU  HINGS 3" (PWD LR)p-45 /77c</t>
  </si>
  <si>
    <t>GRADED CHIPS</t>
  </si>
  <si>
    <t>ALU  HINGS 2" (PWD LR)p-45 /77d</t>
  </si>
  <si>
    <t>VIBRATING CHARGES</t>
  </si>
  <si>
    <t>ALU TOWER BOLT 6"X1/2" (PWD LR) p46 95e</t>
  </si>
  <si>
    <t>MASIC TILES LAID IN CM 1:3</t>
  </si>
  <si>
    <t>ALU TOWER BOLT 3"X5/10"/4"x5/10"  p46 95g</t>
  </si>
  <si>
    <t>for foundation  and basement</t>
  </si>
  <si>
    <t xml:space="preserve">ALU ALDROP 10"X5.8"  p46 96 </t>
  </si>
  <si>
    <t>ALU ALDROP 6"X1/2"  p46 96d</t>
  </si>
  <si>
    <t>NYLON BUSH FOR Door ( qtn)</t>
  </si>
  <si>
    <t>NYLON BUSH FOR W&amp;V</t>
  </si>
  <si>
    <t>VENTILATER PIVET</t>
  </si>
  <si>
    <t>PAIR</t>
  </si>
  <si>
    <t>ALU HOOKS &amp; EYES8"</t>
  </si>
  <si>
    <t>ALU HOOKS &amp; EYES6"</t>
  </si>
  <si>
    <t>ALU HOOKS &amp; EYES3"</t>
  </si>
  <si>
    <t>RANDUM RABBLE MASONRY IN CM 1:5</t>
  </si>
  <si>
    <t>I.O. HINGES 4"</t>
  </si>
  <si>
    <t>PLASTERING C.M(1:3) 12mmTHICK</t>
  </si>
  <si>
    <t>I.O. HINGES 5"</t>
  </si>
  <si>
    <t>ROUGH STONE</t>
  </si>
  <si>
    <t>I.O SPL HING 8"LONG</t>
  </si>
  <si>
    <t>I.O. HINGES 3"</t>
  </si>
  <si>
    <t>I.O. HINGES 2"</t>
  </si>
  <si>
    <t>I.O. TOWER BOLT 6"X1/2"</t>
  </si>
  <si>
    <t>I.O. TOWER BOLT 2"X5/8"</t>
  </si>
  <si>
    <t>I.O. ALDROP 10"X5.8"</t>
  </si>
  <si>
    <t>I.O. ALDROP 6"X1/2"</t>
  </si>
  <si>
    <t>NYLON BUSH FOR D</t>
  </si>
  <si>
    <t>PLASTERING C.M(1:2) 12mmTHICK</t>
  </si>
  <si>
    <t>I.O HOOKS &amp; EYES8"</t>
  </si>
  <si>
    <t>I.O HOOKS &amp; EYES6"</t>
  </si>
  <si>
    <t xml:space="preserve">I.O HOOKS &amp; EYES3" Qtn </t>
  </si>
  <si>
    <t xml:space="preserve">B.W IN C.M(1:5) using kiln burnt country bricks </t>
  </si>
  <si>
    <t xml:space="preserve">B.W IN C.M(1:5) USING Chamber </t>
  </si>
  <si>
    <t>C.I. SOIL PIPE</t>
  </si>
  <si>
    <t>Bricks of size 22x11x7 cm</t>
  </si>
  <si>
    <t>Bricks of size 23x11.2x7 cm</t>
  </si>
  <si>
    <t xml:space="preserve"> 50mm DIA</t>
  </si>
  <si>
    <t xml:space="preserve"> 75mm DIA</t>
  </si>
  <si>
    <t>1000Nos.</t>
  </si>
  <si>
    <t xml:space="preserve"> 100mm DIA</t>
  </si>
  <si>
    <t xml:space="preserve"> 150mm DIA</t>
  </si>
  <si>
    <t>C.I. SOIL BEND</t>
  </si>
  <si>
    <t>PLASTERING C.M(1:2) 10mmTHICK</t>
  </si>
  <si>
    <t>C.I. SOIL BEND WITHDOOR</t>
  </si>
  <si>
    <t>A.C. SOIL PIPE</t>
  </si>
  <si>
    <t>7.2</t>
  </si>
  <si>
    <r>
      <t xml:space="preserve">PROVIDING </t>
    </r>
    <r>
      <rPr>
        <b/>
        <sz val="12"/>
        <rFont val="Helv"/>
      </rPr>
      <t>BITUMEN PAD</t>
    </r>
    <r>
      <rPr>
        <sz val="11"/>
        <color theme="1"/>
        <rFont val="Calibri"/>
        <family val="2"/>
        <scheme val="minor"/>
      </rPr>
      <t xml:space="preserve"> FOR EXPANISION </t>
    </r>
  </si>
  <si>
    <t>/SQM</t>
  </si>
  <si>
    <t>JOINT it-233 b p-62</t>
  </si>
  <si>
    <t xml:space="preserve">B.W IN C.M(1:6) using kiln burnt country bricks </t>
  </si>
  <si>
    <t xml:space="preserve">B.W IN C.M(1:6) USING Chamber  </t>
  </si>
  <si>
    <t>A.C. SOIL BEND</t>
  </si>
  <si>
    <t>PLASTERING C.M(1:5) 20mmTHICK</t>
  </si>
  <si>
    <t>A.C. SOIL BEND WITHDOOR</t>
  </si>
  <si>
    <t>A.C. SOIL TEE</t>
  </si>
  <si>
    <t>PLASTERING C.M(1:3) 20mmTHICK</t>
  </si>
  <si>
    <t>==========</t>
  </si>
  <si>
    <t>A.C. SOIL TEE WITH DOOR</t>
  </si>
  <si>
    <t>A.C. SOIL  SINGLE YEE</t>
  </si>
  <si>
    <t xml:space="preserve">B.W IN C.M(1:4) using kiln burnt country bricks </t>
  </si>
  <si>
    <t xml:space="preserve">B.W IN C.M(1:4) USING Chamber  </t>
  </si>
  <si>
    <t>A.C. SOIL  SINGLE YEE WITHDOOR</t>
  </si>
  <si>
    <t>PLASTERING C.M(1:4) 20mmTHICK</t>
  </si>
  <si>
    <t>MIXEDWITH RED OXIDE @9.8</t>
  </si>
  <si>
    <t>Kg/10 SQM</t>
  </si>
  <si>
    <t xml:space="preserve">B.W IN C.M(1:4) using  using chamber burnt </t>
  </si>
  <si>
    <t>A.C. SOIL  DOUBLE YEE WITHDOOR</t>
  </si>
  <si>
    <t>no.</t>
  </si>
  <si>
    <t>mason for polishing</t>
  </si>
  <si>
    <t>A.C. SOIL DOUBLE YEE</t>
  </si>
  <si>
    <t>RED OXIDE</t>
  </si>
  <si>
    <t>A.C. SOIL COWL</t>
  </si>
  <si>
    <t>A.C. SOIL SHOE</t>
  </si>
  <si>
    <t>WHITE WASHING ONE COAT</t>
  </si>
  <si>
    <t>B.W IN C.M(1:4) using Country BricksKiln Burnt  SIZE 22x11x7Cm</t>
  </si>
  <si>
    <t>B.W IN C.M(1:4) USING Country BricksKiln Burnt  SIZE 22x11x7Cm</t>
  </si>
  <si>
    <t>A.C. SOIL SOCKETS</t>
  </si>
  <si>
    <t>A.C.DRAIN SPOUT 18" LONG</t>
  </si>
  <si>
    <t>A.C.DRAIN SPOUT 24" LONG</t>
  </si>
  <si>
    <t>-------------------</t>
  </si>
  <si>
    <t>G.I. PIPE B  CLASS</t>
  </si>
  <si>
    <t>===========</t>
  </si>
  <si>
    <t xml:space="preserve"> 15mmDIA p-51 TO 52 it- </t>
  </si>
  <si>
    <t xml:space="preserve"> 20mm DIA</t>
  </si>
  <si>
    <t>PARTITION WALL OF 112 mm thick</t>
  </si>
  <si>
    <t xml:space="preserve"> 25mm DIA</t>
  </si>
  <si>
    <t xml:space="preserve"> 32mm DIA</t>
  </si>
  <si>
    <t xml:space="preserve"> 40mm DIA</t>
  </si>
  <si>
    <t xml:space="preserve"> 65mm DIA pWD</t>
  </si>
  <si>
    <t>G.I. BEND p-51  S.No-143 it-c</t>
  </si>
  <si>
    <t xml:space="preserve"> 15mmDIA</t>
  </si>
  <si>
    <t>COLOUR WASHING  TWO COATS</t>
  </si>
  <si>
    <t>ADD 50% EXYRA FOR COLOURING</t>
  </si>
  <si>
    <t>MAATERIAL</t>
  </si>
  <si>
    <t xml:space="preserve"> 65mm DIA TWAD 16-17 p 25</t>
  </si>
  <si>
    <t>G.I.COUPLERp-51 it-e</t>
  </si>
  <si>
    <t>B.W IN C.M(1:4) USING 2-B Categery</t>
  </si>
  <si>
    <t xml:space="preserve">COLOUR  WASHING TWO COATS OVER </t>
  </si>
  <si>
    <t>ONE COAT OF WHITE WASHING.</t>
  </si>
  <si>
    <t xml:space="preserve"> 65mm DIA TWAD p 25</t>
  </si>
  <si>
    <t>G.I. ELBOWp-51 S.No.119/ it-b</t>
  </si>
  <si>
    <t>5th</t>
  </si>
  <si>
    <t>6th</t>
  </si>
  <si>
    <t>7th</t>
  </si>
  <si>
    <t xml:space="preserve">8th </t>
  </si>
  <si>
    <t>9th</t>
  </si>
  <si>
    <t xml:space="preserve">12th </t>
  </si>
  <si>
    <t>G.I. UNIONp-51 it-A</t>
  </si>
  <si>
    <t>WATER SUPPLY</t>
  </si>
  <si>
    <t>13th</t>
  </si>
  <si>
    <t>LABOUR CHARGE FOR  LAYING</t>
  </si>
  <si>
    <t>JOINTING GI PIPE AND SPECIALS</t>
  </si>
  <si>
    <t>BELOW G.L</t>
  </si>
  <si>
    <t>A</t>
  </si>
  <si>
    <t>15mm DIA  GI PIPE BELOW G.L</t>
  </si>
  <si>
    <t xml:space="preserve"> 65mm DIA</t>
  </si>
  <si>
    <t>G.I. PLUG</t>
  </si>
  <si>
    <t>E.W EXCLUDING REFILLING</t>
  </si>
  <si>
    <t>REFILLING CHARGE</t>
  </si>
  <si>
    <t>CONVEYING,LOWERING  ANDLAYING</t>
  </si>
  <si>
    <t>TO PROPER GRADEAND</t>
  </si>
  <si>
    <t>ALIGNMENT,JOINTING</t>
  </si>
  <si>
    <t>ETC BUT EXCLUDING  COST OF</t>
  </si>
  <si>
    <t>JOINTING MATERIALS.</t>
  </si>
  <si>
    <t>PARTITION WALL OF 75mm thick</t>
  </si>
  <si>
    <t xml:space="preserve">PARTITION WALL </t>
  </si>
  <si>
    <t>CUTTING CHARGES</t>
  </si>
  <si>
    <t>G.I. TEE p-51 it-D</t>
  </si>
  <si>
    <t>==============</t>
  </si>
  <si>
    <t>THREADING CHARGES</t>
  </si>
  <si>
    <t>B.W IN C.M(1:4) USING 4-A Categery</t>
  </si>
  <si>
    <t>COST OF JOINTING  MATERIALS</t>
  </si>
  <si>
    <t>Bricks of size 22X11X5 cm</t>
  </si>
  <si>
    <t>TOTAL FOR 30M</t>
  </si>
  <si>
    <t xml:space="preserve"> 65mm DIA twad p25</t>
  </si>
  <si>
    <t>G.I.HEX NIPPLEp-53 it-I</t>
  </si>
  <si>
    <t>20mm DIA  GI PIPE BELOW G.L</t>
  </si>
  <si>
    <t>G.M. FERRULE</t>
  </si>
  <si>
    <t>PARTITION WALL OF 50mmTHICK</t>
  </si>
  <si>
    <t xml:space="preserve">Standardised concrete mix M20 </t>
  </si>
  <si>
    <t xml:space="preserve">Standardised concrete mix M30 </t>
  </si>
  <si>
    <t>SCRAPING THE OLD PLASTER SURFACE * p30/108/338</t>
  </si>
  <si>
    <t>16.1</t>
  </si>
  <si>
    <t>CEMENT CONCRETE(1:2:4) FOR</t>
  </si>
  <si>
    <t>WASHING PLASTERED AREA WITH SOAP&amp;SODA WATER *p30/109/339</t>
  </si>
  <si>
    <t xml:space="preserve">PETTY WORKS EXCLUDING COST </t>
  </si>
  <si>
    <t>PILE DRIVING CHARGES FOR 330mmDIA/375mm DIA</t>
  </si>
  <si>
    <t>OF STEEL M 2</t>
  </si>
  <si>
    <t>PILE DRIVING CHARGES FOR 400mmDIA/450mm DIA</t>
  </si>
  <si>
    <t>PILE DRIVING CHARGES FOR 500mmDIA/600mm DIA</t>
  </si>
  <si>
    <t>Standardised concrete mix M20  using 20mmHB JELLY ( witt out vibrating charges)</t>
  </si>
  <si>
    <t>Standardised concrete mix M30  using 20mmHB JELLY ( witt out vibrating charges)</t>
  </si>
  <si>
    <t>|</t>
  </si>
  <si>
    <t xml:space="preserve"> 15mmDIA G.M.CHEKVALUE</t>
  </si>
  <si>
    <t xml:space="preserve">SUNDRIES FOR MOULDING </t>
  </si>
  <si>
    <t xml:space="preserve"> 20mm DIA G.M.CHEKVALUE</t>
  </si>
  <si>
    <t>C</t>
  </si>
  <si>
    <t>25mm DIA  GI PIPE BELOW G.L</t>
  </si>
  <si>
    <t>FINISHING,OIL ETC</t>
  </si>
  <si>
    <t>TOTAL FOR .01 CUM</t>
  </si>
  <si>
    <t>CC(1:2:4) USING 20mmHB</t>
  </si>
  <si>
    <t>JALLY-50mm THICK</t>
  </si>
  <si>
    <t>C.C(1:2:4)USING 20mmJELLY</t>
  </si>
  <si>
    <t>FOR PETTY WORKS</t>
  </si>
  <si>
    <t>G.M.GATE VALUE (Heavy Duty)p-53it-144</t>
  </si>
  <si>
    <t>13.1</t>
  </si>
  <si>
    <t xml:space="preserve">FILLING IN BASEMENT  WITH </t>
  </si>
  <si>
    <t>EXCAVATED EARTH</t>
  </si>
  <si>
    <t>AS  PER SR 85</t>
  </si>
  <si>
    <t>TOTAL FOR0.372 SQM</t>
  </si>
  <si>
    <t>DAMP PROOF COURSE IN C.M(1:4),12mm thick</t>
  </si>
  <si>
    <t>mixed with Water Proof Compound at 1KG per Bag of Cement</t>
  </si>
  <si>
    <t xml:space="preserve">                                                                                                                                                                                                                                                                                                                                                                                                                                                                                                                                                                                                                                                                                                                                                                                                                                                                                                                                                                                                                                                                                                                                                                                                                                                                                                                                                                                                                                                                                                                                                                                                                                                                                                                                                                                                                                                                                                                                                                                                                                                                                                                                                                                                                                                                                                                                                                                                                                                                                                                                                                                                                                                                                                                                                                                                                                                                                                                                                                                                                                                                                                                                                                                                                                                                                                                                                                                                                                                                                                                                                                                                                                                                                                                                                                                                                                                                                                                                                                                                                                                                                                                                                                                                                                                                                                                                                                                                                                                                                                                                                                                                                                                                                                                                                                                                                                                                                                                                                                                                                                                                                                                                                                                                                                                                                                                                                                                                                                                                                                                                                                                          </t>
  </si>
  <si>
    <t>G.M.WHEELVALUE  (Heavy Duty)p-53it-145</t>
  </si>
  <si>
    <t>FOURTH FLOOR</t>
  </si>
  <si>
    <t xml:space="preserve">Water Proof Compound </t>
  </si>
  <si>
    <t>ABOVE G.L</t>
  </si>
  <si>
    <t>G.I.REDUCER p-52 it-143F</t>
  </si>
  <si>
    <t xml:space="preserve"> 15mmDIAX20mmDIA  (v)</t>
  </si>
  <si>
    <t>15mm  DIA G.I PIPE ABOVE G.L</t>
  </si>
  <si>
    <t xml:space="preserve"> 15mmDIAX25mmDIA</t>
  </si>
  <si>
    <t xml:space="preserve"> 25mmDIAX20mmDIA (iv)</t>
  </si>
  <si>
    <t>LAYING JOINTING INCLUDING</t>
  </si>
  <si>
    <t xml:space="preserve"> 50mmDIAX25mmDIA</t>
  </si>
  <si>
    <t>C.C(1:2:4)USING 3mm-10mm HBSTONE</t>
  </si>
  <si>
    <t>ALIGNING</t>
  </si>
  <si>
    <t xml:space="preserve"> 50mmDIAX32mmDIA</t>
  </si>
  <si>
    <t>G.I.REDUCER  TEEp-52 it-143H</t>
  </si>
  <si>
    <t xml:space="preserve"> 15mmDIAX20mmDIA</t>
  </si>
  <si>
    <t xml:space="preserve">  3mm-10mm HB STONE JELLY</t>
  </si>
  <si>
    <t>STONE CUTTER II</t>
  </si>
  <si>
    <t>MADON I</t>
  </si>
  <si>
    <t xml:space="preserve"> 25mmDIAX20mmDIA</t>
  </si>
  <si>
    <t>COST OF CLAMPS PLUGS PAINTING</t>
  </si>
  <si>
    <t>G.I.REDUCER  ELBOW p52 it-G</t>
  </si>
  <si>
    <t>REDOING WORKS ETC</t>
  </si>
  <si>
    <t>TOTAL FOR 30 M</t>
  </si>
  <si>
    <t xml:space="preserve"> 32mmX15mmDIA</t>
  </si>
  <si>
    <t>P.V.C.PIPE</t>
  </si>
  <si>
    <t xml:space="preserve"> 4KG/SQ.CM</t>
  </si>
  <si>
    <t>20mm  DIA G.I PIPE ABOVE G.L</t>
  </si>
  <si>
    <t xml:space="preserve"> 15mmDIA OF WALL THICK 2.8mm A.S.T.M (Qtn)</t>
  </si>
  <si>
    <t xml:space="preserve"> 20mm DIA----DO----2.9mm / 20 mm G.I. pipe</t>
  </si>
  <si>
    <t>RATE PER CUM with vibrating</t>
  </si>
  <si>
    <t xml:space="preserve"> 25mm DIA----DO-----3.4mm</t>
  </si>
  <si>
    <t xml:space="preserve"> 32mm DIA-----DO----3.6mm</t>
  </si>
  <si>
    <t xml:space="preserve"> 25a</t>
  </si>
  <si>
    <t xml:space="preserve"> 40mm DIA----DO----3.7mm</t>
  </si>
  <si>
    <t xml:space="preserve"> 25b</t>
  </si>
  <si>
    <t xml:space="preserve"> 50mm DIA----DO----3.9mm</t>
  </si>
  <si>
    <t xml:space="preserve"> 25c</t>
  </si>
  <si>
    <t>P.V.C.SOCKET</t>
  </si>
  <si>
    <t xml:space="preserve"> 25d</t>
  </si>
  <si>
    <t>14.I</t>
  </si>
  <si>
    <t xml:space="preserve"> P.C.C,R.C.C SLAB OF20mm THICK</t>
  </si>
  <si>
    <t>Standardised concrete mix M20</t>
  </si>
  <si>
    <t>Standardised concrete mix M30</t>
  </si>
  <si>
    <t>C.C(1:2:4)USING3mm-10mm HBG</t>
  </si>
  <si>
    <r>
      <t xml:space="preserve"> P.C.C,R.C.C SLAB OF20mm THICK </t>
    </r>
    <r>
      <rPr>
        <b/>
        <sz val="12"/>
        <rFont val="Helv"/>
      </rPr>
      <t>using standardised concrete mix M20</t>
    </r>
  </si>
  <si>
    <r>
      <t xml:space="preserve"> P.C.C,R.C.C SLAB OF20mm THICK </t>
    </r>
    <r>
      <rPr>
        <b/>
        <sz val="12"/>
        <rFont val="Helv"/>
      </rPr>
      <t>using standardised concrete mix M30</t>
    </r>
  </si>
  <si>
    <t>P.V.C.ELBOW</t>
  </si>
  <si>
    <t>25mm  DIA G.I PIPE ABOVE G.L</t>
  </si>
  <si>
    <t>P.V.C.TEE</t>
  </si>
  <si>
    <t xml:space="preserve"> P.C.C,R.C.C SLAB OF40mm THICK</t>
  </si>
  <si>
    <r>
      <t xml:space="preserve"> P.C.C,R.C.C SLAB OF40mm THICK </t>
    </r>
    <r>
      <rPr>
        <b/>
        <sz val="12"/>
        <rFont val="Helv"/>
      </rPr>
      <t>using standardised concrete mix of M20 grade</t>
    </r>
  </si>
  <si>
    <t>P.V.C.REDUCER SOCKET</t>
  </si>
  <si>
    <t xml:space="preserve"> 12mmDIAX25mmDIA</t>
  </si>
  <si>
    <t xml:space="preserve"> 40mmDIAX25mmDIA</t>
  </si>
  <si>
    <t xml:space="preserve"> 32mmDIAX40mmDIA</t>
  </si>
  <si>
    <t>P.V.C.REDUCER TEE</t>
  </si>
  <si>
    <t xml:space="preserve"> 32mmDIAX25mmDIA</t>
  </si>
  <si>
    <t>JOINTING P.V.C  PIPE AND SPECIALS</t>
  </si>
  <si>
    <t>Fourth .floor</t>
  </si>
  <si>
    <t>Providing CUDDAPPAH SLAB for cupboard</t>
  </si>
  <si>
    <t>P.V.C.REDUCER ELBOW</t>
  </si>
  <si>
    <t>wardrobe, shelves, kitchen sinks,</t>
  </si>
  <si>
    <t>hearth slab and sunshade etc., for the</t>
  </si>
  <si>
    <t>UP 40MM PVC PIPE</t>
  </si>
  <si>
    <t>following thickness including cost of</t>
  </si>
  <si>
    <t>Cuddappah slab and labour charges for</t>
  </si>
  <si>
    <t>fixing in position etc., all complete</t>
  </si>
  <si>
    <t xml:space="preserve"> 40mmDIAX32mmDIA</t>
  </si>
  <si>
    <t>(Both sides polished)</t>
  </si>
  <si>
    <t xml:space="preserve"> 50mmDIAX40mmDIA</t>
  </si>
  <si>
    <t>TO PROPER GRADE AND</t>
  </si>
  <si>
    <t>C.I.COVER SLAB 18"X18"X56LBS(25Kg)</t>
  </si>
  <si>
    <t xml:space="preserve"> 20mm Thick slab:-</t>
  </si>
  <si>
    <t xml:space="preserve"> 40mm Thick slab:-</t>
  </si>
  <si>
    <t>C.I.COVER SLAB 18"X18"X36LBS(16Kg)</t>
  </si>
  <si>
    <t>==================</t>
  </si>
  <si>
    <t>C.I.COVER SLAB 24"X24"X112LBS(50Kg)</t>
  </si>
  <si>
    <t>Cuddappah slab</t>
  </si>
  <si>
    <t>C.I.STEEPS(5Kg)</t>
  </si>
  <si>
    <t>Mason Ist</t>
  </si>
  <si>
    <t>C.I..BRACKET FOR W.B.</t>
  </si>
  <si>
    <t>Mazdoor Ist</t>
  </si>
  <si>
    <t>BRASS TAP 15mm / 12 mm dia (HEAVY) p - 53 it-146</t>
  </si>
  <si>
    <t>Packing with C.M., Scaffolding</t>
  </si>
  <si>
    <t>C.P.TAP15mm DIA</t>
  </si>
  <si>
    <t>and Polishing etc.,</t>
  </si>
  <si>
    <t>C.P.WASTE PLUGE WITH ALU CHAIN 32mm DIA</t>
  </si>
  <si>
    <t>Total for Ten sqm</t>
  </si>
  <si>
    <t>P.V.C. WASTE PIPE32mmDIA 2.5'LONG</t>
  </si>
  <si>
    <t>P.V.C.FLUSHING PIPE 32mm DIA 6'LONG</t>
  </si>
  <si>
    <t>Rate for one SQM</t>
  </si>
  <si>
    <t>P.V.C. CONECTION 1/2"X15"</t>
  </si>
  <si>
    <t>ALU TOWEL RAIL 12mm ,2'LONG</t>
  </si>
  <si>
    <t>CONSTRN. OF INSPECTION</t>
  </si>
  <si>
    <t>ALU TOWEL RAIL 20mm ,2'LONG</t>
  </si>
  <si>
    <t>CHAMBER OF SIZE 60X60X60cm</t>
  </si>
  <si>
    <t>P.V.C. LOW LEVEL CISTERN 10 LITCAPACITY p-68 220a</t>
  </si>
  <si>
    <t>P.V.C. S.D TAP 15mm DIA</t>
  </si>
  <si>
    <t>E.W AND REFILLING</t>
  </si>
  <si>
    <t xml:space="preserve"> 40mm Thick slab:- for sun shade only</t>
  </si>
  <si>
    <t>E.W.C./SEAT COVER BLACK(H)</t>
  </si>
  <si>
    <t>C.C(1:8:16)USING 40mmB.J METEL</t>
  </si>
  <si>
    <t>EVERITE CLAMP IRON CLAMP P-59 (Sl.No.212) (Special clamp)</t>
  </si>
  <si>
    <t>B.W IN C.M(1:5)</t>
  </si>
  <si>
    <t>150mm AL.HANDLE WITH CP SCREWS/DOOR STOPPER (PWD LR) p-47 it-104b/107</t>
  </si>
  <si>
    <t xml:space="preserve"> it-99 p-46</t>
  </si>
  <si>
    <t>8th</t>
  </si>
  <si>
    <t>PLASTERING IN C.M(1:3) 12 mmT.K</t>
  </si>
  <si>
    <t>C.P.STOPCOCK 20mM DIA 500 gm</t>
  </si>
  <si>
    <t>R.C.C(1:2:4) PETTY WORKS</t>
  </si>
  <si>
    <t>C.P.STOPCOCK 15mM DIA 300gm P 54</t>
  </si>
  <si>
    <t>(50mmT.K PCC SLAB)</t>
  </si>
  <si>
    <t>CERAMIC-FLOOR TILES WHITE/PLAINCOLOUR-6MM tk (PWD LR) p40 it 5i (32.2/0.093025)</t>
  </si>
  <si>
    <t>SUNDRIES FOR MOULDIN ETC</t>
  </si>
  <si>
    <r>
      <t xml:space="preserve">Glazed-WALL TILES PLAINCOLOUR-6MM T.K (PWD LR) 100x200x6mm 
</t>
    </r>
    <r>
      <rPr>
        <b/>
        <sz val="12"/>
        <color indexed="8"/>
        <rFont val="Helv"/>
      </rPr>
      <t>item no. 11(ii)</t>
    </r>
  </si>
  <si>
    <t>G.M.VALUE WITH POLYTHENE BALL OF 15mmDIA</t>
  </si>
  <si>
    <t>TOTAL FOR ONE NUMBER</t>
  </si>
  <si>
    <t>G.M.VALUE WITH POLYTHENE BALL OF 20mmDIA</t>
  </si>
  <si>
    <t>G.M.VALUE WITH POLYTHENE BALL OF 25mmDIA</t>
  </si>
  <si>
    <t>C.P. SHOWER ROSE 1/2"X4"</t>
  </si>
  <si>
    <t>CHAMBER OF SIZE 60X60X75cm</t>
  </si>
  <si>
    <t>TARRED HEMP YARN p- 58 /194</t>
  </si>
  <si>
    <t>StonecutterII</t>
  </si>
  <si>
    <t>WHITE / Colour CEMENT (PWD LR) average p-41 it22+23/2</t>
  </si>
  <si>
    <t>WHITE CEMENT (PWD LR) p-41 /9</t>
  </si>
  <si>
    <t>COLOUR CEMENT (PWD LR)p-41/10</t>
  </si>
  <si>
    <t>Total for one sqm</t>
  </si>
  <si>
    <t>BRASS HEX NIPPLE15mm DIA</t>
  </si>
  <si>
    <t>BRASS HEX NIPPLE 20mm DIA</t>
  </si>
  <si>
    <t>COLOUR</t>
  </si>
  <si>
    <t>E.W.C. WITH S  TRAP it-162( 1)p-54</t>
  </si>
  <si>
    <t>SET</t>
  </si>
  <si>
    <t>ANGLO INDIAN WATER CLOSET WITH P OR S TRAP</t>
  </si>
  <si>
    <t>I.W.C. 18" WITH P OR S TRAP WITH FOOT REST</t>
  </si>
  <si>
    <t>PORCELIN FOOT REST</t>
  </si>
  <si>
    <t>WASH BASIN 480x400mm without pedastal it-169 p-55</t>
  </si>
  <si>
    <t>C.</t>
  </si>
  <si>
    <r>
      <t xml:space="preserve"> 20mm Thick slab:- For </t>
    </r>
    <r>
      <rPr>
        <b/>
        <sz val="12"/>
        <rFont val="Helv"/>
      </rPr>
      <t>kitchen arrangements only</t>
    </r>
  </si>
  <si>
    <t>FLATE BACK URINAL FOR MEN</t>
  </si>
  <si>
    <t>FLATE BACK URINAL FOR WOMEN it-173 I -p-55</t>
  </si>
  <si>
    <t>Cuddappah slab (One side polised).it-100 p-19</t>
  </si>
  <si>
    <t>CONSTRUCTION OF LEACH PIT AS</t>
  </si>
  <si>
    <t>P.V.C. SOIL PIPE 110mm DIA</t>
  </si>
  <si>
    <t>C.M 1:3</t>
  </si>
  <si>
    <t>PER SD NO 49/77</t>
  </si>
  <si>
    <t>P.V.C. SOIL PIPE 75mm DIA</t>
  </si>
  <si>
    <t>P.V.C. SOIL PIPE 50mm DIA</t>
  </si>
  <si>
    <t>E.W ONLY</t>
  </si>
  <si>
    <r>
      <t xml:space="preserve">P.V.C. SOIL BENDWITH DOOR 110mm DIA </t>
    </r>
    <r>
      <rPr>
        <b/>
        <sz val="12"/>
        <color indexed="13"/>
        <rFont val="Helv"/>
      </rPr>
      <t xml:space="preserve">Qtn </t>
    </r>
  </si>
  <si>
    <t>C.C(1:8:16)USING 40mm HBS</t>
  </si>
  <si>
    <t>P.V.C. SOIL BENDWITH DOOR 75mm DIA</t>
  </si>
  <si>
    <t>B.W. IN C.M(1:6) USING COUNTRY BRICK</t>
  </si>
  <si>
    <t>P.V.C. SOIL BENDWITH DOOR 50mm DIA</t>
  </si>
  <si>
    <t>Total for TEN sqm</t>
  </si>
  <si>
    <t>DRY BRICK WORK</t>
  </si>
  <si>
    <t>P.V.C. SOIL SHOE 110mm DIA p-104 it -N</t>
  </si>
  <si>
    <t xml:space="preserve"> 40mm HBS JELLY</t>
  </si>
  <si>
    <t>P.V.C. SOIL SHOE 75mm DIA</t>
  </si>
  <si>
    <t>RATE for one sqm</t>
  </si>
  <si>
    <t>P.V.C. SOIL SHOE 50mm DIA</t>
  </si>
  <si>
    <t>PLASTERING IN C.M(1:5)12mm T.K</t>
  </si>
  <si>
    <t xml:space="preserve">P.V.C. SOIL BEND W.O.D 110mm DIA p-102 it F by pasting </t>
  </si>
  <si>
    <t>SUPPLY OF 100mmS.W TEE</t>
  </si>
  <si>
    <t>P.V.C. SOIL BEND 75mm DIA</t>
  </si>
  <si>
    <t>R.C.C.(1:2:4) FOR PETTY WORK</t>
  </si>
  <si>
    <t>P.V.C. SOIL BEND 50mm DIA</t>
  </si>
  <si>
    <t>PCC-75MM T.K SLAB</t>
  </si>
  <si>
    <t xml:space="preserve">P.V.C. SOIL YEE 110mm DIA it-G p-103 by pasting </t>
  </si>
  <si>
    <t>P.V.C. SOIL YEE 75mm DIA</t>
  </si>
  <si>
    <t>P.V.C. SOIL YEE 50mm DIA</t>
  </si>
  <si>
    <t>P.V.C. SOIL YEEWITH DOOR 110mm DIA it-H p-103 single</t>
  </si>
  <si>
    <t>OF STEEL</t>
  </si>
  <si>
    <t>P.V.C. SOIL YEEWITH DOOR 75mm DIA</t>
  </si>
  <si>
    <t>CONSTRUCTION OF DISPERSION</t>
  </si>
  <si>
    <t>C.C(1:2:4)USING 20mmHB JELLY</t>
  </si>
  <si>
    <t>P.V.C. SOIL YEEWITH DOOR 50mm DIA</t>
  </si>
  <si>
    <t>TRENCH OF SIZE 3MX1MX1M</t>
  </si>
  <si>
    <t>4.2</t>
  </si>
  <si>
    <t>P.V.C. SOIL DOUBLE  YEE WITH DOOR 110mm ( double) it-K</t>
  </si>
  <si>
    <t>JELLY FOR ALL WATER RETAINING</t>
  </si>
  <si>
    <t xml:space="preserve">P.V.C. SOIL DOUBLE YEE WITH DOOR 75mm </t>
  </si>
  <si>
    <t>E.W EXCAVATION</t>
  </si>
  <si>
    <t>STRUCTURES AND R.C.C DOOR FRAMES</t>
  </si>
  <si>
    <t xml:space="preserve">P.V.C. SOIL DOUBLE YEE WITH DOOR 50mm </t>
  </si>
  <si>
    <t>SUPPLY OF 40mmB.J. METEL</t>
  </si>
  <si>
    <t>P.V.C. SOIL TEE 110mm DIA it C P-102</t>
  </si>
  <si>
    <t xml:space="preserve"> 100mm DIA S.W.PIPE</t>
  </si>
  <si>
    <t xml:space="preserve"> 3-10mmH.B.JELLY</t>
  </si>
  <si>
    <t>P.V.C. SOIL TEE 75mm DIA</t>
  </si>
  <si>
    <t>P.V.C. SOIL TEE 50mm DIA</t>
  </si>
  <si>
    <t>P.V.C. SOIL TEE WITH DOOR  110mm DIA (single) it-D P-102</t>
  </si>
  <si>
    <t>P.V.C. SOIL TEE WITH DOOR  75mm DIA</t>
  </si>
  <si>
    <t>P.V.C. SOIL TEE WITH DOOR  50mm DIA</t>
  </si>
  <si>
    <t>P.V.C. SOIL SLOTTED COWL 110mm DIA it-N P-104</t>
  </si>
  <si>
    <t>CONSTRUCTION OF SEPTIC TANK</t>
  </si>
  <si>
    <t>Plasticiser</t>
  </si>
  <si>
    <t>P.V.C. SOIL  SLOTTED COWL PIPE 75mm DIA</t>
  </si>
  <si>
    <t>OF SIZE 150X75X100cm( BER NO</t>
  </si>
  <si>
    <t>P.V.C. SOIL SLOTTEDCOWL 50mm DIA</t>
  </si>
  <si>
    <t>6/91-92)</t>
  </si>
  <si>
    <t>P.V.C. SOIL DOUBLE YEEE 110mm DIA</t>
  </si>
  <si>
    <t>P.V.C. SOIL DOUBLE YEE 75mm DIA</t>
  </si>
  <si>
    <t>WATER PROOF COMPOUND ( PWD LR)p40 it-1 An-vi</t>
  </si>
  <si>
    <t xml:space="preserve"> CC(1:2:4)IN20mmmHBS(PLAIN)</t>
  </si>
  <si>
    <t>ROUND RING</t>
  </si>
  <si>
    <t>A.C. SHEETFULLY CORRUGATED 6mmT.K (PWD LR -it-72 p-44)</t>
  </si>
  <si>
    <t>PLASTERING IN C.M(1:3)12mmT.K</t>
  </si>
  <si>
    <t>Add watering charges &amp; other (0.5%of sub-total)</t>
  </si>
  <si>
    <t>A.C. SHEET SEMI CORRUGATED 6mmT.K</t>
  </si>
  <si>
    <t>R.C.C(1:2:4)USING 20mmHBS</t>
  </si>
  <si>
    <t>A.C. RIDGE FOR FULLYCORRUGATED AC SHEET (PWD Lrit-57 p-39)</t>
  </si>
  <si>
    <t xml:space="preserve">PCC SLAB 50mm T.K </t>
  </si>
  <si>
    <t>A.C. RIDGE FOR SEMI CORRUGATED AC SHEET (PWD Lrit-57 p-39)</t>
  </si>
  <si>
    <t>S/F OF S.W. TEE 1000mmmDIA</t>
  </si>
  <si>
    <t>U ORJ BOLT ANDBITUMENWASHERS</t>
  </si>
  <si>
    <t>GI HOT</t>
  </si>
  <si>
    <t>MTS</t>
  </si>
  <si>
    <t>S/F OF 50mmDIA A.C PIPE</t>
  </si>
  <si>
    <t>M.S.WINDOW GRILLS / Special extruded sections for Steel Windows *p23/131</t>
  </si>
  <si>
    <t>Kg p 44/76</t>
  </si>
  <si>
    <t>S/F OF 50mmDIA A.C COWL</t>
  </si>
  <si>
    <t>CONVEY,ALAIGN,JIONT ETC UP TO40mmPVC PIPE (TWAD SR-18-19 it-11b )</t>
  </si>
  <si>
    <t>CONVEY,ALAIGN,JIONT ETC OVER TO40mmPVC PIPE (TWAD SR-18-19 it-11b )</t>
  </si>
  <si>
    <t>CUTTING CHARGE OF PVC pipe20mm,25mm / 32 mm dia ( p-32 )</t>
  </si>
  <si>
    <t>THREADING CHARGES FOR PVC 20mm/25mm</t>
  </si>
  <si>
    <t>16.2</t>
  </si>
  <si>
    <t>SUPPLYING &amp; FIXING OF TERRACOTTA</t>
  </si>
  <si>
    <t>COST OFPVC PIPE JOINTING MATERIALS UPTO 40mm</t>
  </si>
  <si>
    <t>JALLY(NOT BELOW 50MM THICK) OF BEST</t>
  </si>
  <si>
    <t>COST OFPVC PIPE JOINTING MATERIALS OVER 40mm</t>
  </si>
  <si>
    <t>QUALITY AND FIXING IN POSITION WITH</t>
  </si>
  <si>
    <t>MISCELLANCEOUS ITEMS</t>
  </si>
  <si>
    <t>Standardised concrete Mix M30 Grade Concrete</t>
  </si>
  <si>
    <t>C.I.DOUBLE YEE JUNCTION WITH DOOR  100mmDIA</t>
  </si>
  <si>
    <t>CEMENT PASTE AND REDOXIDE PUTTY INCLUDING</t>
  </si>
  <si>
    <t>S.F OF A.C.SPOUT PIPE OF50 mm DIA</t>
  </si>
  <si>
    <r>
      <t xml:space="preserve">20mm HBG Machine crushed stone jelly   </t>
    </r>
    <r>
      <rPr>
        <b/>
        <sz val="12"/>
        <rFont val="Helv"/>
      </rPr>
      <t xml:space="preserve"> (7730 Kg)</t>
    </r>
  </si>
  <si>
    <t>C.I.DOUBLE YEE JUNCTION WITH DOOR  75mmDIA</t>
  </si>
  <si>
    <t>COST OF ALL FLOOR(THE TERRA COTTA JALLY</t>
  </si>
  <si>
    <t xml:space="preserve"> 18" LONG</t>
  </si>
  <si>
    <r>
      <t xml:space="preserve">10-12mm HBG Machine crushed stone jelly   </t>
    </r>
    <r>
      <rPr>
        <b/>
        <sz val="12"/>
        <rFont val="Helv"/>
      </rPr>
      <t xml:space="preserve"> (5156 Kg)</t>
    </r>
  </si>
  <si>
    <t>THREADING CHARGES FOR PVC 32mm/63mm</t>
  </si>
  <si>
    <t>QUALITY AND DESIGN SHALL BE GOT APPROVED</t>
  </si>
  <si>
    <r>
      <t xml:space="preserve">Sand   </t>
    </r>
    <r>
      <rPr>
        <b/>
        <sz val="12"/>
        <rFont val="Helv"/>
      </rPr>
      <t xml:space="preserve"> (7670 Kg)</t>
    </r>
  </si>
  <si>
    <t>C.I.DOUBLE YEE JUNCTION WITHOUT DOOR  100mmDIA</t>
  </si>
  <si>
    <t>BY THE DEPARTMENTAL OFFICERS</t>
  </si>
  <si>
    <t>SPOUT PIPE OF 50mm DIA</t>
  </si>
  <si>
    <t>C.I.DOUBLE YEE JUNCTION WITHOUT DOOR  75mmDIA</t>
  </si>
  <si>
    <t>LABOUR FOR FIXING INCLUDING</t>
  </si>
  <si>
    <t>Plasticiser /Super plasticiser @ 1% of cement</t>
  </si>
  <si>
    <t>C.I.DOUBLE YEE JUNCTION WITHOUT DOOR  50mmDIA</t>
  </si>
  <si>
    <t>COST OF TERRACOTTA JALLY OF50mm</t>
  </si>
  <si>
    <t>CLAMP ETC</t>
  </si>
  <si>
    <t>C.I. YEE JUNCTION WITH DOOR  100mmDIA</t>
  </si>
  <si>
    <t>LABOUR FOR FIXING JALLY</t>
  </si>
  <si>
    <t>C.I. YEE JUNCTION WITH DOOR  75mmDIA</t>
  </si>
  <si>
    <t>FOR PLASTERING &amp; REDOXIDE PUTTY</t>
  </si>
  <si>
    <t>TOTAL FOR  ONE NOS.</t>
  </si>
  <si>
    <t>C.I. YEE JUNCTION WITH  DOOR  50mmDIA</t>
  </si>
  <si>
    <t>C.I. YEE JUNCTION WITHOUT DOOR  100mmDIA</t>
  </si>
  <si>
    <t>C.I. YEE JUNCTION WITHOUT DOOR  75mmDIA</t>
  </si>
  <si>
    <t xml:space="preserve">           </t>
  </si>
  <si>
    <t>S.F OF A.C.SPOUT PIPE OF75 mm DIA</t>
  </si>
  <si>
    <t>C.I. YEE JUNCTION WITH OUT DOOR  50mmDIA</t>
  </si>
  <si>
    <t>C.I. TEE JUNCTION WITH DOOR  100mmDIA</t>
  </si>
  <si>
    <t>C.I. TEE JUNCTION WITH DOOR  75mmDIA</t>
  </si>
  <si>
    <t>SPOUT PIPE OF 75mm DIA</t>
  </si>
  <si>
    <t xml:space="preserve">For RCC Door Frame </t>
  </si>
  <si>
    <t>C.I. TEE JUNCTION WITH  DOOR  50mmDIA</t>
  </si>
  <si>
    <t>C.I. TEE JUNCTION WITHOUT DOOR  100mmDIA</t>
  </si>
  <si>
    <t>C.I. TEE JUNCTION WITHOUT DOOR  75mmDIA</t>
  </si>
  <si>
    <t>16.3</t>
  </si>
  <si>
    <t>JALLY(NOT BELOW 110MM THICK) OF BEST</t>
  </si>
  <si>
    <t>C.I.SLOTTED COWL  100mmDIA</t>
  </si>
  <si>
    <t>C.I.SLOTTED COWL  75mmDIA</t>
  </si>
  <si>
    <t>C.I.SLOTTED COWL  50mmDIA</t>
  </si>
  <si>
    <t>S.F OF A.C.SPOUT PIPE OF100mm DIA</t>
  </si>
  <si>
    <t>C.I. GRATING 100mmDIA it-71 p-44</t>
  </si>
  <si>
    <t>C.I. GRATING 75mmDIA</t>
  </si>
  <si>
    <t>BY THE DEPARTMENTAL OFFICERS)</t>
  </si>
  <si>
    <t>G.I PIPE "A"CLASS 80mmDIA / 20mm dia G.I. Pipe class B</t>
  </si>
  <si>
    <t>p50 118/vi</t>
  </si>
  <si>
    <t>SPOUT PIPE OF 100mm DIA</t>
  </si>
  <si>
    <t>G.I. 80MM DIA BEND</t>
  </si>
  <si>
    <t>COST OF TERRACOTTA JALLY OF 110mm</t>
  </si>
  <si>
    <t>G.I. 80MM DIA CUPPLER</t>
  </si>
  <si>
    <t>G.I. 80MM DIA UNION</t>
  </si>
  <si>
    <t>G.I. 80MM DIA PLUG</t>
  </si>
  <si>
    <t>G.I. 80MM DIA TEE</t>
  </si>
  <si>
    <t>Solid panel PVC door with frame (Rajeshree) p-49 it-122 A</t>
  </si>
  <si>
    <t>G.I. 80MM DIA HEX.NIPPLE</t>
  </si>
  <si>
    <t>G.I. 80MM X50mm REDUCER</t>
  </si>
  <si>
    <t>S.F OF G.I OUT LET PIPE OF 25mm DIA</t>
  </si>
  <si>
    <t>G.I. 80MM X65mm REDUCER</t>
  </si>
  <si>
    <t xml:space="preserve"> 30cm LONG</t>
  </si>
  <si>
    <t>G.I. 80MM X50mm REDUCER TEE</t>
  </si>
  <si>
    <t>G.I. 80MM X65mm REDUCER TEE</t>
  </si>
  <si>
    <t xml:space="preserve"> PIPE COST 25mm DIA</t>
  </si>
  <si>
    <t>PLAIN GLASS</t>
  </si>
  <si>
    <t>P.V.C BEND</t>
  </si>
  <si>
    <t xml:space="preserve"> 15mm DIA</t>
  </si>
  <si>
    <t xml:space="preserve">PROVIDING FORM WORK AND CENTERING FOR </t>
  </si>
  <si>
    <t>PLAIN CONCRETE SURFACES FOR ALL R.C.C</t>
  </si>
  <si>
    <t>WORKS(beams &amp; lintels)</t>
  </si>
  <si>
    <t>COUNTRY WOOD ITEM</t>
  </si>
  <si>
    <t>=================</t>
  </si>
  <si>
    <t>P.V.C. COUPLER</t>
  </si>
  <si>
    <t>C.W BOARDING 40mm T.K</t>
  </si>
  <si>
    <t>DOOR OF SIZE 100X210Cm</t>
  </si>
  <si>
    <t>C.W JOIST(AVE.SIZE 100X6.5mm</t>
  </si>
  <si>
    <t>100mm DIA</t>
  </si>
  <si>
    <t>@90cm C/C)</t>
  </si>
  <si>
    <t>C.W.SCANTLING upto 4m long (Padak)</t>
  </si>
  <si>
    <t>P.V.C ELBOW</t>
  </si>
  <si>
    <t>CASURNA POST 10TO 13cmDIA</t>
  </si>
  <si>
    <t>MARINE PLYWOOD 12mm THICK</t>
  </si>
  <si>
    <t>AT75cm CENTERS</t>
  </si>
  <si>
    <t xml:space="preserve"> 6"X1/2" I.O.TOWER BOLT</t>
  </si>
  <si>
    <t>PLYWOOD FLUSH DOOR 30mm T.K FOR ALL SIZE</t>
  </si>
  <si>
    <t>TOTAL FOR   5 Operations for 10 sqm</t>
  </si>
  <si>
    <t xml:space="preserve"> 5" I.O.BUTT HINGS</t>
  </si>
  <si>
    <t>P.V.C.FLUSH D/F &amp; D/S 20mm T.K FOR 75X200cm</t>
  </si>
  <si>
    <t xml:space="preserve"> 10"X5/8" I.O ALDROP</t>
  </si>
  <si>
    <t>SINTEX WATER TANK OF 750 LIT it-165 p-54</t>
  </si>
  <si>
    <t>Litre</t>
  </si>
  <si>
    <t>COST  OF ONE OPERATION</t>
  </si>
  <si>
    <t>STEEL DOOR FRAMEOF SIZE 100X200</t>
  </si>
  <si>
    <t>CARPENTER I</t>
  </si>
  <si>
    <t>STEEL DOOR FRAMEOF SIZE 90X200</t>
  </si>
  <si>
    <t>STEEL DOOR FRAMEOF SIZE 75X200</t>
  </si>
  <si>
    <t>SUNDRIES FOR WEDGES,NAILS,COIR</t>
  </si>
  <si>
    <t>TOTAL FOR 1.815 SQM</t>
  </si>
  <si>
    <t>STEEL WINDOW FRAME&amp;SHUTTER WITHOUT GLASS</t>
  </si>
  <si>
    <t xml:space="preserve"> "   OF SIZE 132.5X120cm</t>
  </si>
  <si>
    <t xml:space="preserve"> "   OF SIZE 90X120cm</t>
  </si>
  <si>
    <t xml:space="preserve"> "   OF SIZE 47.5X120cm</t>
  </si>
  <si>
    <t>DOOR OF SIZE 90X200Cm</t>
  </si>
  <si>
    <t xml:space="preserve"> "   OF SIZE 90X105cm</t>
  </si>
  <si>
    <t xml:space="preserve"> "   OF SIZE 47.5X105cm</t>
  </si>
  <si>
    <t>C.W.SCANTLING(PLLLI,KARIMURUTH)</t>
  </si>
  <si>
    <t xml:space="preserve"> "   OF SIZE 90X90cm</t>
  </si>
  <si>
    <t>Centering for soffits for R.C.C.Slabs or</t>
  </si>
  <si>
    <t xml:space="preserve"> "   OF SIZE 47.5X90cm</t>
  </si>
  <si>
    <t>plane surfaces including shuttering up to 3m</t>
  </si>
  <si>
    <t>STEEL VENTILATTER FRAME&amp;SHUTTER WITHOUT GLASS</t>
  </si>
  <si>
    <t>height using M.S sheets of size 90mmx60mm and</t>
  </si>
  <si>
    <t xml:space="preserve"> "   OF SIZE 75X47.5cm</t>
  </si>
  <si>
    <t>HP 10G stiffened with welded M.S angle of</t>
  </si>
  <si>
    <t xml:space="preserve"> "   OF SIZE 90X47.5cm</t>
  </si>
  <si>
    <t>size 25x25x3mm laid over silver oak (C.W)</t>
  </si>
  <si>
    <t>joist 10cmx6.5cm spaced at75cm c/c complying</t>
  </si>
  <si>
    <t>P.V.C REDUCER ELBOW</t>
  </si>
  <si>
    <t>with standard specification</t>
  </si>
  <si>
    <t xml:space="preserve"> 50X25MM</t>
  </si>
  <si>
    <t xml:space="preserve"> 50X40MM</t>
  </si>
  <si>
    <t>Kg.</t>
  </si>
  <si>
    <t>Cost of M.S sheet of size</t>
  </si>
  <si>
    <t>TOTAL FOR 1.6191 SQM</t>
  </si>
  <si>
    <t>PORCELINE WHITE GLASED SOAP DISH 200X100mm</t>
  </si>
  <si>
    <t>90x60cm of 10 gauge</t>
  </si>
  <si>
    <t>PORCEINE WASH BASIN OVAL SHAPE 480X400mm</t>
  </si>
  <si>
    <t>Cost of M.S angle of size</t>
  </si>
  <si>
    <t>END CAP SULATED P.V.C. MANHOLE STEP</t>
  </si>
  <si>
    <t xml:space="preserve"> 25x25x3mm</t>
  </si>
  <si>
    <t>P.V.C. DOUBLE TEE WITH DOOR 75mm DIA</t>
  </si>
  <si>
    <t>Add for cutting, bending,</t>
  </si>
  <si>
    <t>P.V.C. DOUBLE TEE WITH DOOR 100mm DIA</t>
  </si>
  <si>
    <t>welding charges etc.</t>
  </si>
  <si>
    <t>DOOR OF SIZE 75X200Cm</t>
  </si>
  <si>
    <t>P.V.C. DOUBLE TEE WITH OUT DOOR 75mm DIA</t>
  </si>
  <si>
    <t>Pipe</t>
  </si>
  <si>
    <t>P.V.C. DOUBLE TEE WITH OUT DOOR 100mm DIA</t>
  </si>
  <si>
    <t>POISHED CUDDAPAH SLAB 20mm/40 mm THICK WELL POISHED  p-20 it-104/105</t>
  </si>
  <si>
    <t>Cost of one operation</t>
  </si>
  <si>
    <t>CUDDAPAH SLAB SINK 60X45cm,20mmT.K p -55 it-171</t>
  </si>
  <si>
    <t>CUDDAPAH SLAB SINK 45X45cm,20mmT.K</t>
  </si>
  <si>
    <t>Adopting 40 uses for steel sheet and</t>
  </si>
  <si>
    <t>GRANITE SLAB 20mm THICK OF BEST QUALITY Synthetic Grey, p-42 /27c</t>
  </si>
  <si>
    <t>angles and 5 uses for C.W.joist and</t>
  </si>
  <si>
    <t xml:space="preserve"> 4" I.O.BUTT HINGS</t>
  </si>
  <si>
    <t>ELECTRICAL ARRANGEMENT:- BOARD APPROVED RATES</t>
  </si>
  <si>
    <t>casurina props</t>
  </si>
  <si>
    <t xml:space="preserve"> 6"X1/2" I.O ALDROP</t>
  </si>
  <si>
    <t>WRING WITH 1.5SQMM COPPER WIRE  CONCELLED</t>
  </si>
  <si>
    <t>TYPE FOR LIGHT POINT WITH CEILING ROSE</t>
  </si>
  <si>
    <t>POINT</t>
  </si>
  <si>
    <t>Cost of M.S Sheet and Angles</t>
  </si>
  <si>
    <t xml:space="preserve"> 1Use</t>
  </si>
  <si>
    <t>---DO---FOR LIGHT POINT WITH BATTERN HODER</t>
  </si>
  <si>
    <t>for one operation</t>
  </si>
  <si>
    <t xml:space="preserve"> ---DO---FOR FAN POINT </t>
  </si>
  <si>
    <t>Cost of silver oak scantling</t>
  </si>
  <si>
    <t>TOTAL FOR 1.3247 SQM</t>
  </si>
  <si>
    <t xml:space="preserve"> --DO--FOR 5AMP 5PIN PLUG AT SWITCH BOARD</t>
  </si>
  <si>
    <t>Casurnia props 10 to 13cm dia</t>
  </si>
  <si>
    <t xml:space="preserve"> --DO--FOR 5AMP 5PIN PLUG AT CONVENTENT PLACE</t>
  </si>
  <si>
    <t>Add for Silver oak planks</t>
  </si>
  <si>
    <t xml:space="preserve"> ---DO---FOR STAIR CASE LIGHT POINT </t>
  </si>
  <si>
    <t>Carpenter Ist</t>
  </si>
  <si>
    <t>S/F OF BULKHEAD FITTING SUITABLE FOR 100/60W p114 i25</t>
  </si>
  <si>
    <t>549A</t>
  </si>
  <si>
    <t>CUDDAPAH SLAB SINK 60X60cm,20mmT.K p -55 it-172</t>
  </si>
  <si>
    <t>Fitter IInd</t>
  </si>
  <si>
    <t>FLUSH SHUTTER P.V.C. 30mm THICK</t>
  </si>
  <si>
    <t>RUN OF MAINS 2-1.5 SQMM COPPER CONCELLED TYPE</t>
  </si>
  <si>
    <t>Add for nails, wedges,oils etc</t>
  </si>
  <si>
    <t xml:space="preserve"> SOLIDCORE OF BLACKBOARD</t>
  </si>
  <si>
    <t xml:space="preserve">S/F OF 16 AMP DPIC MAIN SWITCH </t>
  </si>
  <si>
    <t>Add for periodical cleaning,</t>
  </si>
  <si>
    <t>TYPE WITH COMMERCIAL TYPE</t>
  </si>
  <si>
    <t>EARTHING STATION ASPER IS3043</t>
  </si>
  <si>
    <t>painting etc  for M.S. Sheet</t>
  </si>
  <si>
    <t>LIPPING BOTH SIDES</t>
  </si>
  <si>
    <t>S/L OF 8SWG G.I WIRE FOREARTH TO MAIN</t>
  </si>
  <si>
    <t>SUPPLY OF 5-10AMP/10-20AMP ELE. ENERGY METER</t>
  </si>
  <si>
    <t>S/F OF CONSUMER UNIT OF 4NO OF 16AMP WAY</t>
  </si>
  <si>
    <t>FOR ALL SIZE OF DOORS/SQM</t>
  </si>
  <si>
    <t>RUN OF MAINS 4-4 SQMM COPPER CONCELLED TYPE</t>
  </si>
  <si>
    <t>LABOUR FOR FIXING CEIING FAN OF AL SWEEP</t>
  </si>
  <si>
    <t xml:space="preserve">S/F OF S.C TW BOARD,3-30AMPFUSE, EARTHPLATE </t>
  </si>
  <si>
    <t>PROVIDING FORMWORK AND</t>
  </si>
  <si>
    <t>STEEL DOOR FRAMES AND WINDOW FRAMES WITH SHUTTER</t>
  </si>
  <si>
    <t xml:space="preserve">RUN OF S.C WIRING WITH 2-4 SQMM COPPER ,7/20 GI </t>
  </si>
  <si>
    <t>CENTERING FOR PLAIN CONCRETE</t>
  </si>
  <si>
    <t>====</t>
  </si>
  <si>
    <t>S/F OF AERI FUSE UNIT 30AMP 500V AT E.B POLE</t>
  </si>
  <si>
    <t>SURFACES FOR SMALL QTY such as sunshade etc</t>
  </si>
  <si>
    <t>ITEM NO 1:-MANUFACTURING AND</t>
  </si>
  <si>
    <t>S/F OF 40mmDIA B-CASS G.I PIPE</t>
  </si>
  <si>
    <t>SUPPLYING OF STEEL DOOR frame OF</t>
  </si>
  <si>
    <t>S/F OF 40mmDIA B-CASS G.I COUPLER</t>
  </si>
  <si>
    <t>MS angles &amp; sheets for one</t>
  </si>
  <si>
    <t>ALL SIZES WITH OUT SHUTTER</t>
  </si>
  <si>
    <t>S/F OF 40mmDIA B-CASS G.I BEND</t>
  </si>
  <si>
    <t>use (1.2 times of operation</t>
  </si>
  <si>
    <t>MADE OF 100X50 18GAUGE CRCA</t>
  </si>
  <si>
    <t>S/F OF 40X40X6mmANGLE TO SUPPORT G.I.PIPE.</t>
  </si>
  <si>
    <t>for plain surface)</t>
  </si>
  <si>
    <t>STELL WITH ALL FOURNITURE AND</t>
  </si>
  <si>
    <t>S/F OF 15AMP 3PIN POWER PLUG WITH SWITCH</t>
  </si>
  <si>
    <t>C.W Joist for one use (1.2</t>
  </si>
  <si>
    <t>FITTINGS.</t>
  </si>
  <si>
    <t>RUN OF MAINS 2-2.5 SQMM COPPER CONCELLED TYPE</t>
  </si>
  <si>
    <t>times of operation for plain</t>
  </si>
  <si>
    <t>S/F OF SINGE PHASE ELCB OF CONCEAED TYPE</t>
  </si>
  <si>
    <t>surface)</t>
  </si>
  <si>
    <t>MARINE PLYWOOD OF 9mm THICK OF BWR GRADE L.R ( qtn)</t>
  </si>
  <si>
    <t>Manufacturing and supplying of</t>
  </si>
  <si>
    <t>m.s.angle window shutter  and</t>
  </si>
  <si>
    <t>m.s grills with out glass of</t>
  </si>
  <si>
    <t>all sizes of windows,ventilaters.</t>
  </si>
  <si>
    <t xml:space="preserve"> ---DO---FOR CALLING BELL POINT </t>
  </si>
  <si>
    <t>ADD FOR SILVER OKE PLANKS</t>
  </si>
  <si>
    <t>Supply and fixing of window</t>
  </si>
  <si>
    <t>Add for periodical cleaning</t>
  </si>
  <si>
    <t>glass panels of 4mm thick for</t>
  </si>
  <si>
    <t>and painting etc for M.S. Sheet</t>
  </si>
  <si>
    <t>steel window and ventilaters.</t>
  </si>
  <si>
    <t xml:space="preserve"> --DO--FOR 15AMP OWER PLUG</t>
  </si>
  <si>
    <t>Cost of 4mm window glass</t>
  </si>
  <si>
    <t>S/F OF BULK HEAD FITTING</t>
  </si>
  <si>
    <t>S/F OF DOUBLE POLE MAIN SWITCH</t>
  </si>
  <si>
    <t>nos.</t>
  </si>
  <si>
    <t>Carpenter I class</t>
  </si>
  <si>
    <t>S/F OF 6 WAY D.B</t>
  </si>
  <si>
    <t>15mm dia half turn CP tap</t>
  </si>
  <si>
    <t>LABOUR CHARGE FOR FIXING FAN</t>
  </si>
  <si>
    <t>Cost of binding meterials etc.,</t>
  </si>
  <si>
    <t>SUPPLY AND DELIVERY OF FAN 48"SWEEP</t>
  </si>
  <si>
    <t>SUPPLY AND DELIVERY OF FAN 42"SWEEP</t>
  </si>
  <si>
    <t>total for 0.4sqm</t>
  </si>
  <si>
    <t>S/F OF 8SWG G.I WIRE</t>
  </si>
  <si>
    <t>SURFACES FOR PLINTH BEAM ETC.</t>
  </si>
  <si>
    <t>Design Mix M30 Grade Concrete (CER 255/2012-13)</t>
  </si>
  <si>
    <t>RUN OFF MAIN WITH 2NO OF 1.50sq.mm WIRE</t>
  </si>
  <si>
    <t>Rate for one sqm</t>
  </si>
  <si>
    <t>20mm HBG</t>
  </si>
  <si>
    <t>EARTHING STATION AS PER ISI</t>
  </si>
  <si>
    <t>HALF THE RATE  OF F.W USING C.W.PLANKS</t>
  </si>
  <si>
    <t>10mm HBG</t>
  </si>
  <si>
    <t>S/F OF 1 NO OF 30 AMP FUSE UNIT.</t>
  </si>
  <si>
    <t>FOR LINTEL &amp; BEAMS</t>
  </si>
  <si>
    <t>Manufactoring and supplying of</t>
  </si>
  <si>
    <t>Sand</t>
  </si>
  <si>
    <t>S/F OF 375mmX300mmX20mmT.W.PLANK FOR S.C.</t>
  </si>
  <si>
    <t>R.C.C 1:1.5:3 USING 20mmHBG</t>
  </si>
  <si>
    <t xml:space="preserve">steel window, confirming to </t>
  </si>
  <si>
    <t>S/F OF METRE CUPBOARD</t>
  </si>
  <si>
    <t>IS 1038/1983.</t>
  </si>
  <si>
    <t>S/F OF STREET LIGHTS.</t>
  </si>
  <si>
    <r>
      <t xml:space="preserve">PROVIDING ANTI-TERMITE TREATMENT </t>
    </r>
    <r>
      <rPr>
        <b/>
        <sz val="12"/>
        <color indexed="13"/>
        <rFont val="Helv"/>
      </rPr>
      <t>Say 34</t>
    </r>
  </si>
  <si>
    <t>Window size 90x120cm</t>
  </si>
  <si>
    <t>PROVIDING ELCB WITH MCB IN MS BOX</t>
  </si>
  <si>
    <t xml:space="preserve"> 20mmH.B.JELLY</t>
  </si>
  <si>
    <t xml:space="preserve"> ---------------------</t>
  </si>
  <si>
    <t>Vibrating charges</t>
  </si>
  <si>
    <t>Flat back urinal WITH ALL ACCESSORIES (white)p-55 it-173</t>
  </si>
  <si>
    <t>Steel window with 10mm square</t>
  </si>
  <si>
    <t>Admixture</t>
  </si>
  <si>
    <t>WIRE MAN GR-I p-11 it-13</t>
  </si>
  <si>
    <t>horizontal with one coat of</t>
  </si>
  <si>
    <t>Batching plant</t>
  </si>
  <si>
    <t>Electrical HELPERp-15 it-100</t>
  </si>
  <si>
    <t>red oxide primer paint.</t>
  </si>
  <si>
    <t>Frosted glass  4mmthick it-106 p-44</t>
  </si>
  <si>
    <t>STACKING GHARGES HW DATA 16-17</t>
  </si>
  <si>
    <t>Iron hinge special type</t>
  </si>
  <si>
    <t>Stays and pegs</t>
  </si>
  <si>
    <t>CUTTING CHARGE OF PVC pipe32mm p-32 it-129</t>
  </si>
  <si>
    <t>Locking arrangements</t>
  </si>
  <si>
    <t>Design Mix M25 Grade Concrete (CER 255/2012-13)</t>
  </si>
  <si>
    <t>THREADING CHARGES FOR PVC 32mm</t>
  </si>
  <si>
    <t xml:space="preserve"> 12x12mm thick alu.beedings</t>
  </si>
  <si>
    <t xml:space="preserve">by pasting </t>
  </si>
  <si>
    <t>Labour Charges for fixing</t>
  </si>
  <si>
    <t>Alu. bolt and nuts</t>
  </si>
  <si>
    <t>Total for 1No</t>
  </si>
  <si>
    <t>Window size 90x105cm</t>
  </si>
  <si>
    <t>R.C.C DOOR FRAME</t>
  </si>
  <si>
    <t>Frosted glass 3mmthick</t>
  </si>
  <si>
    <t>21.1</t>
  </si>
  <si>
    <t>SUPPLYING AND FIXING MONOLITHIC RCC DOOR</t>
  </si>
  <si>
    <t>FRAME OF SIZEM 100MMX75MM WITH ONE EDGE</t>
  </si>
  <si>
    <t>GROOVE OF SIZE 30MMX20MM IN RCC(1:1.5:3)USING</t>
  </si>
  <si>
    <t>20MM HBS JELLY INCLUDING COST OF STEEL AND</t>
  </si>
  <si>
    <t>FABRICATION OF REINFORCEMENT WITH -6MM M.S</t>
  </si>
  <si>
    <t>ROD AROUND AND 3MM STEEL STIRRUP AT 30CM C/C</t>
  </si>
  <si>
    <t>INCLUDING FIXING OF 3NOS OF IRON BRACKET OF</t>
  </si>
  <si>
    <t>SIZE 100MMX100MMX5MM, 6NOS OF HOLDFAST</t>
  </si>
  <si>
    <t>CHECKNUTS AND ALUMINIUM SLEEVES AND 2 NOS OF</t>
  </si>
  <si>
    <t xml:space="preserve">RCC door </t>
  </si>
  <si>
    <t>I.O.TOWER BOLT RECEIVER ALL AS PER DRAWING</t>
  </si>
  <si>
    <t>1200MMX2100MM SIZE OF DOOR FRAME</t>
  </si>
  <si>
    <t>INCLUDING MOULDING INSTEEL MOULD PRECASTING</t>
  </si>
  <si>
    <t>WITH SMOOTH SURFACE AND FINE EDGES, CURING,</t>
  </si>
  <si>
    <t>R.C.C.IN C.C 1:1.5:3</t>
  </si>
  <si>
    <t>TRANSPORTING ETC., ALL COMPLETE, AS DIRECTED</t>
  </si>
  <si>
    <t>FAB OF M.S STEEL</t>
  </si>
  <si>
    <t>BY DEPT.OFFICERS.</t>
  </si>
  <si>
    <t>HANGER BRACKET</t>
  </si>
  <si>
    <t>ALU.SLEEVES</t>
  </si>
  <si>
    <t>TOWER BOLT RECEIVER</t>
  </si>
  <si>
    <t>1000MMX2100MM SIZE OF DOOR FRAME</t>
  </si>
  <si>
    <t>TAILNUT FOR BOLT</t>
  </si>
  <si>
    <t>1000MMX2400MM SIZE OF DOOR FRAME</t>
  </si>
  <si>
    <t>-------------------------------</t>
  </si>
  <si>
    <t>MASON Ist</t>
  </si>
  <si>
    <t>MAZDOOR Ist</t>
  </si>
  <si>
    <t>MOULDING CHARGES</t>
  </si>
  <si>
    <t>HANDLING CHARGES MAZDOOR-II</t>
  </si>
  <si>
    <t>ADD FOR OIL,CONVEYANCE ETC.,</t>
  </si>
  <si>
    <t>TOTAL FOR 1 NO</t>
  </si>
  <si>
    <t>Window size 60x120cm</t>
  </si>
  <si>
    <t>Frosted glass 4mmthick</t>
  </si>
  <si>
    <t>900MMX2100MM SIZE OF DOOR FRAME</t>
  </si>
  <si>
    <t>1500MMX2100MM SIZE OF DOOR FRAME</t>
  </si>
  <si>
    <r>
      <t xml:space="preserve">Satndardised cement Concrtet </t>
    </r>
    <r>
      <rPr>
        <b/>
        <sz val="12"/>
        <rFont val="Helv"/>
      </rPr>
      <t>M30 grade 1:1.5:3 without vibrating charges</t>
    </r>
  </si>
  <si>
    <t>21.2</t>
  </si>
  <si>
    <t>SUPPLING  AND FIXING OF BEST T.W.WROUGHT AND</t>
  </si>
  <si>
    <t>PUTUP FOR DOORS, WINDOWS AND VENTILATERS ETC</t>
  </si>
  <si>
    <t>LABOUR CHARGES:-</t>
  </si>
  <si>
    <t>700MMX2100MM SIZE OF DOOR FRAME</t>
  </si>
  <si>
    <t>1500MMX2400MM SIZE OF DOOR FRAME</t>
  </si>
  <si>
    <t>TOTAL FOR .0283 CUM</t>
  </si>
  <si>
    <t>TOTAL FOR ONE CUM</t>
  </si>
  <si>
    <t>S&amp;F P.V.C. 20mmTHICK DOOR SHUTTER WITH DOOR FRAME OF SIZE 40mmX57mm FOR OUTER FRAME AND THE SINGLE LEAF SHUTTER MADEOF PLASTIC SHEET 20mmX200mm FOR SHUTTER PANNEL AND SHUTTER FRAME OF PLASTIC 24mmX59mm WITH 8 NOS OF 3 HINGS ALU,2N0S OFAL. HANDLES</t>
  </si>
  <si>
    <t>FOR DOORS OF ALL SIZE</t>
  </si>
  <si>
    <t>…</t>
  </si>
  <si>
    <t>FOR DOORS OF ALL SIZE (Qtn. For syntex.) Hollow p48 117a</t>
  </si>
  <si>
    <t>TEAK WOODS</t>
  </si>
  <si>
    <t xml:space="preserve">========= </t>
  </si>
  <si>
    <t>TEAK WOOD WROUGHT &amp; PUT UP</t>
  </si>
  <si>
    <t>T.W.SCANTLING 2M-3M LONG</t>
  </si>
  <si>
    <t>LABOUR CHARGE FOR WROUGHT &amp; PUTUP</t>
  </si>
  <si>
    <t>RATE FOR T.W.SCANDLING 2M-3M LONG</t>
  </si>
  <si>
    <t>T.W.SCANTLING UP TO 2M LONG</t>
  </si>
  <si>
    <t>22.1 (a)</t>
  </si>
  <si>
    <t>COUNTRY WOOD SINGLY LEAF FULLY PANELLED</t>
  </si>
  <si>
    <t>DOOR SHUTTER FOR DOOR OF SIZE</t>
  </si>
  <si>
    <t>1000 X 2100MM</t>
  </si>
  <si>
    <t>RATE FOR T.W.SCANTLING 2M LONG</t>
  </si>
  <si>
    <t>SHUTTER SIZE-.9X2.025   =1.823M2</t>
  </si>
  <si>
    <t>STYLES(OVER 2M) -1X2X2.025X0.075X0.0375=0.0114</t>
  </si>
  <si>
    <t>T.W.SINGLY LEAF FULLY PANELLED</t>
  </si>
  <si>
    <t>RAILS(BELOW 2M)- 1X4X0.9X0.15X0.0375=      0.0203</t>
  </si>
  <si>
    <t xml:space="preserve">               - 1X2X0.70625X0.075X0.0375 =0.0040</t>
  </si>
  <si>
    <t>PLANKS      -1X4X0.58125X0.3375X0.01875=</t>
  </si>
  <si>
    <t xml:space="preserve">             -1X1X0.725X0.3375X0.01875=</t>
  </si>
  <si>
    <t xml:space="preserve">C.W SCANTLING UPTO 4M LONG </t>
  </si>
  <si>
    <t xml:space="preserve">C.W SCANTLING  UPTO 4M LONG </t>
  </si>
  <si>
    <t>C.W PLANKS 25mm thick, 30cm WIDE</t>
  </si>
  <si>
    <t>LABOUR FOR WROUGHT&amp;PUTUP</t>
  </si>
  <si>
    <t>DOOR HANDLE WITH CP SCREWS</t>
  </si>
  <si>
    <t>T.W SCANTLING  ABOVE 2M LONG</t>
  </si>
  <si>
    <t>T.W SCANTLING  BELOW 2M LONG</t>
  </si>
  <si>
    <t>T.W PLANKS OVER 15TO 30cm</t>
  </si>
  <si>
    <t>NYLONBUSH</t>
  </si>
  <si>
    <t>WIDE&amp;12TO15mm T.K</t>
  </si>
  <si>
    <t>DOOR HANDLE WITH CP SCREWS 6"</t>
  </si>
  <si>
    <t>TOTAL FOR 1.8230SQM</t>
  </si>
  <si>
    <t>Nos.</t>
  </si>
  <si>
    <t>Brass screw p-59 it-210</t>
  </si>
  <si>
    <t>No,</t>
  </si>
  <si>
    <t>22.1 (b)</t>
  </si>
  <si>
    <t>900 X 2100MM</t>
  </si>
  <si>
    <t>SHUTTER SIZE0-.8X2.05   =1.64M2</t>
  </si>
  <si>
    <t>STYLES(OVER 2M) -1X2X2.05X0.075X0.0375=0.0115</t>
  </si>
  <si>
    <t>RAILS(BELOW 2M)- 1X4X0.8X0.15X0.0375=      0.018</t>
  </si>
  <si>
    <t xml:space="preserve">               - 1X2X0.73125X0.075X0.0375 =0.0040</t>
  </si>
  <si>
    <t>PLANKS      -1X4X0.60625X0.2875X0.01875=</t>
  </si>
  <si>
    <t xml:space="preserve">             -1X1X0.625X0.2875X0.01875=</t>
  </si>
  <si>
    <t>BWR   single leaf</t>
  </si>
  <si>
    <t>(a)</t>
  </si>
  <si>
    <t>DOOR OF SIZE 750X2100 MM</t>
  </si>
  <si>
    <t xml:space="preserve"> 5" ALU BUTT HINGES</t>
  </si>
  <si>
    <t>ALU.HANDLE WITH C.P.SCREWS 6"</t>
  </si>
  <si>
    <t>Brass screw</t>
  </si>
  <si>
    <t>brass screws</t>
  </si>
  <si>
    <t>TOTAL FOR 1.6400SQM</t>
  </si>
  <si>
    <t>22.1 (c)</t>
  </si>
  <si>
    <t>700 X 2100MM</t>
  </si>
  <si>
    <t>SHUTTER SIZE0-.6X2.025   =1.215M2</t>
  </si>
  <si>
    <t>RAILS(BELOW 2M)- 1X2X0.6X0.15X0.0375=      0.0068</t>
  </si>
  <si>
    <t xml:space="preserve">               - 1X3X0.6X0.075X0.0375 =0.0051</t>
  </si>
  <si>
    <t>PLANKS      -1X5X0.425X0.295X0.01875=</t>
  </si>
  <si>
    <t>23.1.</t>
  </si>
  <si>
    <t>S/F OF BWR PLYWOOD DOOR</t>
  </si>
  <si>
    <t>SHUTTER WITH VERTICALS AND</t>
  </si>
  <si>
    <t>TOTAL FOR 1.215SQM</t>
  </si>
  <si>
    <t>TOP RAIL AND BOTTOM RAILS</t>
  </si>
  <si>
    <t>WITH 9mm THICK MARINE GRADE</t>
  </si>
  <si>
    <t>BWR  PLYWOOD WITH</t>
  </si>
  <si>
    <t>I.O FITTINGS AS PER SCHEDULE E</t>
  </si>
  <si>
    <t>Hollow type PVC door with frame</t>
  </si>
  <si>
    <t>STYLES(OVER 2M) -1X2X2.05X0.075X0.0375=0.01153</t>
  </si>
  <si>
    <t>RAILS(BELOW 2M)- 1X3X0.8X0.15X0.0375=      0.0135</t>
  </si>
  <si>
    <t>PLANKS      -1X1X0.625X0.64=0.40</t>
  </si>
  <si>
    <t>PLANKS      -1X1X0.985X0.625=0.616</t>
  </si>
  <si>
    <t>1.016M2</t>
  </si>
  <si>
    <r>
      <t>S/F OF</t>
    </r>
    <r>
      <rPr>
        <b/>
        <sz val="12"/>
        <rFont val="Helv"/>
      </rPr>
      <t xml:space="preserve"> BWR PLYWOOD DOOR</t>
    </r>
  </si>
  <si>
    <t>DOOR OF SIZE 900 X2100 MM</t>
  </si>
  <si>
    <t>C.W.SCANTLING UPTO 4M length (PADAK)</t>
  </si>
  <si>
    <r>
      <t xml:space="preserve">I.O FITTINGS AS PER SCHEDULE E </t>
    </r>
    <r>
      <rPr>
        <b/>
        <sz val="12"/>
        <rFont val="Helv"/>
      </rPr>
      <t>1200 x 2100mm size</t>
    </r>
  </si>
  <si>
    <t>SHUTTER SIZE0-1.1X2.05   =2.255M2</t>
  </si>
  <si>
    <t>STYLES(OVER 2M) -2X2X2.05X0.075X0.0375=0.02306</t>
  </si>
  <si>
    <t>RAILS(BELOW 2M)- 2X3X0.55X0.15X0.0375=      0.01856</t>
  </si>
  <si>
    <t>ALU.HANDLE WITH C.P.SCREWS</t>
  </si>
  <si>
    <t>PLANKS      -1X2X0.625X0.425=0.53</t>
  </si>
  <si>
    <t>PLANKS      -1X2X1.025X0.425=0.87</t>
  </si>
  <si>
    <t>1.40M2</t>
  </si>
  <si>
    <t>TOTAL FOR 1.64 SQM</t>
  </si>
  <si>
    <t>DOOR OF SIZE 1200 X2100 MM</t>
  </si>
  <si>
    <t>DOOR OF SIZE 1000 X2100 MM</t>
  </si>
  <si>
    <t>22.2(a)</t>
  </si>
  <si>
    <t>TW single leaf glazed window</t>
  </si>
  <si>
    <t xml:space="preserve">shutter  for frame of overall height 135cm </t>
  </si>
  <si>
    <t>TW scantling below 2m length</t>
  </si>
  <si>
    <t>frosted glass 4mmthick</t>
  </si>
  <si>
    <t>TOTAL FOR 2.255 SQM</t>
  </si>
  <si>
    <t xml:space="preserve"> 3" ALU BUTT HINGES</t>
  </si>
  <si>
    <t xml:space="preserve"> 2"X5/16" ALU. TOWERBOLT</t>
  </si>
  <si>
    <t>TOTAL FOR 1.845SQM</t>
  </si>
  <si>
    <t>NYLON BUSH with screws</t>
  </si>
  <si>
    <t>6" hooks and eyes</t>
  </si>
  <si>
    <t>TOTAL FOR .4766 SQM</t>
  </si>
  <si>
    <t>22.2(c)</t>
  </si>
  <si>
    <t xml:space="preserve">shutter  for frame of overall height 105cm </t>
  </si>
  <si>
    <t>1800 X 2100MM (Double leaves)</t>
  </si>
  <si>
    <t>WIDE&amp;12TO25mm T.K</t>
  </si>
  <si>
    <t>TOTAL FOR .362 SQM</t>
  </si>
  <si>
    <t>22.2(d)</t>
  </si>
  <si>
    <t>TW Swing type ventilater</t>
  </si>
  <si>
    <t>of size 90x 60cm</t>
  </si>
  <si>
    <t>pair</t>
  </si>
  <si>
    <t xml:space="preserve"> pivoted hinges with screw</t>
  </si>
  <si>
    <t>3" hooks and eyes</t>
  </si>
  <si>
    <t>8" hooks and eyes</t>
  </si>
  <si>
    <t>TW Panelled Door 1500 X 2100MM (Double leaves)</t>
  </si>
  <si>
    <t>TOTAL FOR .40 SQM</t>
  </si>
  <si>
    <t>T.W SCANTLING above 2m</t>
  </si>
  <si>
    <t>T.W SCANTLING below 2m</t>
  </si>
  <si>
    <t>T.W PLANKS (15.30 CM) (12 TO 25CM THICK)</t>
  </si>
  <si>
    <t>LABOUR CHARGES FOR WROUGHT AND PUT UP</t>
  </si>
  <si>
    <t>TW  double leaf shutter for ward robe / cup board</t>
  </si>
  <si>
    <t>DOOR HANDLE 6"</t>
  </si>
  <si>
    <t>5" BUTT HINGES</t>
  </si>
  <si>
    <t>6" X .6" TOWER BOLTS</t>
  </si>
  <si>
    <t>SHUTTER SIZE 1.2X2.1   =2.52M2</t>
  </si>
  <si>
    <t>10" X 5/8" ALDROPS</t>
  </si>
  <si>
    <t>TW scantling(OVER 2M) -1X2X2.1X0.075X0.0375=0.0118</t>
  </si>
  <si>
    <t>TW scantling(below 2M) -1X2X1.2X0.075X0.0375=0.00675</t>
  </si>
  <si>
    <t>Shutter styles(vertical) -1X4X1.95X0.075X0.0375=0.02194</t>
  </si>
  <si>
    <t>Shutter styles(Horizantal) -2X2X0.4X0.075X0.0375=0.0045</t>
  </si>
  <si>
    <t>============</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</si>
  <si>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</si>
  <si>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Shutter(OSL Board)      -1X2X1.825X0.4=1.46m2</t>
  </si>
  <si>
    <t>RATE FOR 2.835 SQM</t>
  </si>
  <si>
    <t>Shutter area      -1X1X1.05X1.95=2.05 m2</t>
  </si>
  <si>
    <t>LABOUR FOR WROUGHT &amp;PUTUP</t>
  </si>
  <si>
    <t>BISON PANEL  8MMTK. OSL</t>
  </si>
  <si>
    <t>LABOUR CHARGE FOR SHUTTER</t>
  </si>
  <si>
    <t xml:space="preserve"> 3"X5/8"ALU.TOWER BOLT</t>
  </si>
  <si>
    <t xml:space="preserve"> ORNAMENTAL; HANDLE WITH SCREWS(100mm)p46 it-98c </t>
  </si>
  <si>
    <t>LOCKS &amp;KEY Qtn</t>
  </si>
  <si>
    <t>VARNISH TWO COATS</t>
  </si>
  <si>
    <t>SUNDRIES FOR NAILS,PLUGS ETC.</t>
  </si>
  <si>
    <t>TOTAL FOR 2.52 SQM</t>
  </si>
  <si>
    <t>Cement Concrete using design mix of grade M25 concrete for all RCC works</t>
  </si>
  <si>
    <t>10mmH.B.JELLY</t>
  </si>
  <si>
    <t>BEST VARNISHING ONE COAT OVER WOOD WORK</t>
  </si>
  <si>
    <t>Lit.</t>
  </si>
  <si>
    <t>BEST VARNISH</t>
  </si>
  <si>
    <t>LINSEED OIL BOILED</t>
  </si>
  <si>
    <t>Mazdoor I</t>
  </si>
  <si>
    <t>Mazdoor II</t>
  </si>
  <si>
    <t>TOTAL FOR TEN SQM</t>
  </si>
  <si>
    <t>In Foundation and Basement</t>
  </si>
  <si>
    <t>BEST VARNISHING TWO COAT OVER WOOD WORK</t>
  </si>
  <si>
    <t>BEST VARNISH p38/31</t>
  </si>
  <si>
    <t>10th</t>
  </si>
  <si>
    <t>Supplying and fixing of Magnetic Door Catches</t>
  </si>
  <si>
    <r>
      <t xml:space="preserve">Supplying and fixing </t>
    </r>
    <r>
      <rPr>
        <b/>
        <sz val="12"/>
        <rFont val="Helv"/>
      </rPr>
      <t>4mm thick pin</t>
    </r>
  </si>
  <si>
    <t>S &amp; F of Granite slab of size 4'x2', 18 to 20mm Thick For kitchen arrangements (jet black) for SP and ADSP</t>
  </si>
  <si>
    <t>S &amp; F of Granite tile of size 2'x 1', 10mm Thick For kitchen arrangements (jet black for SFO)</t>
  </si>
  <si>
    <t>STEEL GRILLS FOR WINDOWS &amp; VENTILATER</t>
  </si>
  <si>
    <t>Granite slab ( Jet Black) p-42 it-27a</t>
  </si>
  <si>
    <t>Granite slab ( Jet Black) p-38 it-13 a</t>
  </si>
  <si>
    <t>WITH SUITABLE LEDGES including piming coat</t>
  </si>
  <si>
    <t>RATE AS PER  PWD LR For Window  p 44/ it 76</t>
  </si>
  <si>
    <t>Mason IIst</t>
  </si>
  <si>
    <t>Supplying and fixing M.S.Hold Qtn</t>
  </si>
  <si>
    <t>fast with screws</t>
  </si>
  <si>
    <t>FINISHING THE TOP OF FLOORING</t>
  </si>
  <si>
    <t>WITH C.M(1:4)20mm THICK</t>
  </si>
  <si>
    <t>MAZDOOR  I</t>
  </si>
  <si>
    <t xml:space="preserve">Granite Tiles flooring in cm1:3,20mm thk </t>
  </si>
  <si>
    <t>Satheleri Grey</t>
  </si>
  <si>
    <t>Eurocon tile/ Designer tile flooring (as per CER-112/2007-08)</t>
  </si>
  <si>
    <t>COST OF granite FLOOR TILES, 
gray</t>
  </si>
  <si>
    <t>Old rate</t>
  </si>
  <si>
    <t>29.2</t>
  </si>
  <si>
    <t>MOSAIC FLOORING IN C.M(1:3)</t>
  </si>
  <si>
    <r>
      <t xml:space="preserve">COST OF Eurocon TILES </t>
    </r>
    <r>
      <rPr>
        <b/>
        <sz val="12"/>
        <rFont val="Helv"/>
      </rPr>
      <t>(pwd -p 41/17</t>
    </r>
  </si>
  <si>
    <t>LABOUR FOR LAYING &amp; POINTING</t>
  </si>
  <si>
    <t>USING GREY COLOUR TILES</t>
  </si>
  <si>
    <t>COST OF GRAY COLOUR  TILES</t>
  </si>
  <si>
    <t>25X25X2cm</t>
  </si>
  <si>
    <t>Grout</t>
  </si>
  <si>
    <t>white/colour cement</t>
  </si>
  <si>
    <t>POLISHING</t>
  </si>
  <si>
    <t>HIRE CHARGES FOR POWER POLISH</t>
  </si>
  <si>
    <t>Vertified tile flooring (Colour)</t>
  </si>
  <si>
    <t>SR 2018-2019</t>
  </si>
  <si>
    <t>ELCT.CHARGES</t>
  </si>
  <si>
    <t>COST OF POLISHING STONE</t>
  </si>
  <si>
    <t>MOSAIC POLISHER FOR POLISHING</t>
  </si>
  <si>
    <t>COST OF Vitified TILES (LSR New It-1) p-53 it-156</t>
  </si>
  <si>
    <t>Vertified  tile flooring  ( Ivory)</t>
  </si>
  <si>
    <t>MAZDOORII FOR WATER,WASHING ETC</t>
  </si>
  <si>
    <t>COST OF Vertified TILES (p51, it-156)</t>
  </si>
  <si>
    <t>S &amp; F of Granite tile of size 2'x1', 10mm Thick For kitchen arrangements (Ruby red)</t>
  </si>
  <si>
    <t>Grout joint filler</t>
  </si>
  <si>
    <t>COST OF granite FLOOR TILES, 
Ruby Red  p-42 26b</t>
  </si>
  <si>
    <t>Providing White/Color ceramic floor tiles (Anti-skid)of</t>
  </si>
  <si>
    <t>any size 0f 6mm T.K including pointing etc.,</t>
  </si>
  <si>
    <t>as directed by the Dept.Officers.</t>
  </si>
  <si>
    <t>COST OF CERAMIC FLOOR TILES</t>
  </si>
  <si>
    <t>Vertified tile flooring IVORY</t>
  </si>
  <si>
    <t>d448</t>
  </si>
  <si>
    <t>Grout ( qtn)</t>
  </si>
  <si>
    <r>
      <t xml:space="preserve">COST OF Vertified TILES  </t>
    </r>
    <r>
      <rPr>
        <b/>
        <sz val="16"/>
        <color indexed="13"/>
        <rFont val="Helv"/>
      </rPr>
      <t>qtn</t>
    </r>
  </si>
  <si>
    <t>710          ruby red</t>
  </si>
  <si>
    <t>Suppling and laying granite wall cladding</t>
  </si>
  <si>
    <t xml:space="preserve"> in C.M(1:2)  </t>
  </si>
  <si>
    <t>COST OF granite TILES</t>
  </si>
  <si>
    <t>C.M(1:2)</t>
  </si>
  <si>
    <t>Suppling and laying White/Plain colour</t>
  </si>
  <si>
    <t>Mazdoor-I</t>
  </si>
  <si>
    <t xml:space="preserve">Glazed tiles in C.M(1:2)  </t>
  </si>
  <si>
    <t>COST OF GLAZED  TILES</t>
  </si>
  <si>
    <t>TOTAL FOR 1.860 SQM</t>
  </si>
  <si>
    <r>
      <t xml:space="preserve">Suppling and laying </t>
    </r>
    <r>
      <rPr>
        <b/>
        <sz val="12"/>
        <rFont val="Helv"/>
      </rPr>
      <t>colour matt finish floor tiles</t>
    </r>
  </si>
  <si>
    <t>COST OF matt finish wall of 12x12
(Quotation rate)</t>
  </si>
  <si>
    <r>
      <t xml:space="preserve">Suppling and laying </t>
    </r>
    <r>
      <rPr>
        <b/>
        <sz val="12"/>
        <rFont val="Helv"/>
      </rPr>
      <t>colour matt finish wall tiles</t>
    </r>
  </si>
  <si>
    <t>COST OF  TILES (Quotation rate)</t>
  </si>
  <si>
    <r>
      <t xml:space="preserve">PAINTING TWO COATS OVER NEW           </t>
    </r>
    <r>
      <rPr>
        <b/>
        <sz val="12"/>
        <rFont val="Helv"/>
      </rPr>
      <t>(as per CER-112/2007-08)</t>
    </r>
  </si>
  <si>
    <r>
      <t xml:space="preserve">S &amp; F of </t>
    </r>
    <r>
      <rPr>
        <b/>
        <sz val="12"/>
        <rFont val="Helv"/>
      </rPr>
      <t>Granite slab 18mm to 12mm Thick</t>
    </r>
    <r>
      <rPr>
        <sz val="11"/>
        <color theme="1"/>
        <rFont val="Calibri"/>
        <family val="2"/>
        <scheme val="minor"/>
      </rPr>
      <t xml:space="preserve"> For </t>
    </r>
    <r>
      <rPr>
        <b/>
        <sz val="12"/>
        <rFont val="Helv"/>
      </rPr>
      <t xml:space="preserve">kitchen arrangements </t>
    </r>
  </si>
  <si>
    <r>
      <t>WATER REPELLANT PAINT</t>
    </r>
    <r>
      <rPr>
        <sz val="11"/>
        <color theme="1"/>
        <rFont val="Calibri"/>
        <family val="2"/>
        <scheme val="minor"/>
      </rPr>
      <t xml:space="preserve"> OVER ONE PRIMER COAT</t>
    </r>
  </si>
  <si>
    <r>
      <t xml:space="preserve">Granite slab </t>
    </r>
    <r>
      <rPr>
        <b/>
        <sz val="12"/>
        <rFont val="Helv"/>
      </rPr>
      <t>(Ruby red) P-38 it-14 b</t>
    </r>
  </si>
  <si>
    <t>WITH C.M(1:3)20mm THICK</t>
  </si>
  <si>
    <t xml:space="preserve"> (NO SAND)USING GRANITECHIPS</t>
  </si>
  <si>
    <t>COST OF PAINT</t>
  </si>
  <si>
    <r>
      <t xml:space="preserve">OF 10mm&amp;BELOW </t>
    </r>
    <r>
      <rPr>
        <b/>
        <sz val="12"/>
        <rFont val="Helv"/>
      </rPr>
      <t>(ELLISPATTERN)</t>
    </r>
  </si>
  <si>
    <t>PRIMER (LMR item 112) p44</t>
  </si>
  <si>
    <t xml:space="preserve">STONE JELLY 3mm to 10mm </t>
  </si>
  <si>
    <t xml:space="preserve">PAINTER II </t>
  </si>
  <si>
    <t>Mazdoor IIst</t>
  </si>
  <si>
    <t>Pointing the joint</t>
  </si>
  <si>
    <t>Thorough scrapping p28 /108</t>
  </si>
  <si>
    <t>31.</t>
  </si>
  <si>
    <r>
      <t>WEATHERING COURSE</t>
    </r>
    <r>
      <rPr>
        <sz val="11"/>
        <color theme="1"/>
        <rFont val="Calibri"/>
        <family val="2"/>
        <scheme val="minor"/>
      </rPr>
      <t xml:space="preserve"> WITH BRICK</t>
    </r>
  </si>
  <si>
    <r>
      <t xml:space="preserve">PAINTING TWO COATS OVER NEW            </t>
    </r>
    <r>
      <rPr>
        <b/>
        <sz val="12"/>
        <rFont val="Helv"/>
      </rPr>
      <t xml:space="preserve"> (as per CER-112/2007-08)</t>
    </r>
  </si>
  <si>
    <t>JELLY LIME IN RATIO 32:121/2</t>
  </si>
  <si>
    <r>
      <t xml:space="preserve">S &amp; F of </t>
    </r>
    <r>
      <rPr>
        <b/>
        <sz val="12"/>
        <rFont val="Helv"/>
      </rPr>
      <t>Granite slab 18mm to 20mm Thick</t>
    </r>
    <r>
      <rPr>
        <sz val="11"/>
        <color theme="1"/>
        <rFont val="Calibri"/>
        <family val="2"/>
        <scheme val="minor"/>
      </rPr>
      <t xml:space="preserve"> For </t>
    </r>
    <r>
      <rPr>
        <b/>
        <sz val="12"/>
        <rFont val="Helv"/>
      </rPr>
      <t xml:space="preserve">kitchen arrangements </t>
    </r>
  </si>
  <si>
    <t>BY VOLUMN WELL WATERING</t>
  </si>
  <si>
    <t>CONSOLIDATED WITH WOODEN</t>
  </si>
  <si>
    <r>
      <t xml:space="preserve">Granite slab </t>
    </r>
    <r>
      <rPr>
        <b/>
        <sz val="12"/>
        <rFont val="Helv"/>
      </rPr>
      <t>( Jet Black) P-38 it-14 a</t>
    </r>
  </si>
  <si>
    <t>BEATERS TO REQUIRED SLOP</t>
  </si>
  <si>
    <t>BROKEN BRICKJELLY2OmmGAUGE</t>
  </si>
  <si>
    <t>COST OF LIME STONE</t>
  </si>
  <si>
    <t>Providing cooling tiles over terrace floor</t>
  </si>
  <si>
    <t>COST OF CERAMIC FLOOR TILES p-58 it-197 a</t>
  </si>
  <si>
    <t>6-10mm thick metal</t>
  </si>
  <si>
    <r>
      <t xml:space="preserve">Granite slab </t>
    </r>
    <r>
      <rPr>
        <b/>
        <sz val="12"/>
        <color indexed="10"/>
        <rFont val="Helv"/>
      </rPr>
      <t>(Ruby red) P-42 it-27b</t>
    </r>
  </si>
  <si>
    <t>Pointing with CM 1:3</t>
  </si>
  <si>
    <t>ABC plus powder</t>
  </si>
  <si>
    <t>Colour cement p-36</t>
  </si>
  <si>
    <t>ABC Grout</t>
  </si>
  <si>
    <t>Base concrete 1:2:4 (6-10mm thick metal)</t>
  </si>
  <si>
    <t>Aluminium section</t>
  </si>
  <si>
    <t>Two legged scaffolding</t>
  </si>
  <si>
    <t>Aluminium window openable 1.35x1.05m  (Six leaves)</t>
  </si>
  <si>
    <t>15cm dia casurina poles p -22 /145a.</t>
  </si>
  <si>
    <t>glass 4mm pin headed</t>
  </si>
  <si>
    <t>Country wood planks p -22 137</t>
  </si>
  <si>
    <t>rubber beeding</t>
  </si>
  <si>
    <t>hinges</t>
  </si>
  <si>
    <t>Total for 10 times</t>
  </si>
  <si>
    <t>handle</t>
  </si>
  <si>
    <t>For one operation</t>
  </si>
  <si>
    <t>hinges it-77 a p-40</t>
  </si>
  <si>
    <t>stay</t>
  </si>
  <si>
    <t>stiffner</t>
  </si>
  <si>
    <t>each</t>
  </si>
  <si>
    <t>holdfast</t>
  </si>
  <si>
    <t>labbour charges</t>
  </si>
  <si>
    <t>Coir, nails etc.</t>
  </si>
  <si>
    <t>sundries</t>
  </si>
  <si>
    <t>Total for 6 Rmt.</t>
  </si>
  <si>
    <t>Rate per each</t>
  </si>
  <si>
    <t>Total for1 Rmt.</t>
  </si>
  <si>
    <t>Aluminium window openable 1.05x1.35m  (Four leaves)</t>
  </si>
  <si>
    <t>Providing Granite slab flooring of</t>
  </si>
  <si>
    <t>Aluminium window openable 0.90x1.35m  (Four leaves)</t>
  </si>
  <si>
    <t>COST OF Granite  tile 20mm tk(Ruby red/raw silk) polished</t>
  </si>
  <si>
    <t>PRESSED TILES 23X23X18MM</t>
  </si>
  <si>
    <t>Aluminium window openable 0.50x1.35m (Two leaves)</t>
  </si>
  <si>
    <t>Aluminium window openable 1.80x1.35m (Eight leaves)</t>
  </si>
  <si>
    <t>Aluminium window openable 1.35x1.35m (Six leaves)</t>
  </si>
  <si>
    <t>Aluminium section (p-44/78a)</t>
  </si>
  <si>
    <t>rubber beeding P-45/81</t>
  </si>
  <si>
    <t>hinges 75mm x 30 mm P-45/94 b</t>
  </si>
  <si>
    <t>handle 150 mm long p-42 /80b</t>
  </si>
  <si>
    <t>stay 10"</t>
  </si>
  <si>
    <t>Aluminium window openable 0.90x0.60m (Two leaves)</t>
  </si>
  <si>
    <t>Aluminium window openable 1.80x2.20m (Eight leaves)</t>
  </si>
  <si>
    <t>Aluminium window openable 1.20x1.35m  (Four leaves)</t>
  </si>
  <si>
    <t>Aluminium section (p-40/61a)</t>
  </si>
  <si>
    <t>rubber beeding P-41/64</t>
  </si>
  <si>
    <t>hinges 75mm x 30 mm P-41/77 b</t>
  </si>
  <si>
    <t>35.</t>
  </si>
  <si>
    <t>PLASTERING C.M(1:3) 10mmTHICK</t>
  </si>
  <si>
    <t>Aluminium window openable 0.90x1.20m  (Four leaves)</t>
  </si>
  <si>
    <t>2014-15 RATE</t>
  </si>
  <si>
    <t>Aluminium window openable 0.45x1.35m (Two leaves)</t>
  </si>
  <si>
    <t>PLASTERING C.M(1:3)12mmTHICK</t>
  </si>
  <si>
    <t>MIXEDWITH WATER PROOF COMPOUND</t>
  </si>
  <si>
    <t xml:space="preserve">  2Kg/10 SQM</t>
  </si>
  <si>
    <t>Alum Vent 0.90x0.45m</t>
  </si>
  <si>
    <t>Data based on Police Acadamy</t>
  </si>
  <si>
    <t>Aluminium luvered Ventilator 0.60x0.60m</t>
  </si>
  <si>
    <t>WATER PROOF COMPOUNDS</t>
  </si>
  <si>
    <t>Rate / Sqm</t>
  </si>
  <si>
    <t>Aluminium window openable 1.80x1.65m (Eight leaves)</t>
  </si>
  <si>
    <t>Aluminium luvered Ventilator 0.75x0.60m</t>
  </si>
  <si>
    <t>36.</t>
  </si>
  <si>
    <t>Providing Band with C.M 1:5, 12mm thick</t>
  </si>
  <si>
    <t>and 75mmwide in all floors including</t>
  </si>
  <si>
    <t>Aluminium window openable 0.75x1.35m (Two leaves)</t>
  </si>
  <si>
    <t>finishing with neat cement scaffolding</t>
  </si>
  <si>
    <t>curing etc complete.</t>
  </si>
  <si>
    <t>Aluminium window openable 1.20x1.05m (Four leaves)</t>
  </si>
  <si>
    <t xml:space="preserve"> 150mm Thick Band</t>
  </si>
  <si>
    <t>Cement mortar1:5</t>
  </si>
  <si>
    <t>Masn Ist</t>
  </si>
  <si>
    <t>Aluminium window Fixed 0.90x2.10m</t>
  </si>
  <si>
    <t>Total for 6.77Rmt</t>
  </si>
  <si>
    <t>Rate per Rmt.</t>
  </si>
  <si>
    <t xml:space="preserve"> 75mm Thick Band</t>
  </si>
  <si>
    <t>Aluminium Ventilator 1.285x0.60m</t>
  </si>
  <si>
    <t>Aluminium Ventilator 0.90x0.60m</t>
  </si>
  <si>
    <t>50mm Thick Band</t>
  </si>
  <si>
    <t>Aluminium Ventilator 1.35x0.60m</t>
  </si>
  <si>
    <t>WHITE WASHING THREE COAT</t>
  </si>
  <si>
    <t>Aluminium window openable 1.50x1.35m  (Six leaves)</t>
  </si>
  <si>
    <t>SUNDRIES FOR BRUSH,BLUE,GUM ETC</t>
  </si>
  <si>
    <t>38.1.</t>
  </si>
  <si>
    <t>CEMENT PAINTING TWO COATS</t>
  </si>
  <si>
    <t>OVER THE PRIMER COAT OF</t>
  </si>
  <si>
    <t>APPROVED CEMENT PAINT FOR NEW</t>
  </si>
  <si>
    <t>PLASTERED SURFACES</t>
  </si>
  <si>
    <t>CEMENT PAINT</t>
  </si>
  <si>
    <t>PAINTER I</t>
  </si>
  <si>
    <t>38.2</t>
  </si>
  <si>
    <t>Matt paint Two coats</t>
  </si>
  <si>
    <t>SUPERCEM PAINTING TWO COATS</t>
  </si>
  <si>
    <t>Lts</t>
  </si>
  <si>
    <t>Matt paint</t>
  </si>
  <si>
    <t>Painter Ist</t>
  </si>
  <si>
    <t>Mazdoor IInd</t>
  </si>
  <si>
    <t>SUPERCEM</t>
  </si>
  <si>
    <t>Total for 10 Sqm</t>
  </si>
  <si>
    <t>PAINTING TWO COATS OVER new</t>
  </si>
  <si>
    <t>SYNTHETIC ENAMEL PAINT INCL.PRIMER COAT.</t>
  </si>
  <si>
    <t>Aluminium window openable 1.80 x 1.65 m =2.97m2</t>
  </si>
  <si>
    <t>READY MIXED PRIMER PAINT</t>
  </si>
  <si>
    <t>FRENCH WINDOW Reference Data Nagapattinam Ar Ph-XIX  CER 224-2012-2013</t>
  </si>
  <si>
    <t>Clip Beading</t>
  </si>
  <si>
    <t>Glass 4mm pin headed</t>
  </si>
  <si>
    <t>Rubber beeding</t>
  </si>
  <si>
    <t>sets</t>
  </si>
  <si>
    <t>Max hinges (10")</t>
  </si>
  <si>
    <t>Handle</t>
  </si>
  <si>
    <t>Holdfast</t>
  </si>
  <si>
    <t>Labbour charges</t>
  </si>
  <si>
    <t>PAINTING TWO COATS OVER NEW</t>
  </si>
  <si>
    <t>RATE  FOR   EACH</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</si>
  <si>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</si>
  <si>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</si>
  <si>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</si>
  <si>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</si>
  <si>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ANTI-CORROSIVE TREATMENT FOR STEEL</t>
  </si>
  <si>
    <t>FABRICATION  (RCC WORKS)</t>
  </si>
  <si>
    <r>
      <t xml:space="preserve">ANTI-CORROSIVE(COROLOK-CP </t>
    </r>
    <r>
      <rPr>
        <sz val="12"/>
        <color indexed="13"/>
        <rFont val="Helv"/>
      </rPr>
      <t>( qtn)</t>
    </r>
  </si>
  <si>
    <t>/PROTEKLOL) CHEMICALS</t>
  </si>
  <si>
    <t>BRUSHES GLOVES ETC</t>
  </si>
  <si>
    <t>TRANSPORTING AND HANDLING</t>
  </si>
  <si>
    <t>PAINTERII</t>
  </si>
  <si>
    <t>SUNDRIES FOR BRUSHES,CLOTH ETC</t>
  </si>
  <si>
    <t>TOTTAL FOR 1 MT</t>
  </si>
  <si>
    <t>42.</t>
  </si>
  <si>
    <t>PLACING  M.S RODS/RTS ROD (upto 16mm dia)</t>
  </si>
  <si>
    <t>Cement for slurry</t>
  </si>
  <si>
    <t>Painter-II</t>
  </si>
  <si>
    <t>b. above 16mm dia</t>
  </si>
  <si>
    <t>R.T.S RODS/M.S.RODS ABOVE 16MM DIA</t>
  </si>
  <si>
    <t>COASTAL AREA</t>
  </si>
  <si>
    <t>BINDING WIRE insulated with PVC as per circular</t>
  </si>
  <si>
    <t>PLACING R.T.S RODS/MS RODS above 16mm dia(without cement  slurry)</t>
  </si>
  <si>
    <r>
      <t>DOWN FALL PIPE    T</t>
    </r>
    <r>
      <rPr>
        <b/>
        <sz val="12"/>
        <rFont val="Helv"/>
      </rPr>
      <t>ype- A  SWR pipe</t>
    </r>
  </si>
  <si>
    <t>UPVC SPECIAL CLAMP as per qtn</t>
  </si>
  <si>
    <t>45.</t>
  </si>
  <si>
    <t>STUCCO PLASTERING 12mm tk.</t>
  </si>
  <si>
    <t>CHIPSUSING 86.5KgCEMENT AND</t>
  </si>
  <si>
    <t>.15CUM FOR 10  SQM</t>
  </si>
  <si>
    <t>BLUE METEL 3-10mm HBG</t>
  </si>
  <si>
    <t>46.</t>
  </si>
  <si>
    <t>SUPPLYING AND FIXING OF 20MM</t>
  </si>
  <si>
    <t>DIA  ALUMINIUM HANGER ROD TO</t>
  </si>
  <si>
    <t>THE  REQUIRED LENGTH WITH</t>
  </si>
  <si>
    <t>ALUMINUM END BRACKETS INCLUDING</t>
  </si>
  <si>
    <t>COST OF SCREWS TW PLUGS AND</t>
  </si>
  <si>
    <t>LABOUR CHARGES FOR FIXING IN</t>
  </si>
  <si>
    <t>POSTION COMPLETE IN ALL RESPECT</t>
  </si>
  <si>
    <t>AND AS DIRECTED BY THE DEPT,</t>
  </si>
  <si>
    <t>OFFICERS</t>
  </si>
  <si>
    <t xml:space="preserve"> 2omm alu. hanger rod </t>
  </si>
  <si>
    <t>Set</t>
  </si>
  <si>
    <t>Alu.Bracket with screws</t>
  </si>
  <si>
    <t>Sundries FOR PLUGS ,NAILS AND LABOUR ETC.,</t>
  </si>
  <si>
    <t>Total for 1 Rmt</t>
  </si>
  <si>
    <t>47.</t>
  </si>
  <si>
    <r>
      <t xml:space="preserve">SUPPLY AND FIXING ALUMINUM </t>
    </r>
    <r>
      <rPr>
        <b/>
        <sz val="12"/>
        <rFont val="Helv"/>
      </rPr>
      <t xml:space="preserve">TOWEL RAIL </t>
    </r>
    <r>
      <rPr>
        <sz val="11"/>
        <color theme="1"/>
        <rFont val="Calibri"/>
        <family val="2"/>
        <scheme val="minor"/>
      </rPr>
      <t>OF</t>
    </r>
  </si>
  <si>
    <t>70CM LONG INCLUDING COST OF SCREW TW</t>
  </si>
  <si>
    <t>PLUGS AND LABOURS CHARGES FOR FIXING IN</t>
  </si>
  <si>
    <t>POSITION ETC COMPLETE IN ALL RESPECT AND</t>
  </si>
  <si>
    <t>AS DIRECTED BY THE DEPT OFFICERS.</t>
  </si>
  <si>
    <t>no</t>
  </si>
  <si>
    <t>Alu.Towel rail 75Cm long</t>
  </si>
  <si>
    <t>Alu. Bolt With screws</t>
  </si>
  <si>
    <t>Labour for fixing and cost of</t>
  </si>
  <si>
    <t>T.W.Pluges</t>
  </si>
  <si>
    <t>48.</t>
  </si>
  <si>
    <r>
      <t xml:space="preserve">SUPPLING AND FIXING </t>
    </r>
    <r>
      <rPr>
        <b/>
        <sz val="12"/>
        <rFont val="Helv"/>
      </rPr>
      <t>COAT STAND</t>
    </r>
  </si>
  <si>
    <t>WITH FIVE PINS</t>
  </si>
  <si>
    <t>Cost of Coat stand</t>
  </si>
  <si>
    <t xml:space="preserve">Labour for fixing </t>
  </si>
  <si>
    <t>Total for 1 No.</t>
  </si>
  <si>
    <t>49.</t>
  </si>
  <si>
    <r>
      <t xml:space="preserve">SUPPLING AND FIXING OF </t>
    </r>
    <r>
      <rPr>
        <b/>
        <sz val="12"/>
        <rFont val="Helv"/>
      </rPr>
      <t>PICTURE HOOKS</t>
    </r>
  </si>
  <si>
    <t>Cost of Picture hooks</t>
  </si>
  <si>
    <t>Supplying and fixing of Precast slab</t>
  </si>
  <si>
    <t>50mm thick made in C.C 1:3:6 using 20mm</t>
  </si>
  <si>
    <t>Hbs jelly ,moulding the slab, laying,</t>
  </si>
  <si>
    <t>curing,transporting and placing in</t>
  </si>
  <si>
    <t>possition etc complete</t>
  </si>
  <si>
    <t xml:space="preserve"> 20mm HBS Jelly</t>
  </si>
  <si>
    <t>C.M. 1:3</t>
  </si>
  <si>
    <t>Mason IInd</t>
  </si>
  <si>
    <t>Total for 10  cum</t>
  </si>
  <si>
    <t>Rate per  cum</t>
  </si>
  <si>
    <t>PRECAST Plain cement concrete P.C.C</t>
  </si>
  <si>
    <r>
      <t xml:space="preserve">Slabs of 50mm thick </t>
    </r>
    <r>
      <rPr>
        <b/>
        <sz val="12"/>
        <rFont val="Helv"/>
      </rPr>
      <t>(precast slab 50mm Thick)</t>
    </r>
  </si>
  <si>
    <t>C.C. 1:3:6 using 20mm HBS</t>
  </si>
  <si>
    <t>Precasting Charges ( 6.28*120sqm=753.6/18=41.87each)</t>
  </si>
  <si>
    <t>Transporting</t>
  </si>
  <si>
    <t>Laying and Pointing</t>
  </si>
  <si>
    <t>Total for 6.28 Sqm</t>
  </si>
  <si>
    <t>Rate per Sqm</t>
  </si>
  <si>
    <t>PCC 1:3:6, for petty works</t>
  </si>
  <si>
    <t>moulding charges</t>
  </si>
  <si>
    <t>Total for .01 cum</t>
  </si>
  <si>
    <t>Rate per cum</t>
  </si>
  <si>
    <t>50.2</t>
  </si>
  <si>
    <r>
      <t>KERB STONE</t>
    </r>
    <r>
      <rPr>
        <sz val="11"/>
        <color theme="1"/>
        <rFont val="Calibri"/>
        <family val="2"/>
        <scheme val="minor"/>
      </rPr>
      <t xml:space="preserve"> 450x300x150mm</t>
    </r>
  </si>
  <si>
    <t xml:space="preserve"> 'including Transporting charges</t>
  </si>
  <si>
    <t>Total for 9 m</t>
  </si>
  <si>
    <t>Rate per M</t>
  </si>
  <si>
    <t>50.3</t>
  </si>
  <si>
    <t>PLANTING AVENUE TREES</t>
  </si>
  <si>
    <t>Earth work excavation</t>
  </si>
  <si>
    <t>Manure</t>
  </si>
  <si>
    <t>RED EARTH</t>
  </si>
  <si>
    <t>River sand</t>
  </si>
  <si>
    <t>mixing charges</t>
  </si>
  <si>
    <t>Avenue trees</t>
  </si>
  <si>
    <t>RM</t>
  </si>
  <si>
    <t>Casurina props 5 to 8cm dia p22 / It- 148 d</t>
  </si>
  <si>
    <t>filling chares</t>
  </si>
  <si>
    <t>l.s</t>
  </si>
  <si>
    <t>Maintenance charges</t>
  </si>
  <si>
    <t>Total for 20 no.</t>
  </si>
  <si>
    <t>Total for 1 no.</t>
  </si>
  <si>
    <t>50.4</t>
  </si>
  <si>
    <t xml:space="preserve"> AVENUE TREE GUARD</t>
  </si>
  <si>
    <t>CW reepers 50x25 cm it-139 p-22</t>
  </si>
  <si>
    <t>Casurina props 5 to 8cm dia</t>
  </si>
  <si>
    <t>Chicken mesh</t>
  </si>
  <si>
    <t>Carpenter II</t>
  </si>
  <si>
    <t>Fitter I</t>
  </si>
  <si>
    <t xml:space="preserve">sundries </t>
  </si>
  <si>
    <t>50.5</t>
  </si>
  <si>
    <t>PROVIDING SCHME NAME BOARD</t>
  </si>
  <si>
    <t>CC 1:5:10</t>
  </si>
  <si>
    <t>KG</t>
  </si>
  <si>
    <t>MS angle</t>
  </si>
  <si>
    <t>MS Stiffner</t>
  </si>
  <si>
    <t>MS Sheet</t>
  </si>
  <si>
    <t>Welding charges</t>
  </si>
  <si>
    <r>
      <t xml:space="preserve">Painting / lettering charges </t>
    </r>
    <r>
      <rPr>
        <sz val="12"/>
        <color indexed="13"/>
        <rFont val="Helv"/>
      </rPr>
      <t>qtn</t>
    </r>
  </si>
  <si>
    <t>Labour for erection of board</t>
  </si>
  <si>
    <t>Bolts &amp;nuts</t>
  </si>
  <si>
    <t>PROVIDING ANTI-TERMITE TREATMENT</t>
  </si>
  <si>
    <t>51.</t>
  </si>
  <si>
    <t>PVC WATER TANK OF 700 LITRE CAPACITY p64 /207</t>
  </si>
  <si>
    <t>Ex. free board with ISI mark</t>
  </si>
  <si>
    <t>PVC WATER TANK OF 200 LITRE CAPACITY</t>
  </si>
  <si>
    <t>JOINTING P.V.C PIPE AND SPECIALS</t>
  </si>
  <si>
    <t>c</t>
  </si>
  <si>
    <t xml:space="preserve"> 20mm Dia</t>
  </si>
  <si>
    <t>MASAN I</t>
  </si>
  <si>
    <t xml:space="preserve">COST OF CLAMPS PLUGS </t>
  </si>
  <si>
    <t>JOINTING MATERIALS ETC</t>
  </si>
  <si>
    <t xml:space="preserve"> 25mm</t>
  </si>
  <si>
    <t>32mm</t>
  </si>
  <si>
    <t>40mm</t>
  </si>
  <si>
    <t>SUPPLYING AND LAYING THE FOLLOWING PVC</t>
  </si>
  <si>
    <t>PIPES WITH NECESSARY SPECIALS ELBOWS,</t>
  </si>
  <si>
    <t>CUTTING CHARGES p -31 Itm 131</t>
  </si>
  <si>
    <t>TEE,REDUCE ,PLUG,UNION,BEND,COUPLE,</t>
  </si>
  <si>
    <t>THREADING CHARGES p -31 Itm 132</t>
  </si>
  <si>
    <t>NIPPLE,GATE VLVE,CHECK AND WHEEL VALVE</t>
  </si>
  <si>
    <t>WHEREVER NECESSARY INCLUDING LABOUR BELOW</t>
  </si>
  <si>
    <t>GROUND LEVEL(OR) FIXING ON WALLS  TO THE</t>
  </si>
  <si>
    <t>PROPER GRADIENT AND ALIGNMENT ETC.ALL</t>
  </si>
  <si>
    <t>COMPLETE AS DIRECTED BY DEPT. OFFICERS.</t>
  </si>
  <si>
    <t xml:space="preserve"> 40MM DIA PVC PIPE ABOVE G.L:-</t>
  </si>
  <si>
    <t xml:space="preserve">COST OF40MM DIA PVC PIPE </t>
  </si>
  <si>
    <t>50mm</t>
  </si>
  <si>
    <t>CUTTING CHARGES p -32 Itm 133</t>
  </si>
  <si>
    <t>THREADING CHARGES p- 32 Itm 134</t>
  </si>
  <si>
    <t xml:space="preserve"> 50MM DIA PVC PIPE ABOVE G.L:-</t>
  </si>
  <si>
    <t xml:space="preserve">COST OF 50MM DIA PVC PIPE </t>
  </si>
  <si>
    <t>S &amp; F of GI Pipe 20mm dia for Hot Water line Pipe
Fully Consealed in Wall</t>
  </si>
  <si>
    <t xml:space="preserve">GI PIPE 20MM DIA </t>
  </si>
  <si>
    <t>LAYING,FIXING AND CONSELING GI PIPE</t>
  </si>
  <si>
    <t xml:space="preserve">COST OF50MM DIA PVC PIPE </t>
  </si>
  <si>
    <t>20MM DIA GI PIPE FOR HOT WATER LINE</t>
  </si>
  <si>
    <t xml:space="preserve">COST OF 20MM DIA GI PIPE </t>
  </si>
  <si>
    <t>ADD 20% FOR GI SPECIALS</t>
  </si>
  <si>
    <t>L.S FOR CONSEALING GI PIPE IN WALLS
PAKING ETC.,</t>
  </si>
  <si>
    <t>SUPPLYING AND FIXING</t>
  </si>
  <si>
    <r>
      <t>WASHBASIN</t>
    </r>
    <r>
      <rPr>
        <sz val="11"/>
        <color theme="1"/>
        <rFont val="Calibri"/>
        <family val="2"/>
        <scheme val="minor"/>
      </rPr>
      <t xml:space="preserve"> 22"X16" INCLUDING</t>
    </r>
  </si>
  <si>
    <t>COST OF ALL MATERIALS AND</t>
  </si>
  <si>
    <t>FIXING CHARGES</t>
  </si>
  <si>
    <t>Wash Hand Basin of size 550 x 400 mm with all accessories such as CI brackets, 32mm dia CP waste coupling, Rubber pug and chain, 32mm dia B class GI waste pipe, 15mm dia brass nipples. 15mm CP pillar tap etc.,</t>
  </si>
  <si>
    <t>deduct rate for 15mm dia GM wheel valve p -53 /145(v)</t>
  </si>
  <si>
    <t xml:space="preserve"> Angle Valve</t>
  </si>
  <si>
    <t>SUNDRIES FOR PLUGSCREW,PAINT</t>
  </si>
  <si>
    <t>53.2</t>
  </si>
  <si>
    <t xml:space="preserve">CI MANHOLE COVER 45CMX45CMX20KG </t>
  </si>
  <si>
    <t>CI MANHOLE COVER 60CMX60CMX50KG p-59/216</t>
  </si>
  <si>
    <t>53.3</t>
  </si>
  <si>
    <t>CI STEPS (5Kg) (59.65+.35)</t>
  </si>
  <si>
    <t>Brass Tap with ISI Mark p53/146</t>
  </si>
  <si>
    <t>CP TAP (LONG BODY)</t>
  </si>
  <si>
    <t>CP TAP (SHORT BODY)</t>
  </si>
  <si>
    <t>56.1.</t>
  </si>
  <si>
    <t>SUPPLYING AND FIXING OF I.W.C</t>
  </si>
  <si>
    <t>20"WITH TOP LEFT ROUGH TO RECEIVE</t>
  </si>
  <si>
    <t xml:space="preserve">FLOOR FINISH </t>
  </si>
  <si>
    <t xml:space="preserve"> IN G.FLOOR.</t>
  </si>
  <si>
    <t xml:space="preserve"> I.W.C 20"SIZE(Orissa pan)</t>
  </si>
  <si>
    <t xml:space="preserve">E.W EXCAVATION </t>
  </si>
  <si>
    <t>REFILLING</t>
  </si>
  <si>
    <t>BRICK JELLY CONCRETE USING 40mm(1:8:16)</t>
  </si>
  <si>
    <t>Deduct rate for "P" &amp; "S" trap</t>
  </si>
  <si>
    <t xml:space="preserve">Add rate for PVC SWR "P" &amp; "S" trap </t>
  </si>
  <si>
    <t>56.2.</t>
  </si>
  <si>
    <t xml:space="preserve"> IN OTHER THAN G.FLOOR.</t>
  </si>
  <si>
    <t>WEATHERING COURSE</t>
  </si>
  <si>
    <t>USING20mmBRICK JELLY</t>
  </si>
  <si>
    <t>PLASTERING IN C.M(1:3)</t>
  </si>
  <si>
    <t>12mMT.K MIXED WITH W.P.C.</t>
  </si>
  <si>
    <t>BRICK JELLY CONCRETE (1:8:16)</t>
  </si>
  <si>
    <t>USING 40 mm BRICK JELLY</t>
  </si>
  <si>
    <r>
      <t>SUPPLY AND FIXING OF E.W.C.   18" SIZE</t>
    </r>
    <r>
      <rPr>
        <b/>
        <sz val="12"/>
        <rFont val="Helv"/>
      </rPr>
      <t xml:space="preserve"> (WHITE)</t>
    </r>
  </si>
  <si>
    <t>WITH DOUBLE FLAPPED PLASTIC SEAT COVER</t>
  </si>
  <si>
    <t>LOW LEVEL FLUSHING CISTERN 10 LIT.</t>
  </si>
  <si>
    <t>EUROPEAN WATER CLOSET WITH "P" OR "S" TRAP WITH DOUBLE FLAPPED SEAT AND SEAT COVER WITH BRASS HINGES AND 10LIT CAPACITY PVC L;OW LEVEL FLUSHING TANK WITH ALL INTERNAL FITTINGS p-48</t>
  </si>
  <si>
    <t>LABOUR FOR FIXING OF EWC</t>
  </si>
  <si>
    <t>EUROPEAN WATER CLOSET WITH "P" OR "S" TRAP WITH DOUBLE FLAPPED SEAT AND SEAT COVER WITH BRASS HINGES AND 10LIT CAPACITY PVC L;OW LEVEL FLUSHING TANK WITH ALL INTERNAL FITTINGS</t>
  </si>
  <si>
    <t>LABOUR FOR FIXING OF FLUSHING TANK</t>
  </si>
  <si>
    <r>
      <t xml:space="preserve">SUPPLY AND FIXING OF E.W.C.   18" SIZE </t>
    </r>
    <r>
      <rPr>
        <b/>
        <sz val="12"/>
        <rFont val="Helv"/>
      </rPr>
      <t>(COLOUR)</t>
    </r>
  </si>
  <si>
    <r>
      <t xml:space="preserve">110MM DIA OF </t>
    </r>
    <r>
      <rPr>
        <b/>
        <sz val="12"/>
        <rFont val="Helv"/>
      </rPr>
      <t>PVC</t>
    </r>
    <r>
      <rPr>
        <sz val="11"/>
        <color theme="1"/>
        <rFont val="Calibri"/>
        <family val="2"/>
        <scheme val="minor"/>
      </rPr>
      <t xml:space="preserve"> </t>
    </r>
    <r>
      <rPr>
        <b/>
        <sz val="12"/>
        <rFont val="Helv"/>
      </rPr>
      <t>SWR PIPE</t>
    </r>
    <r>
      <rPr>
        <sz val="11"/>
        <color theme="1"/>
        <rFont val="Calibri"/>
        <family val="2"/>
        <scheme val="minor"/>
      </rPr>
      <t xml:space="preserve"> INCLUDING </t>
    </r>
  </si>
  <si>
    <r>
      <t xml:space="preserve">75MM DIA OF </t>
    </r>
    <r>
      <rPr>
        <b/>
        <sz val="12"/>
        <rFont val="Helv"/>
      </rPr>
      <t>PVC SWR PIPE</t>
    </r>
    <r>
      <rPr>
        <sz val="11"/>
        <color theme="1"/>
        <rFont val="Calibri"/>
        <family val="2"/>
        <scheme val="minor"/>
      </rPr>
      <t xml:space="preserve"> INCLUDING </t>
    </r>
  </si>
  <si>
    <t>58.2</t>
  </si>
  <si>
    <t xml:space="preserve">Supplying &amp;fixing 110mm dia PVC </t>
  </si>
  <si>
    <t xml:space="preserve">SWR pipe for ventilating shaft </t>
  </si>
  <si>
    <t xml:space="preserve">of 3M length with cowl </t>
  </si>
  <si>
    <t>110mm dia PVC SWR pipe</t>
  </si>
  <si>
    <t>110mm dia cowl</t>
  </si>
  <si>
    <t>Labour for fixing</t>
  </si>
  <si>
    <t>Sundries for PVC solution etc.</t>
  </si>
  <si>
    <t>Rate for 1 no.</t>
  </si>
  <si>
    <t>59.</t>
  </si>
  <si>
    <t>SUPLY ING AND FIXING OF</t>
  </si>
  <si>
    <t>150X100mm S.W. GULLY TRAPS</t>
  </si>
  <si>
    <t>BRICK JELLY CONCRETE (1:8:16)40MM</t>
  </si>
  <si>
    <t>60.</t>
  </si>
  <si>
    <t xml:space="preserve">SUPPLY AND FIXING OF P.V.C. </t>
  </si>
  <si>
    <t>NAHANI TRAP 75mm DIA</t>
  </si>
  <si>
    <t xml:space="preserve"> PVC NAHANI TRAP (4WAY/2WAY)</t>
  </si>
  <si>
    <t>SUNDRIES FOR B.J.C,PLASTERING ETC</t>
  </si>
  <si>
    <t>61.1(a)</t>
  </si>
  <si>
    <t>SUPPLY AND FIXING OF 100mm</t>
  </si>
  <si>
    <t>DIA S.W.PIPE</t>
  </si>
  <si>
    <t xml:space="preserve"> 100mmDIA S.W.PIPE WITH ISI MARK</t>
  </si>
  <si>
    <t>E.W. EXCAVATION</t>
  </si>
  <si>
    <t>TAARRED HOMP YARN</t>
  </si>
  <si>
    <t>FITTER II</t>
  </si>
  <si>
    <t>TESTING CHARGES 10%of LABOUR</t>
  </si>
  <si>
    <t>TOTAL FOR 30RMT</t>
  </si>
  <si>
    <t>RATE PER  RMT</t>
  </si>
  <si>
    <t>61.2(b)</t>
  </si>
  <si>
    <t>SUPPLY AND FIXING OF 150mm</t>
  </si>
  <si>
    <t xml:space="preserve"> 150mmDIA S.W.PIPE WITH ISI MARK</t>
  </si>
  <si>
    <t>SUPPLY AND FIXING OF 250mm</t>
  </si>
  <si>
    <r>
      <t xml:space="preserve">250mmDIA S.W.PIPE WITH ISI MARK ( it-13.0/4 </t>
    </r>
    <r>
      <rPr>
        <b/>
        <sz val="12"/>
        <rFont val="Helv"/>
      </rPr>
      <t>of twad 17-18 spl I CLASS )</t>
    </r>
  </si>
  <si>
    <t>61.2(a)</t>
  </si>
  <si>
    <t>DIA S.W.PIPE(LOOSE JOINTING)</t>
  </si>
  <si>
    <t xml:space="preserve"> 100mmDIA S.W.PIPE</t>
  </si>
  <si>
    <t xml:space="preserve"> 150mmDIA S.W.PIPE</t>
  </si>
  <si>
    <t>Total for One Number</t>
  </si>
  <si>
    <t>62.1(a)</t>
  </si>
  <si>
    <t xml:space="preserve"> STONEWARE BEND</t>
  </si>
  <si>
    <t xml:space="preserve"> 100mmDIA S.W.BEND </t>
  </si>
  <si>
    <t>EXCAVATION,REFILLING,JOINTING</t>
  </si>
  <si>
    <t>AND CONCRETING</t>
  </si>
  <si>
    <t xml:space="preserve"> 150mmDIA S.W.BEND </t>
  </si>
  <si>
    <t>62.2.a.</t>
  </si>
  <si>
    <t xml:space="preserve"> STONEWARE TEE</t>
  </si>
  <si>
    <t xml:space="preserve"> 100mmDIA S.W.TEE </t>
  </si>
  <si>
    <t>62.2.b.</t>
  </si>
  <si>
    <t xml:space="preserve"> 150mmDIA S.W.TEE </t>
  </si>
  <si>
    <t>63</t>
  </si>
  <si>
    <t>32mm dia P.V.C Waste Pipe and</t>
  </si>
  <si>
    <t xml:space="preserve">C.P.Coupling of best quality. </t>
  </si>
  <si>
    <t>Rft</t>
  </si>
  <si>
    <t>C.P.Coupling</t>
  </si>
  <si>
    <t>Labour Charge for fixing</t>
  </si>
  <si>
    <t>81</t>
  </si>
  <si>
    <t>Supplying and fixing B.I.C.W.Meter cupboard with</t>
  </si>
  <si>
    <t>shutter double leaves with 230mmx25mm size CW</t>
  </si>
  <si>
    <t>plank for alround sides 62.5x31.25mm styles and</t>
  </si>
  <si>
    <t>rails for shutters and 75x25mm weldmesh of bamd</t>
  </si>
  <si>
    <t>10 gauge for panels including labour charges for</t>
  </si>
  <si>
    <t>fixing inposition of shutters and cost of</t>
  </si>
  <si>
    <t>L-clamps 6nos of size 150x150mm size with</t>
  </si>
  <si>
    <t>25mmx4mm MS flats 1 no 6"x1/2" alumium aldrop</t>
  </si>
  <si>
    <t>with bolt and nuts 6 nos of 2" size I.O. hooks</t>
  </si>
  <si>
    <t>and eyes T.W.plugs screws etc complete and as</t>
  </si>
  <si>
    <t>directed by the Departmental Officers as per</t>
  </si>
  <si>
    <t>Drawings</t>
  </si>
  <si>
    <t>C.W.Scantling for Shutter</t>
  </si>
  <si>
    <t>C.W.Planks</t>
  </si>
  <si>
    <t>Weldmesh</t>
  </si>
  <si>
    <t xml:space="preserve"> 3"I.O. ButtHinges</t>
  </si>
  <si>
    <t xml:space="preserve"> 6"x1/2" Alu. Aldrops</t>
  </si>
  <si>
    <t xml:space="preserve"> 2" I.O.Hooks and Eyes</t>
  </si>
  <si>
    <t>M.S."L" Clamps</t>
  </si>
  <si>
    <t>Labour Charges</t>
  </si>
  <si>
    <t>SUNDRIES FOR T.W.Plugs etc</t>
  </si>
  <si>
    <t>Total for 1.62 Sqm</t>
  </si>
  <si>
    <t>Total for 1.00 Sqm</t>
  </si>
  <si>
    <t>================================================</t>
  </si>
  <si>
    <t>WIRING WITH 1.5SQMM COPPER WIRE  CONCEALED</t>
  </si>
  <si>
    <t>64.a.</t>
  </si>
  <si>
    <t>64.b</t>
  </si>
  <si>
    <t>64.c</t>
  </si>
  <si>
    <t xml:space="preserve"> --DO--FOR 15AMP POWER PLUG</t>
  </si>
  <si>
    <t>70.1</t>
  </si>
  <si>
    <t>70.2</t>
  </si>
  <si>
    <t>S/F OF SLIM TUBELIGHT FITTING WITH ELECTRONICS BALLAST.</t>
  </si>
  <si>
    <t>70.3</t>
  </si>
  <si>
    <t>S/F OF 40W/60W BULB</t>
  </si>
  <si>
    <t>70.4</t>
  </si>
  <si>
    <t>S/F OF PLASTIC SHADE</t>
  </si>
  <si>
    <t>S/F of Fibre Fan Hook</t>
  </si>
  <si>
    <t>73.1</t>
  </si>
  <si>
    <t>73.2</t>
  </si>
  <si>
    <t>S/F OF 4 WAY D.B</t>
  </si>
  <si>
    <t>75(a)</t>
  </si>
  <si>
    <t>SUPPLY AND DELIVERY OF FAN 48"SWEEP with ordinary regulator.</t>
  </si>
  <si>
    <t>75(b)</t>
  </si>
  <si>
    <t>SUPPLY AND FIXING EXSAUST FAN 300MM SWEEP</t>
  </si>
  <si>
    <t>RUN OF MAIN WITH 2NO OF 1.50sq.mm WIRE</t>
  </si>
  <si>
    <t xml:space="preserve">RUN OF 2 WIRES OF 4 SQMM WITH CONTINUOUS EARTHING BY MEANS OF 2.5SQMM FOR A/C </t>
  </si>
  <si>
    <t>SUPPLYING AND FIXING OF A/C METAL CLAD</t>
  </si>
  <si>
    <t>SUPPLYING AND FIXING OF TV/TELEPHONE LINE SOCKET</t>
  </si>
  <si>
    <t>S &amp; F of Exsaust Fan 225mm dia</t>
  </si>
  <si>
    <t>M.S. Angle</t>
  </si>
  <si>
    <t>SUPPLYING AND FIXING OF 20MM DIA PVC PIPE FOR TV/TELEPHONE LINE</t>
  </si>
  <si>
    <t>Mtr</t>
  </si>
  <si>
    <t>PVC RIGID CONDUIT PIPE 19M/20MM HEAVY DUTY WITH ISI P -127/ part  I 1b</t>
  </si>
  <si>
    <t>WIREMAN GR-I</t>
  </si>
  <si>
    <t>SUNDRIES FOR PVC SPECIALS &amp; FISH WIRE ETC.,</t>
  </si>
  <si>
    <t>TOTAL FOR 90RMT</t>
  </si>
  <si>
    <t>EARTHING STATION (TYPE II)</t>
  </si>
  <si>
    <t>GI PIPE 40MM DIA</t>
  </si>
  <si>
    <t>Charcoal 17-18 SD 233 (97.15/20.32 = 4.78)</t>
  </si>
  <si>
    <t>SALT  SD 233 (119.2/20.32 = 5.87)</t>
  </si>
  <si>
    <t>GI WIRE 8 GAUGE p79/pat E3(b)</t>
  </si>
  <si>
    <t>WIRE MAN GR-I</t>
  </si>
  <si>
    <t>HELPER</t>
  </si>
  <si>
    <t>CIVIL WORK SUCH AS EXCAVATION FILLING MASONRY WORK, COVER SLAB ETC.,</t>
  </si>
  <si>
    <t>BOLTS,NUTS &amp; CHOCK NUTS ETC.,</t>
  </si>
  <si>
    <t>Labour Charges for barbed wire fencing for 8.16 kg</t>
  </si>
  <si>
    <t>TOTAL FOR 8.16 kg</t>
  </si>
  <si>
    <t>Rate for 1 kg</t>
  </si>
  <si>
    <t>Barbed wire fencing for 10 m</t>
  </si>
  <si>
    <t>Barbed wire 10 gauge 2 ply and four pronged ( Galvanised) it-122 p-49</t>
  </si>
  <si>
    <t>Labour</t>
  </si>
  <si>
    <t>Rate for 10m</t>
  </si>
  <si>
    <t>Rate for 1m</t>
  </si>
  <si>
    <t>Labour charges for Auger pile foundation for 2.44m</t>
  </si>
  <si>
    <t>Mason II class</t>
  </si>
  <si>
    <t>Hire charges @ 10% of labour charges</t>
  </si>
  <si>
    <t>Rate for 2.44m</t>
  </si>
  <si>
    <t>Rate for 1.00m</t>
  </si>
  <si>
    <t>Auger pile of size 30cm dia and 3m depth for 1m</t>
  </si>
  <si>
    <t>M3</t>
  </si>
  <si>
    <t>RCC 1:2:4</t>
  </si>
  <si>
    <t>1M3</t>
  </si>
  <si>
    <t>Rate for 1 RM</t>
  </si>
  <si>
    <t>Providing Rain Water Harvesting Perculation pit
a) Providing pit</t>
  </si>
  <si>
    <t>Strutting to centering of R.C.C plain surface, 3.00m height wall.</t>
  </si>
  <si>
    <t>HBSJ 40mm</t>
  </si>
  <si>
    <t>Casurina Props 10 to 13 m dia @ 75m c/c cost for 1 
operation 25.20/5=5.040 p-21 it-146/b</t>
  </si>
  <si>
    <t>Precasted slab Standardised Cement comncrete M 20 grade</t>
  </si>
  <si>
    <t xml:space="preserve"> --------------------</t>
  </si>
  <si>
    <t>Add sundries</t>
  </si>
  <si>
    <t>Rate for 10 sqm</t>
  </si>
  <si>
    <t>.</t>
  </si>
  <si>
    <t>Rate for 1 sqm, for 3m ht.</t>
  </si>
  <si>
    <t>Rate for 1 sqm, for 1m ht.</t>
  </si>
  <si>
    <t>Augering 30 cm dia</t>
  </si>
  <si>
    <t>MASON II CLASS</t>
  </si>
  <si>
    <t>MAZDOORI CLASS</t>
  </si>
  <si>
    <t>Hire charges for O2296TOOLS PLANTS at 10% of labour</t>
  </si>
  <si>
    <t>A.C .sheet Roofing with ridge piece</t>
  </si>
  <si>
    <t>A.C. sheet 6mm thick p -44 /72</t>
  </si>
  <si>
    <t>pairs</t>
  </si>
  <si>
    <t>Adjustable ridges p-44 it-74</t>
  </si>
  <si>
    <t>Pairs</t>
  </si>
  <si>
    <t>set</t>
  </si>
  <si>
    <t>U' bolts and nuts p-44 it-75</t>
  </si>
  <si>
    <t>Fitter - II</t>
  </si>
  <si>
    <t>Carpenter - I</t>
  </si>
  <si>
    <t>Mazdoor - I</t>
  </si>
  <si>
    <t xml:space="preserve">Sundries  for white lead </t>
  </si>
  <si>
    <t>A.C .sheet Roofing without ridge piece</t>
  </si>
  <si>
    <t>A.C. sheet 6mm thick fully corrugated</t>
  </si>
  <si>
    <t>Rate for 10 Sqm</t>
  </si>
  <si>
    <t>U bolts &amp; Nuts</t>
  </si>
  <si>
    <t>Rate per 1 Sqm</t>
  </si>
  <si>
    <r>
      <t xml:space="preserve">Providing wooden </t>
    </r>
    <r>
      <rPr>
        <b/>
        <sz val="12"/>
        <rFont val="Helv"/>
      </rPr>
      <t>MELAMEN DOOR POLISH</t>
    </r>
  </si>
  <si>
    <t>For New Wood</t>
  </si>
  <si>
    <t>Contain a size 1.2x2.1 m</t>
  </si>
  <si>
    <t>Area of Polishing 1x1x2.25x1.2x2.1+5.67m2</t>
  </si>
  <si>
    <t xml:space="preserve">Sand paper No 50 (Qtn) </t>
  </si>
  <si>
    <t>Sand paper No 80</t>
  </si>
  <si>
    <t>Sand paper No 100</t>
  </si>
  <si>
    <t>Wooden filter</t>
  </si>
  <si>
    <t>liter</t>
  </si>
  <si>
    <t>sand seal thinner</t>
  </si>
  <si>
    <t>Thinner</t>
  </si>
  <si>
    <t>Squat urinal including all accesseries (LSR new Item -4)p -59/i207</t>
  </si>
  <si>
    <t>Water Emery No 250</t>
  </si>
  <si>
    <t>Water Emery No 320</t>
  </si>
  <si>
    <t>Water Emery No 400</t>
  </si>
  <si>
    <t>gm</t>
  </si>
  <si>
    <t>Teak Powder</t>
  </si>
  <si>
    <t>100gm</t>
  </si>
  <si>
    <t>Red Powder</t>
  </si>
  <si>
    <t>500gm</t>
  </si>
  <si>
    <t xml:space="preserve"> Fresh Chalk Powder</t>
  </si>
  <si>
    <t xml:space="preserve">MELAMEN matt Qtn </t>
  </si>
  <si>
    <t>MELAMEN  Glozy</t>
  </si>
  <si>
    <t>Thinner 106</t>
  </si>
  <si>
    <t>Banian waste</t>
  </si>
  <si>
    <t>S &amp; F of Flat urinal (white)</t>
  </si>
  <si>
    <t>3" Brush</t>
  </si>
  <si>
    <t>1No</t>
  </si>
  <si>
    <t>Flat back urinal including all accesseries p-50/136 1</t>
  </si>
  <si>
    <t>2" Flat Brush</t>
  </si>
  <si>
    <t>Plumber I class</t>
  </si>
  <si>
    <t>PAINTER- I Class</t>
  </si>
  <si>
    <t>PAINTER - II  Class</t>
  </si>
  <si>
    <t>Mazdoor - II  Class</t>
  </si>
  <si>
    <t>Add sundries for CM 1:3</t>
  </si>
  <si>
    <t>Ls</t>
  </si>
  <si>
    <t xml:space="preserve">Bladder &amp; Tools </t>
  </si>
  <si>
    <t>----------------------</t>
  </si>
  <si>
    <r>
      <t xml:space="preserve">TOTAL FOR </t>
    </r>
    <r>
      <rPr>
        <b/>
        <sz val="12"/>
        <rFont val="Helv"/>
      </rPr>
      <t>5.67</t>
    </r>
    <r>
      <rPr>
        <sz val="11"/>
        <color theme="1"/>
        <rFont val="Calibri"/>
        <family val="2"/>
        <scheme val="minor"/>
      </rPr>
      <t xml:space="preserve"> SQM</t>
    </r>
  </si>
  <si>
    <t>Rate for 1 Sqm</t>
  </si>
  <si>
    <t xml:space="preserve">              Providing shahabad stone grey colour of 20mm thick in C.M 1:3</t>
  </si>
  <si>
    <t>COST OF Shahabad stone grey colour (Polished Shahabad stone 20mm thick with machine cut edges of size 2' x 2' below) p -42/ 30</t>
  </si>
  <si>
    <t>Cement slurry</t>
  </si>
  <si>
    <t>1000 Kg</t>
  </si>
  <si>
    <t>Pigment (20.03+23.13)/2 =21.58 p37 ( 9 &amp;10/2)</t>
  </si>
  <si>
    <t xml:space="preserve">Mason II </t>
  </si>
  <si>
    <t>Providing rajasthan kota stone of 20mm thick in C.M 1:3</t>
  </si>
  <si>
    <t>Providing rajasthan kota stone slabs of of 20mm thick with machine cut edges of size below in C.M 1:3 p-42 sl.32</t>
  </si>
  <si>
    <t>Pigment</t>
  </si>
  <si>
    <t>RED OXIDE PLASTERING C.M 1:4, 20MM THICK</t>
  </si>
  <si>
    <t>C.M 1:4 , 20MM THICK</t>
  </si>
  <si>
    <t>RED OXIDE p37/i24</t>
  </si>
  <si>
    <t xml:space="preserve">M.S VENTILATOR OF SIZE - 600 X 1350mm ( 1 No ) </t>
  </si>
  <si>
    <t xml:space="preserve">ALROUND M.S FLAT OF SIZE 50 X 10mm      = 3.9 M X 3.9 Kg/Met </t>
  </si>
  <si>
    <t>SQUARE BARS OF SIZE 20 x 20mm               = 12Nos X .6M 3.14 Kg/Met</t>
  </si>
  <si>
    <t>M.S FLAT OF SIZE 25 X 6mm HORIZONTAL = 1 X 2 X 1.2 Kg/Met</t>
  </si>
  <si>
    <t>VERTICAL                                                             = 1 X 3 X 0.6 X 1.2 Kg/Met</t>
  </si>
  <si>
    <t xml:space="preserve"> ============</t>
  </si>
  <si>
    <t>Steel</t>
  </si>
  <si>
    <t>Weld Mesh of size 7.5 x 2.5 cm 10 gauge</t>
  </si>
  <si>
    <t>Fly proof  Mesh</t>
  </si>
  <si>
    <t>Hings</t>
  </si>
  <si>
    <t>Rate for 1 No.</t>
  </si>
  <si>
    <t xml:space="preserve">M.S VENTILATOR OF SIZE - 600 X 900mm ( 1 No ) </t>
  </si>
  <si>
    <t xml:space="preserve">ALROUND M.S FLAT OF SIZE 50 X 10mm      = 3.0 M X 3.925 Kg/Met </t>
  </si>
  <si>
    <t>SQUARE BARS OF SIZE 20 x 20mm               = 8Nos X 0.6M 3.14 Kg/Met</t>
  </si>
  <si>
    <t>M.S FLAT OF SIZE 25 X 6mm HORIZONTAL = 1 X 2 X0.9 x 1.2 Kg/Met</t>
  </si>
  <si>
    <t>ADD FOR BUILDING</t>
  </si>
  <si>
    <t>=============</t>
  </si>
  <si>
    <t>Rate per sqm</t>
  </si>
  <si>
    <t xml:space="preserve">M.S VENTILATOR OF SIZE - 600 X 600mm ( 1 No ) </t>
  </si>
  <si>
    <t xml:space="preserve">ALROUND M.S FLAT OF SIZE 50 X 10mm      = 2.4 M X 3.925 Kg/Met </t>
  </si>
  <si>
    <t>SQUARE BARS OF SIZE 20 x 20mm               =5Nos X 0.6M 3.14 Kg/Met</t>
  </si>
  <si>
    <t>M.S FLAT OF SIZE 25 X 6mm HORIZONTAL = 1 X 2 X0.6 x 1.2 Kg/Met</t>
  </si>
  <si>
    <t xml:space="preserve">M.S VENTILATOR OF SIZE -1285 X 600mm ( 1 No ) </t>
  </si>
  <si>
    <t xml:space="preserve">ALROUND M.S FLAT OF SIZE 50 X 10mm      = 3.77 M X 3.9 Kg/Met </t>
  </si>
  <si>
    <t>SQUARE BARS OF SIZE 20 x 20mm               =12Nos X 0.6M 3.14 Kg/Met</t>
  </si>
  <si>
    <t>M.S FLAT OF SIZE 25 X 6mm HORIZONTAL = 1 X 2 X1.285 x 1.2 Kg/Met</t>
  </si>
  <si>
    <t>Chicken Mesh</t>
  </si>
  <si>
    <t>Hinges</t>
  </si>
  <si>
    <t xml:space="preserve">M.S DOOR OF SIZE 1000 X 2100mm </t>
  </si>
  <si>
    <t>WEIGHT OF MATERIAL</t>
  </si>
  <si>
    <t xml:space="preserve">M.S FLAT OF SIZE 50 X 10mm    = 1.00 X .05 X .01 X 7850 Kg/CUM </t>
  </si>
  <si>
    <t xml:space="preserve">M.S SQUARE BAR 20 X 20mm    = 1.00 X .02 X .02 X 7850 Kg/CUM </t>
  </si>
  <si>
    <t xml:space="preserve">M.S FLAT OF SIZE 25 X 6mm    = 1.00 X .025 X .06 X 7850 Kg/CUM </t>
  </si>
  <si>
    <t>M.S FLAT OF SIZE 50 X 10mm ALROUND            = 1 X 1 X 6.20 X 3.92 Kg/m</t>
  </si>
  <si>
    <t>M.S SQUARE BAR 20 X 20mm HORIZONTAL    = 1 X 3 X 1 X 3.295KG/m</t>
  </si>
  <si>
    <t>M.S FLAT OF SIZE 20 X 20mm                               = 1 X 9 X 2.10 X 3.14Kg/m</t>
  </si>
  <si>
    <t>M.S FLAT OF SIZE 25 X 6mm VERTICAL           = 1 X 2 X 2.10 X 1.2Kg/m</t>
  </si>
  <si>
    <t>M.S FLAT OF SIZE 25 X 6mm HORIZONTAL            = 1 X 4 X 1 X 1.2Kg</t>
  </si>
  <si>
    <t>ADD FOR WELDING</t>
  </si>
  <si>
    <t>1285 x 600mm</t>
  </si>
  <si>
    <t>STEEL</t>
  </si>
  <si>
    <t>Fly proof mesh</t>
  </si>
  <si>
    <t>FOR HINGES</t>
  </si>
  <si>
    <t>LOCKING MATERIAL COST</t>
  </si>
  <si>
    <t>RATE FOR 1 NO</t>
  </si>
  <si>
    <t xml:space="preserve">M.S DOOR OF SIZE 750 X1350mm </t>
  </si>
  <si>
    <t xml:space="preserve">M.S FLAT OF SIZE 50 X 10mm    =0.75 X .05 X .01 X 7850 Kg/CUM </t>
  </si>
  <si>
    <t xml:space="preserve">M.S SQUARE BAR 20 X 20mm    = 0.75X .02 X .02 X 7850 Kg/CUM </t>
  </si>
  <si>
    <t xml:space="preserve">M.S FLAT OF SIZE 25 X 6mm    = 0.75 X .025 X .06 X 7850 Kg/CUM </t>
  </si>
  <si>
    <t>M.S FLAT OF SIZE 50 X 10mm ALROUND            = 1 X 1 X4.20 X 3.9Kg/m</t>
  </si>
  <si>
    <t>M.S SQUARE BAR 20 X 10mm HORIZONTAL    = 1 X 3 X 0.75 X 3.29KG/m</t>
  </si>
  <si>
    <t xml:space="preserve">ALROUND M.S FLAT OF SIZE 50 X 10mm      = 3.77 M X 3.925 Kg/Met </t>
  </si>
  <si>
    <t>M.S FLAT OF SIZE 20 X 20mm                               = 1 X 9 X1.35 X 3.11Kg/m</t>
  </si>
  <si>
    <t>M.S FLAT OF SIZE 25 X 6mm VERTICAL           = 1 X 2 X1.35 X 1.2Kg/m</t>
  </si>
  <si>
    <t>M.S FLAT OF SIZE 25 X 6mm HORIZONTAL            = 1 X 4 X 0.75 X 1.2Kg</t>
  </si>
  <si>
    <t>Steel (p-21 it-130 )</t>
  </si>
  <si>
    <t>Weld Mesh</t>
  </si>
  <si>
    <t>Fly proof  Mesh p-22 it- 167/130</t>
  </si>
  <si>
    <t xml:space="preserve">T.W DOOR SHUTTER TWO LEAVES(1800 X 2100 mm </t>
  </si>
  <si>
    <t xml:space="preserve">SHUTTER AREA      = 2X0.85 X 2.025                         </t>
  </si>
  <si>
    <t>STYLES (OVER 2m) = 2 X 2 X 2.025 X 0.075 X 0.0375         = 0.0228</t>
  </si>
  <si>
    <t xml:space="preserve">RAILS (BELOW 2M) = 2 X 3 X 0.85 X 0.15 X 0.0375          </t>
  </si>
  <si>
    <t xml:space="preserve">              2X 3 X 0.85 X 0.075 X 0.0375     </t>
  </si>
  <si>
    <t xml:space="preserve">PLANKS : 2 X 4 X 0.725 X 0.30 X 0.01875    </t>
  </si>
  <si>
    <t xml:space="preserve">                  2 X 1 X 0.725 X 0.30 X 0.01875    </t>
  </si>
  <si>
    <t>MAIN DATA</t>
  </si>
  <si>
    <t>T.W SCANTLING over 2m</t>
  </si>
  <si>
    <r>
      <t xml:space="preserve">T.W DOUBLE LEAVES FULLY PANELLED DOOR SHUTTER FOR DOOR OF SIZE   (2000 X 2100 mm) </t>
    </r>
    <r>
      <rPr>
        <b/>
        <sz val="14"/>
        <rFont val="Arial"/>
        <family val="2"/>
      </rPr>
      <t>WITH BRASS FITTINGS</t>
    </r>
  </si>
  <si>
    <t xml:space="preserve">SHUTTER AREA      = 2X0.95 X 2.025                         </t>
  </si>
  <si>
    <t xml:space="preserve">RAILS (BELOW 2M) = 2 X 3 X 0.95 X 0.15 X 0.0375          </t>
  </si>
  <si>
    <t xml:space="preserve">              2X 3 X 0.95 X 0.075 X 0.0375     </t>
  </si>
  <si>
    <t>CHICKEN MESH</t>
  </si>
  <si>
    <t xml:space="preserve">PLANKS : 2 X 4 X 0.825 X 0.30 X 0.01875    </t>
  </si>
  <si>
    <t xml:space="preserve">                  2 X 1 X 0.825 X 0.30 X 0.01875    </t>
  </si>
  <si>
    <t>RATE FOR 3.443 SQM</t>
  </si>
  <si>
    <t>T.W DOOR SHUTTER TWO LEAVES(1500 X 2100 mm ) with Brass Fittings</t>
  </si>
  <si>
    <t>SHUTTER AREA      = 2X0.7 X 2.025                                    = 2.835 Sqm</t>
  </si>
  <si>
    <t>RAILS (BELOW 2M) = 2 X 3 X 0.70 X 0.15 X 0.0375              =0.0236</t>
  </si>
  <si>
    <t xml:space="preserve">              2X 3 X 0.7 X 0.075 X 0.0375           = 0.0118</t>
  </si>
  <si>
    <t>T.W DOOR SHUTTER TWO LEAVES(1200 X 2100 mm ) with Brass Fittings</t>
  </si>
  <si>
    <t>PLANKS : 2 X 4 X 0.575 X 0.30 X 0.01875     = 0.0259</t>
  </si>
  <si>
    <t>SHUTTER AREA      = 2X0.55 X 2.025                                    = 2.23 Sqm</t>
  </si>
  <si>
    <t xml:space="preserve">                  2 X 1 X 0.575 X 0.30 X 0.01875     = 0.0065</t>
  </si>
  <si>
    <t>RATE FOR 3.8475 SQM</t>
  </si>
  <si>
    <t>RAILS (BELOW 2M) = 2 X 3 X 0.55 X 0.15 X 0.0375              =0.0186</t>
  </si>
  <si>
    <t xml:space="preserve">              2X 3 X 0.55 X 0.075 X 0.0375           = 0.0093</t>
  </si>
  <si>
    <t>T.W PLANKS (30.45 CM) (12 TO 25CM THICK) p-19 it-110</t>
  </si>
  <si>
    <t>PLANKS : 2 X 4 X 0.425 X 0.30 X 0.01875     = 0.019</t>
  </si>
  <si>
    <t xml:space="preserve">                  2 X 1 X 0.425 X 0.30 X 0.01875     = 0.0048</t>
  </si>
  <si>
    <t>With Brass Filltings</t>
  </si>
  <si>
    <t>DOOR HANDLE Mejastic</t>
  </si>
  <si>
    <t>6" Brass HINGES</t>
  </si>
  <si>
    <t>8" BRASS TOWER BOLTS</t>
  </si>
  <si>
    <t>Mortice lock with handle</t>
  </si>
  <si>
    <t>RUBBER BUSH</t>
  </si>
  <si>
    <t>T.W PLANKS (30.45 CM) (12 TO 25CM THICK)</t>
  </si>
  <si>
    <t>Annexure</t>
  </si>
  <si>
    <t>RATE FOR 2.23 SQM</t>
  </si>
  <si>
    <t>Shutter middle rail(Horizantal) -1X2X0.4X0.15X0.0375=0.0045</t>
  </si>
  <si>
    <t>Shutter(OSL Board)      -2X2X.85X0.4=1.36m2</t>
  </si>
  <si>
    <t xml:space="preserve"> 4"X5/8"ALU.TOWER BOLT</t>
  </si>
  <si>
    <t xml:space="preserve"> ORNAMENTAL  HANDLE WITH SCREWS 100mm</t>
  </si>
  <si>
    <t>LOCKS &amp;KEY</t>
  </si>
  <si>
    <t xml:space="preserve"> ORNAMENTAL  HANDLE WITH SCREWS</t>
  </si>
  <si>
    <t>Supplying,Manufacturing and fixing of cloth drying arrangements data for 1 set</t>
  </si>
  <si>
    <t xml:space="preserve">Cost of 32 mm dia G.I pipe </t>
  </si>
  <si>
    <t>Rm</t>
  </si>
  <si>
    <t>Cost of MS angle 35 x 35x 4mm (2x.6x2.1 kg/m)</t>
  </si>
  <si>
    <t>Cost of Square bars (2x.5x1.13kg/m)</t>
  </si>
  <si>
    <t>Cost of 1clamp 10mm (3x.15x.78)</t>
  </si>
  <si>
    <t xml:space="preserve">Labour charges for welding </t>
  </si>
  <si>
    <t>Cost of fixturehooks</t>
  </si>
  <si>
    <t>Fixing of screws,painting etc.,</t>
  </si>
  <si>
    <t>Rate for 1 set</t>
  </si>
  <si>
    <t>Certified that the observed datas prepard based on the actuals in curred at the time of execution and least amount to the best of my Knowledge.</t>
  </si>
  <si>
    <t>S&amp; F of MS angle of size 35 x35 x 5 mm for stair case steps (.95m)</t>
  </si>
  <si>
    <t>Data for 16 steps - 16*2.6kgs = 41.60 kgs</t>
  </si>
  <si>
    <t xml:space="preserve">Cost of MS angle </t>
  </si>
  <si>
    <t>Stone cutter I</t>
  </si>
  <si>
    <t>Mason I</t>
  </si>
  <si>
    <t>CC 1:2:4,Screws, MS flat, welding charges,painting etc.,</t>
  </si>
  <si>
    <t>Rate for 16 steps</t>
  </si>
  <si>
    <t>Rs.</t>
  </si>
  <si>
    <t>Rate for 1 steps</t>
  </si>
  <si>
    <t>Rate per 1m</t>
  </si>
  <si>
    <t>Primer coat using white cement</t>
  </si>
  <si>
    <t>ABOVE G.L (Fully concealed in walls).</t>
  </si>
  <si>
    <t>SUNDRIES for dismantling &amp; packing the dismantled 
portion</t>
  </si>
  <si>
    <t>GROUND LEVEL(OR) FIXING ON WALLS FULLY CONCEALED TO THE</t>
  </si>
  <si>
    <t>C.W.SINGLY LEAF FULLY PANELLED</t>
  </si>
  <si>
    <t>Anticorrosive Treatment for Window M.S. Grills.</t>
  </si>
  <si>
    <t>SHUTTER SIZE-.9X2.025   =1.8225M2</t>
  </si>
  <si>
    <t>litres</t>
  </si>
  <si>
    <t>Zite Zinc primer ( qtn)</t>
  </si>
  <si>
    <t>litre</t>
  </si>
  <si>
    <t>STYLES(OVER 2M) -1X2X2.025X0.125X0.0375=0.01898</t>
  </si>
  <si>
    <t>Brush</t>
  </si>
  <si>
    <t>Painter I st Class</t>
  </si>
  <si>
    <t>RAILS(BELOW 2M)- 1X4X0.9X0.15X0.0375=      0.02025</t>
  </si>
  <si>
    <t xml:space="preserve">               - 1X2X0.731X0.125X0.0375 =0.00685</t>
  </si>
  <si>
    <t>Rate for 1 MT</t>
  </si>
  <si>
    <t>PLANKS      -1X4X0.60625X02825X0.01875=</t>
  </si>
  <si>
    <t xml:space="preserve">             -1X1X0675X0.2825X0.01875=</t>
  </si>
  <si>
    <t>Providing Single under reamed Pile of 4.50m depth,375mm dia</t>
  </si>
  <si>
    <t>C.W SCANTLING  UPTO 4M LONG (PADAK)</t>
  </si>
  <si>
    <t>Volume of Concrete = 3.14/4*0.3*0.3 (3.50+(1*6*0.3))</t>
  </si>
  <si>
    <t>C.W PLANKS 25mm thick &amp; 30cm wide.</t>
  </si>
  <si>
    <t>TW panelled Door 1800X2400 Double leaves</t>
  </si>
  <si>
    <t>Shutter size 2 x 0.85 x 2.325m</t>
  </si>
  <si>
    <t>Main Data</t>
  </si>
  <si>
    <t>T.W PLANKS  (30 TO 45CM wide, 12 - 25mm THICK)</t>
  </si>
  <si>
    <t>RCC 1:11/2:3 excluding vibrating charges</t>
  </si>
  <si>
    <t>Cement extra @ 10% (323.1*.37)</t>
  </si>
  <si>
    <t>Brass screws</t>
  </si>
  <si>
    <t xml:space="preserve">Ls </t>
  </si>
  <si>
    <t>Add for tools &amp; Plant</t>
  </si>
  <si>
    <t>TOTAL FOR 1.82250SQM</t>
  </si>
  <si>
    <t>_______________________</t>
  </si>
  <si>
    <t>For 3.50m depth</t>
  </si>
  <si>
    <t>For 1m depth</t>
  </si>
  <si>
    <t>Four horizontal &amp; one vertical Panel</t>
  </si>
  <si>
    <t>1200 X 2100MM</t>
  </si>
  <si>
    <t>Five horizontal panels</t>
  </si>
  <si>
    <t xml:space="preserve">             -1X1X0.675X0.2825X0.01875=</t>
  </si>
  <si>
    <t>SHUTTER SIZE-1.10X2.025   =2.2275M2</t>
  </si>
  <si>
    <t>RAILS(BELOW 2M)- 1X3X1.10X0.15X0.0375=      0.01856</t>
  </si>
  <si>
    <t xml:space="preserve">                                         - 1X3X1.10X0.075X0.0375 =  0.00928</t>
  </si>
  <si>
    <t>PLANKS      -1X5X0.9625X02825X0.01875=</t>
  </si>
  <si>
    <t xml:space="preserve">brass DOOR HANDLE 150mm long </t>
  </si>
  <si>
    <t>5" Brass BUTT HINGS</t>
  </si>
  <si>
    <t xml:space="preserve"> 6"x1/2" Brass TOWER BOLT </t>
  </si>
  <si>
    <t>10"x5/8" Brass ALDROP</t>
  </si>
  <si>
    <t>WIDE&amp;12 to 25mm thick</t>
  </si>
  <si>
    <t>Sundries for brass scruew</t>
  </si>
  <si>
    <t>MDF</t>
  </si>
  <si>
    <t>TOTAL FOR 2.2275SQM</t>
  </si>
  <si>
    <t>MDF board exterior grade both side pre laminated including external lipping with kiln dried soft wood 35mm thick</t>
  </si>
  <si>
    <t xml:space="preserve">LABOUR FOR WROUGHT&amp;PUTUP p 33/156 a single </t>
  </si>
  <si>
    <t xml:space="preserve">Four horizontal panels </t>
  </si>
  <si>
    <t>&amp; one vertical panel</t>
  </si>
  <si>
    <t>TOTAL FOR 1.823SQM</t>
  </si>
  <si>
    <t>SHUTTER SIZE-1.10X2.05   =2.255M2</t>
  </si>
  <si>
    <t>STYLES(OVER 2M) -1X2X2.05X0.125X0.0375=0.01922</t>
  </si>
  <si>
    <t>RAILS(BELOW 2M)- 1X4X1.10X0.15X0.0375=      0.02475</t>
  </si>
  <si>
    <t>MDF  double leaf shutter with TW alround frame for ward robe / cup board</t>
  </si>
  <si>
    <t xml:space="preserve">                                         - 1X2X0.74X0.075X0.0375 =  0.00416</t>
  </si>
  <si>
    <t>PLANKS      -1X4X0.60625X02825X0.01875=0.01284</t>
  </si>
  <si>
    <t>PLANKS      -1X1X0.975X02825X0.01875=0.00516</t>
  </si>
  <si>
    <t>Shutter(MDF Board)      -2X2X.85X0.4=1.36m2</t>
  </si>
  <si>
    <t>TOTAL FOR 2.255SQM</t>
  </si>
  <si>
    <t>MDF board 18mm thk exterior grade one side prelaminated.</t>
  </si>
  <si>
    <t>LABOUR CHARGE FOR SHUTTER (Double leaf) p/33 /156 b</t>
  </si>
  <si>
    <t>LOCKS &amp;KEY ( qtn)</t>
  </si>
  <si>
    <t xml:space="preserve">Supply,Laying &amp; Concealing the 50mm dia PVC (SWR) pipe </t>
  </si>
  <si>
    <t xml:space="preserve"> with ISI mark confirming to 13952:1992-type 'B'</t>
  </si>
  <si>
    <r>
      <t xml:space="preserve">50 mm dia PVC (SWR) pipe </t>
    </r>
    <r>
      <rPr>
        <sz val="12"/>
        <color indexed="13"/>
        <rFont val="Arial"/>
        <family val="2"/>
      </rPr>
      <t>( qtn)</t>
    </r>
  </si>
  <si>
    <t>PVC bend</t>
  </si>
  <si>
    <t>sundries for finishing dismantled portion</t>
  </si>
  <si>
    <t>Rate for 2Rmt.</t>
  </si>
  <si>
    <t>Rate per 1Rmt.</t>
  </si>
  <si>
    <t>RCC 1:2:4 for Earth quake resistance arrangements at corner of brick wall including cost of concrete, farication &amp; curing etc.,  data for 2.1m.</t>
  </si>
  <si>
    <t xml:space="preserve">RATE PER CUM </t>
  </si>
  <si>
    <t>RCC 1:2:4 for earth quake resistance arrangements for door/window james.</t>
  </si>
  <si>
    <r>
      <t>concrete  (0.23 x .075 x 2.1 =</t>
    </r>
    <r>
      <rPr>
        <b/>
        <sz val="12"/>
        <rFont val="Arial"/>
        <family val="2"/>
      </rPr>
      <t xml:space="preserve"> 0.036 cum</t>
    </r>
    <r>
      <rPr>
        <sz val="12"/>
        <rFont val="Arial"/>
        <family val="2"/>
      </rPr>
      <t>)</t>
    </r>
  </si>
  <si>
    <t>Steel 8RTS ( 2 x 2.7 x0.3950 = 2.133 kg)</t>
  </si>
  <si>
    <t>Ties 6RTS (0.28 x 15 x 0.222 = 0.932 kg)</t>
  </si>
  <si>
    <t>Total      3.065 kg</t>
  </si>
  <si>
    <r>
      <t xml:space="preserve">Form Work  Small qty.  0.38 x 2.1 = </t>
    </r>
    <r>
      <rPr>
        <b/>
        <sz val="12"/>
        <rFont val="Arial"/>
        <family val="2"/>
      </rPr>
      <t>0.798 sqm</t>
    </r>
  </si>
  <si>
    <t>a. In Ground Floor</t>
  </si>
  <si>
    <t>*2</t>
  </si>
  <si>
    <t>RCC 1:2:4 using 3-10mm HBGS</t>
  </si>
  <si>
    <t xml:space="preserve">steel </t>
  </si>
  <si>
    <t xml:space="preserve">Form Work  Small qty. </t>
  </si>
  <si>
    <t>Total     for 2.1m</t>
  </si>
  <si>
    <t>b. In First Floor</t>
  </si>
  <si>
    <t>c. In  Second Floor</t>
  </si>
  <si>
    <t>d. In  Third Floor</t>
  </si>
  <si>
    <t>SHUTTER SIZE-0.8X2.05   =1.64 M2</t>
  </si>
  <si>
    <t>1200 X 2100MM single leaf</t>
  </si>
  <si>
    <t>SHUTTER SIZE-1.1X2.05   =2.255 M2</t>
  </si>
  <si>
    <t>TOTAL FOR 1.64 sqm</t>
  </si>
  <si>
    <t>Providing Double under reamed Pile of 6m depth,375mm dia</t>
  </si>
  <si>
    <t>Volume of Concrete = (2x4x.375x3.14/4*.375*.375)+(3.14/4x.375x.375x6)</t>
  </si>
  <si>
    <t>TOTAL FOR 2.255 sqm</t>
  </si>
  <si>
    <t>RCC 1:1.5:3 excluding vibrating charges</t>
  </si>
  <si>
    <t>Cement extra @ 10%(323.1x.9935)</t>
  </si>
  <si>
    <t>For 6m depth</t>
  </si>
  <si>
    <t>Gravel Filling</t>
  </si>
  <si>
    <t>Filling charges</t>
  </si>
  <si>
    <t>supply &amp;fixing of cuddapah sink 600x600x200mmsize</t>
  </si>
  <si>
    <t>with 32mm GI waste pipe and 32mm CP waste coupling it-172 p-55</t>
  </si>
  <si>
    <t>Supply and fixing of Mirror of size 600x450mm size (p-56-it-184)</t>
  </si>
  <si>
    <t>Supply and fixing of Mirror of size500x400mm size (p-56 it-184 -ii)</t>
  </si>
  <si>
    <t>Supply and fixing of PVC flushing tank with all fittings</t>
  </si>
  <si>
    <t>10 lit. capacity. P- 68 / 220a</t>
  </si>
  <si>
    <t>SUPPLY AND FIXING EXSAUST FAN 225MM SWEEP</t>
  </si>
  <si>
    <t>Compact Fluoresent Lamp (CFL)</t>
  </si>
  <si>
    <t>a. 14W for Bath &amp; WC</t>
  </si>
  <si>
    <t>b. 18W for Bulkhead fittings</t>
  </si>
  <si>
    <t xml:space="preserve">S/F OF BULK HEAD FITTING for CFL </t>
  </si>
  <si>
    <t>SUPPLY AND DELIVERY OF FAN 48"SWEEP with 
Electronic Regulator step dimmer.</t>
  </si>
  <si>
    <t>10 lit. capacity.</t>
  </si>
  <si>
    <t>Plumber I</t>
  </si>
  <si>
    <t>Rate for Each</t>
  </si>
  <si>
    <t>1200 X 2100MM (Double Leaf)</t>
  </si>
  <si>
    <t>SHUTTER SIZE-1.1X2.025   =2.2275M2</t>
  </si>
  <si>
    <t>1500 X 2400MM (Double Leaf)</t>
  </si>
  <si>
    <t>SHUTTER SIZE-1.4X2.35   =3.29M2</t>
  </si>
  <si>
    <t>TOTAL FOR 2.2275 SQM</t>
  </si>
  <si>
    <t>1500 X 2100MM (Double Leaf)</t>
  </si>
  <si>
    <t>TOTAL FOR 3.29 SQM</t>
  </si>
  <si>
    <t>SHUTTER SIZE-1.4X2.05   =2.87 M2</t>
  </si>
  <si>
    <t>TOTAL FOR 2.87 SQM</t>
  </si>
  <si>
    <t>TW  frame &amp; TW styles &amp; rails with 9 mm thick BWR double leaf shutter for ward robe / cup board</t>
  </si>
  <si>
    <t>Shutter(BWR Plywood)      -2X2X.85X0.4=1.36m2</t>
  </si>
  <si>
    <t>TW single leaf glazed window shutter of size 3.08 x 2.1cm</t>
  </si>
  <si>
    <t xml:space="preserve">SHUTTER SIZE0- 3.08 x 2.1  </t>
  </si>
  <si>
    <t>STYLES(OVER 2M) -1X4X2.05X0.075X0.0375</t>
  </si>
  <si>
    <t>Engineering Polymer Tap  short body tap for coastal area only</t>
  </si>
  <si>
    <t xml:space="preserve">9mm thick BWR ply wood </t>
  </si>
  <si>
    <t>Sub-Data</t>
  </si>
  <si>
    <t>RAILS(BELOW 2M)- 2X3X0.55X0.15X0.0375</t>
  </si>
  <si>
    <t>Labour charge</t>
  </si>
  <si>
    <t xml:space="preserve"> 4"X5/8"ALU.TOWER BOLT p -46/i 95f </t>
  </si>
  <si>
    <t xml:space="preserve">Nos </t>
  </si>
  <si>
    <t>Plywood      -1X2X0.625X0.425</t>
  </si>
  <si>
    <t>gram</t>
  </si>
  <si>
    <t>Shellac p-54/156</t>
  </si>
  <si>
    <t>100 gms</t>
  </si>
  <si>
    <t>Shellac p-49</t>
  </si>
  <si>
    <t>Plywood      -1X2X1.025X0.425</t>
  </si>
  <si>
    <t>Thread ball p-54/158</t>
  </si>
  <si>
    <t>Thread ball p-49</t>
  </si>
  <si>
    <t>TWO COATS of enamel paint incl. Primer</t>
  </si>
  <si>
    <t>Total/1 No</t>
  </si>
  <si>
    <t>SUNDRIES FOR NAILS,PLUGS &amp; Brass screws ETC.</t>
  </si>
  <si>
    <t>Long body</t>
  </si>
  <si>
    <t>short body</t>
  </si>
  <si>
    <t xml:space="preserve">French Window  OF Size  3080 X2100 MM </t>
  </si>
  <si>
    <t>Cost of Tap</t>
  </si>
  <si>
    <t>T.W.SCANTLING belw 2M length</t>
  </si>
  <si>
    <t>4mm thick pin headed glass</t>
  </si>
  <si>
    <t>Rmt.</t>
  </si>
  <si>
    <t>TW beeding 15 x 12 mm</t>
  </si>
  <si>
    <t>Bottle trap with UPVC coupling</t>
  </si>
  <si>
    <t>Providing tee with end cap</t>
  </si>
  <si>
    <t>Bottle trap (Polymer range)</t>
  </si>
  <si>
    <t>PVC Tee 32mm dia (p-100 D-d)</t>
  </si>
  <si>
    <t>200 mm x 12 mm Alu. Towerbolt</t>
  </si>
  <si>
    <t>UPVC coupling</t>
  </si>
  <si>
    <t>PVC end cap 32mm dia (p-100 E-d)</t>
  </si>
  <si>
    <t xml:space="preserve">6" Handle </t>
  </si>
  <si>
    <t>Plumber - I</t>
  </si>
  <si>
    <t>Sundries for brass scrwew</t>
  </si>
  <si>
    <t>TOTAL FOR 5.16 sqm</t>
  </si>
  <si>
    <t xml:space="preserve">French Window  OF Size  1070 X2100 MM </t>
  </si>
  <si>
    <t>SHUTTER SIZE0-.9X2.05   =1.845M2</t>
  </si>
  <si>
    <t>RAILS(BELOW 2M)- 1X3X0.9X0.15X0.0375=      0.0152</t>
  </si>
  <si>
    <t>Plywood      -1X1X0.775X0.64=0.496</t>
  </si>
  <si>
    <t>1200 x 2100mm</t>
  </si>
  <si>
    <t>Plywood      -1X1X0.985X0.775=0.763</t>
  </si>
  <si>
    <t xml:space="preserve">SHUTTER SIZE0-1.1 X 2.05  </t>
  </si>
  <si>
    <t>STYLES(OVER 2M) -1X2X2.05X0.075X0.0375</t>
  </si>
  <si>
    <t>TOTAL FOR 1.74 sqm</t>
  </si>
  <si>
    <t>RAILS(BELOW 2M)- 1X3X1.1X0.15X0.0375</t>
  </si>
  <si>
    <t>Plywood      -1X1X0.625X0.975</t>
  </si>
  <si>
    <t xml:space="preserve">French Window  OF Size  1500 X2000 MM </t>
  </si>
  <si>
    <t>2*2*0.075*.0375*1.95</t>
  </si>
  <si>
    <t>2*2*0.065*.0075*0.375</t>
  </si>
  <si>
    <t>T.W</t>
  </si>
  <si>
    <t>DOOR OF SIZE 1200 X2100 MM Double leaf</t>
  </si>
  <si>
    <t>2*0.65*1.95</t>
  </si>
  <si>
    <t>1*2*0.525*1.825</t>
  </si>
  <si>
    <t>Glass panel</t>
  </si>
  <si>
    <t>2*2*(0.525+1.825)</t>
  </si>
  <si>
    <t>Beeding</t>
  </si>
  <si>
    <t>TOTAL FOR 1.845 SQM</t>
  </si>
  <si>
    <t>Cement Paint two coat for old wall</t>
  </si>
  <si>
    <t>TOTAL FOR 2.535 sqm</t>
  </si>
  <si>
    <t>Cemant paint</t>
  </si>
  <si>
    <t>painter I</t>
  </si>
  <si>
    <t>T.W.DOUBLE LEAF FULLY PANELLED</t>
  </si>
  <si>
    <t>Thorouh scrapping p28/108</t>
  </si>
  <si>
    <t>1500 X 2400MM</t>
  </si>
  <si>
    <t xml:space="preserve">SHUTTER SIZE-1X2X.675X2.3125                                                                                 </t>
  </si>
  <si>
    <r>
      <t xml:space="preserve">STYLES(OVER 2M) -2X2X2.3125X0.15X0.0375                                                      </t>
    </r>
    <r>
      <rPr>
        <b/>
        <sz val="12"/>
        <rFont val="Arial"/>
        <family val="2"/>
      </rPr>
      <t xml:space="preserve">  = 0.052</t>
    </r>
  </si>
  <si>
    <t xml:space="preserve">RAILS(BELOW 2M)- </t>
  </si>
  <si>
    <t xml:space="preserve">Top &amp; Intermediate 2X3X0.675X0.15X0.0375       </t>
  </si>
  <si>
    <t>Cement Paint one coat for old wall</t>
  </si>
  <si>
    <t xml:space="preserve"> Bottom              - 1X2X0.675X0.20X0.0375 = 0.010125</t>
  </si>
  <si>
    <t>PLANKS      -2X2X0.5875X.4X0.01875</t>
  </si>
  <si>
    <t xml:space="preserve">             -1X2X0.5625X0.4X0.01875</t>
  </si>
  <si>
    <t>ls</t>
  </si>
  <si>
    <t>T.W PLANKS OVER 30 TO 45cm</t>
  </si>
  <si>
    <t>WIDE&amp;12TO25mm T.K p-19 it-110</t>
  </si>
  <si>
    <t>PAINTING ONE COATS OVER OLD</t>
  </si>
  <si>
    <t xml:space="preserve">6" Alu. DOOR HANDLE </t>
  </si>
  <si>
    <t>10"X1/2"TOWER BOLT p46 95c</t>
  </si>
  <si>
    <t>12"X5/8"ALDROP p -46 96a</t>
  </si>
  <si>
    <t>RUBBERBUSH 40 DIA &amp; 60 MM LONG  p -46 sl.100</t>
  </si>
  <si>
    <t>Thorouh scrapping (p-31 slno.357 d)</t>
  </si>
  <si>
    <t>Alu. DOOR STOPPER p41 99</t>
  </si>
  <si>
    <t>TOTAL FOR  3.122 SQM</t>
  </si>
  <si>
    <t>T.W.DOUBLE LEAF 2/3 Glazed and 1/3 PANELLED</t>
  </si>
  <si>
    <t>Thorouh scrapping (p-31 slno.112)</t>
  </si>
  <si>
    <t xml:space="preserve">                                                                 </t>
  </si>
  <si>
    <t>-----------------</t>
  </si>
  <si>
    <t>5.5 MM THK. GLASS                -2X2X0.5875X.40</t>
  </si>
  <si>
    <t>PLANKS              -1X2X0.5625X0.4X0.01875</t>
  </si>
  <si>
    <t>T.W. Beeding  - 2 x 2 x 1.975</t>
  </si>
  <si>
    <t>WIDE&amp;12TO25mm T.K p19 sl.110</t>
  </si>
  <si>
    <t>5.5 MM THICK PLAIN GLASS p49 sl.126</t>
  </si>
  <si>
    <t>T.W. beeding 15mm x 12 mm p46 85a</t>
  </si>
  <si>
    <t>LABOUR FOR WROUGHT&amp;PUTUP p33 sl.146 /4</t>
  </si>
  <si>
    <t>6" Alu. DOOR HANDLE p41/84</t>
  </si>
  <si>
    <t xml:space="preserve">  5"BUTT HINGS p40/77a</t>
  </si>
  <si>
    <t>10"X1/2"TOWER BOLT</t>
  </si>
  <si>
    <t>12"X5/8"ALDROP</t>
  </si>
  <si>
    <t xml:space="preserve">RUBBERBUSH 40 DIA &amp; 60 MM LONG </t>
  </si>
  <si>
    <t>Alu. DOOR STOPPER</t>
  </si>
  <si>
    <t>1200 X 2400MM</t>
  </si>
  <si>
    <t xml:space="preserve">SHUTTER SIZE-1X2X.525X2.3125                                                                                 </t>
  </si>
  <si>
    <t>Ornamental TW panelled Door 1800X2400 Double leaves</t>
  </si>
  <si>
    <t>Data and non scheduled items as per CER 2008-09 for PERURANI Scheme)</t>
  </si>
  <si>
    <t xml:space="preserve">Top &amp; Intermediate 2X3X0.525X0.15X0.0375       </t>
  </si>
  <si>
    <t xml:space="preserve"> Bottom              - 1X2X0.525X0.20X0.0375 = 0.010125</t>
  </si>
  <si>
    <t>T.W SCANTLING BELOW 2m</t>
  </si>
  <si>
    <t>labour charges for carving work</t>
  </si>
  <si>
    <t>WITH C.M(1:5)20mm THICK</t>
  </si>
  <si>
    <t>PLANKS      -2X2X0.25X.5875X0.01875</t>
  </si>
  <si>
    <t>Brass hinges 6"</t>
  </si>
  <si>
    <t xml:space="preserve">             -1X2X0.5625X0.25X0.01875</t>
  </si>
  <si>
    <t>16" brass tower bolt</t>
  </si>
  <si>
    <t>8" brass tower bolt</t>
  </si>
  <si>
    <t>10" brass tower bolt</t>
  </si>
  <si>
    <t>Removal of old cement mortor racking out joints 20mm deep p-30/107/321</t>
  </si>
  <si>
    <t>7" mortice lock with brass handle985</t>
  </si>
  <si>
    <t>12" majestic door handle</t>
  </si>
  <si>
    <r>
      <t xml:space="preserve">Brass screws </t>
    </r>
    <r>
      <rPr>
        <sz val="11"/>
        <color theme="1"/>
        <rFont val="Calibri"/>
        <family val="2"/>
        <scheme val="minor"/>
      </rPr>
      <t>not necessary as there is brass fittings</t>
    </r>
  </si>
  <si>
    <t>T.W PLANKS OVER 15 TO 30cm</t>
  </si>
  <si>
    <t>RATE for 3.0225 SQM</t>
  </si>
  <si>
    <t>RATE FOR 1 SQM</t>
  </si>
  <si>
    <t>Matt paint one coat</t>
  </si>
  <si>
    <t>TOTAL FOR  2.428 SQM</t>
  </si>
  <si>
    <t>Thorough scrapping</t>
  </si>
  <si>
    <t>BWR DOUBLE LEAF FULLY PANELLED</t>
  </si>
  <si>
    <t>Ornamental TW panelled Door 1800X2100 Double leaves</t>
  </si>
  <si>
    <t>PLANKS  BWR 9mm thick.    -2X2X0.25X.5875</t>
  </si>
  <si>
    <t xml:space="preserve">             -1X2X0.5625X0.25</t>
  </si>
  <si>
    <t xml:space="preserve">BWR DOUBLE LEAF 2/3 Glazed and 1/3 PANELLED </t>
  </si>
  <si>
    <t>T.W PLANKS (12-25 CM) (30 TO 45CM THICK) it-116 iii p-21</t>
  </si>
  <si>
    <t>PLANKS BWR 9mm thick          -1X2X0.5625X0.4</t>
  </si>
  <si>
    <t>Rubber Bush</t>
  </si>
  <si>
    <t>5.5 MM THICK PLAIN GLASS</t>
  </si>
  <si>
    <t>T.W. beeding 15mm x 12 mm</t>
  </si>
  <si>
    <t>Brassscrews</t>
  </si>
  <si>
    <r>
      <t xml:space="preserve">PAINTING TWO COATS OVER NEW           </t>
    </r>
    <r>
      <rPr>
        <b/>
        <sz val="12"/>
        <rFont val="Helv"/>
      </rPr>
      <t>(as per PWD Standard Data)</t>
    </r>
  </si>
  <si>
    <t>BWR SINGLE LEAF FULLY PANELLED</t>
  </si>
  <si>
    <t>900 X 2400MM</t>
  </si>
  <si>
    <t xml:space="preserve">SHUTTER SIZE-1X.75X2.3125                                                                                 </t>
  </si>
  <si>
    <r>
      <t xml:space="preserve">STYLES(OVER 2M) -1X3X2.3125X0.15X0.0375                                                      </t>
    </r>
    <r>
      <rPr>
        <b/>
        <sz val="12"/>
        <rFont val="Arial"/>
        <family val="2"/>
      </rPr>
      <t xml:space="preserve">  = 0.052</t>
    </r>
  </si>
  <si>
    <t xml:space="preserve">Top &amp; Intermediate 1X3X0.75X0.15X0.0375       </t>
  </si>
  <si>
    <t>Plastic Emulsion PAINT two coat for old wall</t>
  </si>
  <si>
    <t xml:space="preserve"> Bottom              - 1X0.75X0.20X0.0375 = 0.010125</t>
  </si>
  <si>
    <t>Painter I</t>
  </si>
  <si>
    <t>PLANKS  BWR 9mm thick.    -2X2X0.175X.5875</t>
  </si>
  <si>
    <t xml:space="preserve">             -1X2X0.5625X0.175</t>
  </si>
  <si>
    <t>Plastic Emulsion PAINT one coat for old wall</t>
  </si>
  <si>
    <t>TOTAL FOR 1.734 SQM</t>
  </si>
  <si>
    <t xml:space="preserve">Top &amp; Intermediate 1X3X0.9X0.15X0.0375       </t>
  </si>
  <si>
    <t xml:space="preserve"> Bottom              - 1X1X0.9X0.20X0.0375</t>
  </si>
  <si>
    <t>1050 X 2400MM</t>
  </si>
  <si>
    <t xml:space="preserve">SHUTTER SIZE-1X.90 X 2.3125                                                                                 </t>
  </si>
  <si>
    <t>6" Alu. DOOR HANDLE  p41 80b</t>
  </si>
  <si>
    <t xml:space="preserve">  5"BUTT HINGS p40 77a</t>
  </si>
  <si>
    <t>10"X1/2"TOWER BOLT p 40 78c</t>
  </si>
  <si>
    <t>12"X5/8"ALDROP p41 79a</t>
  </si>
  <si>
    <t>TOTAL FOR 2.081 SQM</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</si>
  <si>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</si>
  <si>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</si>
  <si>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</si>
  <si>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</si>
  <si>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</si>
  <si>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</si>
  <si>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</si>
  <si>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</si>
  <si>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5.5 MM THK. GLASS                -2X2X0.5875X0.25</t>
  </si>
  <si>
    <t>RATE FOR 4.4175 SQM</t>
  </si>
  <si>
    <t>PLANKS              -1X2X0.5625X0.25x0.01875</t>
  </si>
  <si>
    <t>T.W. Beeding  - 2 x 2 x 1.675</t>
  </si>
  <si>
    <t>Providing Acid proof tile flooring of</t>
  </si>
  <si>
    <t>any size  including pointing etc.,</t>
  </si>
  <si>
    <t>COST Of acid proof tile (as per Krishnagiri DPO)</t>
  </si>
  <si>
    <t>Colour pigment</t>
  </si>
  <si>
    <r>
      <t xml:space="preserve">S &amp; F best indian 2/3 Glazed 1/3 Teak wood Panelled door shutter of size 
</t>
    </r>
    <r>
      <rPr>
        <b/>
        <u/>
        <sz val="13"/>
        <rFont val="Arial"/>
        <family val="2"/>
      </rPr>
      <t>b)1500mmx2100mm</t>
    </r>
  </si>
  <si>
    <t>T.W SCANTLING ABOVE 2m</t>
  </si>
  <si>
    <t>Glass 5.5mm thick</t>
  </si>
  <si>
    <t>M.S.Grill</t>
  </si>
  <si>
    <t>/cum</t>
  </si>
  <si>
    <t xml:space="preserve">Labour charges for shutter glazed door </t>
  </si>
  <si>
    <t>10"x5/8" Aldrop</t>
  </si>
  <si>
    <t>Alu.DOOR HANDLE WITH CP SCREWS (150mm long)</t>
  </si>
  <si>
    <t>Painting two coats of M.S. Grill</t>
  </si>
  <si>
    <t>Best varnishing two coats</t>
  </si>
  <si>
    <t>Sundries for brass screw</t>
  </si>
  <si>
    <t>Total for Each</t>
  </si>
  <si>
    <r>
      <t xml:space="preserve">Supply and laying of </t>
    </r>
    <r>
      <rPr>
        <b/>
        <sz val="12"/>
        <rFont val="Helv"/>
      </rPr>
      <t>Hard core</t>
    </r>
    <r>
      <rPr>
        <sz val="11"/>
        <color theme="1"/>
        <rFont val="Calibri"/>
        <family val="2"/>
        <scheme val="minor"/>
      </rPr>
      <t xml:space="preserve"> layer of 30</t>
    </r>
    <r>
      <rPr>
        <b/>
        <sz val="12"/>
        <rFont val="Helv"/>
      </rPr>
      <t>0mm</t>
    </r>
    <r>
      <rPr>
        <sz val="11"/>
        <color theme="1"/>
        <rFont val="Calibri"/>
        <family val="2"/>
        <scheme val="minor"/>
      </rPr>
      <t xml:space="preserve"> consolidated thickness (10Sqm x .3m thick= 3.0 cum)</t>
    </r>
  </si>
  <si>
    <t>Supply of 80-63mm metal 60%</t>
  </si>
  <si>
    <t>Supply of 40-10mm metal 40%</t>
  </si>
  <si>
    <t>Supply of river sand for filling the voids at 20%</t>
  </si>
  <si>
    <t>SUB DATA for hand rolling as per Highways SR</t>
  </si>
  <si>
    <t xml:space="preserve">Labour charges for placing metal and sand </t>
  </si>
  <si>
    <t>labour charges for watering and consolidation by power roller</t>
  </si>
  <si>
    <t>Rate for 0.75m3</t>
  </si>
  <si>
    <t xml:space="preserve">Vibrator / Earth rammed </t>
  </si>
  <si>
    <t>Rate for 1m3</t>
  </si>
  <si>
    <t>Sundries for watering through water set</t>
  </si>
  <si>
    <t>SUB DATA for Labour Charges only</t>
  </si>
  <si>
    <r>
      <t>For 3 m</t>
    </r>
    <r>
      <rPr>
        <vertAlign val="superscript"/>
        <sz val="12"/>
        <rFont val="Helv"/>
      </rPr>
      <t xml:space="preserve">3 </t>
    </r>
  </si>
  <si>
    <t xml:space="preserve">Mason II Class </t>
  </si>
  <si>
    <t>For 1m3</t>
  </si>
  <si>
    <t>Mazdoor I Class</t>
  </si>
  <si>
    <t>Mazdoor II Class</t>
  </si>
  <si>
    <t>Rate for 10m3</t>
  </si>
  <si>
    <t>Flush door shutter size 1200x2400 (Double leaf)</t>
  </si>
  <si>
    <t>shutter size 1200x2400 (Double leaf)=1.1 x 2.325 =</t>
  </si>
  <si>
    <t>Forpower rolling as per PWD SR 2017-18 it-71 b / P.25</t>
  </si>
  <si>
    <t>Solid core flush door shutter with TW palin -it-110 p-47</t>
  </si>
  <si>
    <t>Labour for Wrought &amp; Putup p33/156b</t>
  </si>
  <si>
    <t>Door Handle with CP screws 6' p41/80b</t>
  </si>
  <si>
    <t>Flush door shutter size 1500x2400 (Double leaves)</t>
  </si>
  <si>
    <t>5" Butt Hings p40/77a</t>
  </si>
  <si>
    <t>shutter size 1500x2400 (Double leaves)=1.4 x 2.325 =</t>
  </si>
  <si>
    <t>6"x1/2" Tower Bolt p40/78e</t>
  </si>
  <si>
    <t>Solid core flush door shutter with TW palin -it-93 p-43</t>
  </si>
  <si>
    <t>10"x5/8" Aldrop p41/79b</t>
  </si>
  <si>
    <t>Labour for Wrought &amp; Putup (SR P.31,it-156)</t>
  </si>
  <si>
    <t>Brass Screws</t>
  </si>
  <si>
    <t>Door Handle with CP screws 6'</t>
  </si>
  <si>
    <t>Rubber bush p41/83</t>
  </si>
  <si>
    <t>5" Butt Hings</t>
  </si>
  <si>
    <t>Door Stopper</t>
  </si>
  <si>
    <t>6"x1/2" Tower Bolt</t>
  </si>
  <si>
    <t>Varnish Two Coats</t>
  </si>
  <si>
    <t>Rate for 2.23 Sqm</t>
  </si>
  <si>
    <t>Rubber bush</t>
  </si>
  <si>
    <t>Flush door shutter size 1000x2100 ( Single leaf)</t>
  </si>
  <si>
    <t>Rate for 3.26 Sqm</t>
  </si>
  <si>
    <t>Flush door shutter size 1000x2400 ( Single leaf)</t>
  </si>
  <si>
    <t>Flush door shutter size 900x2100 ( Single leaf)</t>
  </si>
  <si>
    <t>Shutter size (0.9 x 2.025)</t>
  </si>
  <si>
    <t>Shutter size (0.9 x 2.325)</t>
  </si>
  <si>
    <t>Solid core flush door shutter with TW palin</t>
  </si>
  <si>
    <t>Solid core flush door shutter with TW plain</t>
  </si>
  <si>
    <t>Labour for Wrought &amp; Putup p33/156a</t>
  </si>
  <si>
    <t>Labour for Wrought &amp; Putup</t>
  </si>
  <si>
    <t>Labour for Wrought &amp; Putup p31/156a</t>
  </si>
  <si>
    <t>Flush door shutter size 1200x2400 ( Single leaf)</t>
  </si>
  <si>
    <t>shutter size 1200x2400 (Double leaves)=1.1 x 2.325 =</t>
  </si>
  <si>
    <t>Labour for Wrought &amp; Putup (SR P.32,it-156a)</t>
  </si>
  <si>
    <t>Painting Two Coats</t>
  </si>
  <si>
    <t>Rate for 1.82 Sqm</t>
  </si>
  <si>
    <t>Rate for 2.09 Sqm</t>
  </si>
  <si>
    <t>Rate for 1.62 Sqm</t>
  </si>
  <si>
    <t>Rate for 2.56 Sqm</t>
  </si>
  <si>
    <t>Flush door shutter size 1500x2100 ( Double leaf)</t>
  </si>
  <si>
    <r>
      <t>WASHBASIN</t>
    </r>
    <r>
      <rPr>
        <sz val="11"/>
        <color theme="1"/>
        <rFont val="Calibri"/>
        <family val="2"/>
        <scheme val="minor"/>
      </rPr>
      <t xml:space="preserve"> (White Pedastal type)  22"X16" INCLUDING</t>
    </r>
  </si>
  <si>
    <t>Shutter size (1.4 x 2.025)</t>
  </si>
  <si>
    <t>Wash Hand Basin of size 550 x 400 mm with all accessories such as CI brackets, 32mm dia CP waste coupling, Rubber plug and chain, 32mm dia B class GI waste pipe, 15mm dia brass nipples. 15mm CP pillar tap etc.,P-55 it-169 -i</t>
  </si>
  <si>
    <t>deduct rate for 15mm dia GM wheel valve</t>
  </si>
  <si>
    <t>Rate for 2.84 Sqm</t>
  </si>
  <si>
    <t>Flush door shutter size 1500x2400 ( Double leaf)</t>
  </si>
  <si>
    <t>Shutter size (1.4 x 2.325)</t>
  </si>
  <si>
    <t xml:space="preserve">Two legged scaffolding using 15cm dia casurna props </t>
  </si>
  <si>
    <t>15cm dia Casurina post p-20 it-138</t>
  </si>
  <si>
    <t>1 Rmt</t>
  </si>
  <si>
    <t>Country wood planks (silver oak) p-138 it130/78b</t>
  </si>
  <si>
    <t>1 Cum</t>
  </si>
  <si>
    <t>total cost of material used for 10 times</t>
  </si>
  <si>
    <t>Cost per 1 operation</t>
  </si>
  <si>
    <t>Oper</t>
  </si>
  <si>
    <t>15cm dia casurina post</t>
  </si>
  <si>
    <t>Add for coir, nail etc</t>
  </si>
  <si>
    <t>Rate for 6m</t>
  </si>
  <si>
    <t>Rate for intial height of 3m and length of 1m</t>
  </si>
  <si>
    <t xml:space="preserve">For every additional height of 2.5m height </t>
  </si>
  <si>
    <t>vertical post of casurina post (13cm to 15cm)</t>
  </si>
  <si>
    <t>Flush door shutter size 1800x2400 (Double leaf)</t>
  </si>
  <si>
    <t>Cost of material plank</t>
  </si>
  <si>
    <t>shutter size 1800x2400 (Double leaf)=1.7 x 2.325 =</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</si>
  <si>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</si>
  <si>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</si>
  <si>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</si>
  <si>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</si>
  <si>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</si>
  <si>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</si>
  <si>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</si>
  <si>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</si>
  <si>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</si>
  <si>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Rate for 3.95 Sqm</t>
  </si>
  <si>
    <t>TW single leaf french window</t>
  </si>
  <si>
    <t xml:space="preserve">shutter  for frame of overall height 3.08 x 2.1cm </t>
  </si>
  <si>
    <t>Flush door shutter size 1800x2100 (Double leaf)</t>
  </si>
  <si>
    <t>LABOUR CHARGE for wroght &amp; put up</t>
  </si>
  <si>
    <t>shutter size 1800x2100 (Double leaf)=1.7 x 2.025 =</t>
  </si>
  <si>
    <t>4 mm thicj frosted glass</t>
  </si>
  <si>
    <t>TW Beeding 15 x12 mm</t>
  </si>
  <si>
    <t xml:space="preserve"> 200 mm long x12mm  ALU. TOWERBOLT (8")</t>
  </si>
  <si>
    <t>6" Handles ( 150mm long)</t>
  </si>
  <si>
    <t>TOTAL FOR 5.16 SQM</t>
  </si>
  <si>
    <t>Rate for 3.44 Sqm</t>
  </si>
  <si>
    <t>TW Panelled Swing type ventilater</t>
  </si>
  <si>
    <t>of size 75x 75cm</t>
  </si>
  <si>
    <t>Flush door shutter size 1200x2100 ( Single leaf)</t>
  </si>
  <si>
    <t>shutter size 1200x2100 (single leaf)=1.1 x 2.025 =</t>
  </si>
  <si>
    <t xml:space="preserve">SHUTTER SIZE-0.65X0.65                                                                                 </t>
  </si>
  <si>
    <r>
      <t xml:space="preserve">STYLES -2X0.65 x   7.525 x 3.125                                                 </t>
    </r>
    <r>
      <rPr>
        <b/>
        <sz val="12"/>
        <rFont val="Arial"/>
        <family val="2"/>
      </rPr>
      <t xml:space="preserve">  = 0.052</t>
    </r>
  </si>
  <si>
    <t xml:space="preserve">Top &amp; Intermediate 2X3X7.5255X0.15X0.0375       </t>
  </si>
  <si>
    <t>With Brass fittings</t>
  </si>
  <si>
    <t xml:space="preserve">Providing Colour Marble chips of size 10mm and below using 70.20Kgs of cement and 15 cum of Colour Marble chips for every 10 sqm over the existing plastered surface </t>
  </si>
  <si>
    <t xml:space="preserve"> Cost of Colour Marble chips ( 89.40/0.0354)=2525.42 (P-41 it-24 )</t>
  </si>
  <si>
    <t xml:space="preserve">Colour Pigment </t>
  </si>
  <si>
    <t>Supply and fixing of colour matt finish door 15 microns double leaf door Aluminium Door  ( 1.5 x2.1m thick)</t>
  </si>
  <si>
    <t>UPVC instead of Stone ware Pipe</t>
  </si>
  <si>
    <t>Aluminium section ''it-61 a( rev SR-17-18)</t>
  </si>
  <si>
    <t>SUPPLYING AND  LAYING AND</t>
  </si>
  <si>
    <t>Rubber beeding (An-VI -it-63 p-40</t>
  </si>
  <si>
    <t>JOINTING SN8 UPVC PIPE AND SPECIALS</t>
  </si>
  <si>
    <t>Glass 5.5mm plain  it-107</t>
  </si>
  <si>
    <t>Novapan Sheet 12mm Thick</t>
  </si>
  <si>
    <t>Power Grapping p-52 it-173</t>
  </si>
  <si>
    <t>110mm DIA  UPVC PIPE BELOW G.L</t>
  </si>
  <si>
    <t>PVC Felt ( It-65)</t>
  </si>
  <si>
    <t>DOOR STOPPER   It-82</t>
  </si>
  <si>
    <t>Hydraulic DOOR Closer It-67</t>
  </si>
  <si>
    <t>Cost of UPVC SN8 Pipe (TWAD SR 18-19 P-20 1.2 1)</t>
  </si>
  <si>
    <t xml:space="preserve">  SCREWS (75x 10mm)it-108 ii</t>
  </si>
  <si>
    <t>Bolts &amp; Nuts ( 3/4"x 1/4") It-78-b</t>
  </si>
  <si>
    <t>Bolts &amp; Nuts ( 6"x 1/2") it-78-e</t>
  </si>
  <si>
    <t>TOTAL FOR 3.15 SQM</t>
  </si>
  <si>
    <t>JOINTING MATERIALS. (TWAD SR 17-18 11-b)</t>
  </si>
  <si>
    <t>CUTTING CHARGES ( P-32/141)</t>
  </si>
  <si>
    <t>160mm DIA  UPVC PIPE BELOW G.L</t>
  </si>
  <si>
    <t>Supply and fixing of colour matt finish door 15 microns double leaf door Aluminium Door  ( 1.0 x2.1m thick)</t>
  </si>
  <si>
    <t>Cost of UPVC SN8 Pipe (TWAD SR 18-19 P-20 1.2 a /3)</t>
  </si>
  <si>
    <t>Rubber beeding (An-VI -it-63</t>
  </si>
  <si>
    <t xml:space="preserve">  SCREWS (75x 10mm)(An-VI -it-163</t>
  </si>
  <si>
    <t>Bolts &amp; Nuts ( 3/4"x 1/4") It-78-b p-40</t>
  </si>
  <si>
    <t>TOTAL FOR 2.1 SQM</t>
  </si>
  <si>
    <t>Aluminium  Anodised 1.80 x1.35 m</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</si>
  <si>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</si>
  <si>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Aluminium section ''it-61 a( rev SR-18-19)</t>
  </si>
  <si>
    <t>SUPPLY AND FIXING OF GALVANIUM SHEET 0.47MM THICK</t>
  </si>
  <si>
    <t>GALVANIUM SHEET 0.47MM THICK ( qtn)</t>
  </si>
  <si>
    <t>Glass 4 mm thichk plain  it-106</t>
  </si>
  <si>
    <t xml:space="preserve">FITTER I st  CLASS </t>
  </si>
  <si>
    <t xml:space="preserve"> PVC  Roller for sliding ''it-75 ( rev SR-18-19)</t>
  </si>
  <si>
    <t>CARPENTER I ST CLASS</t>
  </si>
  <si>
    <t>Lock  for sliding ''it-70 ( rev SR-18-19)</t>
  </si>
  <si>
    <t>MAZDOOR I ST CLASS</t>
  </si>
  <si>
    <t>Handle" D "type 100mm long ''it-80 c ( rev SR-18-19)</t>
  </si>
  <si>
    <t xml:space="preserve">L.S </t>
  </si>
  <si>
    <t xml:space="preserve">Bolts &amp;  Washers </t>
  </si>
  <si>
    <t xml:space="preserve">Rate For 10 Sqm </t>
  </si>
  <si>
    <t xml:space="preserve">Screws  rayal plugs  and stopper etc </t>
  </si>
  <si>
    <t xml:space="preserve">Rate For 1 Sqm </t>
  </si>
  <si>
    <t xml:space="preserve"> REVISED SR 2017-18 </t>
  </si>
  <si>
    <t>Wall Panelling data as per DPO Thanjavur</t>
  </si>
  <si>
    <t>Aluminium  Anodised 1.35 x1.35 m</t>
  </si>
  <si>
    <t>Country wood reeper (50 x 25 mm p-22 s.no.132)</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</si>
  <si>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</si>
  <si>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 xml:space="preserve"> 6mm tk MDF Ply wood ( CER No.107-2012-13 DPO Thanjavur)</t>
  </si>
  <si>
    <t xml:space="preserve"> 4mm tk vennar ( CER No.107-2012-13 DPO Thanjavur)</t>
  </si>
  <si>
    <t xml:space="preserve">Melamin Polish </t>
  </si>
  <si>
    <t>labour charges</t>
  </si>
  <si>
    <t xml:space="preserve"> PVC  Roller for sliding ''it-75 ( rev SR-17-18)</t>
  </si>
  <si>
    <t xml:space="preserve">Rate For 9 Sqm </t>
  </si>
  <si>
    <t>Lock  for sliding ''it-70 ( rev SR-17-18)</t>
  </si>
  <si>
    <t xml:space="preserve">Say </t>
  </si>
  <si>
    <t>Rate Per Sqm</t>
  </si>
  <si>
    <t>Handle" D "type 100mm long ''it-80 c ( rev SR-17-18)</t>
  </si>
  <si>
    <t xml:space="preserve">Labour Charges </t>
  </si>
  <si>
    <t>FITTER  Ist Class</t>
  </si>
  <si>
    <t xml:space="preserve">DATA </t>
  </si>
  <si>
    <r>
      <t xml:space="preserve">ONE COAT OF WALL PATTY        </t>
    </r>
    <r>
      <rPr>
        <b/>
        <sz val="12"/>
        <rFont val="Arial"/>
        <family val="2"/>
      </rPr>
      <t xml:space="preserve"> CHENNAI CITY</t>
    </r>
  </si>
  <si>
    <t>PATTY  ( Qtn) 40 Kg= Rs .1050/40=26.25</t>
  </si>
  <si>
    <t>Vat 4 % (26.25+1.05 =27.30</t>
  </si>
  <si>
    <t>Painter - I st Class</t>
  </si>
  <si>
    <t>Providing Colour Marble Chips</t>
  </si>
  <si>
    <t xml:space="preserve"> Cost of Colour Marble chips ( 84.4/0.0354)=2384.18 (P-36 it-11 )</t>
  </si>
  <si>
    <t>Colour Pigment</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</si>
  <si>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</si>
  <si>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</si>
  <si>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</si>
  <si>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</si>
  <si>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</si>
  <si>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</si>
  <si>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</si>
  <si>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</si>
  <si>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</si>
  <si>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</si>
  <si>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</si>
  <si>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</si>
  <si>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</si>
  <si>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</si>
  <si>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</si>
  <si>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 xml:space="preserve"> Revised  SR 2018-19</t>
  </si>
  <si>
    <t>Aluminium partition wall ( 1/3 Glass 5.5mm &amp; 2/3 novapan sheet 12mm thick</t>
  </si>
  <si>
    <t>Aluminium section 'it- 61 a( SR-16-17)</t>
  </si>
  <si>
    <t xml:space="preserve"> BRASS SCREWS ( 30x6mm)(An-VI -it-162 p-53</t>
  </si>
  <si>
    <t xml:space="preserve"> BRASS SCREWS (75x 10mm)(An-VI -it-163</t>
  </si>
  <si>
    <t xml:space="preserve"> Plug (An-VI -it-166</t>
  </si>
  <si>
    <t>Power Grapping it-173</t>
  </si>
  <si>
    <t>TOTAL FOR 6.615 SQM</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</si>
  <si>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</si>
  <si>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</si>
  <si>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</si>
  <si>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</si>
  <si>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</si>
  <si>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</si>
  <si>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</si>
  <si>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</si>
  <si>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</si>
  <si>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</si>
  <si>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 xml:space="preserve">Old RCC Door frame </t>
  </si>
  <si>
    <r>
      <t xml:space="preserve">Satndardised cement Concrtet </t>
    </r>
    <r>
      <rPr>
        <b/>
        <sz val="12"/>
        <rFont val="Helv"/>
      </rPr>
      <t xml:space="preserve"> 1:1.5:3 </t>
    </r>
  </si>
  <si>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</si>
  <si>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</si>
  <si>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</si>
  <si>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</si>
  <si>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</si>
  <si>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</si>
  <si>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</si>
  <si>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</si>
  <si>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</si>
  <si>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</si>
  <si>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</si>
  <si>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</si>
  <si>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</si>
  <si>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</si>
  <si>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</si>
  <si>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</si>
  <si>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</si>
  <si>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</si>
  <si>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</si>
  <si>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</si>
  <si>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</si>
  <si>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</si>
  <si>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</si>
  <si>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</si>
  <si>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</si>
  <si>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</si>
  <si>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</si>
  <si>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Name of work: Providing Special Repair works for 4 Nos INS, 8 Nos SI, 24 Nos PC/HC Quarters  at Church Hill Ooty in the Nilgiri District</t>
  </si>
  <si>
    <t>For PC/HC Roof Tile</t>
  </si>
  <si>
    <t>For SI Quarters</t>
  </si>
  <si>
    <t>For INS Quarters</t>
  </si>
  <si>
    <t>For PC/HC Quarters</t>
  </si>
  <si>
    <t>Bed Room , Hall , Passage Area</t>
  </si>
  <si>
    <t>Kitchen Area</t>
  </si>
  <si>
    <t>Passage , Toilet Area</t>
  </si>
  <si>
    <t>For SI Quratrs - 2 in 1</t>
  </si>
  <si>
    <t>Parapet Wall</t>
  </si>
  <si>
    <t>For SI Quarters - Single Block</t>
  </si>
  <si>
    <t>Bed Room , Hall  Area</t>
  </si>
  <si>
    <t>Bath &amp; Passage</t>
  </si>
  <si>
    <t>INS Quarters</t>
  </si>
  <si>
    <t>Kitchen Area &amp; Stair Case</t>
  </si>
  <si>
    <t>Hall &amp; Verandha</t>
  </si>
  <si>
    <t>M.Bed &amp; Toilet</t>
  </si>
  <si>
    <t>Bed Room</t>
  </si>
  <si>
    <t>Supply and laying of ceramic(anti-skid) tiles etc.,</t>
  </si>
  <si>
    <t>PC/HC IWC</t>
  </si>
  <si>
    <t>D/F Closet</t>
  </si>
  <si>
    <t>SI Qtrs</t>
  </si>
  <si>
    <t>INS IWC</t>
  </si>
  <si>
    <t>Bath Area</t>
  </si>
  <si>
    <t>Supplying and laying of glazed tiles etc.,</t>
  </si>
  <si>
    <t>SI Qtrs IWC</t>
  </si>
  <si>
    <t>Supply and fixing of IWC including all special and labour charges etc., complete</t>
  </si>
  <si>
    <t>a)In .G.F</t>
  </si>
  <si>
    <t>PC/HC Quarters</t>
  </si>
  <si>
    <t>SI Quarters</t>
  </si>
  <si>
    <t>b)In other than G.F</t>
  </si>
  <si>
    <t>Supplying and fixing of  solid panel door with frame  ( SR pg.No.43 item No.125a)</t>
  </si>
  <si>
    <t>PC/HC Qtrs - Toilet &amp; bath Doors</t>
  </si>
  <si>
    <t>SI Qtrs - Toilet &amp; bath Doors</t>
  </si>
  <si>
    <t>INS Qtrs - Toilet &amp; bath Doors</t>
  </si>
  <si>
    <t xml:space="preserve">PC/HC Qtrs- Window 1 </t>
  </si>
  <si>
    <t>PC/HC Qtrs- Window 2</t>
  </si>
  <si>
    <t>Ventilator glass</t>
  </si>
  <si>
    <t>INS Qtrs</t>
  </si>
  <si>
    <t>PC/HC Qtrs- Window 3</t>
  </si>
  <si>
    <t>Chipping of concrete and rougheing of surface including cost of materials and labours etc.., completed                                   PWD SOR 2021-22 p-22 item No.38A</t>
  </si>
  <si>
    <t xml:space="preserve">Bath Area - PC/HC </t>
  </si>
  <si>
    <t>IWC - PC/HC</t>
  </si>
  <si>
    <t>Bath Area - SI Qtrs</t>
  </si>
  <si>
    <t>IWC - SI Qtrs</t>
  </si>
  <si>
    <t>Bath Area - INS</t>
  </si>
  <si>
    <t>IWC - INS</t>
  </si>
  <si>
    <t xml:space="preserve">Passage </t>
  </si>
  <si>
    <t>Floor plastering in CM 1:4, 20mm thick  including neat cement, etc all complete</t>
  </si>
  <si>
    <t xml:space="preserve">Passage - PC/HC </t>
  </si>
  <si>
    <t>Passage -  SI</t>
  </si>
  <si>
    <t>Passage - INS</t>
  </si>
  <si>
    <t>PC/HC Qtrs- Tank to main</t>
  </si>
  <si>
    <t>SI Qtrs -  Tank to Main Line</t>
  </si>
  <si>
    <t>INS Qtrs - Tank to Main Line</t>
  </si>
  <si>
    <t>PC/HC Qtrs- Tank to Bath &amp; line - F.F</t>
  </si>
  <si>
    <t>PC/HC Qtrs- Tank to Bath &amp; line - G.F</t>
  </si>
  <si>
    <t>SI Qtrs -  Tank to Bath &amp; line - F.F</t>
  </si>
  <si>
    <t>SI Qtrs -  Tank to Bath &amp; line - G.F</t>
  </si>
  <si>
    <t>INS Qtrs - Tank to Bath line  - G.F</t>
  </si>
  <si>
    <t>INS Qtrs - Tank to Bath line  - F.F</t>
  </si>
  <si>
    <t>Sump To Building</t>
  </si>
  <si>
    <t>Supply and Fixing of 15mm dia half turn CP tap (LONG BODY) including all special and labour charges etc., complete</t>
  </si>
  <si>
    <t>Supply and Fixing of 15mm dia half turn CP tap (SHORT BODY) including all special and labour charges etc., complete</t>
  </si>
  <si>
    <t>PC/HC Qtrs bath Room</t>
  </si>
  <si>
    <t xml:space="preserve">SI Qtrs Bath </t>
  </si>
  <si>
    <t>INS Qtrs bath</t>
  </si>
  <si>
    <t>PC/HC Qtrs- Toilet</t>
  </si>
  <si>
    <t>SI Qtrs - Toilet</t>
  </si>
  <si>
    <t>INS Qtrs - Toliet</t>
  </si>
  <si>
    <t>PC/HC Qtrs</t>
  </si>
  <si>
    <t>Supply and laying of SWR Pipes including cost of materials and labours etc.., completed</t>
  </si>
  <si>
    <t xml:space="preserve"> 110 MM DIA </t>
  </si>
  <si>
    <t xml:space="preserve">75 MM DIA </t>
  </si>
  <si>
    <t xml:space="preserve">Wiring with 1.5sqmm pvc multistrand copper cable including cost of materials and labours etc.., completed </t>
  </si>
  <si>
    <t>a)Light point with ceiling rose</t>
  </si>
  <si>
    <t>Ground Floor</t>
  </si>
  <si>
    <t>Verandha</t>
  </si>
  <si>
    <t xml:space="preserve">Kitchen </t>
  </si>
  <si>
    <t>Mid Landing</t>
  </si>
  <si>
    <t xml:space="preserve">PC/HC Quarters </t>
  </si>
  <si>
    <t>Veandha</t>
  </si>
  <si>
    <t xml:space="preserve">M.Bed </t>
  </si>
  <si>
    <t>b) light point with pattern type bakelite holder</t>
  </si>
  <si>
    <t>Mid Landing - Passage</t>
  </si>
  <si>
    <t xml:space="preserve">Supply and fixing for 5 amps 5pinplug for switch board itself including cost of materials and labours etc.., completed </t>
  </si>
  <si>
    <t xml:space="preserve">Supply and fixing for 5 amps 5 pin plug for convenient places including cost of materials and labours etc.., completed </t>
  </si>
  <si>
    <t xml:space="preserve">Supply and fixing 15 amps power plug including cost of materials and labours etc.., completed </t>
  </si>
  <si>
    <t xml:space="preserve">Supplying and fixing of bulkhead fittings including cost of materials and labours etc.., completed </t>
  </si>
  <si>
    <t>Main Door Top</t>
  </si>
  <si>
    <t xml:space="preserve">Supplying and fixing of LED Bulbs  including cost of materials and labours etc.., completed </t>
  </si>
  <si>
    <t>12 watts</t>
  </si>
  <si>
    <t xml:space="preserve">Suplying and Fixing of LED 4'-18 watts Tube Light including cost of materials and labours etc.., completed </t>
  </si>
  <si>
    <t xml:space="preserve">Supplying and fixing of 25W LED street light fittings including cost of materials and labours etc.., completed </t>
  </si>
  <si>
    <t>PC/HC Alround</t>
  </si>
  <si>
    <t>SI Alround</t>
  </si>
  <si>
    <t xml:space="preserve">Run off  two wire of 2.5 sq mm multi strand flexible cable including cost of materials and labours etc.., completed </t>
  </si>
  <si>
    <t>Run off 4 x 4  Sq mm copper PVC insulated unsheathed single core cable for Single phase EB service connection</t>
  </si>
  <si>
    <t xml:space="preserve">Painting White washing  two coats including cost of materials and labours etc.., completed </t>
  </si>
  <si>
    <t>hall</t>
  </si>
  <si>
    <t>Bath room</t>
  </si>
  <si>
    <t>Stair Case Ceiling</t>
  </si>
  <si>
    <t>M.Bed</t>
  </si>
  <si>
    <t xml:space="preserve">Painting Two coat of OBD over one coat white cement for inner walls  including cost of materials and labours etc.., completed </t>
  </si>
  <si>
    <t xml:space="preserve">Verandha </t>
  </si>
  <si>
    <t>D/F For Door</t>
  </si>
  <si>
    <t>D/F for Door D1</t>
  </si>
  <si>
    <t>D/F For Open</t>
  </si>
  <si>
    <t>D/F For Window</t>
  </si>
  <si>
    <t>D/F For Window 2</t>
  </si>
  <si>
    <t>D/F forWindow W1</t>
  </si>
  <si>
    <t>Stair Case wall</t>
  </si>
  <si>
    <t>First Floor</t>
  </si>
  <si>
    <t>First  Floor</t>
  </si>
  <si>
    <t xml:space="preserve">Veradha </t>
  </si>
  <si>
    <t xml:space="preserve">D/F Door </t>
  </si>
  <si>
    <t xml:space="preserve">Plastic Emulsion paint two coat of Old walls including cost of materials and labours etc.., completed </t>
  </si>
  <si>
    <t>Frount Side</t>
  </si>
  <si>
    <t>Bed Room Outer Wall</t>
  </si>
  <si>
    <t>Toilet Outer Wall</t>
  </si>
  <si>
    <t xml:space="preserve">Toilet and Bed Duct </t>
  </si>
  <si>
    <t>Toilet Rear side</t>
  </si>
  <si>
    <t>Kitchen Outer wall</t>
  </si>
  <si>
    <t>Kitchen Duct</t>
  </si>
  <si>
    <t>Frount Side Pillar</t>
  </si>
  <si>
    <t>Frount Sun Shade</t>
  </si>
  <si>
    <t>Window Sun Shade</t>
  </si>
  <si>
    <t>D/F Window</t>
  </si>
  <si>
    <t>D/F Window W1</t>
  </si>
  <si>
    <t>D/F Ventilator</t>
  </si>
  <si>
    <t>D/F Window W2</t>
  </si>
  <si>
    <t>,6</t>
  </si>
  <si>
    <t xml:space="preserve">Frount side </t>
  </si>
  <si>
    <t>Kitchen outer Wall</t>
  </si>
  <si>
    <t>Duct portion</t>
  </si>
  <si>
    <t>Froun Wall</t>
  </si>
  <si>
    <t>Kitchen Outer Wall</t>
  </si>
  <si>
    <t>Bed Outer Wall</t>
  </si>
  <si>
    <t>M.Bed Outer Wall</t>
  </si>
  <si>
    <t>Bath Outer Wall</t>
  </si>
  <si>
    <t>Hall Outer Wall</t>
  </si>
  <si>
    <t>Duct Portution</t>
  </si>
  <si>
    <t>2021-2022</t>
  </si>
  <si>
    <t xml:space="preserve">Painting the old wood work two coats including cost of materials and labours etc.., completed </t>
  </si>
  <si>
    <t>Door</t>
  </si>
  <si>
    <t>Door D1</t>
  </si>
  <si>
    <t>Window W2</t>
  </si>
  <si>
    <t>Window W1</t>
  </si>
  <si>
    <t>Window W3</t>
  </si>
  <si>
    <t>Ventilatore</t>
  </si>
  <si>
    <t>OPEN WIRING IN PVC PIPE</t>
  </si>
  <si>
    <t>Open wiring for Light point with ceiling rose for flats/ houses</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</si>
  <si>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</si>
  <si>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1.5 sqmm copper PVC insulated unsheathed single core cable</t>
  </si>
  <si>
    <t xml:space="preserve"> Rmt</t>
  </si>
  <si>
    <t>PVC rigid conduit pipe 19 mm / 20mm heavy duty with ISI mark</t>
  </si>
  <si>
    <t>19 mm PVC rigid bends</t>
  </si>
  <si>
    <t>Tw Plugs (p 91 p J e)</t>
  </si>
  <si>
    <t>1000 nos</t>
  </si>
  <si>
    <t>19 mm PVC rigid tees</t>
  </si>
  <si>
    <t xml:space="preserve">PVC joint box ( Part- I ,p 129  6b) </t>
  </si>
  <si>
    <t>Dozen</t>
  </si>
  <si>
    <t xml:space="preserve">Hylem sheet 3 mm thick with lamination </t>
  </si>
  <si>
    <t>5 amps flush type switch</t>
  </si>
  <si>
    <t>Ceiling rose</t>
  </si>
  <si>
    <t>Gross</t>
  </si>
  <si>
    <t>Brass screws 40mm p 130 L 1c</t>
  </si>
  <si>
    <t>19 mm MS clamp</t>
  </si>
  <si>
    <t>Bag</t>
  </si>
  <si>
    <t>TW switch  box  100 x 100 x 75 mm p 130 jd</t>
  </si>
  <si>
    <t>TW junction  box  150 x 100 x 75 mm p-130 j c</t>
  </si>
  <si>
    <t>3 mm thick laminated Hylem sheet (10X0.1X0.1)</t>
  </si>
  <si>
    <t>1.5 sqmm copper PVC insulated unsheathed single core cable for continuous earth connection</t>
  </si>
  <si>
    <t>90 Rmt</t>
  </si>
  <si>
    <t>Paint SEP p-44 it-117</t>
  </si>
  <si>
    <t>Points</t>
  </si>
  <si>
    <t>Sundries 1% on materials</t>
  </si>
  <si>
    <t>Total for 10 Points</t>
  </si>
  <si>
    <t>Rate for 1 Point</t>
  </si>
  <si>
    <t>Labour Charges for wirnig in PVC pipe concealed</t>
  </si>
  <si>
    <t>Sub - data</t>
  </si>
  <si>
    <t>Maistry</t>
  </si>
  <si>
    <t>Wiremen Grade  - I</t>
  </si>
  <si>
    <t>Wiremen Grade  - II</t>
  </si>
  <si>
    <t>Helper</t>
  </si>
  <si>
    <t xml:space="preserve">DATA   - 7 </t>
  </si>
  <si>
    <t xml:space="preserve">5 AMPS 5 PIN PLUG SOCKET POINT AT SWITCH BOARD ITSELF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</si>
  <si>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</si>
  <si>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5 A 5 pin non - inter locking switch and plug ( flush type ) part - c (I a) + part - d (I a)( Rs. 192.60/12 + 23.90) p-118 +123 part d a</t>
  </si>
  <si>
    <t>Rate for 1 point</t>
  </si>
  <si>
    <t>2 X 2.5 Sq mm in fully concealed PVC conduit (open wiring)</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</si>
  <si>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</si>
  <si>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 xml:space="preserve">Total as per Data No. </t>
  </si>
  <si>
    <t>Add 180 mt 2.5 Sqmm copper PVC insulated unsheathed S.C. cable</t>
  </si>
  <si>
    <t>Deduct 1.5 Sqmm copper PVC insulated unsheathed S.C. cable</t>
  </si>
  <si>
    <t>Total for 90 metres</t>
  </si>
  <si>
    <t>Rate for 1 Rmt</t>
  </si>
  <si>
    <t>Light point with bakelite batern type holder for flats/ houses(Open wiring)</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</si>
  <si>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</si>
  <si>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Total for Data 1 excluding sundries </t>
  </si>
  <si>
    <t>Deduct cost of ceiling rose 10 Nos</t>
  </si>
  <si>
    <t>Add cost of Bakelite battern type holders 10 Nos @ Rs 16.50 / Each p-116,  it-25</t>
  </si>
  <si>
    <t>Total for 10 points</t>
  </si>
  <si>
    <t>Rate for 1 points</t>
  </si>
  <si>
    <t>5 AMPS 5 PIN PLUG SOCKET POINT AT CONVENIENT PLACES (OPEN WIRING)</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</si>
  <si>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</si>
  <si>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MS box  150x 100 x 75 mm</t>
  </si>
  <si>
    <t xml:space="preserve">3 mm thick laminated Hylem sheet </t>
  </si>
  <si>
    <t>5 A 5 pin non - inter locking switch and plug ( flush type )</t>
  </si>
  <si>
    <t>SQqm</t>
  </si>
  <si>
    <t>Total for 15 points</t>
  </si>
  <si>
    <t xml:space="preserve">DATA    - 8 </t>
  </si>
  <si>
    <t>15 AMPS POWER PLUG</t>
  </si>
  <si>
    <t>Supplying and fixing of 15 Amps 3 pin flush type plug socket on suitable MS box of 16g thick concealed and covered with 3 mm thick laminated hylem sheet inclusive of all materials, etc., all complete.</t>
  </si>
  <si>
    <t>15 Amps 3 pin flush type plug socket Part-D1 b p-123</t>
  </si>
  <si>
    <t xml:space="preserve">MS box 150 x 100 x 75mm </t>
  </si>
  <si>
    <t xml:space="preserve">3 mm thick laminated hulem sheet </t>
  </si>
  <si>
    <t>Labour charges and sundries such as cement, screws etc.,</t>
  </si>
  <si>
    <t>DATA   - 16</t>
  </si>
  <si>
    <t>WATER TIGHT BULK HEAD FITTING suitable for 12W LED bulb</t>
  </si>
  <si>
    <t>Supplying and fixing of water tight bulk head fittings with guard suitable for 60 / 100 watts including necessary connections, cost of materials, etc., All complete.</t>
  </si>
  <si>
    <t>Bulk head fittings P-116 it-26</t>
  </si>
  <si>
    <t>Total For 1 No</t>
  </si>
  <si>
    <t>Labour Charges Data</t>
  </si>
  <si>
    <t>Wiremen Grade II</t>
  </si>
  <si>
    <t xml:space="preserve">Helper </t>
  </si>
  <si>
    <t>Total for 15 Nos</t>
  </si>
  <si>
    <t>Rate for 1 No</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</si>
  <si>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</si>
  <si>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</si>
  <si>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</si>
  <si>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</si>
  <si>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t>Shellac p-49/168</t>
  </si>
  <si>
    <t>Thread ball p-49/173</t>
  </si>
  <si>
    <t>Aluminium partition wall  novapan sheet 12mm thick</t>
  </si>
  <si>
    <t>Novapan Sheet 12mm Thick above</t>
  </si>
  <si>
    <t>FITTER  Ist CLASS</t>
  </si>
  <si>
    <t>MAZDOOR  Ist CLASS</t>
  </si>
  <si>
    <t>CARPENTER II CLASS</t>
  </si>
  <si>
    <t>EARTH WORK EXCAVATION  for open foundation
IN SDR (EXCLUDING REFILLING)</t>
  </si>
  <si>
    <t>RATE PER CUM EXCLUDING REFILLING
IN SDR (OPEN FOUNDATION)</t>
  </si>
  <si>
    <t>BASEMENT  WITH  FILLING SAND</t>
  </si>
  <si>
    <t>OBD p-45 sl.140</t>
  </si>
  <si>
    <t>Plastic Emulsion PAINT  (LMR item 113) p-45 143( First qty</t>
  </si>
  <si>
    <t>Primer     (LMR item 142) p45</t>
  </si>
  <si>
    <t>Earthwork excavation in all soils and subsoils, etc all complete (including refilling)</t>
  </si>
  <si>
    <t xml:space="preserve">PCC 1:5:10 using 40mm jelly including cost of materials and labours etc.., completed </t>
  </si>
  <si>
    <t>Foundation and basement etc complete</t>
  </si>
  <si>
    <t>Plinth protection Piller</t>
  </si>
  <si>
    <t xml:space="preserve">BRICK PARTITION WALL 1;4,114 mm THICK including cost of materials and labours etc.., completed </t>
  </si>
  <si>
    <t>a) Foundation and Basement</t>
  </si>
  <si>
    <t>d/f brick pillars</t>
  </si>
  <si>
    <t>Sundrise</t>
  </si>
  <si>
    <t xml:space="preserve">Precast slab 50mm thick in PCC1:3:6 mixed with fibre including laying , cost of materials and labours etc.., completed </t>
  </si>
  <si>
    <t xml:space="preserve">Filling the Basement with excavated earth in layers of 150mm thick including cost of materials and labours etc.., completed </t>
  </si>
  <si>
    <t>Supplying and filling in foundation and basement with filling sand in layers of 150mm thk</t>
  </si>
  <si>
    <t>Clean removel of the old cement plastering both inside and outside from the existing walls of brick masonry without damageing the existing structure and surroundings and clearing the debries away from the site including all cost etc.,</t>
  </si>
  <si>
    <t>Old surface</t>
  </si>
  <si>
    <t xml:space="preserve">Bldg front -sunshade top </t>
  </si>
  <si>
    <t>Bldg R/S  -sunshade top</t>
  </si>
  <si>
    <t>Bldg L/S  -sunshade top</t>
  </si>
  <si>
    <t>Bldg Rear  -sunshade top</t>
  </si>
  <si>
    <t>Bldg Rear  -sunshade top)</t>
  </si>
  <si>
    <t>Bldg Rear side  -sunshade top</t>
  </si>
  <si>
    <t>Bldg front -sunshade bottom</t>
  </si>
  <si>
    <t>Bldg front - Roof Projection bottom</t>
  </si>
  <si>
    <t>Bldg R/S  -sunshade bottom</t>
  </si>
  <si>
    <t>Bldg R/S  -Roof Projection bottom</t>
  </si>
  <si>
    <t>Bldg R/S  -Rest room approach slab bottom</t>
  </si>
  <si>
    <t>Bldg L/S  -sunshade bottom</t>
  </si>
  <si>
    <t>Bldg L/S  -Roof Projection bottom</t>
  </si>
  <si>
    <t>Bldg Rear side  -sunshade bottom</t>
  </si>
  <si>
    <t xml:space="preserve">Plastering in CM 1:5, 12mm thick including cost of materials and labours etc.., completed </t>
  </si>
  <si>
    <t xml:space="preserve">Plastering in CM 1:4, 12mm thick including cost of materials and labours etc.., completed </t>
  </si>
  <si>
    <t>For PC/HC Qtrs Plinth protection wall</t>
  </si>
  <si>
    <t>For SI Qtrs Plinth protection wall</t>
  </si>
  <si>
    <t>For INS Qtrs Plinth protection wall</t>
  </si>
  <si>
    <t>DRAIN - PC/HC</t>
  </si>
  <si>
    <t>DRAIN - SI</t>
  </si>
  <si>
    <t>DRAIN -  INS</t>
  </si>
  <si>
    <t xml:space="preserve">Brickwork in CM 1:5 using Fly ash bricks in foundation including cost of materials and labours etc.., completed </t>
  </si>
  <si>
    <t>DRAIN - PC/HC -Top</t>
  </si>
  <si>
    <t>Earth Cleaning of Rear side</t>
  </si>
  <si>
    <t>Precast Slab For chamber cover slab ( SFRC Slabof size 600 x 600mm with frame) Including Cost of materials etc.., (SR.Pg.No.77 item no.284.a)</t>
  </si>
  <si>
    <t>For Sewage Line Drain Cover</t>
  </si>
  <si>
    <t>Building Rear side for all Quarters</t>
  </si>
  <si>
    <t>Sub-Total  II</t>
  </si>
  <si>
    <t>Charges for Cleaning light jungle to the building outer side including labour charges etc..,completed ( SR Pg.No.92 item No.2)</t>
  </si>
  <si>
    <t>Provision for E.B Service Connection</t>
  </si>
  <si>
    <t>36*5000</t>
  </si>
  <si>
    <t>Supplyying and fixing of pvc sintex tank of 750cum capacity of pvc tank etc., all complete( SR Pg.No.50 item no.180)</t>
  </si>
  <si>
    <t>Seawage line</t>
  </si>
  <si>
    <t>Supplying and fixing of following SN8 160mm dia  Pvc pipe  with ISI mark including cost of materials and convenience and earth work excavation and refilling trenches etc.., Below ground level .</t>
  </si>
  <si>
    <t xml:space="preserve">Painting the old iron work two coats including cost of materials and labours etc.., completed </t>
  </si>
  <si>
    <t>Co-eff</t>
  </si>
  <si>
    <t>outlet Chamber</t>
  </si>
  <si>
    <t>Outlet Chamber</t>
  </si>
  <si>
    <t>For Chamber inner</t>
  </si>
  <si>
    <t>chamber Inner</t>
  </si>
  <si>
    <t>Chamber out side alround</t>
  </si>
  <si>
    <t>Chamber top alround</t>
  </si>
  <si>
    <t>Existing Chamber outer</t>
  </si>
  <si>
    <t>Supply ,laying &amp; jointing the following pipes as per ASTM D 1785 of schedule   PVC Specials etc.,a)25 mm  Pipe</t>
  </si>
  <si>
    <t>Supplying and laying of 25 mm dia PVC pipe(Above ground level)  etc all complete including and labour charges etc., complete</t>
  </si>
  <si>
    <t>Supplying and laying of 32 mm dia PVC pipe  (Below Ground level) etc all complete including and labour charges etc., complete</t>
  </si>
  <si>
    <t>Ins Alround</t>
  </si>
  <si>
    <t>Common Bulk Head</t>
  </si>
  <si>
    <t>Common Street light</t>
  </si>
  <si>
    <t>Earth work excavation for Open foundation  for drains (excluding refilling) width  upto 1.25 m</t>
  </si>
  <si>
    <t xml:space="preserve">PCC 1:2:4 using 20mm jelly including cost of materials and labours etc.., completed </t>
  </si>
  <si>
    <t>PC/HC - Bldg Front Side Pavement</t>
  </si>
  <si>
    <t>SI- Bldg Front Side Pavement</t>
  </si>
  <si>
    <t>INS - Bldg Front Side Pavement</t>
  </si>
  <si>
    <r>
      <t>m</t>
    </r>
    <r>
      <rPr>
        <vertAlign val="superscript"/>
        <sz val="13"/>
        <color theme="1"/>
        <rFont val="Times New Roman"/>
        <family val="1"/>
      </rPr>
      <t>2</t>
    </r>
  </si>
  <si>
    <t xml:space="preserve">Supplying and fixing of Single phase DB Box including cost of materials and labours etc.., completed </t>
  </si>
  <si>
    <t xml:space="preserve"> Supplying and fixing of Stair Case light point two way including cost of materials and labours etc.., completed </t>
  </si>
  <si>
    <t>PC/HC -Stair Case</t>
  </si>
  <si>
    <t>INS -Stair Case</t>
  </si>
  <si>
    <t>87,90,000.00/-</t>
  </si>
  <si>
    <t>STAIRCASE LIGHT POINT  (Open wiring)</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</si>
  <si>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</si>
  <si>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5 A flush type two way switches ( Staircase switch )</t>
  </si>
  <si>
    <t>PVC/TW round block [SR P.129</t>
  </si>
  <si>
    <t>TW switch Box 150X100X75mm</t>
  </si>
  <si>
    <t>Total for 5 points</t>
  </si>
  <si>
    <t xml:space="preserve">TAMILNADU HOUSING CORPORATION LTD </t>
  </si>
  <si>
    <t>SULLAGE DRAIN</t>
  </si>
  <si>
    <t>DETAILED ESTIMATE</t>
  </si>
  <si>
    <t>Sl.
No</t>
  </si>
  <si>
    <t>Description of Work</t>
  </si>
  <si>
    <t>Measurement</t>
  </si>
  <si>
    <t>Earth work for foundation in all soils and subsoils for open foundation  (Including refilling)</t>
  </si>
  <si>
    <t>Drain</t>
  </si>
  <si>
    <t xml:space="preserve">Supplying and Filling of sand Filling </t>
  </si>
  <si>
    <t>Add Sudrise</t>
  </si>
  <si>
    <t>Plain CC 1:5:10 for foundation and basement using 40mm HBGS metal</t>
  </si>
  <si>
    <t>for Drain</t>
  </si>
  <si>
    <t>B.W in C M 1:5</t>
  </si>
  <si>
    <t>sundrise</t>
  </si>
  <si>
    <t xml:space="preserve">Brick partition wall 110mm thick in CM 1:4 </t>
  </si>
  <si>
    <t>for drain</t>
  </si>
  <si>
    <t>Deduction for Pillers</t>
  </si>
  <si>
    <t xml:space="preserve">Plastering in CM 1:4, 12mm thick </t>
  </si>
  <si>
    <t>for drain Inner</t>
  </si>
  <si>
    <t>Plastering in CM 1:5, 12mm thick</t>
  </si>
  <si>
    <t>Top &amp; outer</t>
  </si>
  <si>
    <t>Piller off set top</t>
  </si>
  <si>
    <t>Plastering in CM 1:4, 20mm thick</t>
  </si>
  <si>
    <t>TAMILNADU POLICE HOUSING CORPORATION</t>
  </si>
  <si>
    <t xml:space="preserve">ABSTRACT ESTIMATE </t>
  </si>
  <si>
    <t xml:space="preserve">Description </t>
  </si>
  <si>
    <t>Earth work for foundation open in all soils and subsoils (Including refilling)</t>
  </si>
  <si>
    <t>b)0-2m depth</t>
  </si>
  <si>
    <t>Supplying and Filling of Sand Filling</t>
  </si>
  <si>
    <t>Cement concrete 1:5:10 using 40mm ISS metal</t>
  </si>
  <si>
    <t>Sq.m</t>
  </si>
  <si>
    <t>Brick Partition wall in CM 1:4, 114mm thick including all etc, complete</t>
  </si>
  <si>
    <t>Floor Plastering in CM 1:4, 20mm Tk, including all cost etc.,complete</t>
  </si>
  <si>
    <t>Plastering in CM 1:5, 12mm Tk, including all cost etc.,complete</t>
  </si>
  <si>
    <t>Plastering with CM 1:4, 12mm with WPC</t>
  </si>
  <si>
    <t>Per RMT</t>
  </si>
  <si>
    <t>TAMILNADU POLICE HOUSING CORPORATION LIMITED</t>
  </si>
  <si>
    <t>Detailed estimate</t>
  </si>
  <si>
    <t xml:space="preserve"> Sl .No</t>
  </si>
  <si>
    <t>Earth work excavation for Open foundation in all soils and subsoils (excluding refilling)</t>
  </si>
  <si>
    <t>Plinth protection walls around</t>
  </si>
  <si>
    <t>For wall alround</t>
  </si>
  <si>
    <t xml:space="preserve">Plain cement concrete 1:5:10 for foundation using 40mm stone jelly </t>
  </si>
  <si>
    <t xml:space="preserve">For Brick Pillers </t>
  </si>
  <si>
    <t>Brickwork partition wall in CM 1:4, 114mm thick using chamber bricks of size 9"x41/2"x3" for superstructure</t>
  </si>
  <si>
    <t>a) foundation and basement</t>
  </si>
  <si>
    <t>For Building alround</t>
  </si>
  <si>
    <t>Filling the Basement with excavated earth in layers of 150mm thick</t>
  </si>
  <si>
    <t>m3</t>
  </si>
  <si>
    <t xml:space="preserve">Precast slab 50mm thk in PCC1:3:6 mixed with fibre including laying </t>
  </si>
  <si>
    <t>Plastering with Cm 1:5, 12mm thk finishing with near cement</t>
  </si>
  <si>
    <t xml:space="preserve">For wall </t>
  </si>
  <si>
    <t>Sl.No</t>
  </si>
  <si>
    <t>Description</t>
  </si>
  <si>
    <t>Sub Total I</t>
  </si>
  <si>
    <t>GST 12%</t>
  </si>
  <si>
    <t>Sub Total II</t>
  </si>
  <si>
    <t>Supervision charges @7.5%</t>
  </si>
  <si>
    <t xml:space="preserve"> Grand Total</t>
  </si>
  <si>
    <t>Supplying and fixing of 4mm thick plain glasses etc.,</t>
  </si>
  <si>
    <t>Frount Sunshade top</t>
  </si>
  <si>
    <t xml:space="preserve">Bed Room Floor </t>
  </si>
  <si>
    <t>Kitchen Sink  Alround</t>
  </si>
  <si>
    <t>Sink bottom</t>
  </si>
  <si>
    <t>Supplying and fixing of following SN8 110mm dia  Pvc pipe  with ISI mark including cost of materials and convenience and earth work excavation and refilling trenches etc.., Below ground level .</t>
  </si>
  <si>
    <t>Provision for Jungle Clearance</t>
  </si>
  <si>
    <t>Kitchen Chimmny</t>
  </si>
  <si>
    <t>D/F For Window W2</t>
  </si>
  <si>
    <t>Add For Fround side sunshade Top and Bottom</t>
  </si>
  <si>
    <t>Stair case Door</t>
  </si>
  <si>
    <t>Removing of doors and windows shutter etc.,PWD SOR P-22 Item No.29</t>
  </si>
  <si>
    <t xml:space="preserve">Brick work wall in CM 1:5,Using Fly Ash Brick </t>
  </si>
  <si>
    <t>Supply and fixing of Three Phase Distribution Board with 4 way TPN double door MCB DB 40 Amps 4 Pole ELCB - 1, 6Amps to 32 amps SP MCB - 12 No's   with necessary cutting work etc., including cost of all materials and fixing charges all complete. CER NO.267/2018-19</t>
  </si>
  <si>
    <t xml:space="preserve">Supplying and fixing of TW single leaf glazed window shutter  for frame of overall height 135cm </t>
  </si>
  <si>
    <t>Window W</t>
  </si>
  <si>
    <t xml:space="preserve">Supplying and fixing of Stair Case light point two way including cost of materials and labours etc.., completed </t>
  </si>
  <si>
    <t xml:space="preserve">INS Qtrs- Window 1 </t>
  </si>
  <si>
    <t>INS Qtrs- Window 2</t>
  </si>
  <si>
    <t>Fround Side</t>
  </si>
  <si>
    <t xml:space="preserve">Stir case , Kitchen </t>
  </si>
  <si>
    <t xml:space="preserve">M.Bed Room </t>
  </si>
  <si>
    <t>Passage , Bath &amp; toilet</t>
  </si>
  <si>
    <t>Stair Case</t>
  </si>
  <si>
    <t>D/F for Door D</t>
  </si>
  <si>
    <t>D/F forWindow W2</t>
  </si>
  <si>
    <t>Supplying and fixing of Cuddapah Sink including cost of materials , labour and etc., completed</t>
  </si>
  <si>
    <t>INS - kitchen</t>
  </si>
  <si>
    <t>b)Ground Floor</t>
  </si>
  <si>
    <t>Kitchen Slab</t>
  </si>
  <si>
    <t>Supplying and fabricating and placing in position of mild steel grills/Ribbed tor steels for reinforcement for all floors including cost of binding wire,bending,tying and applying one coat of cement slurry etc.,all complete in all respects.</t>
  </si>
  <si>
    <t xml:space="preserve">Standardised concrete mix design M20  for all reinforced cement concrete works,namely plinth beams,tie beams,column and column footing,slabs,etc.,using 20mm gauge hard broken stone jelly and below graded coarser metal also excluding the cost and fabrication of reinforcement grills,shuttering and centering but including vibration,laying,curing,with relevent standard specification </t>
  </si>
  <si>
    <t>a) Ground Floor</t>
  </si>
  <si>
    <t>INS Alround</t>
  </si>
  <si>
    <t xml:space="preserve">SI Qtrs- Window 1 </t>
  </si>
  <si>
    <t>SI Qtrs- Window 2</t>
  </si>
  <si>
    <t>SIQtrs - Toilet &amp; bath Doors</t>
  </si>
  <si>
    <t>SI Qtrs Bath Room, Toilet &amp; Kitchen</t>
  </si>
  <si>
    <t>SI Qtrs- Toilet</t>
  </si>
  <si>
    <t>SI Quarters - 6 in 1</t>
  </si>
  <si>
    <t>SI Quarters - 2 Nos G</t>
  </si>
  <si>
    <t xml:space="preserve">SI Quarters </t>
  </si>
  <si>
    <t>Si Alround</t>
  </si>
  <si>
    <t>SiQuarters</t>
  </si>
  <si>
    <t>Add Bed Room</t>
  </si>
  <si>
    <t xml:space="preserve">Add Toilet </t>
  </si>
  <si>
    <t>For SI Quarters - 6 in 1</t>
  </si>
  <si>
    <t>For SI Quarters - 2 Nos</t>
  </si>
  <si>
    <t>Hall, Bed Room</t>
  </si>
  <si>
    <t xml:space="preserve">Ground Floor Roof </t>
  </si>
  <si>
    <t xml:space="preserve">Supply and fixing of Wash basin including cost of materials and labours etc.., completed </t>
  </si>
  <si>
    <t>EB service connection Board for Three phase</t>
  </si>
  <si>
    <t>32 Amps 500 Volts fuse unit</t>
  </si>
  <si>
    <t xml:space="preserve">TW plank 450 x 375 x 20 mm </t>
  </si>
  <si>
    <t>Earth plate ( copper ) with bolts &amp; nuts.</t>
  </si>
  <si>
    <t>LR</t>
  </si>
  <si>
    <t>Sundries such as TW plugs screws, etc.,</t>
  </si>
  <si>
    <t>Rate for  Each</t>
  </si>
  <si>
    <t>Provision for E.B Service Connection ( 4.00 x 5000)</t>
  </si>
  <si>
    <t>Provision for E.B Service Connection ( 8.00 x 5000)</t>
  </si>
  <si>
    <t>Provision for E.B Service Connection( 24.00 x 5000)</t>
  </si>
  <si>
    <t>Sl. No.</t>
  </si>
  <si>
    <t xml:space="preserve">Total Qty.
(Dev)
</t>
  </si>
  <si>
    <t xml:space="preserve">Total Qty.
(Building + Dev)
</t>
  </si>
  <si>
    <t>INS - Plinth Production</t>
  </si>
  <si>
    <t>SI - Plinth Production</t>
  </si>
  <si>
    <t>PC/HC - Plinth Production</t>
  </si>
  <si>
    <t>INS- Sullage Drain</t>
  </si>
  <si>
    <t>SI -Sullage Drain</t>
  </si>
  <si>
    <t>PC/HC -Sullage Drain</t>
  </si>
  <si>
    <t xml:space="preserve"> INS- External Elec supply</t>
  </si>
  <si>
    <t xml:space="preserve"> SI -External Elec supply</t>
  </si>
  <si>
    <t xml:space="preserve"> PC/HC - External Elec supply</t>
  </si>
  <si>
    <t>Ampont</t>
  </si>
  <si>
    <t>`</t>
  </si>
  <si>
    <t>INS Qtrs Bath Room, Toilet &amp; Kitchen</t>
  </si>
  <si>
    <t>INS Qtrs- Toilet</t>
  </si>
  <si>
    <t>COIMBATORE DIVISION</t>
  </si>
  <si>
    <t>RCC SUMP</t>
  </si>
  <si>
    <t>Abstract estimate</t>
  </si>
  <si>
    <t>Earth work for foundation in all soils 
&amp; Sub soils Excluding Refilling)</t>
  </si>
  <si>
    <t>a) 0-2m depth</t>
  </si>
  <si>
    <t xml:space="preserve">Sump </t>
  </si>
  <si>
    <r>
      <t xml:space="preserve"> (∏x3.46</t>
    </r>
    <r>
      <rPr>
        <vertAlign val="superscript"/>
        <sz val="13"/>
        <color indexed="8"/>
        <rFont val="Times New Roman"/>
        <family val="1"/>
      </rPr>
      <t>2</t>
    </r>
    <r>
      <rPr>
        <sz val="13"/>
        <color indexed="8"/>
        <rFont val="Times New Roman"/>
        <family val="1"/>
      </rPr>
      <t>/4)</t>
    </r>
  </si>
  <si>
    <t>b)2-3m depth</t>
  </si>
  <si>
    <t>Filling in foundation &amp; Basement 
with filling sand</t>
  </si>
  <si>
    <t>SAY</t>
  </si>
  <si>
    <t>CC 1:5:10 using 40mm ISS metal in foundation &amp; Basement</t>
  </si>
  <si>
    <t>Standardised concrete Mix M20 Grade Concrete for foundation and Basement</t>
  </si>
  <si>
    <t>Coverslab</t>
  </si>
  <si>
    <r>
      <t xml:space="preserve"> (∏x3.16</t>
    </r>
    <r>
      <rPr>
        <vertAlign val="superscript"/>
        <sz val="13"/>
        <color indexed="8"/>
        <rFont val="Times New Roman"/>
        <family val="1"/>
      </rPr>
      <t>2</t>
    </r>
    <r>
      <rPr>
        <sz val="13"/>
        <color indexed="8"/>
        <rFont val="Times New Roman"/>
        <family val="1"/>
      </rPr>
      <t>/4)</t>
    </r>
  </si>
  <si>
    <t>Manhole</t>
  </si>
  <si>
    <t>Side wall</t>
  </si>
  <si>
    <t>∏ x 2.88</t>
  </si>
  <si>
    <t>Inner wall</t>
  </si>
  <si>
    <t>∏x 2.615</t>
  </si>
  <si>
    <t>Outter wall</t>
  </si>
  <si>
    <t>∏x3.045</t>
  </si>
  <si>
    <t xml:space="preserve">Filling  in basement with excavated earth </t>
  </si>
  <si>
    <t xml:space="preserve"> (∏x3.31)</t>
  </si>
  <si>
    <t>Sump Outter wall</t>
  </si>
  <si>
    <t>∏x3.16</t>
  </si>
  <si>
    <t>Plastering with CM 1:3, 12mm with WPC</t>
  </si>
  <si>
    <t>Sump inner wall</t>
  </si>
  <si>
    <t>∏x2.50</t>
  </si>
  <si>
    <t xml:space="preserve">                                                                                                                                                                                                                                                                                                                     </t>
  </si>
  <si>
    <t>Sump bottom</t>
  </si>
  <si>
    <r>
      <t xml:space="preserve"> (∏x2.50</t>
    </r>
    <r>
      <rPr>
        <vertAlign val="superscript"/>
        <sz val="13"/>
        <color indexed="8"/>
        <rFont val="Times New Roman"/>
        <family val="1"/>
      </rPr>
      <t>2</t>
    </r>
    <r>
      <rPr>
        <sz val="13"/>
        <color indexed="8"/>
        <rFont val="Times New Roman"/>
        <family val="1"/>
      </rPr>
      <t>/4)</t>
    </r>
  </si>
  <si>
    <t>Supplying and fixing of CI Steps (5Kg)</t>
  </si>
  <si>
    <t>For sump</t>
  </si>
  <si>
    <t>Form work using MS Sheet</t>
  </si>
  <si>
    <r>
      <rPr>
        <b/>
        <sz val="13"/>
        <color indexed="8"/>
        <rFont val="Times New Roman"/>
        <family val="1"/>
      </rPr>
      <t xml:space="preserve">a)In foundation </t>
    </r>
    <r>
      <rPr>
        <sz val="13"/>
        <color indexed="8"/>
        <rFont val="Times New Roman"/>
        <family val="1"/>
      </rPr>
      <t>:Man Hole cover slab</t>
    </r>
  </si>
  <si>
    <t xml:space="preserve">e)For circular surface: </t>
  </si>
  <si>
    <t>Base slab sides</t>
  </si>
  <si>
    <t>cover slab bottom</t>
  </si>
  <si>
    <t>cover slab sides</t>
  </si>
  <si>
    <t>D/f Man Hole cover</t>
  </si>
  <si>
    <t xml:space="preserve">Supplying ,fbrication and placing in position of MS/RTS Grills </t>
  </si>
  <si>
    <t>Qty as per Item No : 4.1</t>
  </si>
  <si>
    <t>x</t>
  </si>
  <si>
    <r>
      <t>100 Kg/m</t>
    </r>
    <r>
      <rPr>
        <vertAlign val="superscript"/>
        <sz val="13"/>
        <color indexed="8"/>
        <rFont val="Times New Roman"/>
        <family val="1"/>
      </rPr>
      <t>3</t>
    </r>
  </si>
  <si>
    <t>Kg (or)</t>
  </si>
  <si>
    <t>Supplying and fixing of CI Man Hole cover slab 60 x 60</t>
  </si>
  <si>
    <t>I</t>
  </si>
  <si>
    <t>SUMP</t>
  </si>
  <si>
    <t>1)</t>
  </si>
  <si>
    <t>Earth work for foundation in all soils and subsoils (Including refilling)</t>
  </si>
  <si>
    <t>2)</t>
  </si>
  <si>
    <t>Supplying and filling sand in layers 15cm thick etc., complete</t>
  </si>
  <si>
    <t>5)</t>
  </si>
  <si>
    <t>6)</t>
  </si>
  <si>
    <t>7)</t>
  </si>
  <si>
    <t>8)</t>
  </si>
  <si>
    <t>9)</t>
  </si>
  <si>
    <t>10)</t>
  </si>
  <si>
    <t>11)</t>
  </si>
  <si>
    <t>12)</t>
  </si>
  <si>
    <t>a)In foundation</t>
  </si>
  <si>
    <t xml:space="preserve">b)For circular surface: </t>
  </si>
  <si>
    <t>13)</t>
  </si>
  <si>
    <t>14)</t>
  </si>
  <si>
    <t>Sump</t>
  </si>
  <si>
    <t>a)Foundation and basement</t>
  </si>
  <si>
    <t xml:space="preserve">b)Ground floor </t>
  </si>
  <si>
    <t>c)first Floor</t>
  </si>
  <si>
    <t>GST 12 %</t>
  </si>
  <si>
    <t>Provision for E.B Service Connection (37 x 5000)</t>
  </si>
  <si>
    <t>Name of work: Providing Special Repair works for 5 Nos INS, 8 Nos SI, 24 Nos PC/HC Quarters  at Church Hill Ooty in the Nilgiri District</t>
  </si>
  <si>
    <t>Stair Case Bottom</t>
  </si>
  <si>
    <t>Stair Handriles</t>
  </si>
  <si>
    <t>Kitchn C/B wall</t>
  </si>
  <si>
    <t>Kitchen C/B slab Top &amp; Bot</t>
  </si>
  <si>
    <t>Door James</t>
  </si>
  <si>
    <t>Bed Room C/B Wall</t>
  </si>
  <si>
    <t>Bed Room C/B Slab</t>
  </si>
  <si>
    <t>Inner Door James</t>
  </si>
  <si>
    <t>Door &amp; window Fround side sunshade Wall</t>
  </si>
  <si>
    <t>First Floor Window Sun sahde</t>
  </si>
  <si>
    <t>Window W3 james</t>
  </si>
  <si>
    <t>Window W2 James</t>
  </si>
  <si>
    <t xml:space="preserve"> Window( W) Sunshde</t>
  </si>
  <si>
    <t xml:space="preserve"> Window( W)James</t>
  </si>
  <si>
    <t>Ventilator James</t>
  </si>
  <si>
    <t>Rear Side Window W1 Sunshade</t>
  </si>
  <si>
    <t>Rear Side Window W1 James</t>
  </si>
  <si>
    <t>Rear Side Window W James</t>
  </si>
  <si>
    <t>Rain water pipe</t>
  </si>
  <si>
    <t>Drinking water pipe</t>
  </si>
  <si>
    <t xml:space="preserve">Painting the New wood work two coats including cost of materials and labours etc.., completed </t>
  </si>
  <si>
    <t xml:space="preserve">Run off  2 wire of 2.5 sq mm multi strand flexible cable including cost of materials and labours etc.., completed </t>
  </si>
  <si>
    <t>Main to DB</t>
  </si>
  <si>
    <t xml:space="preserve">Rmt </t>
  </si>
  <si>
    <t>Toilet heater</t>
  </si>
  <si>
    <t xml:space="preserve">Run off  2 wire of 4 sq mm multi strand flexible cable including cost of materials and labours etc.., completed </t>
  </si>
  <si>
    <t>Frount window &amp; Door Sunshade</t>
  </si>
  <si>
    <t>Door Pillar</t>
  </si>
  <si>
    <t>Door james</t>
  </si>
  <si>
    <t>Window w2 james</t>
  </si>
  <si>
    <t>Window w2Sunshade</t>
  </si>
  <si>
    <t xml:space="preserve">Rear side Sunshade </t>
  </si>
  <si>
    <t>W1 James</t>
  </si>
  <si>
    <t>Rear side door</t>
  </si>
  <si>
    <t>Window Sunshade</t>
  </si>
  <si>
    <t>James`</t>
  </si>
  <si>
    <t>W1 Sunshade</t>
  </si>
  <si>
    <t>ventilator Sunade</t>
  </si>
  <si>
    <t>Heater Point</t>
  </si>
  <si>
    <t xml:space="preserve">Ins Quarters </t>
  </si>
  <si>
    <t>Si Quarets</t>
  </si>
  <si>
    <t>INS Quartes</t>
  </si>
  <si>
    <t>SI Quartes</t>
  </si>
  <si>
    <t>PC/HC Quartes</t>
  </si>
  <si>
    <t>D/F Verandha Open</t>
  </si>
  <si>
    <t>Verandha Window james</t>
  </si>
  <si>
    <t>Stair case Handril</t>
  </si>
  <si>
    <t>D/F Door D2</t>
  </si>
  <si>
    <t>D/F open</t>
  </si>
  <si>
    <t>Frount sunsahde</t>
  </si>
  <si>
    <t>W Sunshade</t>
  </si>
  <si>
    <t>W James</t>
  </si>
  <si>
    <t>W 1 Sunshde</t>
  </si>
  <si>
    <t>W 1 James</t>
  </si>
  <si>
    <t>w 2 Sunshade</t>
  </si>
  <si>
    <t>W2 James</t>
  </si>
  <si>
    <t>Ventilatior james</t>
  </si>
  <si>
    <t xml:space="preserve">Door Sunshade Rear </t>
  </si>
  <si>
    <t>Stair Case Sunshade</t>
  </si>
  <si>
    <t>(0.90+0.40/2)</t>
  </si>
  <si>
    <t>Door D2</t>
  </si>
  <si>
    <t>Door D2 James</t>
  </si>
  <si>
    <r>
      <t>m</t>
    </r>
    <r>
      <rPr>
        <b/>
        <vertAlign val="superscript"/>
        <sz val="12"/>
        <color theme="1"/>
        <rFont val="Times New Roman"/>
        <family val="1"/>
      </rPr>
      <t>3</t>
    </r>
  </si>
  <si>
    <r>
      <t>Brick work in C.M. 1:6</t>
    </r>
    <r>
      <rPr>
        <sz val="12"/>
        <rFont val="Times New Roman"/>
        <family val="1"/>
      </rPr>
      <t xml:space="preserve"> using chamber Burnt bricks of size 23 x 11.4 x 7.5 cm (9" x 4 1/2"x 3")</t>
    </r>
  </si>
  <si>
    <r>
      <t>m</t>
    </r>
    <r>
      <rPr>
        <b/>
        <vertAlign val="superscript"/>
        <sz val="12"/>
        <color theme="1"/>
        <rFont val="Times New Roman"/>
        <family val="1"/>
      </rPr>
      <t>2</t>
    </r>
  </si>
  <si>
    <t>Ins Quarters</t>
  </si>
  <si>
    <t xml:space="preserve">PC / HC Quarters </t>
  </si>
  <si>
    <t>Borewell &amp; External water supply</t>
  </si>
  <si>
    <r>
      <t xml:space="preserve">Earth work excavation in all soils </t>
    </r>
    <r>
      <rPr>
        <b/>
        <sz val="18"/>
        <rFont val="Arial"/>
        <family val="2"/>
      </rPr>
      <t>(including refilling)</t>
    </r>
  </si>
  <si>
    <t>a. 0 to 2 mt.</t>
  </si>
  <si>
    <t>Cum.</t>
  </si>
  <si>
    <t>b. 2 to 3 mt.</t>
  </si>
  <si>
    <r>
      <t xml:space="preserve">Earth work excavation in all soils </t>
    </r>
    <r>
      <rPr>
        <b/>
        <sz val="18"/>
        <rFont val="Arial"/>
        <family val="2"/>
      </rPr>
      <t>(excluding refilling)</t>
    </r>
  </si>
  <si>
    <r>
      <t xml:space="preserve">Earth work excavation in </t>
    </r>
    <r>
      <rPr>
        <b/>
        <sz val="20"/>
        <rFont val="Arial"/>
        <family val="2"/>
      </rPr>
      <t>Soft disintegrated rock  (including refilling)</t>
    </r>
  </si>
  <si>
    <r>
      <t xml:space="preserve">Earth work excavation for Open foundation </t>
    </r>
    <r>
      <rPr>
        <b/>
        <sz val="18"/>
        <rFont val="Arial"/>
        <family val="2"/>
      </rPr>
      <t>(including refilling)</t>
    </r>
  </si>
  <si>
    <r>
      <t xml:space="preserve">Earth work excavation for </t>
    </r>
    <r>
      <rPr>
        <b/>
        <sz val="18"/>
        <rFont val="Arial"/>
        <family val="2"/>
      </rPr>
      <t xml:space="preserve">Open foundation </t>
    </r>
    <r>
      <rPr>
        <sz val="18"/>
        <rFont val="Arial"/>
        <family val="2"/>
      </rPr>
      <t>(excluding refilling)</t>
    </r>
  </si>
  <si>
    <t>c. 3 to 4 mt.</t>
  </si>
  <si>
    <t>d. 4 to 5 mt.</t>
  </si>
  <si>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</si>
  <si>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</si>
  <si>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</si>
  <si>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t>Providing Driven PILES</t>
  </si>
  <si>
    <t>a.300mm dia</t>
  </si>
  <si>
    <t>b.330mm dia</t>
  </si>
  <si>
    <t>c.375mm dia</t>
  </si>
  <si>
    <t>d.400mm dia</t>
  </si>
  <si>
    <t>e.450mm dia</t>
  </si>
  <si>
    <t>f.500mm dia</t>
  </si>
  <si>
    <t>Sand Gravel Mix</t>
  </si>
  <si>
    <t>Supply and filling of 40 mm Brick jelly</t>
  </si>
  <si>
    <t>Supply and filling of 20 mm Brick jelly</t>
  </si>
  <si>
    <t>Gravel soling</t>
  </si>
  <si>
    <t>Supply and filling of 40 mm HBSJ</t>
  </si>
  <si>
    <t>Supply and filling of 20 mm HBSJ</t>
  </si>
  <si>
    <t>C.C.1:5:10 for Foundation &amp; Basement</t>
  </si>
  <si>
    <t>P.C.C. 1:2:4 for Foundation &amp; Basement and other similar works</t>
  </si>
  <si>
    <t>P.C.C. 1:8:16 using 20 mm broken brick jelly</t>
  </si>
  <si>
    <t>Providing  WBM 125  mm consolidated thick with gravel blindage</t>
  </si>
  <si>
    <t>Sqm.</t>
  </si>
  <si>
    <t>Surface dressing over WBM  25 mm thick</t>
  </si>
  <si>
    <t>Providing  WBM 125  mm consolidated thick with gravel blindage
(IRC 63 to 45mm for 75mm thick and 37.5 to 26.5mm for 50.mm thick)</t>
  </si>
  <si>
    <t>Surface dressing over WBM  25 mm tk.
with pre-coated chips using 11.2mm size IRC</t>
  </si>
  <si>
    <r>
      <t xml:space="preserve">R.C.C. 1:2:4 </t>
    </r>
    <r>
      <rPr>
        <sz val="18"/>
        <rFont val="Arial"/>
        <family val="2"/>
      </rPr>
      <t>Foundation and Basement</t>
    </r>
  </si>
  <si>
    <r>
      <t xml:space="preserve">R.C.C. 1: 11/2: 3 </t>
    </r>
    <r>
      <rPr>
        <sz val="18"/>
        <rFont val="Arial"/>
        <family val="2"/>
      </rPr>
      <t>Foundation and Basement</t>
    </r>
  </si>
  <si>
    <t>R.R. masonry in C.M. 1:5 Foundation and Basment</t>
  </si>
  <si>
    <r>
      <t>Brick work in C.M. 1:5 (F&amp; B)</t>
    </r>
    <r>
      <rPr>
        <sz val="18"/>
        <rFont val="Arial"/>
        <family val="2"/>
      </rPr>
      <t xml:space="preserve"> using Chamber Burnt brick of size 23 x 11.2 x 7 cm (9" x 4 3/8" x 2 3/4")</t>
    </r>
  </si>
  <si>
    <r>
      <t>Brick work in C.M. 1:5 (F&amp; B)</t>
    </r>
    <r>
      <rPr>
        <sz val="18"/>
        <rFont val="Arial"/>
        <family val="2"/>
      </rPr>
      <t xml:space="preserve"> using chamber Burnt bricks of size 23 x 11.4 x 7.5 cm (9" x 4 1/2"x 3")</t>
    </r>
  </si>
  <si>
    <r>
      <t>Brick work in C.M. 1:5 (F&amp; B)</t>
    </r>
    <r>
      <rPr>
        <sz val="1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</si>
  <si>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</si>
  <si>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rFont val="Arial"/>
        <family val="2"/>
      </rPr>
      <t xml:space="preserve"> using Kiln Burnt Country bricks of size 22 x 11 x 7 cm (8 3/4" x 4 1/4" x 2 3/4")</t>
    </r>
  </si>
  <si>
    <r>
      <t>Brick work in C.M. 1:5 (F&amp; B)</t>
    </r>
    <r>
      <rPr>
        <sz val="18"/>
        <rFont val="Arial"/>
        <family val="2"/>
      </rPr>
      <t xml:space="preserve"> using Kiln Burnt Country bricks of size 22 x 11 x 5.7 cm (8 3/4" x 4 1/4" x 2 1/4")</t>
    </r>
  </si>
  <si>
    <r>
      <t>Damp Proof Course
in C.M. 1:4, 12 MM thick</t>
    </r>
    <r>
      <rPr>
        <sz val="18"/>
        <rFont val="Arial"/>
        <family val="2"/>
      </rPr>
      <t xml:space="preserve"> mixed with Crude oil</t>
    </r>
  </si>
  <si>
    <r>
      <t>Supply and fixing of</t>
    </r>
    <r>
      <rPr>
        <b/>
        <sz val="18"/>
        <rFont val="Arial"/>
        <family val="2"/>
      </rPr>
      <t xml:space="preserve"> Bituminous filler pad,</t>
    </r>
    <r>
      <rPr>
        <sz val="18"/>
        <rFont val="Arial"/>
        <family val="2"/>
      </rPr>
      <t xml:space="preserve"> 20 mm tk. for expansion joint</t>
    </r>
  </si>
  <si>
    <r>
      <t xml:space="preserve">Damp Proof Course </t>
    </r>
    <r>
      <rPr>
        <sz val="18"/>
        <rFont val="Arial"/>
        <family val="2"/>
      </rPr>
      <t>in C.M. 1:4, 12 MM thick mixed with Water proofing compound</t>
    </r>
  </si>
  <si>
    <t>R.C.C.1:2:4</t>
  </si>
  <si>
    <t>a. In Ground floor</t>
  </si>
  <si>
    <t>b. In First floor</t>
  </si>
  <si>
    <t>c. In Second floor</t>
  </si>
  <si>
    <t>d. In Third floor</t>
  </si>
  <si>
    <t>e.  In Fourth floor</t>
  </si>
  <si>
    <t>R.C.C.1: 1 1/2 :3</t>
  </si>
  <si>
    <t>f.  In Fifth floor</t>
  </si>
  <si>
    <t>g.  In sixth floor</t>
  </si>
  <si>
    <t>h.  In seventh floor</t>
  </si>
  <si>
    <t>i.  In eighth floor</t>
  </si>
  <si>
    <t>j.  In Ninth floor</t>
  </si>
  <si>
    <t>k.  In Tenth floor</t>
  </si>
  <si>
    <t>l.  In Eleventh floor</t>
  </si>
  <si>
    <t>m.  In Twelth floor</t>
  </si>
  <si>
    <t>Brick work in C.M. 1:6  using Chamber Burnt brick of size 23 x 11.2 x 7 cm (9" x 4 3/8" x 2 3/4")</t>
  </si>
  <si>
    <t>c. In Second Floor</t>
  </si>
  <si>
    <t>d. In Third Floor</t>
  </si>
  <si>
    <t>e. In Fourth Floor</t>
  </si>
  <si>
    <r>
      <t>Brick work in C.M. 1:6</t>
    </r>
    <r>
      <rPr>
        <sz val="18"/>
        <rFont val="Arial"/>
        <family val="2"/>
      </rPr>
      <t xml:space="preserve"> using chamber Burnt bricks of size 23 x 11.4 x 7.5 cm (9" x 4 1/2"x 3")</t>
    </r>
  </si>
  <si>
    <t>a. In Ground Floor/Stilt floor</t>
  </si>
  <si>
    <t>n. In thirteen floor</t>
  </si>
  <si>
    <t>Brick work in C.M. 1:6  using Chamber Burnt brick of size 23 x 11 x 7 cm (9" x 4 1/4" x 2 3/4")</t>
  </si>
  <si>
    <r>
      <t>Brick work in C.M. 1:6</t>
    </r>
    <r>
      <rPr>
        <b/>
        <sz val="18"/>
        <rFont val="Arial"/>
        <family val="2"/>
      </rPr>
      <t xml:space="preserve"> </t>
    </r>
    <r>
      <rPr>
        <sz val="18"/>
        <rFont val="Arial"/>
        <family val="2"/>
      </rPr>
      <t xml:space="preserve"> using Chamber Burnt brick of size 22 x 11 x 7 cm (8 3/4" x 4 1/4" x 2 3/4")</t>
    </r>
  </si>
  <si>
    <t>Brick work in C.M. 1:6  using Kiln Burnt Country bricks of size 22 x 11 x 7 cm ( 8 3/4" x 4 1/4" x 2 3/4")</t>
  </si>
  <si>
    <t>Brick work in C.M. 1:6  using Kiln Burnt Country bricks of size 22 x 11 x 5.7 cm (8 3/4" x 4 1/4" x 2 1/4")</t>
  </si>
  <si>
    <r>
      <t xml:space="preserve">Brick partition work in C.M. 1:4 </t>
    </r>
    <r>
      <rPr>
        <sz val="18"/>
        <rFont val="Arial"/>
        <family val="2"/>
      </rPr>
      <t xml:space="preserve">
Chamber Burnt brick of size 23 x 11.2 x 7 cm (9" x 4 3/8" x 2 3/4")</t>
    </r>
    <r>
      <rPr>
        <b/>
        <sz val="18"/>
        <rFont val="Arial"/>
        <family val="2"/>
      </rPr>
      <t>112 mm tk (B.P.)</t>
    </r>
  </si>
  <si>
    <t>a. In Foundation and basement</t>
  </si>
  <si>
    <t>b. In Ground Floor</t>
  </si>
  <si>
    <t>c. In First Floor</t>
  </si>
  <si>
    <t>d. In Second Floor</t>
  </si>
  <si>
    <t>e. In Third Floor</t>
  </si>
  <si>
    <t>f. In Fourth Floor</t>
  </si>
  <si>
    <r>
      <t xml:space="preserve">Brick partition work in C.M. 1:4 </t>
    </r>
    <r>
      <rPr>
        <sz val="18"/>
        <rFont val="Arial"/>
        <family val="2"/>
      </rPr>
      <t xml:space="preserve">using chamber Burnt bricks of size 23 x 11.4 x 7.5 cm (9" x 4 1/2"x 3") </t>
    </r>
    <r>
      <rPr>
        <b/>
        <sz val="18"/>
        <rFont val="Arial"/>
        <family val="2"/>
      </rPr>
      <t>114 mm tk (B.P.)</t>
    </r>
  </si>
  <si>
    <t>b. In Ground Floor/stilt floor</t>
  </si>
  <si>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</si>
  <si>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</si>
  <si>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</si>
  <si>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</si>
  <si>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</si>
  <si>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18"/>
        <rFont val="Arial"/>
        <family val="2"/>
      </rPr>
      <t xml:space="preserve">using chamber Burnt bricks of size 23 x 11.4 x 7.5 cm (9" x 4 1/2"x 3") </t>
    </r>
    <r>
      <rPr>
        <b/>
        <sz val="18"/>
        <rFont val="Arial"/>
        <family val="2"/>
      </rPr>
      <t>75 mm tk (B.P.)</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</si>
  <si>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</si>
  <si>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</si>
  <si>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</si>
  <si>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</si>
  <si>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t>Brick partition in C.M. 1:4 using country bricks of size 22 x11x5cm 50 mm thick</t>
  </si>
  <si>
    <t xml:space="preserve">Brick partition in C.M. 1:4 50 mm tk. (B.P.)
Kiln Burnt Country brick: 23 x 11 x 5 cm 
(9" x 4 1/4" x 2") </t>
  </si>
  <si>
    <t>Filling with Excavated Earth</t>
  </si>
  <si>
    <t>Filling with Excavated Earth Mixed with lime in the proporation 1:4 (one of lime &amp; four of earth)</t>
  </si>
  <si>
    <t>Precast Cupboard slab 20 mm tk.</t>
  </si>
  <si>
    <t>Precast cupboard slab 40 mm tk.</t>
  </si>
  <si>
    <t>a. In Foundation &amp; basement</t>
  </si>
  <si>
    <t>b. In Ground floor</t>
  </si>
  <si>
    <t>c. In First floor</t>
  </si>
  <si>
    <t>d. In Second floor</t>
  </si>
  <si>
    <t>e. In Third floor</t>
  </si>
  <si>
    <t>f.  In Fourth floor</t>
  </si>
  <si>
    <t>Cuddappa slab 20 mm tk.</t>
  </si>
  <si>
    <t>Cuddappa slab 40 mm tk.</t>
  </si>
  <si>
    <r>
      <t xml:space="preserve">Precast </t>
    </r>
    <r>
      <rPr>
        <b/>
        <sz val="18"/>
        <rFont val="Arial"/>
        <family val="2"/>
      </rPr>
      <t>Jally ventilator 50mm tk.</t>
    </r>
  </si>
  <si>
    <t>Supplying &amp; fixing of Terra cotta jolly (not less than 50mm)</t>
  </si>
  <si>
    <t>Supplying &amp; fixing of Terra cotta jolly (more than  50mm  upto 110 mm)</t>
  </si>
  <si>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</si>
  <si>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</si>
  <si>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</si>
  <si>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t>Form work - Plinth beam (C.W. planks)</t>
  </si>
  <si>
    <t>R.C.C.Door frame</t>
  </si>
  <si>
    <t>a. 900 x 2100 mm</t>
  </si>
  <si>
    <t>b. 700 x 2100 mm</t>
  </si>
  <si>
    <t>c. 1000 x 2100 mm</t>
  </si>
  <si>
    <t>Teak wood Wrought &amp; Put up</t>
  </si>
  <si>
    <t>a. T.W. over 2 m &amp; below 3 m</t>
  </si>
  <si>
    <t>b. T.W. below 2 m length.</t>
  </si>
  <si>
    <t xml:space="preserve">PVC Door frame &amp; shutter  
</t>
  </si>
  <si>
    <t>Teak wood panelled door shutters</t>
  </si>
  <si>
    <t>a. 1000 x 2100 mm</t>
  </si>
  <si>
    <t>b. 900 x 2100 mm</t>
  </si>
  <si>
    <t>c. 700 x 2100 mm</t>
  </si>
  <si>
    <t>d. 1200 x 2100 mm (Single) annexure item</t>
  </si>
  <si>
    <t>Teak wood "Window" &amp;  Ventilator Shutter</t>
  </si>
  <si>
    <t>a. Window: 135 cm ht.</t>
  </si>
  <si>
    <t>b. Window: 120 cm ht.</t>
  </si>
  <si>
    <t>c. Window: 105 cm ht.</t>
  </si>
  <si>
    <t>d. Ventilator: (90 x 60 cm)</t>
  </si>
  <si>
    <t>T.W. double leaf shutters for cup board/ ward robes</t>
  </si>
  <si>
    <t>T.W. single leaf  Door shutters using    9 mm tk. phynol bonded BWR plywood</t>
  </si>
  <si>
    <t>Glass panels with Aluminium beedings</t>
  </si>
  <si>
    <t>S&amp;F of Magnetic door catches</t>
  </si>
  <si>
    <t xml:space="preserve">Supply and fixing of Aluminium window with 3mm thick Glass </t>
  </si>
  <si>
    <t>a. 1.8 x 1.35 mt.window</t>
  </si>
  <si>
    <t>b. 1.35 x 1.35 mt.window</t>
  </si>
  <si>
    <t>c. 1.35 x  1.05 mt window</t>
  </si>
  <si>
    <t>d. 1.2 x 1.35 mt window</t>
  </si>
  <si>
    <t>e. 1.2 x 1.05 mt window</t>
  </si>
  <si>
    <t>f. 1.05 x 1.35 mt window</t>
  </si>
  <si>
    <t>g. 0.9 x 1.35 mt window</t>
  </si>
  <si>
    <t>h. 0.9 x 1.05 mt window</t>
  </si>
  <si>
    <t>i. 0.5 x 1.35 mt window</t>
  </si>
  <si>
    <t>j. 0.45 x 1.35 mt window</t>
  </si>
  <si>
    <t>k.0.90 x 0.60 mt.Ventilator</t>
  </si>
  <si>
    <t>l. 0.60 x 0.60 mt.Ventilator</t>
  </si>
  <si>
    <t>Manufacturing &amp; supply of steel windows (Weight basis)</t>
  </si>
  <si>
    <t>M.S.Holdfast</t>
  </si>
  <si>
    <t>Flooring in C.C.1:5:10</t>
  </si>
  <si>
    <t>B.w. in C.M. 1:4 for staircase steps Chamber
 burnt bricks 23 x 11.2 x 7 cm.</t>
  </si>
  <si>
    <t>B.w. in C.M. 1:4 for staircase steps Chamber
 burnt bricks 23 x 11.4 x 7.5 cm.</t>
  </si>
  <si>
    <t>B.w. in C.M. 1:4 for staircase steps Chamber 
burnt bricks  23 x 11 x 7 cm.</t>
  </si>
  <si>
    <t>B.w. in C.M. 1:4 for staircase steps Chamber
 burnt bricks 22 x 11 x 7 cm.</t>
  </si>
  <si>
    <t>B.w. in C.M. 1:4 for staircase steps Kiln burnt country bricks 22 x 11 x 7 cm.</t>
  </si>
  <si>
    <t>B.w. in C.M. 1:4 for staircase steps Kiln burnt country bricks 22 x 11 x 5.7 cm.</t>
  </si>
  <si>
    <r>
      <t>Floor plastering</t>
    </r>
    <r>
      <rPr>
        <sz val="18"/>
        <rFont val="Arial"/>
        <family val="2"/>
      </rPr>
      <t xml:space="preserve"> in C.M. 1:4, 20 mm tk.</t>
    </r>
  </si>
  <si>
    <r>
      <t xml:space="preserve">Mosaic tiles </t>
    </r>
    <r>
      <rPr>
        <sz val="18"/>
        <rFont val="Arial"/>
        <family val="2"/>
      </rPr>
      <t>20 cm x 20 cm x 2 cm.</t>
    </r>
  </si>
  <si>
    <r>
      <t xml:space="preserve">Mosaic tiles </t>
    </r>
    <r>
      <rPr>
        <sz val="18"/>
        <rFont val="Arial"/>
        <family val="2"/>
      </rPr>
      <t>25 cm x 25 cm x 2 cm.</t>
    </r>
  </si>
  <si>
    <t>Floor ceramic tiles</t>
  </si>
  <si>
    <t>Glazed tiles</t>
  </si>
  <si>
    <t>Floor ceramic tiles (Anti-skid)</t>
  </si>
  <si>
    <t>Ellispattern</t>
  </si>
  <si>
    <t>Weathering course</t>
  </si>
  <si>
    <t>Pressed tiles (23cmx23cmx20mm) mixed with Crude oil</t>
  </si>
  <si>
    <t>Pressed tiles (23cmx23cmx20mm) mixed with Water proofing compound</t>
  </si>
  <si>
    <t>Pressed tiles (23cmx23cmx18mm) mixed with Water proofing compound</t>
  </si>
  <si>
    <t>Plastering in C.M. 1:5, 12 mm tk.</t>
  </si>
  <si>
    <t>Plastering in C.M. 1:4, 12 mm tk.</t>
  </si>
  <si>
    <t>Spl. Ceiling plastering in C.M. 1:3,
 10 mm tk.</t>
  </si>
  <si>
    <t>Providing Ornamental work engaging skilled Mason I Class / Shape design works/ stapahy works</t>
  </si>
  <si>
    <t>Providing ornamental border design for bottom shape works (9"x9") 25mm tk projection / stapay works</t>
  </si>
  <si>
    <t>Providing Elevation grooves of size 25x6mm</t>
  </si>
  <si>
    <r>
      <t>Colour washing</t>
    </r>
    <r>
      <rPr>
        <b/>
        <sz val="18"/>
        <rFont val="Arial"/>
        <family val="2"/>
      </rPr>
      <t xml:space="preserve">  ( slaked)</t>
    </r>
  </si>
  <si>
    <t>Cement paint</t>
  </si>
  <si>
    <t>M.s Grills</t>
  </si>
  <si>
    <t>Painting - New "wood work"</t>
  </si>
  <si>
    <t>Painting - New "iron work"</t>
  </si>
  <si>
    <r>
      <t xml:space="preserve">Fabrication of </t>
    </r>
    <r>
      <rPr>
        <b/>
        <sz val="18"/>
        <rFont val="Arial"/>
        <family val="2"/>
      </rPr>
      <t xml:space="preserve">Mild steel / RTS grills
</t>
    </r>
    <r>
      <rPr>
        <sz val="18"/>
        <rFont val="Arial"/>
        <family val="2"/>
      </rPr>
      <t>(with cement slurry wash)</t>
    </r>
  </si>
  <si>
    <t>a. upto 16mm dia rods</t>
  </si>
  <si>
    <t>b. above 16mm dia rods</t>
  </si>
  <si>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</si>
  <si>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</si>
  <si>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t>Rain Water Harvesting using Defunct borewell method</t>
  </si>
  <si>
    <r>
      <t>Stucco</t>
    </r>
    <r>
      <rPr>
        <sz val="20"/>
        <rFont val="Arial"/>
        <family val="2"/>
      </rPr>
      <t xml:space="preserve"> plastering 12 mm tk.</t>
    </r>
  </si>
  <si>
    <t>S &amp; F 20 mm dia Alu. Hanger Rod</t>
  </si>
  <si>
    <t>S &amp; F Alu  Towel rail 75 cm long</t>
  </si>
  <si>
    <t>S &amp; F 5 pin Coat stand</t>
  </si>
  <si>
    <t>S &amp; F chromium plated 8 guage Picture Hook</t>
  </si>
  <si>
    <t>Precast slab 50 mm tk.in C.C. 1:3:6</t>
  </si>
  <si>
    <t>Supply and planting avenue trees</t>
  </si>
  <si>
    <t>Providing Tree guard</t>
  </si>
  <si>
    <t>Supplying. Fabricating and erection of M.S Scheme Name board</t>
  </si>
  <si>
    <t>HDPE water tank 700 lit capacity with ISI mark</t>
  </si>
  <si>
    <t>PVC Water supply (ASTM)</t>
  </si>
  <si>
    <t xml:space="preserve">a. 32 mm dia </t>
  </si>
  <si>
    <t xml:space="preserve">b. 25 mm dia </t>
  </si>
  <si>
    <t xml:space="preserve">c. 20 mm dia </t>
  </si>
  <si>
    <t>G.I Pipe 20mm dia for Hot water line (Fully Concealed in walls)</t>
  </si>
  <si>
    <t>Wash basin</t>
  </si>
  <si>
    <t>S &amp; F  of  C.I. Manhole cover 45 x 45 cm
 (20 kg. weight)</t>
  </si>
  <si>
    <t>C.I. Steps ( 5 kg)</t>
  </si>
  <si>
    <t>Brass tap (with ISI mark)</t>
  </si>
  <si>
    <t xml:space="preserve">C.P tap long body </t>
  </si>
  <si>
    <t xml:space="preserve">C.P tap short body </t>
  </si>
  <si>
    <t>Squat Urinal</t>
  </si>
  <si>
    <t>Flat Back Urinal</t>
  </si>
  <si>
    <t xml:space="preserve">S &amp; F of Orissapan  - in G.F.  </t>
  </si>
  <si>
    <t xml:space="preserve">S &amp; F of Orissapan - other than G.F. </t>
  </si>
  <si>
    <t>S &amp; F of E.W.C.(white)</t>
  </si>
  <si>
    <t>S &amp; F of E.W.C.(colour)</t>
  </si>
  <si>
    <t>PVC SWR pipe (Soil line)</t>
  </si>
  <si>
    <t>a. 110 mm dia.</t>
  </si>
  <si>
    <t>b. 75 mm dia.</t>
  </si>
  <si>
    <t>PVC Ventilating shaft with cowl</t>
  </si>
  <si>
    <t>Gully Trap using Chamber burnt bricks 23 x 11.2 x 7 cm.</t>
  </si>
  <si>
    <t>Gully Trap using chamber burnt bricks of size 23x11.4x7.5cm</t>
  </si>
  <si>
    <t>Gully Trap using Chamber burnt bricks 23 x 11 x 7 cm.</t>
  </si>
  <si>
    <t>Gully Trap using Chamber burnt bricks 22 x 11 x 7 cm.</t>
  </si>
  <si>
    <t>Gully Trap using Kiln burnt country bricks 22 x 11 x 7 cm.</t>
  </si>
  <si>
    <t>Gully Trap using Kiln burnt country bricks 22 x 11 x 5.7 cm.</t>
  </si>
  <si>
    <t>PVC Nahani trap (4way/2way)</t>
  </si>
  <si>
    <t>Stoneware pipe</t>
  </si>
  <si>
    <t>a. 100 mm S.W. pipe</t>
  </si>
  <si>
    <t>b. 150 mm S.W. pipe</t>
  </si>
  <si>
    <t>Stoneware pipe dry condition</t>
  </si>
  <si>
    <t>a. 100 mm dia</t>
  </si>
  <si>
    <t>b. 150 mm dia</t>
  </si>
  <si>
    <t>Stoneware bend</t>
  </si>
  <si>
    <t>Stoneware Tee</t>
  </si>
  <si>
    <t>32 mm dia PVC waste pipe</t>
  </si>
  <si>
    <t>Electrical arrangements</t>
  </si>
  <si>
    <t>a. Light point with ceiling rose</t>
  </si>
  <si>
    <t>b. Light point without ceiling rose</t>
  </si>
  <si>
    <t>c. Calling bell point with Buzzer/Calling bell</t>
  </si>
  <si>
    <t xml:space="preserve">Fan point </t>
  </si>
  <si>
    <t>Staircase light point</t>
  </si>
  <si>
    <t>5 amps 5 pin Plug point (Switch board itself)</t>
  </si>
  <si>
    <t>5 amps 5 pin Plug point (Convenient places)</t>
  </si>
  <si>
    <t>15 Amp. Power plug</t>
  </si>
  <si>
    <t>Bulk head fitting</t>
  </si>
  <si>
    <t>S &amp; F of Tube light with fittings</t>
  </si>
  <si>
    <t>S &amp; F of 40/ 60 w bulb</t>
  </si>
  <si>
    <t>S &amp; F of plastic  shade</t>
  </si>
  <si>
    <t>Double pole main switch</t>
  </si>
  <si>
    <t>Box type Fibre Fan hook</t>
  </si>
  <si>
    <t>6 way - D.B.</t>
  </si>
  <si>
    <t>4 way - D.B.</t>
  </si>
  <si>
    <t>Charges for fixing of "Fan"</t>
  </si>
  <si>
    <t>Supply and delivery of Fan</t>
  </si>
  <si>
    <t>a. 48" (1200 mm)</t>
  </si>
  <si>
    <t>b. 42" (1050 mm)</t>
  </si>
  <si>
    <t>8 SWG wire</t>
  </si>
  <si>
    <t>Run of main 2 wires of 1.50 Sqmm.</t>
  </si>
  <si>
    <t>Run of 2 wires of 4 sqmm with continuous earth by means of 2.5sqmm</t>
  </si>
  <si>
    <t>S &amp; F of A/C metal clad switch</t>
  </si>
  <si>
    <t>S&amp;F of TV/Telephone line Socket</t>
  </si>
  <si>
    <t>S&amp;F of 20mm dia PVC pipe for TV/Telephone line</t>
  </si>
  <si>
    <t>Earthing Station IS3043 (Type I)</t>
  </si>
  <si>
    <t>Earthing Station (Type II)</t>
  </si>
  <si>
    <t>1 No.of 30Amps - Fuse Unit</t>
  </si>
  <si>
    <t>3 Nos.of 30Amps - Fuse Unit</t>
  </si>
  <si>
    <t>375 x 300 x 20 mm T.W. plank</t>
  </si>
  <si>
    <t>Street lights</t>
  </si>
  <si>
    <t>M.S Angle</t>
  </si>
  <si>
    <t>Run of 2 wires of 4 sqmm</t>
  </si>
  <si>
    <t>Supply of G.I pipe 25mm dia</t>
  </si>
  <si>
    <t>Anti termite treatment</t>
  </si>
  <si>
    <t>ELCB Single phase</t>
  </si>
  <si>
    <t>S &amp; F of Exsaust Fan 300 mm dia</t>
  </si>
  <si>
    <r>
      <t xml:space="preserve">Anticorrosive treatment for </t>
    </r>
    <r>
      <rPr>
        <b/>
        <sz val="18"/>
        <rFont val="Arial"/>
        <family val="2"/>
      </rPr>
      <t>steel grills</t>
    </r>
  </si>
  <si>
    <t>ANNEXURE</t>
  </si>
  <si>
    <t>Precast Cupboard slab 20 mm tk.using standardised concrete mix M20 (annexure)</t>
  </si>
  <si>
    <t>Precast cupboard slab 40 mm tkusing standardised concrete mix M20 (annexure)</t>
  </si>
  <si>
    <t>Precast Cupboard slab 20 mm tk.using standardised concrete mix M30 (annexure)</t>
  </si>
  <si>
    <t>Precast cupboard slab 40 mm tkusing standardised concrete mix M30 (annexure)</t>
  </si>
  <si>
    <r>
      <t xml:space="preserve">Precast </t>
    </r>
    <r>
      <rPr>
        <b/>
        <sz val="16"/>
        <rFont val="Arial"/>
        <family val="2"/>
      </rPr>
      <t>Jally ventilator 50mm tk.using standardised concrete mix M30 (annexure) without vibrating charges</t>
    </r>
  </si>
  <si>
    <t xml:space="preserve">a. In Ground floor </t>
  </si>
  <si>
    <r>
      <t xml:space="preserve">Precast </t>
    </r>
    <r>
      <rPr>
        <b/>
        <sz val="18"/>
        <rFont val="Arial"/>
        <family val="2"/>
      </rPr>
      <t>Jally ventilator 50mm tk.using standardised concrete mix M20 (annexure) without vibrating charges</t>
    </r>
  </si>
  <si>
    <t>b. Ground Floor</t>
  </si>
  <si>
    <t>f.In fourth floor</t>
  </si>
  <si>
    <t>4.1.1</t>
  </si>
  <si>
    <t>RCC M30 mix using hard broken stone jelly for foundation and basement</t>
  </si>
  <si>
    <t>a. Foundation &amp; basement</t>
  </si>
  <si>
    <t>b.Stilt floor</t>
  </si>
  <si>
    <t>Cement Concrete using desing mix of grade M25 concrete</t>
  </si>
  <si>
    <t>b. In Stilt /Ground Floor</t>
  </si>
  <si>
    <t>g. In Fifth Floor</t>
  </si>
  <si>
    <t>h. In Sixth Floor</t>
  </si>
  <si>
    <t>i. In Seventh Floor</t>
  </si>
  <si>
    <t>j.in Eighth floor</t>
  </si>
  <si>
    <t>k.in Ninth floor</t>
  </si>
  <si>
    <t>l.in Tenth floor</t>
  </si>
  <si>
    <t>n. In Thirteen floor</t>
  </si>
  <si>
    <t>j. In Eighth floor</t>
  </si>
  <si>
    <t xml:space="preserve">Supply and laying of Hard core layer 200mm </t>
  </si>
  <si>
    <t>Supplying and filling stone dust</t>
  </si>
  <si>
    <t xml:space="preserve">Supplying and filling with gravel </t>
  </si>
  <si>
    <r>
      <t xml:space="preserve">B.W in CM 1:4 in Superstructure for </t>
    </r>
    <r>
      <rPr>
        <b/>
        <sz val="18"/>
        <rFont val="Arial"/>
        <family val="2"/>
      </rPr>
      <t>OHT in First floor</t>
    </r>
  </si>
  <si>
    <r>
      <t xml:space="preserve">B.W in CM 1:4 in Superstructure for </t>
    </r>
    <r>
      <rPr>
        <b/>
        <sz val="18"/>
        <rFont val="Arial"/>
        <family val="2"/>
      </rPr>
      <t>OHT in Second  floor</t>
    </r>
  </si>
  <si>
    <r>
      <t xml:space="preserve">B.W in CM 1:4 in Superstructure for OHT
</t>
    </r>
    <r>
      <rPr>
        <b/>
        <sz val="18"/>
        <rFont val="Arial"/>
        <family val="2"/>
      </rPr>
      <t>In Third  floor using chamber bricks</t>
    </r>
  </si>
  <si>
    <r>
      <t xml:space="preserve">B.W in CM 1:4 in Superstructure for </t>
    </r>
    <r>
      <rPr>
        <b/>
        <sz val="18"/>
        <rFont val="Arial"/>
        <family val="2"/>
      </rPr>
      <t>OHT In Fourth  floor</t>
    </r>
  </si>
  <si>
    <r>
      <t xml:space="preserve">Earth work excavation in Loose / sandy soils </t>
    </r>
    <r>
      <rPr>
        <b/>
        <sz val="1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</si>
  <si>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</si>
  <si>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rFont val="Arial"/>
        <family val="2"/>
      </rPr>
      <t>(excluding refilling) for drain</t>
    </r>
  </si>
  <si>
    <t>Providing earth quake resistant for Corner walls</t>
  </si>
  <si>
    <t>c. First Floor</t>
  </si>
  <si>
    <t>d. Second Floor</t>
  </si>
  <si>
    <t>Providing earth quake resistant for Door/window Jambs</t>
  </si>
  <si>
    <t>a. Ground Floor</t>
  </si>
  <si>
    <t>b. First Floor</t>
  </si>
  <si>
    <t>c. Second Floor</t>
  </si>
  <si>
    <t>Bored cast sit piles installation of vertical cast in Situ Bored piles of following dia using Standardised concrete  mix M20 Grade) as per nagapattinam data</t>
  </si>
  <si>
    <t>a.500mm dia pile</t>
  </si>
  <si>
    <t>b.450mm dia pile</t>
  </si>
  <si>
    <t>c.400mm dia pile</t>
  </si>
  <si>
    <t>Chipping of RCC pile head to the required cut of level and clearing way debries with an average lead of 3 km entirely with city limits M20 Grade</t>
  </si>
  <si>
    <t>Conducting routine vertical compression load test CER No.328/2014-15</t>
  </si>
  <si>
    <t>Mobilization charges including transporting to site CER No.328/2014-15</t>
  </si>
  <si>
    <t xml:space="preserve">Red oxide plastering in CM 1:4 </t>
  </si>
  <si>
    <t>P.C.C. 1:3:6  for foundation &amp; basement using 20mm metal</t>
  </si>
  <si>
    <t xml:space="preserve">P.C.C. 1:4:8 using 40 mm hard broken stone jelly </t>
  </si>
  <si>
    <t>P. C.C. 1:3:6 for foundation &amp; basement using 40mm metal</t>
  </si>
  <si>
    <t>Formwork using M.S.Sheet</t>
  </si>
  <si>
    <t>a.For Column footings,plinth beam,Grade beam,Raftbeam,Raft slab etc.,</t>
  </si>
  <si>
    <t>b.Plain surfaces such as Roof slab,floorslab,Beams,lintels,lofts,sill slab,staircase,portico slab and other similar works</t>
  </si>
  <si>
    <t>c.For Square and rectangular columns and small quantities</t>
  </si>
  <si>
    <t>d.Vertical wall</t>
  </si>
  <si>
    <t>e.Circular column</t>
  </si>
  <si>
    <t>f.Curved surface</t>
  </si>
  <si>
    <t>g.Double centering portico area</t>
  </si>
  <si>
    <t>R.C.C.Door frames of size 100 x 75mm with one edge grooves size 't' x 20 mm using M20 grade ( with out vibrating charges)</t>
  </si>
  <si>
    <t>c. 1200 x 2100 mm</t>
  </si>
  <si>
    <t>d. 750 x 2100 mm</t>
  </si>
  <si>
    <t>Teak wood "Window" &amp;  Ventilator Shutter with 4mm thick pin headed glasses</t>
  </si>
  <si>
    <t>d. Ventilator: (75 x 75 cm)</t>
  </si>
  <si>
    <t>22.3.2</t>
  </si>
  <si>
    <t xml:space="preserve"> MDF board (18mm thick) double leaf shutters with TW frame for cup board/ ward robes.</t>
  </si>
  <si>
    <t>Providing T.W double leaf shutter with 18mm thick BWR Plywood for Cupboard / ward robes shutters (Rest room) 4000x2100mm</t>
  </si>
  <si>
    <t>T.W. frame &amp; TW styles &amp; rails with BWR double leaf shutters for cup board/ ward robes including two coat enamel paint &amp; one coat primer.</t>
  </si>
  <si>
    <t>MDF board door shutters (35mm thick) exterior grade both side laminated with external lipping.</t>
  </si>
  <si>
    <t>a. 1000X2100mm.</t>
  </si>
  <si>
    <t>b. 900X2100mm.</t>
  </si>
  <si>
    <t>c.1200X2100mm.</t>
  </si>
  <si>
    <t>TW panelled  single door shutter with brass fittings.</t>
  </si>
  <si>
    <t>a. 1000X2100mm.(Single leaf) For Qtrs</t>
  </si>
  <si>
    <t>b.1200x2400mm</t>
  </si>
  <si>
    <t xml:space="preserve">a. 1200X2100mm.(Single leaf)  Four horizontal Panel
</t>
  </si>
  <si>
    <t xml:space="preserve">a. 1200X2100mm.(Single leaf)  </t>
  </si>
  <si>
    <t>b. 1000X2100mm  without Brass fittings ( Single leaf)</t>
  </si>
  <si>
    <t>TW double leaves shutter  with Brass Fittings</t>
  </si>
  <si>
    <r>
      <t xml:space="preserve">TW double leaves shutter of size  2000X2400mm.(Double leaves) </t>
    </r>
    <r>
      <rPr>
        <b/>
        <sz val="18"/>
        <rFont val="Arial"/>
        <family val="2"/>
      </rPr>
      <t>with Brass fittings</t>
    </r>
  </si>
  <si>
    <r>
      <t xml:space="preserve">TW panelled door </t>
    </r>
    <r>
      <rPr>
        <b/>
        <sz val="17"/>
        <rFont val="Arial"/>
        <family val="2"/>
      </rPr>
      <t>double leaves</t>
    </r>
    <r>
      <rPr>
        <sz val="17"/>
        <rFont val="Arial"/>
        <family val="2"/>
      </rPr>
      <t xml:space="preserve"> shutter with </t>
    </r>
    <r>
      <rPr>
        <b/>
        <sz val="17"/>
        <rFont val="Arial"/>
        <family val="2"/>
      </rPr>
      <t>brass fittings</t>
    </r>
    <r>
      <rPr>
        <sz val="17"/>
        <rFont val="Arial"/>
        <family val="2"/>
      </rPr>
      <t xml:space="preserve"> of size . 2000X2100mm. Thiruvarur AR  Garage</t>
    </r>
  </si>
  <si>
    <r>
      <t xml:space="preserve">TW double leaves shutter of size  </t>
    </r>
    <r>
      <rPr>
        <b/>
        <sz val="18"/>
        <rFont val="Arial"/>
        <family val="2"/>
      </rPr>
      <t xml:space="preserve">with brass fittings </t>
    </r>
    <r>
      <rPr>
        <sz val="18"/>
        <rFont val="Arial"/>
        <family val="2"/>
      </rPr>
      <t xml:space="preserve">a.1800 x 2100mm </t>
    </r>
    <r>
      <rPr>
        <b/>
        <sz val="18"/>
        <rFont val="Arial"/>
        <family val="2"/>
      </rPr>
      <t>For PS</t>
    </r>
  </si>
  <si>
    <r>
      <t xml:space="preserve">a. 1500X2400mm.(Double leaves) </t>
    </r>
    <r>
      <rPr>
        <b/>
        <sz val="18"/>
        <rFont val="Arial"/>
        <family val="2"/>
      </rPr>
      <t>with Brass  Screws only ( DPO Ariyalur)</t>
    </r>
  </si>
  <si>
    <r>
      <t xml:space="preserve">a. 1500X2100mm.(Double leaves) </t>
    </r>
    <r>
      <rPr>
        <b/>
        <sz val="18"/>
        <rFont val="Arial"/>
        <family val="2"/>
      </rPr>
      <t>with Brass fittings</t>
    </r>
  </si>
  <si>
    <r>
      <t xml:space="preserve">TW panelled door </t>
    </r>
    <r>
      <rPr>
        <b/>
        <sz val="17"/>
        <rFont val="Arial"/>
        <family val="2"/>
      </rPr>
      <t>double leaves</t>
    </r>
    <r>
      <rPr>
        <sz val="17"/>
        <rFont val="Arial"/>
        <family val="2"/>
      </rPr>
      <t xml:space="preserve"> shutter with </t>
    </r>
    <r>
      <rPr>
        <b/>
        <sz val="17"/>
        <rFont val="Arial"/>
        <family val="2"/>
      </rPr>
      <t>brass fittings</t>
    </r>
    <r>
      <rPr>
        <sz val="17"/>
        <rFont val="Arial"/>
        <family val="2"/>
      </rPr>
      <t xml:space="preserve"> of size . 1200X2100mm.( Crime &amp; Traffic)</t>
    </r>
  </si>
  <si>
    <r>
      <t xml:space="preserve">TW paneled door shutter  size  2400 x 2400mm  with french window  (two end fixed 5.5mm thick glass and doble leaf shutter , </t>
    </r>
    <r>
      <rPr>
        <b/>
        <sz val="16"/>
        <rFont val="Arial"/>
        <family val="2"/>
      </rPr>
      <t>Trichy Community hall )</t>
    </r>
  </si>
  <si>
    <t xml:space="preserve">TW styles &amp; rails with 9mm thick BWR single and Double  leaf shutters  with brass screws </t>
  </si>
  <si>
    <t>TW styles &amp; rails with 9mm thick BWR single leaf shutters  with brass screws size of 1200 x 2100 mm</t>
  </si>
  <si>
    <t>TW styles &amp; rails with 9mm thick BWR single leaf shutters  with brass screws size of 1000 x 2100 mm</t>
  </si>
  <si>
    <t>TW styles &amp; rails with 9mm thick BWR single leaf shutters  with brass screws size of 900 x 2100 mm</t>
  </si>
  <si>
    <t>TW styles &amp; rails with 9mm thick BWR single leaf shutters  with brass screws size of 750 x 2100 mm</t>
  </si>
  <si>
    <t>TW styles &amp; rails with 9mm thick BWR Double leaves shutters  with brass screws size of 1500 x  2100 mm</t>
  </si>
  <si>
    <t>21.5.2</t>
  </si>
  <si>
    <t>Supply and Fixing Soild UPVC door Shutter with frame</t>
  </si>
  <si>
    <t>23.2.1</t>
  </si>
  <si>
    <t>4mm thick pin headed Glass panels with Aluminium beedings</t>
  </si>
  <si>
    <t>Cuddappa slab 20 mm tk.for kitchen hearth slab.</t>
  </si>
  <si>
    <t>Cuddappa slab 20 mm tk.for C/B  slab.</t>
  </si>
  <si>
    <t>a. Ground floor</t>
  </si>
  <si>
    <t>Cuddappa slab 40 mm tk.for C/B  slab.</t>
  </si>
  <si>
    <t>Cuddappa slab 40 mm tk.for Sunshade.</t>
  </si>
  <si>
    <t>Glazed tiles using Grout (Tile Joint Filler)</t>
  </si>
  <si>
    <t>Floor ceramic tiles  using Grout (Tile Joint Filler).</t>
  </si>
  <si>
    <t>Floor ceramic tiles (Anti-skid) using Grout (Tile Joint Filler).</t>
  </si>
  <si>
    <t>Two coat of cement paint over one coat white cement</t>
  </si>
  <si>
    <t>One coat white cement for new walls and other similar works.</t>
  </si>
  <si>
    <r>
      <t xml:space="preserve">Fabrication of </t>
    </r>
    <r>
      <rPr>
        <b/>
        <sz val="18"/>
        <rFont val="Arial"/>
        <family val="2"/>
      </rPr>
      <t xml:space="preserve">Mild steel / RTS grills
</t>
    </r>
    <r>
      <rPr>
        <sz val="18"/>
        <rFont val="Arial"/>
        <family val="2"/>
      </rPr>
      <t>(with cement slurry wash) for all sizes of rods.</t>
    </r>
  </si>
  <si>
    <r>
      <t xml:space="preserve">Fabrication of </t>
    </r>
    <r>
      <rPr>
        <b/>
        <sz val="18"/>
        <rFont val="Arial"/>
        <family val="2"/>
      </rPr>
      <t>Mild steel / RTS grills (without cement slurry) for all sizes of rods.</t>
    </r>
    <r>
      <rPr>
        <sz val="18"/>
        <rFont val="Arial"/>
        <family val="2"/>
      </rPr>
      <t xml:space="preserve">
</t>
    </r>
  </si>
  <si>
    <r>
      <t xml:space="preserve">PVC SWR 110 mm dia with ISI mark type- A for </t>
    </r>
    <r>
      <rPr>
        <b/>
        <sz val="18"/>
        <rFont val="Arial"/>
        <family val="2"/>
      </rPr>
      <t>Rain water down fall pipe</t>
    </r>
  </si>
  <si>
    <t>Precast slab 50 mm tk.in C.C. 1:3:6 with fibre</t>
  </si>
  <si>
    <t>20mm dia PVC water supply ASTM pipe (fully consealed in walls)</t>
  </si>
  <si>
    <t xml:space="preserve">S&amp;F of C.I Manhole cover 60 x 60 cm (50kg weight ) </t>
  </si>
  <si>
    <t>Wash Hand  Basin of size 550 x 400 mm
(White with Pedestal)</t>
  </si>
  <si>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</si>
  <si>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t>PVC SWR pipe (Soil line) with ISI mark - type 'B'.</t>
  </si>
  <si>
    <t>Supplying, Laying &amp; Concealing the 50mm dia PVC ( SWR) pipe with ISI mark type - 'B' with relevant specials.</t>
  </si>
  <si>
    <t>PVC(SWR) pipe with ISI mark - type 'A' for Ventilating shaft with cowl</t>
  </si>
  <si>
    <t>Wiring with 1.5 sqmm PVC insulated single core multi strand fire retardant flexible copper cable with ISI mark confirming IS: 694:1990.( Ordinary)</t>
  </si>
  <si>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</si>
  <si>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</si>
  <si>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</si>
  <si>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t>
    </r>
  </si>
  <si>
    <t>S &amp; F of Tube light fitting  (patty  type ) with Electronic ballast and 36 W slim tube light</t>
  </si>
  <si>
    <r>
      <t xml:space="preserve">Supply and delivery of  </t>
    </r>
    <r>
      <rPr>
        <b/>
        <sz val="18"/>
        <rFont val="Arial"/>
        <family val="2"/>
      </rPr>
      <t xml:space="preserve">48" (1200 mm) Fan </t>
    </r>
    <r>
      <rPr>
        <sz val="18"/>
        <rFont val="Arial"/>
        <family val="2"/>
      </rPr>
      <t>with ISI mark with Eletronic Dimmer</t>
    </r>
  </si>
  <si>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</si>
  <si>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</si>
  <si>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Run of 2 Wires of 2.5 sqmm PVC insulated single core multi strand fire retardant flexible copper cable with ISI mark confirming IS: 694:1990.</t>
  </si>
  <si>
    <r>
      <t xml:space="preserve">4 x 4  Sq mm copper PVC insulated unsheathed single core cable for </t>
    </r>
    <r>
      <rPr>
        <b/>
        <sz val="18"/>
        <rFont val="Arial"/>
        <family val="2"/>
      </rPr>
      <t>3 phase EB service connection</t>
    </r>
  </si>
  <si>
    <t xml:space="preserve">Run of 4 Wires of 6 sqmm PVC insulated single core multi strand </t>
  </si>
  <si>
    <t xml:space="preserve">Run of 4 Wires of 10 sqmm PVC insulated single core multi strand </t>
  </si>
  <si>
    <t>a. 14W bulb for Bath &amp; WC</t>
  </si>
  <si>
    <t>b. 18w bulb for Bulk Head fittings</t>
  </si>
  <si>
    <t>S &amp; F of Bulk head fitting suitable for CFL</t>
  </si>
  <si>
    <t>Rain water harvesting using defunct borewell and providing perforated cover slab</t>
  </si>
  <si>
    <t>a). Providing pit (M30)</t>
  </si>
  <si>
    <t>b) Augering 30cm dia</t>
  </si>
  <si>
    <t>Providing Rain water Harvesting well ring of Circular shape of 90mm dia, 60cm depth using Standardised Mix design M20</t>
  </si>
  <si>
    <t>S&amp;F of M.S. Angle of size 35x35x5mm for staircase steps</t>
  </si>
  <si>
    <t>S&amp;F of Bevelled edge mirror 500 x 400 x 5.5mm</t>
  </si>
  <si>
    <t>S&amp;F of Cuddapah sink 600 x 600 x 200mm</t>
  </si>
  <si>
    <t>Providing nosing to the edges of Granite slab
Double Nosing PWD SRP-36</t>
  </si>
  <si>
    <t>Supply and fixing of PVC water supply (ASTM)
a.50mm dia</t>
  </si>
  <si>
    <t>S&amp;F of PVC flushing cistern</t>
  </si>
  <si>
    <t>S&amp;F of cloth drying arrangement</t>
  </si>
  <si>
    <r>
      <t>Anticorrosive treatment for window</t>
    </r>
    <r>
      <rPr>
        <b/>
        <sz val="18"/>
        <rFont val="Arial"/>
        <family val="2"/>
      </rPr>
      <t xml:space="preserve"> grills</t>
    </r>
  </si>
  <si>
    <t>Supplying and fixing of 32 AMPS Triple pole main switch</t>
  </si>
  <si>
    <t>450 x 375 x 20 mm   thick TW plank</t>
  </si>
  <si>
    <t>3 Nos.of 32Amps - Fuse Unit</t>
  </si>
  <si>
    <t>1 Nos.of 32Amps - Fuse Unit</t>
  </si>
  <si>
    <t>Supply of G.I pipe 40mm dia 'B' Class</t>
  </si>
  <si>
    <t>38.4.1</t>
  </si>
  <si>
    <t>S&amp;F of stainless steel sink 550 x 450 x 200mm ( 1750/112 x100=1562.50 Each)</t>
  </si>
  <si>
    <t xml:space="preserve">Providing PVC Tee with end cap </t>
  </si>
  <si>
    <r>
      <t>Granite Tiles flooring (</t>
    </r>
    <r>
      <rPr>
        <b/>
        <sz val="18"/>
        <rFont val="Arial"/>
        <family val="2"/>
      </rPr>
      <t xml:space="preserve">Ruby red) </t>
    </r>
    <r>
      <rPr>
        <sz val="18"/>
        <rFont val="Arial"/>
        <family val="2"/>
      </rPr>
      <t>using 2'x1', 10mm tk</t>
    </r>
  </si>
  <si>
    <r>
      <t xml:space="preserve">Providing wooden </t>
    </r>
    <r>
      <rPr>
        <b/>
        <sz val="18"/>
        <rFont val="Arial"/>
        <family val="2"/>
      </rPr>
      <t>Melamine</t>
    </r>
    <r>
      <rPr>
        <sz val="18"/>
        <rFont val="Arial"/>
        <family val="2"/>
      </rPr>
      <t xml:space="preserve"> polish for new wood work</t>
    </r>
  </si>
  <si>
    <t>AAC BLOCK PARTITION WALL IN cm 1:4 of size 600 x 200x100mm</t>
  </si>
  <si>
    <t>Providing Shahabad stone flooring</t>
  </si>
  <si>
    <t>Vitrified Tiles flooring (Ivory)</t>
  </si>
  <si>
    <t>Vitrified Tiles flooring ( colour)</t>
  </si>
  <si>
    <t>s</t>
  </si>
  <si>
    <t>Concrete designer tiles flooring</t>
  </si>
  <si>
    <t xml:space="preserve">Concrete Designer Tiles flooring </t>
  </si>
  <si>
    <t>Supplying and fixing of Aluminium sliding window</t>
  </si>
  <si>
    <t>a. 1.20x1.35m (Two track )</t>
  </si>
  <si>
    <t>b. 2.40x1.80m (Two track)</t>
  </si>
  <si>
    <t>c. 2.40x1.05m (Two track)</t>
  </si>
  <si>
    <t>d. 0.90x1.35m (Two track)</t>
  </si>
  <si>
    <t>supplying and fixing of colour matt finish floor tiles of size 12"x12" ( for officers)</t>
  </si>
  <si>
    <t>supplying and fixing of colour matt finish floor tiles of size 12"x12" ( for wall tiles)</t>
  </si>
  <si>
    <t>Spl. Data</t>
  </si>
  <si>
    <t>Providing wall panelling using 12mm BWR plywood over 2"x1" aluminium channel to be fixed on wall</t>
  </si>
  <si>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t>
    </r>
  </si>
  <si>
    <r>
      <t>Supplying, fabricating, erecting and fixing  Gyp board false ceiling using</t>
    </r>
    <r>
      <rPr>
        <b/>
        <sz val="18"/>
        <rFont val="Arial"/>
        <family val="2"/>
      </rPr>
      <t xml:space="preserve"> perforated </t>
    </r>
    <r>
      <rPr>
        <sz val="18"/>
        <rFont val="Arial"/>
        <family val="2"/>
      </rPr>
      <t>sheet 10mm thk</t>
    </r>
  </si>
  <si>
    <t>Supplying and fixing of 100mm dia GI pipe</t>
  </si>
  <si>
    <t>Supplying and fixing of Geyser (Data -SD 103)</t>
  </si>
  <si>
    <r>
      <t xml:space="preserve">Supplying and fixing of  CP </t>
    </r>
    <r>
      <rPr>
        <b/>
        <sz val="18"/>
        <rFont val="Arial"/>
        <family val="2"/>
      </rPr>
      <t xml:space="preserve">wall mixer two in one </t>
    </r>
    <r>
      <rPr>
        <sz val="18"/>
        <rFont val="Arial"/>
        <family val="2"/>
      </rPr>
      <t>(without telephone shower) including cost of all materials and all labour charges etc complete.
CER No.178/13-14</t>
    </r>
  </si>
  <si>
    <r>
      <t xml:space="preserve">Supplying and fixing of </t>
    </r>
    <r>
      <rPr>
        <b/>
        <sz val="18"/>
        <rFont val="Arial"/>
        <family val="2"/>
      </rPr>
      <t>shower arm 9"</t>
    </r>
    <r>
      <rPr>
        <sz val="18"/>
        <rFont val="Arial"/>
        <family val="2"/>
      </rPr>
      <t xml:space="preserve"> long including cost of all materials and all labour charges etc. complete  CER No.178/13-14</t>
    </r>
  </si>
  <si>
    <t>Supplying  and fixing of GM wheel valves ISI mark</t>
  </si>
  <si>
    <t>a.100mm  GM Gate valves</t>
  </si>
  <si>
    <t>b.50mm GM Gate valves</t>
  </si>
  <si>
    <t>c.32mm GM Gate valves</t>
  </si>
  <si>
    <r>
      <t>Wiring with 1.5 sqmm PVC insulated single core multi strand fire retardant flexible copper cable with ISI mark confirming IS: 694:1990.</t>
    </r>
    <r>
      <rPr>
        <b/>
        <sz val="18"/>
        <rFont val="Arial"/>
        <family val="2"/>
      </rPr>
      <t xml:space="preserve"> (Modular)</t>
    </r>
  </si>
  <si>
    <r>
      <t xml:space="preserve">Wiring with 1.5 sqmm PVC insulated single core multi strand fire retardant flexible copper cable with ISI mark confirming IS: 694:1990 for </t>
    </r>
    <r>
      <rPr>
        <b/>
        <sz val="18"/>
        <rFont val="Arial"/>
        <family val="2"/>
      </rPr>
      <t>5 amps 5 pin Modular plug socket point @ Convenient Places</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</si>
  <si>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Modular plug socket point @ Switch Board Itself</t>
    </r>
    <r>
      <rPr>
        <sz val="18"/>
        <rFont val="Arial"/>
        <family val="2"/>
      </rPr>
      <t>.</t>
    </r>
  </si>
  <si>
    <t>Supplying and laying of 3.5 core 50 sq.mm PVC armoured LTUG cable (below GL) SD-206</t>
  </si>
  <si>
    <t>Supplying and laying of 3.5 core 50 sq.mm PVC armoured LTUG cable (above GL) SD-224</t>
  </si>
  <si>
    <t xml:space="preserve">S&amp;F 3.5 X 35mm LTUG CABLE </t>
  </si>
  <si>
    <t>S&amp;F 3.5 X 25mm LTUG CABLE Above GL</t>
  </si>
  <si>
    <t>S&amp;F 2X6 Sq.mm LTUG CABLE</t>
  </si>
  <si>
    <r>
      <t xml:space="preserve">Supplying and fixing of </t>
    </r>
    <r>
      <rPr>
        <b/>
        <sz val="18"/>
        <rFont val="Arial"/>
        <family val="2"/>
      </rPr>
      <t>brass cable gland</t>
    </r>
    <r>
      <rPr>
        <sz val="18"/>
        <rFont val="Arial"/>
        <family val="2"/>
      </rPr>
      <t xml:space="preserve"> suitable for 3.5 core 50 Sqmm PVC armoured LTUG cable  SD 188</t>
    </r>
  </si>
  <si>
    <r>
      <t xml:space="preserve">Supplying and fixing of </t>
    </r>
    <r>
      <rPr>
        <b/>
        <sz val="18"/>
        <rFont val="Arial"/>
        <family val="2"/>
      </rPr>
      <t>end termination</t>
    </r>
    <r>
      <rPr>
        <sz val="18"/>
        <rFont val="Arial"/>
        <family val="2"/>
      </rPr>
      <t xml:space="preserve"> suitable for 3.5 core 70 Sqmm PVC armoured LTUG cable </t>
    </r>
  </si>
  <si>
    <t>FW 1.80 x 1.65 m ( Eight Leaves)</t>
  </si>
  <si>
    <t>1.80 x 1.35 mt.window (Three leaves)</t>
  </si>
  <si>
    <t>KW 1.20 x 1.05 m (Two leaves)</t>
  </si>
  <si>
    <t>1.50 x 1.35 mt.window  (three leaves)</t>
  </si>
  <si>
    <t xml:space="preserve"> 0.75 x 1.35 mt.window  ( single leaf)</t>
  </si>
  <si>
    <t xml:space="preserve">Aluminium window openable 1.35x1.35m (Two leaves)Cochin House </t>
  </si>
  <si>
    <t>Aluminium window openable 1.35x1.05m (Two leaves)</t>
  </si>
  <si>
    <t>Aluminium window openable 1.2x1.35m (Two leaves)</t>
  </si>
  <si>
    <t>Aluminium window openable 1.80 x 1.65 m =2.97m2 FRENCH WINDOW (Reference Data Nagapattinam AR - Ph-xix</t>
  </si>
  <si>
    <t>Supply and fixing of 100 amps TPN sheet double break switch with HRC fuse and neutral on suitable angle iron frame work with MS cable entry boxes and PWD earthing(SR-14-15(p-65)</t>
  </si>
  <si>
    <t>Supply and fixing of 200 amps fuse unit 
SRP-66</t>
  </si>
  <si>
    <t>Supply and fixing of 200 amps TPN switch with HRC fuses sheet steel double break
SRP-65, 3 ©</t>
  </si>
  <si>
    <t>Supply and fixing of 250 amps cubical type panel board</t>
  </si>
  <si>
    <r>
      <t xml:space="preserve">Supplying and fixing of  </t>
    </r>
    <r>
      <rPr>
        <b/>
        <sz val="18"/>
        <rFont val="Arial"/>
        <family val="2"/>
      </rPr>
      <t>SS Soap Tray</t>
    </r>
    <r>
      <rPr>
        <sz val="18"/>
        <rFont val="Arial"/>
        <family val="2"/>
      </rPr>
      <t xml:space="preserve">  including cost of all materials and all labour charges etc complete </t>
    </r>
  </si>
  <si>
    <r>
      <t xml:space="preserve">Supplying and fixing of CP </t>
    </r>
    <r>
      <rPr>
        <b/>
        <sz val="18"/>
        <rFont val="Arial"/>
        <family val="2"/>
      </rPr>
      <t>Angle cock</t>
    </r>
    <r>
      <rPr>
        <sz val="18"/>
        <rFont val="Arial"/>
        <family val="2"/>
      </rPr>
      <t xml:space="preserve">  including cost of all materials and all labour charges etc complete (SR P-49 2021-2022)</t>
    </r>
  </si>
  <si>
    <r>
      <t xml:space="preserve">Supplying and fixing of </t>
    </r>
    <r>
      <rPr>
        <b/>
        <sz val="18"/>
        <rFont val="Arial"/>
        <family val="2"/>
      </rPr>
      <t>25x 3mm  Copper flat</t>
    </r>
  </si>
  <si>
    <r>
      <t xml:space="preserve">Supply and fixing of </t>
    </r>
    <r>
      <rPr>
        <b/>
        <sz val="18"/>
        <rFont val="Arial"/>
        <family val="2"/>
      </rPr>
      <t>Health faucet</t>
    </r>
    <r>
      <rPr>
        <sz val="18"/>
        <rFont val="Arial"/>
        <family val="2"/>
      </rPr>
      <t xml:space="preserve"> approved quality with ISI mark </t>
    </r>
  </si>
  <si>
    <t>S&amp;F TPN 12 way DB encloser (SR-p-80)</t>
  </si>
  <si>
    <t>S&amp;F TPN 8 way DB encloser 
CER No.178/2013-14</t>
  </si>
  <si>
    <t>S&amp;F TPN 6 way DB encloser
CER No.178/2013-14</t>
  </si>
  <si>
    <t>S&amp;F TPN 4 way DB encloser
CER No.178/2013-14</t>
  </si>
  <si>
    <r>
      <t xml:space="preserve">Supply and fixing of </t>
    </r>
    <r>
      <rPr>
        <b/>
        <sz val="18"/>
        <rFont val="Arial"/>
        <family val="2"/>
      </rPr>
      <t xml:space="preserve">spot light </t>
    </r>
    <r>
      <rPr>
        <sz val="18"/>
        <rFont val="Arial"/>
        <family val="2"/>
      </rPr>
      <t>of approved make and company with ISI CFL bulb  CER No.178/13-14</t>
    </r>
  </si>
  <si>
    <t>S&amp;F OF UPVC  Windows ( Non  Schedule item )</t>
  </si>
  <si>
    <t>a) FW 900 X 2100</t>
  </si>
  <si>
    <t>b) W 1800 X 1650</t>
  </si>
  <si>
    <t>c) W1 1500 X 1650</t>
  </si>
  <si>
    <t>d) W0 2400 X 1650</t>
  </si>
  <si>
    <t>e) W2 1200 X 1650</t>
  </si>
  <si>
    <t>g) FW1 4800 X 2300</t>
  </si>
  <si>
    <t>h) FW2 4200 X 2300</t>
  </si>
  <si>
    <t>S &amp; F of sodium vapour lamp with fitting 250watts</t>
  </si>
  <si>
    <t xml:space="preserve">Each </t>
  </si>
  <si>
    <t>Supplying and fixing in position of UPVC Ventilator louvered ventilator  type for all sizes 
 SR 2021-2022 p-66</t>
  </si>
  <si>
    <t>Supplying and fixing in position of UPVC window of casement type( open) for all sizes SR 2021-2022 p-65</t>
  </si>
  <si>
    <t>Supply and fixing of colour wash basin oval shape CER No.178/2013-14</t>
  </si>
  <si>
    <t xml:space="preserve">Supplying and Fixing of Rolling shutters of all sizes (under 8m2) PWD SR </t>
  </si>
  <si>
    <t>Supplying and fixing of solid core flush door shutter of thickness 35mm</t>
  </si>
  <si>
    <t>a) door size 1.80 m x 2.40 (Double leaf)</t>
  </si>
  <si>
    <t>b) door size 1.80 m x 2.10 (Double leaf)</t>
  </si>
  <si>
    <t>c) door size 1.50 m x 2.40 (Double leaf)</t>
  </si>
  <si>
    <t>d).  door size 1.50 m x 2.100 (Double leaf)</t>
  </si>
  <si>
    <t>e). door size 1.200 m x 2.400 (double Leaf)</t>
  </si>
  <si>
    <t>f). door size 1.200m x 2.100 (Double leaf)</t>
  </si>
  <si>
    <t>g).  door size 1.000 m x 2.100 (Single Leaf)</t>
  </si>
  <si>
    <t>h).  door size 1.00 m x 2.400 (Single Leaf)</t>
  </si>
  <si>
    <t>i.  door size 0.900 m x 2.100 (Single Leaf)</t>
  </si>
  <si>
    <t>i.  door size 0.900 m x 2.400 (Single Leaf)</t>
  </si>
  <si>
    <t>Providing additional strutting to centering of plain surface.</t>
  </si>
  <si>
    <t>S &amp; F of Granite slab of size 4'x2', 18 to 20mm Thick For kitchen arrangements (jet black)</t>
  </si>
  <si>
    <t>S &amp; F of Granite tile of size 2'x 1', 10mm Thick For  (jet black)</t>
  </si>
  <si>
    <t>c. In Third floor</t>
  </si>
  <si>
    <t>Aluminum Louvered ventilators</t>
  </si>
  <si>
    <t>a. 1.35 x 0.60 mt ventilators</t>
  </si>
  <si>
    <t>d. 1.0 x 0.60 mt ventilators</t>
  </si>
  <si>
    <t>a. 0.90 x 0.60 mt ventilators</t>
  </si>
  <si>
    <t>c. 0.75 x 0.60 mt ventilators</t>
  </si>
  <si>
    <t>b. 0.60 x 0.60 mt ventilators</t>
  </si>
  <si>
    <t>MS door of Size 1000 x 2100mm</t>
  </si>
  <si>
    <t>MS door of Size 750 x 1350mm</t>
  </si>
  <si>
    <t xml:space="preserve">Supply &amp; Fixing of MS ventilator of size 
( lockup)
</t>
  </si>
  <si>
    <t>MS Ventilator of Size 1350 x 600mm</t>
  </si>
  <si>
    <t xml:space="preserve"> MS ventilator of size  1200 x 800 mm
</t>
  </si>
  <si>
    <t xml:space="preserve"> MS ventilator of size  1200 x 600 mm
</t>
  </si>
  <si>
    <t xml:space="preserve"> MS ventilator of size  1000 x 800 mm
</t>
  </si>
  <si>
    <t>MS Ventilator of Size 900 x 600mm</t>
  </si>
  <si>
    <t>MS Ventilator of Size 600 x 600mm</t>
  </si>
  <si>
    <t>MS Ventilator of Size 1285 x 600mm</t>
  </si>
  <si>
    <t>Supply and fixing of 19mm dia steam pipe for down rod of fan (SD 106)</t>
  </si>
  <si>
    <t>Supply and fixing of  SS Towel rail (75cm length) CER No.178/13-14</t>
  </si>
  <si>
    <t>Supply and fixing of weld mesh of size 7.5x2.5cmx10gauge</t>
  </si>
  <si>
    <t>Supply and fixing of Chicken mesh</t>
  </si>
  <si>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</si>
  <si>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</si>
  <si>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t xml:space="preserve">S &amp; F of CFL road way lighting luminaries suitable for fixing 36w CFL lamp </t>
  </si>
  <si>
    <t>Prviding Augering  30 cm dia for compound wall</t>
  </si>
  <si>
    <t>Finshing the top of Terrace floor with one course of solar reflective Ceramic tiles without base concrete</t>
  </si>
  <si>
    <t>51. 1</t>
  </si>
  <si>
    <t>HDPE water tank 200 lit capacity with ISI mark</t>
  </si>
  <si>
    <t>UPVC Non Pressure  pipe of SN8 SDR 34
( S 16.5) as per IS 15328/2003</t>
  </si>
  <si>
    <t>a. 110 mm UPVC Non Pressure  pipe</t>
  </si>
  <si>
    <t>b. 160 mm UPVC Non Pressure  pipe</t>
  </si>
  <si>
    <t>PVC Specials  as per IS 10124/1982 Part II</t>
  </si>
  <si>
    <t>a. 110 mm dia PVC bend (TWAD SR 19-20  P-19 S.No-4 )</t>
  </si>
  <si>
    <t>b. 160 mm dia PVC bend (TWAD SR 19-20 P-19 it-1.5, S.No-4 )</t>
  </si>
  <si>
    <t xml:space="preserve">PVC Equal Tee  as per  BIS 7834/1975 </t>
  </si>
  <si>
    <t>a. 110 mm dia PVC Equal tee(TWAD SR 19-20 P-19 S.No-9 )</t>
  </si>
  <si>
    <t>b. 160 mm dia PVC Equal tee(TWAD SR 19-20 P-19 S.No-9 )</t>
  </si>
  <si>
    <r>
      <t>S &amp; F of Indian Water closet white glazed (Oriya type) of size 580 x 440mm</t>
    </r>
    <r>
      <rPr>
        <b/>
        <sz val="18"/>
        <rFont val="Arial"/>
        <family val="2"/>
      </rPr>
      <t xml:space="preserve"> with PVC SWR grade ' P' or "S' trap   - in G.F.  </t>
    </r>
  </si>
  <si>
    <r>
      <t xml:space="preserve">S &amp; F of Indian Water closet white glazed (Oriya type) of size 580 x 440mm </t>
    </r>
    <r>
      <rPr>
        <b/>
        <sz val="18"/>
        <rFont val="Arial"/>
        <family val="2"/>
      </rPr>
      <t xml:space="preserve"> with PVC SWR grade ' P' or "S' trap</t>
    </r>
    <r>
      <rPr>
        <sz val="18"/>
        <rFont val="Arial"/>
        <family val="2"/>
      </rPr>
      <t xml:space="preserve">- </t>
    </r>
    <r>
      <rPr>
        <b/>
        <sz val="18"/>
        <rFont val="Arial"/>
        <family val="2"/>
      </rPr>
      <t xml:space="preserve">Other than  G.F. </t>
    </r>
    <r>
      <rPr>
        <sz val="18"/>
        <rFont val="Arial"/>
        <family val="2"/>
      </rPr>
      <t xml:space="preserve"> </t>
    </r>
  </si>
  <si>
    <r>
      <t>S &amp; F of E.W.C.</t>
    </r>
    <r>
      <rPr>
        <b/>
        <sz val="18"/>
        <rFont val="Arial"/>
        <family val="2"/>
      </rPr>
      <t xml:space="preserve">(White) </t>
    </r>
    <r>
      <rPr>
        <sz val="18"/>
        <rFont val="Arial"/>
        <family val="2"/>
      </rPr>
      <t xml:space="preserve">500 mm </t>
    </r>
    <r>
      <rPr>
        <b/>
        <sz val="18"/>
        <rFont val="Arial"/>
        <family val="2"/>
      </rPr>
      <t xml:space="preserve">with PVC SWR grade "P" or "S" TRAP </t>
    </r>
  </si>
  <si>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</si>
  <si>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t>French window  ( SP Perambalur)</t>
  </si>
  <si>
    <t xml:space="preserve">a. FW  (2.1 x 2.0 m ) 3 bay openable </t>
  </si>
  <si>
    <t xml:space="preserve">b.FW 1 (1.80 x 2.0 m )3 bay openable </t>
  </si>
  <si>
    <t xml:space="preserve">c. FW 2  (1.20 x 2.0 m ) 2 bay openable </t>
  </si>
  <si>
    <t xml:space="preserve">d.FW 3 (0.75 x 2.0 m ) Single  bay openable </t>
  </si>
  <si>
    <t>e. FD/ FW  (0.57 x 2.0 m )Single  bay openable</t>
  </si>
  <si>
    <t xml:space="preserve">f. 1.50 x 2.00 mt.window  sankar nagar DSP </t>
  </si>
  <si>
    <t>Wiring with 1.5 sqmm PVC insulated single core multi strand fire retardant flexible copper cable with ISI mark confirming IS: 694:1990.
( PVC Box , Fire Retarded Box) For Coastal only</t>
  </si>
  <si>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</si>
  <si>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</si>
  <si>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</si>
  <si>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r>
      <t xml:space="preserve">Supplying and fixing of 15 Amps 3 pin flush type plug using </t>
    </r>
    <r>
      <rPr>
        <b/>
        <sz val="1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</si>
  <si>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</si>
  <si>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PVC SWR 110 mm dia with ISI mark type- A for </t>
    </r>
    <r>
      <rPr>
        <b/>
        <sz val="18"/>
        <rFont val="Arial"/>
        <family val="2"/>
      </rPr>
      <t>Rain water down fall pipe(UPVC SPECIAL CLAMP )</t>
    </r>
  </si>
  <si>
    <t>Supply and fixing in posistion of 6 rows of 10 guage GI barbed wire 20 guage</t>
  </si>
  <si>
    <t xml:space="preserve">Supply ,laying &amp; jointing the following pipes as per ASTM D 1785 of schedule 40 with  UPVC Specials </t>
  </si>
  <si>
    <t>c. 20mm dia PVC water supply ASTM pipe (fully consealed in walls)</t>
  </si>
  <si>
    <t>Providing Colour Marble chips of size 10mm and below using 70.20Kgs of cement and 15 cum of Colour Marble chips for every 10 sqm over the existing plastered surface  ( For coastal area)</t>
  </si>
  <si>
    <t>S &amp; F of 15mm dia half turn CP long body tap</t>
  </si>
  <si>
    <t>S &amp; F of 15mm dia half turn CP short body tap</t>
  </si>
  <si>
    <t xml:space="preserve">S &amp; F of MS angle of size 50x 50x 5mm </t>
  </si>
  <si>
    <t>Granite Tiles flooring in cm1:3,20mm thk sathali steel/ grey</t>
  </si>
  <si>
    <t>1.9.3.1</t>
  </si>
  <si>
    <t>Bored cast sit piles installation of vertical cast in Situ Bored piles of following dia using Standardised concrete  mix M30 Grade) as per nagapattinam data For Coastal area</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</si>
  <si>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</si>
  <si>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</si>
  <si>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</si>
  <si>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</si>
  <si>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r>
      <t>False ceiling with plain gybsum board</t>
    </r>
    <r>
      <rPr>
        <b/>
        <sz val="13"/>
        <rFont val="Arial"/>
        <family val="2"/>
      </rPr>
      <t xml:space="preserve"> (as per PWD SR. rate 2017-18, Anx- VI -It- 154 -a)</t>
    </r>
  </si>
  <si>
    <t>Wiring with 1.5 sqmm PVC insulated single core multi strand fire retardant flexible copper cable with ISI mark confirming IS: 694:1990. (Open wiring)</t>
  </si>
  <si>
    <t>calling bell</t>
  </si>
  <si>
    <r>
      <t xml:space="preserve">Wiring with 1.5 sqmm PVC insulated single core multi strand fire retardant flexible copper cable with ISI mark confirming IS: 694:1990 for </t>
    </r>
    <r>
      <rPr>
        <b/>
        <sz val="17"/>
        <rFont val="Arial"/>
        <family val="2"/>
      </rPr>
      <t>5 amps 5 pin  plug socket point @ Convenient Places</t>
    </r>
    <r>
      <rPr>
        <sz val="17"/>
        <rFont val="Arial"/>
        <family val="2"/>
      </rPr>
      <t>.(Open wiring)</t>
    </r>
  </si>
  <si>
    <r>
      <t xml:space="preserve">Wiring with 1.5 sqmm PVC insulated single core multi strand fire retardant flexible copper cable with ISI mark confirming IS: 694:1990 for </t>
    </r>
    <r>
      <rPr>
        <b/>
        <sz val="17"/>
        <rFont val="Arial"/>
        <family val="2"/>
      </rPr>
      <t>5 amps 5 pin  plug socket point @ Switch Board Itself</t>
    </r>
    <r>
      <rPr>
        <sz val="17"/>
        <rFont val="Arial"/>
        <family val="2"/>
      </rPr>
      <t>.(Open wiring)</t>
    </r>
  </si>
  <si>
    <r>
      <t>Wiring with 1.5 sqmm PVC insulated single core multi strand fire retardant flexible copper cable with ISI mark confirming IS: 694:1990 for Fan</t>
    </r>
    <r>
      <rPr>
        <b/>
        <sz val="17"/>
        <rFont val="Arial"/>
        <family val="2"/>
      </rPr>
      <t xml:space="preserve"> point </t>
    </r>
    <r>
      <rPr>
        <sz val="17"/>
        <rFont val="Arial"/>
        <family val="2"/>
      </rPr>
      <t>.(Open wiring)</t>
    </r>
  </si>
  <si>
    <t>Aluminium Partition wall 1/3 5.5mm thick glass &amp; 2/3 Novapan sheet 12mm thick outer top and bottom</t>
  </si>
  <si>
    <t>Supply and fixing of colour matt finish door 15 microns double leaf door ( 1500 x 2100 mm)</t>
  </si>
  <si>
    <t>Supply and fixing of colour matt finish door 15 microns double leaf door ( 1000 x 2100 mm)</t>
  </si>
  <si>
    <t>supplying and fixing of colour matt finish floor tiles of size 12"x12" floor tiles</t>
  </si>
  <si>
    <t>supplying and fixing of colour matt finish floor tiles of size 12"x18" for wall tiles</t>
  </si>
  <si>
    <t>Supply and fixing of 20 Amps DP plug and socket in sheet enclosure with 32 A DP MCB  in Flush with wall with earth connection ( For AC Plug ) Legrand ( MDS) / Hager( L&amp; T) Equivalent/ Superior variety  
Ele SD -140 /2020-2021</t>
  </si>
  <si>
    <t>Supplying nd laying of 1000 x 1000 x 300mm size ms 16 swg powder coated cable terminal box with two compartment with necessary bus bar connected with TNEB etc.,</t>
  </si>
  <si>
    <t>Supplying and fixing of 200 Amps metal clad switch with rewirable fuse units, (Revised PWD SR 18-19Pg.no.80 it-J Part c)</t>
  </si>
  <si>
    <t>Supply and Laying Rubber Moulded Hyraulic Pressed Paver Block 83 mm thick including labour charges for laying etc ( as per DB/1469/2018)</t>
  </si>
  <si>
    <t>Supplying and fixing of 250 Watts Metal halide Flood light etc., CER.No.28/2020-2021</t>
  </si>
  <si>
    <t>R.C.C.Door frames of size 100 x 75mm with one edge grooves size 't' x 20 mm  ( with out  M20 or M30 grade old  data )</t>
  </si>
  <si>
    <t>Supply and fixing of 9 watts  LED bulb  
PWD SR P-115</t>
  </si>
  <si>
    <t>Supply and fixing of 4' 18 watts  LED  Tube Light
PWD SR P-114</t>
  </si>
  <si>
    <t>Supply and fixing of  Bulk Head fitting suitable for  12W LED Bulb</t>
  </si>
  <si>
    <t>Supply, fiing of 25W LED street light etc.,</t>
  </si>
  <si>
    <r>
      <t>Supply and fixing of 12 watts  LED bulb  (</t>
    </r>
    <r>
      <rPr>
        <b/>
        <sz val="18"/>
        <rFont val="Arial"/>
        <family val="2"/>
      </rPr>
      <t>qtn)</t>
    </r>
  </si>
  <si>
    <t>Supply and fixing of Prepainting G.I. Window/ Ventilator  with Grill( PWDSR-18-19)P-56 it-190</t>
  </si>
  <si>
    <t>Wallputty ( one coat)</t>
  </si>
  <si>
    <t>External electrical arrangements</t>
  </si>
  <si>
    <t>Supply and erection of 125 Amps capacity floor mounting panel board (Cubical type)</t>
  </si>
  <si>
    <t>Supplying of 4x16 sqmm PVC armoured LTUG cable (SD 203) (below ground level)</t>
  </si>
  <si>
    <t>Supply and fixing of brass cable gland for 4x16 sqmm PVC armoured LTUG cable  (above ground level) (SD 221)</t>
  </si>
  <si>
    <t>Supplying and fixing of aluminium Crimping lugs for end termination for 4 core 10 sqmm LTUG cable  PWD SR 2020-21 Page.no:91</t>
  </si>
  <si>
    <t>Run of 4 Wires of 6 sqmm PVC insulated single core multi strand fire retardant flexible copper cable with ISI mark confirming IS: 694:1990.</t>
  </si>
  <si>
    <t>Supplying and fixing 25W LED street light with necessary fittings</t>
  </si>
  <si>
    <t>Supply and fixing of 6 way TPN MCB distribution board with bus bar and 3  phase MCB (SR)</t>
  </si>
  <si>
    <t>External water supply arrangements</t>
  </si>
  <si>
    <t>Drilling of 150mm dia vertical bores in hard rock area including drilling of 180mm dia pilot bore well to the required depth as directed by the departmental officers including labour charges for inserting casing pipe assembling in the drilled holes including pasting the jointing with solvent cement if necessary grouting the casing pipes, etc and including transporting charges of drilling rig and supporting vehicles from one place to another for all depths below G.L. etc all complete.</t>
  </si>
  <si>
    <t>Supplying and delivery of 165mm dia outer dia/ suitable for 150mm dia borewell PVC casing pipe of 6kg/sq. cm and approved quality with ISI mark confirming to ISI specifications as per 12818/1992 for borewells with average wall thickness of 6.10mm and inner / outer threaded ends at standard length of 3.0m including transporting charges to site of work, etc all complete (TWAD SR19-20 p-22)</t>
  </si>
  <si>
    <t>Supplying and fixing of 165mm dia PVC end cap for borewell of best approved quality with ISI mark confirming to IS spwcifications, including cost of materials, conveyance at site and labour charges for fixing in position etc all complete (TWAD SR19-20 p-26)</t>
  </si>
  <si>
    <t>Supply and delivery of clear water vertical wet type 5 HP submersible pumpset (Duty 50 lpm x 175 m) suitable for 150mm dia borewell conforming to IS 8034/2002 with latest amendments and BEE 3 Star Rated capable of discharging noted LPM against head of water column due to all causes. The pump shall be with stainless steel shaft and dynamically balanced bronze or Cast SS impeller, brass screws and CI FG 200 grade pump bowl/dif user with ISI mark. The pump shall be directly coupled to a continues rated two pole suitable wet type vertical squirrel cage induction motor as per IS9283 suitable for operation in AC 3 phase 415 V+/- 10 %, 50 HZ +/- 5 % and as directed by the departmental officers. (Reputed brand like kirloskar, texmo or equivalent)  
(TWAD SR19-20 p-104)</t>
  </si>
  <si>
    <t>Supplying and Fixing of MS fabricated DOL 5 HP Panel control Board of wall mounting type with ISI mark with AmMetre, Volt Metre indicating lamps ON/OFF push button with necessary conductors and Single Phase cum dry run preventer, relay suitable for the above including the wire for fixing sensor in all respects and as directed by the departmental officers.
PWD 2021-22 p105</t>
  </si>
  <si>
    <t>Labour charges for 5 HP borewell submersible &amp; 5 HP Openwell Submersible pumpset in borewell / Openwell  including fixing and jointing submersible cable with proper clamps upto the srarter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for trail run of 10 days.(TWAD SR19-20 p-297)</t>
  </si>
  <si>
    <t xml:space="preserve">Supply and delivery of 3 HP Open well Submersible pump set (Duty 50 lpm x 100m) conforming to IS 14220 /2002 and as amended and BEE 3 Star Rated capable of discharging the following duties due to all causes. The pump shall be with stainless steel shaft and dynamically balanced bronze mixed type impeller, CI FG 200 grade casing and brass screws and rotor shall be of copper rod as per IS 613/1984 with ISI mark. The pump should be directly coupled to 2880 rpm, 3 phase, 50 Hz (±5), 415V+6% &amp; 415V-15% squirrel cage induction motor suitable for DOL upto 3 HP, Fully Automatic Air break Star Delta up to 20 HP and Auto Transformer starter for above 20 HP starting and for continuous operationand as directed by the departmental officers. (TWAD SR19-20 p-107)
</t>
  </si>
  <si>
    <t>Supply &amp; Fixing of stater for 3 HP Open well submersible motor  with two level guard auto start with ISI mark (TWAD SR19-20 p-117)</t>
  </si>
  <si>
    <t>Supplying and fixing of 4sqmm Pvc insulated and unsheated 3 core flat type copper cable of approved quality with ISI mark ,etc all complete.(TWAD SR 20-21)</t>
  </si>
  <si>
    <r>
      <t>Supplying and fixing of 32mm dia adopter for connecting submerssible pumpset with UPVC pipe etc.</t>
    </r>
    <r>
      <rPr>
        <b/>
        <sz val="18"/>
        <rFont val="Arial"/>
        <family val="2"/>
      </rPr>
      <t xml:space="preserve"> </t>
    </r>
  </si>
  <si>
    <t>Supply and fixing of 32mm dia UPVC Pipes of best approved quality, with ISI mark including cost and conveyence and fixing in position etc., all complete in all respects complying with relevant standard specification and as directed by the departmental officer (The brand and quality of the 'U' PVC pipe should be got approved from EE before use)  (PWD SR 2020-21 p-106)</t>
  </si>
  <si>
    <t>Supplying, delivering and fixing of 16mm thick Nylon Rope, tying with the open well submersible pump and connecting at the top of well with necessary clamps etc., complete. (PWD SR 2020-21 p-105)</t>
  </si>
  <si>
    <t>supplying and delivery of the following dia Of GI Pipe  'B' Class with ISI in etc above G.L</t>
  </si>
  <si>
    <t>a) 25 mm Dia GI Pipe B Class Above ground level</t>
  </si>
  <si>
    <t>b) 50 mm Dia GI Pipe B Class Above ground level</t>
  </si>
  <si>
    <t>c) 65 mm dia GI Pipe Below ground level</t>
  </si>
  <si>
    <t>Supplying and laying of  the following GI specials including cost of clamping and labour charges, fixing G I pipes etc complete, all complete and as directed by the departmental officers</t>
  </si>
  <si>
    <t>a) 50mm  x 32mm  reducer  (TWAD SR)</t>
  </si>
  <si>
    <t>b) 80mm dia GI pipe (PWD SR)</t>
  </si>
  <si>
    <t>c) 50mm dia Hex Nipple  (PWD SR)</t>
  </si>
  <si>
    <t>d)50mmm dia union  (PWD SR)</t>
  </si>
  <si>
    <t>e) 80mm dia GI bend  (PWD SR)</t>
  </si>
  <si>
    <t>f) 50mm Tee  (PWD SR)</t>
  </si>
  <si>
    <t>g)80mm dia GI coupling  (PWD SR)</t>
  </si>
  <si>
    <t>h) 65mm dia Gun Metal Non return valve (TWAD SR)</t>
  </si>
  <si>
    <t>j) 32mm dia Gun Metal Gate valve  (PWD SR)  below ground level</t>
  </si>
  <si>
    <t>Supplying and fixing of  Pvc of 10kg/cm² including  labour charge etc complete</t>
  </si>
  <si>
    <r>
      <t xml:space="preserve">Supplying and fixing of  Pvc of 10kg/cm² including  labour charge etc complete           </t>
    </r>
    <r>
      <rPr>
        <b/>
        <sz val="18"/>
        <color indexed="8"/>
        <rFont val="Arial"/>
        <family val="2"/>
      </rPr>
      <t xml:space="preserve"> 50 mm dia</t>
    </r>
  </si>
  <si>
    <t>Supplying and delivery of following dia PVC  Pipe( 10kg for .per.cm2)specials with ISI mark of best quality confirming to IS specification including cost of materials and conveyance etc., all complete and as directed by the departmental officers.</t>
  </si>
  <si>
    <t>a) 50mm dia Tee (PWD SR)</t>
  </si>
  <si>
    <t>b) 50mm dia Elbow  (PWD SR)</t>
  </si>
  <si>
    <t>c)40mm x 32mm dia reducer  (PWD SR)</t>
  </si>
  <si>
    <t>d)50mm x 40mm dia reducer  (PWD SR)</t>
  </si>
  <si>
    <t>h)32mm dia MTA</t>
  </si>
  <si>
    <t>i)32mm dia  FTA</t>
  </si>
  <si>
    <t>Supply and fixinng of  50mm dia MS bore well clamp set best approved quality including cost of bolts, nuts and conveyance etc (TWAD SR)</t>
  </si>
  <si>
    <t>Supplying and fixing of Aluminium die castel letters including labour charge etc complete. CER.No.28/2020-21</t>
  </si>
  <si>
    <t xml:space="preserve">Supplying and fixing of Aluminium TNPHC Emblem of 18" height </t>
  </si>
  <si>
    <t>Supply and fixing of 12" Height Aluminium letters</t>
  </si>
  <si>
    <t>Supply and fixing of 9" Height Aluminium letters</t>
  </si>
  <si>
    <t>Supply and fixing og 5" dia plastic foam plate of 3mm tk with 3" height numbers</t>
  </si>
  <si>
    <t>Supply and fixing of 20"x5" plastic foam name plate with vinyl cutting letters</t>
  </si>
  <si>
    <t>Supply and fixing of 24"x8" plastic foam name plate with vinyl cutting letters</t>
  </si>
  <si>
    <t>Supply and fixing of SFRC Manhole cover with frame with locking arrangements</t>
  </si>
  <si>
    <t>a.600mmx600mm</t>
  </si>
  <si>
    <t>b.300mmx300mm</t>
  </si>
  <si>
    <t>Providing of PVC beeding for suitable size for corner of wall tile</t>
  </si>
  <si>
    <t>Supplying and Delivery of "Godraj Navtal" lock 6 lever with three keys (Quotation)</t>
  </si>
  <si>
    <t>Supplying of Aluminium ladder 15 feet length (Quotation)</t>
  </si>
  <si>
    <t>Safety Firest 4 Kg Fire Extinguisher Mono Ammonium Phosphate powder, stored pressure Type, pressure gauge, Gross weight 8 Kg</t>
  </si>
  <si>
    <t>Safty first fire 4.5 Kg, Co2 Gas type Fire xtinguisher, Easy weight management used unused mechanism, Gross weight 19.1Kg, empty weight 14.6 Kg, Can Height 857mm, diameter 140mm, dischare Time less than 10 sec.</t>
  </si>
  <si>
    <t>Prividing 300mm dia auger pile</t>
  </si>
  <si>
    <t>Drilling of borewell anywhere including transportation from one place to another place in alluvial soil or sedimentary starta mud circulation method 150mm dia</t>
  </si>
  <si>
    <t>(a) Drilling of borewell in  upto 60m 
(TWAD SR 2019-20 p-293)</t>
  </si>
  <si>
    <t xml:space="preserve">Drilling of 150mm dia vertical bores in hardrock formation to any required depth using "DTH Rig" </t>
  </si>
  <si>
    <t>(a) Drilling of borewell in rock area (DTH)</t>
  </si>
  <si>
    <t xml:space="preserve">Reaming of borewell from 150mm dia pilot bore up to 300mm dia bore </t>
  </si>
  <si>
    <t>(a)  upto 60m
(TWAD SR 2019-20 p-294)</t>
  </si>
  <si>
    <t>(b)  above 60m to 90m
(TWAD SR 2019-20 p-294)</t>
  </si>
  <si>
    <t>Supply and delivery of 150 mm OD of PVC casing pipes [6Kg/CM2] as per IS 12818 / 1992 of approved quality for borewells (TWAD SR 2020-21)</t>
  </si>
  <si>
    <t>Supply and delivery of 150 mm OD ribbed screen pipes [6Kg/CM2] as per IS 12818 / 1992 of approved quality confirming of ISI mark of borewells   (TWAD SR 2020-21)</t>
  </si>
  <si>
    <t>Labour Charges for inserting PVC casing pipes assembly (with slots or without slots) in the drilled hole (TWAD SR 2020-21)</t>
  </si>
  <si>
    <t>Supply and fixing of 160 mm dia PVC endcap for borewell bottam and top cover including all cost. (TWAD SR 2020-21)</t>
  </si>
  <si>
    <t>Charges for developing the borewell for the entire depth with air compressor of 300cfm capacity [Minimum 8 hours]  (TWAD SR 2020-21)</t>
  </si>
  <si>
    <t>Hour</t>
  </si>
  <si>
    <t xml:space="preserve">Supplying and delivery of following materials </t>
  </si>
  <si>
    <t>a) MS Clamp set</t>
  </si>
  <si>
    <t>a). 12mm Nylon rope  (PWD SR 2021-2022 p-105)</t>
  </si>
  <si>
    <t>b). 40MM Dia  HDPE PIPES (PWD SR 2021-2022, Pg No. 105)</t>
  </si>
  <si>
    <t>d) 32mm dia Gate valve</t>
  </si>
  <si>
    <t>e) 2.5 sqmm 3 core flat cable</t>
  </si>
  <si>
    <t>Supplying, laying, fixing and jointing of 40mm dia UPVC pipe (Above Ground level)</t>
  </si>
  <si>
    <t xml:space="preserve">Supply and delivery of Openwell Submersible motor pumpset </t>
  </si>
  <si>
    <t xml:space="preserve">Labour charges for the erection of submersible pumpset in borewell/openwell   </t>
  </si>
  <si>
    <t>Supply and delivery of Submersible motor pumpset without panel board of 1.5 HP capacity 20 LPMx125m head of electric motor pump set (TWAD SR 2020-21)</t>
  </si>
  <si>
    <t>Supplying and fixing of single phase panel board, DOL with two level guard and auto start for 1.5 HP (TWAD SR 2020-21)</t>
  </si>
  <si>
    <t>Labour charges for laying of flat cable above ground level</t>
  </si>
  <si>
    <t>Labour charges for laying of flat cable below ground level</t>
  </si>
  <si>
    <t>Supply and delivery of Plumbing fittings</t>
  </si>
  <si>
    <t>a) 50mm non return valve (TWAD SR 2020-21)</t>
  </si>
  <si>
    <t>b) 50mm Gate valve (PWD SR 2021-22)</t>
  </si>
  <si>
    <t>c) 50mm Union (PWD SR 2021-22)</t>
  </si>
  <si>
    <t>d) 50mm G.I. Pipe (PWD SR 2021-22)</t>
  </si>
  <si>
    <t>e) 50mm G.I. Bend (PWD SR 2021-22)</t>
  </si>
  <si>
    <t>f) 50 mm dia GI coupling  (PWD SR 2021-22)</t>
  </si>
  <si>
    <t>TW double leaves shutter of size 1800 x 2100mm</t>
  </si>
  <si>
    <t>Ornamental TW double leaves panelled shutter of size 1800 x 2100mm</t>
  </si>
  <si>
    <t>Ornamental TW double leaves panelled shutter of size 1800 x 2400mm</t>
  </si>
  <si>
    <t>1500 liters capacity of HDPE Water Tank</t>
  </si>
  <si>
    <t>Providing shahabad stone flooring</t>
  </si>
  <si>
    <t xml:space="preserve">Eurocon Tiles flooring </t>
  </si>
  <si>
    <t xml:space="preserve">Vetrified Tiles flooring </t>
  </si>
  <si>
    <t xml:space="preserve">kota stone  flooring </t>
  </si>
  <si>
    <t xml:space="preserve">Granite Tiles flooring </t>
  </si>
  <si>
    <t>Plastering with ccccm 1:3, 12mm mixed with WPC</t>
  </si>
  <si>
    <t>HDPE water tank 5000 lit capacity</t>
  </si>
  <si>
    <t>TW Panelled Door 1500 X 2400MM (Double leaves)</t>
  </si>
  <si>
    <t>TW Panelled Door 1200 X 2400MM (Double leaves)</t>
  </si>
  <si>
    <t>TW Panelled Door 1800 X 2400MM (Double leaves)</t>
  </si>
  <si>
    <r>
      <t>Partly glazed and partly BWR</t>
    </r>
    <r>
      <rPr>
        <sz val="18"/>
        <rFont val="Arial"/>
        <family val="2"/>
      </rPr>
      <t xml:space="preserve"> panelled door shutter (Double leaves) with brass screws.
</t>
    </r>
    <r>
      <rPr>
        <b/>
        <sz val="18"/>
        <rFont val="Arial"/>
        <family val="2"/>
      </rPr>
      <t>a. 1500x2400mm</t>
    </r>
  </si>
  <si>
    <r>
      <t>Partly glazed and partly TW</t>
    </r>
    <r>
      <rPr>
        <sz val="18"/>
        <rFont val="Arial"/>
        <family val="2"/>
      </rPr>
      <t xml:space="preserve"> panelled door shutter (Double leaves) with brass screws.
</t>
    </r>
    <r>
      <rPr>
        <b/>
        <sz val="18"/>
        <rFont val="Arial"/>
        <family val="2"/>
      </rPr>
      <t>a. 1200x2400mm</t>
    </r>
  </si>
  <si>
    <t>BWR door 900 x 2400   single leaf</t>
  </si>
  <si>
    <t>BWR door 1050 x 2400   single leaf</t>
  </si>
  <si>
    <t>BWR door 1200 x 2400   double leaves</t>
  </si>
  <si>
    <t>BWR door 1500 x 2400   double leaves</t>
  </si>
  <si>
    <t>450 x 375 x 20 m   thick TW plank</t>
  </si>
  <si>
    <t>40 mm dia GI pipe "B"class</t>
  </si>
  <si>
    <t>Supplying and fixing of Three phase ELCB</t>
  </si>
  <si>
    <t>MDF 900 x 2100 single</t>
  </si>
  <si>
    <t>MDF 1000 x 2100</t>
  </si>
  <si>
    <t>MDF 1200 x 2100</t>
  </si>
  <si>
    <t>MDF 1500 X 2100MM (Double Leaf)</t>
  </si>
  <si>
    <t>MDF 1200 X 2100MM (Double Leaf)</t>
  </si>
  <si>
    <t>MDF 1500 X 2400MM (Double Leaf)</t>
  </si>
  <si>
    <t>Varnishing one coat</t>
  </si>
  <si>
    <t>Varnishing two coat</t>
  </si>
  <si>
    <t>Red oxide plastering in CM 1:4</t>
  </si>
  <si>
    <t>Under reamed pile (Single)</t>
  </si>
  <si>
    <r>
      <t xml:space="preserve">LIGHT POINT WITH CEILING ROSE FOR </t>
    </r>
    <r>
      <rPr>
        <b/>
        <sz val="18"/>
        <rFont val="Arial"/>
        <family val="2"/>
      </rPr>
      <t>ADMINISTRATIVE BLOCKS A</t>
    </r>
    <r>
      <rPr>
        <sz val="18"/>
        <rFont val="Arial"/>
        <family val="2"/>
      </rPr>
      <t>ND COMMUNITY CENTRE</t>
    </r>
  </si>
  <si>
    <r>
      <t xml:space="preserve">LIGHT POINT WITH BAKELITE BATTERN TYPE HOLDER FOR </t>
    </r>
    <r>
      <rPr>
        <b/>
        <sz val="18"/>
        <rFont val="Arial"/>
        <family val="2"/>
      </rPr>
      <t>ADMINISTRATIVE BLOCKS</t>
    </r>
    <r>
      <rPr>
        <sz val="18"/>
        <rFont val="Arial"/>
        <family val="2"/>
      </rPr>
      <t xml:space="preserve"> AND COMMUNITY CENTRE</t>
    </r>
  </si>
  <si>
    <r>
      <t xml:space="preserve">FAN POINT FOR </t>
    </r>
    <r>
      <rPr>
        <b/>
        <sz val="18"/>
        <rFont val="Arial"/>
        <family val="2"/>
      </rPr>
      <t>ADMINISTRATIVE BLOCKS</t>
    </r>
    <r>
      <rPr>
        <sz val="18"/>
        <rFont val="Arial"/>
        <family val="2"/>
      </rPr>
      <t xml:space="preserve"> AND COMMUNITY CENTRE</t>
    </r>
  </si>
  <si>
    <r>
      <t xml:space="preserve">STAIRCASE LIGHT POINT FOR </t>
    </r>
    <r>
      <rPr>
        <b/>
        <sz val="18"/>
        <rFont val="Arial"/>
        <family val="2"/>
      </rPr>
      <t>ADMINISTRATIVE BLOCKS</t>
    </r>
    <r>
      <rPr>
        <sz val="18"/>
        <rFont val="Arial"/>
        <family val="2"/>
      </rPr>
      <t xml:space="preserve"> AND COMMUNITY CENTRE</t>
    </r>
  </si>
  <si>
    <t>2 X 2.5 Sq mm in fully concealed PVC conduit</t>
  </si>
  <si>
    <t>2 X 4 Sq mm in fully concealed PVC conduit</t>
  </si>
  <si>
    <t>4 X 4 Sq mm in fully concealed PVC conduit</t>
  </si>
  <si>
    <t>32 AMPS DOUBLE POLE MAIN SWITCH ON TEAK WOOD BOARD TOP MES SERVICE CONNECTION / MOTOR PUMP( SINGLE PHASE ) SET</t>
  </si>
  <si>
    <t>Supply and fixing 4 way 250 volt single phase with neutral link metalic distribution board on suitable Teak wood board etc., all complete including connections.</t>
  </si>
  <si>
    <t>16 AMPS TPIC ON TEAK WOOD BOARD FOR 3 PHASE MES SERVICE CONNECTION AND 3 PHASE MOTOR PUMPSETS</t>
  </si>
  <si>
    <t>Supplying and fixing of 32 amps triple pole main switch with fuse and neutral link on a suitable well varnished teak wood board</t>
  </si>
  <si>
    <t>THREE PHASE DISTRIBUTION BOARD WITH 6 WAY PHASE AND 30 AMPS / WAY WITH FUSE AND NEUTRAL LINK ON SUITABLE TW PLANK TOP MES CONNECTION BOARD (FOR 12 IN 1 BLOCKS)</t>
  </si>
  <si>
    <t>THREE PHASE DISTRIBUTION BOARD WITH 4 WAY PHASE AND 3 AMPS/WAY FUSE AND NEUTRAL LINK FOR MES SERVICE CONNECTION ( 6 IN 1  BLOCKS )</t>
  </si>
  <si>
    <t>FIXING OF TUBE LIGHT FITTINGS ON WALL / CEILING</t>
  </si>
  <si>
    <t>FIXING OF TUBE FITTINGS SUSPENDED FROM CEILING</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</si>
  <si>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</si>
  <si>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</si>
  <si>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</si>
  <si>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</si>
  <si>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Supplying and delivery of Single phase ELCB/RCCB</t>
  </si>
  <si>
    <t>Supplying and delivery of Three phase ELCB/RCCB</t>
  </si>
  <si>
    <r>
      <t xml:space="preserve">2 x 4 Sqmm Copper PVC insulated unsheathed single core 1 KV grade cable for </t>
    </r>
    <r>
      <rPr>
        <b/>
        <sz val="18"/>
        <rFont val="Arial"/>
        <family val="2"/>
      </rPr>
      <t>EB service single phase.</t>
    </r>
  </si>
  <si>
    <r>
      <t>4 x 4  Sq mm copper PVC insulated unsheathed single core cable for</t>
    </r>
    <r>
      <rPr>
        <b/>
        <sz val="18"/>
        <rFont val="Arial"/>
        <family val="2"/>
      </rPr>
      <t xml:space="preserve"> 3 phase EB service</t>
    </r>
    <r>
      <rPr>
        <sz val="18"/>
        <rFont val="Arial"/>
        <family val="2"/>
      </rPr>
      <t xml:space="preserve"> connection</t>
    </r>
  </si>
  <si>
    <t xml:space="preserve">Supply of 40 mm dia GI pipe "B"class </t>
  </si>
  <si>
    <t>Laying of U.G. Cable below Ground Level</t>
  </si>
  <si>
    <t>Fixing of UG cables on Walls / Ceiling</t>
  </si>
  <si>
    <t>Fixing of Tube light street light fitting</t>
  </si>
  <si>
    <t>Charges for fixing Mercury, Sodium Vapour lamp street light fittings ( all types ) in the existing pole with required GI pipes 'B' class and accessories ( Street light fittings alone will be supplied departmentally at free of cost ).</t>
  </si>
  <si>
    <t>S &amp; F TNEB Meter Board made up of MS box 600 x 225 mm with door and lock and key arrangements</t>
  </si>
  <si>
    <t>25 mm dia PVC pipe Heavy duty with ISI mark for TV/ Telephone line</t>
  </si>
  <si>
    <t xml:space="preserve">TV/Telephone line junction </t>
  </si>
  <si>
    <t xml:space="preserve">Supply and erection of Tubular lamp, using 65 mm dia GI pipe 'B' class pipe with ISI mark of 6 mt length and 20 mm dia GI pipe 'B' class upto 2 mt with. </t>
  </si>
  <si>
    <t>Tube light -  Box type</t>
  </si>
  <si>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</si>
  <si>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</si>
  <si>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</si>
  <si>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</si>
  <si>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</si>
  <si>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</si>
  <si>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</si>
  <si>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</si>
  <si>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whitewashing one coat</t>
  </si>
  <si>
    <t>whitewashing one coat for old wall</t>
  </si>
  <si>
    <t>whitewashing two coat for old wall</t>
  </si>
  <si>
    <t>Thorough scrapping the old wall</t>
  </si>
  <si>
    <t>Thorough scrapping the old iron work</t>
  </si>
  <si>
    <t>Thorough scrapping the old wood work</t>
  </si>
  <si>
    <t>Cement paint one coat for old wall</t>
  </si>
  <si>
    <t>Cement paint two coat for old wall</t>
  </si>
  <si>
    <t>painting one coat for old iron work</t>
  </si>
  <si>
    <t>painting two coat for old iron work</t>
  </si>
  <si>
    <t>painting one coat for old wood work</t>
  </si>
  <si>
    <t>painting two coat for old wood work</t>
  </si>
  <si>
    <t>Matt paint one coat for old wall</t>
  </si>
  <si>
    <t>Plinth production</t>
  </si>
  <si>
    <t>TAMIL NADU POLICE HOUSING CORPORATION LTD</t>
  </si>
  <si>
    <t>ABSTRACT</t>
  </si>
  <si>
    <t>Qty.</t>
  </si>
  <si>
    <t>Amount
2021-2022</t>
  </si>
  <si>
    <t>Cement &amp; Steel</t>
  </si>
  <si>
    <t>Rough stone, Bond stone, cut stone, HBG, Sand, gravel, surkhi, earth, crushed stone etc.</t>
  </si>
  <si>
    <t>Country
Bricks,</t>
  </si>
  <si>
    <t>Mangalore tiles,(1000nos.) machine pressed tiles, (2000nos)
Hydraulic pressed tiles, Mosaic tiles(1500 nos)</t>
  </si>
  <si>
    <t>Chamber bricks, Stock bricks, Fly ash bricks</t>
  </si>
  <si>
    <t>Lime stone, Laterite,brick jelly, wood work, pond ash(wet/Dry), Stone dust etc.</t>
  </si>
  <si>
    <t>(1MT)</t>
  </si>
  <si>
    <t>(1Cum)</t>
  </si>
  <si>
    <t>(1000 Nos)</t>
  </si>
  <si>
    <t>0-10</t>
  </si>
  <si>
    <t>10-20</t>
  </si>
  <si>
    <t>20-40</t>
  </si>
  <si>
    <t>40-80</t>
  </si>
  <si>
    <t>&gt;80</t>
  </si>
  <si>
    <t>Metal</t>
  </si>
  <si>
    <t xml:space="preserve">                                                                                                                                                                                                                                                                                                                                                </t>
  </si>
  <si>
    <t>Br jelly</t>
  </si>
  <si>
    <t>Mosaic</t>
  </si>
  <si>
    <t>Lime</t>
  </si>
  <si>
    <t xml:space="preserve">Total km </t>
  </si>
  <si>
    <t>Rough &amp; Bond stone</t>
  </si>
  <si>
    <t>Wood</t>
  </si>
  <si>
    <t>lead</t>
  </si>
  <si>
    <t>Stone dust</t>
  </si>
  <si>
    <t>well gravel</t>
  </si>
  <si>
    <t>Hills</t>
  </si>
  <si>
    <t>stone</t>
  </si>
  <si>
    <t>Kilin Bricks</t>
  </si>
  <si>
    <t>tiles</t>
  </si>
  <si>
    <t>sand</t>
  </si>
  <si>
    <t>Stone Dust</t>
  </si>
  <si>
    <t>crushed stone</t>
  </si>
  <si>
    <t>C.P.STOPCOCK 15mM DIA 300gm</t>
  </si>
  <si>
    <t>PVC RIGID CONDUIT PIPE 19M/20MM HEAVY DUTY WITH ISI</t>
  </si>
  <si>
    <t xml:space="preserve">Sundries </t>
  </si>
  <si>
    <t>7/20 GI stay wire</t>
  </si>
  <si>
    <t>Helpers</t>
  </si>
  <si>
    <t>Labour for 3 Nos</t>
  </si>
  <si>
    <t>Provision of hole in the wall and making good of the wall</t>
  </si>
  <si>
    <t>Add 1% sundries</t>
  </si>
  <si>
    <t>100 Nos</t>
  </si>
  <si>
    <t>Rate for 1 no</t>
  </si>
  <si>
    <t>Tamil Nadu Police Housing Corporation</t>
  </si>
  <si>
    <t>TNHB ELECTRICAL DATA 2019-2020</t>
  </si>
  <si>
    <t>Part   - A</t>
  </si>
  <si>
    <t>DATA  - 1</t>
  </si>
  <si>
    <t>FAN POINT FOR ADMINISTRATIVE BLOCKS AND COMMUNITY CENTRE</t>
  </si>
  <si>
    <t>WIRING IN CONCEALED PVC PIPE</t>
  </si>
  <si>
    <t>Light point with ceiling rose for flats/ houses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</si>
  <si>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</si>
  <si>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1"/>
        <color theme="1"/>
        <rFont val="Calibri"/>
        <family val="2"/>
        <scheme val="minor"/>
      </rPr>
      <t xml:space="preserve"> FOR ADMINISTRATIVE BLOCKS AND COMMUNITY CENTRE controlled by 5 amps flush type switch including citcuit mains, cost of all materials, specials, etc., all complete,</t>
    </r>
    <r>
      <rPr>
        <b/>
        <sz val="12"/>
        <rFont val="Helv"/>
      </rPr>
      <t>(Open wiring)</t>
    </r>
  </si>
  <si>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</si>
  <si>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</si>
  <si>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</si>
  <si>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</si>
  <si>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</si>
  <si>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</si>
  <si>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Teakwood plugs 1.5"x1"x2"</t>
  </si>
  <si>
    <t>PVC JUNCTION BOX 19 mm</t>
  </si>
  <si>
    <t>MS box  150 x 100 x 75 mm p-125 vi-b pat -f</t>
  </si>
  <si>
    <t>3 mm thick laminated Hylem sheet p-128 it-7a part-I</t>
  </si>
  <si>
    <t>Brass screws  ( 40 mm x 6 no) P-85 Part-L c</t>
  </si>
  <si>
    <t>1.5 sqmm copper PVC insulated unsheathed single core cable (P-123 it-2/b)</t>
  </si>
  <si>
    <t>MS box  12"X8" mm(5 sided) covered with 3mm thick Hylem sheet [sd 12]</t>
  </si>
  <si>
    <t>bag</t>
  </si>
  <si>
    <t>Sundries for screws etc.,</t>
  </si>
  <si>
    <t>Total for 6 Points</t>
  </si>
  <si>
    <t>For Concreting work</t>
  </si>
  <si>
    <r>
      <t>Mason II</t>
    </r>
    <r>
      <rPr>
        <vertAlign val="superscript"/>
        <sz val="12"/>
        <rFont val="Helv"/>
      </rPr>
      <t>nd</t>
    </r>
    <r>
      <rPr>
        <sz val="11"/>
        <color theme="1"/>
        <rFont val="Calibri"/>
        <family val="2"/>
        <scheme val="minor"/>
      </rPr>
      <t xml:space="preserve"> class</t>
    </r>
  </si>
  <si>
    <t>DATA  - 2</t>
  </si>
  <si>
    <r>
      <t xml:space="preserve">LIGHT POINT WITH CEILING ROSE FOR ADMINISTRATIVE BLOCKS AND COMMUNITY CENTRE </t>
    </r>
    <r>
      <rPr>
        <b/>
        <sz val="14"/>
        <rFont val="Helv"/>
      </rPr>
      <t>Open wiring</t>
    </r>
  </si>
  <si>
    <t>Light point with bakelite batern type holder for flats/ houses</t>
  </si>
  <si>
    <t>1175/6=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</si>
  <si>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</si>
  <si>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</si>
  <si>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19 mm PVC saddles</t>
  </si>
  <si>
    <t>DATA  - 3</t>
  </si>
  <si>
    <t>POINT WIRING FOR CALLING BELL / BUZZER WITH PUSH SWITCH FOR ALL TYPE OF BUILDING</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</si>
  <si>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</si>
  <si>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MS box  4"X4" mm(5 sided) covered with 3mm thick Hylem sheet [sd 12]</t>
  </si>
  <si>
    <t>Total of Data 1 excluding sundries</t>
  </si>
  <si>
    <t>Deduct cost of 10 Nos ceiling rose</t>
  </si>
  <si>
    <t>Deduct cost of 10 Nos 19 mm PVC junction box</t>
  </si>
  <si>
    <t>Deduct 10 Nos 5 A switch</t>
  </si>
  <si>
    <t>Add the cost of 10 nos  15 x 10 x 7.5 cm TW box @ Rs 16.50/Each p-130,  X-c part -j</t>
  </si>
  <si>
    <t>DATA  -  4</t>
  </si>
  <si>
    <t>FAN POINT</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</si>
  <si>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</si>
  <si>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MS box  200 x 150 x 75 mm  part-  F 1c p-126</t>
  </si>
  <si>
    <t>MS joint box (150 x 100 x 75 mm )</t>
  </si>
  <si>
    <t>MS box  300 x 200 x 75 mm</t>
  </si>
  <si>
    <t>200x150x75 mm=90</t>
  </si>
  <si>
    <t xml:space="preserve">A 200x150x75 mm=0.0825 </t>
  </si>
  <si>
    <r>
      <t>A 300x200x75 mm=0.135m</t>
    </r>
    <r>
      <rPr>
        <vertAlign val="superscript"/>
        <sz val="12"/>
        <rFont val="Helv"/>
      </rPr>
      <t>2</t>
    </r>
  </si>
  <si>
    <t xml:space="preserve">DATA  - 5 </t>
  </si>
  <si>
    <t>STAIRCASE LIGHT POINT</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</si>
  <si>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</si>
  <si>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)part c-b p-118</t>
  </si>
  <si>
    <t>19 mm PVC junction box</t>
  </si>
  <si>
    <t>DATA   - 6</t>
  </si>
  <si>
    <t xml:space="preserve">5 AMPS 5 PIN PLUG SOCKET POINT AT CONVENIENT PLACES </t>
  </si>
  <si>
    <r>
      <t xml:space="preserve">Supplying and fixing of </t>
    </r>
    <r>
      <rPr>
        <b/>
        <sz val="12"/>
        <rFont val="Helv"/>
      </rPr>
      <t>15 Amps 3 pin flush type plug</t>
    </r>
    <r>
      <rPr>
        <sz val="11"/>
        <color theme="1"/>
        <rFont val="Calibri"/>
        <family val="2"/>
        <scheme val="minor"/>
      </rPr>
      <t xml:space="preserve"> socket on suitable MS box of 16g thick concealed and covered with 3 mm thick laminated hylem sheet inclusive of all materials, etc., all complete.</t>
    </r>
  </si>
  <si>
    <t>DATA    - 9</t>
  </si>
  <si>
    <t>LIGHT POINT WITH CEILING ROSE FOR ADMINISTRATIVE BLOCKS AND COMMUNITY CENTRE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</si>
  <si>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</si>
  <si>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MS joint box 150 x 100 x 75 mm</t>
  </si>
  <si>
    <t>MS box  150 x 100 x 75 mm</t>
  </si>
  <si>
    <t>3 mm thick laminated Hylem sheet</t>
  </si>
  <si>
    <t>DATA    -   10</t>
  </si>
  <si>
    <t>LIGHT POINT WITH BAKELITE BATTERN TYPE HOLDER FOR ADMINISTRATIVE BLOCKS AND COMMUNITY CENTRE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</si>
  <si>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</si>
  <si>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</si>
  <si>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Deduct cost of ceiling rose 6 nos</t>
  </si>
  <si>
    <t>Total for 6 points</t>
  </si>
  <si>
    <t>For 1 points</t>
  </si>
  <si>
    <t>DATA   - 11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</si>
  <si>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</si>
  <si>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PVC junction box 19 mm</t>
  </si>
  <si>
    <t>MS box  200 x 150 x 75 mm</t>
  </si>
  <si>
    <t>DATA  - 12 a</t>
  </si>
  <si>
    <t>STAIRCASE LIGHT POINT FOR ADMINISTRATIVE BLOCKS AND COMMUNITY CENTRE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</si>
  <si>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</si>
  <si>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</si>
  <si>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</si>
  <si>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</si>
  <si>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DATA   - 14</t>
  </si>
  <si>
    <t>2 X1.5 Sqmm in fully concealed PVC conduit</t>
  </si>
  <si>
    <t>2 X 6 Sq 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</si>
  <si>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</si>
  <si>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</si>
  <si>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6 sqmm copper PVC insulated unsheathed single core cable p 125 , 2  part -E</t>
  </si>
  <si>
    <t>4 sqmm copper PVC insulated unsheathed single core cable for continuous earth connectionp  P-125 2 d</t>
  </si>
  <si>
    <t>Total for 90 Metres</t>
  </si>
  <si>
    <t>DATA   - 13</t>
  </si>
  <si>
    <t>Total as per Data No. 12</t>
  </si>
  <si>
    <t>Add 180 mt 2.5 Sqmm copper PVC insulated unsheathed S.C. cable p-125, it- 2 c</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</si>
  <si>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</si>
  <si>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sqmm copper PVC insulated unsheathed single core cable,P-125 it-2-d</t>
  </si>
  <si>
    <t>2.5 sqmm copper PVC insulated unsheathed single core cable for continuous earth connectionp-79, it- 2 c</t>
  </si>
  <si>
    <t>DATA   - 15</t>
  </si>
  <si>
    <t>4 X 6 Sq mm in fully concealed PVC conduit</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</si>
  <si>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</si>
  <si>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</si>
  <si>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sqmm copper PVC insulated unsheathed single core cable,P-123 it-2-d</t>
  </si>
  <si>
    <t>6 sqmm copper PVC insulated unsheathed single core cable p 123 , 2  part -E</t>
  </si>
  <si>
    <t>25mm dia rigid PVC pipe heavy duty with ISI heavy duty with ISI mark part -I 1c P-128, Part -I</t>
  </si>
  <si>
    <t>25mm dia rigid PVC pipe heavy duty with ISI heavy duty with ISI mark part-I 1c P-82</t>
  </si>
  <si>
    <t>2.5 sqmm copper PVC insulated unsheathed single core cable for continuous earth connection (p-86, it- 2 c)</t>
  </si>
  <si>
    <t>4 sqmm copper PVC insulated unsheathed single core cable for continuous earth connectionp-</t>
  </si>
  <si>
    <t>Labour charges ( 1.5 x Labour charges + Labour for ducting - sub data - A)</t>
  </si>
  <si>
    <t>( 1.5  x 10421) - ( (1608+2224 ) / 2)</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</si>
  <si>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</si>
  <si>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</si>
  <si>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Part   - C</t>
  </si>
  <si>
    <t>10 sqmm copper PVC insulated unsheathed single core cable (P-125  it-2-f part-F)</t>
  </si>
  <si>
    <t>25mm dia rigid PVC pipe heavy duty with ISI heavy duty with ISI markpart-I 1c P-82</t>
  </si>
  <si>
    <t>6 sqmm copper PVC insulated unsheathed single core cable for continuous earth connectionp</t>
  </si>
  <si>
    <t>DATA   - 17</t>
  </si>
  <si>
    <t>16 AMPS DOUBLE POLE MAIN SWITCH ON TEAK WOOD BOARD TOP MES SERVICE CONNECTION / MOTOR PUMP( SINGLE PHASE ) SET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</si>
  <si>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</si>
  <si>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 [SD 143]</t>
  </si>
  <si>
    <t>TW board of size 31x20x6 cm with brass hinge screw hooks well varnished (as per PWD Elec. Data SD 141)</t>
  </si>
  <si>
    <t>Sundries for TW plugs,screws, wire and earth connection etc.,</t>
  </si>
  <si>
    <t>Wiremen Grade I</t>
  </si>
  <si>
    <t>Total for 4 Nos</t>
  </si>
  <si>
    <t>DATA   - 19</t>
  </si>
  <si>
    <t>Supplying and fixing of 32 amps double pole main switch with fuse and neutral link on a suitable well varnished Teak wood board including necessary interconnections and cost of all materials, etc., all complete.</t>
  </si>
  <si>
    <t>TW board of size 31x20x6 cm with brass hinge screw hooks well varnished</t>
  </si>
  <si>
    <t>DATA   - 18</t>
  </si>
  <si>
    <t>4 way 16 amps, way 250 volts single phase and neutral link metalic distribution board p-120 7a</t>
  </si>
  <si>
    <t>T.W board of size 31 x 20x 6 cm with well varnished [SD 141]</t>
  </si>
  <si>
    <t>Labour charges  as per Data No 17</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</si>
  <si>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</si>
  <si>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 [SD 161]</t>
  </si>
  <si>
    <t>TW board of size 46 x31 x 6 cm with brass hinges hooks screws  well varnished [SD 149]</t>
  </si>
  <si>
    <t>Sundries screw TW plugs screws wire and earth connections.</t>
  </si>
  <si>
    <t>Wiremen  Grade I</t>
  </si>
  <si>
    <t>DATA   - 22</t>
  </si>
  <si>
    <t>DATA   - 20</t>
  </si>
  <si>
    <t>Supplying and fixing of 1 No three phase distribution board with 4 way/ phase and 30 A/way with neutral link on a suitable well varnished teak wood plank including necessary interconnections and earth connections cost of all materials, etc., all complete.</t>
  </si>
  <si>
    <t>Three phase distribution board with 4 way/phase and 32 A / Way with fuse and neutral link. P120  8d</t>
  </si>
  <si>
    <t>TW plank of size 750 x 450 x 12 mm thick</t>
  </si>
  <si>
    <t>Sundries such as screws plugs, cement, wire and earth connection.</t>
  </si>
  <si>
    <t>DATA   - 24</t>
  </si>
  <si>
    <t>( For 12 flats common &amp; pump )</t>
  </si>
  <si>
    <t>As per above data</t>
  </si>
  <si>
    <t>Add for 6 way TPDB 32A/way p-120, 8e</t>
  </si>
  <si>
    <t>2463.00/3474.00</t>
  </si>
  <si>
    <t>SUPPLY AND FIXING OF LED 4000K 2'X2' SQUARE TYPE RECESSED FITTING</t>
  </si>
  <si>
    <t>Charges for assembling and fixing of flouresent tubular lamp fittings of different types ( supplied by the department at free of cost ) with necessary teak wood round block of 75 mm dia 40 mm deep on walls/ ceiling including cost of materials, etc., all complete.</t>
  </si>
  <si>
    <t>LED 4000K 2'X2' SQUARE TYPE RECESSED FITTING</t>
  </si>
  <si>
    <t xml:space="preserve">TW round block P-130 Part -J -X- F </t>
  </si>
  <si>
    <t>0.5 Sqmm copper twin core flex wire</t>
  </si>
  <si>
    <t>100 Rmts</t>
  </si>
  <si>
    <t>CONNECTING LEADS BY 1 SQMM</t>
  </si>
  <si>
    <t>Rmts</t>
  </si>
  <si>
    <t>sundries such as screws, nails etc.,</t>
  </si>
  <si>
    <t>Add sundries 1%</t>
  </si>
  <si>
    <t>Labour charges for assembling and fixing</t>
  </si>
  <si>
    <t>Labour charges for 16 Nos</t>
  </si>
  <si>
    <t>Total for 16 Nos</t>
  </si>
  <si>
    <t>DATA   - 23</t>
  </si>
  <si>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</si>
  <si>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Conduit pipe 19 mm (MS) (heavy gauge)p-127 Part-H 1-b</t>
  </si>
  <si>
    <t>Round block 75 mm dia 40 mm deep</t>
  </si>
  <si>
    <t xml:space="preserve">Sundries such as ball and socket arrangement, choke, nails, screws, etc., </t>
  </si>
  <si>
    <t>Total for 10  Nos</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</si>
  <si>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</si>
  <si>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</si>
  <si>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</si>
  <si>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</si>
  <si>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</si>
  <si>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</si>
  <si>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</si>
  <si>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</si>
  <si>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Supplying and laying of 8 SWG GI wire on walls/below ground level with necessary 'U' nails/ earth work excavation and re- filling etc., including cost of all materials, all complete.</t>
  </si>
  <si>
    <t xml:space="preserve">8 SWG GI wire  (Part- E, 3 -c P-124 ) </t>
  </si>
  <si>
    <t>Tatal for 90 Rmts</t>
  </si>
  <si>
    <t>For 1 Rmt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</si>
  <si>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</si>
  <si>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</si>
  <si>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</si>
  <si>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</si>
  <si>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</si>
  <si>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GI pipe 40 mm P-45 ,154-iii</t>
  </si>
  <si>
    <t>GI pipe 20 mm P-50 ,118-vi</t>
  </si>
  <si>
    <t>15 mm GI pipeP-50 ,118-VII</t>
  </si>
  <si>
    <t>GI reducer 32x25mmP- 52,119 F-iii</t>
  </si>
  <si>
    <t>Funnel, GI Nuts, Bolts,Washers and check nuts.</t>
  </si>
  <si>
    <t>Earth work excavation brick work in CM and plastering [SD 234]</t>
  </si>
  <si>
    <t>C.I Cover(30 x 30cm)</t>
  </si>
  <si>
    <t>GI bend 15 mm diaP-51 ,119-c vi</t>
  </si>
  <si>
    <t>15 mm GI coupling P- 51,119-E vi</t>
  </si>
  <si>
    <t>DATA   - 30</t>
  </si>
  <si>
    <t>ELCB SURFACE TEAK WOOD BOARD</t>
  </si>
  <si>
    <t>Charges for fixing single phase RCCB/ELCB ( to be supplied by the department free of cost ) on suitable well varnished teak wood plank with a necessary inter   connection and earth connections using copper cable including cost of all materials, etc., all complete.</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</si>
  <si>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</si>
  <si>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</si>
  <si>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</si>
  <si>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</si>
  <si>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</si>
  <si>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</si>
  <si>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</si>
  <si>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</si>
  <si>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 ( Part- F, P-126  it- d)</t>
  </si>
  <si>
    <t>Sundries such as cement, 1.5Sqmm copper PVC insulated unsheathed wire &amp; earth connections etc., all complete.</t>
  </si>
  <si>
    <t>Mason I ( it-25 /37  ,p-11)</t>
  </si>
  <si>
    <t>Total for 10 Nos</t>
  </si>
  <si>
    <t>For 1 No</t>
  </si>
  <si>
    <t>DATA   - 29</t>
  </si>
  <si>
    <t>ELCB ( 3 PHASE ) on surface teak wood plank</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</si>
  <si>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</si>
  <si>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</si>
  <si>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</si>
  <si>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 xml:space="preserve">ELCB (3 phase ) inconcealed MS Box </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</si>
  <si>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</si>
  <si>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</si>
  <si>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DATA   - 31</t>
  </si>
  <si>
    <t>25 Amps rating single phase ELCB with 10 to 25 MA sensitivity (ISI make ) (DP) P-133   10-b havells  part -L</t>
  </si>
  <si>
    <t>DATA   - 32</t>
  </si>
  <si>
    <r>
      <t xml:space="preserve">32 Amps rating </t>
    </r>
    <r>
      <rPr>
        <b/>
        <sz val="12"/>
        <rFont val="Helv"/>
      </rPr>
      <t xml:space="preserve">Three phase </t>
    </r>
    <r>
      <rPr>
        <sz val="11"/>
        <color theme="1"/>
        <rFont val="Calibri"/>
        <family val="2"/>
        <scheme val="minor"/>
      </rPr>
      <t>ELCB with 20 to 30 MA sensitivity (P-133  11-a) part -L</t>
    </r>
  </si>
  <si>
    <t>DATA   - 33</t>
  </si>
  <si>
    <t>1  no of 32 amps Fuse unit</t>
  </si>
  <si>
    <t xml:space="preserve">External Installation </t>
  </si>
  <si>
    <t>Supplying and fixing 1 No 30 Amps 500 volts grade/well porcelin fuse unit on suitable teak wood plank to be fixed on the top of the pole / EB street poles with necessary clamps and including cost of materials etc., all complete.</t>
  </si>
  <si>
    <t>63 Amps 500 V fuse units</t>
  </si>
  <si>
    <t>16 Amps 500 V fuse units</t>
  </si>
  <si>
    <t>100 Amps 500 V fuse units</t>
  </si>
  <si>
    <t>200 Amps 500 V fuse units</t>
  </si>
  <si>
    <t>32 Amps 500 V fuse units P-120 6-b</t>
  </si>
  <si>
    <t>TW plank 150 x 100 x 20 mm</t>
  </si>
  <si>
    <t>Sundries such as MS clamps screws etc.,</t>
  </si>
  <si>
    <t xml:space="preserve">TW plank 150 x 100 x 20  </t>
  </si>
  <si>
    <t>Total for 8 Nos</t>
  </si>
  <si>
    <t>DATA   - 34</t>
  </si>
  <si>
    <t>3 Nos of Fuse units at EB pole</t>
  </si>
  <si>
    <t>Supplying and fixing 3 No 32 Amps 500 volts grade/ well porcelin fuse unit on suitable teak wood plank to be fixed on the top of the  pole / EB street poles with necessary clamps and including cost of materials etc., all complete.</t>
  </si>
  <si>
    <t>63 AMPS</t>
  </si>
  <si>
    <t>DATA   - 35</t>
  </si>
  <si>
    <t>EB service connection Board for single phase</t>
  </si>
  <si>
    <t>Supplying and fixing 1 No of 375 x 300 x 20 m   thick TW plank well varnished with 1 No 15 amps 250 volts fuse unit and 1 No of copper earth plate of suitable size bolts and nuta on walls for EB service connections including cost of all materials, etc., all complete.</t>
  </si>
  <si>
    <t>16 Amps 250 Volts fuse unit (P-120   6-a</t>
  </si>
  <si>
    <t xml:space="preserve">TW plank 375 x 300 x 20 mm </t>
  </si>
  <si>
    <t>TW plank 375 x 300 x 20 mm</t>
  </si>
  <si>
    <t xml:space="preserve">DATA   </t>
  </si>
  <si>
    <t>Supplying and fixing of Single phase ELCB</t>
  </si>
  <si>
    <t>Single phase ELCB (ISI 25 Amps 30 MA)P-94  9-b</t>
  </si>
  <si>
    <t>3 No of 30 amps MCB ( Part -L, P-132   6-a havells)</t>
  </si>
  <si>
    <t>Labour charges ( as per data No:28)</t>
  </si>
  <si>
    <t>Rate for Single  phase ELCB</t>
  </si>
  <si>
    <t>Three phase ELCB P-94 10 a</t>
  </si>
  <si>
    <t>3 No of 30 amps MCB ( Part-L, P-93  6-a havells)</t>
  </si>
  <si>
    <t>Labour charges ( as per data No:30)</t>
  </si>
  <si>
    <t>Rate for Three phase ELCB</t>
  </si>
  <si>
    <t>DATA   - 36</t>
  </si>
  <si>
    <r>
      <t xml:space="preserve">Supplying and fixing </t>
    </r>
    <r>
      <rPr>
        <b/>
        <sz val="12"/>
        <rFont val="Helv"/>
      </rPr>
      <t xml:space="preserve">1 No of 450 x 375 x 20 m   thick TW plank </t>
    </r>
    <r>
      <rPr>
        <sz val="11"/>
        <color theme="1"/>
        <rFont val="Calibri"/>
        <family val="2"/>
        <scheme val="minor"/>
      </rPr>
      <t>well varnished with 3 No 30 amps 500 volts fuse unit and 1 No of copper earth plate of suitable size bolts and nuta on walls for EB service connections including cost of all materials, etc., all complete.</t>
    </r>
  </si>
  <si>
    <t>TW plank 450 x 375 x 20 mm</t>
  </si>
  <si>
    <t>Total for 3 Nos</t>
  </si>
  <si>
    <t>DATA   - 37</t>
  </si>
  <si>
    <t>2 x 4 Sqmm Copper PVC insulated unsheathed single core 1 KV grade cable for EB service single phase.</t>
  </si>
  <si>
    <t>2 x 2.5 Sqmm Copper PVC insulated unsheathed single core 1 KV grade cable for EB service single phase.</t>
  </si>
  <si>
    <t>4 Sqmm copper PVC insulated unsheathed single core cableP-79 2 d</t>
  </si>
  <si>
    <t>2.5 Sqmm copper PVC insulated unsheathed single core cableP-79 2 C</t>
  </si>
  <si>
    <t>7/20 GI stay wire [SD 64]</t>
  </si>
  <si>
    <t>PVC reel insulater</t>
  </si>
  <si>
    <t>GI wire for fixing reel insulater</t>
  </si>
  <si>
    <t>Sundries for masonry works clamps bolts and nuts etc.,</t>
  </si>
  <si>
    <t>Total for 90 Rmt</t>
  </si>
  <si>
    <t>Electrician Maistry</t>
  </si>
  <si>
    <t>DATA   - 38</t>
  </si>
  <si>
    <t>SUPPLY OF GI PIPES FOR EB SERVICE               ( SINGLE PHASE )</t>
  </si>
  <si>
    <t>Supply of 25 mm dia GI pipe "B"class ( for the above Data ) for passing through from top of Houses to the MES Board to meet the EB requirement.P-44 118 V</t>
  </si>
  <si>
    <t>GI pipe of 25 mm dia  (P-45 154 V)</t>
  </si>
  <si>
    <t>Rate Each Rmt</t>
  </si>
  <si>
    <t>DATA   - 39</t>
  </si>
  <si>
    <t>Supply of MS angle for EB service ( single phase )</t>
  </si>
  <si>
    <t>Supply of MS angles 40 x 40 x 6 mm for above data to support the above GI pipe and fixing the GI stay wire service connection wires for above data</t>
  </si>
  <si>
    <t>40 x 40 x 6 mm MS angle (P-126  part -G)</t>
  </si>
  <si>
    <t>(3.25 Kg)</t>
  </si>
  <si>
    <t>DATA   - 40</t>
  </si>
  <si>
    <t>4 x 4  Sq mm copper PVC insulated unsheathed single core cable for 3 phase EB service connection</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</si>
  <si>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</si>
  <si>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37</t>
  </si>
  <si>
    <t>DATA   - 41</t>
  </si>
  <si>
    <t>SUPPLY OF GI PIPES FOR EB SERVICE               ( THREE PHASE )</t>
  </si>
  <si>
    <t>Supply of 40 mm dia GI pipe "B"class ( for the above Data ) for passing through from top of Houses to the MES Board to meet the EB requirement.</t>
  </si>
  <si>
    <t>GI pipe of 40 mm dia  (P-45 154 -iii)</t>
  </si>
  <si>
    <t>DATA   - 42</t>
  </si>
  <si>
    <t>Earth work excavation and refilling(96.6+96.6+(33.6/3) SR P.22,23</t>
  </si>
  <si>
    <t>SAND FOR MORTAR sl.100  p19</t>
  </si>
  <si>
    <t>Bricks p16/ 5a</t>
  </si>
  <si>
    <t>DATA   - 44</t>
  </si>
  <si>
    <t>Charges for conveying and fixing of UG cables of sizes 4 to 25 Sqmm of 2, 3,3.5 and 4 core with necessary MS clamps, brass screws including cost of all materials redoing the dismantled portion, etc., all complete.</t>
  </si>
  <si>
    <t>M.S. Clamps/ Saddles 32mm (It- 3d p-132 ,part-L )</t>
  </si>
  <si>
    <t>Brass screws  ( 40 mm x 6 no) P131  Part-L 1-c</t>
  </si>
  <si>
    <t>TW plugs 1 1/2" x 1"x2"( part-J 1-e P-130  )</t>
  </si>
  <si>
    <t>Sundries for redoing on dismantled portion,etc.,</t>
  </si>
  <si>
    <t>Total for 90 Rmts</t>
  </si>
  <si>
    <t>Mason Ist class</t>
  </si>
  <si>
    <t>Total for 1 day</t>
  </si>
  <si>
    <t>For 2 day</t>
  </si>
  <si>
    <t>DATA   - 46</t>
  </si>
  <si>
    <t xml:space="preserve">Specification for MV/SV lamp street light fittings </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</si>
  <si>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</si>
  <si>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Specification for Flurescent Tubular lamp street light fittings</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</si>
  <si>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</si>
  <si>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</si>
  <si>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</si>
  <si>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</si>
  <si>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</si>
  <si>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</si>
  <si>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Fittings P-74 /6 b, c/92 c and a</t>
  </si>
  <si>
    <t>MV/SV lamps P-112 /6 b</t>
  </si>
  <si>
    <t>Total Rs</t>
  </si>
  <si>
    <t>DATA   - 48</t>
  </si>
  <si>
    <t>Charges for fixing flurescent tubular lamp street light fittings ( all types) in the existing street poles with a required GI pipes 'B' class and accessories ( street light fittings alone will be supplied departmentally at free of cost ).</t>
  </si>
  <si>
    <t>Supply and  Fixing of 25 W  LED street light fitting</t>
  </si>
  <si>
    <t xml:space="preserve">Charges for fixing 25 W LED lamp street light fittings ( all types) in the existing street pole/wall with  required GI pipe 'B' class and accessories </t>
  </si>
  <si>
    <t>GI pipe of 20 mm dia  (P-45 142 -iv)</t>
  </si>
  <si>
    <t>Back lamp with bolts &amp; nuts</t>
  </si>
  <si>
    <t>25 mm dia GI 'B' class pipe p-46 it-118 -v</t>
  </si>
  <si>
    <t xml:space="preserve">16 Amps 500 v fuse unit p-81 6a </t>
  </si>
  <si>
    <t>TW plank for fixing the fuse unit 150 x 100 x 20 mm</t>
  </si>
  <si>
    <t>2.5 Sqmm PVC insulated unsheathed copper cable</t>
  </si>
  <si>
    <t>Labour charges for fixing the street light fitting with the required accessories in the E.B pole including connection etc., complete.</t>
  </si>
  <si>
    <t>Sundries for painting the GI pipes, MS clamps, screws, etc., complete in all respects.</t>
  </si>
  <si>
    <t>Labour charges for 3 Nos</t>
  </si>
  <si>
    <t>TW plank if 150 x 100 x 20 mm</t>
  </si>
  <si>
    <t>Street light Fittings (single)</t>
  </si>
  <si>
    <t>25 W LED Street light Fittings</t>
  </si>
  <si>
    <t>Tube light fittings P-113 ,11a-An-VII</t>
  </si>
  <si>
    <t>Tubular lamp P-112 ,4b</t>
  </si>
  <si>
    <t>DATA   - 47</t>
  </si>
  <si>
    <t>Charges for fixing of 250W  metal halide light fitting</t>
  </si>
  <si>
    <t>250W metal halide light fitting</t>
  </si>
  <si>
    <t>1 No</t>
  </si>
  <si>
    <t>GI pipe B class of 50 mm dia  (P-45 154 -ii)</t>
  </si>
  <si>
    <t>Pair</t>
  </si>
  <si>
    <t>Back clamps with bolts and nuts</t>
  </si>
  <si>
    <t xml:space="preserve">15 Amps 500 V fuse unit p-74 6a </t>
  </si>
  <si>
    <t xml:space="preserve">TW plank for fixing the fuse unit of 150 x 100 x 20 mm </t>
  </si>
  <si>
    <t>Street light service connection</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</si>
  <si>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</si>
  <si>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Supply and fixing of triple pole and neutral 4 way 7 segment 3 tier compartmental type MCB distribution board complete with necessary incomings and outgoings etc.</t>
  </si>
  <si>
    <t>For TNEB Meter</t>
  </si>
  <si>
    <t>4 way 7 segment 3 tier compartmental type MCB DB [SR P.138]</t>
  </si>
  <si>
    <t>MS box  300 x 200x100 mm with door and lock and key arrangements with necessary MS clamps to bolts &amp; nuts with washers. P- 87 d part-F</t>
  </si>
  <si>
    <t>63A TPN 10 KA MCB [SR P.133]</t>
  </si>
  <si>
    <t xml:space="preserve">TW plank 600 x 225 x 20 mm </t>
  </si>
  <si>
    <t>40A DP 30MA ELCB [SR P.133]</t>
  </si>
  <si>
    <t>32 Amps 500 v fuse units</t>
  </si>
  <si>
    <t>40A DP 10KA MCB [SR P.132]</t>
  </si>
  <si>
    <t>Earth plate with brass bolts &amp; nuts with washers</t>
  </si>
  <si>
    <t>20A SP MCB [SR P.132]</t>
  </si>
  <si>
    <t>20 mm dia 'B' class GI pipe p- 50 it-142 iv</t>
  </si>
  <si>
    <t>Wall cutting, flushing etc vide SD 167</t>
  </si>
  <si>
    <t>4 Sqmm copper PVC insulated unsheathed single core cable</t>
  </si>
  <si>
    <t>Earth connection vide SD 167</t>
  </si>
  <si>
    <t>For control Gear</t>
  </si>
  <si>
    <t>M.S box 600 x 225 mm with door and lock and key arrangement and MS clamp with bolts &amp; nuts with washers.</t>
  </si>
  <si>
    <t>32 A DPIC switch p-119 2d, Part-C</t>
  </si>
  <si>
    <t>Add Labour charges vide SD - 159</t>
  </si>
  <si>
    <t>40 A single pole MCb isolator</t>
  </si>
  <si>
    <t>MS enclousure for MCB</t>
  </si>
  <si>
    <t>Labour charges  as per data no: 48</t>
  </si>
  <si>
    <t>Sundries such as MS clamps with bolts &amp; nuts with washers for fixing GI pipe to EB pole painting etc.,</t>
  </si>
  <si>
    <t>TW plank 600 x 225 x 20 mm</t>
  </si>
  <si>
    <t>DATA   - 49</t>
  </si>
  <si>
    <t>25 mm dia PVC pipe Heavy duty with ISI mark</t>
  </si>
  <si>
    <t>Rate as per Above</t>
  </si>
  <si>
    <t xml:space="preserve">Deduct cost of 20 m   dia PVC pipe </t>
  </si>
  <si>
    <t>Add cost of 25 mm dia PVC pipe heavy dutyp-89 part -I c</t>
  </si>
  <si>
    <t>DATA   - 50</t>
  </si>
  <si>
    <t>TW board 8" x6" x3" (p-130, part-j/b)</t>
  </si>
  <si>
    <t>Hylem sheet</t>
  </si>
  <si>
    <t xml:space="preserve"> Labour charges for fixing including necessary materials</t>
  </si>
  <si>
    <t>DATA   - 51</t>
  </si>
  <si>
    <t>TW board 4" x4" x3" (p-130, part-j/d)</t>
  </si>
  <si>
    <t>Sqmm</t>
  </si>
  <si>
    <t>TV/Telephone socket</t>
  </si>
  <si>
    <t>Labour charges including fixing etc., all complete.</t>
  </si>
  <si>
    <t>Rate for each</t>
  </si>
  <si>
    <t>DATA   - 52</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</si>
  <si>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</si>
  <si>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65 mm dia GI pipe ' B' class p45,154-i</t>
  </si>
  <si>
    <t>Base plate 45 cm x45 cm x 6mm thick [SD 98]</t>
  </si>
  <si>
    <t>MS box 8" x 6" with cover p-126  Fc</t>
  </si>
  <si>
    <t>conrete 1:2:4 using 20 mm HBSJ ( 0.45 x 1.5 mt) Appx.</t>
  </si>
  <si>
    <t xml:space="preserve">Transportation charges welding GI reducer all incidential charges, painting etc., all complete.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</si>
  <si>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</si>
  <si>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</si>
  <si>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</si>
  <si>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   [SD 114]</t>
  </si>
  <si>
    <t>Exhaust fan of 300 mm dia ( Part- B 2 b p-117</t>
  </si>
  <si>
    <t>Add 1 % sundries</t>
  </si>
  <si>
    <t>Labour charges for fixing</t>
  </si>
  <si>
    <t xml:space="preserve">Rate for each </t>
  </si>
  <si>
    <t>For 4 Nos</t>
  </si>
  <si>
    <t>DATA   - 57</t>
  </si>
  <si>
    <t>Exhaust fan of 225 mm  dia ( 9 ") sweep</t>
  </si>
  <si>
    <t>Exhaust fan of 225 mm dia ( Part- B 2 a p-117</t>
  </si>
  <si>
    <t>Supply of ceiling fan 1200mm</t>
  </si>
  <si>
    <t>1200mm A.C ceiling fan (without regulator)( Part- B 1 a p-117</t>
  </si>
  <si>
    <t>Cost of electronic regulator( Part- B 1 d p-117</t>
  </si>
  <si>
    <t>4' tube light fitting with \electronic ballast P-  113 7 A [SD 88]</t>
  </si>
  <si>
    <t>slim tube light 36 w P-112 4 B</t>
  </si>
  <si>
    <t>Labour charges (as per Data 22 )</t>
  </si>
  <si>
    <t>Tube light -  Patty type</t>
  </si>
  <si>
    <t>4' tube light fitting with \electronic ballast p-116 it-22 B [SD87]</t>
  </si>
  <si>
    <t>slim tube light 36 w P-112 4 c</t>
  </si>
  <si>
    <t>4' 18w crystal glass LED tube light</t>
  </si>
  <si>
    <t>Charges for fixing  (as per Data 22 )</t>
  </si>
  <si>
    <t>POINT WIRING FOR CALLING BELL / BUZZER WITH PUSH SWITCH FOR ALL TYPE OF BUILDING (OPEN WIRING)</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</si>
  <si>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</si>
  <si>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Add the cost of 10 Nos Buzer/Bell @ 39.50/Each p77 28a</t>
  </si>
  <si>
    <t>Add the cost of 10 nos 5A type push switch (192.60/12=16.05) @ Rs 16.05/ Each p79 C a</t>
  </si>
  <si>
    <t>Add the cost of 10 nos  15 x 10 x 7.5 cm TW box @ Rs16.50/Each p- 130 J c</t>
  </si>
  <si>
    <t>FAN POINT (open wiring)</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</si>
  <si>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1"/>
        <color theme="1"/>
        <rFont val="Calibri"/>
        <family val="2"/>
        <scheme val="minor"/>
      </rPr>
      <t xml:space="preserve"> controlled by 5 amps flush type switch including citcuit mains, cost of all materials, specials, etc., all complete,</t>
    </r>
    <r>
      <rPr>
        <b/>
        <sz val="12"/>
        <rFont val="Helv"/>
      </rPr>
      <t>(Open wiring)</t>
    </r>
  </si>
  <si>
    <t>Deduct cost of TW Box 10X10x7.5cm</t>
  </si>
  <si>
    <t>Deduct cost of Hylem sheet</t>
  </si>
  <si>
    <t>Add cost of TW box 12" x 8" x3" for switch and regulator 10 nos  @ Rs 69.90 / Each p-130 ,part  J a</t>
  </si>
  <si>
    <t>Add Sundries 1%</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</si>
  <si>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</si>
  <si>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gross</t>
  </si>
  <si>
    <t>MS saddles 19mm p- 131 part- L 3b</t>
  </si>
  <si>
    <t>TW plugs 1.5"X1"X2" SR P.129</t>
  </si>
  <si>
    <t>1000Nos</t>
  </si>
  <si>
    <t>Brass screws 38mm</t>
  </si>
  <si>
    <t>2/3</t>
  </si>
  <si>
    <t>2 X 4 Sq mm in fully concealed PVC conduit (open wiring)</t>
  </si>
  <si>
    <t>Add 180 mt 4 Sqmm copper PVC insulated unsheathed S.C. cable p-86 2c</t>
  </si>
  <si>
    <t>4 X 10 Sq mm in fully concealed PVC conduit (open wiring)</t>
  </si>
  <si>
    <t>Add 180 mt 10  Sqmm copper PVC insulated unsheathed S.C. cable part E-2 -F</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</si>
  <si>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</si>
  <si>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</si>
  <si>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</si>
  <si>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</si>
  <si>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</si>
  <si>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</si>
  <si>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</si>
  <si>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</si>
  <si>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</si>
  <si>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</si>
  <si>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</si>
  <si>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Cost of MS sheet Part -G P-126 SR -2021-22</t>
  </si>
  <si>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</si>
  <si>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</si>
  <si>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</si>
  <si>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</si>
  <si>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</si>
  <si>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</si>
  <si>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</si>
  <si>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</si>
  <si>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</si>
  <si>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</si>
  <si>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</si>
  <si>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</si>
  <si>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</si>
  <si>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</si>
  <si>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</si>
  <si>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</si>
  <si>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</si>
  <si>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</si>
  <si>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</si>
  <si>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</si>
  <si>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</si>
  <si>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Cost copper  (P-127  )</t>
  </si>
  <si>
    <t xml:space="preserve">Tin coating of copper </t>
  </si>
  <si>
    <t>Requirment of GI Flats for earth bus</t>
  </si>
  <si>
    <t>Sixe proposed 25mm x3mm GI flat</t>
  </si>
  <si>
    <t>1.5' x 2+ 3' x 1 =22.2 ft  =6.0 mtr</t>
  </si>
  <si>
    <t>6.0 mtrs x 0.6 kg /mtr =3.60kg</t>
  </si>
  <si>
    <t>25mm x3mm GI flat p-125 it -3 c</t>
  </si>
  <si>
    <t>Incomers &amp; outgoings</t>
  </si>
  <si>
    <t xml:space="preserve"> 200 A fuse units (P-120  ,it-6e)</t>
  </si>
  <si>
    <t xml:space="preserve"> 100 A fuse units (P-120  -6 d)</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</si>
  <si>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</si>
  <si>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</si>
  <si>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</si>
  <si>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</si>
  <si>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</si>
  <si>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</si>
  <si>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Cost of hylum sheet (P-130,it-7 a 630*2=1260)</t>
  </si>
  <si>
    <t>Insulators</t>
  </si>
  <si>
    <t>LED pilot lamps</t>
  </si>
  <si>
    <t>1 sqmm PVC copper cable ( it-2a)</t>
  </si>
  <si>
    <t>MS sheet fabrication charges (P-29 it-127)</t>
  </si>
  <si>
    <t>Angle Iron  fabrication charges (P-29)</t>
  </si>
  <si>
    <t>MCB / Fuse units/ Pilot lamp fixing charges ( Ele SD-159 labour )</t>
  </si>
  <si>
    <t>sq.ft.</t>
  </si>
  <si>
    <t>Painting with primer &amp; suitable colour</t>
  </si>
  <si>
    <t>Sq.ft</t>
  </si>
  <si>
    <t>Mtrs.</t>
  </si>
  <si>
    <r>
      <t>6 Sq.mm. single core PVC copper cables for connection between fuse units and meter and between meter and 32A TPN MCB</t>
    </r>
    <r>
      <rPr>
        <b/>
        <sz val="10"/>
        <rFont val="Arial"/>
        <family val="2"/>
      </rPr>
      <t xml:space="preserve"> (P-125  it-2e)</t>
    </r>
  </si>
  <si>
    <t>Mtr.</t>
  </si>
  <si>
    <t>Lettering charges</t>
  </si>
  <si>
    <t>Sundries 2% such as bolts, nuts, washers, insulation tape, PVC sleeves etc.</t>
  </si>
  <si>
    <r>
      <t xml:space="preserve">Add: </t>
    </r>
    <r>
      <rPr>
        <sz val="10"/>
        <rFont val="Arial"/>
        <family val="2"/>
      </rPr>
      <t>VAT @ 14.5%</t>
    </r>
  </si>
  <si>
    <t>Transport charges</t>
  </si>
  <si>
    <t>Erection charges</t>
  </si>
  <si>
    <t>(OR)</t>
  </si>
  <si>
    <t>Total Lead</t>
  </si>
  <si>
    <t>Plain</t>
  </si>
  <si>
    <t>Hill</t>
  </si>
  <si>
    <t>SAND FOR MORTAR sl.100  p20</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</si>
  <si>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</si>
  <si>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</si>
  <si>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</si>
  <si>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</si>
  <si>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</si>
  <si>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</si>
  <si>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</si>
  <si>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</si>
  <si>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</si>
  <si>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</si>
  <si>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</si>
  <si>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</si>
  <si>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</si>
  <si>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</si>
  <si>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</si>
  <si>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</si>
  <si>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</si>
  <si>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</si>
  <si>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</si>
  <si>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</si>
  <si>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</si>
  <si>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</si>
  <si>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</si>
  <si>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</si>
  <si>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</si>
  <si>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</si>
  <si>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</si>
  <si>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</si>
  <si>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</si>
  <si>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</si>
  <si>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</si>
  <si>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</si>
  <si>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</si>
  <si>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</si>
  <si>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</si>
  <si>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</si>
  <si>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</si>
  <si>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</si>
  <si>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</si>
  <si>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AAC block 600x200x100 [SR P.71]</t>
  </si>
  <si>
    <t xml:space="preserve"> 15mmDIA p-45 it-154 </t>
  </si>
  <si>
    <t>TOTAL FOR 10.71 Sqm</t>
  </si>
  <si>
    <t>G.I. BEND p-46  S.No-155 it-c</t>
  </si>
  <si>
    <t>G.I.COUPLERp-47 it-e</t>
  </si>
  <si>
    <t xml:space="preserve"> 65mm DIA TWAD p 43</t>
  </si>
  <si>
    <t>11th</t>
  </si>
  <si>
    <t>C.I.STEEPS(5Kg)p57</t>
  </si>
  <si>
    <t>BRASS TAP 15mm / 12 mm dia (HEAVY) p - 48 it-158</t>
  </si>
  <si>
    <t xml:space="preserve"> it-110 p-41</t>
  </si>
  <si>
    <t>CERAMIC-FLOOR TILES WHITE/PLAINCOLOUR-6MM tk (PWD LR) p34 it 5i (33.8/0.093025)</t>
  </si>
  <si>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</si>
  <si>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</si>
  <si>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</si>
  <si>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</si>
  <si>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</si>
  <si>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</si>
  <si>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</si>
  <si>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</si>
  <si>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</si>
  <si>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</si>
  <si>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</si>
  <si>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</si>
  <si>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</si>
  <si>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Standardised concrete Mix M25 Grade Concrete</t>
  </si>
  <si>
    <t>GRANITE SLAB 20mm THICK OF BEST QUALITY Synthetic Grey, p-36</t>
  </si>
  <si>
    <t>FOR DOORS OF ALL SIZE (Qtn. For syntex.) Hollow p43 128a</t>
  </si>
  <si>
    <t xml:space="preserve"> ORNAMENTAL; HANDLE WITH SCREWS(100mm)p41 it-108c </t>
  </si>
  <si>
    <t>BEST VARNISH p37/52</t>
  </si>
  <si>
    <t>Granite slab ( Jet Black) p-36 it-29a</t>
  </si>
  <si>
    <t>Granite slab ( Jet Black) p-35 it-28 a</t>
  </si>
  <si>
    <t>RATE AS PER  PWD LR For Window  p 38/ it 82</t>
  </si>
  <si>
    <t>Mazdoor Ist class</t>
  </si>
  <si>
    <t>Maz  Ist</t>
  </si>
  <si>
    <t>Steel grill for Verandah Enclousure PWD SR p20/ Item 138/131</t>
  </si>
  <si>
    <t>i8</t>
  </si>
  <si>
    <t>COST OF   nano polish Vitified TILES (LSR New It-1) p-35 it-14</t>
  </si>
  <si>
    <t>COST OF granite FLOOR TILES, 
Ruby Red  p-36 28b</t>
  </si>
  <si>
    <t>COST OF CERAMIC FLOOR TILES p-34 it-7 a</t>
  </si>
  <si>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</si>
  <si>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</si>
  <si>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</si>
  <si>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</si>
  <si>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</si>
  <si>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</si>
  <si>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</si>
  <si>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</si>
  <si>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</si>
  <si>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</si>
  <si>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</si>
  <si>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</si>
  <si>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</si>
  <si>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</si>
  <si>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</si>
  <si>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</si>
  <si>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</si>
  <si>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</si>
  <si>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</si>
  <si>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</si>
  <si>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</si>
  <si>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</si>
  <si>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</si>
  <si>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</si>
  <si>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</si>
  <si>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</si>
  <si>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</si>
  <si>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</si>
  <si>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</si>
  <si>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</si>
  <si>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</si>
  <si>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</si>
  <si>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m30 grade concrete including steel fabrication.</t>
  </si>
  <si>
    <t>M30 grade concrete</t>
  </si>
  <si>
    <t>Steel fabrication</t>
  </si>
  <si>
    <t>SUPPLYING AND FIXING OF 25MM DIA PVC PIPE FOR TV/TELEPHONE LINE</t>
  </si>
  <si>
    <t>PVC RIGID CONDUIT PIPE 19M/20MM HEAVY DUTY WITH ISI P -128/ part  I 1b</t>
  </si>
  <si>
    <t>Barbed wire 10 gauge 2 ply and four pronged ( Galvanised) it-133 p-44</t>
  </si>
  <si>
    <t>Casurina Props 10 to 13 m dia @ 75m c/c cost for 1 
operation 25.20/5=5.040 p-19 it-116/b</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</si>
  <si>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</si>
  <si>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</si>
  <si>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</si>
  <si>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</si>
  <si>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</si>
  <si>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</si>
  <si>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</si>
  <si>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</si>
  <si>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</si>
  <si>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</si>
  <si>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</si>
  <si>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</si>
  <si>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</si>
  <si>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</si>
  <si>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</si>
  <si>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</si>
  <si>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</si>
  <si>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</si>
  <si>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Solid core flush door shutter with TW palin -it-121 p-42</t>
  </si>
  <si>
    <t>Shutter size (0.8 x 2.025)</t>
  </si>
  <si>
    <t>Flush door shutter size 900x2400 ( Single leaf)</t>
  </si>
  <si>
    <t>Shutter size (0.8 x 2.325)</t>
  </si>
  <si>
    <t>Rate for 1.86 Sqm</t>
  </si>
  <si>
    <t>Flush door shutter size 1200x2100 ( Double leaves)</t>
  </si>
  <si>
    <t>shutter size =1.1 x 2.025 =</t>
  </si>
  <si>
    <t>PVC Felt ( It-88)</t>
  </si>
  <si>
    <t>DOOR STOPPER   It-110</t>
  </si>
  <si>
    <t xml:space="preserve">  SCREWS (75x 10mm)it-138</t>
  </si>
  <si>
    <t>Rubber beeding (An-VI -it-86</t>
  </si>
  <si>
    <t>GALVANIUM SHEET 0.47MM THICK ( SR p-72)</t>
  </si>
  <si>
    <t>Glass 4 mm thichk plain  it-136</t>
  </si>
  <si>
    <t xml:space="preserve"> PVC  Roller for sliding ''it-98</t>
  </si>
  <si>
    <t>Lock  for sliding ''it-93</t>
  </si>
  <si>
    <t>Handle" D "type 100mm long ''it-107c</t>
  </si>
  <si>
    <t>Aluminium section [SR P.44]</t>
  </si>
  <si>
    <t>12mm thk. BWR plywood board (Qtn)</t>
  </si>
  <si>
    <t>1mm thick laminated sheet [SR P.55]</t>
  </si>
  <si>
    <t>MS clips</t>
  </si>
  <si>
    <t>Melamin Polish  (P-45/148)</t>
  </si>
  <si>
    <t>Fevicol [SR P.39]</t>
  </si>
  <si>
    <t>Nails [SR P.42]</t>
  </si>
  <si>
    <t xml:space="preserve">Rate For 9.40 Sqm </t>
  </si>
  <si>
    <t>PATTY  (p-45/151)</t>
  </si>
  <si>
    <t>White wall putty powder</t>
  </si>
  <si>
    <t>Aluminium section 'it- 84 a/p38</t>
  </si>
  <si>
    <t xml:space="preserve">Inspectore Quarters </t>
  </si>
  <si>
    <t>Building</t>
  </si>
  <si>
    <t xml:space="preserve">Electrical </t>
  </si>
  <si>
    <t>Sullage</t>
  </si>
  <si>
    <t>Brickwork in CM 1:5 using Chamber burn bricks in foundation including cost of materials and labours etc.., completed ,a)Foundation and basement etc complete</t>
  </si>
  <si>
    <t>75 mm Dia</t>
  </si>
  <si>
    <t xml:space="preserve"> 110 mm DIA </t>
  </si>
  <si>
    <t>Supplyying and fixing of pvc sintex tank of 700cum capacity of pvc tank etc., all complete( SR Pg.No.50 item no.180)</t>
  </si>
  <si>
    <t xml:space="preserve">S&amp;F of Bevelled edge mirror 500 x 400 x 5.5mm including cost of materials and labours etc.., completed </t>
  </si>
  <si>
    <r>
      <t>Brick work in C.M. 1:6</t>
    </r>
    <r>
      <rPr>
        <sz val="12"/>
        <rFont val="Times New Roman"/>
        <family val="1"/>
      </rPr>
      <t xml:space="preserve"> using chamber burn bricks of size 23 x 11.4 x 7.5 cm (9" x 4 1/2"x 3")</t>
    </r>
  </si>
  <si>
    <t>Brickwork partition wall in CM 1:4, 114mm thick using chmaber burn of size 9"x41/2"x3" for superstructure</t>
  </si>
  <si>
    <t>Brickwork partition wall in CM 1:4, 114mm thick using fchmaber burn brick of size 9"x41/2"x3" for superstructure</t>
  </si>
  <si>
    <r>
      <t>Brick work in C.M. 1:6</t>
    </r>
    <r>
      <rPr>
        <sz val="12"/>
        <rFont val="Times New Roman"/>
        <family val="1"/>
      </rPr>
      <t xml:space="preserve"> using chmaber burn bricks of size 23 x 11.4 x 7.5 cm (9" x 4 1/2"x 3")</t>
    </r>
  </si>
  <si>
    <t>Supplying and laying of 32 mm dia ASTM  etc all complete including and labour charges etc., complete</t>
  </si>
  <si>
    <t>Pasage</t>
  </si>
  <si>
    <t>Main Door Frount &amp; Rear</t>
  </si>
  <si>
    <t>SULLAGE CUM STORM WATER DRAIN</t>
  </si>
  <si>
    <t xml:space="preserve">Special celing plasering in CM 1:3,10 mm tk including cost of materials and labours etc.., completed </t>
  </si>
  <si>
    <t>Meter Cupboard</t>
  </si>
  <si>
    <t>Street tap</t>
  </si>
  <si>
    <t>9 w bulb</t>
  </si>
  <si>
    <t>Painting two coat for old iron work</t>
  </si>
  <si>
    <t>Painting two coat for old wood work</t>
  </si>
  <si>
    <t xml:space="preserve">Supply and fixing ofTNEB Meter board suitable for 3 phase 63 A service connection made up of suitable angle </t>
  </si>
  <si>
    <t xml:space="preserve">Sub - Inspectore Quarters </t>
  </si>
  <si>
    <t>Supplying and laying of 32 mm dia ASTM etc all complete including and labour charges etc., complete</t>
  </si>
  <si>
    <t>Common street line</t>
  </si>
  <si>
    <t>Street pipe</t>
  </si>
  <si>
    <t xml:space="preserve">Supply and fixing for 5 amps 5 pinplug for switch board itself including cost of materials and labours etc.., completed </t>
  </si>
  <si>
    <t>9 watts</t>
  </si>
  <si>
    <t>Bed room</t>
  </si>
  <si>
    <t>Run off 4 x 4  Sq mm copper PVC insulated unsheathed single core cable for three  phase EB service connection</t>
  </si>
  <si>
    <t>Min Door top  rear</t>
  </si>
  <si>
    <t xml:space="preserve">Toilet </t>
  </si>
  <si>
    <t>9 w Bulb</t>
  </si>
  <si>
    <t xml:space="preserve">Mid land </t>
  </si>
  <si>
    <t>Supplying, laying, fixing and jointing of 40mm dia PVC pipe (Below Ground level)</t>
  </si>
  <si>
    <t>Supplying and laying of 40 mm dia PVC ( Below ground level0 etc all complete including and labour charges etc., complete</t>
  </si>
  <si>
    <t>Supplying and laying of 40 mm dia PVC  (Below Ground level) etc all complete including and labour charges etc., complete</t>
  </si>
  <si>
    <t>15)</t>
  </si>
  <si>
    <t>Supply and fixing ofTNEB Meter board suitable for 3 phase 63 A service connection made up of suitable angle ( electrical SD 129)</t>
  </si>
  <si>
    <r>
      <t xml:space="preserve">Earth work excavation in all soils </t>
    </r>
    <r>
      <rPr>
        <b/>
        <sz val="14"/>
        <rFont val="Arial"/>
        <family val="2"/>
      </rPr>
      <t>(including refilling)</t>
    </r>
  </si>
  <si>
    <r>
      <t xml:space="preserve">Earth work excavation for </t>
    </r>
    <r>
      <rPr>
        <b/>
        <sz val="14"/>
        <rFont val="Arial"/>
        <family val="2"/>
      </rPr>
      <t xml:space="preserve">Open foundation </t>
    </r>
    <r>
      <rPr>
        <sz val="14"/>
        <rFont val="Arial"/>
        <family val="2"/>
      </rPr>
      <t xml:space="preserve"> for drains (excluding refilling) width  upto 1.25 m</t>
    </r>
  </si>
  <si>
    <r>
      <t>Brick work in C.M. 1:5 (F&amp; B)</t>
    </r>
    <r>
      <rPr>
        <sz val="14"/>
        <rFont val="Arial"/>
        <family val="2"/>
      </rPr>
      <t xml:space="preserve"> using chamber Burnt bricks of size 23 x 11.4 x 7.5 cm (9" x 4 1/2"x 3")</t>
    </r>
  </si>
  <si>
    <r>
      <t>Brick work in C.M. 1:6</t>
    </r>
    <r>
      <rPr>
        <sz val="14"/>
        <rFont val="Arial"/>
        <family val="2"/>
      </rPr>
      <t xml:space="preserve"> using chamber Burnt bricks of size 23 x 11.4 x 7.5 cm (9" x 4 1/2"x 3")</t>
    </r>
  </si>
  <si>
    <r>
      <t xml:space="preserve">Brick partition work in C.M. 1:4 </t>
    </r>
    <r>
      <rPr>
        <sz val="14"/>
        <rFont val="Arial"/>
        <family val="2"/>
      </rPr>
      <t xml:space="preserve">using chamber Burnt bricks of size 23 x 11.4 x 7.5 cm (9" x 4 1/2"x 3") </t>
    </r>
    <r>
      <rPr>
        <b/>
        <sz val="14"/>
        <rFont val="Arial"/>
        <family val="2"/>
      </rPr>
      <t>114 mm tk (B.P.)</t>
    </r>
  </si>
  <si>
    <r>
      <t>Floor plastering</t>
    </r>
    <r>
      <rPr>
        <sz val="14"/>
        <rFont val="Arial"/>
        <family val="2"/>
      </rPr>
      <t xml:space="preserve"> in C.M. 1:4, 20 mm tk.</t>
    </r>
  </si>
  <si>
    <r>
      <t xml:space="preserve">Fabrication of </t>
    </r>
    <r>
      <rPr>
        <b/>
        <sz val="14"/>
        <rFont val="Arial"/>
        <family val="2"/>
      </rPr>
      <t xml:space="preserve">Mild steel / RTS grills </t>
    </r>
    <r>
      <rPr>
        <sz val="14"/>
        <rFont val="Arial"/>
        <family val="2"/>
      </rPr>
      <t xml:space="preserve">
</t>
    </r>
  </si>
  <si>
    <r>
      <t xml:space="preserve">PVC SWR 110 mm dia </t>
    </r>
    <r>
      <rPr>
        <b/>
        <sz val="14"/>
        <rFont val="Arial"/>
        <family val="2"/>
      </rPr>
      <t>Rain water pipe</t>
    </r>
  </si>
  <si>
    <r>
      <t>Stucco</t>
    </r>
    <r>
      <rPr>
        <sz val="14"/>
        <rFont val="Arial"/>
        <family val="2"/>
      </rPr>
      <t xml:space="preserve"> plastering 12 mm tk.</t>
    </r>
  </si>
  <si>
    <r>
      <t xml:space="preserve">Fabrication of </t>
    </r>
    <r>
      <rPr>
        <b/>
        <sz val="14"/>
        <rFont val="Arial"/>
        <family val="2"/>
      </rPr>
      <t>Mild steel / RTS grills (without cement slurry) for all sizes of rods.</t>
    </r>
    <r>
      <rPr>
        <sz val="14"/>
        <rFont val="Arial"/>
        <family val="2"/>
      </rPr>
      <t xml:space="preserve">
</t>
    </r>
  </si>
  <si>
    <r>
      <t xml:space="preserve">PVC SWR 110 mm dia with ISI mark type- A for </t>
    </r>
    <r>
      <rPr>
        <b/>
        <sz val="14"/>
        <rFont val="Arial"/>
        <family val="2"/>
      </rPr>
      <t>Rain water down fall pipe</t>
    </r>
  </si>
  <si>
    <r>
      <t xml:space="preserve">Wiring with 1.5 sqmm PVC insulated single core multi strand fire retardant flexible copper cable with ISI mark confirming IS: 694:1990 for </t>
    </r>
    <r>
      <rPr>
        <b/>
        <sz val="14"/>
        <rFont val="Arial"/>
        <family val="2"/>
      </rPr>
      <t>Staircase Light Point</t>
    </r>
    <r>
      <rPr>
        <sz val="14"/>
        <rFont val="Arial"/>
        <family val="2"/>
      </rPr>
      <t>.</t>
    </r>
  </si>
  <si>
    <r>
      <t xml:space="preserve">4 x 4  Sq mm copper PVC insulated unsheathed single core cable for </t>
    </r>
    <r>
      <rPr>
        <b/>
        <sz val="14"/>
        <rFont val="Arial"/>
        <family val="2"/>
      </rPr>
      <t>3 phase EB service connection</t>
    </r>
  </si>
  <si>
    <r>
      <t xml:space="preserve">Wiring with 1.5 sqmm PVC insulated single core multi strand fire retardant flexible copper cable with ISI mark confirming IS: 694:1990 for </t>
    </r>
    <r>
      <rPr>
        <b/>
        <sz val="14"/>
        <rFont val="Arial"/>
        <family val="2"/>
      </rPr>
      <t>5 amps 5 pin  plug socket point @ Convenient Places</t>
    </r>
    <r>
      <rPr>
        <sz val="14"/>
        <rFont val="Arial"/>
        <family val="2"/>
      </rPr>
      <t>.(Open wiring)</t>
    </r>
  </si>
  <si>
    <r>
      <t xml:space="preserve">Wiring with 1.5 sqmm PVC insulated single core multi strand fire retardant flexible copper cable with ISI mark confirming IS: 694:1990 for </t>
    </r>
    <r>
      <rPr>
        <b/>
        <sz val="14"/>
        <rFont val="Arial"/>
        <family val="2"/>
      </rPr>
      <t>5 amps 5 pin  plug socket point @ Switch Board Itself</t>
    </r>
    <r>
      <rPr>
        <sz val="14"/>
        <rFont val="Arial"/>
        <family val="2"/>
      </rPr>
      <t>.(Open wiring)</t>
    </r>
  </si>
  <si>
    <r>
      <t>Supply and fixing of 12 watts  LED bulb  (</t>
    </r>
    <r>
      <rPr>
        <b/>
        <sz val="14"/>
        <rFont val="Arial"/>
        <family val="2"/>
      </rPr>
      <t>qtn)</t>
    </r>
  </si>
  <si>
    <t>PC Quarters</t>
  </si>
  <si>
    <t>b.2- 3 m depth</t>
  </si>
  <si>
    <t xml:space="preserve">Total Qty.
(Building )
</t>
  </si>
  <si>
    <t>Chamber Inner</t>
  </si>
  <si>
    <t xml:space="preserve">Earth work excavation for Open foundation  for drains (excluding refilling) </t>
  </si>
  <si>
    <t xml:space="preserve">Earth work for Bldg R/S &amp; L/S </t>
  </si>
  <si>
    <t>Front window top</t>
  </si>
  <si>
    <t>Front window edges</t>
  </si>
  <si>
    <t>Front window bot</t>
  </si>
  <si>
    <t>Bldg L/S window allround</t>
  </si>
  <si>
    <t>Bldg L/S window inside</t>
  </si>
  <si>
    <t>Bldg L/S window edge</t>
  </si>
  <si>
    <t>Bldg Verandha &amp; Balcony  - edges</t>
  </si>
  <si>
    <t>Bldg Verandha &amp; Balcony  top</t>
  </si>
  <si>
    <t>Bldg Verandha &amp; Balcony  ( T &amp; B)</t>
  </si>
  <si>
    <t>L/S bldg allround outside</t>
  </si>
  <si>
    <t>L/S bldg allround inside</t>
  </si>
  <si>
    <t>R/S window top</t>
  </si>
  <si>
    <t xml:space="preserve">R/S window (T &amp; B) </t>
  </si>
  <si>
    <t>R/S window edge</t>
  </si>
  <si>
    <t>R/S inside allround</t>
  </si>
  <si>
    <t>R/S window  (T &amp; B) edge</t>
  </si>
  <si>
    <t>R/S inside allround edge</t>
  </si>
  <si>
    <t>Existing Chamber Wall Patch Work</t>
  </si>
  <si>
    <t xml:space="preserve">S/C Steps </t>
  </si>
  <si>
    <t xml:space="preserve">Mid landing </t>
  </si>
  <si>
    <t xml:space="preserve">Entrence step </t>
  </si>
  <si>
    <t>OHT to Bath , Toilet , Kitchen Sink , Dinning wash basin</t>
  </si>
  <si>
    <t>G.L to OHT</t>
  </si>
  <si>
    <t>Stair case waist bot</t>
  </si>
  <si>
    <t>Kitchen bot</t>
  </si>
  <si>
    <t>Front Wall</t>
  </si>
  <si>
    <t>Duct Portion</t>
  </si>
  <si>
    <t>ventilator</t>
  </si>
  <si>
    <t>Slab Brick Work</t>
  </si>
  <si>
    <t>Slab sides Plastering</t>
  </si>
  <si>
    <t xml:space="preserve">Supplying &amp; fixing of cuddapah slab including cost of materials and labours etc.., completed </t>
  </si>
  <si>
    <t>a)In Ground Floor</t>
  </si>
  <si>
    <t>Kitchen slab</t>
  </si>
  <si>
    <t>b) In First Floor</t>
  </si>
  <si>
    <t xml:space="preserve">Supplying and fixing of GI Service pipe line including cost of materials and labours etc.., completed </t>
  </si>
  <si>
    <t>Service pipe</t>
  </si>
  <si>
    <t>Earth work for Bldg Front side</t>
  </si>
  <si>
    <t>Earth work for Bldg L/S &amp; R/s</t>
  </si>
  <si>
    <t>Bldg front  -sunshade (top &amp; bot)</t>
  </si>
  <si>
    <t>Bldg front -sunshade top</t>
  </si>
  <si>
    <t>Existing Chamber outer wall patch work</t>
  </si>
  <si>
    <t>OHT Outlet line</t>
  </si>
  <si>
    <t>OHT Inlet line</t>
  </si>
  <si>
    <t>SI Quarters - 2 in 1 ( G + 1)</t>
  </si>
  <si>
    <t>SI Quarters - 2 Nos ( G )</t>
  </si>
  <si>
    <t>Providing Polymer Coating (Water Proof Coating ) for over roof pressed tiles  area.</t>
  </si>
  <si>
    <t xml:space="preserve">Bldg front -G.F Sunshade top </t>
  </si>
  <si>
    <t xml:space="preserve">Bldg front -W3 sunshade top </t>
  </si>
  <si>
    <t>Bldg R/S  -W Front sunshade Inner</t>
  </si>
  <si>
    <t>Bldg L/S  -sunshade Inner</t>
  </si>
  <si>
    <t>Bldg Rear  -sunshade W1</t>
  </si>
  <si>
    <t>Bldg Rear side  -sunshade side</t>
  </si>
  <si>
    <t>Bldg Front Door Pillar</t>
  </si>
  <si>
    <t>Existing Chamber outer Wall Patch Work</t>
  </si>
  <si>
    <t>OHT to Inlet Line</t>
  </si>
  <si>
    <t>OHt to Outer Line</t>
  </si>
  <si>
    <t>PC/HC Qtrs Bath Room, Toilet &amp; Kitchen, Washing Machine</t>
  </si>
  <si>
    <t>Existing Retained Wall</t>
  </si>
  <si>
    <t xml:space="preserve">Supplying and fixing of TW Swing type ventilater </t>
  </si>
  <si>
    <t>Electrical Detailed Estimate</t>
  </si>
  <si>
    <t>Plinth production - Detailed estimate</t>
  </si>
  <si>
    <t>Plinth Production Detailed estimate</t>
  </si>
  <si>
    <r>
      <t>m</t>
    </r>
    <r>
      <rPr>
        <vertAlign val="superscript"/>
        <sz val="11.5"/>
        <color theme="1"/>
        <rFont val="Times New Roman"/>
        <family val="1"/>
      </rPr>
      <t>2</t>
    </r>
  </si>
  <si>
    <t>S.No</t>
  </si>
  <si>
    <t>Earth work excavation for foundation in all soils and sub soils to the required depth including refilling the sides of foundation etc., complete</t>
  </si>
  <si>
    <t>Retained wall Foundation</t>
  </si>
  <si>
    <t>Earth work excavation for Open foundation  for in all soils and sub soils to the required depth including refilling the sides of foundation etc., complete</t>
  </si>
  <si>
    <t>For Retaining wall back cutting</t>
  </si>
  <si>
    <t>3.1.1.1</t>
  </si>
  <si>
    <t>Retained Wall base concrete</t>
  </si>
  <si>
    <t xml:space="preserve">Providing form work and centering for reinforcement cement  concrete works </t>
  </si>
  <si>
    <t>a) Plinth beam,Raft beam etc.,</t>
  </si>
  <si>
    <t>P.C.C Retaining wall below G.L</t>
  </si>
  <si>
    <t>Retained Wal sides</t>
  </si>
  <si>
    <t>Retained Wal edges</t>
  </si>
  <si>
    <t>d) Vertical walls</t>
  </si>
  <si>
    <t>P.C.C Retaining wall above G.L</t>
  </si>
  <si>
    <t>3.1.1</t>
  </si>
  <si>
    <t>P.C.C 1:3:6 using 20mm gauge HBS Jelly for Foundation etc., complete</t>
  </si>
  <si>
    <t>Supplying,laying of the 110 mm dia PVC Pipe</t>
  </si>
  <si>
    <t>Foe Weep Hole pipe</t>
  </si>
  <si>
    <t>S.No.</t>
  </si>
  <si>
    <t>SUB TOTAL (I)</t>
  </si>
  <si>
    <t>SUB TOTAL (II)</t>
  </si>
  <si>
    <t>Labour welfare fund @ 1 %</t>
  </si>
  <si>
    <t>Supervision charges @ 7.5%</t>
  </si>
  <si>
    <t>Grand Total</t>
  </si>
  <si>
    <t>(1.55+0.25/2)</t>
  </si>
  <si>
    <t>P.C.C Retained Wall</t>
  </si>
  <si>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.(Open wiring)</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</si>
  <si>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.(Open wiring)</t>
    </r>
  </si>
  <si>
    <t>Abstarct</t>
  </si>
  <si>
    <t>say</t>
  </si>
  <si>
    <t>CC 1:5:10 using 40mm ISS metal in 
foundation &amp; Basement</t>
  </si>
  <si>
    <t>Sump top cover slab</t>
  </si>
  <si>
    <t>Standardised concrete Mix M30 Grade Concrete for foundation and Basement</t>
  </si>
  <si>
    <t>sump base slab</t>
  </si>
  <si>
    <t xml:space="preserve">sump wall </t>
  </si>
  <si>
    <t>Qty as per Item No : 4.2</t>
  </si>
  <si>
    <t>DESIGN  OF  CIRCULAR  SUMP</t>
  </si>
  <si>
    <t>No of Persons</t>
  </si>
  <si>
    <t>:</t>
  </si>
  <si>
    <t>Total Requirement of Water Per Day</t>
  </si>
  <si>
    <t>150 X 135</t>
  </si>
  <si>
    <t>20250.00 LITRES</t>
  </si>
  <si>
    <t>25000  LITRES</t>
  </si>
  <si>
    <t>Capacity of Sump required</t>
  </si>
  <si>
    <t>25.00 CUM</t>
  </si>
  <si>
    <t>By Assuming depth of sump</t>
  </si>
  <si>
    <t xml:space="preserve">Area Sump Required </t>
  </si>
  <si>
    <t>By Assuming a free board 30cm depth of sump required</t>
  </si>
  <si>
    <t>Cross wall</t>
  </si>
  <si>
    <t xml:space="preserve">Supply and delivery of 1.5 HP Three Phase Submerssible Pumpset </t>
  </si>
  <si>
    <t>Sump Inner</t>
  </si>
  <si>
    <t>Supply and fixing of MS fabricated DOL starter Three phase  panel control board of wall mounting type with ISI mark with volt meter, ammeter indicating lamps ON/OFF push button for Open wellwell. 2.00 HP with necessary connections and three phase cum dry run preventer, etc.,( TWAD pg.No.111)</t>
  </si>
  <si>
    <t>15.0 HP Submercible pump-DOL STARTER</t>
  </si>
  <si>
    <t>15HP SUBMERCIBLE MOTOR</t>
  </si>
  <si>
    <t>Supplying and fixing of 2.5 sqmm PVC 3 core Flat type Copper cable of approved quality with ISI mark</t>
  </si>
  <si>
    <t xml:space="preserve"> For Sump  1.0 Hp Submersible motor to DOL starter</t>
  </si>
  <si>
    <t>Run off 4 x 4  Sq mm copper PVC insulated unsheathed single core cable for 3 phase EB service connection</t>
  </si>
  <si>
    <t>Pump room service wire</t>
  </si>
  <si>
    <t>Supplying and laying of 50 mm dia GI (Below Ground level) etc all complete including and labour charges etc., complete</t>
  </si>
  <si>
    <t>OHT to Tank</t>
  </si>
  <si>
    <t>SI ONT Tank Stand</t>
  </si>
  <si>
    <t>INS OHT Stand</t>
  </si>
  <si>
    <t>PC/HC Quaretrs</t>
  </si>
  <si>
    <t>GENERAL ABSTRACT</t>
  </si>
  <si>
    <t xml:space="preserve">Providing Special epair work at 5 Nos Inspector Quarters </t>
  </si>
  <si>
    <t xml:space="preserve">Providing Special epair work at 8 Nos Sub - Inspector Quarters </t>
  </si>
  <si>
    <t xml:space="preserve">Providing Special epair work at 24 Nos PC/HC Quarters </t>
  </si>
  <si>
    <t>Provision for Sump and External Water Supply</t>
  </si>
  <si>
    <t>Sub Total - I</t>
  </si>
  <si>
    <t>Sub Total - II</t>
  </si>
  <si>
    <t>Provision for Labour Welfare fund @ 1%</t>
  </si>
  <si>
    <t>Provision for Supervision Charges @ 7.5 %</t>
  </si>
  <si>
    <t>Provision for EB Service Connection</t>
  </si>
  <si>
    <t>Provision for Drinking Water Connection</t>
  </si>
  <si>
    <t>Sub Total - III</t>
  </si>
  <si>
    <t>GST @ 18 %</t>
  </si>
  <si>
    <t xml:space="preserve"> NAME OF WORK : PROVIDING P.C.C RETAINING WALL &amp; SULLAGE CUM STORM WATER DRAIN  ON BACK SIDE OF F, G &amp; H - BLOCK QUARTERS  AT COONOOR  IN THE  NILGIRI DISTRICT </t>
  </si>
  <si>
    <t>2.00 m</t>
  </si>
  <si>
    <t>12.50 sqm</t>
  </si>
  <si>
    <t>By Assuming Length &amp; Breath</t>
  </si>
  <si>
    <t>2.50 x 2.50</t>
  </si>
  <si>
    <t>Sump Outer wall</t>
  </si>
  <si>
    <t>d)For Vertical wall</t>
  </si>
  <si>
    <t>Cover Slab Bottom</t>
  </si>
  <si>
    <t>Cover Slab sides allround</t>
  </si>
  <si>
    <t>D/ F Man Hole cover</t>
  </si>
  <si>
    <t>Man hole cover sides</t>
  </si>
  <si>
    <t>Sum wal outside allround</t>
  </si>
  <si>
    <t>Sum wall inside allround</t>
  </si>
  <si>
    <t>1.440 MT</t>
  </si>
  <si>
    <t>a)Form work for Plinth beam, Grade beam, Raft beam:</t>
  </si>
  <si>
    <t>Base slab Sides Allround</t>
  </si>
  <si>
    <t>Provision for PCC Retaining Wall</t>
  </si>
  <si>
    <t>RCC RECTANGULAR SUMP</t>
  </si>
  <si>
    <t>Name of work: Providing PCC Retaining Wall to the Special Repair works for 5 Nos INS, 8 Nos SI, 24 Nos PC/HC Quarters  at Church Hill Ooty in the Nilgiri District</t>
  </si>
  <si>
    <t>So provide 2 Bay of Rectangular Sump  Size 2.50 x 2.50 x 2.30 m</t>
  </si>
  <si>
    <r>
      <t xml:space="preserve">Tamil Nadu Police Housing Corparation Ltd. </t>
    </r>
    <r>
      <rPr>
        <b/>
        <sz val="12"/>
        <rFont val="Times New Roman"/>
        <family val="1"/>
      </rPr>
      <t xml:space="preserve"> DATA</t>
    </r>
  </si>
  <si>
    <t>CHURCH HILL, OOTY</t>
  </si>
  <si>
    <t>2022-2023</t>
  </si>
  <si>
    <t>LEAD CHARGE</t>
  </si>
  <si>
    <t>ROUGH STONE sl.37  p15</t>
  </si>
  <si>
    <t>MASON-I Brick / Stone work (p-10)</t>
  </si>
  <si>
    <t>BOND STONE sl.44 p16</t>
  </si>
  <si>
    <t>MASON-II Brick / Stone work (p-10)</t>
  </si>
  <si>
    <t>HARD BROKEN STONE JELLY 3mm To 10mm p-16(53-55)</t>
  </si>
  <si>
    <t>MAZDOOR-I (p-11)</t>
  </si>
  <si>
    <t>MAZDOOR-II (p-12)</t>
  </si>
  <si>
    <t>PAINTER-I (p-10)</t>
  </si>
  <si>
    <t>PAINTER-II (p-11)</t>
  </si>
  <si>
    <t>PLUMBER-I (p-10)</t>
  </si>
  <si>
    <t>PLUMBER-II (p-11)</t>
  </si>
  <si>
    <t>SAND FOR FILLING (Ann IV)</t>
  </si>
  <si>
    <t>FITTER-I (p-9)</t>
  </si>
  <si>
    <t>Kiln Burnt Country Bricks  SIZE 22x11x7Cm p-14 it-5a</t>
  </si>
  <si>
    <t>FITTER-II (p-11)</t>
  </si>
  <si>
    <t>BRICK JELLY 40mmGAUGE p-14 it-10 a</t>
  </si>
  <si>
    <t>CARPENTER-I (p-10)</t>
  </si>
  <si>
    <t>CARPENTER-II (p-11)</t>
  </si>
  <si>
    <t>MACHINE PRESSED TILES 23x 23x 2 Cm p-15 It-20</t>
  </si>
  <si>
    <t>STONE CUTTER-I (p-9)</t>
  </si>
  <si>
    <t>SLACKED SHELL LIME sl.89 p17</t>
  </si>
  <si>
    <t>Mortar mix charges manual  sl.125(Ann3 N-29)</t>
  </si>
  <si>
    <t>Vibrat-charges(R.C.C) sl.71/2 p25</t>
  </si>
  <si>
    <t>Sand filling charges sl.46/84p23</t>
  </si>
  <si>
    <t>Country BricksKiln Burnt of SIZE 22x11x5Cm (7c)p-14</t>
  </si>
  <si>
    <t>L.C.T.W.Door- 104/2 p-27</t>
  </si>
  <si>
    <t>L.C.marine doors-105/3 p-27</t>
  </si>
  <si>
    <t>TW glazed window 109/8 p-27</t>
  </si>
  <si>
    <t>Wrought&amp;putup 103/1 p-27</t>
  </si>
  <si>
    <t>M.S. SHEET/ANGLE PER M.T p20  I-142/112</t>
  </si>
  <si>
    <t>Ventilator 113/14 p-28</t>
  </si>
  <si>
    <t>HBSJ 11.2mm IRC metal (SR 22-23,p16/48)</t>
  </si>
  <si>
    <t>Meter- Cupboard Weldmesh 118/23 p-28</t>
  </si>
  <si>
    <t>FITTER-II (Pipe &amp; Bar Bend) 57/20a p-11</t>
  </si>
  <si>
    <t xml:space="preserve"> Gravel p17  75</t>
  </si>
  <si>
    <t>FITTER-I (Pipe &amp; Bar Bend) 16/20A p-9</t>
  </si>
  <si>
    <t xml:space="preserve"> Well Gravel p17  It76</t>
  </si>
  <si>
    <t>E.W  loose soil p-22 SS20B/38/50</t>
  </si>
  <si>
    <t>Chamber Burnt Bricks of size 23x11.2x7Cm p14/4b</t>
  </si>
  <si>
    <t>Chamber Burnt Bricks  of size 23x11.4x7.5Cmp14 /3a</t>
  </si>
  <si>
    <t>Stone dust p17  item no-584</t>
  </si>
  <si>
    <t>Fly Ash Bricks  it-3A/8a p-14</t>
  </si>
  <si>
    <t>Single leave  p-28/116a</t>
  </si>
  <si>
    <t>Double leaves p-28/116b</t>
  </si>
  <si>
    <t>Thorough scrapping -iron p-26/82/357d</t>
  </si>
  <si>
    <t>Thorough scrapping -wood p-26/80/357b</t>
  </si>
  <si>
    <t>Clean removal of cement plaster from walls and racking out joints 20mm deep  p-26/75/321</t>
  </si>
  <si>
    <t>L.C Wrought and put up T.W Window p-28/110/11</t>
  </si>
  <si>
    <t>ELC. CONSUMPTION CHARGES -it243/p56</t>
  </si>
  <si>
    <t>unit</t>
  </si>
  <si>
    <t>TW glazed door  /4 p-27</t>
  </si>
  <si>
    <t>Dismantling of RCC works it-35/38 p-22</t>
  </si>
  <si>
    <t>Conveyance of dismantled materials p-31</t>
  </si>
  <si>
    <t>Loading or unloading charges p-32</t>
  </si>
  <si>
    <t>G.I. SHEET SR156 / 114 1.6mmT.K,30cmWIDE P-20 it-146/114</t>
  </si>
  <si>
    <t>Providing single nosing to the edges of Granite slab [PWD SR] P-36/32</t>
  </si>
  <si>
    <t xml:space="preserve">Single Nosing </t>
  </si>
  <si>
    <t xml:space="preserve">b Double Nosing </t>
  </si>
  <si>
    <t>Forpower rolling as per TWAD SR  it-15 b / P.286</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</si>
  <si>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</si>
  <si>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</si>
  <si>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</si>
  <si>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</si>
  <si>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</si>
  <si>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</si>
  <si>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</si>
  <si>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</si>
  <si>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r>
      <t xml:space="preserve">EARTH WORK EXCAVATION  for </t>
    </r>
    <r>
      <rPr>
        <b/>
        <sz val="12"/>
        <rFont val="Times New Roman"/>
        <family val="1"/>
      </rPr>
      <t>SDR</t>
    </r>
  </si>
  <si>
    <r>
      <t xml:space="preserve">EARTH WORK EXCAVATION  for </t>
    </r>
    <r>
      <rPr>
        <b/>
        <sz val="12"/>
        <rFont val="Times New Roman"/>
        <family val="1"/>
      </rPr>
      <t>open foundation</t>
    </r>
    <r>
      <rPr>
        <sz val="12"/>
        <rFont val="Times New Roman"/>
        <family val="1"/>
      </rPr>
      <t>EXCLUDING REFILLING</t>
    </r>
  </si>
  <si>
    <r>
      <t xml:space="preserve">BASEMENT  WITH  </t>
    </r>
    <r>
      <rPr>
        <b/>
        <sz val="12"/>
        <rFont val="Times New Roman"/>
        <family val="1"/>
      </rPr>
      <t>FILLING WELL GRAVEL</t>
    </r>
  </si>
  <si>
    <r>
      <t xml:space="preserve">RATE PER CUM EXCLUDING REFILLING
</t>
    </r>
    <r>
      <rPr>
        <b/>
        <sz val="12"/>
        <rFont val="Times New Roman"/>
        <family val="1"/>
      </rPr>
      <t>IN SDR (OPEN FOUNDATION)</t>
    </r>
  </si>
  <si>
    <r>
      <t xml:space="preserve">BASEMENT  WITH  </t>
    </r>
    <r>
      <rPr>
        <b/>
        <sz val="12"/>
        <rFont val="Times New Roman"/>
        <family val="1"/>
      </rPr>
      <t>FILLING SAND</t>
    </r>
  </si>
  <si>
    <r>
      <t xml:space="preserve">BASEMENT  WITH  </t>
    </r>
    <r>
      <rPr>
        <b/>
        <sz val="12"/>
        <rFont val="Times New Roman"/>
        <family val="1"/>
      </rPr>
      <t>FILLING GRAVEL</t>
    </r>
  </si>
  <si>
    <t>BINDING WIRE p-20 it-144/113a</t>
  </si>
  <si>
    <r>
      <t xml:space="preserve">PROVIDING </t>
    </r>
    <r>
      <rPr>
        <b/>
        <sz val="12"/>
        <rFont val="Times New Roman"/>
        <family val="1"/>
      </rPr>
      <t>SAND  GRAVEL MIX</t>
    </r>
  </si>
  <si>
    <r>
      <t xml:space="preserve">BASEMENT  WITH  </t>
    </r>
    <r>
      <rPr>
        <b/>
        <sz val="12"/>
        <rFont val="Times New Roman"/>
        <family val="1"/>
      </rPr>
      <t>STONE DUST</t>
    </r>
  </si>
  <si>
    <t>Plasticizer / Super Plasticizer P-67/274</t>
  </si>
  <si>
    <r>
      <t xml:space="preserve">Providing </t>
    </r>
    <r>
      <rPr>
        <b/>
        <sz val="12"/>
        <rFont val="Times New Roman"/>
        <family val="1"/>
      </rPr>
      <t>GRAVEL SOLING</t>
    </r>
    <r>
      <rPr>
        <sz val="12"/>
        <rFont val="Times New Roman"/>
        <family val="1"/>
      </rPr>
      <t xml:space="preserve"> of 150mm thick</t>
    </r>
  </si>
  <si>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</si>
  <si>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</si>
  <si>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</si>
  <si>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</si>
  <si>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</si>
  <si>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</si>
  <si>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</si>
  <si>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r>
      <t>CEMENT CONCRETE</t>
    </r>
    <r>
      <rPr>
        <b/>
        <sz val="12"/>
        <rFont val="Times New Roman"/>
        <family val="1"/>
      </rPr>
      <t xml:space="preserve"> PCC (1:2:4)</t>
    </r>
    <r>
      <rPr>
        <sz val="12"/>
        <rFont val="Times New Roman"/>
        <family val="1"/>
      </rPr>
      <t xml:space="preserve"> USING</t>
    </r>
  </si>
  <si>
    <t>S.W.TEE 150mm DIA WITH ISI MARK it-212/a p-53</t>
  </si>
  <si>
    <r>
      <t>CEMENT CONCRETE</t>
    </r>
    <r>
      <rPr>
        <b/>
        <sz val="12"/>
        <rFont val="Times New Roman"/>
        <family val="1"/>
      </rPr>
      <t>(1:8:16)</t>
    </r>
    <r>
      <rPr>
        <sz val="12"/>
        <rFont val="Times New Roman"/>
        <family val="1"/>
      </rPr>
      <t xml:space="preserve"> USING</t>
    </r>
  </si>
  <si>
    <r>
      <t>CEMENT CONCRETE</t>
    </r>
    <r>
      <rPr>
        <b/>
        <sz val="12"/>
        <rFont val="Times New Roman"/>
        <family val="1"/>
      </rPr>
      <t>(1:4:8)</t>
    </r>
    <r>
      <rPr>
        <sz val="12"/>
        <rFont val="Times New Roman"/>
        <family val="1"/>
      </rPr>
      <t xml:space="preserve"> USING</t>
    </r>
  </si>
  <si>
    <r>
      <t xml:space="preserve">PROVIDING  </t>
    </r>
    <r>
      <rPr>
        <b/>
        <sz val="12"/>
        <rFont val="Times New Roman"/>
        <family val="1"/>
      </rPr>
      <t>WBM 125mm</t>
    </r>
    <r>
      <rPr>
        <sz val="12"/>
        <rFont val="Times New Roman"/>
        <family val="1"/>
      </rPr>
      <t xml:space="preserve"> CONSOLIDATED</t>
    </r>
  </si>
  <si>
    <r>
      <t xml:space="preserve">SURFACE DRESSING OVER </t>
    </r>
    <r>
      <rPr>
        <b/>
        <sz val="12"/>
        <rFont val="Times New Roman"/>
        <family val="1"/>
      </rPr>
      <t>WBM 25mm TK.</t>
    </r>
  </si>
  <si>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</si>
  <si>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</si>
  <si>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</si>
  <si>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</si>
  <si>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</si>
  <si>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</si>
  <si>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r>
      <t xml:space="preserve">PROVIDING </t>
    </r>
    <r>
      <rPr>
        <b/>
        <sz val="12"/>
        <rFont val="Times New Roman"/>
        <family val="1"/>
      </rPr>
      <t>BITUMEN PAD</t>
    </r>
    <r>
      <rPr>
        <sz val="12"/>
        <rFont val="Times New Roman"/>
        <family val="1"/>
      </rPr>
      <t xml:space="preserve"> FOR EXPANISION </t>
    </r>
  </si>
  <si>
    <t xml:space="preserve"> 65mm DIA TWAD 2022-2023 p44</t>
  </si>
  <si>
    <t>G.M.GATE VALUE (Heavy Duty)p-48it-144</t>
  </si>
  <si>
    <t>AS  PER SR(85)  2022-23(p-23</t>
  </si>
  <si>
    <t>G.M.WHEELVALUE  (Heavy Duty)p-48it-145</t>
  </si>
  <si>
    <t>G.I.REDUCER p-47 it-155F</t>
  </si>
  <si>
    <t>G.I.REDUCER  TEEp-47 it-155H</t>
  </si>
  <si>
    <t>G.I.REDUCER  ELBOW p47 it-G</t>
  </si>
  <si>
    <t>Standardised concrete mix M25</t>
  </si>
  <si>
    <r>
      <t xml:space="preserve"> P.C.C,R.C.C SLAB OF20mm THICK </t>
    </r>
    <r>
      <rPr>
        <b/>
        <sz val="12"/>
        <rFont val="Times New Roman"/>
        <family val="1"/>
      </rPr>
      <t>using standardised concrete mix M20</t>
    </r>
  </si>
  <si>
    <r>
      <t xml:space="preserve"> P.C.C,R.C.C SLAB OF20mm THICK </t>
    </r>
    <r>
      <rPr>
        <b/>
        <sz val="12"/>
        <rFont val="Times New Roman"/>
        <family val="1"/>
      </rPr>
      <t>using standardised concrete mix M30</t>
    </r>
  </si>
  <si>
    <r>
      <t xml:space="preserve"> P.C.C,R.C.C SLAB OF20mm THICK </t>
    </r>
    <r>
      <rPr>
        <b/>
        <sz val="12"/>
        <rFont val="Times New Roman"/>
        <family val="1"/>
      </rPr>
      <t>using standardised concrete mix M25</t>
    </r>
  </si>
  <si>
    <r>
      <t xml:space="preserve"> P.C.C,R.C.C SLAB OF40mm THICK </t>
    </r>
    <r>
      <rPr>
        <b/>
        <sz val="12"/>
        <rFont val="Times New Roman"/>
        <family val="1"/>
      </rPr>
      <t>using standardised concrete mix of M20 grade</t>
    </r>
  </si>
  <si>
    <r>
      <t xml:space="preserve"> P.C.C,R.C.C SLAB OF40mm THICK </t>
    </r>
    <r>
      <rPr>
        <b/>
        <sz val="12"/>
        <rFont val="Times New Roman"/>
        <family val="1"/>
      </rPr>
      <t>using standardised concrete mix of M30 grade</t>
    </r>
  </si>
  <si>
    <r>
      <t xml:space="preserve"> P.C.C,R.C.C SLAB OF40mm THICK </t>
    </r>
    <r>
      <rPr>
        <b/>
        <sz val="12"/>
        <rFont val="Times New Roman"/>
        <family val="1"/>
      </rPr>
      <t>using standardised concrete mix of M25 grade</t>
    </r>
  </si>
  <si>
    <t>C.P.TAP15mm DIA p - 48 it-160</t>
  </si>
  <si>
    <t>ALU TOWEL RAIL 20mm ,2'LONG p - 51 it-203</t>
  </si>
  <si>
    <t>P.V.C. LOW LEVEL CISTERN 10 LITCAPACITY p-49  183a</t>
  </si>
  <si>
    <t>150mm AL.HANDLE WITH CP SCREWS/DOOR STOPPER (PWD LR) p-41 it-107b</t>
  </si>
  <si>
    <r>
      <t xml:space="preserve">Glazed-WALL TILES PLAINCOLOUR-6MM T.K (PWD LR) 100x200x6mm 
</t>
    </r>
    <r>
      <rPr>
        <b/>
        <sz val="12"/>
        <rFont val="Times New Roman"/>
        <family val="1"/>
      </rPr>
      <t>item no. 11(ii)</t>
    </r>
  </si>
  <si>
    <t>TARRED HEMP YARN p- 53 /214</t>
  </si>
  <si>
    <t>E.W.C. WITH S  TRAP it-181( 1)p-49</t>
  </si>
  <si>
    <t>WASH BASIN 480x400mm without pedastal it-188 p-50</t>
  </si>
  <si>
    <r>
      <t xml:space="preserve"> 20mm Thick slab:- For </t>
    </r>
    <r>
      <rPr>
        <b/>
        <sz val="12"/>
        <rFont val="Times New Roman"/>
        <family val="1"/>
      </rPr>
      <t>kitchen arrangements only</t>
    </r>
  </si>
  <si>
    <r>
      <t xml:space="preserve">P.V.C. SOIL BENDWITH DOOR 110mm DIA </t>
    </r>
    <r>
      <rPr>
        <b/>
        <sz val="12"/>
        <rFont val="Times New Roman"/>
        <family val="1"/>
      </rPr>
      <t xml:space="preserve">Qtn </t>
    </r>
  </si>
  <si>
    <t>P.V.C. SOIL SHOE 110mm DIA p-104 it -m</t>
  </si>
  <si>
    <t>M.S.WINDOW GRILLS / Special extruded sections for Steel Windows *p20/152/131</t>
  </si>
  <si>
    <r>
      <t xml:space="preserve">20mm HBG Machine crushed stone jelly   </t>
    </r>
    <r>
      <rPr>
        <b/>
        <sz val="12"/>
        <rFont val="Times New Roman"/>
        <family val="1"/>
      </rPr>
      <t xml:space="preserve"> (7730 Kg)</t>
    </r>
  </si>
  <si>
    <r>
      <t xml:space="preserve">10-12mm HBG Machine crushed stone jelly   </t>
    </r>
    <r>
      <rPr>
        <b/>
        <sz val="12"/>
        <rFont val="Times New Roman"/>
        <family val="1"/>
      </rPr>
      <t xml:space="preserve"> (5156 Kg)</t>
    </r>
  </si>
  <si>
    <r>
      <t xml:space="preserve">Sand   </t>
    </r>
    <r>
      <rPr>
        <b/>
        <sz val="12"/>
        <rFont val="Times New Roman"/>
        <family val="1"/>
      </rPr>
      <t xml:space="preserve"> (7670 Kg)</t>
    </r>
  </si>
  <si>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</si>
  <si>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</si>
  <si>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</si>
  <si>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</si>
  <si>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</si>
  <si>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r>
      <t xml:space="preserve">PROVIDING ANTI-TERMITE TREATMENT </t>
    </r>
    <r>
      <rPr>
        <b/>
        <sz val="12"/>
        <rFont val="Times New Roman"/>
        <family val="1"/>
      </rPr>
      <t>Say 34</t>
    </r>
  </si>
  <si>
    <t>Flat back urinal WITH ALL ACCESSORIES (white)p-50 it-193</t>
  </si>
  <si>
    <t>R.C.C.IN (M 20)</t>
  </si>
  <si>
    <r>
      <t xml:space="preserve">Satndardised cement Concrtet </t>
    </r>
    <r>
      <rPr>
        <b/>
        <sz val="12"/>
        <rFont val="Times New Roman"/>
        <family val="1"/>
      </rPr>
      <t>M30 grade 1:1.5:3 without vibrating charges</t>
    </r>
  </si>
  <si>
    <t>DOOR HANDLE WITH CP SCREWS 6" (p-41)</t>
  </si>
  <si>
    <t xml:space="preserve">  5"BUTT HINGS (p-40)</t>
  </si>
  <si>
    <t xml:space="preserve"> 6"X1/2"TOWER BOLT (p-40)</t>
  </si>
  <si>
    <t>10"X5/8"ALDROP (p-41)</t>
  </si>
  <si>
    <t>DOOR STOPPER (p-41)</t>
  </si>
  <si>
    <t>Brass screw p-55 it-232</t>
  </si>
  <si>
    <t xml:space="preserve">                                                                                                                                                                                                                                                                                                                                                                                                                                                                                                                                                                                                                                                                                                                                                                                                                                                                                                                                                                                                                                                                                                                                                                                                                                                                                                                                                                                                                                                                                                                                                                                                                                                                                                                                                                                                                                                                                                                                                                                                                                                                                                                                                                                       </t>
  </si>
  <si>
    <t xml:space="preserve">                                                                                                                                                                                                               </t>
  </si>
  <si>
    <r>
      <t>S/F OF</t>
    </r>
    <r>
      <rPr>
        <b/>
        <sz val="12"/>
        <rFont val="Times New Roman"/>
        <family val="1"/>
      </rPr>
      <t xml:space="preserve"> BWR PLYWOOD DOOR</t>
    </r>
  </si>
  <si>
    <r>
      <t xml:space="preserve">I.O FITTINGS AS PER SCHEDULE E </t>
    </r>
    <r>
      <rPr>
        <b/>
        <sz val="12"/>
        <rFont val="Times New Roman"/>
        <family val="1"/>
      </rPr>
      <t>1200 x 2100mm size</t>
    </r>
  </si>
  <si>
    <r>
      <t xml:space="preserve">Supplying and fixing </t>
    </r>
    <r>
      <rPr>
        <b/>
        <sz val="12"/>
        <rFont val="Times New Roman"/>
        <family val="1"/>
      </rPr>
      <t>4mm thick pin</t>
    </r>
  </si>
  <si>
    <t xml:space="preserve">4mm glass frosted </t>
  </si>
  <si>
    <r>
      <t>Supplying and fixing 5.5</t>
    </r>
    <r>
      <rPr>
        <b/>
        <sz val="12"/>
        <rFont val="Times New Roman"/>
        <family val="1"/>
      </rPr>
      <t>mm thick pin</t>
    </r>
  </si>
  <si>
    <t xml:space="preserve">5.5mm glass frosted </t>
  </si>
  <si>
    <t xml:space="preserve">Granite Slab flooring in cm1:3,20mm thk </t>
  </si>
  <si>
    <t>COST OF granite FLOOR slab , (p-36/29c)
gray</t>
  </si>
  <si>
    <r>
      <t xml:space="preserve">COST OF Eurocon TILES </t>
    </r>
    <r>
      <rPr>
        <b/>
        <sz val="12"/>
        <rFont val="Times New Roman"/>
        <family val="1"/>
      </rPr>
      <t>(pwd -p 35/17</t>
    </r>
  </si>
  <si>
    <t>COST OF stain free nano polish Vertified TILES (p51, it-156)</t>
  </si>
  <si>
    <r>
      <t xml:space="preserve">COST OF Vertified TILES  </t>
    </r>
    <r>
      <rPr>
        <b/>
        <sz val="12"/>
        <rFont val="Times New Roman"/>
        <family val="1"/>
      </rPr>
      <t>qtn</t>
    </r>
  </si>
  <si>
    <r>
      <t xml:space="preserve">Suppling and laying </t>
    </r>
    <r>
      <rPr>
        <b/>
        <sz val="12"/>
        <rFont val="Times New Roman"/>
        <family val="1"/>
      </rPr>
      <t>colour matt finish floor tiles</t>
    </r>
  </si>
  <si>
    <r>
      <t xml:space="preserve">Suppling and laying </t>
    </r>
    <r>
      <rPr>
        <b/>
        <sz val="12"/>
        <rFont val="Times New Roman"/>
        <family val="1"/>
      </rPr>
      <t>colour matt finish wall tiles</t>
    </r>
  </si>
  <si>
    <r>
      <t xml:space="preserve">PAINTING TWO COATS OVER NEW           </t>
    </r>
    <r>
      <rPr>
        <b/>
        <sz val="12"/>
        <rFont val="Times New Roman"/>
        <family val="1"/>
      </rPr>
      <t>(as per CER-112/2007-08)</t>
    </r>
  </si>
  <si>
    <r>
      <t xml:space="preserve">S &amp; F of </t>
    </r>
    <r>
      <rPr>
        <b/>
        <sz val="12"/>
        <rFont val="Times New Roman"/>
        <family val="1"/>
      </rPr>
      <t>Granite slab 18mm to 12mm Thick</t>
    </r>
    <r>
      <rPr>
        <sz val="12"/>
        <rFont val="Times New Roman"/>
        <family val="1"/>
      </rPr>
      <t xml:space="preserve"> For </t>
    </r>
    <r>
      <rPr>
        <b/>
        <sz val="12"/>
        <rFont val="Times New Roman"/>
        <family val="1"/>
      </rPr>
      <t xml:space="preserve">kitchen arrangements </t>
    </r>
  </si>
  <si>
    <r>
      <t>WATER REPELLANT PAINT</t>
    </r>
    <r>
      <rPr>
        <sz val="12"/>
        <rFont val="Times New Roman"/>
        <family val="1"/>
      </rPr>
      <t xml:space="preserve"> OVER ONE PRIMER COAT</t>
    </r>
  </si>
  <si>
    <r>
      <t xml:space="preserve">Granite slab </t>
    </r>
    <r>
      <rPr>
        <b/>
        <sz val="12"/>
        <rFont val="Times New Roman"/>
        <family val="1"/>
      </rPr>
      <t>(Ruby red) P-36 it-29 b</t>
    </r>
  </si>
  <si>
    <r>
      <t xml:space="preserve">OF 10mm&amp;BELOW </t>
    </r>
    <r>
      <rPr>
        <b/>
        <sz val="12"/>
        <rFont val="Times New Roman"/>
        <family val="1"/>
      </rPr>
      <t>(ELLISPATTERN)</t>
    </r>
  </si>
  <si>
    <r>
      <t>WEATHERING COURSE</t>
    </r>
    <r>
      <rPr>
        <sz val="12"/>
        <rFont val="Times New Roman"/>
        <family val="1"/>
      </rPr>
      <t xml:space="preserve"> WITH BRICK</t>
    </r>
  </si>
  <si>
    <r>
      <t xml:space="preserve">PAINTING TWO COATS OVER NEW            </t>
    </r>
    <r>
      <rPr>
        <b/>
        <sz val="12"/>
        <rFont val="Times New Roman"/>
        <family val="1"/>
      </rPr>
      <t xml:space="preserve"> (as per CER-112/2007-08)</t>
    </r>
  </si>
  <si>
    <r>
      <t xml:space="preserve">S &amp; F of </t>
    </r>
    <r>
      <rPr>
        <b/>
        <sz val="12"/>
        <rFont val="Times New Roman"/>
        <family val="1"/>
      </rPr>
      <t>Granite slab 18mm to 20mm Thick</t>
    </r>
    <r>
      <rPr>
        <sz val="12"/>
        <rFont val="Times New Roman"/>
        <family val="1"/>
      </rPr>
      <t xml:space="preserve"> For </t>
    </r>
    <r>
      <rPr>
        <b/>
        <sz val="12"/>
        <rFont val="Times New Roman"/>
        <family val="1"/>
      </rPr>
      <t xml:space="preserve">kitchen arrangements </t>
    </r>
  </si>
  <si>
    <r>
      <t xml:space="preserve">Granite slab </t>
    </r>
    <r>
      <rPr>
        <b/>
        <sz val="12"/>
        <rFont val="Times New Roman"/>
        <family val="1"/>
      </rPr>
      <t>( Jet Black) P-36 it-29 a</t>
    </r>
  </si>
  <si>
    <r>
      <t xml:space="preserve">Granite slab </t>
    </r>
    <r>
      <rPr>
        <b/>
        <sz val="12"/>
        <rFont val="Times New Roman"/>
        <family val="1"/>
      </rPr>
      <t>(Ruby red) P-36 it-29b</t>
    </r>
  </si>
  <si>
    <r>
      <t xml:space="preserve">FITTER  </t>
    </r>
    <r>
      <rPr>
        <b/>
        <sz val="12"/>
        <rFont val="Times New Roman"/>
        <family val="1"/>
      </rPr>
      <t>Ist CLASS</t>
    </r>
  </si>
  <si>
    <r>
      <t xml:space="preserve">MAZDOOR  </t>
    </r>
    <r>
      <rPr>
        <b/>
        <sz val="12"/>
        <rFont val="Times New Roman"/>
        <family val="1"/>
      </rPr>
      <t>Ist CLASS</t>
    </r>
  </si>
  <si>
    <r>
      <t>CARPENTER</t>
    </r>
    <r>
      <rPr>
        <b/>
        <sz val="12"/>
        <rFont val="Times New Roman"/>
        <family val="1"/>
      </rPr>
      <t xml:space="preserve"> II CLASS</t>
    </r>
  </si>
  <si>
    <t>ANTI-CORROSIVE(COROLOK-CP ( qtn)</t>
  </si>
  <si>
    <r>
      <t>DOWN FALL PIPE    T</t>
    </r>
    <r>
      <rPr>
        <b/>
        <sz val="12"/>
        <rFont val="Times New Roman"/>
        <family val="1"/>
      </rPr>
      <t>ype- A  SWR pipe</t>
    </r>
  </si>
  <si>
    <r>
      <t xml:space="preserve">SUPPLY AND FIXING ALUMINUM </t>
    </r>
    <r>
      <rPr>
        <b/>
        <sz val="12"/>
        <rFont val="Times New Roman"/>
        <family val="1"/>
      </rPr>
      <t xml:space="preserve">TOWEL RAIL </t>
    </r>
    <r>
      <rPr>
        <sz val="12"/>
        <rFont val="Times New Roman"/>
        <family val="1"/>
      </rPr>
      <t>OF</t>
    </r>
  </si>
  <si>
    <r>
      <t xml:space="preserve">SUPPLING AND FIXING </t>
    </r>
    <r>
      <rPr>
        <b/>
        <sz val="12"/>
        <rFont val="Times New Roman"/>
        <family val="1"/>
      </rPr>
      <t>COAT STAND</t>
    </r>
  </si>
  <si>
    <r>
      <t xml:space="preserve">SUPPLING AND FIXING OF </t>
    </r>
    <r>
      <rPr>
        <b/>
        <sz val="12"/>
        <rFont val="Times New Roman"/>
        <family val="1"/>
      </rPr>
      <t>PICTURE HOOKS</t>
    </r>
  </si>
  <si>
    <r>
      <t xml:space="preserve">Slabs of 50mm thick </t>
    </r>
    <r>
      <rPr>
        <b/>
        <sz val="12"/>
        <rFont val="Times New Roman"/>
        <family val="1"/>
      </rPr>
      <t>(precast slab 50mm Thick)</t>
    </r>
  </si>
  <si>
    <r>
      <t>KERB STONE</t>
    </r>
    <r>
      <rPr>
        <sz val="12"/>
        <rFont val="Times New Roman"/>
        <family val="1"/>
      </rPr>
      <t xml:space="preserve"> 450x300x150mm</t>
    </r>
  </si>
  <si>
    <t>CW reepers 50x25 cm it-123 p-19</t>
  </si>
  <si>
    <t>Painting / lettering charges qtn</t>
  </si>
  <si>
    <t>CUTTING CHARGES p -26 Itm 91</t>
  </si>
  <si>
    <t>THREADING CHARGES p -26 Itm 91</t>
  </si>
  <si>
    <t>ALIGNING (Twad-2022-23/268)</t>
  </si>
  <si>
    <r>
      <t>WASHBASIN</t>
    </r>
    <r>
      <rPr>
        <sz val="12"/>
        <rFont val="Times New Roman"/>
        <family val="1"/>
      </rPr>
      <t xml:space="preserve"> 22"X16" INCLUDING</t>
    </r>
  </si>
  <si>
    <t>deduct rate for 15mm dia GM wheel valve p -48 /157(v)</t>
  </si>
  <si>
    <t>CI MANHOLE COVER 60CMX60CMX50KG p-55/238</t>
  </si>
  <si>
    <r>
      <t>SUPPLY AND FIXING OF E.W.C.   18" SIZE</t>
    </r>
    <r>
      <rPr>
        <b/>
        <sz val="12"/>
        <rFont val="Times New Roman"/>
        <family val="1"/>
      </rPr>
      <t xml:space="preserve"> (WHITE)</t>
    </r>
  </si>
  <si>
    <r>
      <t xml:space="preserve">SUPPLY AND FIXING OF E.W.C.   18" SIZE </t>
    </r>
    <r>
      <rPr>
        <b/>
        <sz val="12"/>
        <rFont val="Times New Roman"/>
        <family val="1"/>
      </rPr>
      <t>(COLOUR)</t>
    </r>
  </si>
  <si>
    <r>
      <t xml:space="preserve">110MM DIA OF </t>
    </r>
    <r>
      <rPr>
        <b/>
        <sz val="12"/>
        <rFont val="Times New Roman"/>
        <family val="1"/>
      </rPr>
      <t>PVC</t>
    </r>
    <r>
      <rPr>
        <sz val="12"/>
        <rFont val="Times New Roman"/>
        <family val="1"/>
      </rPr>
      <t xml:space="preserve"> </t>
    </r>
    <r>
      <rPr>
        <b/>
        <sz val="12"/>
        <rFont val="Times New Roman"/>
        <family val="1"/>
      </rPr>
      <t>SWR PIPE</t>
    </r>
    <r>
      <rPr>
        <sz val="12"/>
        <rFont val="Times New Roman"/>
        <family val="1"/>
      </rPr>
      <t xml:space="preserve"> INCLUDING </t>
    </r>
  </si>
  <si>
    <r>
      <t xml:space="preserve">75MM DIA OF </t>
    </r>
    <r>
      <rPr>
        <b/>
        <sz val="12"/>
        <rFont val="Times New Roman"/>
        <family val="1"/>
      </rPr>
      <t>PVC SWR PIPE</t>
    </r>
    <r>
      <rPr>
        <sz val="12"/>
        <rFont val="Times New Roman"/>
        <family val="1"/>
      </rPr>
      <t xml:space="preserve"> INCLUDING </t>
    </r>
  </si>
  <si>
    <t>Providing Rain Water Harvesting well ring circular shape of 90cm dia, 60cm depth,50mm thick using m20 grade concrete including steel fabrication.</t>
  </si>
  <si>
    <t>M20 grade concrete</t>
  </si>
  <si>
    <r>
      <t xml:space="preserve">250mmDIA S.W.PIPE WITH ISI MARK ( it-13.0/4 </t>
    </r>
    <r>
      <rPr>
        <b/>
        <sz val="12"/>
        <rFont val="Times New Roman"/>
        <family val="1"/>
      </rPr>
      <t>of twad20-21 spl I CLASS )</t>
    </r>
  </si>
  <si>
    <t>Charcoal 17-18 SD 233 (101.70/20.32 = 5.00)</t>
  </si>
  <si>
    <t xml:space="preserve">SALT  SD 233 </t>
  </si>
  <si>
    <t>GI WIRE 8 GAUGE p125/3c</t>
  </si>
  <si>
    <t>GALVANISIED IRON WIRE 2" x 2" using 10 gauge (of all sizes) p44/134</t>
  </si>
  <si>
    <t>x-559-m20</t>
  </si>
  <si>
    <t>AD559-m30</t>
  </si>
  <si>
    <r>
      <t xml:space="preserve">Providing wooden </t>
    </r>
    <r>
      <rPr>
        <b/>
        <sz val="12"/>
        <rFont val="Times New Roman"/>
        <family val="1"/>
      </rPr>
      <t>MELAMEN DOOR POLISH</t>
    </r>
  </si>
  <si>
    <t>Squat urinal including all accesseries (LSR new Item -4)p -55/i229</t>
  </si>
  <si>
    <r>
      <t xml:space="preserve">TOTAL FOR </t>
    </r>
    <r>
      <rPr>
        <b/>
        <sz val="12"/>
        <rFont val="Times New Roman"/>
        <family val="1"/>
      </rPr>
      <t>5.67</t>
    </r>
    <r>
      <rPr>
        <sz val="12"/>
        <rFont val="Times New Roman"/>
        <family val="1"/>
      </rPr>
      <t xml:space="preserve"> SQM</t>
    </r>
  </si>
  <si>
    <r>
      <t xml:space="preserve">T.W DOUBLE LEAVES FULLY PANELLED DOOR SHUTTER FOR DOOR OF SIZE   (2000 X 2100 mm) </t>
    </r>
    <r>
      <rPr>
        <b/>
        <sz val="12"/>
        <rFont val="Times New Roman"/>
        <family val="1"/>
      </rPr>
      <t>WITH BRASS FITTINGS</t>
    </r>
  </si>
  <si>
    <t>Nylon BUSH (p-41/111)</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</si>
  <si>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</si>
  <si>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</si>
  <si>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</si>
  <si>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</si>
  <si>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</si>
  <si>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</si>
  <si>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r>
      <t>concrete  (0.23 x .075 x 2.1 =</t>
    </r>
    <r>
      <rPr>
        <b/>
        <sz val="12"/>
        <rFont val="Times New Roman"/>
        <family val="1"/>
      </rPr>
      <t xml:space="preserve"> 0.036 cum</t>
    </r>
    <r>
      <rPr>
        <sz val="12"/>
        <rFont val="Times New Roman"/>
        <family val="1"/>
      </rPr>
      <t>)</t>
    </r>
  </si>
  <si>
    <r>
      <t xml:space="preserve">Form Work  Small qty.  0.38 x 2.1 = </t>
    </r>
    <r>
      <rPr>
        <b/>
        <sz val="12"/>
        <rFont val="Times New Roman"/>
        <family val="1"/>
      </rPr>
      <t>0.798 sqm</t>
    </r>
  </si>
  <si>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</si>
  <si>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</si>
  <si>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</si>
  <si>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</si>
  <si>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</si>
  <si>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rmt</t>
  </si>
  <si>
    <r>
      <t xml:space="preserve">STYLES(OVER 2M) -2X2X2.3125X0.15X0.0375                                                      </t>
    </r>
    <r>
      <rPr>
        <b/>
        <sz val="12"/>
        <rFont val="Times New Roman"/>
        <family val="1"/>
      </rPr>
      <t xml:space="preserve">  = 0.052</t>
    </r>
  </si>
  <si>
    <r>
      <t xml:space="preserve">Brass screws </t>
    </r>
    <r>
      <rPr>
        <sz val="12"/>
        <rFont val="Times New Roman"/>
        <family val="1"/>
      </rPr>
      <t>not necessary as there is brass fittings</t>
    </r>
  </si>
  <si>
    <t>Brass hinges 6" p-40</t>
  </si>
  <si>
    <t>16" brass tower bolt   p-40</t>
  </si>
  <si>
    <t>T.W PLANKS (12-25 CM) (30 TO 45CM THICK) it-75(i) iii p-18</t>
  </si>
  <si>
    <t>RATE PER 3.95 SQM</t>
  </si>
  <si>
    <r>
      <t xml:space="preserve">PAINTING TWO COATS OVER NEW           </t>
    </r>
    <r>
      <rPr>
        <b/>
        <sz val="12"/>
        <rFont val="Times New Roman"/>
        <family val="1"/>
      </rPr>
      <t>(as per PWD Standard Data)</t>
    </r>
  </si>
  <si>
    <r>
      <t xml:space="preserve">STYLES(OVER 2M) -1X3X2.3125X0.15X0.0375                                                      </t>
    </r>
    <r>
      <rPr>
        <b/>
        <sz val="12"/>
        <rFont val="Times New Roman"/>
        <family val="1"/>
      </rPr>
      <t xml:space="preserve">  = 0.052</t>
    </r>
  </si>
  <si>
    <r>
      <t xml:space="preserve">S &amp; F best indian 2/3 Glazed 1/3 Teak wood Panelled door shutter of size 
</t>
    </r>
    <r>
      <rPr>
        <b/>
        <u/>
        <sz val="12"/>
        <rFont val="Times New Roman"/>
        <family val="1"/>
      </rPr>
      <t>b)1500mmx2100mm</t>
    </r>
  </si>
  <si>
    <t>Glass 5.5mm thick   p-44/137</t>
  </si>
  <si>
    <r>
      <t xml:space="preserve">Supply and laying of </t>
    </r>
    <r>
      <rPr>
        <b/>
        <sz val="12"/>
        <rFont val="Times New Roman"/>
        <family val="1"/>
      </rPr>
      <t>Hard core</t>
    </r>
    <r>
      <rPr>
        <sz val="12"/>
        <rFont val="Times New Roman"/>
        <family val="1"/>
      </rPr>
      <t xml:space="preserve"> layer of 30</t>
    </r>
    <r>
      <rPr>
        <b/>
        <sz val="12"/>
        <rFont val="Times New Roman"/>
        <family val="1"/>
      </rPr>
      <t>0mm</t>
    </r>
    <r>
      <rPr>
        <sz val="12"/>
        <rFont val="Times New Roman"/>
        <family val="1"/>
      </rPr>
      <t xml:space="preserve"> consolidated thickness (10Sqm x .3m thick= 3.0 cum)</t>
    </r>
  </si>
  <si>
    <r>
      <t>For 3 m</t>
    </r>
    <r>
      <rPr>
        <vertAlign val="superscript"/>
        <sz val="12"/>
        <rFont val="Times New Roman"/>
        <family val="1"/>
      </rPr>
      <t xml:space="preserve">3 </t>
    </r>
  </si>
  <si>
    <t>Shutter size (1.1 x 2.325)</t>
  </si>
  <si>
    <r>
      <t>WASHBASIN</t>
    </r>
    <r>
      <rPr>
        <sz val="12"/>
        <rFont val="Times New Roman"/>
        <family val="1"/>
      </rPr>
      <t xml:space="preserve"> (White Pedastal type)  22"X16" INCLUDING</t>
    </r>
  </si>
  <si>
    <t>TW Beeding 15 x12 mm  p-42/113a</t>
  </si>
  <si>
    <t xml:space="preserve"> 200 mm long x12mm  ALU. TOWERBOLT (8") p-40/103d</t>
  </si>
  <si>
    <t>Flush door shutter size 750x2100  ( single leaf)</t>
  </si>
  <si>
    <t>shutter size =0.65*2.025 =</t>
  </si>
  <si>
    <r>
      <t xml:space="preserve">STYLES -2X0.65 x   7.525 x 3.125                                                 </t>
    </r>
    <r>
      <rPr>
        <b/>
        <sz val="12"/>
        <rFont val="Times New Roman"/>
        <family val="1"/>
      </rPr>
      <t xml:space="preserve">  = 0.052</t>
    </r>
  </si>
  <si>
    <t xml:space="preserve"> Cost of Colour Marble chips ( 91.10/0.0354)=2548.02 (P-35 it-26 )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</si>
  <si>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</si>
  <si>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Rubber beeding (An-VI -it-86 p-39</t>
  </si>
  <si>
    <t>Brass SCREWS (30x 6mm)it-138</t>
  </si>
  <si>
    <t>Power Grapping p-56 it-243</t>
  </si>
  <si>
    <t>Brass SCREWS (75x 10mm)it-138</t>
  </si>
  <si>
    <t>Plug</t>
  </si>
  <si>
    <t>Cost of UPVC SN8 Pipe (TWAD SR 2022-23 P-23 1.2 1)</t>
  </si>
  <si>
    <t>Bolts &amp; Nuts ( 3/4"x 1/4") It-103-b</t>
  </si>
  <si>
    <t>Bolts &amp; Nuts ( 6"x 1/2") it-103-e</t>
  </si>
  <si>
    <t>JOINTING MATERIALS. (TWAD SR 22-23,p-268 11-b)</t>
  </si>
  <si>
    <r>
      <t>Supplying, fabricating and fixing inposition A</t>
    </r>
    <r>
      <rPr>
        <b/>
        <sz val="12"/>
        <rFont val="Times New Roman"/>
        <family val="1"/>
      </rPr>
      <t>luminium anodised natural colour matt finish four Track Sliding Window</t>
    </r>
    <r>
      <rPr>
        <sz val="12"/>
        <rFont val="Times New Roman"/>
        <family val="1"/>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2"/>
        <rFont val="Times New Roman"/>
        <family val="1"/>
      </rPr>
      <t>1.80mm x 1.35 mm</t>
    </r>
  </si>
  <si>
    <t>Country wood reeper (50 x 25 mm p-19 s.no.123)</t>
  </si>
  <si>
    <r>
      <t>Supplying, fabricating and fixing inposition A</t>
    </r>
    <r>
      <rPr>
        <b/>
        <sz val="12"/>
        <rFont val="Times New Roman"/>
        <family val="1"/>
      </rPr>
      <t>luminium anodised natural colour matt finish four Track Sliding Window</t>
    </r>
    <r>
      <rPr>
        <sz val="12"/>
        <rFont val="Times New Roman"/>
        <family val="1"/>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2"/>
        <rFont val="Times New Roman"/>
        <family val="1"/>
      </rPr>
      <t>1.80mm x 1.35 mm</t>
    </r>
  </si>
  <si>
    <t>ONE COAT OF WALL PATTY         CHENNAI CITY</t>
  </si>
  <si>
    <t>Rubber beeding (p-39-it-86</t>
  </si>
  <si>
    <t xml:space="preserve"> BRASS SCREWS ( 30x6mm)(An-VI -it-232 p-55</t>
  </si>
  <si>
    <t xml:space="preserve"> BRASS SCREWS (75x 10mm)(An-VI -it-233</t>
  </si>
  <si>
    <t xml:space="preserve"> Plug (An-VI -it-236</t>
  </si>
  <si>
    <t>Power Grapping it-243</t>
  </si>
  <si>
    <r>
      <t xml:space="preserve">Satndardised cement Concrtet </t>
    </r>
    <r>
      <rPr>
        <b/>
        <sz val="12"/>
        <rFont val="Times New Roman"/>
        <family val="1"/>
      </rPr>
      <t xml:space="preserve"> 1:1.5:3 </t>
    </r>
  </si>
  <si>
    <r>
      <rPr>
        <b/>
        <sz val="12"/>
        <rFont val="Times New Roman"/>
        <family val="1"/>
      </rPr>
      <t>FRENCH WINDOW</t>
    </r>
    <r>
      <rPr>
        <sz val="12"/>
        <rFont val="Times New Roman"/>
        <family val="1"/>
      </rPr>
      <t xml:space="preserve"> FOR DOOR OF SIZE</t>
    </r>
  </si>
  <si>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</si>
  <si>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</si>
  <si>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</si>
  <si>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</si>
  <si>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</si>
  <si>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</si>
  <si>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</si>
  <si>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</si>
  <si>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</si>
  <si>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</si>
  <si>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</si>
  <si>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</si>
  <si>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r>
      <t>Add cost of Bakelite battern type holders 6 nos @</t>
    </r>
    <r>
      <rPr>
        <sz val="12"/>
        <color indexed="10"/>
        <rFont val="Helv"/>
      </rPr>
      <t xml:space="preserve"> 16.65/E</t>
    </r>
    <r>
      <rPr>
        <sz val="11"/>
        <color theme="1"/>
        <rFont val="Calibri"/>
        <family val="2"/>
        <scheme val="minor"/>
      </rPr>
      <t>ach9 (New item 25-p-116)</t>
    </r>
  </si>
  <si>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</si>
  <si>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</si>
  <si>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</si>
  <si>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</si>
  <si>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</si>
  <si>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r>
      <t xml:space="preserve">Supplying and fixing of 32 amps triple pole main switch with fuse and neutral link </t>
    </r>
    <r>
      <rPr>
        <sz val="11"/>
        <color theme="1"/>
        <rFont val="Calibri"/>
        <family val="2"/>
        <scheme val="minor"/>
      </rPr>
      <t>o</t>
    </r>
    <r>
      <rPr>
        <sz val="11"/>
        <color theme="1"/>
        <rFont val="Calibri"/>
        <family val="2"/>
        <scheme val="minor"/>
      </rPr>
      <t>n a suitable well varnished teak wood board including necessary interconnection and earth connection cost of all materials, etc., all complete.</t>
    </r>
  </si>
  <si>
    <r>
      <t xml:space="preserve">Supplying and fixing of 63 amps triple pole main switch with fuse and neutral link </t>
    </r>
    <r>
      <rPr>
        <sz val="11"/>
        <color theme="1"/>
        <rFont val="Calibri"/>
        <family val="2"/>
        <scheme val="minor"/>
      </rPr>
      <t>o</t>
    </r>
    <r>
      <rPr>
        <sz val="11"/>
        <color theme="1"/>
        <rFont val="Calibri"/>
        <family val="2"/>
        <scheme val="minor"/>
      </rPr>
      <t>n a suitable well varnished teak wood board including necessary interconnection and earth connection cost of all materials, etc., all complete.</t>
    </r>
  </si>
  <si>
    <t>32 Amps triple pole main switch with fuse and neutral link [SD 163] SR-p-133</t>
  </si>
  <si>
    <t>63 Amps triple pole main switch with fuse and neutral link  SR-p-133</t>
  </si>
  <si>
    <t>TW plank of size 750 x 450 x 12 mm thick(91300+12980) p-20+P-27 it-143 labour charge</t>
  </si>
  <si>
    <t>Less 4 way TPDB 32 A/way p-120, 8d</t>
  </si>
  <si>
    <t xml:space="preserve"> 'U' nails (SD-74 ,22-23)</t>
  </si>
  <si>
    <t>SD 74  -  Rs  26.00 / Rmt</t>
  </si>
  <si>
    <t>Charcoal SD 233-2022-23 (101.7/20.32 = 5.00)</t>
  </si>
  <si>
    <t>Salt (SD 233, 22-23)</t>
  </si>
  <si>
    <t>PVC reel insulater [SD 64] [6.60/12]</t>
  </si>
  <si>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1"/>
        <color theme="1"/>
        <rFont val="Calibri"/>
        <family val="2"/>
        <scheme val="minor"/>
      </rPr>
      <t>/4 core</t>
    </r>
  </si>
  <si>
    <t xml:space="preserve">                                                                                                                   </t>
  </si>
  <si>
    <t>30 W LED Street light Fittings</t>
  </si>
  <si>
    <t>25 W LED Street light Fittings p-115  18A/ lower end</t>
  </si>
  <si>
    <t>30 W LED Street light Fittings p-115  18A/ lower end</t>
  </si>
  <si>
    <t>80 W LED Street light Fittings</t>
  </si>
  <si>
    <t>80 W LED Street light Fittings p-114  17A/ lower end</t>
  </si>
  <si>
    <t>100A TPN 10 KA MCB [SR P.133]</t>
  </si>
  <si>
    <t>63A DPN 10 KA  MCB [SR P.133]</t>
  </si>
  <si>
    <t>63A double 4 pole 30MA ELCB [SR P.133]</t>
  </si>
  <si>
    <t>63A 10KA double pole MCB [SR P.132]</t>
  </si>
  <si>
    <t>Add Labour charges vide SD - 175</t>
  </si>
  <si>
    <r>
      <t xml:space="preserve">Supplying and concealing </t>
    </r>
    <r>
      <rPr>
        <b/>
        <sz val="12"/>
        <rFont val="Helv"/>
      </rPr>
      <t>TV/Telephone socket</t>
    </r>
    <r>
      <rPr>
        <sz val="11"/>
        <color theme="1"/>
        <rFont val="Calibri"/>
        <family val="2"/>
        <scheme val="minor"/>
      </rPr>
      <t xml:space="preserve"> with top pin with suitable TW box fully concealed and covered with 3 mm thick Hylem sheet etc., all complete.</t>
    </r>
  </si>
  <si>
    <r>
      <t xml:space="preserve">Clamp fixing by cheche screws bolts and nuts including connections ( </t>
    </r>
    <r>
      <rPr>
        <b/>
        <sz val="12"/>
        <rFont val="Helv"/>
      </rPr>
      <t>as per SD-114, Elec Data 2022-23)</t>
    </r>
  </si>
  <si>
    <t>4' tube light fitting with \electronic ballast p-112 it-5</t>
  </si>
  <si>
    <t>Hylem sheet 0.60 Sq m@ 661/Sq m p-130  ,7 a</t>
  </si>
  <si>
    <t>Chipping of concrete and rougheing of surface including cost of materials and labours etc.., completed,PWD SOR 2022-23 p-22 item No.38A</t>
  </si>
  <si>
    <t>Dismantling and clearing away the Pressed tiles etc.,PWD SOR 2022-23 p-22</t>
  </si>
  <si>
    <t>Providing Polymer Coating (Water Proof Coating ) for over roof pressed tiles  area.PWD SOR 2022-23 p-55</t>
  </si>
  <si>
    <t>Supply and Fixing Soild UPVC door Shutter with frame (PWD SOR 2022-2023, P.No: 43)</t>
  </si>
  <si>
    <t>EARTH WORK EXCAVATION  for SDR</t>
  </si>
  <si>
    <t>EARTH WORK EXCAVATION  for open foundationEXCLUDING REFILLING</t>
  </si>
  <si>
    <t>PAINTING TWO COATS OVER OLD  (as per PWD Standard Data)</t>
  </si>
  <si>
    <t>Supply and fixing of SFRC Manhole cover with frame with locking arrangements (PWD SOR 2022-2023, P.No:72)</t>
  </si>
  <si>
    <t>Teak wood Double leaf Cupborad ward roap Shutter</t>
  </si>
  <si>
    <t xml:space="preserve">for Cupboards </t>
  </si>
  <si>
    <t>Provision for Unforeseen items , Contingencies, P.S Charges @ 2.5 %</t>
  </si>
  <si>
    <r>
      <t>Brick work in C.M. 1:5 (F&amp; B)</t>
    </r>
    <r>
      <rPr>
        <sz val="18"/>
        <rFont val="Arial"/>
        <family val="2"/>
      </rPr>
      <t xml:space="preserve"> using Fly ash t bricks of size 23 x 11.4 x 7.5 cm (9" x 4 1/2"x 3")</t>
    </r>
  </si>
  <si>
    <r>
      <t>Brick work in C.M. 1:6</t>
    </r>
    <r>
      <rPr>
        <sz val="18"/>
        <rFont val="Arial"/>
        <family val="2"/>
      </rPr>
      <t xml:space="preserve"> using Flyash bricks of size 23 x 11.4 x 7.5 cm (9" x 4 1/2"x 3")</t>
    </r>
  </si>
  <si>
    <r>
      <t xml:space="preserve">Brick partition work in C.M. 1:4 </t>
    </r>
    <r>
      <rPr>
        <sz val="18"/>
        <rFont val="Arial"/>
        <family val="2"/>
      </rPr>
      <t xml:space="preserve">Flyahs bricks of size 23 x 11.4 x 7.5 cm (9" x 4 1/2"x 3") </t>
    </r>
    <r>
      <rPr>
        <b/>
        <sz val="18"/>
        <rFont val="Arial"/>
        <family val="2"/>
      </rPr>
      <t>114 mm tk (B.P.)</t>
    </r>
  </si>
  <si>
    <r>
      <t>Bricashk work in C.M. 1:5 (F&amp; B)</t>
    </r>
    <r>
      <rPr>
        <sz val="18"/>
        <rFont val="Arial"/>
        <family val="2"/>
      </rPr>
      <t xml:space="preserve"> using Fly bricks of size 23 x 11.4 x 7.5 cm (9" x 4 1/2"x 3")</t>
    </r>
  </si>
  <si>
    <r>
      <t>Brick work in C.M. 1:5 (F&amp; B)</t>
    </r>
    <r>
      <rPr>
        <sz val="18"/>
        <rFont val="Arial"/>
        <family val="2"/>
      </rPr>
      <t xml:space="preserve"> using Flyash bricks of size 23 x 11.4 x 7.5 cm (9" x 4 1/2"x 3")</t>
    </r>
  </si>
  <si>
    <t xml:space="preserve">Supplying and fixing of 25mm dia GI Service pipe line including cost of materials and labours etc.., completed </t>
  </si>
  <si>
    <r>
      <t xml:space="preserve">Earth work excavation in all soils </t>
    </r>
    <r>
      <rPr>
        <b/>
        <sz val="18"/>
        <rFont val="Arial"/>
        <family val="2"/>
      </rPr>
      <t>( OPEN FOUNDATION)</t>
    </r>
  </si>
</sst>
</file>

<file path=xl/styles.xml><?xml version="1.0" encoding="utf-8"?>
<styleSheet xmlns="http://schemas.openxmlformats.org/spreadsheetml/2006/main">
  <numFmts count="20">
    <numFmt numFmtId="6" formatCode="&quot;$&quot;#,##0_);[Red]\(&quot;$&quot;#,##0\)"/>
    <numFmt numFmtId="42" formatCode="_(&quot;$&quot;* #,##0_);_(&quot;$&quot;* \(#,##0\);_(&quot;$&quot;* &quot;-&quot;_);_(@_)"/>
    <numFmt numFmtId="43" formatCode="_(* #,##0.00_);_(* \(#,##0.00\);_(* &quot;-&quot;??_);_(@_)"/>
    <numFmt numFmtId="164" formatCode="0.000"/>
    <numFmt numFmtId="165" formatCode="0.00_)"/>
    <numFmt numFmtId="166" formatCode="0.000_)"/>
    <numFmt numFmtId="167" formatCode="0_)"/>
    <numFmt numFmtId="168" formatCode="0.0_)"/>
    <numFmt numFmtId="169" formatCode="0.00000_)"/>
    <numFmt numFmtId="170" formatCode="0.0000_)"/>
    <numFmt numFmtId="171" formatCode="0.000000_)"/>
    <numFmt numFmtId="172" formatCode="0.00000000_)"/>
    <numFmt numFmtId="173" formatCode="&quot;x&quot;\ 0"/>
    <numFmt numFmtId="174" formatCode="0.0"/>
    <numFmt numFmtId="175" formatCode="&quot;Rs.&quot;\ #,##0;&quot;Rs.&quot;\ \-#,##0"/>
    <numFmt numFmtId="176" formatCode="0.000000"/>
    <numFmt numFmtId="177" formatCode="&quot;Rs.&quot;\ #,##0.00;[Red]&quot;Rs.&quot;\ \-#,##0.00"/>
    <numFmt numFmtId="178" formatCode="&quot;₹&quot;\ #,##0;&quot;₹&quot;\ \-#,##0"/>
    <numFmt numFmtId="179" formatCode="_ &quot;₹&quot;\ * #,##0.00_ ;_ &quot;₹&quot;\ * \-#,##0.00_ ;_ &quot;₹&quot;\ * &quot;-&quot;??_ ;_ @_ "/>
    <numFmt numFmtId="180" formatCode="_-&quot;€&quot;* #,##0.00_-;\-&quot;€&quot;* #,##0.00_-;_-&quot;€&quot;* &quot;-&quot;??_-;_-@_-"/>
  </numFmts>
  <fonts count="212">
    <font>
      <sz val="11"/>
      <color theme="1"/>
      <name val="Calibri"/>
      <family val="2"/>
      <scheme val="minor"/>
    </font>
    <font>
      <sz val="10"/>
      <name val="Arial"/>
      <family val="2"/>
    </font>
    <font>
      <sz val="12"/>
      <color theme="1"/>
      <name val="Times New Roman"/>
      <family val="1"/>
    </font>
    <font>
      <b/>
      <sz val="12"/>
      <color theme="1"/>
      <name val="Times New Roman"/>
      <family val="1"/>
    </font>
    <font>
      <b/>
      <sz val="14"/>
      <color theme="1"/>
      <name val="Times New Roman"/>
      <family val="1"/>
    </font>
    <font>
      <vertAlign val="superscript"/>
      <sz val="12"/>
      <color theme="1"/>
      <name val="Times New Roman"/>
      <family val="1"/>
    </font>
    <font>
      <b/>
      <vertAlign val="subscript"/>
      <sz val="12"/>
      <color theme="1"/>
      <name val="Times New Roman"/>
      <family val="1"/>
    </font>
    <font>
      <b/>
      <sz val="16"/>
      <color theme="1"/>
      <name val="Times New Roman"/>
      <family val="1"/>
    </font>
    <font>
      <sz val="12"/>
      <name val="Times New Roman"/>
      <family val="1"/>
    </font>
    <font>
      <sz val="14"/>
      <color theme="1"/>
      <name val="Times New Roman"/>
      <family val="1"/>
    </font>
    <font>
      <b/>
      <sz val="12"/>
      <name val="Times New Roman"/>
      <family val="1"/>
    </font>
    <font>
      <sz val="11"/>
      <color theme="1"/>
      <name val="Calibri"/>
      <family val="2"/>
      <scheme val="minor"/>
    </font>
    <font>
      <sz val="12"/>
      <name val="Helv"/>
    </font>
    <font>
      <b/>
      <sz val="12"/>
      <name val="Helv"/>
    </font>
    <font>
      <b/>
      <sz val="16"/>
      <name val="Helv"/>
      <family val="2"/>
    </font>
    <font>
      <b/>
      <sz val="11"/>
      <name val="Helv"/>
    </font>
    <font>
      <sz val="12"/>
      <color indexed="10"/>
      <name val="Helv"/>
    </font>
    <font>
      <sz val="12"/>
      <color rgb="FFFF0000"/>
      <name val="Helv"/>
    </font>
    <font>
      <sz val="12"/>
      <color indexed="8"/>
      <name val="Helv"/>
    </font>
    <font>
      <b/>
      <sz val="12"/>
      <color rgb="FFFF0000"/>
      <name val="Helv"/>
    </font>
    <font>
      <sz val="12"/>
      <color indexed="15"/>
      <name val="Helv"/>
    </font>
    <font>
      <sz val="11"/>
      <name val="Helv"/>
    </font>
    <font>
      <b/>
      <sz val="12"/>
      <color indexed="10"/>
      <name val="Helv"/>
    </font>
    <font>
      <sz val="12"/>
      <color rgb="FF7030A0"/>
      <name val="Helv"/>
    </font>
    <font>
      <sz val="12"/>
      <color indexed="14"/>
      <name val="Helv"/>
    </font>
    <font>
      <sz val="12"/>
      <color theme="5" tint="-0.249977111117893"/>
      <name val="Helv"/>
    </font>
    <font>
      <sz val="12"/>
      <color rgb="FFFFFF00"/>
      <name val="Helv"/>
    </font>
    <font>
      <sz val="12"/>
      <color rgb="FF0070C0"/>
      <name val="Helv"/>
    </font>
    <font>
      <sz val="12"/>
      <color theme="3" tint="0.39997558519241921"/>
      <name val="Helv"/>
    </font>
    <font>
      <sz val="12"/>
      <color indexed="11"/>
      <name val="Helv"/>
    </font>
    <font>
      <sz val="12"/>
      <color indexed="13"/>
      <name val="Helv"/>
    </font>
    <font>
      <sz val="12"/>
      <color theme="9" tint="0.59999389629810485"/>
      <name val="Helv"/>
    </font>
    <font>
      <sz val="12"/>
      <color rgb="FF92D050"/>
      <name val="Helv"/>
    </font>
    <font>
      <b/>
      <sz val="12"/>
      <color indexed="8"/>
      <name val="Helv"/>
    </font>
    <font>
      <sz val="20"/>
      <name val="Helv"/>
    </font>
    <font>
      <b/>
      <sz val="20"/>
      <name val="Helv"/>
    </font>
    <font>
      <b/>
      <sz val="12"/>
      <color theme="0"/>
      <name val="Helv"/>
    </font>
    <font>
      <b/>
      <sz val="12"/>
      <color indexed="13"/>
      <name val="Helv"/>
    </font>
    <font>
      <sz val="12"/>
      <color indexed="12"/>
      <name val="Helv"/>
    </font>
    <font>
      <sz val="11"/>
      <name val="Calibri"/>
      <family val="2"/>
    </font>
    <font>
      <sz val="12"/>
      <color rgb="FF00B0F0"/>
      <name val="Helv"/>
    </font>
    <font>
      <sz val="12"/>
      <color indexed="16"/>
      <name val="Helv"/>
    </font>
    <font>
      <b/>
      <sz val="15"/>
      <color indexed="12"/>
      <name val="Helv"/>
    </font>
    <font>
      <b/>
      <sz val="15"/>
      <name val="Helv"/>
    </font>
    <font>
      <sz val="12"/>
      <color indexed="57"/>
      <name val="Helv"/>
    </font>
    <font>
      <b/>
      <sz val="12"/>
      <color rgb="FFFFFF00"/>
      <name val="Helv"/>
    </font>
    <font>
      <b/>
      <sz val="10"/>
      <name val="Arial"/>
      <family val="2"/>
    </font>
    <font>
      <sz val="12"/>
      <color rgb="FFC00000"/>
      <name val="Helv"/>
    </font>
    <font>
      <b/>
      <sz val="12"/>
      <color indexed="12"/>
      <name val="Helv"/>
    </font>
    <font>
      <b/>
      <sz val="14"/>
      <name val="Helv"/>
    </font>
    <font>
      <sz val="12"/>
      <color theme="5"/>
      <name val="Helv"/>
    </font>
    <font>
      <sz val="16"/>
      <name val="Helv"/>
    </font>
    <font>
      <b/>
      <sz val="16"/>
      <name val="Helv"/>
    </font>
    <font>
      <sz val="16"/>
      <color indexed="16"/>
      <name val="Helv"/>
    </font>
    <font>
      <sz val="16"/>
      <color rgb="FFFFFF00"/>
      <name val="Helv"/>
    </font>
    <font>
      <b/>
      <sz val="16"/>
      <color indexed="13"/>
      <name val="Helv"/>
    </font>
    <font>
      <sz val="12"/>
      <name val="Arial"/>
      <family val="2"/>
    </font>
    <font>
      <sz val="12"/>
      <color theme="7" tint="-0.249977111117893"/>
      <name val="Helv"/>
    </font>
    <font>
      <sz val="13"/>
      <name val="Arial"/>
      <family val="2"/>
    </font>
    <font>
      <b/>
      <sz val="13"/>
      <name val="Arial"/>
      <family val="2"/>
    </font>
    <font>
      <sz val="12"/>
      <color indexed="9"/>
      <name val="Helv"/>
    </font>
    <font>
      <b/>
      <sz val="12"/>
      <name val="Helv"/>
      <family val="2"/>
    </font>
    <font>
      <sz val="12"/>
      <color theme="0"/>
      <name val="Helv"/>
    </font>
    <font>
      <sz val="14"/>
      <name val="Arial"/>
      <family val="2"/>
    </font>
    <font>
      <b/>
      <sz val="14"/>
      <name val="Arial"/>
      <family val="2"/>
    </font>
    <font>
      <sz val="12"/>
      <color theme="8" tint="-0.249977111117893"/>
      <name val="Helv"/>
    </font>
    <font>
      <b/>
      <sz val="12"/>
      <name val="Arial"/>
      <family val="2"/>
    </font>
    <font>
      <sz val="11"/>
      <color indexed="57"/>
      <name val="Helv"/>
    </font>
    <font>
      <sz val="12"/>
      <color rgb="FFFFFF00"/>
      <name val="Arial"/>
      <family val="2"/>
    </font>
    <font>
      <sz val="12"/>
      <color theme="1"/>
      <name val="Arial"/>
      <family val="2"/>
    </font>
    <font>
      <sz val="12"/>
      <color indexed="12"/>
      <name val="Arial"/>
      <family val="2"/>
    </font>
    <font>
      <sz val="12"/>
      <color indexed="10"/>
      <name val="Arial"/>
      <family val="2"/>
    </font>
    <font>
      <sz val="12"/>
      <color indexed="13"/>
      <name val="Arial"/>
      <family val="2"/>
    </font>
    <font>
      <sz val="11"/>
      <color indexed="10"/>
      <name val="Helv"/>
    </font>
    <font>
      <sz val="12"/>
      <color theme="1"/>
      <name val="Helv"/>
    </font>
    <font>
      <sz val="11"/>
      <color rgb="FFC00000"/>
      <name val="Helv"/>
    </font>
    <font>
      <sz val="11"/>
      <color rgb="FFFFFF00"/>
      <name val="Helv"/>
    </font>
    <font>
      <b/>
      <sz val="12"/>
      <color theme="1"/>
      <name val="Helv"/>
    </font>
    <font>
      <sz val="12"/>
      <color theme="1" tint="4.9989318521683403E-2"/>
      <name val="Helv"/>
    </font>
    <font>
      <b/>
      <sz val="12"/>
      <color theme="1" tint="4.9989318521683403E-2"/>
      <name val="Helv"/>
    </font>
    <font>
      <sz val="12"/>
      <color rgb="FFFF0000"/>
      <name val="Arial"/>
      <family val="2"/>
    </font>
    <font>
      <b/>
      <sz val="12"/>
      <color indexed="14"/>
      <name val="Helv"/>
    </font>
    <font>
      <b/>
      <u/>
      <sz val="13"/>
      <name val="Arial"/>
      <family val="2"/>
    </font>
    <font>
      <vertAlign val="superscript"/>
      <sz val="12"/>
      <name val="Helv"/>
    </font>
    <font>
      <sz val="14"/>
      <color rgb="FFFF0000"/>
      <name val="Arial"/>
      <family val="2"/>
    </font>
    <font>
      <sz val="11"/>
      <name val="Arial"/>
      <family val="2"/>
    </font>
    <font>
      <sz val="12"/>
      <color indexed="17"/>
      <name val="Helv"/>
    </font>
    <font>
      <b/>
      <u/>
      <sz val="12"/>
      <name val="Helv"/>
    </font>
    <font>
      <sz val="13"/>
      <color rgb="FFFFFF00"/>
      <name val="Arial"/>
      <family val="2"/>
    </font>
    <font>
      <sz val="11"/>
      <color indexed="8"/>
      <name val="Arial"/>
      <family val="2"/>
    </font>
    <font>
      <b/>
      <sz val="11"/>
      <color indexed="8"/>
      <name val="Arial"/>
      <family val="2"/>
    </font>
    <font>
      <b/>
      <sz val="11"/>
      <color theme="1"/>
      <name val="Calibri"/>
      <family val="2"/>
      <scheme val="minor"/>
    </font>
    <font>
      <b/>
      <sz val="12"/>
      <color theme="1"/>
      <name val="Arial"/>
      <family val="2"/>
    </font>
    <font>
      <b/>
      <sz val="14"/>
      <color theme="1"/>
      <name val="Calibri"/>
      <family val="2"/>
      <scheme val="minor"/>
    </font>
    <font>
      <sz val="13"/>
      <color theme="1"/>
      <name val="Arial"/>
      <family val="2"/>
    </font>
    <font>
      <b/>
      <sz val="13"/>
      <color theme="1"/>
      <name val="Arial"/>
      <family val="2"/>
    </font>
    <font>
      <sz val="14"/>
      <color rgb="FFFFFF00"/>
      <name val="Arial"/>
      <family val="2"/>
    </font>
    <font>
      <b/>
      <sz val="12"/>
      <color theme="0"/>
      <name val="Arial"/>
      <family val="2"/>
    </font>
    <font>
      <sz val="12"/>
      <color rgb="FFFF0000"/>
      <name val="Times New Roman"/>
      <family val="1"/>
    </font>
    <font>
      <b/>
      <sz val="13"/>
      <color theme="1"/>
      <name val="Times New Roman"/>
      <family val="1"/>
    </font>
    <font>
      <sz val="13"/>
      <color theme="1"/>
      <name val="Times New Roman"/>
      <family val="1"/>
    </font>
    <font>
      <b/>
      <sz val="13"/>
      <color indexed="8"/>
      <name val="Times New Roman"/>
      <family val="1"/>
    </font>
    <font>
      <sz val="13"/>
      <color indexed="8"/>
      <name val="Times New Roman"/>
      <family val="1"/>
    </font>
    <font>
      <sz val="13"/>
      <name val="Times New Roman"/>
      <family val="1"/>
    </font>
    <font>
      <b/>
      <sz val="13"/>
      <name val="Times New Roman"/>
      <family val="1"/>
    </font>
    <font>
      <vertAlign val="superscript"/>
      <sz val="13"/>
      <color theme="1"/>
      <name val="Times New Roman"/>
      <family val="1"/>
    </font>
    <font>
      <sz val="13"/>
      <color rgb="FF000000"/>
      <name val="Times New Roman"/>
      <family val="1"/>
    </font>
    <font>
      <sz val="11"/>
      <color theme="1"/>
      <name val="Times New Roman"/>
      <family val="1"/>
    </font>
    <font>
      <b/>
      <sz val="11"/>
      <color theme="1"/>
      <name val="Times New Roman"/>
      <family val="1"/>
    </font>
    <font>
      <b/>
      <sz val="14"/>
      <name val="Times New Roman"/>
      <family val="1"/>
    </font>
    <font>
      <b/>
      <u/>
      <sz val="12"/>
      <color theme="1"/>
      <name val="Times New Roman"/>
      <family val="1"/>
    </font>
    <font>
      <sz val="9"/>
      <name val="Times New Roman"/>
      <family val="1"/>
    </font>
    <font>
      <vertAlign val="superscript"/>
      <sz val="13"/>
      <color indexed="8"/>
      <name val="Times New Roman"/>
      <family val="1"/>
    </font>
    <font>
      <b/>
      <sz val="12"/>
      <color indexed="8"/>
      <name val="Times New Roman"/>
      <family val="1"/>
    </font>
    <font>
      <sz val="12"/>
      <color indexed="8"/>
      <name val="Times New Roman"/>
      <family val="1"/>
    </font>
    <font>
      <sz val="12"/>
      <color rgb="FF000000"/>
      <name val="Times New Roman"/>
      <family val="1"/>
    </font>
    <font>
      <b/>
      <vertAlign val="superscript"/>
      <sz val="12"/>
      <color theme="1"/>
      <name val="Times New Roman"/>
      <family val="1"/>
    </font>
    <font>
      <i/>
      <sz val="20"/>
      <name val="Times New Roman"/>
      <family val="1"/>
    </font>
    <font>
      <sz val="20"/>
      <name val="Times New Roman"/>
      <family val="1"/>
    </font>
    <font>
      <b/>
      <sz val="18"/>
      <name val="Times New Roman"/>
      <family val="1"/>
    </font>
    <font>
      <sz val="18"/>
      <name val="Times New Roman"/>
      <family val="1"/>
    </font>
    <font>
      <i/>
      <sz val="18"/>
      <name val="Times New Roman"/>
      <family val="1"/>
    </font>
    <font>
      <b/>
      <sz val="18"/>
      <color rgb="FFFF0000"/>
      <name val="Times New Roman"/>
      <family val="1"/>
    </font>
    <font>
      <sz val="18"/>
      <color theme="1"/>
      <name val="Times New Roman"/>
      <family val="1"/>
    </font>
    <font>
      <sz val="18"/>
      <color rgb="FFFF0000"/>
      <name val="Times New Roman"/>
      <family val="1"/>
    </font>
    <font>
      <b/>
      <sz val="18"/>
      <color theme="1"/>
      <name val="Times New Roman"/>
      <family val="1"/>
    </font>
    <font>
      <i/>
      <sz val="18"/>
      <color theme="1"/>
      <name val="Times New Roman"/>
      <family val="1"/>
    </font>
    <font>
      <sz val="18"/>
      <color theme="0"/>
      <name val="Times New Roman"/>
      <family val="1"/>
    </font>
    <font>
      <b/>
      <sz val="20"/>
      <name val="Times New Roman"/>
      <family val="1"/>
    </font>
    <font>
      <b/>
      <sz val="20"/>
      <name val="Arial"/>
      <family val="2"/>
    </font>
    <font>
      <i/>
      <sz val="20"/>
      <name val="Arial"/>
      <family val="2"/>
    </font>
    <font>
      <sz val="20"/>
      <name val="Arial"/>
      <family val="2"/>
    </font>
    <font>
      <b/>
      <sz val="18"/>
      <name val="Arial"/>
      <family val="2"/>
    </font>
    <font>
      <sz val="18"/>
      <name val="Arial"/>
      <family val="2"/>
    </font>
    <font>
      <i/>
      <sz val="18"/>
      <name val="Arial"/>
      <family val="2"/>
    </font>
    <font>
      <b/>
      <sz val="18"/>
      <color rgb="FFFF0000"/>
      <name val="Arial"/>
      <family val="2"/>
    </font>
    <font>
      <sz val="10"/>
      <name val="Arial"/>
      <family val="2"/>
    </font>
    <font>
      <sz val="18"/>
      <color rgb="FFFF0000"/>
      <name val="Arial"/>
      <family val="2"/>
    </font>
    <font>
      <sz val="18"/>
      <color theme="0"/>
      <name val="Arial"/>
      <family val="2"/>
    </font>
    <font>
      <sz val="18"/>
      <color theme="1"/>
      <name val="Arial"/>
      <family val="2"/>
    </font>
    <font>
      <i/>
      <sz val="20"/>
      <color theme="1"/>
      <name val="Arial"/>
      <family val="2"/>
    </font>
    <font>
      <i/>
      <sz val="17"/>
      <color theme="1"/>
      <name val="Arial"/>
      <family val="2"/>
    </font>
    <font>
      <sz val="17"/>
      <name val="Arial"/>
      <family val="2"/>
    </font>
    <font>
      <sz val="20"/>
      <color theme="1"/>
      <name val="Arial"/>
      <family val="2"/>
    </font>
    <font>
      <sz val="20"/>
      <color theme="0"/>
      <name val="Arial"/>
      <family val="2"/>
    </font>
    <font>
      <sz val="20"/>
      <color rgb="FFFF0000"/>
      <name val="Arial"/>
      <family val="2"/>
    </font>
    <font>
      <b/>
      <sz val="18"/>
      <color theme="1"/>
      <name val="Arial"/>
      <family val="2"/>
    </font>
    <font>
      <i/>
      <sz val="17"/>
      <name val="Arial"/>
      <family val="2"/>
    </font>
    <font>
      <b/>
      <sz val="19"/>
      <name val="Arial"/>
      <family val="2"/>
    </font>
    <font>
      <b/>
      <sz val="17"/>
      <name val="Arial"/>
      <family val="2"/>
    </font>
    <font>
      <sz val="16"/>
      <name val="Arial"/>
      <family val="2"/>
    </font>
    <font>
      <b/>
      <sz val="16"/>
      <name val="Arial"/>
      <family val="2"/>
    </font>
    <font>
      <sz val="19"/>
      <name val="Arial"/>
      <family val="2"/>
    </font>
    <font>
      <b/>
      <i/>
      <sz val="17"/>
      <color theme="1"/>
      <name val="Arial"/>
      <family val="2"/>
    </font>
    <font>
      <sz val="16.5"/>
      <name val="Arial"/>
      <family val="2"/>
    </font>
    <font>
      <sz val="17"/>
      <color theme="1"/>
      <name val="Arial"/>
      <family val="2"/>
    </font>
    <font>
      <sz val="17"/>
      <name val="Book Antiqua"/>
      <family val="1"/>
    </font>
    <font>
      <sz val="17"/>
      <color rgb="FFFF0000"/>
      <name val="Book Antiqua"/>
      <family val="1"/>
    </font>
    <font>
      <sz val="18"/>
      <color rgb="FF0070C0"/>
      <name val="Arial"/>
      <family val="2"/>
    </font>
    <font>
      <b/>
      <sz val="18"/>
      <color indexed="8"/>
      <name val="Arial"/>
      <family val="2"/>
    </font>
    <font>
      <b/>
      <u/>
      <sz val="12"/>
      <name val="Arial"/>
      <family val="2"/>
    </font>
    <font>
      <b/>
      <u/>
      <sz val="12"/>
      <color theme="0"/>
      <name val="Arial"/>
      <family val="2"/>
    </font>
    <font>
      <u/>
      <sz val="12"/>
      <name val="Arial"/>
      <family val="2"/>
    </font>
    <font>
      <sz val="12"/>
      <name val="Arial Narrow"/>
      <family val="2"/>
    </font>
    <font>
      <u/>
      <sz val="12"/>
      <name val="Arial Narrow"/>
      <family val="2"/>
    </font>
    <font>
      <b/>
      <sz val="12"/>
      <name val="Arial Narrow"/>
      <family val="2"/>
    </font>
    <font>
      <sz val="12"/>
      <color theme="0"/>
      <name val="Arial"/>
      <family val="2"/>
    </font>
    <font>
      <sz val="13"/>
      <name val="Arial Narrow"/>
      <family val="2"/>
    </font>
    <font>
      <sz val="12"/>
      <color theme="1"/>
      <name val="Arial Narrow"/>
      <family val="2"/>
    </font>
    <font>
      <b/>
      <sz val="9"/>
      <name val="Arial"/>
      <family val="2"/>
    </font>
    <font>
      <sz val="10"/>
      <color indexed="10"/>
      <name val="Arial"/>
      <family val="2"/>
    </font>
    <font>
      <sz val="10"/>
      <color rgb="FFFF0000"/>
      <name val="Arial"/>
      <family val="2"/>
    </font>
    <font>
      <sz val="8"/>
      <name val="Arial"/>
      <family val="2"/>
    </font>
    <font>
      <b/>
      <sz val="11"/>
      <name val="Arial"/>
      <family val="2"/>
    </font>
    <font>
      <b/>
      <u/>
      <sz val="14"/>
      <name val="Helv"/>
    </font>
    <font>
      <u/>
      <sz val="12"/>
      <name val="Helv"/>
    </font>
    <font>
      <sz val="12"/>
      <color rgb="FFFFC000"/>
      <name val="Helv"/>
    </font>
    <font>
      <b/>
      <sz val="12"/>
      <color indexed="10"/>
      <name val="Arial"/>
      <family val="2"/>
    </font>
    <font>
      <sz val="11.9"/>
      <name val="Helv"/>
    </font>
    <font>
      <sz val="10"/>
      <color rgb="FFFFFF00"/>
      <name val="Arial"/>
      <family val="2"/>
    </font>
    <font>
      <vertAlign val="superscript"/>
      <sz val="10"/>
      <name val="Arial"/>
      <family val="2"/>
    </font>
    <font>
      <sz val="10"/>
      <name val="Helv"/>
    </font>
    <font>
      <sz val="14"/>
      <name val="Times New Roman"/>
      <family val="1"/>
    </font>
    <font>
      <sz val="14"/>
      <color theme="1"/>
      <name val="Arial"/>
      <family val="2"/>
    </font>
    <font>
      <b/>
      <sz val="14"/>
      <color theme="1"/>
      <name val="Arial"/>
      <family val="2"/>
    </font>
    <font>
      <sz val="14"/>
      <color rgb="FF0070C0"/>
      <name val="Arial"/>
      <family val="2"/>
    </font>
    <font>
      <b/>
      <sz val="11.5"/>
      <color theme="1"/>
      <name val="Times New Roman"/>
      <family val="1"/>
    </font>
    <font>
      <sz val="11.5"/>
      <color theme="1"/>
      <name val="Times New Roman"/>
      <family val="1"/>
    </font>
    <font>
      <b/>
      <sz val="11.5"/>
      <color indexed="8"/>
      <name val="Times New Roman"/>
      <family val="1"/>
    </font>
    <font>
      <sz val="11.5"/>
      <color indexed="8"/>
      <name val="Times New Roman"/>
      <family val="1"/>
    </font>
    <font>
      <b/>
      <sz val="11.5"/>
      <name val="Times New Roman"/>
      <family val="1"/>
    </font>
    <font>
      <sz val="11.5"/>
      <name val="Times New Roman"/>
      <family val="1"/>
    </font>
    <font>
      <vertAlign val="superscript"/>
      <sz val="11.5"/>
      <color theme="1"/>
      <name val="Times New Roman"/>
      <family val="1"/>
    </font>
    <font>
      <sz val="11.5"/>
      <color rgb="FF000000"/>
      <name val="Times New Roman"/>
      <family val="1"/>
    </font>
    <font>
      <b/>
      <sz val="14"/>
      <color indexed="8"/>
      <name val="Times New Roman"/>
      <family val="1"/>
    </font>
    <font>
      <sz val="14"/>
      <color indexed="8"/>
      <name val="Times New Roman"/>
      <family val="1"/>
    </font>
    <font>
      <b/>
      <u/>
      <sz val="14"/>
      <name val="Times New Roman"/>
      <family val="1"/>
    </font>
    <font>
      <sz val="12"/>
      <color theme="1"/>
      <name val="Calibri"/>
      <family val="2"/>
      <scheme val="minor"/>
    </font>
    <font>
      <i/>
      <sz val="12"/>
      <color theme="1"/>
      <name val="Times New Roman"/>
      <family val="1"/>
    </font>
    <font>
      <b/>
      <i/>
      <sz val="12"/>
      <color theme="1"/>
      <name val="Times New Roman"/>
      <family val="1"/>
    </font>
    <font>
      <i/>
      <sz val="11"/>
      <color theme="1"/>
      <name val="Times New Roman"/>
      <family val="1"/>
    </font>
    <font>
      <b/>
      <u/>
      <sz val="12"/>
      <name val="Times New Roman"/>
      <family val="1"/>
    </font>
    <font>
      <vertAlign val="superscript"/>
      <sz val="12"/>
      <name val="Times New Roman"/>
      <family val="1"/>
    </font>
    <font>
      <sz val="11"/>
      <color indexed="8"/>
      <name val="Calibri"/>
      <family val="2"/>
    </font>
    <font>
      <u/>
      <sz val="11"/>
      <color theme="10"/>
      <name val="Calibri"/>
      <family val="2"/>
    </font>
    <font>
      <b/>
      <i/>
      <sz val="16"/>
      <name val="Helv"/>
    </font>
    <font>
      <sz val="11"/>
      <color theme="1"/>
      <name val="Calibri"/>
      <family val="2"/>
      <charset val="1"/>
      <scheme val="minor"/>
    </font>
    <font>
      <sz val="11"/>
      <color rgb="FF000000"/>
      <name val="Calibri"/>
      <family val="2"/>
    </font>
    <font>
      <sz val="10"/>
      <name val="Helv"/>
      <charset val="204"/>
    </font>
    <font>
      <b/>
      <sz val="11"/>
      <name val="Times New Roman"/>
      <family val="1"/>
    </font>
    <font>
      <sz val="10"/>
      <name val="Arial"/>
    </font>
    <font>
      <sz val="16"/>
      <color theme="1"/>
      <name val="Arial"/>
      <family val="2"/>
    </font>
  </fonts>
  <fills count="16">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indexed="10"/>
        <bgColor indexed="64"/>
      </patternFill>
    </fill>
    <fill>
      <patternFill patternType="solid">
        <fgColor rgb="FFC00000"/>
        <bgColor indexed="64"/>
      </patternFill>
    </fill>
    <fill>
      <patternFill patternType="solid">
        <fgColor rgb="FFFF0000"/>
        <bgColor indexed="64"/>
      </patternFill>
    </fill>
    <fill>
      <patternFill patternType="solid">
        <fgColor indexed="53"/>
        <bgColor indexed="64"/>
      </patternFill>
    </fill>
    <fill>
      <patternFill patternType="solid">
        <fgColor indexed="13"/>
        <bgColor indexed="64"/>
      </patternFill>
    </fill>
    <fill>
      <patternFill patternType="solid">
        <fgColor indexed="9"/>
        <bgColor indexed="64"/>
      </patternFill>
    </fill>
    <fill>
      <patternFill patternType="solid">
        <fgColor indexed="46"/>
        <bgColor indexed="64"/>
      </patternFill>
    </fill>
    <fill>
      <patternFill patternType="solid">
        <fgColor rgb="FFFFC000"/>
        <bgColor indexed="64"/>
      </patternFill>
    </fill>
    <fill>
      <patternFill patternType="solid">
        <fgColor rgb="FF92D050"/>
        <bgColor indexed="64"/>
      </patternFill>
    </fill>
    <fill>
      <patternFill patternType="solid">
        <fgColor rgb="FFFFFF00"/>
        <bgColor rgb="FF000000"/>
      </patternFill>
    </fill>
    <fill>
      <patternFill patternType="solid">
        <fgColor indexed="22"/>
        <bgColor indexed="64"/>
      </patternFill>
    </fill>
    <fill>
      <patternFill patternType="solid">
        <fgColor indexed="26"/>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hair">
        <color indexed="64"/>
      </left>
      <right style="hair">
        <color indexed="64"/>
      </right>
      <top style="hair">
        <color indexed="64"/>
      </top>
      <bottom style="hair">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top style="double">
        <color indexed="64"/>
      </top>
      <bottom/>
      <diagonal/>
    </border>
    <border>
      <left/>
      <right/>
      <top/>
      <bottom style="double">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hair">
        <color indexed="64"/>
      </left>
      <right style="hair">
        <color indexed="64"/>
      </right>
      <top style="hair">
        <color indexed="64"/>
      </top>
      <bottom/>
      <diagonal/>
    </border>
    <border>
      <left/>
      <right/>
      <top style="hair">
        <color indexed="64"/>
      </top>
      <bottom/>
      <diagonal/>
    </border>
    <border>
      <left style="thin">
        <color indexed="64"/>
      </left>
      <right style="thin">
        <color indexed="64"/>
      </right>
      <top/>
      <bottom style="thin">
        <color indexed="64"/>
      </bottom>
      <diagonal/>
    </border>
    <border>
      <left style="hair">
        <color indexed="64"/>
      </left>
      <right style="hair">
        <color indexed="64"/>
      </right>
      <top/>
      <bottom/>
      <diagonal/>
    </border>
    <border>
      <left style="dotted">
        <color indexed="64"/>
      </left>
      <right style="dotted">
        <color indexed="64"/>
      </right>
      <top/>
      <bottom style="dotted">
        <color indexed="64"/>
      </bottom>
      <diagonal/>
    </border>
    <border>
      <left style="dotted">
        <color indexed="64"/>
      </left>
      <right style="dotted">
        <color indexed="64"/>
      </right>
      <top style="dotted">
        <color indexed="64"/>
      </top>
      <bottom style="dotted">
        <color indexed="64"/>
      </bottom>
      <diagonal/>
    </border>
  </borders>
  <cellStyleXfs count="110">
    <xf numFmtId="0" fontId="0" fillId="0" borderId="0"/>
    <xf numFmtId="0" fontId="1" fillId="0" borderId="0"/>
    <xf numFmtId="0" fontId="1" fillId="0" borderId="0"/>
    <xf numFmtId="0" fontId="1" fillId="0" borderId="0"/>
    <xf numFmtId="169" fontId="12" fillId="0" borderId="0"/>
    <xf numFmtId="0" fontId="39" fillId="0" borderId="0">
      <alignment vertical="center"/>
    </xf>
    <xf numFmtId="0" fontId="1" fillId="0" borderId="0"/>
    <xf numFmtId="169" fontId="12"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165" fontId="12" fillId="0" borderId="0"/>
    <xf numFmtId="0" fontId="1" fillId="0" borderId="0"/>
    <xf numFmtId="0" fontId="1" fillId="0" borderId="0"/>
    <xf numFmtId="0" fontId="11" fillId="0" borderId="0"/>
    <xf numFmtId="0" fontId="1" fillId="0" borderId="0"/>
    <xf numFmtId="165" fontId="12" fillId="0" borderId="0"/>
    <xf numFmtId="0" fontId="11" fillId="0" borderId="0"/>
    <xf numFmtId="0" fontId="11" fillId="0" borderId="0"/>
    <xf numFmtId="9" fontId="1" fillId="0" borderId="0" applyFont="0" applyFill="0" applyBorder="0" applyAlignment="0" applyProtection="0"/>
    <xf numFmtId="9" fontId="11" fillId="0" borderId="0" applyFont="0" applyFill="0" applyBorder="0" applyAlignment="0" applyProtection="0"/>
    <xf numFmtId="0" fontId="1" fillId="0" borderId="0"/>
    <xf numFmtId="0" fontId="1" fillId="0" borderId="0"/>
    <xf numFmtId="42" fontId="12" fillId="0" borderId="0"/>
    <xf numFmtId="0" fontId="11" fillId="0" borderId="0"/>
    <xf numFmtId="0" fontId="11" fillId="0" borderId="0"/>
    <xf numFmtId="175" fontId="12" fillId="0" borderId="0"/>
    <xf numFmtId="0" fontId="1" fillId="0" borderId="0"/>
    <xf numFmtId="0" fontId="136" fillId="0" borderId="0"/>
    <xf numFmtId="9" fontId="136" fillId="0" borderId="0" applyFont="0" applyFill="0" applyBorder="0" applyAlignment="0" applyProtection="0"/>
    <xf numFmtId="0" fontId="1" fillId="0" borderId="0"/>
    <xf numFmtId="6" fontId="203" fillId="0" borderId="0" applyFont="0" applyFill="0" applyBorder="0" applyAlignment="0" applyProtection="0"/>
    <xf numFmtId="177" fontId="111" fillId="0" borderId="0" applyFont="0" applyFill="0" applyBorder="0" applyAlignment="0" applyProtection="0"/>
    <xf numFmtId="43" fontId="1" fillId="0" borderId="0" applyFont="0" applyFill="0" applyBorder="0" applyAlignment="0" applyProtection="0"/>
    <xf numFmtId="38" fontId="172" fillId="14" borderId="0" applyNumberFormat="0" applyBorder="0" applyAlignment="0" applyProtection="0"/>
    <xf numFmtId="0" fontId="204" fillId="0" borderId="0" applyNumberFormat="0" applyFill="0" applyBorder="0" applyAlignment="0" applyProtection="0">
      <alignment vertical="top"/>
      <protection locked="0"/>
    </xf>
    <xf numFmtId="10" fontId="172" fillId="15" borderId="1" applyNumberFormat="0" applyBorder="0" applyAlignment="0" applyProtection="0"/>
    <xf numFmtId="165" fontId="205" fillId="0" borderId="0"/>
    <xf numFmtId="0" fontId="1" fillId="0" borderId="0"/>
    <xf numFmtId="0" fontId="11" fillId="0" borderId="0"/>
    <xf numFmtId="0" fontId="11" fillId="0" borderId="0"/>
    <xf numFmtId="0" fontId="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 fillId="0" borderId="0"/>
    <xf numFmtId="0" fontId="1" fillId="0" borderId="0"/>
    <xf numFmtId="0" fontId="1" fillId="0" borderId="0"/>
    <xf numFmtId="0" fontId="1" fillId="0" borderId="0">
      <protection locked="0"/>
    </xf>
    <xf numFmtId="0" fontId="1" fillId="0" borderId="0"/>
    <xf numFmtId="0" fontId="1" fillId="0" borderId="0"/>
    <xf numFmtId="0" fontId="1" fillId="0" borderId="0"/>
    <xf numFmtId="170" fontId="12" fillId="0" borderId="0"/>
    <xf numFmtId="178" fontId="12" fillId="0" borderId="0"/>
    <xf numFmtId="0" fontId="1" fillId="0" borderId="0"/>
    <xf numFmtId="170" fontId="12" fillId="0" borderId="0"/>
    <xf numFmtId="0" fontId="11" fillId="0" borderId="0"/>
    <xf numFmtId="0" fontId="206" fillId="0" borderId="0"/>
    <xf numFmtId="0" fontId="206" fillId="0" borderId="0"/>
    <xf numFmtId="0" fontId="206" fillId="0" borderId="0"/>
    <xf numFmtId="0" fontId="206" fillId="0" borderId="0"/>
    <xf numFmtId="0" fontId="206" fillId="0" borderId="0"/>
    <xf numFmtId="0" fontId="206" fillId="0" borderId="0"/>
    <xf numFmtId="0" fontId="11" fillId="0" borderId="0"/>
    <xf numFmtId="0" fontId="1" fillId="0" borderId="0"/>
    <xf numFmtId="0" fontId="11" fillId="0" borderId="0"/>
    <xf numFmtId="0" fontId="1" fillId="0" borderId="0"/>
    <xf numFmtId="0" fontId="11" fillId="0" borderId="0"/>
    <xf numFmtId="0" fontId="11" fillId="0" borderId="0"/>
    <xf numFmtId="0" fontId="11" fillId="0" borderId="0"/>
    <xf numFmtId="0" fontId="11" fillId="0" borderId="0"/>
    <xf numFmtId="0" fontId="11" fillId="0" borderId="0"/>
    <xf numFmtId="165" fontId="12" fillId="0" borderId="0"/>
    <xf numFmtId="0" fontId="11" fillId="0" borderId="0"/>
    <xf numFmtId="0" fontId="11" fillId="0" borderId="0"/>
    <xf numFmtId="179" fontId="12" fillId="0" borderId="0"/>
    <xf numFmtId="0" fontId="39" fillId="0" borderId="0">
      <alignment vertical="center"/>
    </xf>
    <xf numFmtId="0" fontId="39" fillId="0" borderId="0">
      <alignment vertical="center"/>
    </xf>
    <xf numFmtId="180" fontId="12" fillId="0" borderId="0"/>
    <xf numFmtId="0" fontId="39" fillId="0" borderId="0">
      <alignment vertical="center"/>
    </xf>
    <xf numFmtId="0" fontId="39" fillId="0" borderId="0">
      <alignment vertical="center"/>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07" fillId="0" borderId="0"/>
    <xf numFmtId="0" fontId="1" fillId="0" borderId="0"/>
    <xf numFmtId="0" fontId="1" fillId="0" borderId="0"/>
    <xf numFmtId="0" fontId="111" fillId="0" borderId="0"/>
    <xf numFmtId="0" fontId="111" fillId="0" borderId="0"/>
    <xf numFmtId="0" fontId="11" fillId="0" borderId="0"/>
    <xf numFmtId="0" fontId="1" fillId="0" borderId="0"/>
    <xf numFmtId="10" fontId="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208" fillId="0" borderId="0"/>
    <xf numFmtId="40" fontId="209" fillId="0" borderId="0"/>
  </cellStyleXfs>
  <cellXfs count="2133">
    <xf numFmtId="0" fontId="0" fillId="0" borderId="0" xfId="0"/>
    <xf numFmtId="0" fontId="2" fillId="0" borderId="1" xfId="0" applyFont="1" applyBorder="1" applyAlignment="1">
      <alignment vertical="center" wrapText="1"/>
    </xf>
    <xf numFmtId="0" fontId="2" fillId="0" borderId="1" xfId="0" applyFont="1" applyBorder="1" applyAlignment="1">
      <alignment horizontal="center" vertical="center" wrapText="1"/>
    </xf>
    <xf numFmtId="2" fontId="2" fillId="0" borderId="1" xfId="0" applyNumberFormat="1" applyFont="1" applyBorder="1" applyAlignment="1">
      <alignment horizontal="center" vertical="center" wrapText="1"/>
    </xf>
    <xf numFmtId="2" fontId="2" fillId="0" borderId="1" xfId="0" applyNumberFormat="1" applyFont="1" applyBorder="1" applyAlignment="1">
      <alignment vertical="center" wrapText="1"/>
    </xf>
    <xf numFmtId="2" fontId="4" fillId="0" borderId="1" xfId="0" applyNumberFormat="1" applyFont="1" applyBorder="1" applyAlignment="1">
      <alignment horizontal="center" vertical="center" wrapText="1"/>
    </xf>
    <xf numFmtId="0" fontId="3" fillId="0" borderId="1" xfId="0" applyFont="1" applyBorder="1" applyAlignment="1">
      <alignment horizontal="center" vertical="center" wrapText="1"/>
    </xf>
    <xf numFmtId="2" fontId="3" fillId="0" borderId="1" xfId="0" applyNumberFormat="1" applyFont="1" applyBorder="1" applyAlignment="1">
      <alignment vertical="center" wrapText="1"/>
    </xf>
    <xf numFmtId="164" fontId="3" fillId="0" borderId="1" xfId="0" applyNumberFormat="1" applyFont="1" applyBorder="1" applyAlignment="1">
      <alignment vertical="center" wrapText="1"/>
    </xf>
    <xf numFmtId="0" fontId="2" fillId="0" borderId="0" xfId="0" applyFont="1" applyAlignment="1">
      <alignment vertical="center" wrapText="1"/>
    </xf>
    <xf numFmtId="0" fontId="2" fillId="0" borderId="0" xfId="0" applyFont="1" applyAlignment="1">
      <alignment horizontal="center" vertical="center" wrapText="1"/>
    </xf>
    <xf numFmtId="2" fontId="2" fillId="0" borderId="0" xfId="0" applyNumberFormat="1" applyFont="1" applyAlignment="1">
      <alignment vertical="center" wrapText="1"/>
    </xf>
    <xf numFmtId="0" fontId="2" fillId="0" borderId="1" xfId="0" applyFont="1" applyBorder="1" applyAlignment="1">
      <alignment horizontal="left" vertical="center" wrapText="1"/>
    </xf>
    <xf numFmtId="2" fontId="2" fillId="0" borderId="1" xfId="0" applyNumberFormat="1" applyFont="1" applyBorder="1" applyAlignment="1">
      <alignment horizontal="right" vertical="center" wrapText="1"/>
    </xf>
    <xf numFmtId="2" fontId="3" fillId="0" borderId="1" xfId="0" applyNumberFormat="1" applyFont="1" applyBorder="1" applyAlignment="1">
      <alignment horizontal="right" vertical="center" wrapText="1"/>
    </xf>
    <xf numFmtId="1" fontId="2" fillId="0" borderId="1" xfId="0" applyNumberFormat="1" applyFont="1" applyBorder="1" applyAlignment="1">
      <alignment horizontal="center" vertical="center" wrapText="1"/>
    </xf>
    <xf numFmtId="4" fontId="2" fillId="0" borderId="1" xfId="0" applyNumberFormat="1" applyFont="1" applyBorder="1" applyAlignment="1">
      <alignment horizontal="right" vertical="center" wrapText="1"/>
    </xf>
    <xf numFmtId="4" fontId="3" fillId="0" borderId="1" xfId="0" applyNumberFormat="1" applyFont="1" applyBorder="1" applyAlignment="1">
      <alignment horizontal="right" vertical="center" wrapText="1"/>
    </xf>
    <xf numFmtId="2" fontId="3" fillId="0" borderId="0" xfId="0" applyNumberFormat="1" applyFont="1" applyAlignment="1">
      <alignment horizontal="center" vertical="center" wrapText="1"/>
    </xf>
    <xf numFmtId="2" fontId="3" fillId="0" borderId="0" xfId="0" applyNumberFormat="1" applyFont="1" applyAlignment="1">
      <alignment horizontal="right" vertical="center" wrapText="1"/>
    </xf>
    <xf numFmtId="2" fontId="2" fillId="0" borderId="0" xfId="0" applyNumberFormat="1" applyFont="1" applyAlignment="1">
      <alignment horizontal="right" vertical="center" wrapText="1"/>
    </xf>
    <xf numFmtId="2" fontId="3" fillId="0" borderId="1" xfId="0" applyNumberFormat="1" applyFont="1" applyBorder="1" applyAlignment="1">
      <alignment horizontal="center" vertical="center" wrapText="1"/>
    </xf>
    <xf numFmtId="2" fontId="2" fillId="0" borderId="2" xfId="0" applyNumberFormat="1" applyFont="1" applyBorder="1" applyAlignment="1">
      <alignment horizontal="center" vertical="center" wrapText="1"/>
    </xf>
    <xf numFmtId="2" fontId="2" fillId="0" borderId="4" xfId="0" applyNumberFormat="1" applyFont="1" applyBorder="1" applyAlignment="1">
      <alignment horizontal="center" vertical="center" wrapText="1"/>
    </xf>
    <xf numFmtId="2" fontId="2" fillId="0" borderId="3"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2" fillId="0" borderId="0" xfId="0" applyFont="1" applyAlignment="1">
      <alignment horizontal="center" vertical="center" wrapText="1"/>
    </xf>
    <xf numFmtId="2" fontId="2" fillId="0" borderId="0" xfId="0" applyNumberFormat="1" applyFont="1" applyAlignment="1">
      <alignment horizontal="center" vertical="center" wrapText="1"/>
    </xf>
    <xf numFmtId="4" fontId="2" fillId="0" borderId="0" xfId="0" applyNumberFormat="1" applyFont="1" applyAlignment="1">
      <alignment vertical="center" wrapText="1"/>
    </xf>
    <xf numFmtId="0" fontId="2" fillId="0" borderId="0" xfId="0" applyFont="1" applyFill="1" applyAlignment="1">
      <alignment vertical="center" wrapText="1"/>
    </xf>
    <xf numFmtId="0" fontId="2" fillId="0" borderId="1" xfId="0" applyFont="1" applyFill="1" applyBorder="1" applyAlignment="1">
      <alignment horizontal="center" vertical="center" wrapText="1"/>
    </xf>
    <xf numFmtId="0" fontId="2" fillId="0" borderId="1" xfId="0" applyFont="1" applyFill="1" applyBorder="1" applyAlignment="1">
      <alignment vertical="center" wrapText="1"/>
    </xf>
    <xf numFmtId="2" fontId="2" fillId="0" borderId="1" xfId="0" applyNumberFormat="1" applyFont="1" applyFill="1" applyBorder="1" applyAlignment="1">
      <alignment vertical="center" wrapText="1"/>
    </xf>
    <xf numFmtId="0" fontId="2" fillId="0" borderId="1" xfId="0" applyFont="1" applyBorder="1" applyAlignment="1">
      <alignment horizontal="right" vertical="center" wrapText="1"/>
    </xf>
    <xf numFmtId="2" fontId="2" fillId="0" borderId="1" xfId="0" applyNumberFormat="1" applyFont="1" applyFill="1" applyBorder="1" applyAlignment="1">
      <alignment horizontal="center" vertical="center" wrapText="1"/>
    </xf>
    <xf numFmtId="0" fontId="2" fillId="0" borderId="0" xfId="0" applyFont="1" applyAlignment="1">
      <alignment horizontal="center" vertical="center" wrapText="1"/>
    </xf>
    <xf numFmtId="2" fontId="2" fillId="0" borderId="0" xfId="0" applyNumberFormat="1" applyFont="1" applyAlignment="1">
      <alignment horizontal="center" vertical="center" wrapText="1"/>
    </xf>
    <xf numFmtId="165" fontId="2" fillId="0" borderId="0" xfId="0" applyNumberFormat="1" applyFont="1" applyAlignment="1" applyProtection="1">
      <alignment horizontal="left" vertical="center" wrapText="1"/>
    </xf>
    <xf numFmtId="2" fontId="8" fillId="0" borderId="1" xfId="3" applyNumberFormat="1" applyFont="1" applyBorder="1" applyAlignment="1">
      <alignment horizontal="left" vertical="center" wrapText="1"/>
    </xf>
    <xf numFmtId="0" fontId="2" fillId="0" borderId="2" xfId="0" applyFont="1" applyBorder="1" applyAlignment="1">
      <alignment horizontal="left" vertical="center" wrapText="1"/>
    </xf>
    <xf numFmtId="165" fontId="8" fillId="0" borderId="1" xfId="0" applyNumberFormat="1" applyFont="1" applyBorder="1" applyAlignment="1">
      <alignment horizontal="center" vertical="center"/>
    </xf>
    <xf numFmtId="165" fontId="8" fillId="0" borderId="1" xfId="0" applyNumberFormat="1" applyFont="1" applyBorder="1" applyAlignment="1">
      <alignment horizontal="left" vertical="center" wrapText="1"/>
    </xf>
    <xf numFmtId="2" fontId="2" fillId="0" borderId="1" xfId="0" applyNumberFormat="1" applyFont="1" applyFill="1" applyBorder="1" applyAlignment="1">
      <alignment horizontal="right" vertical="center" wrapText="1"/>
    </xf>
    <xf numFmtId="2" fontId="3" fillId="0" borderId="1" xfId="0" applyNumberFormat="1" applyFont="1" applyFill="1" applyBorder="1" applyAlignment="1">
      <alignment horizontal="right" vertical="center" wrapText="1"/>
    </xf>
    <xf numFmtId="0" fontId="0" fillId="0" borderId="0" xfId="0" applyAlignment="1">
      <alignment wrapText="1"/>
    </xf>
    <xf numFmtId="164" fontId="2" fillId="0" borderId="1" xfId="0" applyNumberFormat="1" applyFont="1" applyBorder="1" applyAlignment="1">
      <alignment horizontal="center" vertical="center" wrapText="1"/>
    </xf>
    <xf numFmtId="2" fontId="2" fillId="0" borderId="0" xfId="0" applyNumberFormat="1" applyFont="1" applyAlignment="1">
      <alignment horizontal="center" vertical="center" wrapText="1"/>
    </xf>
    <xf numFmtId="2" fontId="2" fillId="2" borderId="1" xfId="0" applyNumberFormat="1" applyFont="1" applyFill="1" applyBorder="1" applyAlignment="1">
      <alignment horizontal="center" vertical="center" wrapText="1"/>
    </xf>
    <xf numFmtId="2" fontId="2" fillId="0" borderId="0" xfId="0" applyNumberFormat="1" applyFont="1" applyAlignment="1">
      <alignment horizontal="center" vertical="center" wrapText="1"/>
    </xf>
    <xf numFmtId="0" fontId="2" fillId="0" borderId="0" xfId="0" applyFont="1" applyAlignment="1">
      <alignment horizontal="center" vertical="center" wrapText="1"/>
    </xf>
    <xf numFmtId="165" fontId="12" fillId="0" borderId="0" xfId="4" applyNumberFormat="1" applyAlignment="1" applyProtection="1">
      <alignment horizontal="left"/>
    </xf>
    <xf numFmtId="165" fontId="12" fillId="0" borderId="0" xfId="4" applyNumberFormat="1" applyAlignment="1" applyProtection="1">
      <alignment horizontal="center"/>
    </xf>
    <xf numFmtId="165" fontId="12" fillId="0" borderId="0" xfId="4" applyNumberFormat="1"/>
    <xf numFmtId="165" fontId="12" fillId="0" borderId="0" xfId="4" applyNumberFormat="1" applyAlignment="1"/>
    <xf numFmtId="165" fontId="13" fillId="0" borderId="0" xfId="4" applyNumberFormat="1" applyFont="1" applyAlignment="1" applyProtection="1">
      <alignment horizontal="left"/>
    </xf>
    <xf numFmtId="165" fontId="12" fillId="0" borderId="0" xfId="4" applyNumberFormat="1" applyAlignment="1">
      <alignment horizontal="left"/>
    </xf>
    <xf numFmtId="166" fontId="12" fillId="0" borderId="0" xfId="4" applyNumberFormat="1"/>
    <xf numFmtId="165" fontId="12" fillId="0" borderId="0" xfId="4" applyNumberFormat="1" applyAlignment="1">
      <alignment horizontal="center"/>
    </xf>
    <xf numFmtId="165" fontId="14" fillId="0" borderId="0" xfId="4" applyNumberFormat="1" applyFont="1" applyAlignment="1" applyProtection="1"/>
    <xf numFmtId="165" fontId="12" fillId="0" borderId="0" xfId="4" applyNumberFormat="1" applyAlignment="1" applyProtection="1">
      <alignment horizontal="fill"/>
    </xf>
    <xf numFmtId="165" fontId="15" fillId="0" borderId="0" xfId="4" applyNumberFormat="1" applyFont="1" applyAlignment="1" applyProtection="1">
      <alignment horizontal="left"/>
    </xf>
    <xf numFmtId="165" fontId="13" fillId="0" borderId="0" xfId="4" applyNumberFormat="1" applyFont="1" applyAlignment="1" applyProtection="1">
      <alignment horizontal="right"/>
    </xf>
    <xf numFmtId="165" fontId="12" fillId="0" borderId="0" xfId="4" applyNumberFormat="1" applyAlignment="1" applyProtection="1"/>
    <xf numFmtId="165" fontId="13" fillId="0" borderId="0" xfId="4" applyNumberFormat="1" applyFont="1" applyProtection="1"/>
    <xf numFmtId="165" fontId="12" fillId="0" borderId="0" xfId="4" applyNumberFormat="1" applyProtection="1"/>
    <xf numFmtId="165" fontId="13" fillId="0" borderId="0" xfId="4" applyNumberFormat="1" applyFont="1"/>
    <xf numFmtId="165" fontId="13" fillId="0" borderId="0" xfId="4" applyNumberFormat="1" applyFont="1" applyAlignment="1" applyProtection="1">
      <alignment horizontal="center"/>
    </xf>
    <xf numFmtId="165" fontId="13" fillId="0" borderId="0" xfId="4" applyNumberFormat="1" applyFont="1" applyAlignment="1" applyProtection="1">
      <alignment horizontal="fill"/>
    </xf>
    <xf numFmtId="165" fontId="13" fillId="0" borderId="0" xfId="4" quotePrefix="1" applyNumberFormat="1" applyFont="1" applyAlignment="1" applyProtection="1">
      <alignment horizontal="center"/>
    </xf>
    <xf numFmtId="165" fontId="13" fillId="0" borderId="0" xfId="4" quotePrefix="1" applyNumberFormat="1" applyFont="1" applyAlignment="1">
      <alignment horizontal="center"/>
    </xf>
    <xf numFmtId="165" fontId="12" fillId="0" borderId="0" xfId="2" applyNumberFormat="1" applyFont="1" applyAlignment="1" applyProtection="1">
      <alignment horizontal="left"/>
    </xf>
    <xf numFmtId="165" fontId="16" fillId="0" borderId="0" xfId="4" applyNumberFormat="1" applyFont="1" applyProtection="1"/>
    <xf numFmtId="165" fontId="12" fillId="0" borderId="0" xfId="4" applyNumberFormat="1" applyFont="1" applyProtection="1"/>
    <xf numFmtId="165" fontId="17" fillId="0" borderId="0" xfId="4" applyNumberFormat="1" applyFont="1" applyProtection="1"/>
    <xf numFmtId="167" fontId="18" fillId="0" borderId="0" xfId="4" applyNumberFormat="1" applyFont="1" applyProtection="1"/>
    <xf numFmtId="165" fontId="18" fillId="0" borderId="0" xfId="4" applyNumberFormat="1" applyFont="1" applyAlignment="1" applyProtection="1">
      <alignment horizontal="left"/>
    </xf>
    <xf numFmtId="165" fontId="18" fillId="0" borderId="0" xfId="4" applyNumberFormat="1" applyFont="1" applyProtection="1"/>
    <xf numFmtId="165" fontId="12" fillId="0" borderId="0" xfId="2" applyNumberFormat="1" applyFont="1" applyAlignment="1" applyProtection="1">
      <alignment vertical="center" wrapText="1"/>
    </xf>
    <xf numFmtId="165" fontId="19" fillId="0" borderId="0" xfId="4" applyNumberFormat="1" applyFont="1" applyProtection="1"/>
    <xf numFmtId="165" fontId="12" fillId="0" borderId="0" xfId="2" applyNumberFormat="1" applyFont="1" applyAlignment="1" applyProtection="1">
      <alignment horizontal="left" wrapText="1"/>
    </xf>
    <xf numFmtId="165" fontId="12" fillId="0" borderId="0" xfId="2" applyNumberFormat="1" applyFont="1" applyProtection="1"/>
    <xf numFmtId="165" fontId="12" fillId="0" borderId="0" xfId="4" applyNumberFormat="1" applyFill="1" applyProtection="1"/>
    <xf numFmtId="165" fontId="20" fillId="0" borderId="0" xfId="4" applyNumberFormat="1" applyFont="1" applyProtection="1"/>
    <xf numFmtId="165" fontId="21" fillId="0" borderId="0" xfId="4" applyNumberFormat="1" applyFont="1" applyAlignment="1" applyProtection="1">
      <alignment horizontal="left"/>
    </xf>
    <xf numFmtId="165" fontId="22" fillId="0" borderId="0" xfId="4" applyNumberFormat="1" applyFont="1" applyProtection="1"/>
    <xf numFmtId="165" fontId="12" fillId="0" borderId="0" xfId="2" applyNumberFormat="1" applyFont="1" applyFill="1" applyProtection="1"/>
    <xf numFmtId="165" fontId="23" fillId="3" borderId="0" xfId="4" applyNumberFormat="1" applyFont="1" applyFill="1" applyProtection="1"/>
    <xf numFmtId="165" fontId="24" fillId="0" borderId="0" xfId="4" applyNumberFormat="1" applyFont="1" applyProtection="1"/>
    <xf numFmtId="167" fontId="12" fillId="0" borderId="0" xfId="4" applyNumberFormat="1" applyAlignment="1" applyProtection="1">
      <alignment horizontal="center"/>
    </xf>
    <xf numFmtId="165" fontId="12" fillId="2" borderId="0" xfId="2" applyNumberFormat="1" applyFont="1" applyFill="1" applyProtection="1"/>
    <xf numFmtId="165" fontId="18" fillId="0" borderId="0" xfId="4" applyNumberFormat="1" applyFont="1"/>
    <xf numFmtId="165" fontId="12" fillId="0" borderId="0" xfId="4" applyNumberFormat="1" applyFill="1" applyAlignment="1" applyProtection="1">
      <alignment horizontal="center"/>
    </xf>
    <xf numFmtId="165" fontId="12" fillId="0" borderId="0" xfId="4" applyNumberFormat="1" applyFill="1" applyAlignment="1" applyProtection="1">
      <alignment horizontal="left"/>
    </xf>
    <xf numFmtId="165" fontId="12" fillId="2" borderId="0" xfId="2" applyNumberFormat="1" applyFont="1" applyFill="1" applyAlignment="1" applyProtection="1">
      <alignment horizontal="left"/>
    </xf>
    <xf numFmtId="165" fontId="25" fillId="0" borderId="0" xfId="4" applyNumberFormat="1" applyFont="1" applyFill="1" applyAlignment="1" applyProtection="1">
      <alignment horizontal="right"/>
    </xf>
    <xf numFmtId="165" fontId="16" fillId="0" borderId="0" xfId="4" applyNumberFormat="1" applyFont="1"/>
    <xf numFmtId="165" fontId="16" fillId="0" borderId="0" xfId="4" applyNumberFormat="1" applyFont="1" applyAlignment="1" applyProtection="1">
      <alignment horizontal="right"/>
    </xf>
    <xf numFmtId="165" fontId="26" fillId="0" borderId="0" xfId="4" applyNumberFormat="1" applyFont="1" applyProtection="1"/>
    <xf numFmtId="165" fontId="12" fillId="0" borderId="0" xfId="2" applyNumberFormat="1" applyFont="1" applyAlignment="1" applyProtection="1">
      <alignment horizontal="fill"/>
    </xf>
    <xf numFmtId="165" fontId="16" fillId="0" borderId="0" xfId="4" applyNumberFormat="1" applyFont="1" applyAlignment="1" applyProtection="1">
      <alignment horizontal="left"/>
    </xf>
    <xf numFmtId="166" fontId="12" fillId="0" borderId="0" xfId="4" applyNumberFormat="1" applyProtection="1"/>
    <xf numFmtId="168" fontId="12" fillId="0" borderId="0" xfId="4" applyNumberFormat="1" applyAlignment="1" applyProtection="1">
      <alignment horizontal="center"/>
    </xf>
    <xf numFmtId="165" fontId="12" fillId="0" borderId="0" xfId="4" applyNumberFormat="1" applyFont="1" applyAlignment="1" applyProtection="1">
      <alignment horizontal="left"/>
    </xf>
    <xf numFmtId="165" fontId="26" fillId="0" borderId="0" xfId="4" applyNumberFormat="1" applyFont="1" applyAlignment="1" applyProtection="1">
      <alignment horizontal="left"/>
    </xf>
    <xf numFmtId="165" fontId="12" fillId="0" borderId="0" xfId="4" quotePrefix="1" applyNumberFormat="1"/>
    <xf numFmtId="165" fontId="17" fillId="4" borderId="0" xfId="4" applyNumberFormat="1" applyFont="1" applyFill="1" applyProtection="1"/>
    <xf numFmtId="165" fontId="27" fillId="0" borderId="0" xfId="4" applyNumberFormat="1" applyFont="1" applyProtection="1"/>
    <xf numFmtId="166" fontId="12" fillId="0" borderId="0" xfId="4" applyNumberFormat="1" applyAlignment="1" applyProtection="1">
      <alignment horizontal="center"/>
    </xf>
    <xf numFmtId="168" fontId="12" fillId="0" borderId="0" xfId="4" applyNumberFormat="1" applyAlignment="1" applyProtection="1">
      <alignment horizontal="left"/>
    </xf>
    <xf numFmtId="166" fontId="12" fillId="0" borderId="0" xfId="4" applyNumberFormat="1" applyAlignment="1" applyProtection="1">
      <alignment horizontal="left"/>
    </xf>
    <xf numFmtId="165" fontId="13" fillId="0" borderId="0" xfId="4" applyNumberFormat="1" applyFont="1" applyAlignment="1">
      <alignment horizontal="left"/>
    </xf>
    <xf numFmtId="165" fontId="13" fillId="0" borderId="0" xfId="4" applyNumberFormat="1" applyFont="1" applyAlignment="1" applyProtection="1">
      <alignment horizontal="left" wrapText="1"/>
    </xf>
    <xf numFmtId="165" fontId="12" fillId="0" borderId="0" xfId="4" applyNumberFormat="1" applyAlignment="1" applyProtection="1">
      <alignment horizontal="left" wrapText="1"/>
    </xf>
    <xf numFmtId="168" fontId="12" fillId="0" borderId="0" xfId="4" applyNumberFormat="1" applyAlignment="1">
      <alignment horizontal="center" vertical="top"/>
    </xf>
    <xf numFmtId="166" fontId="12" fillId="0" borderId="0" xfId="4" applyNumberFormat="1" applyAlignment="1">
      <alignment horizontal="center" vertical="top"/>
    </xf>
    <xf numFmtId="168" fontId="12" fillId="0" borderId="0" xfId="4" applyNumberFormat="1" applyFont="1" applyAlignment="1">
      <alignment horizontal="center"/>
    </xf>
    <xf numFmtId="165" fontId="12" fillId="0" borderId="0" xfId="4" applyNumberFormat="1" applyAlignment="1" applyProtection="1">
      <alignment horizontal="left" vertical="top" wrapText="1"/>
    </xf>
    <xf numFmtId="166" fontId="12" fillId="0" borderId="0" xfId="4" applyNumberFormat="1" applyFont="1" applyAlignment="1">
      <alignment horizontal="center"/>
    </xf>
    <xf numFmtId="165" fontId="28" fillId="0" borderId="0" xfId="4" applyNumberFormat="1" applyFont="1" applyProtection="1"/>
    <xf numFmtId="165" fontId="12" fillId="0" borderId="0" xfId="4" applyNumberFormat="1" applyFont="1" applyAlignment="1" applyProtection="1">
      <alignment horizontal="fill"/>
    </xf>
    <xf numFmtId="165" fontId="12" fillId="5" borderId="0" xfId="4" applyNumberFormat="1" applyFill="1" applyAlignment="1" applyProtection="1">
      <alignment horizontal="left"/>
    </xf>
    <xf numFmtId="165" fontId="29" fillId="2" borderId="0" xfId="4" applyNumberFormat="1" applyFont="1" applyFill="1" applyProtection="1"/>
    <xf numFmtId="165" fontId="17" fillId="2" borderId="0" xfId="4" applyNumberFormat="1" applyFont="1" applyFill="1" applyProtection="1"/>
    <xf numFmtId="167" fontId="13" fillId="0" borderId="0" xfId="4" applyNumberFormat="1" applyFont="1" applyAlignment="1" applyProtection="1">
      <alignment horizontal="center"/>
    </xf>
    <xf numFmtId="165" fontId="13" fillId="0" borderId="0" xfId="4" applyNumberFormat="1" applyFont="1" applyAlignment="1" applyProtection="1"/>
    <xf numFmtId="165" fontId="13" fillId="0" borderId="0" xfId="4" applyNumberFormat="1" applyFont="1" applyAlignment="1"/>
    <xf numFmtId="168" fontId="18" fillId="0" borderId="0" xfId="4" applyNumberFormat="1" applyFont="1"/>
    <xf numFmtId="165" fontId="12" fillId="0" borderId="0" xfId="4" applyNumberFormat="1" applyFont="1" applyAlignment="1" applyProtection="1">
      <alignment horizontal="center"/>
    </xf>
    <xf numFmtId="165" fontId="29" fillId="6" borderId="0" xfId="4" applyNumberFormat="1" applyFont="1" applyFill="1" applyProtection="1"/>
    <xf numFmtId="165" fontId="17" fillId="0" borderId="0" xfId="4" applyNumberFormat="1" applyFont="1"/>
    <xf numFmtId="169" fontId="12" fillId="0" borderId="0" xfId="4" applyNumberFormat="1" applyProtection="1"/>
    <xf numFmtId="170" fontId="12" fillId="0" borderId="0" xfId="4" applyNumberFormat="1" applyProtection="1"/>
    <xf numFmtId="165" fontId="12" fillId="3" borderId="0" xfId="4" applyNumberFormat="1" applyFill="1" applyAlignment="1" applyProtection="1">
      <alignment horizontal="left"/>
    </xf>
    <xf numFmtId="165" fontId="26" fillId="3" borderId="0" xfId="4" applyNumberFormat="1" applyFont="1" applyFill="1" applyAlignment="1" applyProtection="1">
      <alignment horizontal="left"/>
    </xf>
    <xf numFmtId="165" fontId="30" fillId="0" borderId="0" xfId="4" applyNumberFormat="1" applyFont="1" applyProtection="1"/>
    <xf numFmtId="165" fontId="18" fillId="0" borderId="0" xfId="4" applyNumberFormat="1" applyFont="1" applyAlignment="1" applyProtection="1">
      <alignment horizontal="left" wrapText="1"/>
    </xf>
    <xf numFmtId="165" fontId="26" fillId="0" borderId="0" xfId="4" applyNumberFormat="1" applyFont="1"/>
    <xf numFmtId="165" fontId="31" fillId="0" borderId="0" xfId="4" applyNumberFormat="1" applyFont="1" applyAlignment="1" applyProtection="1">
      <alignment horizontal="left"/>
    </xf>
    <xf numFmtId="165" fontId="31" fillId="0" borderId="0" xfId="4" applyNumberFormat="1" applyFont="1"/>
    <xf numFmtId="165" fontId="12" fillId="2" borderId="0" xfId="4" applyNumberFormat="1" applyFont="1" applyFill="1" applyProtection="1"/>
    <xf numFmtId="165" fontId="12" fillId="2" borderId="0" xfId="4" applyNumberFormat="1" applyFont="1" applyFill="1" applyAlignment="1" applyProtection="1">
      <alignment horizontal="left"/>
    </xf>
    <xf numFmtId="165" fontId="12" fillId="0" borderId="0" xfId="4" applyNumberFormat="1" applyAlignment="1">
      <alignment horizontal="right"/>
    </xf>
    <xf numFmtId="165" fontId="12" fillId="2" borderId="0" xfId="4" applyNumberFormat="1" applyFont="1" applyFill="1"/>
    <xf numFmtId="165" fontId="19" fillId="6" borderId="0" xfId="4" applyNumberFormat="1" applyFont="1" applyFill="1" applyAlignment="1" applyProtection="1">
      <alignment horizontal="left"/>
    </xf>
    <xf numFmtId="165" fontId="32" fillId="3" borderId="0" xfId="4" applyNumberFormat="1" applyFont="1" applyFill="1" applyAlignment="1" applyProtection="1">
      <alignment horizontal="left"/>
    </xf>
    <xf numFmtId="165" fontId="32" fillId="0" borderId="0" xfId="4" applyNumberFormat="1" applyFont="1" applyProtection="1"/>
    <xf numFmtId="165" fontId="32" fillId="0" borderId="0" xfId="4" applyNumberFormat="1" applyFont="1" applyAlignment="1" applyProtection="1">
      <alignment horizontal="left"/>
    </xf>
    <xf numFmtId="165" fontId="33" fillId="0" borderId="0" xfId="4" applyNumberFormat="1" applyFont="1" applyAlignment="1" applyProtection="1">
      <alignment horizontal="left"/>
    </xf>
    <xf numFmtId="165" fontId="34" fillId="0" borderId="0" xfId="4" applyNumberFormat="1" applyFont="1"/>
    <xf numFmtId="165" fontId="28" fillId="3" borderId="0" xfId="4" applyNumberFormat="1" applyFont="1" applyFill="1" applyProtection="1"/>
    <xf numFmtId="165" fontId="35" fillId="0" borderId="0" xfId="4" applyNumberFormat="1" applyFont="1"/>
    <xf numFmtId="170" fontId="12" fillId="0" borderId="0" xfId="4" applyNumberFormat="1"/>
    <xf numFmtId="165" fontId="26" fillId="3" borderId="0" xfId="4" applyNumberFormat="1" applyFont="1" applyFill="1" applyProtection="1"/>
    <xf numFmtId="167" fontId="18" fillId="0" borderId="0" xfId="4" applyNumberFormat="1" applyFont="1" applyAlignment="1" applyProtection="1">
      <alignment vertical="center" wrapText="1"/>
    </xf>
    <xf numFmtId="165" fontId="17" fillId="0" borderId="0" xfId="4" applyNumberFormat="1" applyFont="1" applyAlignment="1" applyProtection="1">
      <alignment horizontal="right"/>
    </xf>
    <xf numFmtId="165" fontId="36" fillId="0" borderId="0" xfId="4" applyNumberFormat="1" applyFont="1" applyProtection="1"/>
    <xf numFmtId="168" fontId="12" fillId="0" borderId="0" xfId="4" applyNumberFormat="1" applyAlignment="1">
      <alignment horizontal="center"/>
    </xf>
    <xf numFmtId="165" fontId="26" fillId="6" borderId="0" xfId="4" applyNumberFormat="1" applyFont="1" applyFill="1" applyProtection="1"/>
    <xf numFmtId="165" fontId="18" fillId="6" borderId="0" xfId="4" applyNumberFormat="1" applyFont="1" applyFill="1" applyAlignment="1" applyProtection="1">
      <alignment horizontal="left"/>
    </xf>
    <xf numFmtId="165" fontId="12" fillId="6" borderId="0" xfId="4" applyNumberFormat="1" applyFill="1"/>
    <xf numFmtId="165" fontId="26" fillId="6" borderId="0" xfId="4" applyNumberFormat="1" applyFont="1" applyFill="1"/>
    <xf numFmtId="165" fontId="38" fillId="0" borderId="0" xfId="4" applyNumberFormat="1" applyFont="1"/>
    <xf numFmtId="165" fontId="12" fillId="0" borderId="0" xfId="4" applyNumberFormat="1" applyAlignment="1" applyProtection="1">
      <alignment horizontal="right"/>
    </xf>
    <xf numFmtId="165" fontId="12" fillId="0" borderId="0" xfId="4" applyNumberFormat="1" applyFont="1"/>
    <xf numFmtId="165" fontId="17" fillId="0" borderId="0" xfId="4" applyNumberFormat="1" applyFont="1" applyAlignment="1" applyProtection="1">
      <alignment horizontal="left"/>
    </xf>
    <xf numFmtId="167" fontId="32" fillId="0" borderId="0" xfId="4" applyNumberFormat="1" applyFont="1" applyAlignment="1" applyProtection="1">
      <alignment horizontal="left" wrapText="1"/>
    </xf>
    <xf numFmtId="165" fontId="32" fillId="0" borderId="0" xfId="4" applyNumberFormat="1" applyFont="1"/>
    <xf numFmtId="167" fontId="32" fillId="0" borderId="0" xfId="4" applyNumberFormat="1" applyFont="1" applyAlignment="1" applyProtection="1">
      <alignment horizontal="left"/>
    </xf>
    <xf numFmtId="166" fontId="12" fillId="0" borderId="0" xfId="4" applyNumberFormat="1" applyAlignment="1">
      <alignment horizontal="right"/>
    </xf>
    <xf numFmtId="165" fontId="13" fillId="0" borderId="0" xfId="4" applyNumberFormat="1" applyFont="1" applyAlignment="1">
      <alignment wrapText="1"/>
    </xf>
    <xf numFmtId="165" fontId="12" fillId="0" borderId="0" xfId="4" applyNumberFormat="1" applyAlignment="1">
      <alignment vertical="top" wrapText="1"/>
    </xf>
    <xf numFmtId="165" fontId="18" fillId="0" borderId="0" xfId="4" applyNumberFormat="1" applyFont="1" applyAlignment="1" applyProtection="1">
      <alignment horizontal="center"/>
    </xf>
    <xf numFmtId="165" fontId="32" fillId="6" borderId="0" xfId="4" applyNumberFormat="1" applyFont="1" applyFill="1" applyProtection="1"/>
    <xf numFmtId="0" fontId="39" fillId="0" borderId="0" xfId="5">
      <alignment vertical="center"/>
    </xf>
    <xf numFmtId="165" fontId="30" fillId="6" borderId="0" xfId="4" applyNumberFormat="1" applyFont="1" applyFill="1" applyProtection="1"/>
    <xf numFmtId="167" fontId="12" fillId="0" borderId="0" xfId="4" applyNumberFormat="1" applyProtection="1"/>
    <xf numFmtId="170" fontId="12" fillId="0" borderId="0" xfId="4" quotePrefix="1" applyNumberFormat="1" applyProtection="1"/>
    <xf numFmtId="165" fontId="12" fillId="0" borderId="0" xfId="4" quotePrefix="1" applyNumberFormat="1" applyProtection="1"/>
    <xf numFmtId="165" fontId="40" fillId="6" borderId="0" xfId="4" applyNumberFormat="1" applyFont="1" applyFill="1" applyProtection="1"/>
    <xf numFmtId="168" fontId="12" fillId="0" borderId="0" xfId="4" applyNumberFormat="1" applyAlignment="1" applyProtection="1">
      <alignment horizontal="center" vertical="top" wrapText="1"/>
    </xf>
    <xf numFmtId="165" fontId="12" fillId="0" borderId="0" xfId="4" applyNumberFormat="1" applyAlignment="1" applyProtection="1">
      <alignment horizontal="justify" vertical="top" wrapText="1"/>
    </xf>
    <xf numFmtId="169" fontId="12" fillId="0" borderId="0" xfId="4" applyNumberFormat="1" applyAlignment="1" applyProtection="1">
      <alignment horizontal="left"/>
    </xf>
    <xf numFmtId="171" fontId="41" fillId="7" borderId="0" xfId="4" applyNumberFormat="1" applyFont="1" applyFill="1" applyProtection="1"/>
    <xf numFmtId="165" fontId="41" fillId="7" borderId="0" xfId="4" applyNumberFormat="1" applyFont="1" applyFill="1" applyAlignment="1" applyProtection="1"/>
    <xf numFmtId="165" fontId="41" fillId="7" borderId="0" xfId="4" applyNumberFormat="1" applyFont="1" applyFill="1" applyAlignment="1" applyProtection="1">
      <alignment horizontal="left"/>
    </xf>
    <xf numFmtId="165" fontId="41" fillId="7" borderId="0" xfId="4" applyNumberFormat="1" applyFont="1" applyFill="1" applyProtection="1"/>
    <xf numFmtId="171" fontId="12" fillId="0" borderId="0" xfId="4" applyNumberFormat="1" applyProtection="1"/>
    <xf numFmtId="169" fontId="12" fillId="0" borderId="0" xfId="4" applyNumberFormat="1" applyAlignment="1" applyProtection="1">
      <alignment horizontal="fill"/>
    </xf>
    <xf numFmtId="165" fontId="42" fillId="3" borderId="0" xfId="4" applyNumberFormat="1" applyFont="1" applyFill="1"/>
    <xf numFmtId="165" fontId="43" fillId="3" borderId="0" xfId="4" applyNumberFormat="1" applyFont="1" applyFill="1"/>
    <xf numFmtId="165" fontId="43" fillId="3" borderId="0" xfId="4" applyNumberFormat="1" applyFont="1" applyFill="1" applyAlignment="1">
      <alignment horizontal="left"/>
    </xf>
    <xf numFmtId="165" fontId="41" fillId="7" borderId="0" xfId="4" applyNumberFormat="1" applyFont="1" applyFill="1"/>
    <xf numFmtId="166" fontId="41" fillId="7" borderId="0" xfId="4" applyNumberFormat="1" applyFont="1" applyFill="1" applyProtection="1"/>
    <xf numFmtId="166" fontId="12" fillId="0" borderId="0" xfId="4" applyNumberFormat="1" applyAlignment="1" applyProtection="1">
      <alignment horizontal="fill"/>
    </xf>
    <xf numFmtId="170" fontId="12" fillId="0" borderId="0" xfId="4" applyNumberFormat="1" applyFont="1"/>
    <xf numFmtId="165" fontId="12" fillId="0" borderId="0" xfId="4" applyNumberFormat="1" applyFont="1" applyAlignment="1"/>
    <xf numFmtId="165" fontId="12" fillId="0" borderId="0" xfId="4" applyNumberFormat="1" applyFont="1" applyAlignment="1">
      <alignment horizontal="left"/>
    </xf>
    <xf numFmtId="169" fontId="12" fillId="0" borderId="0" xfId="4" applyNumberFormat="1" applyFont="1"/>
    <xf numFmtId="166" fontId="12" fillId="0" borderId="0" xfId="4" applyNumberFormat="1" applyFont="1"/>
    <xf numFmtId="165" fontId="12" fillId="0" borderId="0" xfId="4" quotePrefix="1" applyNumberFormat="1" applyFont="1"/>
    <xf numFmtId="165" fontId="44" fillId="6" borderId="0" xfId="4" applyNumberFormat="1" applyFont="1" applyFill="1" applyProtection="1"/>
    <xf numFmtId="165" fontId="45" fillId="0" borderId="0" xfId="4" applyNumberFormat="1" applyFont="1"/>
    <xf numFmtId="165" fontId="26" fillId="5" borderId="0" xfId="4" applyNumberFormat="1" applyFont="1" applyFill="1" applyAlignment="1" applyProtection="1">
      <alignment horizontal="left"/>
    </xf>
    <xf numFmtId="2" fontId="46" fillId="0" borderId="6" xfId="3" applyNumberFormat="1" applyFont="1" applyBorder="1" applyAlignment="1">
      <alignment vertical="top" wrapText="1"/>
    </xf>
    <xf numFmtId="165" fontId="12" fillId="3" borderId="0" xfId="4" applyNumberFormat="1" applyFont="1" applyFill="1" applyProtection="1"/>
    <xf numFmtId="165" fontId="47" fillId="6" borderId="0" xfId="4" applyNumberFormat="1" applyFont="1" applyFill="1" applyProtection="1"/>
    <xf numFmtId="165" fontId="48" fillId="0" borderId="0" xfId="4" applyNumberFormat="1" applyFont="1" applyProtection="1"/>
    <xf numFmtId="165" fontId="45" fillId="0" borderId="0" xfId="4" applyNumberFormat="1" applyFont="1" applyProtection="1"/>
    <xf numFmtId="165" fontId="49" fillId="0" borderId="0" xfId="4" applyNumberFormat="1" applyFont="1"/>
    <xf numFmtId="166" fontId="13" fillId="0" borderId="0" xfId="4" applyNumberFormat="1" applyFont="1" applyAlignment="1">
      <alignment horizontal="right"/>
    </xf>
    <xf numFmtId="165" fontId="41" fillId="8" borderId="0" xfId="4" applyNumberFormat="1" applyFont="1" applyFill="1"/>
    <xf numFmtId="165" fontId="41" fillId="8" borderId="0" xfId="4" applyNumberFormat="1" applyFont="1" applyFill="1" applyAlignment="1"/>
    <xf numFmtId="165" fontId="50" fillId="0" borderId="0" xfId="4" applyNumberFormat="1" applyFont="1" applyProtection="1"/>
    <xf numFmtId="165" fontId="51" fillId="0" borderId="0" xfId="4" applyNumberFormat="1" applyFont="1"/>
    <xf numFmtId="165" fontId="51" fillId="0" borderId="0" xfId="4" applyNumberFormat="1" applyFont="1" applyAlignment="1"/>
    <xf numFmtId="165" fontId="52" fillId="0" borderId="0" xfId="4" applyNumberFormat="1" applyFont="1"/>
    <xf numFmtId="165" fontId="51" fillId="0" borderId="0" xfId="4" applyNumberFormat="1" applyFont="1" applyAlignment="1">
      <alignment horizontal="center"/>
    </xf>
    <xf numFmtId="165" fontId="53" fillId="2" borderId="0" xfId="4" applyNumberFormat="1" applyFont="1" applyFill="1"/>
    <xf numFmtId="165" fontId="53" fillId="2" borderId="0" xfId="4" applyNumberFormat="1" applyFont="1" applyFill="1" applyAlignment="1"/>
    <xf numFmtId="165" fontId="51" fillId="2" borderId="0" xfId="4" applyNumberFormat="1" applyFont="1" applyFill="1" applyProtection="1"/>
    <xf numFmtId="165" fontId="51" fillId="2" borderId="0" xfId="4" applyNumberFormat="1" applyFont="1" applyFill="1" applyAlignment="1" applyProtection="1"/>
    <xf numFmtId="165" fontId="54" fillId="2" borderId="0" xfId="4" applyNumberFormat="1" applyFont="1" applyFill="1" applyAlignment="1" applyProtection="1">
      <alignment horizontal="left"/>
    </xf>
    <xf numFmtId="165" fontId="54" fillId="2" borderId="0" xfId="4" applyNumberFormat="1" applyFont="1" applyFill="1" applyAlignment="1" applyProtection="1">
      <alignment horizontal="right"/>
    </xf>
    <xf numFmtId="165" fontId="51" fillId="0" borderId="0" xfId="4" applyNumberFormat="1" applyFont="1" applyAlignment="1" applyProtection="1">
      <alignment horizontal="center"/>
    </xf>
    <xf numFmtId="165" fontId="51" fillId="0" borderId="0" xfId="4" applyNumberFormat="1" applyFont="1" applyProtection="1"/>
    <xf numFmtId="165" fontId="22" fillId="0" borderId="0" xfId="4" applyNumberFormat="1" applyFont="1" applyAlignment="1" applyProtection="1">
      <alignment horizontal="right"/>
    </xf>
    <xf numFmtId="165" fontId="51" fillId="0" borderId="0" xfId="4" applyNumberFormat="1" applyFont="1" applyAlignment="1" applyProtection="1"/>
    <xf numFmtId="165" fontId="51" fillId="0" borderId="0" xfId="4" applyNumberFormat="1" applyFont="1" applyAlignment="1" applyProtection="1">
      <alignment horizontal="left"/>
    </xf>
    <xf numFmtId="166" fontId="51" fillId="0" borderId="0" xfId="4" applyNumberFormat="1" applyFont="1" applyProtection="1"/>
    <xf numFmtId="165" fontId="51" fillId="0" borderId="0" xfId="4" applyNumberFormat="1" applyFont="1" applyAlignment="1" applyProtection="1">
      <alignment horizontal="fill"/>
    </xf>
    <xf numFmtId="165" fontId="52" fillId="0" borderId="0" xfId="4" applyNumberFormat="1" applyFont="1" applyAlignment="1" applyProtection="1">
      <alignment horizontal="left"/>
    </xf>
    <xf numFmtId="165" fontId="52" fillId="0" borderId="0" xfId="4" applyNumberFormat="1" applyFont="1" applyProtection="1"/>
    <xf numFmtId="165" fontId="12" fillId="6" borderId="0" xfId="4" applyNumberFormat="1" applyFont="1" applyFill="1" applyProtection="1"/>
    <xf numFmtId="165" fontId="13" fillId="5" borderId="0" xfId="4" applyNumberFormat="1" applyFont="1" applyFill="1" applyAlignment="1" applyProtection="1">
      <alignment horizontal="left"/>
    </xf>
    <xf numFmtId="165" fontId="17" fillId="5" borderId="0" xfId="4" applyNumberFormat="1" applyFont="1" applyFill="1" applyAlignment="1" applyProtection="1">
      <alignment horizontal="left"/>
    </xf>
    <xf numFmtId="169" fontId="12" fillId="0" borderId="0" xfId="4" applyNumberFormat="1" applyAlignment="1" applyProtection="1"/>
    <xf numFmtId="165" fontId="56" fillId="0" borderId="0" xfId="4" applyNumberFormat="1" applyFont="1" applyProtection="1"/>
    <xf numFmtId="169" fontId="56" fillId="0" borderId="0" xfId="4" applyNumberFormat="1" applyFont="1" applyAlignment="1" applyProtection="1"/>
    <xf numFmtId="165" fontId="56" fillId="0" borderId="0" xfId="4" applyNumberFormat="1" applyFont="1" applyAlignment="1" applyProtection="1">
      <alignment horizontal="left"/>
    </xf>
    <xf numFmtId="165" fontId="56" fillId="0" borderId="0" xfId="4" applyNumberFormat="1" applyFont="1" applyAlignment="1" applyProtection="1">
      <alignment horizontal="center"/>
    </xf>
    <xf numFmtId="169" fontId="12" fillId="0" borderId="0" xfId="4" applyNumberFormat="1" applyAlignment="1"/>
    <xf numFmtId="165" fontId="12" fillId="5" borderId="0" xfId="4" applyNumberFormat="1" applyFill="1"/>
    <xf numFmtId="165" fontId="13" fillId="0" borderId="0" xfId="4" applyNumberFormat="1" applyFont="1" applyAlignment="1">
      <alignment horizontal="right"/>
    </xf>
    <xf numFmtId="165" fontId="57" fillId="0" borderId="0" xfId="4" applyNumberFormat="1" applyFont="1"/>
    <xf numFmtId="165" fontId="12" fillId="3" borderId="0" xfId="4" applyNumberFormat="1" applyFill="1"/>
    <xf numFmtId="165" fontId="49" fillId="0" borderId="0" xfId="4" applyNumberFormat="1" applyFont="1" applyAlignment="1">
      <alignment horizontal="center"/>
    </xf>
    <xf numFmtId="165" fontId="12" fillId="0" borderId="7" xfId="4" applyNumberFormat="1" applyBorder="1"/>
    <xf numFmtId="165" fontId="58" fillId="0" borderId="0" xfId="4" applyNumberFormat="1" applyFont="1"/>
    <xf numFmtId="165" fontId="12" fillId="0" borderId="8" xfId="4" applyNumberFormat="1" applyBorder="1"/>
    <xf numFmtId="170" fontId="58" fillId="0" borderId="0" xfId="4" applyNumberFormat="1" applyFont="1" applyProtection="1"/>
    <xf numFmtId="165" fontId="58" fillId="0" borderId="0" xfId="4" applyNumberFormat="1" applyFont="1" applyAlignment="1" applyProtection="1"/>
    <xf numFmtId="165" fontId="59" fillId="0" borderId="0" xfId="4" applyNumberFormat="1" applyFont="1" applyAlignment="1" applyProtection="1">
      <alignment horizontal="center"/>
    </xf>
    <xf numFmtId="165" fontId="58" fillId="0" borderId="0" xfId="4" applyNumberFormat="1" applyFont="1" applyProtection="1"/>
    <xf numFmtId="165" fontId="58" fillId="0" borderId="0" xfId="4" applyNumberFormat="1" applyFont="1" applyAlignment="1" applyProtection="1">
      <alignment horizontal="left"/>
    </xf>
    <xf numFmtId="165" fontId="58" fillId="0" borderId="0" xfId="4" applyNumberFormat="1" applyFont="1" applyAlignment="1">
      <alignment horizontal="center"/>
    </xf>
    <xf numFmtId="165" fontId="58" fillId="0" borderId="0" xfId="4" applyNumberFormat="1" applyFont="1" applyAlignment="1"/>
    <xf numFmtId="165" fontId="59" fillId="0" borderId="0" xfId="4" applyNumberFormat="1" applyFont="1" applyProtection="1"/>
    <xf numFmtId="165" fontId="12" fillId="0" borderId="9" xfId="4" applyNumberFormat="1" applyBorder="1"/>
    <xf numFmtId="165" fontId="59" fillId="0" borderId="0" xfId="4" applyNumberFormat="1" applyFont="1"/>
    <xf numFmtId="165" fontId="58" fillId="0" borderId="0" xfId="4" applyNumberFormat="1" applyFont="1" applyAlignment="1" applyProtection="1">
      <alignment horizontal="right"/>
    </xf>
    <xf numFmtId="165" fontId="58" fillId="0" borderId="0" xfId="4" applyNumberFormat="1" applyFont="1" applyAlignment="1">
      <alignment horizontal="left"/>
    </xf>
    <xf numFmtId="165" fontId="58" fillId="0" borderId="0" xfId="4" applyNumberFormat="1" applyFont="1" applyAlignment="1" applyProtection="1">
      <alignment horizontal="fill"/>
    </xf>
    <xf numFmtId="167" fontId="60" fillId="0" borderId="10" xfId="4" applyNumberFormat="1" applyFont="1" applyBorder="1" applyAlignment="1" applyProtection="1">
      <alignment horizontal="center"/>
    </xf>
    <xf numFmtId="165" fontId="12" fillId="0" borderId="5" xfId="4" applyNumberFormat="1" applyBorder="1" applyAlignment="1" applyProtection="1"/>
    <xf numFmtId="165" fontId="12" fillId="0" borderId="5" xfId="4" applyNumberFormat="1" applyBorder="1" applyAlignment="1" applyProtection="1">
      <alignment horizontal="left"/>
    </xf>
    <xf numFmtId="165" fontId="12" fillId="0" borderId="5" xfId="4" applyNumberFormat="1" applyBorder="1"/>
    <xf numFmtId="165" fontId="12" fillId="0" borderId="5" xfId="4" applyNumberFormat="1" applyBorder="1" applyAlignment="1">
      <alignment horizontal="left"/>
    </xf>
    <xf numFmtId="165" fontId="12" fillId="0" borderId="11" xfId="4" applyNumberFormat="1" applyBorder="1"/>
    <xf numFmtId="165" fontId="12" fillId="0" borderId="0" xfId="4" applyNumberFormat="1" applyBorder="1" applyAlignment="1"/>
    <xf numFmtId="165" fontId="12" fillId="0" borderId="0" xfId="4" applyNumberFormat="1" applyBorder="1" applyAlignment="1" applyProtection="1">
      <alignment horizontal="left"/>
    </xf>
    <xf numFmtId="165" fontId="12" fillId="0" borderId="0" xfId="4" applyNumberFormat="1" applyBorder="1"/>
    <xf numFmtId="165" fontId="12" fillId="0" borderId="0" xfId="4" applyNumberFormat="1" applyBorder="1" applyAlignment="1">
      <alignment horizontal="left"/>
    </xf>
    <xf numFmtId="165" fontId="12" fillId="0" borderId="0" xfId="4" applyNumberFormat="1" applyBorder="1" applyAlignment="1" applyProtection="1">
      <alignment horizontal="fill"/>
    </xf>
    <xf numFmtId="165" fontId="12" fillId="0" borderId="11" xfId="4" applyNumberFormat="1" applyBorder="1" applyProtection="1"/>
    <xf numFmtId="165" fontId="12" fillId="0" borderId="0" xfId="4" applyNumberFormat="1" applyBorder="1" applyAlignment="1" applyProtection="1"/>
    <xf numFmtId="165" fontId="26" fillId="0" borderId="0" xfId="4" applyNumberFormat="1" applyFont="1" applyBorder="1" applyProtection="1"/>
    <xf numFmtId="165" fontId="12" fillId="0" borderId="0" xfId="4" applyNumberFormat="1" applyBorder="1" applyProtection="1"/>
    <xf numFmtId="165" fontId="26" fillId="5" borderId="0" xfId="4" applyNumberFormat="1" applyFont="1" applyFill="1" applyBorder="1" applyProtection="1"/>
    <xf numFmtId="165" fontId="12" fillId="0" borderId="0" xfId="4" applyNumberFormat="1" applyBorder="1" applyAlignment="1" applyProtection="1">
      <alignment horizontal="right"/>
    </xf>
    <xf numFmtId="165" fontId="13" fillId="0" borderId="0" xfId="4" applyNumberFormat="1" applyFont="1" applyBorder="1" applyAlignment="1" applyProtection="1">
      <alignment horizontal="center"/>
    </xf>
    <xf numFmtId="165" fontId="13" fillId="0" borderId="0" xfId="4" applyNumberFormat="1" applyFont="1" applyBorder="1"/>
    <xf numFmtId="165" fontId="13" fillId="0" borderId="0" xfId="4" applyNumberFormat="1" applyFont="1" applyBorder="1" applyAlignment="1">
      <alignment horizontal="left"/>
    </xf>
    <xf numFmtId="165" fontId="13" fillId="0" borderId="0" xfId="4" applyNumberFormat="1" applyFont="1" applyBorder="1" applyProtection="1"/>
    <xf numFmtId="165" fontId="12" fillId="0" borderId="12" xfId="4" applyNumberFormat="1" applyBorder="1"/>
    <xf numFmtId="165" fontId="12" fillId="0" borderId="13" xfId="4" applyNumberFormat="1" applyBorder="1" applyAlignment="1"/>
    <xf numFmtId="165" fontId="12" fillId="0" borderId="13" xfId="4" applyNumberFormat="1" applyBorder="1"/>
    <xf numFmtId="165" fontId="12" fillId="0" borderId="13" xfId="4" applyNumberFormat="1" applyBorder="1" applyAlignment="1">
      <alignment horizontal="left"/>
    </xf>
    <xf numFmtId="165" fontId="12" fillId="0" borderId="13" xfId="4" applyNumberFormat="1" applyBorder="1" applyAlignment="1" applyProtection="1">
      <alignment horizontal="fill"/>
    </xf>
    <xf numFmtId="165" fontId="60" fillId="0" borderId="10" xfId="4" applyNumberFormat="1" applyFont="1" applyBorder="1" applyAlignment="1" applyProtection="1">
      <alignment horizontal="center"/>
    </xf>
    <xf numFmtId="166" fontId="12" fillId="0" borderId="11" xfId="4" applyNumberFormat="1" applyBorder="1" applyProtection="1"/>
    <xf numFmtId="166" fontId="12" fillId="0" borderId="12" xfId="4" applyNumberFormat="1" applyBorder="1" applyProtection="1"/>
    <xf numFmtId="165" fontId="13" fillId="0" borderId="13" xfId="4" applyNumberFormat="1" applyFont="1" applyBorder="1" applyAlignment="1" applyProtection="1">
      <alignment horizontal="center"/>
    </xf>
    <xf numFmtId="165" fontId="13" fillId="0" borderId="13" xfId="4" applyNumberFormat="1" applyFont="1" applyBorder="1"/>
    <xf numFmtId="165" fontId="13" fillId="0" borderId="13" xfId="4" applyNumberFormat="1" applyFont="1" applyBorder="1" applyAlignment="1">
      <alignment horizontal="left"/>
    </xf>
    <xf numFmtId="165" fontId="13" fillId="0" borderId="13" xfId="4" applyNumberFormat="1" applyFont="1" applyBorder="1" applyProtection="1"/>
    <xf numFmtId="165" fontId="61" fillId="0" borderId="0" xfId="4" applyNumberFormat="1" applyFont="1"/>
    <xf numFmtId="165" fontId="45" fillId="0" borderId="0" xfId="4" applyNumberFormat="1" applyFont="1" applyAlignment="1" applyProtection="1">
      <alignment horizontal="left"/>
    </xf>
    <xf numFmtId="165" fontId="12" fillId="0" borderId="0" xfId="4" applyNumberFormat="1" applyFont="1" applyAlignment="1" applyProtection="1"/>
    <xf numFmtId="167" fontId="12" fillId="0" borderId="0" xfId="4" applyNumberFormat="1" applyAlignment="1">
      <alignment horizontal="center"/>
    </xf>
    <xf numFmtId="168" fontId="12" fillId="0" borderId="0" xfId="4" applyNumberFormat="1"/>
    <xf numFmtId="165" fontId="12" fillId="0" borderId="0" xfId="4" applyNumberFormat="1" applyAlignment="1">
      <alignment wrapText="1"/>
    </xf>
    <xf numFmtId="165" fontId="12" fillId="0" borderId="0" xfId="4" applyNumberFormat="1" applyAlignment="1" applyProtection="1">
      <alignment vertical="center"/>
    </xf>
    <xf numFmtId="165" fontId="12" fillId="0" borderId="0" xfId="4" applyNumberFormat="1" applyFont="1" applyAlignment="1" applyProtection="1">
      <alignment horizontal="left" wrapText="1"/>
    </xf>
    <xf numFmtId="165" fontId="12" fillId="0" borderId="0" xfId="4" applyNumberFormat="1" applyAlignment="1" applyProtection="1">
      <alignment horizontal="left" vertical="center"/>
    </xf>
    <xf numFmtId="165" fontId="12" fillId="0" borderId="0" xfId="4" applyNumberFormat="1" applyFont="1" applyAlignment="1" applyProtection="1">
      <alignment vertical="center"/>
    </xf>
    <xf numFmtId="165" fontId="62" fillId="5" borderId="0" xfId="4" applyNumberFormat="1" applyFont="1" applyFill="1" applyProtection="1"/>
    <xf numFmtId="165" fontId="62" fillId="3" borderId="0" xfId="4" applyNumberFormat="1" applyFont="1" applyFill="1" applyProtection="1"/>
    <xf numFmtId="165" fontId="30" fillId="6" borderId="0" xfId="4" applyNumberFormat="1" applyFont="1" applyFill="1" applyAlignment="1" applyProtection="1">
      <alignment vertical="center"/>
    </xf>
    <xf numFmtId="165" fontId="30" fillId="6" borderId="0" xfId="4" applyNumberFormat="1" applyFont="1" applyFill="1" applyAlignment="1" applyProtection="1">
      <alignment horizontal="left"/>
    </xf>
    <xf numFmtId="165" fontId="17" fillId="6" borderId="0" xfId="4" applyNumberFormat="1" applyFont="1" applyFill="1" applyAlignment="1" applyProtection="1">
      <alignment horizontal="left"/>
    </xf>
    <xf numFmtId="165" fontId="47" fillId="0" borderId="0" xfId="4" applyNumberFormat="1" applyFont="1" applyProtection="1"/>
    <xf numFmtId="165" fontId="13" fillId="0" borderId="14" xfId="4" applyNumberFormat="1" applyFont="1" applyBorder="1" applyProtection="1"/>
    <xf numFmtId="165" fontId="12" fillId="0" borderId="15" xfId="4" applyNumberFormat="1" applyBorder="1" applyAlignment="1" applyProtection="1">
      <alignment horizontal="fill"/>
    </xf>
    <xf numFmtId="165" fontId="61" fillId="0" borderId="0" xfId="4" applyNumberFormat="1" applyFont="1" applyAlignment="1" applyProtection="1">
      <alignment horizontal="left"/>
    </xf>
    <xf numFmtId="165" fontId="26" fillId="5" borderId="0" xfId="4" applyNumberFormat="1" applyFont="1" applyFill="1" applyProtection="1"/>
    <xf numFmtId="165" fontId="30" fillId="5" borderId="0" xfId="4" applyNumberFormat="1" applyFont="1" applyFill="1" applyProtection="1"/>
    <xf numFmtId="165" fontId="30" fillId="5" borderId="0" xfId="4" applyNumberFormat="1" applyFont="1" applyFill="1"/>
    <xf numFmtId="165" fontId="38" fillId="6" borderId="0" xfId="4" applyNumberFormat="1" applyFont="1" applyFill="1" applyProtection="1"/>
    <xf numFmtId="168" fontId="12" fillId="0" borderId="0" xfId="4" applyNumberFormat="1" applyAlignment="1" applyProtection="1">
      <alignment horizontal="center" vertical="top"/>
    </xf>
    <xf numFmtId="165" fontId="24" fillId="0" borderId="0" xfId="4" applyNumberFormat="1" applyFont="1" applyAlignment="1" applyProtection="1">
      <alignment horizontal="right" vertical="center"/>
    </xf>
    <xf numFmtId="2" fontId="58" fillId="0" borderId="6" xfId="6" applyNumberFormat="1" applyFont="1" applyBorder="1" applyAlignment="1">
      <alignment vertical="top" wrapText="1"/>
    </xf>
    <xf numFmtId="165" fontId="12" fillId="0" borderId="0" xfId="4" applyNumberFormat="1" applyFill="1" applyBorder="1" applyAlignment="1" applyProtection="1">
      <alignment horizontal="left"/>
    </xf>
    <xf numFmtId="168" fontId="12" fillId="0" borderId="0" xfId="4" applyNumberFormat="1" applyAlignment="1">
      <alignment horizontal="center" vertical="top" wrapText="1"/>
    </xf>
    <xf numFmtId="165" fontId="13" fillId="0" borderId="0" xfId="4" applyNumberFormat="1" applyFont="1" applyAlignment="1" applyProtection="1">
      <alignment horizontal="left" vertical="top" wrapText="1"/>
    </xf>
    <xf numFmtId="165" fontId="47" fillId="6" borderId="0" xfId="4" applyNumberFormat="1" applyFont="1" applyFill="1"/>
    <xf numFmtId="165" fontId="24" fillId="0" borderId="0" xfId="4" applyNumberFormat="1" applyFont="1"/>
    <xf numFmtId="165" fontId="12" fillId="0" borderId="0" xfId="4" applyNumberFormat="1" applyBorder="1" applyAlignment="1">
      <alignment horizontal="left" vertical="top"/>
    </xf>
    <xf numFmtId="165" fontId="12" fillId="0" borderId="0" xfId="4" applyNumberFormat="1" applyFont="1" applyBorder="1" applyAlignment="1">
      <alignment horizontal="right" vertical="top"/>
    </xf>
    <xf numFmtId="165" fontId="12" fillId="6" borderId="0" xfId="4" applyNumberFormat="1" applyFont="1" applyFill="1"/>
    <xf numFmtId="165" fontId="17" fillId="6" borderId="0" xfId="4" applyNumberFormat="1" applyFont="1" applyFill="1"/>
    <xf numFmtId="165" fontId="13" fillId="0" borderId="0" xfId="4" applyNumberFormat="1" applyFont="1" applyAlignment="1">
      <alignment horizontal="left" vertical="top" wrapText="1"/>
    </xf>
    <xf numFmtId="165" fontId="13" fillId="5" borderId="0" xfId="4" applyNumberFormat="1" applyFont="1" applyFill="1" applyAlignment="1">
      <alignment wrapText="1"/>
    </xf>
    <xf numFmtId="166" fontId="16" fillId="0" borderId="0" xfId="4" applyNumberFormat="1" applyFont="1"/>
    <xf numFmtId="165" fontId="13" fillId="0" borderId="0" xfId="4" applyNumberFormat="1" applyFont="1" applyAlignment="1">
      <alignment horizontal="right" vertical="top"/>
    </xf>
    <xf numFmtId="165" fontId="12" fillId="0" borderId="0" xfId="4" applyNumberFormat="1" applyFont="1" applyAlignment="1">
      <alignment vertical="top" wrapText="1"/>
    </xf>
    <xf numFmtId="165" fontId="12" fillId="6" borderId="0" xfId="4" quotePrefix="1" applyNumberFormat="1" applyFill="1"/>
    <xf numFmtId="165" fontId="13" fillId="0" borderId="0" xfId="4" applyNumberFormat="1" applyFont="1" applyAlignment="1">
      <alignment horizontal="center"/>
    </xf>
    <xf numFmtId="165" fontId="13" fillId="0" borderId="0" xfId="4" applyNumberFormat="1" applyFont="1" applyAlignment="1">
      <alignment horizontal="left" wrapText="1"/>
    </xf>
    <xf numFmtId="165" fontId="12" fillId="0" borderId="0" xfId="4" applyNumberFormat="1" applyAlignment="1">
      <alignment horizontal="left" wrapText="1"/>
    </xf>
    <xf numFmtId="165" fontId="26" fillId="3" borderId="0" xfId="4" applyNumberFormat="1" applyFont="1" applyFill="1"/>
    <xf numFmtId="165" fontId="26" fillId="0" borderId="0" xfId="4" applyNumberFormat="1" applyFont="1" applyAlignment="1" applyProtection="1">
      <alignment horizontal="right"/>
    </xf>
    <xf numFmtId="165" fontId="12" fillId="6" borderId="0" xfId="4" applyNumberFormat="1" applyFill="1" applyAlignment="1">
      <alignment wrapText="1"/>
    </xf>
    <xf numFmtId="165" fontId="12" fillId="0" borderId="0" xfId="4" quotePrefix="1" applyNumberFormat="1" applyAlignment="1" applyProtection="1">
      <alignment horizontal="fill"/>
    </xf>
    <xf numFmtId="165" fontId="12" fillId="6" borderId="0" xfId="4" applyNumberFormat="1" applyFill="1" applyAlignment="1" applyProtection="1">
      <alignment horizontal="left"/>
    </xf>
    <xf numFmtId="166" fontId="12" fillId="0" borderId="0" xfId="4" applyNumberFormat="1" applyFont="1" applyProtection="1"/>
    <xf numFmtId="165" fontId="12" fillId="0" borderId="0" xfId="4" quotePrefix="1" applyNumberFormat="1" applyFont="1" applyAlignment="1" applyProtection="1">
      <alignment horizontal="fill"/>
    </xf>
    <xf numFmtId="165" fontId="13" fillId="0" borderId="0" xfId="4" quotePrefix="1" applyNumberFormat="1" applyFont="1" applyProtection="1"/>
    <xf numFmtId="165" fontId="12" fillId="0" borderId="0" xfId="4" quotePrefix="1" applyNumberFormat="1" applyFont="1" applyProtection="1"/>
    <xf numFmtId="165" fontId="32" fillId="6" borderId="0" xfId="4" applyNumberFormat="1" applyFont="1" applyFill="1"/>
    <xf numFmtId="168" fontId="13" fillId="0" borderId="0" xfId="4" applyNumberFormat="1" applyFont="1"/>
    <xf numFmtId="165" fontId="12" fillId="0" borderId="0" xfId="4" applyNumberFormat="1" applyFont="1" applyAlignment="1">
      <alignment horizontal="fill"/>
    </xf>
    <xf numFmtId="165" fontId="12" fillId="0" borderId="0" xfId="4" quotePrefix="1" applyNumberFormat="1" applyFont="1" applyAlignment="1">
      <alignment horizontal="fill"/>
    </xf>
    <xf numFmtId="170" fontId="13" fillId="0" borderId="0" xfId="4" applyNumberFormat="1" applyFont="1"/>
    <xf numFmtId="170" fontId="13" fillId="0" borderId="0" xfId="4" applyNumberFormat="1" applyFont="1" applyAlignment="1">
      <alignment horizontal="right"/>
    </xf>
    <xf numFmtId="165" fontId="65" fillId="0" borderId="0" xfId="4" applyNumberFormat="1" applyFont="1"/>
    <xf numFmtId="165" fontId="66" fillId="0" borderId="0" xfId="4" applyNumberFormat="1" applyFont="1" applyAlignment="1">
      <alignment horizontal="left" vertical="top"/>
    </xf>
    <xf numFmtId="168" fontId="21" fillId="0" borderId="0" xfId="4" applyNumberFormat="1" applyFont="1" applyAlignment="1" applyProtection="1">
      <alignment horizontal="center"/>
    </xf>
    <xf numFmtId="165" fontId="21" fillId="0" borderId="0" xfId="4" applyNumberFormat="1" applyFont="1" applyAlignment="1"/>
    <xf numFmtId="165" fontId="21" fillId="0" borderId="0" xfId="4" applyNumberFormat="1" applyFont="1"/>
    <xf numFmtId="165" fontId="21" fillId="0" borderId="0" xfId="4" applyNumberFormat="1" applyFont="1" applyAlignment="1">
      <alignment horizontal="left"/>
    </xf>
    <xf numFmtId="165" fontId="21" fillId="0" borderId="0" xfId="4" applyNumberFormat="1" applyFont="1" applyAlignment="1" applyProtection="1">
      <alignment horizontal="fill"/>
    </xf>
    <xf numFmtId="165" fontId="12" fillId="0" borderId="0" xfId="4" applyNumberFormat="1" applyFont="1" applyAlignment="1">
      <alignment wrapText="1"/>
    </xf>
    <xf numFmtId="165" fontId="40" fillId="2" borderId="0" xfId="4" applyNumberFormat="1" applyFont="1" applyFill="1"/>
    <xf numFmtId="169" fontId="21" fillId="0" borderId="0" xfId="4" applyNumberFormat="1" applyFont="1" applyProtection="1"/>
    <xf numFmtId="169" fontId="21" fillId="0" borderId="0" xfId="4" applyNumberFormat="1" applyFont="1" applyAlignment="1" applyProtection="1">
      <alignment horizontal="left"/>
    </xf>
    <xf numFmtId="171" fontId="21" fillId="0" borderId="0" xfId="4" applyNumberFormat="1" applyFont="1" applyProtection="1"/>
    <xf numFmtId="165" fontId="21" fillId="0" borderId="0" xfId="4" applyNumberFormat="1" applyFont="1" applyAlignment="1" applyProtection="1"/>
    <xf numFmtId="165" fontId="21" fillId="0" borderId="0" xfId="4" applyNumberFormat="1" applyFont="1" applyProtection="1"/>
    <xf numFmtId="165" fontId="67" fillId="6" borderId="0" xfId="4" applyNumberFormat="1" applyFont="1" applyFill="1" applyProtection="1"/>
    <xf numFmtId="165" fontId="21" fillId="6" borderId="0" xfId="4" applyNumberFormat="1" applyFont="1" applyFill="1" applyAlignment="1" applyProtection="1">
      <alignment horizontal="left"/>
    </xf>
    <xf numFmtId="165" fontId="21" fillId="0" borderId="0" xfId="4" applyNumberFormat="1" applyFont="1" applyAlignment="1" applyProtection="1">
      <alignment horizontal="center"/>
    </xf>
    <xf numFmtId="165" fontId="24" fillId="5" borderId="0" xfId="4" applyNumberFormat="1" applyFont="1" applyFill="1"/>
    <xf numFmtId="165" fontId="15" fillId="0" borderId="0" xfId="4" applyNumberFormat="1" applyFont="1"/>
    <xf numFmtId="165" fontId="15" fillId="0" borderId="0" xfId="4" applyNumberFormat="1" applyFont="1" applyAlignment="1">
      <alignment horizontal="left"/>
    </xf>
    <xf numFmtId="165" fontId="15" fillId="0" borderId="0" xfId="4" applyNumberFormat="1" applyFont="1" applyAlignment="1" applyProtection="1">
      <alignment horizontal="fill"/>
    </xf>
    <xf numFmtId="165" fontId="15" fillId="0" borderId="0" xfId="4" applyNumberFormat="1" applyFont="1" applyAlignment="1" applyProtection="1">
      <alignment horizontal="center"/>
    </xf>
    <xf numFmtId="165" fontId="15" fillId="0" borderId="0" xfId="4" applyNumberFormat="1" applyFont="1" applyProtection="1"/>
    <xf numFmtId="2" fontId="12" fillId="0" borderId="0" xfId="4" applyNumberFormat="1"/>
    <xf numFmtId="165" fontId="46" fillId="0" borderId="0" xfId="4" applyNumberFormat="1" applyFont="1" applyAlignment="1">
      <alignment horizontal="right"/>
    </xf>
    <xf numFmtId="2" fontId="13" fillId="0" borderId="0" xfId="4" applyNumberFormat="1" applyFont="1"/>
    <xf numFmtId="165" fontId="56" fillId="0" borderId="0" xfId="4" applyNumberFormat="1" applyFont="1"/>
    <xf numFmtId="165" fontId="56" fillId="0" borderId="0" xfId="4" applyNumberFormat="1" applyFont="1" applyAlignment="1"/>
    <xf numFmtId="165" fontId="66" fillId="0" borderId="13" xfId="4" applyNumberFormat="1" applyFont="1" applyBorder="1"/>
    <xf numFmtId="165" fontId="56" fillId="0" borderId="0" xfId="4" applyNumberFormat="1" applyFont="1" applyAlignment="1">
      <alignment horizontal="center"/>
    </xf>
    <xf numFmtId="165" fontId="56" fillId="0" borderId="0" xfId="4" applyNumberFormat="1" applyFont="1" applyAlignment="1">
      <alignment horizontal="right"/>
    </xf>
    <xf numFmtId="165" fontId="66" fillId="0" borderId="0" xfId="4" applyNumberFormat="1" applyFont="1" applyAlignment="1">
      <alignment horizontal="right"/>
    </xf>
    <xf numFmtId="165" fontId="66" fillId="0" borderId="0" xfId="4" applyNumberFormat="1" applyFont="1"/>
    <xf numFmtId="165" fontId="56" fillId="0" borderId="0" xfId="4" applyNumberFormat="1" applyFont="1" applyAlignment="1" applyProtection="1"/>
    <xf numFmtId="165" fontId="56" fillId="0" borderId="0" xfId="4" applyNumberFormat="1" applyFont="1" applyAlignment="1" applyProtection="1">
      <alignment horizontal="fill"/>
    </xf>
    <xf numFmtId="165" fontId="56" fillId="6" borderId="0" xfId="4" applyNumberFormat="1" applyFont="1" applyFill="1" applyAlignment="1" applyProtection="1">
      <alignment horizontal="left"/>
    </xf>
    <xf numFmtId="165" fontId="66" fillId="0" borderId="0" xfId="4" applyNumberFormat="1" applyFont="1" applyAlignment="1">
      <alignment horizontal="center"/>
    </xf>
    <xf numFmtId="165" fontId="66" fillId="0" borderId="0" xfId="4" applyNumberFormat="1" applyFont="1" applyAlignment="1" applyProtection="1">
      <alignment horizontal="right"/>
    </xf>
    <xf numFmtId="165" fontId="56" fillId="0" borderId="0" xfId="4" applyNumberFormat="1" applyFont="1" applyAlignment="1" applyProtection="1">
      <alignment horizontal="right"/>
    </xf>
    <xf numFmtId="165" fontId="66" fillId="0" borderId="0" xfId="4" applyNumberFormat="1" applyFont="1" applyAlignment="1" applyProtection="1">
      <alignment horizontal="fill"/>
    </xf>
    <xf numFmtId="165" fontId="66" fillId="0" borderId="0" xfId="4" applyNumberFormat="1" applyFont="1" applyAlignment="1" applyProtection="1">
      <alignment horizontal="left"/>
    </xf>
    <xf numFmtId="165" fontId="66" fillId="0" borderId="0" xfId="4" applyNumberFormat="1" applyFont="1" applyProtection="1"/>
    <xf numFmtId="168" fontId="56" fillId="0" borderId="0" xfId="4" applyNumberFormat="1" applyFont="1" applyAlignment="1" applyProtection="1">
      <alignment horizontal="center"/>
    </xf>
    <xf numFmtId="165" fontId="56" fillId="0" borderId="0" xfId="4" applyNumberFormat="1" applyFont="1" applyAlignment="1" applyProtection="1">
      <alignment horizontal="left" wrapText="1"/>
    </xf>
    <xf numFmtId="167" fontId="56" fillId="0" borderId="0" xfId="4" applyNumberFormat="1" applyFont="1" applyAlignment="1">
      <alignment horizontal="center"/>
    </xf>
    <xf numFmtId="166" fontId="56" fillId="0" borderId="0" xfId="4" applyNumberFormat="1" applyFont="1"/>
    <xf numFmtId="166" fontId="56" fillId="0" borderId="0" xfId="4" applyNumberFormat="1" applyFont="1" applyAlignment="1" applyProtection="1">
      <alignment horizontal="center"/>
    </xf>
    <xf numFmtId="165" fontId="56" fillId="0" borderId="10" xfId="4" applyNumberFormat="1" applyFont="1" applyBorder="1"/>
    <xf numFmtId="165" fontId="56" fillId="0" borderId="5" xfId="4" applyNumberFormat="1" applyFont="1" applyBorder="1"/>
    <xf numFmtId="168" fontId="56" fillId="0" borderId="11" xfId="4" applyNumberFormat="1" applyFont="1" applyBorder="1" applyAlignment="1" applyProtection="1">
      <alignment horizontal="center"/>
    </xf>
    <xf numFmtId="165" fontId="66" fillId="0" borderId="0" xfId="4" applyNumberFormat="1" applyFont="1" applyBorder="1" applyAlignment="1"/>
    <xf numFmtId="165" fontId="56" fillId="0" borderId="0" xfId="4" applyNumberFormat="1" applyFont="1" applyBorder="1"/>
    <xf numFmtId="165" fontId="56" fillId="0" borderId="0" xfId="4" applyNumberFormat="1" applyFont="1" applyBorder="1" applyAlignment="1">
      <alignment horizontal="center"/>
    </xf>
    <xf numFmtId="165" fontId="56" fillId="0" borderId="11" xfId="4" applyNumberFormat="1" applyFont="1" applyBorder="1"/>
    <xf numFmtId="165" fontId="56" fillId="0" borderId="0" xfId="4" applyNumberFormat="1" applyFont="1" applyBorder="1" applyAlignment="1"/>
    <xf numFmtId="165" fontId="68" fillId="3" borderId="0" xfId="4" applyNumberFormat="1" applyFont="1" applyFill="1" applyBorder="1"/>
    <xf numFmtId="165" fontId="68" fillId="9" borderId="0" xfId="4" applyNumberFormat="1" applyFont="1" applyFill="1" applyBorder="1"/>
    <xf numFmtId="165" fontId="56" fillId="0" borderId="0" xfId="4" applyNumberFormat="1" applyFont="1" applyBorder="1" applyAlignment="1">
      <alignment horizontal="right"/>
    </xf>
    <xf numFmtId="169" fontId="56" fillId="0" borderId="0" xfId="4" applyNumberFormat="1" applyFont="1" applyProtection="1"/>
    <xf numFmtId="165" fontId="63" fillId="0" borderId="0" xfId="4" applyNumberFormat="1" applyFont="1" applyBorder="1" applyAlignment="1">
      <alignment horizontal="fill"/>
    </xf>
    <xf numFmtId="169" fontId="12" fillId="0" borderId="0" xfId="4" applyNumberFormat="1"/>
    <xf numFmtId="165" fontId="66" fillId="0" borderId="0" xfId="4" applyNumberFormat="1" applyFont="1" applyBorder="1"/>
    <xf numFmtId="169" fontId="56" fillId="0" borderId="0" xfId="4" applyNumberFormat="1" applyFont="1" applyAlignment="1" applyProtection="1">
      <alignment horizontal="center"/>
    </xf>
    <xf numFmtId="165" fontId="56" fillId="0" borderId="12" xfId="4" applyNumberFormat="1" applyFont="1" applyBorder="1"/>
    <xf numFmtId="165" fontId="56" fillId="0" borderId="13" xfId="4" applyNumberFormat="1" applyFont="1" applyBorder="1" applyAlignment="1"/>
    <xf numFmtId="165" fontId="56" fillId="0" borderId="13" xfId="4" applyNumberFormat="1" applyFont="1" applyBorder="1"/>
    <xf numFmtId="165" fontId="56" fillId="0" borderId="13" xfId="4" applyNumberFormat="1" applyFont="1" applyBorder="1" applyAlignment="1">
      <alignment horizontal="center"/>
    </xf>
    <xf numFmtId="165" fontId="63" fillId="0" borderId="13" xfId="4" applyNumberFormat="1" applyFont="1" applyBorder="1" applyAlignment="1">
      <alignment horizontal="fill"/>
    </xf>
    <xf numFmtId="166" fontId="56" fillId="0" borderId="0" xfId="4" applyNumberFormat="1" applyFont="1" applyProtection="1"/>
    <xf numFmtId="166" fontId="56" fillId="0" borderId="0" xfId="4" applyNumberFormat="1" applyFont="1" applyAlignment="1"/>
    <xf numFmtId="172" fontId="13" fillId="0" borderId="0" xfId="4" applyNumberFormat="1" applyFont="1"/>
    <xf numFmtId="169" fontId="13" fillId="0" borderId="0" xfId="4" applyNumberFormat="1" applyFont="1"/>
    <xf numFmtId="165" fontId="13" fillId="0" borderId="0" xfId="4" quotePrefix="1" applyNumberFormat="1" applyFont="1"/>
    <xf numFmtId="171" fontId="56" fillId="0" borderId="0" xfId="4" applyNumberFormat="1" applyFont="1"/>
    <xf numFmtId="170" fontId="56" fillId="0" borderId="0" xfId="4" applyNumberFormat="1" applyFont="1" applyProtection="1"/>
    <xf numFmtId="165" fontId="56" fillId="6" borderId="0" xfId="4" applyNumberFormat="1" applyFont="1" applyFill="1" applyProtection="1"/>
    <xf numFmtId="165" fontId="69" fillId="0" borderId="0" xfId="4" applyNumberFormat="1" applyFont="1"/>
    <xf numFmtId="165" fontId="70" fillId="6" borderId="0" xfId="4" applyNumberFormat="1" applyFont="1" applyFill="1"/>
    <xf numFmtId="165" fontId="71" fillId="0" borderId="0" xfId="4" applyNumberFormat="1" applyFont="1" applyProtection="1"/>
    <xf numFmtId="165" fontId="56" fillId="0" borderId="0" xfId="4" applyNumberFormat="1" applyFont="1" applyAlignment="1">
      <alignment horizontal="left"/>
    </xf>
    <xf numFmtId="169" fontId="56" fillId="0" borderId="0" xfId="4" applyNumberFormat="1" applyFont="1" applyAlignment="1" applyProtection="1">
      <alignment horizontal="left"/>
    </xf>
    <xf numFmtId="170" fontId="56" fillId="0" borderId="0" xfId="4" applyNumberFormat="1" applyFont="1"/>
    <xf numFmtId="169" fontId="56" fillId="0" borderId="0" xfId="4" applyNumberFormat="1" applyFont="1"/>
    <xf numFmtId="171" fontId="56" fillId="0" borderId="0" xfId="4" applyNumberFormat="1" applyFont="1" applyProtection="1"/>
    <xf numFmtId="165" fontId="56" fillId="6" borderId="0" xfId="4" applyNumberFormat="1" applyFont="1" applyFill="1" applyAlignment="1" applyProtection="1">
      <alignment horizontal="left" wrapText="1"/>
    </xf>
    <xf numFmtId="165" fontId="68" fillId="3" borderId="0" xfId="4" applyNumberFormat="1" applyFont="1" applyFill="1" applyProtection="1"/>
    <xf numFmtId="165" fontId="66" fillId="0" borderId="0" xfId="4" applyNumberFormat="1" applyFont="1" applyAlignment="1">
      <alignment horizontal="left"/>
    </xf>
    <xf numFmtId="165" fontId="66" fillId="0" borderId="0" xfId="4" applyNumberFormat="1" applyFont="1" applyAlignment="1" applyProtection="1">
      <alignment horizontal="center"/>
    </xf>
    <xf numFmtId="165" fontId="68" fillId="6" borderId="0" xfId="4" applyNumberFormat="1" applyFont="1" applyFill="1"/>
    <xf numFmtId="165" fontId="66" fillId="0" borderId="0" xfId="4" applyNumberFormat="1" applyFont="1" applyAlignment="1">
      <alignment vertical="top" wrapText="1"/>
    </xf>
    <xf numFmtId="165" fontId="56" fillId="0" borderId="0" xfId="4" applyNumberFormat="1" applyFont="1" applyAlignment="1">
      <alignment vertical="top" wrapText="1"/>
    </xf>
    <xf numFmtId="165" fontId="70" fillId="5" borderId="0" xfId="4" applyNumberFormat="1" applyFont="1" applyFill="1"/>
    <xf numFmtId="165" fontId="70" fillId="0" borderId="0" xfId="4" applyNumberFormat="1" applyFont="1"/>
    <xf numFmtId="170" fontId="56" fillId="0" borderId="0" xfId="4" applyNumberFormat="1" applyFont="1" applyBorder="1" applyAlignment="1"/>
    <xf numFmtId="170" fontId="56" fillId="0" borderId="0" xfId="4" applyNumberFormat="1" applyFont="1" applyBorder="1"/>
    <xf numFmtId="165" fontId="56" fillId="0" borderId="0" xfId="4" applyNumberFormat="1" applyFont="1" applyFill="1" applyBorder="1"/>
    <xf numFmtId="165" fontId="56" fillId="0" borderId="0" xfId="4" applyNumberFormat="1" applyFont="1" applyFill="1" applyBorder="1" applyAlignment="1"/>
    <xf numFmtId="165" fontId="73" fillId="0" borderId="0" xfId="4" applyNumberFormat="1" applyFont="1" applyAlignment="1" applyProtection="1">
      <alignment horizontal="left"/>
    </xf>
    <xf numFmtId="165" fontId="74" fillId="0" borderId="0" xfId="4" applyNumberFormat="1" applyFont="1" applyAlignment="1"/>
    <xf numFmtId="165" fontId="74" fillId="0" borderId="0" xfId="4" applyNumberFormat="1" applyFont="1" applyAlignment="1" applyProtection="1">
      <alignment horizontal="left"/>
    </xf>
    <xf numFmtId="169" fontId="74" fillId="0" borderId="0" xfId="4" applyNumberFormat="1" applyFont="1"/>
    <xf numFmtId="165" fontId="74" fillId="0" borderId="0" xfId="4" applyNumberFormat="1" applyFont="1" applyAlignment="1">
      <alignment horizontal="left"/>
    </xf>
    <xf numFmtId="165" fontId="74" fillId="0" borderId="0" xfId="4" applyNumberFormat="1" applyFont="1"/>
    <xf numFmtId="165" fontId="75" fillId="6" borderId="0" xfId="4" applyNumberFormat="1" applyFont="1" applyFill="1" applyProtection="1"/>
    <xf numFmtId="169" fontId="74" fillId="0" borderId="0" xfId="4" applyNumberFormat="1" applyFont="1" applyAlignment="1" applyProtection="1">
      <alignment horizontal="left"/>
    </xf>
    <xf numFmtId="165" fontId="76" fillId="0" borderId="0" xfId="4" applyNumberFormat="1" applyFont="1" applyProtection="1"/>
    <xf numFmtId="165" fontId="77" fillId="0" borderId="0" xfId="4" applyNumberFormat="1" applyFont="1"/>
    <xf numFmtId="165" fontId="21" fillId="0" borderId="0" xfId="4" applyNumberFormat="1" applyFont="1" applyAlignment="1" applyProtection="1">
      <alignment horizontal="right"/>
    </xf>
    <xf numFmtId="165" fontId="78" fillId="0" borderId="0" xfId="4" applyNumberFormat="1" applyFont="1"/>
    <xf numFmtId="165" fontId="79" fillId="0" borderId="0" xfId="4" applyNumberFormat="1" applyFont="1"/>
    <xf numFmtId="165" fontId="30" fillId="6" borderId="0" xfId="4" applyNumberFormat="1" applyFont="1" applyFill="1"/>
    <xf numFmtId="166" fontId="12" fillId="0" borderId="0" xfId="4" applyNumberFormat="1" applyAlignment="1"/>
    <xf numFmtId="165" fontId="64" fillId="0" borderId="0" xfId="4" applyNumberFormat="1" applyFont="1" applyAlignment="1" applyProtection="1">
      <alignment horizontal="left"/>
    </xf>
    <xf numFmtId="166" fontId="66" fillId="0" borderId="0" xfId="4" applyNumberFormat="1" applyFont="1" applyAlignment="1">
      <alignment horizontal="right"/>
    </xf>
    <xf numFmtId="170" fontId="66" fillId="0" borderId="0" xfId="4" applyNumberFormat="1" applyFont="1" applyAlignment="1">
      <alignment horizontal="right"/>
    </xf>
    <xf numFmtId="165" fontId="12" fillId="0" borderId="0" xfId="4" applyNumberFormat="1" applyFont="1" applyAlignment="1">
      <alignment horizontal="right"/>
    </xf>
    <xf numFmtId="169" fontId="56" fillId="0" borderId="0" xfId="4" applyNumberFormat="1" applyFont="1" applyAlignment="1">
      <alignment horizontal="right"/>
    </xf>
    <xf numFmtId="169" fontId="66" fillId="0" borderId="0" xfId="4" applyNumberFormat="1" applyFont="1" applyAlignment="1" applyProtection="1">
      <alignment horizontal="right"/>
    </xf>
    <xf numFmtId="170" fontId="12" fillId="0" borderId="0" xfId="4" applyNumberFormat="1" applyAlignment="1">
      <alignment horizontal="right"/>
    </xf>
    <xf numFmtId="170" fontId="56" fillId="0" borderId="0" xfId="4" applyNumberFormat="1" applyFont="1" applyAlignment="1" applyProtection="1">
      <alignment horizontal="right"/>
    </xf>
    <xf numFmtId="170" fontId="66" fillId="0" borderId="0" xfId="4" applyNumberFormat="1" applyFont="1" applyAlignment="1" applyProtection="1">
      <alignment horizontal="right"/>
    </xf>
    <xf numFmtId="165" fontId="56" fillId="2" borderId="0" xfId="4" applyNumberFormat="1" applyFont="1" applyFill="1" applyAlignment="1" applyProtection="1">
      <alignment horizontal="left"/>
    </xf>
    <xf numFmtId="165" fontId="80" fillId="0" borderId="0" xfId="4" applyNumberFormat="1" applyFont="1" applyProtection="1"/>
    <xf numFmtId="165" fontId="56" fillId="0" borderId="0" xfId="4" quotePrefix="1" applyNumberFormat="1" applyFont="1" applyAlignment="1" applyProtection="1">
      <alignment horizontal="left"/>
    </xf>
    <xf numFmtId="165" fontId="56" fillId="5" borderId="0" xfId="4" applyNumberFormat="1" applyFont="1" applyFill="1" applyAlignment="1" applyProtection="1">
      <alignment horizontal="left"/>
    </xf>
    <xf numFmtId="171" fontId="56" fillId="0" borderId="0" xfId="4" applyNumberFormat="1" applyFont="1" applyAlignment="1">
      <alignment horizontal="right"/>
    </xf>
    <xf numFmtId="166" fontId="13" fillId="0" borderId="0" xfId="4" applyNumberFormat="1" applyFont="1"/>
    <xf numFmtId="165" fontId="12" fillId="6" borderId="0" xfId="4" applyNumberFormat="1" applyFill="1" applyAlignment="1" applyProtection="1">
      <alignment horizontal="left" wrapText="1"/>
    </xf>
    <xf numFmtId="165" fontId="70" fillId="0" borderId="0" xfId="4" applyNumberFormat="1" applyFont="1" applyProtection="1"/>
    <xf numFmtId="165" fontId="45" fillId="6" borderId="0" xfId="4" applyNumberFormat="1" applyFont="1" applyFill="1"/>
    <xf numFmtId="165" fontId="13" fillId="6" borderId="0" xfId="4" applyNumberFormat="1" applyFont="1" applyFill="1"/>
    <xf numFmtId="165" fontId="19" fillId="0" borderId="0" xfId="4" applyNumberFormat="1" applyFont="1"/>
    <xf numFmtId="165" fontId="68" fillId="6" borderId="0" xfId="4" applyNumberFormat="1" applyFont="1" applyFill="1" applyProtection="1"/>
    <xf numFmtId="166" fontId="56" fillId="0" borderId="0" xfId="4" applyNumberFormat="1" applyFont="1" applyAlignment="1" applyProtection="1">
      <alignment horizontal="right"/>
    </xf>
    <xf numFmtId="165" fontId="81" fillId="5" borderId="0" xfId="4" applyNumberFormat="1" applyFont="1" applyFill="1" applyAlignment="1" applyProtection="1">
      <alignment horizontal="right"/>
    </xf>
    <xf numFmtId="165" fontId="81" fillId="0" borderId="0" xfId="4" applyNumberFormat="1" applyFont="1" applyAlignment="1" applyProtection="1">
      <alignment horizontal="right"/>
    </xf>
    <xf numFmtId="167" fontId="13" fillId="0" borderId="0" xfId="4" applyNumberFormat="1" applyFont="1" applyAlignment="1">
      <alignment vertical="center"/>
    </xf>
    <xf numFmtId="2" fontId="58" fillId="0" borderId="0" xfId="6" applyNumberFormat="1" applyFont="1" applyBorder="1" applyAlignment="1">
      <alignment vertical="top" wrapText="1"/>
    </xf>
    <xf numFmtId="165" fontId="38" fillId="10" borderId="0" xfId="4" applyNumberFormat="1" applyFont="1" applyFill="1"/>
    <xf numFmtId="165" fontId="12" fillId="0" borderId="0" xfId="4" applyNumberFormat="1" applyAlignment="1">
      <alignment horizontal="fill"/>
    </xf>
    <xf numFmtId="165" fontId="63" fillId="0" borderId="0" xfId="4" applyNumberFormat="1" applyFont="1"/>
    <xf numFmtId="165" fontId="63" fillId="0" borderId="0" xfId="4" applyNumberFormat="1" applyFont="1" applyAlignment="1"/>
    <xf numFmtId="165" fontId="63" fillId="0" borderId="0" xfId="4" applyNumberFormat="1" applyFont="1" applyAlignment="1">
      <alignment horizontal="left"/>
    </xf>
    <xf numFmtId="165" fontId="84" fillId="0" borderId="0" xfId="4" applyNumberFormat="1" applyFont="1"/>
    <xf numFmtId="165" fontId="64" fillId="0" borderId="0" xfId="4" applyNumberFormat="1" applyFont="1"/>
    <xf numFmtId="165" fontId="85" fillId="0" borderId="0" xfId="4" applyNumberFormat="1" applyFont="1"/>
    <xf numFmtId="166" fontId="63" fillId="0" borderId="0" xfId="4" applyNumberFormat="1" applyFont="1"/>
    <xf numFmtId="166" fontId="84" fillId="0" borderId="0" xfId="4" applyNumberFormat="1" applyFont="1"/>
    <xf numFmtId="165" fontId="84" fillId="0" borderId="0" xfId="4" applyNumberFormat="1" applyFont="1" applyAlignment="1"/>
    <xf numFmtId="165" fontId="17" fillId="0" borderId="0" xfId="4" applyNumberFormat="1" applyFont="1" applyAlignment="1" applyProtection="1">
      <alignment vertical="center"/>
    </xf>
    <xf numFmtId="165" fontId="86" fillId="6" borderId="0" xfId="4" applyNumberFormat="1" applyFont="1" applyFill="1" applyProtection="1"/>
    <xf numFmtId="165" fontId="30" fillId="0" borderId="0" xfId="4" applyNumberFormat="1" applyFont="1" applyAlignment="1" applyProtection="1">
      <alignment vertical="center"/>
    </xf>
    <xf numFmtId="165" fontId="87" fillId="0" borderId="0" xfId="4" applyNumberFormat="1" applyFont="1"/>
    <xf numFmtId="165" fontId="59" fillId="0" borderId="0" xfId="4" applyNumberFormat="1" applyFont="1" applyAlignment="1"/>
    <xf numFmtId="165" fontId="59" fillId="0" borderId="0" xfId="4" applyNumberFormat="1" applyFont="1" applyAlignment="1">
      <alignment horizontal="center"/>
    </xf>
    <xf numFmtId="165" fontId="58" fillId="0" borderId="0" xfId="4" applyNumberFormat="1" applyFont="1" applyAlignment="1" applyProtection="1">
      <alignment horizontal="left" wrapText="1"/>
    </xf>
    <xf numFmtId="170" fontId="58" fillId="0" borderId="0" xfId="4" applyNumberFormat="1" applyFont="1" applyAlignment="1" applyProtection="1">
      <alignment horizontal="right"/>
    </xf>
    <xf numFmtId="165" fontId="13" fillId="0" borderId="0" xfId="4" applyNumberFormat="1" applyFont="1" applyAlignment="1" applyProtection="1">
      <alignment horizontal="center" wrapText="1"/>
    </xf>
    <xf numFmtId="165" fontId="63" fillId="0" borderId="0" xfId="4" applyNumberFormat="1" applyFont="1" applyProtection="1"/>
    <xf numFmtId="0" fontId="12" fillId="0" borderId="0" xfId="4" applyNumberFormat="1"/>
    <xf numFmtId="170" fontId="88" fillId="3" borderId="0" xfId="4" applyNumberFormat="1" applyFont="1" applyFill="1" applyProtection="1"/>
    <xf numFmtId="0" fontId="89" fillId="9" borderId="0" xfId="4" applyNumberFormat="1" applyFont="1" applyFill="1" applyBorder="1" applyAlignment="1">
      <alignment vertical="top" wrapText="1"/>
    </xf>
    <xf numFmtId="0" fontId="91" fillId="0" borderId="0" xfId="4" applyNumberFormat="1" applyFont="1"/>
    <xf numFmtId="165" fontId="69" fillId="0" borderId="0" xfId="4" applyNumberFormat="1" applyFont="1" applyAlignment="1"/>
    <xf numFmtId="165" fontId="69" fillId="0" borderId="0" xfId="4" applyNumberFormat="1" applyFont="1" applyAlignment="1" applyProtection="1">
      <alignment horizontal="left"/>
    </xf>
    <xf numFmtId="2" fontId="91" fillId="0" borderId="0" xfId="4" applyNumberFormat="1" applyFont="1"/>
    <xf numFmtId="0" fontId="12" fillId="0" borderId="0" xfId="4" applyNumberFormat="1" applyBorder="1"/>
    <xf numFmtId="0" fontId="91" fillId="0" borderId="0" xfId="4" applyNumberFormat="1" applyFont="1" applyBorder="1"/>
    <xf numFmtId="165" fontId="69" fillId="0" borderId="0" xfId="4" applyNumberFormat="1" applyFont="1" applyBorder="1"/>
    <xf numFmtId="165" fontId="69" fillId="0" borderId="0" xfId="4" applyNumberFormat="1" applyFont="1" applyBorder="1" applyAlignment="1" applyProtection="1">
      <alignment horizontal="left"/>
    </xf>
    <xf numFmtId="165" fontId="80" fillId="0" borderId="0" xfId="4" applyNumberFormat="1" applyFont="1" applyBorder="1"/>
    <xf numFmtId="165" fontId="69" fillId="0" borderId="0" xfId="4" applyNumberFormat="1" applyFont="1" applyBorder="1" applyAlignment="1"/>
    <xf numFmtId="0" fontId="12" fillId="0" borderId="0" xfId="4" applyNumberFormat="1" applyBorder="1" applyAlignment="1">
      <alignment wrapText="1"/>
    </xf>
    <xf numFmtId="0" fontId="91" fillId="0" borderId="0" xfId="4" applyNumberFormat="1" applyFont="1" applyBorder="1" applyAlignment="1">
      <alignment horizontal="right"/>
    </xf>
    <xf numFmtId="165" fontId="92" fillId="0" borderId="0" xfId="4" applyNumberFormat="1" applyFont="1" applyBorder="1"/>
    <xf numFmtId="0" fontId="93" fillId="0" borderId="0" xfId="4" applyNumberFormat="1" applyFont="1"/>
    <xf numFmtId="165" fontId="92" fillId="0" borderId="0" xfId="4" applyNumberFormat="1" applyFont="1" applyAlignment="1" applyProtection="1">
      <alignment horizontal="left"/>
    </xf>
    <xf numFmtId="165" fontId="69" fillId="0" borderId="0" xfId="4" applyNumberFormat="1" applyFont="1" applyAlignment="1">
      <alignment horizontal="left"/>
    </xf>
    <xf numFmtId="165" fontId="94" fillId="0" borderId="0" xfId="4" applyNumberFormat="1" applyFont="1" applyAlignment="1"/>
    <xf numFmtId="165" fontId="95" fillId="0" borderId="0" xfId="4" applyNumberFormat="1" applyFont="1" applyAlignment="1"/>
    <xf numFmtId="165" fontId="17" fillId="0" borderId="0" xfId="4" applyNumberFormat="1" applyFont="1" applyAlignment="1">
      <alignment wrapText="1"/>
    </xf>
    <xf numFmtId="165" fontId="80" fillId="0" borderId="0" xfId="4" applyNumberFormat="1" applyFont="1"/>
    <xf numFmtId="166" fontId="69" fillId="0" borderId="0" xfId="4" applyNumberFormat="1" applyFont="1"/>
    <xf numFmtId="165" fontId="69" fillId="0" borderId="0" xfId="4" applyNumberFormat="1" applyFont="1" applyAlignment="1">
      <alignment horizontal="right"/>
    </xf>
    <xf numFmtId="165" fontId="92" fillId="0" borderId="0" xfId="4" applyNumberFormat="1" applyFont="1"/>
    <xf numFmtId="165" fontId="91" fillId="0" borderId="0" xfId="4" applyNumberFormat="1" applyFont="1"/>
    <xf numFmtId="165" fontId="91" fillId="0" borderId="0" xfId="4" applyNumberFormat="1" applyFont="1" applyAlignment="1">
      <alignment horizontal="left"/>
    </xf>
    <xf numFmtId="165" fontId="91" fillId="0" borderId="0" xfId="4" applyNumberFormat="1" applyFont="1" applyAlignment="1" applyProtection="1">
      <alignment horizontal="left"/>
    </xf>
    <xf numFmtId="0" fontId="91" fillId="0" borderId="0" xfId="4" applyNumberFormat="1" applyFont="1" applyAlignment="1">
      <alignment horizontal="center"/>
    </xf>
    <xf numFmtId="165" fontId="88" fillId="3" borderId="0" xfId="4" applyNumberFormat="1" applyFont="1" applyFill="1" applyAlignment="1" applyProtection="1"/>
    <xf numFmtId="165" fontId="88" fillId="3" borderId="0" xfId="4" applyNumberFormat="1" applyFont="1" applyFill="1" applyAlignment="1" applyProtection="1">
      <alignment horizontal="left"/>
    </xf>
    <xf numFmtId="165" fontId="96" fillId="3" borderId="0" xfId="4" applyNumberFormat="1" applyFont="1" applyFill="1" applyAlignment="1"/>
    <xf numFmtId="165" fontId="96" fillId="3" borderId="0" xfId="4" applyNumberFormat="1" applyFont="1" applyFill="1"/>
    <xf numFmtId="165" fontId="88" fillId="3" borderId="0" xfId="4" applyNumberFormat="1" applyFont="1" applyFill="1"/>
    <xf numFmtId="165" fontId="88" fillId="3" borderId="0" xfId="4" applyNumberFormat="1" applyFont="1" applyFill="1" applyAlignment="1" applyProtection="1">
      <alignment horizontal="right"/>
    </xf>
    <xf numFmtId="165" fontId="12" fillId="5" borderId="0" xfId="4" applyNumberFormat="1" applyFont="1" applyFill="1"/>
    <xf numFmtId="165" fontId="62" fillId="0" borderId="0" xfId="4" applyNumberFormat="1" applyFont="1"/>
    <xf numFmtId="170" fontId="91" fillId="0" borderId="0" xfId="4" applyNumberFormat="1" applyFont="1" applyAlignment="1">
      <alignment vertical="top"/>
    </xf>
    <xf numFmtId="170" fontId="97" fillId="0" borderId="0" xfId="4" applyNumberFormat="1" applyFont="1" applyAlignment="1">
      <alignment horizontal="right"/>
    </xf>
    <xf numFmtId="170" fontId="56" fillId="0" borderId="0" xfId="4" applyNumberFormat="1" applyFont="1" applyAlignment="1">
      <alignment horizontal="center"/>
    </xf>
    <xf numFmtId="165" fontId="66" fillId="0" borderId="0" xfId="4" applyNumberFormat="1" applyFont="1" applyAlignment="1">
      <alignment vertical="top"/>
    </xf>
    <xf numFmtId="165" fontId="8" fillId="0" borderId="0" xfId="7" applyNumberFormat="1" applyFont="1" applyAlignment="1" applyProtection="1">
      <alignment horizontal="center"/>
    </xf>
    <xf numFmtId="165" fontId="8" fillId="0" borderId="0" xfId="7" applyNumberFormat="1" applyFont="1" applyAlignment="1" applyProtection="1"/>
    <xf numFmtId="165" fontId="8" fillId="0" borderId="0" xfId="7" applyNumberFormat="1" applyFont="1" applyAlignment="1" applyProtection="1">
      <alignment horizontal="left"/>
    </xf>
    <xf numFmtId="2" fontId="2" fillId="0" borderId="0" xfId="0" applyNumberFormat="1" applyFont="1" applyFill="1" applyAlignment="1">
      <alignment vertical="center" wrapText="1"/>
    </xf>
    <xf numFmtId="2" fontId="2" fillId="0" borderId="0" xfId="0" applyNumberFormat="1" applyFont="1" applyAlignment="1">
      <alignment horizontal="center" vertical="center" wrapText="1"/>
    </xf>
    <xf numFmtId="0" fontId="3" fillId="0" borderId="1" xfId="0" applyFont="1" applyBorder="1" applyAlignment="1">
      <alignment horizontal="center" vertical="center" wrapText="1"/>
    </xf>
    <xf numFmtId="0" fontId="2" fillId="0" borderId="0" xfId="0" applyFont="1"/>
    <xf numFmtId="2" fontId="2" fillId="0" borderId="0" xfId="0" applyNumberFormat="1" applyFont="1"/>
    <xf numFmtId="0" fontId="3" fillId="0" borderId="0" xfId="0" applyFont="1"/>
    <xf numFmtId="0" fontId="2" fillId="0" borderId="0" xfId="0" applyFont="1" applyAlignment="1">
      <alignment wrapText="1"/>
    </xf>
    <xf numFmtId="0" fontId="2" fillId="0" borderId="0" xfId="0" applyFont="1" applyFill="1"/>
    <xf numFmtId="0" fontId="98" fillId="0" borderId="0" xfId="0" applyFont="1" applyFill="1"/>
    <xf numFmtId="2" fontId="2" fillId="0" borderId="0" xfId="0" applyNumberFormat="1" applyFont="1" applyFill="1"/>
    <xf numFmtId="0" fontId="3" fillId="0" borderId="0" xfId="0" applyFont="1" applyAlignment="1"/>
    <xf numFmtId="2" fontId="2" fillId="0" borderId="1" xfId="0" applyNumberFormat="1" applyFont="1" applyBorder="1" applyAlignment="1">
      <alignment horizontal="left" vertical="center" wrapText="1"/>
    </xf>
    <xf numFmtId="0" fontId="9" fillId="0" borderId="0" xfId="0" applyFont="1" applyAlignment="1">
      <alignment vertical="center" wrapText="1"/>
    </xf>
    <xf numFmtId="0" fontId="2" fillId="0" borderId="2" xfId="0" applyFont="1" applyBorder="1" applyAlignment="1">
      <alignment horizontal="right" vertical="center" wrapText="1"/>
    </xf>
    <xf numFmtId="0" fontId="100" fillId="0" borderId="0" xfId="0" applyFont="1" applyFill="1" applyAlignment="1">
      <alignment vertical="center" wrapText="1"/>
    </xf>
    <xf numFmtId="0" fontId="99" fillId="0" borderId="1" xfId="0" applyFont="1" applyFill="1" applyBorder="1" applyAlignment="1">
      <alignment horizontal="center" vertical="center" wrapText="1"/>
    </xf>
    <xf numFmtId="2" fontId="99" fillId="0" borderId="1" xfId="0" applyNumberFormat="1" applyFont="1" applyFill="1" applyBorder="1" applyAlignment="1">
      <alignment horizontal="center" vertical="center" wrapText="1"/>
    </xf>
    <xf numFmtId="0" fontId="101" fillId="0" borderId="1" xfId="0" applyNumberFormat="1" applyFont="1" applyBorder="1" applyAlignment="1">
      <alignment horizontal="center" vertical="center"/>
    </xf>
    <xf numFmtId="0" fontId="101" fillId="0" borderId="1" xfId="0" applyNumberFormat="1" applyFont="1" applyBorder="1" applyAlignment="1">
      <alignment vertical="center" wrapText="1"/>
    </xf>
    <xf numFmtId="0" fontId="102" fillId="0" borderId="1" xfId="0" applyNumberFormat="1" applyFont="1" applyBorder="1" applyAlignment="1">
      <alignment horizontal="center" vertical="center"/>
    </xf>
    <xf numFmtId="2" fontId="102" fillId="0" borderId="1" xfId="0" applyNumberFormat="1" applyFont="1" applyBorder="1" applyAlignment="1">
      <alignment horizontal="center" vertical="center"/>
    </xf>
    <xf numFmtId="2" fontId="102" fillId="0" borderId="1" xfId="0" applyNumberFormat="1" applyFont="1" applyBorder="1" applyAlignment="1">
      <alignment vertical="center"/>
    </xf>
    <xf numFmtId="0" fontId="100" fillId="0" borderId="1" xfId="0" applyFont="1" applyFill="1" applyBorder="1" applyAlignment="1">
      <alignment vertical="center" wrapText="1"/>
    </xf>
    <xf numFmtId="0" fontId="100" fillId="0" borderId="1" xfId="0" applyFont="1" applyFill="1" applyBorder="1" applyAlignment="1">
      <alignment horizontal="center" vertical="center" wrapText="1"/>
    </xf>
    <xf numFmtId="2" fontId="100" fillId="0" borderId="1" xfId="0" applyNumberFormat="1" applyFont="1" applyFill="1" applyBorder="1" applyAlignment="1">
      <alignment horizontal="center" vertical="center" wrapText="1"/>
    </xf>
    <xf numFmtId="2" fontId="100" fillId="0" borderId="1" xfId="0" applyNumberFormat="1" applyFont="1" applyFill="1" applyBorder="1" applyAlignment="1">
      <alignment vertical="center" wrapText="1"/>
    </xf>
    <xf numFmtId="0" fontId="99" fillId="0" borderId="1" xfId="0" applyFont="1" applyBorder="1" applyAlignment="1">
      <alignment horizontal="center" vertical="center"/>
    </xf>
    <xf numFmtId="0" fontId="100" fillId="0" borderId="1" xfId="0" applyFont="1" applyBorder="1" applyAlignment="1">
      <alignment horizontal="left" vertical="center" wrapText="1"/>
    </xf>
    <xf numFmtId="0" fontId="100" fillId="0" borderId="1" xfId="0" applyFont="1" applyBorder="1" applyAlignment="1">
      <alignment horizontal="center" vertical="center"/>
    </xf>
    <xf numFmtId="2" fontId="100" fillId="0" borderId="1" xfId="0" applyNumberFormat="1" applyFont="1" applyBorder="1" applyAlignment="1">
      <alignment horizontal="center" vertical="center"/>
    </xf>
    <xf numFmtId="2" fontId="103" fillId="0" borderId="1" xfId="0" applyNumberFormat="1" applyFont="1" applyFill="1" applyBorder="1" applyAlignment="1">
      <alignment horizontal="right" vertical="center"/>
    </xf>
    <xf numFmtId="0" fontId="100" fillId="0" borderId="1" xfId="0" applyFont="1" applyBorder="1" applyAlignment="1">
      <alignment horizontal="left" vertical="center"/>
    </xf>
    <xf numFmtId="0" fontId="100" fillId="0" borderId="0" xfId="0" applyFont="1" applyBorder="1"/>
    <xf numFmtId="2" fontId="101" fillId="0" borderId="1" xfId="0" applyNumberFormat="1" applyFont="1" applyBorder="1" applyAlignment="1">
      <alignment vertical="center"/>
    </xf>
    <xf numFmtId="2" fontId="104" fillId="0" borderId="1" xfId="3" applyNumberFormat="1" applyFont="1" applyFill="1" applyBorder="1" applyAlignment="1">
      <alignment vertical="center" wrapText="1"/>
    </xf>
    <xf numFmtId="0" fontId="102" fillId="0" borderId="1" xfId="0" applyNumberFormat="1" applyFont="1" applyBorder="1" applyAlignment="1">
      <alignment vertical="center"/>
    </xf>
    <xf numFmtId="0" fontId="102" fillId="0" borderId="1" xfId="0" applyNumberFormat="1" applyFont="1" applyBorder="1" applyAlignment="1">
      <alignment horizontal="left" vertical="center"/>
    </xf>
    <xf numFmtId="165" fontId="104" fillId="0" borderId="1" xfId="0" applyNumberFormat="1" applyFont="1" applyBorder="1" applyAlignment="1">
      <alignment vertical="center" wrapText="1"/>
    </xf>
    <xf numFmtId="0" fontId="101" fillId="0" borderId="1" xfId="0" applyNumberFormat="1" applyFont="1" applyFill="1" applyBorder="1" applyAlignment="1">
      <alignment horizontal="center" vertical="center"/>
    </xf>
    <xf numFmtId="0" fontId="102" fillId="0" borderId="1" xfId="0" applyNumberFormat="1" applyFont="1" applyFill="1" applyBorder="1" applyAlignment="1">
      <alignment horizontal="left" vertical="center" wrapText="1"/>
    </xf>
    <xf numFmtId="0" fontId="102" fillId="0" borderId="1" xfId="0" applyNumberFormat="1" applyFont="1" applyFill="1" applyBorder="1" applyAlignment="1">
      <alignment horizontal="center" vertical="center"/>
    </xf>
    <xf numFmtId="2" fontId="102" fillId="0" borderId="1" xfId="0" applyNumberFormat="1" applyFont="1" applyFill="1" applyBorder="1" applyAlignment="1">
      <alignment horizontal="center" vertical="center"/>
    </xf>
    <xf numFmtId="0" fontId="103" fillId="0" borderId="1" xfId="0" applyNumberFormat="1" applyFont="1" applyFill="1" applyBorder="1" applyAlignment="1">
      <alignment horizontal="left" vertical="center"/>
    </xf>
    <xf numFmtId="0" fontId="102" fillId="0" borderId="1" xfId="0" applyNumberFormat="1" applyFont="1" applyBorder="1" applyAlignment="1">
      <alignment horizontal="right" vertical="center"/>
    </xf>
    <xf numFmtId="0" fontId="101" fillId="0" borderId="1" xfId="0" applyNumberFormat="1" applyFont="1" applyBorder="1" applyAlignment="1">
      <alignment horizontal="left" vertical="center" wrapText="1"/>
    </xf>
    <xf numFmtId="2" fontId="100" fillId="0" borderId="0" xfId="0" applyNumberFormat="1" applyFont="1" applyFill="1" applyAlignment="1">
      <alignment vertical="center" wrapText="1"/>
    </xf>
    <xf numFmtId="2" fontId="103" fillId="0" borderId="2" xfId="0" applyNumberFormat="1" applyFont="1" applyFill="1" applyBorder="1" applyAlignment="1">
      <alignment horizontal="right" vertical="center"/>
    </xf>
    <xf numFmtId="0" fontId="99" fillId="0" borderId="1" xfId="0" applyFont="1" applyBorder="1" applyAlignment="1">
      <alignment horizontal="left"/>
    </xf>
    <xf numFmtId="0" fontId="104" fillId="0" borderId="1" xfId="26" applyFont="1" applyBorder="1" applyAlignment="1">
      <alignment horizontal="center" vertical="center" wrapText="1"/>
    </xf>
    <xf numFmtId="0" fontId="103" fillId="0" borderId="1" xfId="26" applyFont="1" applyBorder="1" applyAlignment="1">
      <alignment horizontal="left" vertical="center" wrapText="1"/>
    </xf>
    <xf numFmtId="0" fontId="103" fillId="0" borderId="1" xfId="26" applyFont="1" applyBorder="1" applyAlignment="1">
      <alignment horizontal="center" vertical="center" wrapText="1"/>
    </xf>
    <xf numFmtId="0" fontId="103" fillId="0" borderId="1" xfId="26" applyNumberFormat="1" applyFont="1" applyBorder="1" applyAlignment="1">
      <alignment horizontal="center" vertical="center" wrapText="1"/>
    </xf>
    <xf numFmtId="2" fontId="103" fillId="0" borderId="1" xfId="26" applyNumberFormat="1" applyFont="1" applyBorder="1" applyAlignment="1">
      <alignment horizontal="center" vertical="center" wrapText="1"/>
    </xf>
    <xf numFmtId="0" fontId="104" fillId="0" borderId="1" xfId="26" applyFont="1" applyFill="1" applyBorder="1" applyAlignment="1">
      <alignment horizontal="left" vertical="center" wrapText="1"/>
    </xf>
    <xf numFmtId="164" fontId="100" fillId="0" borderId="1" xfId="0" applyNumberFormat="1" applyFont="1" applyFill="1" applyBorder="1" applyAlignment="1">
      <alignment horizontal="center" vertical="center" wrapText="1"/>
    </xf>
    <xf numFmtId="2" fontId="99" fillId="0" borderId="1" xfId="0" applyNumberFormat="1" applyFont="1" applyFill="1" applyBorder="1" applyAlignment="1">
      <alignment vertical="center" wrapText="1"/>
    </xf>
    <xf numFmtId="0" fontId="104" fillId="0" borderId="1" xfId="26" applyFont="1" applyBorder="1" applyAlignment="1">
      <alignment horizontal="left" vertical="center" wrapText="1"/>
    </xf>
    <xf numFmtId="2" fontId="103" fillId="0" borderId="1" xfId="26" applyNumberFormat="1" applyFont="1" applyBorder="1" applyAlignment="1">
      <alignment horizontal="right" vertical="center" wrapText="1"/>
    </xf>
    <xf numFmtId="2" fontId="104" fillId="0" borderId="1" xfId="26" applyNumberFormat="1" applyFont="1" applyFill="1" applyBorder="1" applyAlignment="1">
      <alignment horizontal="right" vertical="center" wrapText="1"/>
    </xf>
    <xf numFmtId="164" fontId="103" fillId="0" borderId="1" xfId="26" applyNumberFormat="1" applyFont="1" applyBorder="1" applyAlignment="1">
      <alignment horizontal="right" vertical="center" wrapText="1"/>
    </xf>
    <xf numFmtId="2" fontId="103" fillId="0" borderId="1" xfId="26" applyNumberFormat="1" applyFont="1" applyFill="1" applyBorder="1" applyAlignment="1">
      <alignment horizontal="right" vertical="center" wrapText="1"/>
    </xf>
    <xf numFmtId="2" fontId="103" fillId="0" borderId="1" xfId="26" applyNumberFormat="1" applyFont="1" applyFill="1" applyBorder="1" applyAlignment="1">
      <alignment vertical="center" wrapText="1"/>
    </xf>
    <xf numFmtId="0" fontId="101" fillId="0" borderId="1" xfId="0" applyNumberFormat="1" applyFont="1" applyBorder="1" applyAlignment="1">
      <alignment horizontal="justify" vertical="center" wrapText="1"/>
    </xf>
    <xf numFmtId="0" fontId="102" fillId="0" borderId="1" xfId="0" applyNumberFormat="1" applyFont="1" applyBorder="1" applyAlignment="1">
      <alignment horizontal="left" vertical="center" wrapText="1"/>
    </xf>
    <xf numFmtId="0" fontId="102" fillId="0" borderId="1" xfId="0" applyNumberFormat="1" applyFont="1" applyBorder="1" applyAlignment="1">
      <alignment vertical="center" wrapText="1"/>
    </xf>
    <xf numFmtId="0" fontId="100" fillId="0" borderId="1" xfId="0" applyFont="1" applyBorder="1" applyAlignment="1">
      <alignment wrapText="1"/>
    </xf>
    <xf numFmtId="0" fontId="100" fillId="0" borderId="1" xfId="0" applyFont="1" applyBorder="1" applyAlignment="1">
      <alignment horizontal="left" wrapText="1"/>
    </xf>
    <xf numFmtId="0" fontId="104" fillId="0" borderId="1" xfId="0" applyNumberFormat="1" applyFont="1" applyFill="1" applyBorder="1" applyAlignment="1">
      <alignment horizontal="left"/>
    </xf>
    <xf numFmtId="2" fontId="100" fillId="0" borderId="1" xfId="0" applyNumberFormat="1" applyFont="1" applyFill="1" applyBorder="1" applyAlignment="1">
      <alignment horizontal="right" vertical="center" wrapText="1"/>
    </xf>
    <xf numFmtId="0" fontId="99" fillId="0" borderId="1" xfId="0" applyFont="1" applyFill="1" applyBorder="1" applyAlignment="1">
      <alignment vertical="center" wrapText="1"/>
    </xf>
    <xf numFmtId="0" fontId="100" fillId="0" borderId="1" xfId="0" applyFont="1" applyFill="1" applyBorder="1" applyAlignment="1">
      <alignment horizontal="left" vertical="center" wrapText="1"/>
    </xf>
    <xf numFmtId="2" fontId="99" fillId="0" borderId="1" xfId="0" applyNumberFormat="1" applyFont="1" applyFill="1" applyBorder="1" applyAlignment="1">
      <alignment horizontal="right" vertical="center" wrapText="1"/>
    </xf>
    <xf numFmtId="0" fontId="103" fillId="0" borderId="1" xfId="0" applyNumberFormat="1" applyFont="1" applyBorder="1" applyAlignment="1">
      <alignment horizontal="center" vertical="center"/>
    </xf>
    <xf numFmtId="165" fontId="103" fillId="0" borderId="1" xfId="0" applyNumberFormat="1" applyFont="1" applyBorder="1" applyAlignment="1">
      <alignment horizontal="center" vertical="center"/>
    </xf>
    <xf numFmtId="2" fontId="103" fillId="0" borderId="1" xfId="3" applyNumberFormat="1" applyFont="1" applyBorder="1" applyAlignment="1">
      <alignment horizontal="left" vertical="center" wrapText="1"/>
    </xf>
    <xf numFmtId="0" fontId="103" fillId="0" borderId="1" xfId="3" applyNumberFormat="1" applyFont="1" applyFill="1" applyBorder="1" applyAlignment="1">
      <alignment horizontal="center" vertical="center" wrapText="1"/>
    </xf>
    <xf numFmtId="2" fontId="103" fillId="0" borderId="1" xfId="3" applyNumberFormat="1" applyFont="1" applyBorder="1" applyAlignment="1">
      <alignment horizontal="center" vertical="center" wrapText="1"/>
    </xf>
    <xf numFmtId="0" fontId="103" fillId="0" borderId="1" xfId="3" applyNumberFormat="1" applyFont="1" applyBorder="1" applyAlignment="1">
      <alignment horizontal="center" vertical="center" wrapText="1"/>
    </xf>
    <xf numFmtId="2" fontId="103" fillId="0" borderId="1" xfId="3" applyNumberFormat="1" applyFont="1" applyBorder="1" applyAlignment="1">
      <alignment horizontal="right" vertical="center" wrapText="1"/>
    </xf>
    <xf numFmtId="2" fontId="104" fillId="0" borderId="1" xfId="3" applyNumberFormat="1" applyFont="1" applyBorder="1" applyAlignment="1">
      <alignment horizontal="center" vertical="center" wrapText="1"/>
    </xf>
    <xf numFmtId="2" fontId="104" fillId="0" borderId="1" xfId="3" applyNumberFormat="1" applyFont="1" applyBorder="1" applyAlignment="1">
      <alignment horizontal="right" vertical="center" wrapText="1"/>
    </xf>
    <xf numFmtId="0" fontId="100" fillId="0" borderId="2" xfId="0" applyFont="1" applyBorder="1" applyAlignment="1">
      <alignment horizontal="center" vertical="center"/>
    </xf>
    <xf numFmtId="165" fontId="103" fillId="0" borderId="1" xfId="0" applyNumberFormat="1" applyFont="1" applyBorder="1" applyAlignment="1">
      <alignment vertical="center" wrapText="1"/>
    </xf>
    <xf numFmtId="0" fontId="103" fillId="0" borderId="1" xfId="0" applyNumberFormat="1" applyFont="1" applyBorder="1" applyAlignment="1">
      <alignment vertical="center"/>
    </xf>
    <xf numFmtId="2" fontId="103" fillId="0" borderId="1" xfId="0" applyNumberFormat="1" applyFont="1" applyBorder="1" applyAlignment="1">
      <alignment vertical="center"/>
    </xf>
    <xf numFmtId="2" fontId="103" fillId="0" borderId="1" xfId="0" applyNumberFormat="1" applyFont="1" applyBorder="1" applyAlignment="1">
      <alignment horizontal="right" vertical="center"/>
    </xf>
    <xf numFmtId="0" fontId="100" fillId="0" borderId="2" xfId="0" applyFont="1" applyBorder="1" applyAlignment="1">
      <alignment horizontal="left" vertical="center" wrapText="1"/>
    </xf>
    <xf numFmtId="2" fontId="103" fillId="0" borderId="1" xfId="0" applyNumberFormat="1" applyFont="1" applyBorder="1" applyAlignment="1">
      <alignment horizontal="center" vertical="center"/>
    </xf>
    <xf numFmtId="2" fontId="103" fillId="0" borderId="1" xfId="0" applyNumberFormat="1" applyFont="1" applyFill="1" applyBorder="1" applyAlignment="1">
      <alignment horizontal="center" vertical="center"/>
    </xf>
    <xf numFmtId="165" fontId="103" fillId="0" borderId="1" xfId="0" applyNumberFormat="1" applyFont="1" applyBorder="1" applyAlignment="1">
      <alignment horizontal="left" vertical="center" wrapText="1"/>
    </xf>
    <xf numFmtId="165" fontId="104" fillId="0" borderId="1" xfId="0" applyNumberFormat="1" applyFont="1" applyBorder="1" applyAlignment="1">
      <alignment horizontal="left" vertical="center" wrapText="1"/>
    </xf>
    <xf numFmtId="165" fontId="103" fillId="0" borderId="1" xfId="0" applyNumberFormat="1" applyFont="1" applyBorder="1" applyAlignment="1">
      <alignment horizontal="left" vertical="center"/>
    </xf>
    <xf numFmtId="2" fontId="104" fillId="0" borderId="1" xfId="0" applyNumberFormat="1" applyFont="1" applyFill="1" applyBorder="1" applyAlignment="1">
      <alignment horizontal="center" vertical="center"/>
    </xf>
    <xf numFmtId="0" fontId="100" fillId="0" borderId="1" xfId="0" applyFont="1" applyBorder="1" applyAlignment="1">
      <alignment horizontal="center" vertical="center" wrapText="1"/>
    </xf>
    <xf numFmtId="2" fontId="103" fillId="0" borderId="1" xfId="3" applyNumberFormat="1" applyFont="1" applyFill="1" applyBorder="1" applyAlignment="1">
      <alignment horizontal="left" vertical="top" wrapText="1"/>
    </xf>
    <xf numFmtId="0" fontId="103" fillId="2" borderId="16" xfId="0" applyNumberFormat="1" applyFont="1" applyFill="1" applyBorder="1" applyAlignment="1">
      <alignment horizontal="justify" vertical="center" wrapText="1"/>
    </xf>
    <xf numFmtId="0" fontId="99" fillId="0" borderId="0" xfId="0" applyFont="1" applyFill="1" applyAlignment="1">
      <alignment vertical="center" wrapText="1"/>
    </xf>
    <xf numFmtId="2" fontId="101" fillId="0" borderId="1" xfId="23" applyNumberFormat="1" applyFont="1" applyBorder="1" applyAlignment="1">
      <alignment horizontal="left" vertical="center" wrapText="1"/>
    </xf>
    <xf numFmtId="2" fontId="106" fillId="0" borderId="1" xfId="23" applyNumberFormat="1" applyFont="1" applyFill="1" applyBorder="1" applyAlignment="1">
      <alignment horizontal="left" vertical="center" wrapText="1"/>
    </xf>
    <xf numFmtId="0" fontId="104" fillId="0" borderId="1" xfId="0" applyNumberFormat="1" applyFont="1" applyBorder="1" applyAlignment="1">
      <alignment horizontal="left" vertical="center"/>
    </xf>
    <xf numFmtId="165" fontId="101" fillId="0" borderId="1" xfId="0" applyNumberFormat="1" applyFont="1" applyBorder="1" applyAlignment="1">
      <alignment vertical="center" wrapText="1"/>
    </xf>
    <xf numFmtId="0" fontId="101" fillId="0" borderId="1" xfId="0" applyNumberFormat="1" applyFont="1" applyFill="1" applyBorder="1" applyAlignment="1">
      <alignment vertical="center" wrapText="1"/>
    </xf>
    <xf numFmtId="0" fontId="99" fillId="0" borderId="1" xfId="0" applyFont="1" applyBorder="1" applyAlignment="1">
      <alignment vertical="center" wrapText="1"/>
    </xf>
    <xf numFmtId="0" fontId="100" fillId="0" borderId="0" xfId="0" applyFont="1" applyFill="1" applyAlignment="1">
      <alignment horizontal="center" vertical="center" wrapText="1"/>
    </xf>
    <xf numFmtId="2" fontId="100" fillId="0" borderId="0" xfId="0" applyNumberFormat="1" applyFont="1" applyFill="1" applyAlignment="1">
      <alignment horizontal="center" vertical="center" wrapText="1"/>
    </xf>
    <xf numFmtId="2" fontId="100" fillId="0" borderId="0" xfId="0" applyNumberFormat="1" applyFont="1" applyFill="1" applyAlignment="1">
      <alignment horizontal="right" vertical="center" wrapText="1"/>
    </xf>
    <xf numFmtId="0" fontId="100" fillId="3" borderId="1" xfId="0" applyFont="1" applyFill="1" applyBorder="1" applyAlignment="1">
      <alignment horizontal="center" vertical="center" wrapText="1"/>
    </xf>
    <xf numFmtId="0" fontId="99" fillId="3" borderId="1" xfId="0" applyFont="1" applyFill="1" applyBorder="1" applyAlignment="1">
      <alignment vertical="center" wrapText="1"/>
    </xf>
    <xf numFmtId="2" fontId="100" fillId="3" borderId="1" xfId="0" applyNumberFormat="1" applyFont="1" applyFill="1" applyBorder="1" applyAlignment="1">
      <alignment horizontal="center" vertical="center" wrapText="1"/>
    </xf>
    <xf numFmtId="2" fontId="100" fillId="3" borderId="1" xfId="0" applyNumberFormat="1" applyFont="1" applyFill="1" applyBorder="1" applyAlignment="1">
      <alignment horizontal="right" vertical="center" wrapText="1"/>
    </xf>
    <xf numFmtId="0" fontId="100" fillId="3" borderId="0" xfId="0" applyFont="1" applyFill="1" applyAlignment="1">
      <alignment vertical="center" wrapText="1"/>
    </xf>
    <xf numFmtId="0" fontId="100" fillId="3" borderId="1" xfId="0" applyFont="1" applyFill="1" applyBorder="1" applyAlignment="1">
      <alignment vertical="center" wrapText="1"/>
    </xf>
    <xf numFmtId="2" fontId="99" fillId="3" borderId="1" xfId="0" applyNumberFormat="1" applyFont="1" applyFill="1" applyBorder="1" applyAlignment="1">
      <alignment horizontal="right" vertical="center" wrapText="1"/>
    </xf>
    <xf numFmtId="0" fontId="3" fillId="0" borderId="1" xfId="0" applyFont="1" applyBorder="1" applyAlignment="1">
      <alignment horizontal="center" vertical="center" wrapText="1"/>
    </xf>
    <xf numFmtId="2" fontId="8" fillId="0" borderId="1" xfId="26" applyNumberFormat="1" applyFont="1" applyBorder="1" applyAlignment="1">
      <alignment horizontal="center" vertical="top" wrapText="1"/>
    </xf>
    <xf numFmtId="0" fontId="8" fillId="0" borderId="1" xfId="26" applyFont="1" applyBorder="1" applyAlignment="1">
      <alignment vertical="center" wrapText="1"/>
    </xf>
    <xf numFmtId="0" fontId="8" fillId="0" borderId="1" xfId="26" applyFont="1" applyFill="1" applyBorder="1" applyAlignment="1">
      <alignment vertical="center" wrapText="1"/>
    </xf>
    <xf numFmtId="173" fontId="8" fillId="0" borderId="1" xfId="26" applyNumberFormat="1" applyFont="1" applyBorder="1" applyAlignment="1">
      <alignment horizontal="left" vertical="center" wrapText="1"/>
    </xf>
    <xf numFmtId="2" fontId="8" fillId="0" borderId="1" xfId="26" applyNumberFormat="1" applyFont="1" applyBorder="1" applyAlignment="1">
      <alignment vertical="center" wrapText="1"/>
    </xf>
    <xf numFmtId="2" fontId="8" fillId="0" borderId="1" xfId="26" applyNumberFormat="1" applyFont="1" applyFill="1" applyBorder="1" applyAlignment="1">
      <alignment vertical="center" wrapText="1"/>
    </xf>
    <xf numFmtId="164" fontId="8" fillId="0" borderId="1" xfId="26" applyNumberFormat="1" applyFont="1" applyBorder="1" applyAlignment="1">
      <alignment vertical="center" wrapText="1"/>
    </xf>
    <xf numFmtId="2" fontId="10" fillId="0" borderId="1" xfId="26" applyNumberFormat="1" applyFont="1" applyFill="1" applyBorder="1" applyAlignment="1">
      <alignment vertical="center" wrapText="1"/>
    </xf>
    <xf numFmtId="0" fontId="10" fillId="0" borderId="1" xfId="26" applyFont="1" applyBorder="1" applyAlignment="1">
      <alignment horizontal="left" vertical="center" wrapText="1"/>
    </xf>
    <xf numFmtId="0" fontId="107" fillId="0" borderId="1" xfId="0" applyFont="1" applyBorder="1"/>
    <xf numFmtId="2" fontId="8" fillId="0" borderId="1" xfId="26" applyNumberFormat="1" applyFont="1" applyBorder="1" applyAlignment="1">
      <alignment horizontal="center" vertical="center" wrapText="1"/>
    </xf>
    <xf numFmtId="0" fontId="108" fillId="0" borderId="1" xfId="0" applyFont="1" applyBorder="1"/>
    <xf numFmtId="0" fontId="4" fillId="0" borderId="1" xfId="0" applyFont="1" applyBorder="1"/>
    <xf numFmtId="2" fontId="100" fillId="0" borderId="1" xfId="0" applyNumberFormat="1" applyFont="1" applyBorder="1"/>
    <xf numFmtId="0" fontId="100" fillId="0" borderId="1" xfId="0" applyFont="1" applyBorder="1"/>
    <xf numFmtId="0" fontId="100" fillId="0" borderId="1" xfId="0" applyNumberFormat="1" applyFont="1" applyBorder="1" applyAlignment="1">
      <alignment horizontal="left" vertical="center" wrapText="1"/>
    </xf>
    <xf numFmtId="2" fontId="100" fillId="0" borderId="1" xfId="0" applyNumberFormat="1" applyFont="1" applyBorder="1" applyAlignment="1">
      <alignment horizontal="right" vertical="center"/>
    </xf>
    <xf numFmtId="0" fontId="100" fillId="0" borderId="1" xfId="0" applyNumberFormat="1" applyFont="1" applyBorder="1" applyAlignment="1">
      <alignment vertical="center" wrapText="1"/>
    </xf>
    <xf numFmtId="2" fontId="103" fillId="0" borderId="1" xfId="3" applyNumberFormat="1" applyFont="1" applyBorder="1" applyAlignment="1">
      <alignment vertical="center" wrapText="1"/>
    </xf>
    <xf numFmtId="2" fontId="99" fillId="0" borderId="1" xfId="0" applyNumberFormat="1" applyFont="1" applyBorder="1" applyAlignment="1">
      <alignment horizontal="right" vertical="center"/>
    </xf>
    <xf numFmtId="0" fontId="2" fillId="0" borderId="0" xfId="16" applyNumberFormat="1" applyFont="1"/>
    <xf numFmtId="0" fontId="2" fillId="0" borderId="1" xfId="16" applyNumberFormat="1" applyFont="1" applyBorder="1" applyAlignment="1">
      <alignment horizontal="center"/>
    </xf>
    <xf numFmtId="0" fontId="2" fillId="0" borderId="0" xfId="16" applyNumberFormat="1" applyFont="1" applyAlignment="1">
      <alignment horizontal="center" vertical="center"/>
    </xf>
    <xf numFmtId="0" fontId="2" fillId="0" borderId="0" xfId="16" applyNumberFormat="1" applyFont="1" applyBorder="1" applyAlignment="1">
      <alignment horizontal="center"/>
    </xf>
    <xf numFmtId="2" fontId="10" fillId="0" borderId="1" xfId="19" applyNumberFormat="1" applyFont="1" applyFill="1" applyBorder="1" applyAlignment="1">
      <alignment horizontal="center" vertical="center"/>
    </xf>
    <xf numFmtId="2" fontId="8" fillId="0" borderId="1" xfId="19" applyNumberFormat="1" applyFont="1" applyFill="1" applyBorder="1" applyAlignment="1">
      <alignment horizontal="center" vertical="center"/>
    </xf>
    <xf numFmtId="0" fontId="2" fillId="0" borderId="2" xfId="0" applyFont="1" applyBorder="1" applyAlignment="1">
      <alignment horizontal="center" vertical="center" wrapText="1"/>
    </xf>
    <xf numFmtId="0" fontId="3" fillId="0" borderId="1" xfId="0" applyFont="1" applyBorder="1" applyAlignment="1">
      <alignment horizontal="center" vertical="center" wrapText="1"/>
    </xf>
    <xf numFmtId="2" fontId="8" fillId="0" borderId="2" xfId="3" applyNumberFormat="1" applyFont="1" applyBorder="1" applyAlignment="1">
      <alignment horizontal="left" vertical="center" wrapText="1"/>
    </xf>
    <xf numFmtId="0" fontId="111" fillId="0" borderId="0" xfId="26" applyFont="1" applyBorder="1" applyAlignment="1">
      <alignment vertical="center" wrapText="1"/>
    </xf>
    <xf numFmtId="0" fontId="8" fillId="0" borderId="0" xfId="0" applyNumberFormat="1" applyFont="1" applyBorder="1" applyAlignment="1">
      <alignment vertical="center" wrapText="1"/>
    </xf>
    <xf numFmtId="0" fontId="8" fillId="0" borderId="0" xfId="0" applyNumberFormat="1" applyFont="1" applyAlignment="1">
      <alignment vertical="center" wrapText="1"/>
    </xf>
    <xf numFmtId="0" fontId="100" fillId="0" borderId="1" xfId="0" applyNumberFormat="1" applyFont="1" applyBorder="1" applyAlignment="1">
      <alignment horizontal="center" vertical="center" wrapText="1"/>
    </xf>
    <xf numFmtId="0" fontId="99" fillId="0" borderId="1" xfId="0" applyNumberFormat="1" applyFont="1" applyBorder="1" applyAlignment="1">
      <alignment horizontal="left" vertical="center" wrapText="1"/>
    </xf>
    <xf numFmtId="0" fontId="100" fillId="0" borderId="1" xfId="0" applyNumberFormat="1" applyFont="1" applyBorder="1" applyAlignment="1">
      <alignment horizontal="right" vertical="center" wrapText="1"/>
    </xf>
    <xf numFmtId="2" fontId="100" fillId="0" borderId="1" xfId="0" applyNumberFormat="1" applyFont="1" applyBorder="1" applyAlignment="1">
      <alignment horizontal="center" vertical="center" wrapText="1"/>
    </xf>
    <xf numFmtId="2" fontId="100" fillId="0" borderId="1" xfId="0" applyNumberFormat="1" applyFont="1" applyBorder="1" applyAlignment="1">
      <alignment horizontal="right" vertical="center" wrapText="1"/>
    </xf>
    <xf numFmtId="2" fontId="99" fillId="0" borderId="1" xfId="0" applyNumberFormat="1" applyFont="1" applyBorder="1" applyAlignment="1">
      <alignment horizontal="right" vertical="center" wrapText="1"/>
    </xf>
    <xf numFmtId="0" fontId="99" fillId="0" borderId="1" xfId="0" applyNumberFormat="1" applyFont="1" applyBorder="1" applyAlignment="1">
      <alignment horizontal="center" vertical="center" wrapText="1"/>
    </xf>
    <xf numFmtId="2" fontId="104" fillId="0" borderId="6" xfId="3" applyNumberFormat="1" applyFont="1" applyBorder="1" applyAlignment="1">
      <alignment vertical="center" wrapText="1"/>
    </xf>
    <xf numFmtId="0" fontId="99" fillId="0" borderId="1" xfId="0" applyNumberFormat="1" applyFont="1" applyFill="1" applyBorder="1" applyAlignment="1">
      <alignment horizontal="left" vertical="center" wrapText="1"/>
    </xf>
    <xf numFmtId="0" fontId="99" fillId="0" borderId="1" xfId="0" applyNumberFormat="1" applyFont="1" applyBorder="1" applyAlignment="1">
      <alignment vertical="center" wrapText="1"/>
    </xf>
    <xf numFmtId="0" fontId="100" fillId="0" borderId="1" xfId="0" applyNumberFormat="1" applyFont="1" applyFill="1" applyBorder="1" applyAlignment="1">
      <alignment horizontal="left" vertical="center" wrapText="1"/>
    </xf>
    <xf numFmtId="0" fontId="100" fillId="0" borderId="1" xfId="0" applyNumberFormat="1" applyFont="1" applyFill="1" applyBorder="1" applyAlignment="1">
      <alignment vertical="center" wrapText="1"/>
    </xf>
    <xf numFmtId="0" fontId="100" fillId="0" borderId="1" xfId="0" applyNumberFormat="1" applyFont="1" applyFill="1" applyBorder="1" applyAlignment="1">
      <alignment horizontal="right" vertical="center" wrapText="1"/>
    </xf>
    <xf numFmtId="0" fontId="100" fillId="0" borderId="1" xfId="0" applyNumberFormat="1" applyFont="1" applyFill="1" applyBorder="1" applyAlignment="1">
      <alignment horizontal="center" vertical="center" wrapText="1"/>
    </xf>
    <xf numFmtId="0" fontId="99" fillId="0" borderId="1" xfId="0" applyNumberFormat="1" applyFont="1" applyBorder="1" applyAlignment="1">
      <alignment horizontal="right" vertical="center" wrapText="1"/>
    </xf>
    <xf numFmtId="164" fontId="99" fillId="0" borderId="1" xfId="0" applyNumberFormat="1" applyFont="1" applyBorder="1" applyAlignment="1">
      <alignment horizontal="right" vertical="center" wrapText="1"/>
    </xf>
    <xf numFmtId="0" fontId="8" fillId="0" borderId="0" xfId="0" applyNumberFormat="1" applyFont="1" applyAlignment="1">
      <alignment horizontal="center" vertical="center" wrapText="1"/>
    </xf>
    <xf numFmtId="0" fontId="100" fillId="0" borderId="1" xfId="0" applyFont="1" applyBorder="1" applyAlignment="1">
      <alignment horizontal="right" vertical="center"/>
    </xf>
    <xf numFmtId="0" fontId="100" fillId="0" borderId="1" xfId="0" applyFont="1" applyFill="1" applyBorder="1"/>
    <xf numFmtId="2" fontId="100" fillId="0" borderId="1" xfId="0" applyNumberFormat="1" applyFont="1" applyFill="1" applyBorder="1"/>
    <xf numFmtId="2" fontId="3" fillId="0" borderId="1" xfId="0" applyNumberFormat="1" applyFont="1" applyFill="1" applyBorder="1" applyAlignment="1">
      <alignment horizontal="center" vertical="center" wrapText="1"/>
    </xf>
    <xf numFmtId="0" fontId="113" fillId="0" borderId="1" xfId="0" applyNumberFormat="1" applyFont="1" applyBorder="1" applyAlignment="1">
      <alignment horizontal="center" vertical="center"/>
    </xf>
    <xf numFmtId="0" fontId="113" fillId="0" borderId="1" xfId="0" applyNumberFormat="1" applyFont="1" applyBorder="1" applyAlignment="1">
      <alignment vertical="center" wrapText="1"/>
    </xf>
    <xf numFmtId="0" fontId="114" fillId="0" borderId="1" xfId="0" applyNumberFormat="1" applyFont="1" applyBorder="1" applyAlignment="1">
      <alignment horizontal="center" vertical="center"/>
    </xf>
    <xf numFmtId="2" fontId="114" fillId="0" borderId="1" xfId="0" applyNumberFormat="1" applyFont="1" applyBorder="1" applyAlignment="1">
      <alignment horizontal="center" vertical="center"/>
    </xf>
    <xf numFmtId="2" fontId="114" fillId="0" borderId="1" xfId="0" applyNumberFormat="1" applyFont="1" applyBorder="1" applyAlignment="1">
      <alignment vertical="center"/>
    </xf>
    <xf numFmtId="0" fontId="2" fillId="0" borderId="1" xfId="0" applyFont="1" applyBorder="1" applyAlignment="1">
      <alignment horizontal="center" vertical="center"/>
    </xf>
    <xf numFmtId="2" fontId="2" fillId="0" borderId="1" xfId="0" applyNumberFormat="1" applyFont="1" applyBorder="1" applyAlignment="1">
      <alignment horizontal="center" vertical="center"/>
    </xf>
    <xf numFmtId="0" fontId="2" fillId="0" borderId="1" xfId="0" applyFont="1" applyBorder="1" applyAlignment="1">
      <alignment horizontal="left" vertical="center"/>
    </xf>
    <xf numFmtId="0" fontId="2" fillId="0" borderId="0" xfId="0" applyFont="1" applyBorder="1"/>
    <xf numFmtId="2" fontId="113" fillId="0" borderId="1" xfId="0" applyNumberFormat="1" applyFont="1" applyBorder="1" applyAlignment="1">
      <alignment vertical="center"/>
    </xf>
    <xf numFmtId="165" fontId="10" fillId="0" borderId="1" xfId="0" applyNumberFormat="1" applyFont="1" applyBorder="1" applyAlignment="1">
      <alignment vertical="center" wrapText="1"/>
    </xf>
    <xf numFmtId="0" fontId="113" fillId="0" borderId="1" xfId="0" applyNumberFormat="1" applyFont="1" applyFill="1" applyBorder="1" applyAlignment="1">
      <alignment horizontal="center" vertical="center"/>
    </xf>
    <xf numFmtId="0" fontId="114" fillId="0" borderId="1" xfId="0" applyNumberFormat="1" applyFont="1" applyFill="1" applyBorder="1" applyAlignment="1">
      <alignment horizontal="left" vertical="center" wrapText="1"/>
    </xf>
    <xf numFmtId="0" fontId="114" fillId="0" borderId="1" xfId="0" applyNumberFormat="1" applyFont="1" applyFill="1" applyBorder="1" applyAlignment="1">
      <alignment horizontal="center" vertical="center"/>
    </xf>
    <xf numFmtId="2" fontId="114" fillId="0" borderId="1" xfId="0" applyNumberFormat="1" applyFont="1" applyFill="1" applyBorder="1" applyAlignment="1">
      <alignment horizontal="center" vertical="center"/>
    </xf>
    <xf numFmtId="2" fontId="8" fillId="0" borderId="1" xfId="0" applyNumberFormat="1" applyFont="1" applyFill="1" applyBorder="1" applyAlignment="1">
      <alignment horizontal="right" vertical="center"/>
    </xf>
    <xf numFmtId="0" fontId="8" fillId="0" borderId="1" xfId="0" applyNumberFormat="1" applyFont="1" applyFill="1" applyBorder="1" applyAlignment="1">
      <alignment horizontal="left" vertical="center"/>
    </xf>
    <xf numFmtId="0" fontId="114" fillId="0" borderId="1" xfId="0" applyNumberFormat="1" applyFont="1" applyBorder="1" applyAlignment="1">
      <alignment horizontal="left" vertical="center"/>
    </xf>
    <xf numFmtId="0" fontId="114" fillId="0" borderId="1" xfId="0" applyNumberFormat="1" applyFont="1" applyBorder="1" applyAlignment="1">
      <alignment horizontal="right" vertical="center"/>
    </xf>
    <xf numFmtId="164" fontId="114" fillId="0" borderId="1" xfId="0" applyNumberFormat="1" applyFont="1" applyFill="1" applyBorder="1" applyAlignment="1">
      <alignment horizontal="center" vertical="center"/>
    </xf>
    <xf numFmtId="0" fontId="113" fillId="0" borderId="1" xfId="0" applyNumberFormat="1" applyFont="1" applyBorder="1" applyAlignment="1">
      <alignment horizontal="left" vertical="center" wrapText="1"/>
    </xf>
    <xf numFmtId="2" fontId="8" fillId="0" borderId="2" xfId="0" applyNumberFormat="1" applyFont="1" applyFill="1" applyBorder="1" applyAlignment="1">
      <alignment horizontal="right" vertical="center"/>
    </xf>
    <xf numFmtId="0" fontId="3" fillId="0" borderId="1" xfId="0" applyFont="1" applyBorder="1" applyAlignment="1">
      <alignment horizontal="left"/>
    </xf>
    <xf numFmtId="0" fontId="113" fillId="0" borderId="1" xfId="0" applyNumberFormat="1" applyFont="1" applyBorder="1" applyAlignment="1">
      <alignment horizontal="justify" vertical="center" wrapText="1"/>
    </xf>
    <xf numFmtId="0" fontId="114" fillId="0" borderId="1" xfId="0" applyNumberFormat="1" applyFont="1" applyBorder="1" applyAlignment="1">
      <alignment horizontal="left" vertical="center" wrapText="1"/>
    </xf>
    <xf numFmtId="0" fontId="114" fillId="0" borderId="1" xfId="0" applyNumberFormat="1" applyFont="1" applyBorder="1" applyAlignment="1">
      <alignment vertical="center" wrapText="1"/>
    </xf>
    <xf numFmtId="0" fontId="2" fillId="0" borderId="1" xfId="0" applyFont="1" applyBorder="1" applyAlignment="1">
      <alignment wrapText="1"/>
    </xf>
    <xf numFmtId="0" fontId="2" fillId="0" borderId="1" xfId="0" applyFont="1" applyBorder="1" applyAlignment="1">
      <alignment horizontal="left" wrapText="1"/>
    </xf>
    <xf numFmtId="0" fontId="10" fillId="0" borderId="1" xfId="0" applyNumberFormat="1" applyFont="1" applyFill="1" applyBorder="1" applyAlignment="1">
      <alignment horizontal="left"/>
    </xf>
    <xf numFmtId="0" fontId="3" fillId="0" borderId="1" xfId="0" applyFont="1" applyFill="1" applyBorder="1" applyAlignment="1">
      <alignment vertical="center" wrapText="1"/>
    </xf>
    <xf numFmtId="0" fontId="2" fillId="0" borderId="1" xfId="0" applyFont="1" applyFill="1" applyBorder="1" applyAlignment="1">
      <alignment horizontal="left" vertical="center" wrapText="1"/>
    </xf>
    <xf numFmtId="0" fontId="8" fillId="0" borderId="1" xfId="0" applyNumberFormat="1" applyFont="1" applyBorder="1" applyAlignment="1">
      <alignment horizontal="center" vertical="center"/>
    </xf>
    <xf numFmtId="0" fontId="8" fillId="0" borderId="1" xfId="3" applyNumberFormat="1" applyFont="1" applyFill="1" applyBorder="1" applyAlignment="1">
      <alignment horizontal="center" vertical="center" wrapText="1"/>
    </xf>
    <xf numFmtId="2" fontId="8" fillId="0" borderId="1" xfId="3" applyNumberFormat="1" applyFont="1" applyBorder="1" applyAlignment="1">
      <alignment horizontal="center" vertical="center" wrapText="1"/>
    </xf>
    <xf numFmtId="0" fontId="8" fillId="0" borderId="1" xfId="3" applyNumberFormat="1" applyFont="1" applyBorder="1" applyAlignment="1">
      <alignment horizontal="center" vertical="center" wrapText="1"/>
    </xf>
    <xf numFmtId="2" fontId="10" fillId="0" borderId="1" xfId="3" applyNumberFormat="1" applyFont="1" applyBorder="1" applyAlignment="1">
      <alignment horizontal="center" vertical="center" wrapText="1"/>
    </xf>
    <xf numFmtId="2" fontId="10" fillId="0" borderId="1" xfId="3" applyNumberFormat="1" applyFont="1" applyBorder="1" applyAlignment="1">
      <alignment horizontal="right" vertical="center" wrapText="1"/>
    </xf>
    <xf numFmtId="0" fontId="2" fillId="0" borderId="2" xfId="0" applyFont="1" applyBorder="1" applyAlignment="1">
      <alignment horizontal="center" vertical="center"/>
    </xf>
    <xf numFmtId="165" fontId="8" fillId="0" borderId="1" xfId="0" applyNumberFormat="1" applyFont="1" applyBorder="1" applyAlignment="1">
      <alignment vertical="center" wrapText="1"/>
    </xf>
    <xf numFmtId="0" fontId="8" fillId="0" borderId="1" xfId="0" applyNumberFormat="1" applyFont="1" applyBorder="1" applyAlignment="1">
      <alignment vertical="center"/>
    </xf>
    <xf numFmtId="2" fontId="8" fillId="0" borderId="1" xfId="0" applyNumberFormat="1" applyFont="1" applyBorder="1" applyAlignment="1">
      <alignment vertical="center"/>
    </xf>
    <xf numFmtId="2" fontId="8" fillId="0" borderId="1" xfId="0" applyNumberFormat="1" applyFont="1" applyBorder="1" applyAlignment="1">
      <alignment horizontal="right" vertical="center"/>
    </xf>
    <xf numFmtId="2" fontId="8" fillId="0" borderId="1" xfId="0" applyNumberFormat="1" applyFont="1" applyFill="1" applyBorder="1" applyAlignment="1">
      <alignment horizontal="center" vertical="center"/>
    </xf>
    <xf numFmtId="2" fontId="8" fillId="0" borderId="1" xfId="0" applyNumberFormat="1" applyFont="1" applyBorder="1" applyAlignment="1">
      <alignment horizontal="center" vertical="center"/>
    </xf>
    <xf numFmtId="165" fontId="8" fillId="0" borderId="1" xfId="0" applyNumberFormat="1" applyFont="1" applyBorder="1" applyAlignment="1">
      <alignment horizontal="left" vertical="center"/>
    </xf>
    <xf numFmtId="2" fontId="10" fillId="0" borderId="1" xfId="0" applyNumberFormat="1" applyFont="1" applyFill="1" applyBorder="1" applyAlignment="1">
      <alignment horizontal="center" vertical="center"/>
    </xf>
    <xf numFmtId="165" fontId="10" fillId="0" borderId="1" xfId="0" applyNumberFormat="1" applyFont="1" applyBorder="1" applyAlignment="1">
      <alignment horizontal="left" vertical="center" wrapText="1"/>
    </xf>
    <xf numFmtId="2" fontId="8" fillId="0" borderId="1" xfId="3" applyNumberFormat="1" applyFont="1" applyFill="1" applyBorder="1" applyAlignment="1">
      <alignment horizontal="left" vertical="top" wrapText="1"/>
    </xf>
    <xf numFmtId="0" fontId="8" fillId="2" borderId="16" xfId="0" applyNumberFormat="1" applyFont="1" applyFill="1" applyBorder="1" applyAlignment="1">
      <alignment horizontal="justify" vertical="center" wrapText="1"/>
    </xf>
    <xf numFmtId="0" fontId="3" fillId="0" borderId="0" xfId="0" applyFont="1" applyFill="1" applyAlignment="1">
      <alignment vertical="center" wrapText="1"/>
    </xf>
    <xf numFmtId="2" fontId="113" fillId="0" borderId="1" xfId="23" applyNumberFormat="1" applyFont="1" applyBorder="1" applyAlignment="1">
      <alignment horizontal="left" vertical="center" wrapText="1"/>
    </xf>
    <xf numFmtId="2" fontId="115" fillId="0" borderId="1" xfId="23" applyNumberFormat="1" applyFont="1" applyFill="1" applyBorder="1" applyAlignment="1">
      <alignment horizontal="left" vertical="center" wrapText="1"/>
    </xf>
    <xf numFmtId="0" fontId="113" fillId="0" borderId="1" xfId="0" applyNumberFormat="1" applyFont="1" applyFill="1" applyBorder="1" applyAlignment="1">
      <alignment vertical="center" wrapText="1"/>
    </xf>
    <xf numFmtId="4" fontId="3" fillId="2" borderId="1" xfId="0" applyNumberFormat="1" applyFont="1" applyFill="1" applyBorder="1" applyAlignment="1">
      <alignment vertical="center" wrapText="1"/>
    </xf>
    <xf numFmtId="0" fontId="3" fillId="2" borderId="1" xfId="0" applyNumberFormat="1" applyFont="1" applyFill="1" applyBorder="1" applyAlignment="1">
      <alignment horizontal="left" vertical="center" wrapText="1"/>
    </xf>
    <xf numFmtId="0" fontId="2" fillId="0" borderId="0" xfId="0" applyFont="1" applyFill="1" applyAlignment="1">
      <alignment horizontal="center" vertical="center" wrapText="1"/>
    </xf>
    <xf numFmtId="2" fontId="2" fillId="0" borderId="0" xfId="0" applyNumberFormat="1" applyFont="1" applyFill="1" applyAlignment="1">
      <alignment horizontal="center" vertical="center" wrapText="1"/>
    </xf>
    <xf numFmtId="2" fontId="2" fillId="0" borderId="0" xfId="0" applyNumberFormat="1" applyFont="1" applyFill="1" applyAlignment="1">
      <alignment horizontal="right" vertical="center" wrapText="1"/>
    </xf>
    <xf numFmtId="0" fontId="2" fillId="0" borderId="2"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 xfId="0" applyFont="1" applyFill="1" applyBorder="1" applyAlignment="1">
      <alignment horizontal="center" vertical="center" wrapText="1"/>
    </xf>
    <xf numFmtId="0" fontId="8" fillId="0" borderId="1" xfId="26" applyFont="1" applyBorder="1" applyAlignment="1">
      <alignment horizontal="left" vertical="center" wrapText="1"/>
    </xf>
    <xf numFmtId="0" fontId="3" fillId="0" borderId="1" xfId="0" applyFont="1" applyBorder="1" applyAlignment="1">
      <alignment horizontal="center" vertical="center"/>
    </xf>
    <xf numFmtId="0" fontId="10" fillId="0" borderId="1" xfId="26" applyFont="1" applyBorder="1" applyAlignment="1">
      <alignment horizontal="center" vertical="center" wrapText="1"/>
    </xf>
    <xf numFmtId="0" fontId="8" fillId="0" borderId="2" xfId="19" applyNumberFormat="1" applyFont="1" applyFill="1" applyBorder="1" applyAlignment="1">
      <alignment horizontal="center" vertical="center"/>
    </xf>
    <xf numFmtId="2" fontId="2" fillId="0" borderId="4" xfId="0" applyNumberFormat="1" applyFont="1" applyBorder="1" applyAlignment="1">
      <alignment horizontal="center" vertical="center" wrapText="1"/>
    </xf>
    <xf numFmtId="0" fontId="2" fillId="0" borderId="2" xfId="0" applyFont="1" applyFill="1" applyBorder="1" applyAlignment="1">
      <alignment vertical="center" wrapText="1"/>
    </xf>
    <xf numFmtId="0" fontId="2" fillId="0" borderId="3" xfId="0" applyFont="1" applyFill="1" applyBorder="1" applyAlignment="1">
      <alignment horizontal="center" vertical="center" wrapText="1"/>
    </xf>
    <xf numFmtId="2" fontId="2" fillId="0" borderId="24" xfId="0" applyNumberFormat="1" applyFont="1" applyFill="1" applyBorder="1" applyAlignment="1">
      <alignment horizontal="center" vertical="center" wrapText="1"/>
    </xf>
    <xf numFmtId="0" fontId="10" fillId="0" borderId="1" xfId="0" applyNumberFormat="1" applyFont="1" applyBorder="1" applyAlignment="1">
      <alignment horizontal="left" vertical="center"/>
    </xf>
    <xf numFmtId="165" fontId="113" fillId="0" borderId="1" xfId="0" applyNumberFormat="1" applyFont="1" applyBorder="1" applyAlignment="1">
      <alignment vertical="center" wrapText="1"/>
    </xf>
    <xf numFmtId="165" fontId="10" fillId="0" borderId="17" xfId="0" applyNumberFormat="1" applyFont="1" applyFill="1" applyBorder="1" applyAlignment="1">
      <alignment horizontal="left" vertical="center" wrapText="1"/>
    </xf>
    <xf numFmtId="2" fontId="3" fillId="0" borderId="1" xfId="0" applyNumberFormat="1" applyFont="1" applyFill="1" applyBorder="1" applyAlignment="1">
      <alignment vertical="center" wrapText="1"/>
    </xf>
    <xf numFmtId="0" fontId="2" fillId="0" borderId="1" xfId="0" applyFont="1" applyBorder="1"/>
    <xf numFmtId="0" fontId="3" fillId="0" borderId="1" xfId="0" applyFont="1" applyBorder="1"/>
    <xf numFmtId="2" fontId="2" fillId="0" borderId="1" xfId="0" applyNumberFormat="1" applyFont="1" applyBorder="1"/>
    <xf numFmtId="0" fontId="2" fillId="0" borderId="1" xfId="0" applyNumberFormat="1" applyFont="1" applyBorder="1" applyAlignment="1">
      <alignment horizontal="left" vertical="center" wrapText="1"/>
    </xf>
    <xf numFmtId="2" fontId="2" fillId="0" borderId="1" xfId="0" applyNumberFormat="1" applyFont="1" applyFill="1" applyBorder="1" applyAlignment="1">
      <alignment horizontal="center" vertical="center"/>
    </xf>
    <xf numFmtId="0" fontId="2" fillId="0" borderId="1" xfId="0" applyFont="1" applyBorder="1" applyAlignment="1">
      <alignment vertical="center"/>
    </xf>
    <xf numFmtId="2" fontId="2" fillId="0" borderId="1" xfId="0" applyNumberFormat="1" applyFont="1" applyBorder="1" applyAlignment="1">
      <alignment horizontal="right" vertical="center"/>
    </xf>
    <xf numFmtId="0" fontId="2" fillId="0" borderId="1" xfId="0" applyNumberFormat="1" applyFont="1" applyBorder="1" applyAlignment="1">
      <alignment vertical="center" wrapText="1"/>
    </xf>
    <xf numFmtId="0" fontId="2" fillId="0" borderId="1" xfId="0" applyFont="1" applyFill="1" applyBorder="1" applyAlignment="1">
      <alignment horizontal="center" vertical="center"/>
    </xf>
    <xf numFmtId="2" fontId="8" fillId="0" borderId="1" xfId="3" applyNumberFormat="1" applyFont="1" applyBorder="1" applyAlignment="1">
      <alignment vertical="center" wrapText="1"/>
    </xf>
    <xf numFmtId="2" fontId="3" fillId="0" borderId="1" xfId="0" applyNumberFormat="1" applyFont="1" applyBorder="1" applyAlignment="1">
      <alignment horizontal="right" vertical="center"/>
    </xf>
    <xf numFmtId="2" fontId="3" fillId="0" borderId="0" xfId="0" applyNumberFormat="1" applyFont="1" applyAlignment="1">
      <alignment horizontal="right" vertical="center"/>
    </xf>
    <xf numFmtId="0" fontId="8" fillId="0" borderId="1" xfId="26" applyFont="1" applyBorder="1" applyAlignment="1">
      <alignment horizontal="center" vertical="center" wrapText="1"/>
    </xf>
    <xf numFmtId="0" fontId="8" fillId="0" borderId="1" xfId="26" applyNumberFormat="1" applyFont="1" applyBorder="1" applyAlignment="1">
      <alignment horizontal="left" vertical="center" wrapText="1"/>
    </xf>
    <xf numFmtId="0" fontId="8" fillId="0" borderId="1" xfId="26" applyFont="1" applyBorder="1" applyAlignment="1">
      <alignment horizontal="right" vertical="center" wrapText="1"/>
    </xf>
    <xf numFmtId="0" fontId="8" fillId="0" borderId="1" xfId="26" applyFont="1" applyFill="1" applyBorder="1" applyAlignment="1">
      <alignment horizontal="right" vertical="center" wrapText="1"/>
    </xf>
    <xf numFmtId="0" fontId="8" fillId="0" borderId="1" xfId="26" applyFont="1" applyBorder="1" applyAlignment="1">
      <alignment wrapText="1"/>
    </xf>
    <xf numFmtId="0" fontId="8" fillId="0" borderId="1" xfId="26" applyNumberFormat="1" applyFont="1" applyBorder="1" applyAlignment="1">
      <alignment wrapText="1"/>
    </xf>
    <xf numFmtId="0" fontId="8" fillId="0" borderId="1" xfId="26" applyFont="1" applyBorder="1" applyAlignment="1">
      <alignment horizontal="right" wrapText="1"/>
    </xf>
    <xf numFmtId="0" fontId="8" fillId="0" borderId="1" xfId="26" applyNumberFormat="1" applyFont="1" applyBorder="1" applyAlignment="1">
      <alignment horizontal="center" vertical="center" wrapText="1"/>
    </xf>
    <xf numFmtId="2" fontId="8" fillId="0" borderId="1" xfId="26" applyNumberFormat="1" applyFont="1" applyBorder="1" applyAlignment="1">
      <alignment horizontal="right" vertical="center" wrapText="1"/>
    </xf>
    <xf numFmtId="2" fontId="8" fillId="0" borderId="1" xfId="26" applyNumberFormat="1" applyFont="1" applyFill="1" applyBorder="1" applyAlignment="1">
      <alignment horizontal="right" vertical="center" wrapText="1"/>
    </xf>
    <xf numFmtId="2" fontId="10" fillId="0" borderId="1" xfId="26" applyNumberFormat="1" applyFont="1" applyFill="1" applyBorder="1" applyAlignment="1">
      <alignment horizontal="right" vertical="center" wrapText="1"/>
    </xf>
    <xf numFmtId="0" fontId="3" fillId="0" borderId="1" xfId="16" applyNumberFormat="1" applyFont="1" applyBorder="1" applyAlignment="1">
      <alignment horizontal="center" wrapText="1"/>
    </xf>
    <xf numFmtId="164" fontId="8" fillId="0" borderId="1" xfId="26" applyNumberFormat="1" applyFont="1" applyBorder="1" applyAlignment="1">
      <alignment horizontal="right" vertical="center" wrapText="1"/>
    </xf>
    <xf numFmtId="2" fontId="10" fillId="2" borderId="6" xfId="3" applyNumberFormat="1" applyFont="1" applyFill="1" applyBorder="1" applyAlignment="1">
      <alignment vertical="top" wrapText="1"/>
    </xf>
    <xf numFmtId="1" fontId="8" fillId="0" borderId="1" xfId="26" applyNumberFormat="1" applyFont="1" applyBorder="1" applyAlignment="1">
      <alignment horizontal="center" vertical="center" wrapText="1"/>
    </xf>
    <xf numFmtId="0" fontId="2" fillId="0" borderId="1" xfId="16" applyNumberFormat="1" applyFont="1" applyBorder="1"/>
    <xf numFmtId="0" fontId="2" fillId="0" borderId="1" xfId="16" applyNumberFormat="1" applyFont="1" applyBorder="1" applyAlignment="1">
      <alignment horizontal="center" vertical="center"/>
    </xf>
    <xf numFmtId="2" fontId="8" fillId="0" borderId="1" xfId="16" applyNumberFormat="1" applyFont="1" applyBorder="1" applyAlignment="1">
      <alignment horizontal="right"/>
    </xf>
    <xf numFmtId="0" fontId="2" fillId="0" borderId="0" xfId="19" applyFont="1"/>
    <xf numFmtId="0" fontId="3" fillId="0" borderId="1" xfId="19" applyFont="1" applyBorder="1" applyAlignment="1">
      <alignment horizontal="center" vertical="center" wrapText="1"/>
    </xf>
    <xf numFmtId="2" fontId="3" fillId="0" borderId="1" xfId="19" applyNumberFormat="1" applyFont="1" applyBorder="1" applyAlignment="1">
      <alignment horizontal="center" vertical="center" wrapText="1"/>
    </xf>
    <xf numFmtId="0" fontId="2" fillId="0" borderId="1" xfId="19" applyFont="1" applyBorder="1" applyAlignment="1">
      <alignment horizontal="center" vertical="center" wrapText="1"/>
    </xf>
    <xf numFmtId="2" fontId="2" fillId="0" borderId="1" xfId="19" applyNumberFormat="1" applyFont="1" applyBorder="1" applyAlignment="1">
      <alignment horizontal="center" vertical="center" wrapText="1"/>
    </xf>
    <xf numFmtId="0" fontId="2" fillId="0" borderId="1" xfId="19" applyFont="1" applyBorder="1" applyAlignment="1">
      <alignment horizontal="left" vertical="center" wrapText="1"/>
    </xf>
    <xf numFmtId="2" fontId="2" fillId="0" borderId="1" xfId="19" applyNumberFormat="1" applyFont="1" applyBorder="1" applyAlignment="1">
      <alignment vertical="center" wrapText="1"/>
    </xf>
    <xf numFmtId="2" fontId="2" fillId="0" borderId="1" xfId="19" applyNumberFormat="1" applyFont="1" applyBorder="1" applyAlignment="1">
      <alignment horizontal="left" vertical="center" wrapText="1"/>
    </xf>
    <xf numFmtId="2" fontId="8" fillId="0" borderId="1" xfId="19" applyNumberFormat="1" applyFont="1" applyFill="1" applyBorder="1" applyAlignment="1">
      <alignment horizontal="center" vertical="center" wrapText="1"/>
    </xf>
    <xf numFmtId="2" fontId="10" fillId="0" borderId="1" xfId="19" applyNumberFormat="1" applyFont="1" applyFill="1" applyBorder="1" applyAlignment="1">
      <alignment horizontal="right" vertical="center"/>
    </xf>
    <xf numFmtId="0" fontId="8" fillId="0" borderId="1" xfId="19" applyNumberFormat="1" applyFont="1" applyFill="1" applyBorder="1" applyAlignment="1">
      <alignment horizontal="center" vertical="center"/>
    </xf>
    <xf numFmtId="0" fontId="3" fillId="0" borderId="1" xfId="0" applyFont="1" applyBorder="1" applyAlignment="1">
      <alignment vertical="center"/>
    </xf>
    <xf numFmtId="2" fontId="2" fillId="0" borderId="1" xfId="0" applyNumberFormat="1" applyFont="1" applyBorder="1" applyAlignment="1">
      <alignment vertical="center"/>
    </xf>
    <xf numFmtId="0" fontId="2" fillId="0" borderId="1" xfId="0" applyNumberFormat="1" applyFont="1" applyFill="1" applyBorder="1" applyAlignment="1">
      <alignment horizontal="left" vertical="center" wrapText="1"/>
    </xf>
    <xf numFmtId="0" fontId="2" fillId="0" borderId="1" xfId="0" applyNumberFormat="1" applyFont="1" applyFill="1" applyBorder="1" applyAlignment="1">
      <alignment vertical="center" wrapText="1"/>
    </xf>
    <xf numFmtId="2" fontId="3" fillId="0" borderId="1" xfId="0" applyNumberFormat="1" applyFont="1" applyBorder="1" applyAlignment="1">
      <alignment vertical="center"/>
    </xf>
    <xf numFmtId="0" fontId="2" fillId="0" borderId="0" xfId="0" applyFont="1" applyAlignment="1">
      <alignment horizontal="center" vertical="center"/>
    </xf>
    <xf numFmtId="0" fontId="2" fillId="0" borderId="0" xfId="0" applyFont="1" applyAlignment="1">
      <alignment vertical="center"/>
    </xf>
    <xf numFmtId="165" fontId="117" fillId="2" borderId="0" xfId="16" applyFont="1" applyFill="1" applyAlignment="1">
      <alignment vertical="top"/>
    </xf>
    <xf numFmtId="165" fontId="118" fillId="2" borderId="0" xfId="16" applyFont="1" applyFill="1" applyAlignment="1">
      <alignment vertical="top"/>
    </xf>
    <xf numFmtId="165" fontId="120" fillId="2" borderId="0" xfId="16" applyFont="1" applyFill="1" applyAlignment="1">
      <alignment horizontal="center" vertical="top"/>
    </xf>
    <xf numFmtId="165" fontId="121" fillId="2" borderId="0" xfId="16" applyFont="1" applyFill="1" applyAlignment="1">
      <alignment horizontal="center" vertical="top"/>
    </xf>
    <xf numFmtId="166" fontId="119" fillId="2" borderId="6" xfId="16" applyNumberFormat="1" applyFont="1" applyFill="1" applyBorder="1" applyAlignment="1">
      <alignment horizontal="center" vertical="top" wrapText="1"/>
    </xf>
    <xf numFmtId="165" fontId="119" fillId="2" borderId="6" xfId="16" applyFont="1" applyFill="1" applyBorder="1" applyAlignment="1">
      <alignment horizontal="center" vertical="top" wrapText="1"/>
    </xf>
    <xf numFmtId="165" fontId="122" fillId="2" borderId="6" xfId="16" applyFont="1" applyFill="1" applyBorder="1" applyAlignment="1">
      <alignment horizontal="center" vertical="top" wrapText="1"/>
    </xf>
    <xf numFmtId="174" fontId="120" fillId="0" borderId="6" xfId="3" applyNumberFormat="1" applyFont="1" applyFill="1" applyBorder="1" applyAlignment="1">
      <alignment horizontal="center" vertical="center" wrapText="1"/>
    </xf>
    <xf numFmtId="2" fontId="120" fillId="0" borderId="6" xfId="3" applyNumberFormat="1" applyFont="1" applyFill="1" applyBorder="1" applyAlignment="1">
      <alignment vertical="top" wrapText="1"/>
    </xf>
    <xf numFmtId="2" fontId="120" fillId="0" borderId="6" xfId="3" applyNumberFormat="1" applyFont="1" applyFill="1" applyBorder="1" applyAlignment="1">
      <alignment horizontal="center" vertical="top" wrapText="1"/>
    </xf>
    <xf numFmtId="165" fontId="120" fillId="0" borderId="6" xfId="16" applyFont="1" applyFill="1" applyBorder="1" applyAlignment="1">
      <alignment horizontal="right" vertical="top" wrapText="1"/>
    </xf>
    <xf numFmtId="166" fontId="120" fillId="0" borderId="6" xfId="16" applyNumberFormat="1" applyFont="1" applyFill="1" applyBorder="1" applyAlignment="1">
      <alignment horizontal="right" vertical="top" wrapText="1"/>
    </xf>
    <xf numFmtId="166" fontId="123" fillId="2" borderId="6" xfId="0" applyNumberFormat="1" applyFont="1" applyFill="1" applyBorder="1" applyAlignment="1">
      <alignment vertical="top" wrapText="1"/>
    </xf>
    <xf numFmtId="165" fontId="124" fillId="0" borderId="6" xfId="16" applyFont="1" applyFill="1" applyBorder="1" applyAlignment="1">
      <alignment horizontal="right" vertical="top" wrapText="1"/>
    </xf>
    <xf numFmtId="165" fontId="123" fillId="0" borderId="6" xfId="16" applyFont="1" applyFill="1" applyBorder="1" applyAlignment="1">
      <alignment vertical="top" wrapText="1"/>
    </xf>
    <xf numFmtId="166" fontId="123" fillId="0" borderId="6" xfId="16" applyNumberFormat="1" applyFont="1" applyFill="1" applyBorder="1" applyAlignment="1">
      <alignment vertical="top" wrapText="1"/>
    </xf>
    <xf numFmtId="165" fontId="123" fillId="0" borderId="22" xfId="16" applyFont="1" applyFill="1" applyBorder="1" applyAlignment="1">
      <alignment vertical="top" wrapText="1"/>
    </xf>
    <xf numFmtId="165" fontId="120" fillId="0" borderId="6" xfId="16" applyFont="1" applyFill="1" applyBorder="1" applyAlignment="1">
      <alignment vertical="top" wrapText="1"/>
    </xf>
    <xf numFmtId="174" fontId="120" fillId="0" borderId="6" xfId="3" applyNumberFormat="1" applyFont="1" applyFill="1" applyBorder="1" applyAlignment="1">
      <alignment vertical="top" wrapText="1"/>
    </xf>
    <xf numFmtId="2" fontId="123" fillId="0" borderId="6" xfId="3" applyNumberFormat="1" applyFont="1" applyFill="1" applyBorder="1" applyAlignment="1">
      <alignment horizontal="center" vertical="top" wrapText="1"/>
    </xf>
    <xf numFmtId="2" fontId="120" fillId="0" borderId="0" xfId="3" applyNumberFormat="1" applyFont="1" applyFill="1" applyBorder="1" applyAlignment="1">
      <alignment vertical="top" wrapText="1"/>
    </xf>
    <xf numFmtId="165" fontId="123" fillId="0" borderId="0" xfId="16" applyFont="1" applyFill="1" applyBorder="1" applyAlignment="1">
      <alignment vertical="top" wrapText="1"/>
    </xf>
    <xf numFmtId="165" fontId="123" fillId="0" borderId="18" xfId="16" applyFont="1" applyFill="1" applyBorder="1" applyAlignment="1">
      <alignment vertical="top" wrapText="1"/>
    </xf>
    <xf numFmtId="165" fontId="123" fillId="0" borderId="19" xfId="16" applyFont="1" applyFill="1" applyBorder="1" applyAlignment="1">
      <alignment vertical="top" wrapText="1"/>
    </xf>
    <xf numFmtId="165" fontId="123" fillId="3" borderId="19" xfId="16" applyFont="1" applyFill="1" applyBorder="1" applyAlignment="1">
      <alignment vertical="top" wrapText="1"/>
    </xf>
    <xf numFmtId="166" fontId="123" fillId="0" borderId="19" xfId="16" applyNumberFormat="1" applyFont="1" applyFill="1" applyBorder="1" applyAlignment="1">
      <alignment vertical="top" wrapText="1"/>
    </xf>
    <xf numFmtId="165" fontId="123" fillId="0" borderId="23" xfId="16" applyFont="1" applyFill="1" applyBorder="1" applyAlignment="1">
      <alignment vertical="top" wrapText="1"/>
    </xf>
    <xf numFmtId="166" fontId="123" fillId="0" borderId="23" xfId="16" applyNumberFormat="1" applyFont="1" applyFill="1" applyBorder="1" applyAlignment="1">
      <alignment vertical="top" wrapText="1"/>
    </xf>
    <xf numFmtId="166" fontId="123" fillId="2" borderId="22" xfId="0" applyNumberFormat="1" applyFont="1" applyFill="1" applyBorder="1" applyAlignment="1">
      <alignment vertical="top" wrapText="1"/>
    </xf>
    <xf numFmtId="165" fontId="120" fillId="0" borderId="0" xfId="16" applyFont="1" applyFill="1" applyAlignment="1">
      <alignment vertical="top"/>
    </xf>
    <xf numFmtId="165" fontId="120" fillId="0" borderId="0" xfId="16" applyFont="1" applyFill="1" applyAlignment="1">
      <alignment vertical="top" wrapText="1"/>
    </xf>
    <xf numFmtId="165" fontId="120" fillId="0" borderId="0" xfId="16" applyFont="1" applyFill="1" applyAlignment="1">
      <alignment horizontal="right" vertical="top"/>
    </xf>
    <xf numFmtId="4" fontId="125" fillId="0" borderId="0" xfId="0" applyNumberFormat="1" applyFont="1" applyBorder="1" applyAlignment="1">
      <alignment horizontal="right" vertical="center" wrapText="1"/>
    </xf>
    <xf numFmtId="0" fontId="123" fillId="0" borderId="0" xfId="0" applyFont="1" applyBorder="1" applyAlignment="1">
      <alignment horizontal="right" vertical="center" wrapText="1"/>
    </xf>
    <xf numFmtId="4" fontId="123" fillId="0" borderId="0" xfId="0" applyNumberFormat="1" applyFont="1" applyBorder="1" applyAlignment="1">
      <alignment horizontal="right" vertical="center" wrapText="1"/>
    </xf>
    <xf numFmtId="0" fontId="123" fillId="0" borderId="0" xfId="0" applyFont="1" applyBorder="1" applyAlignment="1">
      <alignment horizontal="left" vertical="center" wrapText="1"/>
    </xf>
    <xf numFmtId="0" fontId="125" fillId="0" borderId="0" xfId="0" applyFont="1" applyBorder="1" applyAlignment="1">
      <alignment horizontal="center" vertical="center" wrapText="1"/>
    </xf>
    <xf numFmtId="2" fontId="125" fillId="0" borderId="0" xfId="0" applyNumberFormat="1" applyFont="1" applyBorder="1" applyAlignment="1">
      <alignment horizontal="right" vertical="center" wrapText="1"/>
    </xf>
    <xf numFmtId="165" fontId="123" fillId="0" borderId="21" xfId="16" applyFont="1" applyFill="1" applyBorder="1" applyAlignment="1">
      <alignment vertical="top" wrapText="1"/>
    </xf>
    <xf numFmtId="166" fontId="123" fillId="0" borderId="21" xfId="16" applyNumberFormat="1" applyFont="1" applyFill="1" applyBorder="1" applyAlignment="1">
      <alignment vertical="top" wrapText="1"/>
    </xf>
    <xf numFmtId="165" fontId="125" fillId="0" borderId="6" xfId="16" applyFont="1" applyFill="1" applyBorder="1" applyAlignment="1">
      <alignment vertical="top" wrapText="1"/>
    </xf>
    <xf numFmtId="165" fontId="118" fillId="2" borderId="0" xfId="16" applyFont="1" applyFill="1" applyAlignment="1">
      <alignment horizontal="center" vertical="top"/>
    </xf>
    <xf numFmtId="2" fontId="123" fillId="2" borderId="6" xfId="3" applyNumberFormat="1" applyFont="1" applyFill="1" applyBorder="1" applyAlignment="1">
      <alignment horizontal="center" vertical="top" wrapText="1"/>
    </xf>
    <xf numFmtId="165" fontId="123" fillId="2" borderId="6" xfId="16" applyFont="1" applyFill="1" applyBorder="1" applyAlignment="1">
      <alignment vertical="top" wrapText="1"/>
    </xf>
    <xf numFmtId="166" fontId="123" fillId="2" borderId="6" xfId="16" applyNumberFormat="1" applyFont="1" applyFill="1" applyBorder="1" applyAlignment="1">
      <alignment vertical="top" wrapText="1"/>
    </xf>
    <xf numFmtId="165" fontId="120" fillId="2" borderId="6" xfId="16" applyFont="1" applyFill="1" applyBorder="1" applyAlignment="1">
      <alignment vertical="top" wrapText="1"/>
    </xf>
    <xf numFmtId="166" fontId="120" fillId="2" borderId="6" xfId="16" applyNumberFormat="1" applyFont="1" applyFill="1" applyBorder="1" applyAlignment="1">
      <alignment vertical="top" wrapText="1"/>
    </xf>
    <xf numFmtId="165" fontId="120" fillId="2" borderId="0" xfId="16" applyFont="1" applyFill="1" applyBorder="1" applyAlignment="1">
      <alignment vertical="top" wrapText="1"/>
    </xf>
    <xf numFmtId="166" fontId="120" fillId="2" borderId="0" xfId="16" applyNumberFormat="1" applyFont="1" applyFill="1" applyBorder="1" applyAlignment="1">
      <alignment vertical="top" wrapText="1"/>
    </xf>
    <xf numFmtId="165" fontId="121" fillId="2" borderId="0" xfId="16" applyFont="1" applyFill="1" applyAlignment="1">
      <alignment vertical="top"/>
    </xf>
    <xf numFmtId="165" fontId="120" fillId="2" borderId="0" xfId="16" applyFont="1" applyFill="1" applyAlignment="1">
      <alignment vertical="top"/>
    </xf>
    <xf numFmtId="0" fontId="123" fillId="0" borderId="1" xfId="0" applyNumberFormat="1" applyFont="1" applyBorder="1" applyAlignment="1">
      <alignment horizontal="left" vertical="center" wrapText="1"/>
    </xf>
    <xf numFmtId="165" fontId="126" fillId="2" borderId="0" xfId="16" applyFont="1" applyFill="1" applyAlignment="1">
      <alignment vertical="top"/>
    </xf>
    <xf numFmtId="165" fontId="120" fillId="0" borderId="21" xfId="16" applyFont="1" applyFill="1" applyBorder="1" applyAlignment="1">
      <alignment horizontal="right" vertical="top" wrapText="1"/>
    </xf>
    <xf numFmtId="2" fontId="120" fillId="0" borderId="21" xfId="3" applyNumberFormat="1" applyFont="1" applyFill="1" applyBorder="1" applyAlignment="1">
      <alignment horizontal="center" vertical="top" wrapText="1"/>
    </xf>
    <xf numFmtId="165" fontId="126" fillId="0" borderId="0" xfId="16" applyFont="1" applyFill="1" applyAlignment="1">
      <alignment vertical="top"/>
    </xf>
    <xf numFmtId="165" fontId="120" fillId="0" borderId="22" xfId="16" applyFont="1" applyFill="1" applyBorder="1" applyAlignment="1">
      <alignment vertical="top" wrapText="1"/>
    </xf>
    <xf numFmtId="2" fontId="120" fillId="0" borderId="22" xfId="3" applyNumberFormat="1" applyFont="1" applyFill="1" applyBorder="1" applyAlignment="1">
      <alignment horizontal="center" vertical="top" wrapText="1"/>
    </xf>
    <xf numFmtId="165" fontId="127" fillId="2" borderId="6" xfId="16" applyFont="1" applyFill="1" applyBorder="1" applyAlignment="1">
      <alignment vertical="top" wrapText="1"/>
    </xf>
    <xf numFmtId="165" fontId="120" fillId="0" borderId="21" xfId="16" applyFont="1" applyFill="1" applyBorder="1" applyAlignment="1">
      <alignment vertical="top" wrapText="1"/>
    </xf>
    <xf numFmtId="165" fontId="126" fillId="2" borderId="20" xfId="16" applyFont="1" applyFill="1" applyBorder="1" applyAlignment="1">
      <alignment vertical="top"/>
    </xf>
    <xf numFmtId="165" fontId="120" fillId="2" borderId="6" xfId="16" applyFont="1" applyFill="1" applyBorder="1" applyAlignment="1">
      <alignment vertical="top"/>
    </xf>
    <xf numFmtId="165" fontId="120" fillId="0" borderId="0" xfId="16" applyFont="1" applyFill="1" applyBorder="1" applyAlignment="1">
      <alignment horizontal="right" vertical="top" wrapText="1"/>
    </xf>
    <xf numFmtId="2" fontId="120" fillId="0" borderId="0" xfId="3" applyNumberFormat="1" applyFont="1" applyFill="1" applyBorder="1" applyAlignment="1">
      <alignment horizontal="center" vertical="top" wrapText="1"/>
    </xf>
    <xf numFmtId="165" fontId="120" fillId="0" borderId="0" xfId="16" applyFont="1" applyFill="1" applyAlignment="1">
      <alignment horizontal="center" vertical="top"/>
    </xf>
    <xf numFmtId="165" fontId="123" fillId="0" borderId="0" xfId="16" applyFont="1" applyFill="1" applyAlignment="1">
      <alignment horizontal="center" vertical="top"/>
    </xf>
    <xf numFmtId="165" fontId="120" fillId="0" borderId="0" xfId="16" applyFont="1" applyFill="1" applyAlignment="1"/>
    <xf numFmtId="165" fontId="120" fillId="2" borderId="0" xfId="16" applyFont="1" applyFill="1" applyAlignment="1">
      <alignment horizontal="right" vertical="top"/>
    </xf>
    <xf numFmtId="165" fontId="123" fillId="2" borderId="0" xfId="16" applyFont="1" applyFill="1" applyAlignment="1">
      <alignment horizontal="center" vertical="top"/>
    </xf>
    <xf numFmtId="165" fontId="123" fillId="2" borderId="0" xfId="16" applyFont="1" applyFill="1" applyAlignment="1">
      <alignment vertical="top"/>
    </xf>
    <xf numFmtId="165" fontId="124" fillId="2" borderId="0" xfId="16" applyFont="1" applyFill="1" applyAlignment="1">
      <alignment vertical="top"/>
    </xf>
    <xf numFmtId="166" fontId="120" fillId="2" borderId="0" xfId="16" applyNumberFormat="1" applyFont="1" applyFill="1" applyAlignment="1">
      <alignment vertical="top"/>
    </xf>
    <xf numFmtId="165" fontId="124" fillId="2" borderId="0" xfId="16" applyFont="1" applyFill="1" applyAlignment="1">
      <alignment horizontal="right" vertical="top"/>
    </xf>
    <xf numFmtId="166" fontId="120" fillId="2" borderId="0" xfId="16" applyNumberFormat="1" applyFont="1" applyFill="1" applyAlignment="1">
      <alignment horizontal="right" vertical="top"/>
    </xf>
    <xf numFmtId="165" fontId="117" fillId="2" borderId="0" xfId="16" applyFont="1" applyFill="1" applyAlignment="1">
      <alignment horizontal="center" vertical="top"/>
    </xf>
    <xf numFmtId="166" fontId="128" fillId="2" borderId="6" xfId="16" applyNumberFormat="1" applyFont="1" applyFill="1" applyBorder="1" applyAlignment="1">
      <alignment horizontal="center" vertical="top" wrapText="1"/>
    </xf>
    <xf numFmtId="165" fontId="128" fillId="2" borderId="6" xfId="16" applyFont="1" applyFill="1" applyBorder="1" applyAlignment="1">
      <alignment horizontal="center" vertical="top" wrapText="1"/>
    </xf>
    <xf numFmtId="0" fontId="99" fillId="0"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99" fillId="0" borderId="1" xfId="0" applyFont="1" applyBorder="1" applyAlignment="1">
      <alignment horizontal="center" vertical="center"/>
    </xf>
    <xf numFmtId="2" fontId="133" fillId="2" borderId="6" xfId="3" applyNumberFormat="1" applyFont="1" applyFill="1" applyBorder="1" applyAlignment="1">
      <alignment horizontal="left" vertical="center" wrapText="1"/>
    </xf>
    <xf numFmtId="0" fontId="133" fillId="2" borderId="6" xfId="16" applyNumberFormat="1" applyFont="1" applyFill="1" applyBorder="1" applyAlignment="1">
      <alignment horizontal="left" vertical="center" wrapText="1"/>
    </xf>
    <xf numFmtId="2" fontId="132" fillId="3" borderId="6" xfId="3" applyNumberFormat="1" applyFont="1" applyFill="1" applyBorder="1" applyAlignment="1">
      <alignment horizontal="left" vertical="center" wrapText="1"/>
    </xf>
    <xf numFmtId="2" fontId="133" fillId="3" borderId="6" xfId="3" applyNumberFormat="1" applyFont="1" applyFill="1" applyBorder="1" applyAlignment="1">
      <alignment horizontal="left" vertical="center" wrapText="1"/>
    </xf>
    <xf numFmtId="0" fontId="133" fillId="2" borderId="6" xfId="32" applyNumberFormat="1" applyFont="1" applyFill="1" applyBorder="1" applyAlignment="1">
      <alignment horizontal="left" vertical="center" wrapText="1"/>
    </xf>
    <xf numFmtId="2" fontId="132" fillId="2" borderId="6" xfId="3" applyNumberFormat="1" applyFont="1" applyFill="1" applyBorder="1" applyAlignment="1">
      <alignment horizontal="left" vertical="center" wrapText="1"/>
    </xf>
    <xf numFmtId="2" fontId="137" fillId="2" borderId="6" xfId="33" applyNumberFormat="1" applyFont="1" applyFill="1" applyBorder="1" applyAlignment="1">
      <alignment horizontal="left" vertical="center" wrapText="1"/>
    </xf>
    <xf numFmtId="2" fontId="133" fillId="2" borderId="6" xfId="33" applyNumberFormat="1" applyFont="1" applyFill="1" applyBorder="1" applyAlignment="1">
      <alignment horizontal="left" vertical="center" wrapText="1"/>
    </xf>
    <xf numFmtId="2" fontId="137" fillId="2" borderId="21" xfId="33" applyNumberFormat="1" applyFont="1" applyFill="1" applyBorder="1" applyAlignment="1">
      <alignment horizontal="left" vertical="center" wrapText="1"/>
    </xf>
    <xf numFmtId="2" fontId="133" fillId="2" borderId="21" xfId="33" applyNumberFormat="1" applyFont="1" applyFill="1" applyBorder="1" applyAlignment="1">
      <alignment horizontal="left" vertical="center" wrapText="1"/>
    </xf>
    <xf numFmtId="2" fontId="133" fillId="0" borderId="21" xfId="33" applyNumberFormat="1" applyFont="1" applyFill="1" applyBorder="1" applyAlignment="1">
      <alignment horizontal="center" vertical="center" wrapText="1"/>
    </xf>
    <xf numFmtId="2" fontId="156" fillId="2" borderId="26" xfId="33" applyNumberFormat="1" applyFont="1" applyFill="1" applyBorder="1" applyAlignment="1">
      <alignment horizontal="center" vertical="center" wrapText="1"/>
    </xf>
    <xf numFmtId="2" fontId="156" fillId="2" borderId="27" xfId="33" applyNumberFormat="1" applyFont="1" applyFill="1" applyBorder="1" applyAlignment="1">
      <alignment horizontal="center" vertical="center" wrapText="1"/>
    </xf>
    <xf numFmtId="174" fontId="132" fillId="0" borderId="6" xfId="6" applyNumberFormat="1" applyFont="1" applyBorder="1" applyAlignment="1">
      <alignment horizontal="left" vertical="center" wrapText="1"/>
    </xf>
    <xf numFmtId="2" fontId="133" fillId="2" borderId="6" xfId="33" applyNumberFormat="1" applyFont="1" applyFill="1" applyBorder="1" applyAlignment="1">
      <alignment horizontal="center" vertical="center" wrapText="1"/>
    </xf>
    <xf numFmtId="2" fontId="133" fillId="2" borderId="6" xfId="3" applyNumberFormat="1" applyFont="1" applyFill="1" applyBorder="1" applyAlignment="1">
      <alignment horizontal="center" vertical="center" wrapText="1"/>
    </xf>
    <xf numFmtId="2" fontId="132" fillId="2" borderId="6" xfId="33" applyNumberFormat="1" applyFont="1" applyFill="1" applyBorder="1" applyAlignment="1">
      <alignment horizontal="center" vertical="center" wrapText="1"/>
    </xf>
    <xf numFmtId="2" fontId="131" fillId="2" borderId="6" xfId="33" applyNumberFormat="1" applyFont="1" applyFill="1" applyBorder="1" applyAlignment="1">
      <alignment horizontal="center" vertical="center" wrapText="1"/>
    </xf>
    <xf numFmtId="165" fontId="163" fillId="0" borderId="0" xfId="16" applyFont="1" applyFill="1" applyBorder="1" applyAlignment="1">
      <alignment horizontal="center"/>
    </xf>
    <xf numFmtId="165" fontId="164" fillId="0" borderId="0" xfId="16" applyFont="1" applyFill="1" applyBorder="1" applyAlignment="1">
      <alignment horizontal="center" vertical="center"/>
    </xf>
    <xf numFmtId="165" fontId="66" fillId="0" borderId="1" xfId="16" applyFont="1" applyFill="1" applyBorder="1" applyAlignment="1">
      <alignment horizontal="center" vertical="center" wrapText="1"/>
    </xf>
    <xf numFmtId="164" fontId="69" fillId="0" borderId="1" xfId="16" applyNumberFormat="1" applyFont="1" applyFill="1" applyBorder="1" applyAlignment="1">
      <alignment horizontal="center" vertical="center"/>
    </xf>
    <xf numFmtId="165" fontId="66" fillId="0" borderId="1" xfId="16" applyFont="1" applyFill="1" applyBorder="1" applyAlignment="1">
      <alignment horizontal="center" vertical="center"/>
    </xf>
    <xf numFmtId="165" fontId="165" fillId="0" borderId="0" xfId="16" applyFont="1" applyFill="1" applyBorder="1" applyAlignment="1">
      <alignment horizontal="center"/>
    </xf>
    <xf numFmtId="2" fontId="56" fillId="0" borderId="1" xfId="3" applyNumberFormat="1" applyFont="1" applyFill="1" applyBorder="1" applyAlignment="1">
      <alignment horizontal="right" vertical="top" wrapText="1"/>
    </xf>
    <xf numFmtId="2" fontId="56" fillId="0" borderId="1" xfId="3" applyNumberFormat="1" applyFont="1" applyFill="1" applyBorder="1" applyAlignment="1">
      <alignment horizontal="center" vertical="top" wrapText="1"/>
    </xf>
    <xf numFmtId="2" fontId="69" fillId="0" borderId="1" xfId="3" applyNumberFormat="1" applyFont="1" applyFill="1" applyBorder="1" applyAlignment="1">
      <alignment horizontal="justify" vertical="top" wrapText="1"/>
    </xf>
    <xf numFmtId="165" fontId="167" fillId="0" borderId="0" xfId="16" applyFont="1" applyFill="1" applyBorder="1" applyAlignment="1">
      <alignment horizontal="center"/>
    </xf>
    <xf numFmtId="165" fontId="168" fillId="0" borderId="0" xfId="16" applyFont="1" applyFill="1" applyBorder="1" applyAlignment="1">
      <alignment horizontal="justify"/>
    </xf>
    <xf numFmtId="165" fontId="163" fillId="0" borderId="0" xfId="16" applyFont="1" applyFill="1" applyBorder="1" applyAlignment="1">
      <alignment horizontal="right"/>
    </xf>
    <xf numFmtId="165" fontId="12" fillId="0" borderId="0" xfId="16" applyBorder="1"/>
    <xf numFmtId="165" fontId="12" fillId="0" borderId="0" xfId="16" applyBorder="1" applyAlignment="1"/>
    <xf numFmtId="165" fontId="12" fillId="0" borderId="0" xfId="16" applyBorder="1" applyAlignment="1">
      <alignment horizontal="center"/>
    </xf>
    <xf numFmtId="165" fontId="12" fillId="0" borderId="0" xfId="16" applyNumberFormat="1" applyAlignment="1" applyProtection="1">
      <alignment horizontal="left"/>
    </xf>
    <xf numFmtId="165" fontId="12" fillId="0" borderId="0" xfId="16" applyBorder="1" applyAlignment="1">
      <alignment horizontal="left"/>
    </xf>
    <xf numFmtId="165" fontId="12" fillId="0" borderId="0" xfId="16" applyFill="1" applyBorder="1"/>
    <xf numFmtId="165" fontId="12" fillId="0" borderId="0" xfId="16" applyBorder="1" applyAlignment="1">
      <alignment horizontal="center" vertical="top"/>
    </xf>
    <xf numFmtId="165" fontId="13" fillId="0" borderId="0" xfId="16" applyFont="1" applyBorder="1"/>
    <xf numFmtId="165" fontId="12" fillId="0" borderId="0" xfId="16" applyBorder="1" applyAlignment="1">
      <alignment wrapText="1"/>
    </xf>
    <xf numFmtId="165" fontId="174" fillId="0" borderId="0" xfId="16" applyFont="1" applyBorder="1" applyAlignment="1">
      <alignment horizontal="center" vertical="center"/>
    </xf>
    <xf numFmtId="165" fontId="13" fillId="0" borderId="0" xfId="16" applyFont="1" applyBorder="1" applyAlignment="1">
      <alignment horizontal="center"/>
    </xf>
    <xf numFmtId="165" fontId="13" fillId="0" borderId="0" xfId="16" applyFont="1" applyBorder="1" applyAlignment="1">
      <alignment horizontal="center" vertical="center"/>
    </xf>
    <xf numFmtId="165" fontId="13" fillId="0" borderId="0" xfId="16" applyFont="1" applyBorder="1" applyAlignment="1">
      <alignment vertical="top"/>
    </xf>
    <xf numFmtId="165" fontId="13" fillId="0" borderId="0" xfId="16" applyFont="1" applyBorder="1" applyAlignment="1">
      <alignment horizontal="left" vertical="top" wrapText="1"/>
    </xf>
    <xf numFmtId="165" fontId="12" fillId="0" borderId="0" xfId="16" applyBorder="1" applyAlignment="1">
      <alignment vertical="top"/>
    </xf>
    <xf numFmtId="165" fontId="12" fillId="0" borderId="0" xfId="16" applyBorder="1" applyAlignment="1">
      <alignment horizontal="left" vertical="top" wrapText="1"/>
    </xf>
    <xf numFmtId="165" fontId="12" fillId="0" borderId="0" xfId="16" applyBorder="1" applyAlignment="1">
      <alignment horizontal="left" vertical="top"/>
    </xf>
    <xf numFmtId="165" fontId="12" fillId="0" borderId="0" xfId="16" applyBorder="1" applyAlignment="1">
      <alignment vertical="top" wrapText="1"/>
    </xf>
    <xf numFmtId="165" fontId="16" fillId="0" borderId="0" xfId="16" applyFont="1" applyBorder="1" applyAlignment="1">
      <alignment horizontal="left" vertical="top"/>
    </xf>
    <xf numFmtId="165" fontId="17" fillId="0" borderId="0" xfId="16" applyFont="1" applyBorder="1" applyAlignment="1">
      <alignment horizontal="left" vertical="top"/>
    </xf>
    <xf numFmtId="166" fontId="12" fillId="0" borderId="0" xfId="16" applyNumberFormat="1" applyBorder="1" applyAlignment="1">
      <alignment horizontal="left" vertical="top"/>
    </xf>
    <xf numFmtId="165" fontId="26" fillId="0" borderId="0" xfId="16" applyFont="1" applyBorder="1" applyAlignment="1">
      <alignment horizontal="left" vertical="top"/>
    </xf>
    <xf numFmtId="12" fontId="12" fillId="0" borderId="0" xfId="16" applyNumberFormat="1" applyBorder="1" applyAlignment="1">
      <alignment horizontal="left" vertical="top"/>
    </xf>
    <xf numFmtId="165" fontId="12" fillId="0" borderId="0" xfId="16" applyBorder="1" applyAlignment="1">
      <alignment horizontal="right" vertical="top"/>
    </xf>
    <xf numFmtId="165" fontId="175" fillId="0" borderId="0" xfId="16" applyFont="1" applyBorder="1" applyAlignment="1">
      <alignment horizontal="left" vertical="top"/>
    </xf>
    <xf numFmtId="165" fontId="13" fillId="0" borderId="0" xfId="16" applyFont="1" applyBorder="1" applyAlignment="1">
      <alignment horizontal="right" vertical="top"/>
    </xf>
    <xf numFmtId="165" fontId="13" fillId="0" borderId="0" xfId="16" applyFont="1" applyBorder="1" applyAlignment="1">
      <alignment horizontal="left" vertical="top"/>
    </xf>
    <xf numFmtId="165" fontId="87" fillId="0" borderId="0" xfId="16" applyFont="1" applyBorder="1" applyAlignment="1">
      <alignment horizontal="left" vertical="top"/>
    </xf>
    <xf numFmtId="165" fontId="13" fillId="0" borderId="0" xfId="16" applyFont="1" applyBorder="1" applyAlignment="1">
      <alignment horizontal="left" wrapText="1"/>
    </xf>
    <xf numFmtId="165" fontId="13" fillId="0" borderId="0" xfId="16" applyFont="1" applyFill="1" applyBorder="1" applyAlignment="1">
      <alignment horizontal="left" vertical="top"/>
    </xf>
    <xf numFmtId="165" fontId="12" fillId="0" borderId="0" xfId="16" applyFill="1" applyBorder="1" applyAlignment="1">
      <alignment horizontal="left" vertical="top"/>
    </xf>
    <xf numFmtId="165" fontId="13" fillId="0" borderId="0" xfId="16" applyFont="1" applyBorder="1" applyAlignment="1">
      <alignment horizontal="left"/>
    </xf>
    <xf numFmtId="165" fontId="12" fillId="0" borderId="0" xfId="16" applyFont="1" applyBorder="1" applyAlignment="1">
      <alignment horizontal="right" vertical="top"/>
    </xf>
    <xf numFmtId="170" fontId="12" fillId="0" borderId="0" xfId="16" applyNumberFormat="1" applyBorder="1" applyAlignment="1">
      <alignment horizontal="left" vertical="top"/>
    </xf>
    <xf numFmtId="165" fontId="12" fillId="0" borderId="0" xfId="16" applyFont="1" applyBorder="1" applyAlignment="1">
      <alignment horizontal="left" vertical="top"/>
    </xf>
    <xf numFmtId="165" fontId="62" fillId="0" borderId="0" xfId="16" applyFont="1" applyBorder="1" applyAlignment="1">
      <alignment horizontal="left" vertical="top"/>
    </xf>
    <xf numFmtId="165" fontId="87" fillId="0" borderId="0" xfId="16" applyFont="1" applyBorder="1" applyAlignment="1">
      <alignment horizontal="center" vertical="top"/>
    </xf>
    <xf numFmtId="165" fontId="12" fillId="2" borderId="0" xfId="16" applyFill="1" applyBorder="1" applyAlignment="1">
      <alignment horizontal="left" vertical="top"/>
    </xf>
    <xf numFmtId="165" fontId="13" fillId="2" borderId="0" xfId="16" applyFont="1" applyFill="1" applyBorder="1" applyAlignment="1">
      <alignment horizontal="left" vertical="top"/>
    </xf>
    <xf numFmtId="165" fontId="12" fillId="2" borderId="0" xfId="16" applyFill="1" applyBorder="1"/>
    <xf numFmtId="165" fontId="12" fillId="3" borderId="0" xfId="16" applyFill="1" applyBorder="1" applyAlignment="1">
      <alignment vertical="top" wrapText="1"/>
    </xf>
    <xf numFmtId="165" fontId="12" fillId="3" borderId="0" xfId="16" applyFill="1" applyBorder="1" applyAlignment="1">
      <alignment horizontal="left" vertical="top"/>
    </xf>
    <xf numFmtId="165" fontId="26" fillId="3" borderId="0" xfId="16" applyFont="1" applyFill="1" applyBorder="1" applyAlignment="1">
      <alignment horizontal="left" vertical="top" wrapText="1"/>
    </xf>
    <xf numFmtId="165" fontId="17" fillId="3" borderId="0" xfId="16" applyFont="1" applyFill="1" applyBorder="1" applyAlignment="1">
      <alignment horizontal="left" vertical="top"/>
    </xf>
    <xf numFmtId="165" fontId="12" fillId="3" borderId="0" xfId="16" applyFill="1" applyBorder="1"/>
    <xf numFmtId="165" fontId="26" fillId="3" borderId="0" xfId="16" applyFont="1" applyFill="1" applyBorder="1" applyAlignment="1">
      <alignment horizontal="left" vertical="top"/>
    </xf>
    <xf numFmtId="165" fontId="12" fillId="3" borderId="0" xfId="16" applyFill="1" applyBorder="1" applyAlignment="1">
      <alignment horizontal="left" vertical="top" wrapText="1"/>
    </xf>
    <xf numFmtId="165" fontId="26" fillId="0" borderId="0" xfId="16" applyFont="1" applyBorder="1" applyAlignment="1">
      <alignment horizontal="left" vertical="top" wrapText="1"/>
    </xf>
    <xf numFmtId="169" fontId="12" fillId="0" borderId="0" xfId="16" applyNumberFormat="1" applyBorder="1" applyAlignment="1">
      <alignment horizontal="left" vertical="top"/>
    </xf>
    <xf numFmtId="165" fontId="176" fillId="0" borderId="0" xfId="16" applyFont="1" applyBorder="1" applyAlignment="1">
      <alignment horizontal="left" vertical="top"/>
    </xf>
    <xf numFmtId="165" fontId="13" fillId="0" borderId="0" xfId="16" applyFont="1" applyBorder="1" applyAlignment="1">
      <alignment horizontal="center" vertical="top"/>
    </xf>
    <xf numFmtId="165" fontId="35" fillId="0" borderId="0" xfId="16" applyFont="1" applyBorder="1" applyAlignment="1">
      <alignment horizontal="left" vertical="top"/>
    </xf>
    <xf numFmtId="170" fontId="12" fillId="0" borderId="0" xfId="16" applyNumberFormat="1" applyFont="1" applyBorder="1" applyAlignment="1">
      <alignment horizontal="left" vertical="top"/>
    </xf>
    <xf numFmtId="171" fontId="12" fillId="0" borderId="0" xfId="16" applyNumberFormat="1" applyBorder="1" applyAlignment="1">
      <alignment horizontal="left" vertical="top"/>
    </xf>
    <xf numFmtId="165" fontId="12" fillId="0" borderId="0" xfId="16" applyFont="1" applyBorder="1" applyAlignment="1">
      <alignment horizontal="left" vertical="top" wrapText="1"/>
    </xf>
    <xf numFmtId="165" fontId="16" fillId="3" borderId="0" xfId="16" applyFont="1" applyFill="1" applyBorder="1" applyAlignment="1">
      <alignment horizontal="left" vertical="top"/>
    </xf>
    <xf numFmtId="165" fontId="24" fillId="0" borderId="0" xfId="16" applyFont="1" applyBorder="1" applyAlignment="1">
      <alignment horizontal="left" vertical="top"/>
    </xf>
    <xf numFmtId="165" fontId="22" fillId="0" borderId="0" xfId="16" applyFont="1" applyBorder="1" applyAlignment="1">
      <alignment horizontal="left" vertical="top"/>
    </xf>
    <xf numFmtId="165" fontId="56" fillId="0" borderId="0" xfId="16" applyFont="1" applyBorder="1" applyAlignment="1">
      <alignment horizontal="left" vertical="top"/>
    </xf>
    <xf numFmtId="165" fontId="56" fillId="0" borderId="0" xfId="16" applyFont="1" applyBorder="1" applyAlignment="1">
      <alignment horizontal="right" vertical="top"/>
    </xf>
    <xf numFmtId="165" fontId="71" fillId="0" borderId="0" xfId="16" applyFont="1" applyBorder="1" applyAlignment="1">
      <alignment horizontal="right" vertical="top"/>
    </xf>
    <xf numFmtId="165" fontId="56" fillId="0" borderId="0" xfId="16" applyFont="1" applyBorder="1" applyAlignment="1">
      <alignment horizontal="left" vertical="top" wrapText="1"/>
    </xf>
    <xf numFmtId="165" fontId="66" fillId="0" borderId="0" xfId="16" applyFont="1" applyBorder="1" applyAlignment="1">
      <alignment horizontal="right" vertical="top"/>
    </xf>
    <xf numFmtId="165" fontId="162" fillId="0" borderId="0" xfId="16" applyFont="1" applyBorder="1" applyAlignment="1">
      <alignment horizontal="left" vertical="top"/>
    </xf>
    <xf numFmtId="165" fontId="66" fillId="0" borderId="0" xfId="16" applyFont="1" applyBorder="1" applyAlignment="1">
      <alignment horizontal="left" vertical="top"/>
    </xf>
    <xf numFmtId="165" fontId="97" fillId="0" borderId="0" xfId="16" applyFont="1" applyBorder="1" applyAlignment="1">
      <alignment horizontal="left" vertical="top"/>
    </xf>
    <xf numFmtId="165" fontId="166" fillId="0" borderId="0" xfId="16" applyFont="1" applyBorder="1" applyAlignment="1">
      <alignment horizontal="left" vertical="top"/>
    </xf>
    <xf numFmtId="170" fontId="166" fillId="0" borderId="0" xfId="16" applyNumberFormat="1" applyFont="1" applyBorder="1" applyAlignment="1">
      <alignment horizontal="left" vertical="top"/>
    </xf>
    <xf numFmtId="165" fontId="70" fillId="0" borderId="0" xfId="16" applyFont="1" applyBorder="1" applyAlignment="1">
      <alignment horizontal="right" vertical="top"/>
    </xf>
    <xf numFmtId="165" fontId="56" fillId="0" borderId="0" xfId="16" applyFont="1" applyBorder="1" applyAlignment="1">
      <alignment vertical="top" wrapText="1"/>
    </xf>
    <xf numFmtId="165" fontId="68" fillId="0" borderId="0" xfId="16" applyFont="1" applyBorder="1" applyAlignment="1">
      <alignment vertical="top" wrapText="1"/>
    </xf>
    <xf numFmtId="165" fontId="68" fillId="0" borderId="0" xfId="16" applyFont="1" applyBorder="1" applyAlignment="1">
      <alignment horizontal="right" vertical="top"/>
    </xf>
    <xf numFmtId="165" fontId="177" fillId="0" borderId="0" xfId="16" applyFont="1" applyBorder="1" applyAlignment="1">
      <alignment horizontal="right" vertical="top"/>
    </xf>
    <xf numFmtId="165" fontId="80" fillId="0" borderId="0" xfId="16" applyFont="1" applyBorder="1" applyAlignment="1">
      <alignment horizontal="right" vertical="top"/>
    </xf>
    <xf numFmtId="165" fontId="56" fillId="0" borderId="0" xfId="16" applyFont="1" applyBorder="1" applyAlignment="1">
      <alignment horizontal="right" vertical="center"/>
    </xf>
    <xf numFmtId="165" fontId="56" fillId="0" borderId="0" xfId="16" applyFont="1" applyBorder="1" applyAlignment="1">
      <alignment horizontal="left" vertical="center"/>
    </xf>
    <xf numFmtId="165" fontId="80" fillId="0" borderId="0" xfId="16" applyFont="1" applyBorder="1" applyAlignment="1">
      <alignment horizontal="right" vertical="center"/>
    </xf>
    <xf numFmtId="165" fontId="56" fillId="0" borderId="0" xfId="16" applyFont="1" applyFill="1" applyBorder="1" applyAlignment="1">
      <alignment horizontal="left" vertical="top" wrapText="1"/>
    </xf>
    <xf numFmtId="165" fontId="26" fillId="0" borderId="0" xfId="16" applyFont="1" applyBorder="1"/>
    <xf numFmtId="165" fontId="40" fillId="3" borderId="0" xfId="16" applyFont="1" applyFill="1" applyBorder="1" applyAlignment="1">
      <alignment horizontal="left" vertical="top"/>
    </xf>
    <xf numFmtId="170" fontId="12" fillId="0" borderId="0" xfId="16" applyNumberFormat="1" applyBorder="1"/>
    <xf numFmtId="165" fontId="13" fillId="0" borderId="0" xfId="16" applyNumberFormat="1" applyFont="1" applyBorder="1" applyAlignment="1">
      <alignment horizontal="left" vertical="top"/>
    </xf>
    <xf numFmtId="165" fontId="178" fillId="0" borderId="0" xfId="16" applyFont="1" applyBorder="1" applyAlignment="1">
      <alignment horizontal="left" vertical="top" wrapText="1"/>
    </xf>
    <xf numFmtId="165" fontId="13" fillId="0" borderId="0" xfId="16" applyFont="1" applyBorder="1" applyAlignment="1">
      <alignment horizontal="left" vertical="center"/>
    </xf>
    <xf numFmtId="165" fontId="49" fillId="0" borderId="0" xfId="16" applyFont="1" applyBorder="1" applyAlignment="1">
      <alignment horizontal="left" vertical="top"/>
    </xf>
    <xf numFmtId="165" fontId="12" fillId="3" borderId="0" xfId="16" applyFont="1" applyFill="1" applyBorder="1" applyAlignment="1">
      <alignment horizontal="left" vertical="top"/>
    </xf>
    <xf numFmtId="165" fontId="40" fillId="0" borderId="0" xfId="16" applyFont="1" applyBorder="1" applyAlignment="1">
      <alignment horizontal="left" vertical="top"/>
    </xf>
    <xf numFmtId="165" fontId="12" fillId="0" borderId="0" xfId="16" quotePrefix="1" applyBorder="1" applyAlignment="1">
      <alignment horizontal="left" vertical="top"/>
    </xf>
    <xf numFmtId="2" fontId="1" fillId="0" borderId="0" xfId="16" applyNumberFormat="1" applyFont="1" applyFill="1" applyBorder="1" applyAlignment="1">
      <alignment horizontal="right" vertical="top" wrapText="1"/>
    </xf>
    <xf numFmtId="49" fontId="1" fillId="0" borderId="0" xfId="16" applyNumberFormat="1" applyFont="1" applyFill="1" applyBorder="1" applyAlignment="1">
      <alignment horizontal="left" vertical="top" wrapText="1"/>
    </xf>
    <xf numFmtId="0" fontId="46" fillId="0" borderId="0" xfId="16" applyNumberFormat="1" applyFont="1" applyFill="1" applyBorder="1" applyAlignment="1">
      <alignment horizontal="center" vertical="top" wrapText="1"/>
    </xf>
    <xf numFmtId="2" fontId="1" fillId="0" borderId="0" xfId="16" applyNumberFormat="1" applyFont="1" applyFill="1" applyBorder="1" applyAlignment="1">
      <alignment horizontal="center" vertical="top" wrapText="1"/>
    </xf>
    <xf numFmtId="2" fontId="46" fillId="0" borderId="0" xfId="16" applyNumberFormat="1" applyFont="1" applyFill="1" applyBorder="1" applyAlignment="1">
      <alignment horizontal="right" vertical="top" wrapText="1"/>
    </xf>
    <xf numFmtId="0" fontId="1" fillId="0" borderId="0" xfId="16" applyNumberFormat="1" applyFont="1" applyFill="1" applyBorder="1" applyAlignment="1">
      <alignment horizontal="left" vertical="top" wrapText="1"/>
    </xf>
    <xf numFmtId="0" fontId="46" fillId="0" borderId="0" xfId="16" applyNumberFormat="1" applyFont="1" applyFill="1" applyBorder="1" applyAlignment="1">
      <alignment horizontal="left" vertical="top" wrapText="1"/>
    </xf>
    <xf numFmtId="174" fontId="1" fillId="0" borderId="0" xfId="16" applyNumberFormat="1" applyFont="1" applyFill="1" applyBorder="1" applyAlignment="1">
      <alignment horizontal="right" vertical="top" wrapText="1"/>
    </xf>
    <xf numFmtId="164" fontId="1" fillId="0" borderId="0" xfId="16" applyNumberFormat="1" applyFont="1" applyFill="1" applyBorder="1" applyAlignment="1">
      <alignment horizontal="right" vertical="top" wrapText="1"/>
    </xf>
    <xf numFmtId="2" fontId="171" fillId="0" borderId="0" xfId="16" applyNumberFormat="1" applyFont="1" applyFill="1" applyBorder="1" applyAlignment="1">
      <alignment horizontal="right" vertical="top" wrapText="1"/>
    </xf>
    <xf numFmtId="2" fontId="179" fillId="0" borderId="0" xfId="16" applyNumberFormat="1" applyFont="1" applyFill="1" applyBorder="1" applyAlignment="1">
      <alignment horizontal="right" vertical="top" wrapText="1"/>
    </xf>
    <xf numFmtId="1" fontId="1" fillId="0" borderId="0" xfId="16" applyNumberFormat="1" applyFont="1" applyFill="1" applyBorder="1" applyAlignment="1">
      <alignment horizontal="right" vertical="top" wrapText="1"/>
    </xf>
    <xf numFmtId="2" fontId="1" fillId="0" borderId="0" xfId="16" applyNumberFormat="1" applyFont="1" applyFill="1" applyBorder="1" applyAlignment="1">
      <alignment horizontal="right" vertical="center" wrapText="1"/>
    </xf>
    <xf numFmtId="49" fontId="1" fillId="0" borderId="0" xfId="16" applyNumberFormat="1" applyFont="1" applyFill="1" applyBorder="1" applyAlignment="1">
      <alignment horizontal="center" vertical="top" wrapText="1"/>
    </xf>
    <xf numFmtId="164" fontId="1" fillId="3" borderId="0" xfId="16" applyNumberFormat="1" applyFont="1" applyFill="1" applyBorder="1" applyAlignment="1">
      <alignment horizontal="right" vertical="top" wrapText="1"/>
    </xf>
    <xf numFmtId="49" fontId="1" fillId="3" borderId="0" xfId="16" applyNumberFormat="1" applyFont="1" applyFill="1" applyBorder="1" applyAlignment="1">
      <alignment horizontal="left" vertical="top" wrapText="1"/>
    </xf>
    <xf numFmtId="2" fontId="1" fillId="3" borderId="0" xfId="16" applyNumberFormat="1" applyFont="1" applyFill="1" applyBorder="1" applyAlignment="1">
      <alignment horizontal="right" vertical="top" wrapText="1"/>
    </xf>
    <xf numFmtId="49" fontId="1" fillId="3" borderId="0" xfId="16" applyNumberFormat="1" applyFont="1" applyFill="1" applyBorder="1" applyAlignment="1">
      <alignment horizontal="center" vertical="top" wrapText="1"/>
    </xf>
    <xf numFmtId="0" fontId="1" fillId="0" borderId="0" xfId="16" applyNumberFormat="1" applyFont="1" applyFill="1" applyBorder="1" applyAlignment="1">
      <alignment horizontal="justify" vertical="top" wrapText="1"/>
    </xf>
    <xf numFmtId="0" fontId="1" fillId="0" borderId="0" xfId="16" applyNumberFormat="1" applyFont="1" applyFill="1" applyBorder="1" applyAlignment="1">
      <alignment horizontal="center" vertical="top" wrapText="1"/>
    </xf>
    <xf numFmtId="2" fontId="46" fillId="3" borderId="0" xfId="16" applyNumberFormat="1" applyFont="1" applyFill="1" applyBorder="1" applyAlignment="1">
      <alignment horizontal="right" vertical="top" wrapText="1"/>
    </xf>
    <xf numFmtId="4" fontId="99" fillId="2" borderId="1" xfId="0" applyNumberFormat="1" applyFont="1" applyFill="1" applyBorder="1" applyAlignment="1">
      <alignment vertical="center" wrapText="1"/>
    </xf>
    <xf numFmtId="0" fontId="99" fillId="2" borderId="1" xfId="0" applyNumberFormat="1" applyFont="1" applyFill="1" applyBorder="1" applyAlignment="1">
      <alignment horizontal="left" vertical="center" wrapText="1"/>
    </xf>
    <xf numFmtId="2" fontId="132" fillId="3" borderId="6" xfId="3" applyNumberFormat="1" applyFont="1" applyFill="1" applyBorder="1" applyAlignment="1">
      <alignment horizontal="center" vertical="center" wrapText="1"/>
    </xf>
    <xf numFmtId="2" fontId="137" fillId="2" borderId="6" xfId="33" applyNumberFormat="1" applyFont="1" applyFill="1" applyBorder="1" applyAlignment="1">
      <alignment horizontal="center" vertical="center" wrapText="1"/>
    </xf>
    <xf numFmtId="2" fontId="133" fillId="2" borderId="21" xfId="33" applyNumberFormat="1" applyFont="1" applyFill="1" applyBorder="1" applyAlignment="1">
      <alignment horizontal="center" vertical="center" wrapText="1"/>
    </xf>
    <xf numFmtId="165" fontId="156" fillId="2" borderId="26" xfId="16" applyFont="1" applyFill="1" applyBorder="1" applyAlignment="1">
      <alignment horizontal="center" vertical="center" wrapText="1"/>
    </xf>
    <xf numFmtId="165" fontId="156" fillId="2" borderId="27" xfId="16" applyFont="1" applyFill="1" applyBorder="1" applyAlignment="1">
      <alignment horizontal="center" vertical="center" wrapText="1"/>
    </xf>
    <xf numFmtId="2" fontId="157" fillId="2" borderId="27" xfId="33" applyNumberFormat="1" applyFont="1" applyFill="1" applyBorder="1" applyAlignment="1">
      <alignment horizontal="center" vertical="center" wrapText="1"/>
    </xf>
    <xf numFmtId="165" fontId="133" fillId="2" borderId="6" xfId="6" applyNumberFormat="1" applyFont="1" applyFill="1" applyBorder="1" applyAlignment="1">
      <alignment horizontal="center" vertical="center" wrapText="1"/>
    </xf>
    <xf numFmtId="165" fontId="137" fillId="2" borderId="6" xfId="6" applyNumberFormat="1" applyFont="1" applyFill="1" applyBorder="1" applyAlignment="1">
      <alignment horizontal="center" vertical="center" wrapText="1"/>
    </xf>
    <xf numFmtId="165" fontId="133" fillId="2" borderId="6" xfId="31" applyNumberFormat="1" applyFont="1" applyFill="1" applyBorder="1" applyAlignment="1">
      <alignment horizontal="center" vertical="center" wrapText="1"/>
    </xf>
    <xf numFmtId="165" fontId="133" fillId="2" borderId="6" xfId="3" applyNumberFormat="1" applyFont="1" applyFill="1" applyBorder="1" applyAlignment="1">
      <alignment horizontal="center" vertical="center" wrapText="1"/>
    </xf>
    <xf numFmtId="165" fontId="158" fillId="2" borderId="6" xfId="3" applyNumberFormat="1" applyFont="1" applyFill="1" applyBorder="1" applyAlignment="1">
      <alignment horizontal="center" vertical="center" wrapText="1"/>
    </xf>
    <xf numFmtId="165" fontId="139" fillId="2" borderId="6" xfId="16" applyNumberFormat="1" applyFont="1" applyFill="1" applyBorder="1" applyAlignment="1">
      <alignment horizontal="center" vertical="center"/>
    </xf>
    <xf numFmtId="165" fontId="133" fillId="2" borderId="6" xfId="16" applyNumberFormat="1" applyFont="1" applyFill="1" applyBorder="1" applyAlignment="1">
      <alignment horizontal="center" vertical="center" wrapText="1"/>
    </xf>
    <xf numFmtId="165" fontId="137" fillId="2" borderId="6" xfId="31" applyNumberFormat="1" applyFont="1" applyFill="1" applyBorder="1" applyAlignment="1">
      <alignment horizontal="center" vertical="center" wrapText="1"/>
    </xf>
    <xf numFmtId="165" fontId="158" fillId="2" borderId="6" xfId="31" applyNumberFormat="1" applyFont="1" applyFill="1" applyBorder="1" applyAlignment="1">
      <alignment horizontal="center" vertical="center" wrapText="1"/>
    </xf>
    <xf numFmtId="165" fontId="132" fillId="2" borderId="6" xfId="31" applyNumberFormat="1" applyFont="1" applyFill="1" applyBorder="1" applyAlignment="1">
      <alignment horizontal="center" vertical="center" wrapText="1"/>
    </xf>
    <xf numFmtId="165" fontId="130" fillId="2" borderId="0" xfId="16" applyFont="1" applyFill="1" applyAlignment="1">
      <alignment horizontal="center" vertical="center"/>
    </xf>
    <xf numFmtId="165" fontId="131" fillId="2" borderId="0" xfId="16" applyFont="1" applyFill="1" applyAlignment="1">
      <alignment horizontal="center" vertical="center"/>
    </xf>
    <xf numFmtId="165" fontId="133" fillId="2" borderId="0" xfId="16" applyFont="1" applyFill="1" applyAlignment="1">
      <alignment horizontal="center" vertical="center"/>
    </xf>
    <xf numFmtId="165" fontId="134" fillId="2" borderId="0" xfId="16" applyFont="1" applyFill="1" applyAlignment="1">
      <alignment horizontal="center" vertical="center"/>
    </xf>
    <xf numFmtId="166" fontId="132" fillId="2" borderId="6" xfId="16" applyNumberFormat="1" applyFont="1" applyFill="1" applyBorder="1" applyAlignment="1">
      <alignment horizontal="center" vertical="center" wrapText="1"/>
    </xf>
    <xf numFmtId="165" fontId="132" fillId="2" borderId="6" xfId="16" applyFont="1" applyFill="1" applyBorder="1" applyAlignment="1">
      <alignment horizontal="center" vertical="center" wrapText="1"/>
    </xf>
    <xf numFmtId="165" fontId="135" fillId="2" borderId="6" xfId="16" applyFont="1" applyFill="1" applyBorder="1" applyAlignment="1">
      <alignment horizontal="center" vertical="center" wrapText="1"/>
    </xf>
    <xf numFmtId="174" fontId="133" fillId="2" borderId="6" xfId="33" applyNumberFormat="1" applyFont="1" applyFill="1" applyBorder="1" applyAlignment="1">
      <alignment horizontal="center" vertical="center" wrapText="1"/>
    </xf>
    <xf numFmtId="9" fontId="133" fillId="2" borderId="6" xfId="34" applyFont="1" applyFill="1" applyBorder="1" applyAlignment="1">
      <alignment horizontal="center" vertical="center" wrapText="1"/>
    </xf>
    <xf numFmtId="165" fontId="133" fillId="2" borderId="6" xfId="16" applyFont="1" applyFill="1" applyBorder="1" applyAlignment="1">
      <alignment horizontal="center" vertical="center" wrapText="1"/>
    </xf>
    <xf numFmtId="165" fontId="137" fillId="2" borderId="6" xfId="16" applyFont="1" applyFill="1" applyBorder="1" applyAlignment="1">
      <alignment horizontal="center" vertical="center" wrapText="1"/>
    </xf>
    <xf numFmtId="166" fontId="133" fillId="2" borderId="6" xfId="16" applyNumberFormat="1" applyFont="1" applyFill="1" applyBorder="1" applyAlignment="1">
      <alignment horizontal="center" vertical="center" wrapText="1"/>
    </xf>
    <xf numFmtId="165" fontId="138" fillId="2" borderId="6" xfId="16" applyFont="1" applyFill="1" applyBorder="1" applyAlignment="1">
      <alignment horizontal="center" vertical="center" wrapText="1"/>
    </xf>
    <xf numFmtId="165" fontId="139" fillId="2" borderId="6" xfId="16" applyFont="1" applyFill="1" applyBorder="1" applyAlignment="1">
      <alignment horizontal="center" vertical="center" wrapText="1"/>
    </xf>
    <xf numFmtId="2" fontId="139" fillId="2" borderId="6" xfId="33" applyNumberFormat="1" applyFont="1" applyFill="1" applyBorder="1" applyAlignment="1">
      <alignment horizontal="center" vertical="center" wrapText="1"/>
    </xf>
    <xf numFmtId="166" fontId="139" fillId="2" borderId="6" xfId="16" applyNumberFormat="1" applyFont="1" applyFill="1" applyBorder="1" applyAlignment="1">
      <alignment horizontal="center" vertical="center" wrapText="1"/>
    </xf>
    <xf numFmtId="165" fontId="140" fillId="2" borderId="0" xfId="16" applyFont="1" applyFill="1" applyAlignment="1">
      <alignment horizontal="center" vertical="center"/>
    </xf>
    <xf numFmtId="174" fontId="131" fillId="0" borderId="21" xfId="33" applyNumberFormat="1" applyFont="1" applyFill="1" applyBorder="1" applyAlignment="1">
      <alignment horizontal="center" vertical="center" wrapText="1"/>
    </xf>
    <xf numFmtId="2" fontId="131" fillId="0" borderId="21" xfId="33" applyNumberFormat="1" applyFont="1" applyFill="1" applyBorder="1" applyAlignment="1">
      <alignment horizontal="center" vertical="center" wrapText="1"/>
    </xf>
    <xf numFmtId="165" fontId="131" fillId="0" borderId="21" xfId="16" applyFont="1" applyFill="1" applyBorder="1" applyAlignment="1">
      <alignment horizontal="center" vertical="center" wrapText="1"/>
    </xf>
    <xf numFmtId="165" fontId="139" fillId="0" borderId="6" xfId="16" applyFont="1" applyFill="1" applyBorder="1" applyAlignment="1">
      <alignment horizontal="center" vertical="center" wrapText="1"/>
    </xf>
    <xf numFmtId="165" fontId="140" fillId="0" borderId="0" xfId="16" applyFont="1" applyFill="1" applyAlignment="1">
      <alignment horizontal="center" vertical="center"/>
    </xf>
    <xf numFmtId="165" fontId="131" fillId="0" borderId="0" xfId="16" applyFont="1" applyFill="1" applyAlignment="1">
      <alignment horizontal="center" vertical="center"/>
    </xf>
    <xf numFmtId="165" fontId="131" fillId="2" borderId="6" xfId="16" applyFont="1" applyFill="1" applyBorder="1" applyAlignment="1">
      <alignment horizontal="center" vertical="center" wrapText="1"/>
    </xf>
    <xf numFmtId="165" fontId="141" fillId="2" borderId="0" xfId="16" applyFont="1" applyFill="1" applyAlignment="1">
      <alignment horizontal="center" vertical="center"/>
    </xf>
    <xf numFmtId="165" fontId="142" fillId="2" borderId="0" xfId="16" applyFont="1" applyFill="1" applyAlignment="1">
      <alignment horizontal="center" vertical="center"/>
    </xf>
    <xf numFmtId="174" fontId="133" fillId="2" borderId="22" xfId="33" applyNumberFormat="1" applyFont="1" applyFill="1" applyBorder="1" applyAlignment="1">
      <alignment horizontal="center" vertical="center" wrapText="1"/>
    </xf>
    <xf numFmtId="2" fontId="133" fillId="2" borderId="22" xfId="33" applyNumberFormat="1" applyFont="1" applyFill="1" applyBorder="1" applyAlignment="1">
      <alignment horizontal="center" vertical="center" wrapText="1"/>
    </xf>
    <xf numFmtId="165" fontId="131" fillId="2" borderId="22" xfId="16" applyFont="1" applyFill="1" applyBorder="1" applyAlignment="1">
      <alignment horizontal="center" vertical="center" wrapText="1"/>
    </xf>
    <xf numFmtId="2" fontId="131" fillId="2" borderId="22" xfId="33" applyNumberFormat="1" applyFont="1" applyFill="1" applyBorder="1" applyAlignment="1">
      <alignment horizontal="center" vertical="center" wrapText="1"/>
    </xf>
    <xf numFmtId="165" fontId="139" fillId="0" borderId="22" xfId="16" applyFont="1" applyFill="1" applyBorder="1" applyAlignment="1">
      <alignment horizontal="center" vertical="center" wrapText="1"/>
    </xf>
    <xf numFmtId="165" fontId="139" fillId="2" borderId="22" xfId="16" applyFont="1" applyFill="1" applyBorder="1" applyAlignment="1">
      <alignment horizontal="center" vertical="center" wrapText="1"/>
    </xf>
    <xf numFmtId="174" fontId="131" fillId="0" borderId="6" xfId="33" applyNumberFormat="1" applyFont="1" applyFill="1" applyBorder="1" applyAlignment="1">
      <alignment horizontal="center" vertical="center" wrapText="1"/>
    </xf>
    <xf numFmtId="2" fontId="131" fillId="0" borderId="6" xfId="33" applyNumberFormat="1" applyFont="1" applyFill="1" applyBorder="1" applyAlignment="1">
      <alignment horizontal="center" vertical="center" wrapText="1"/>
    </xf>
    <xf numFmtId="165" fontId="133" fillId="0" borderId="6" xfId="16" applyFont="1" applyFill="1" applyBorder="1" applyAlignment="1">
      <alignment horizontal="center" vertical="center" wrapText="1"/>
    </xf>
    <xf numFmtId="2" fontId="133" fillId="0" borderId="6" xfId="33" applyNumberFormat="1" applyFont="1" applyFill="1" applyBorder="1" applyAlignment="1">
      <alignment horizontal="center" vertical="center" wrapText="1"/>
    </xf>
    <xf numFmtId="174" fontId="133" fillId="2" borderId="21" xfId="33" applyNumberFormat="1" applyFont="1" applyFill="1" applyBorder="1" applyAlignment="1">
      <alignment horizontal="center" vertical="center" wrapText="1"/>
    </xf>
    <xf numFmtId="165" fontId="131" fillId="2" borderId="21" xfId="16" applyFont="1" applyFill="1" applyBorder="1" applyAlignment="1">
      <alignment horizontal="center" vertical="center" wrapText="1"/>
    </xf>
    <xf numFmtId="2" fontId="131" fillId="2" borderId="21" xfId="33" applyNumberFormat="1" applyFont="1" applyFill="1" applyBorder="1" applyAlignment="1">
      <alignment horizontal="center" vertical="center" wrapText="1"/>
    </xf>
    <xf numFmtId="2" fontId="143" fillId="2" borderId="6" xfId="33" applyNumberFormat="1" applyFont="1" applyFill="1" applyBorder="1" applyAlignment="1">
      <alignment horizontal="center" vertical="center" wrapText="1"/>
    </xf>
    <xf numFmtId="165" fontId="144" fillId="2" borderId="6" xfId="16" applyFont="1" applyFill="1" applyBorder="1" applyAlignment="1">
      <alignment horizontal="center" vertical="center" wrapText="1"/>
    </xf>
    <xf numFmtId="174" fontId="131" fillId="2" borderId="6" xfId="33" applyNumberFormat="1" applyFont="1" applyFill="1" applyBorder="1" applyAlignment="1">
      <alignment horizontal="center" vertical="center" wrapText="1"/>
    </xf>
    <xf numFmtId="165" fontId="141" fillId="2" borderId="20" xfId="16" applyFont="1" applyFill="1" applyBorder="1" applyAlignment="1">
      <alignment horizontal="center" vertical="center"/>
    </xf>
    <xf numFmtId="165" fontId="142" fillId="2" borderId="6" xfId="16" applyFont="1" applyFill="1" applyBorder="1" applyAlignment="1">
      <alignment horizontal="center" vertical="center"/>
    </xf>
    <xf numFmtId="165" fontId="131" fillId="2" borderId="6" xfId="16" applyFont="1" applyFill="1" applyBorder="1" applyAlignment="1">
      <alignment horizontal="center" vertical="center"/>
    </xf>
    <xf numFmtId="165" fontId="131" fillId="0" borderId="6" xfId="16" applyFont="1" applyFill="1" applyBorder="1" applyAlignment="1">
      <alignment horizontal="center" vertical="center" wrapText="1"/>
    </xf>
    <xf numFmtId="174" fontId="133" fillId="0" borderId="6" xfId="33" applyNumberFormat="1" applyFont="1" applyFill="1" applyBorder="1" applyAlignment="1">
      <alignment horizontal="center" vertical="center" wrapText="1"/>
    </xf>
    <xf numFmtId="174" fontId="133" fillId="2" borderId="6" xfId="16" applyNumberFormat="1" applyFont="1" applyFill="1" applyBorder="1" applyAlignment="1">
      <alignment horizontal="center" vertical="center" wrapText="1"/>
    </xf>
    <xf numFmtId="174" fontId="133" fillId="2" borderId="6" xfId="16" applyNumberFormat="1" applyFont="1" applyFill="1" applyBorder="1" applyAlignment="1">
      <alignment horizontal="center" vertical="center"/>
    </xf>
    <xf numFmtId="2" fontId="143" fillId="0" borderId="6" xfId="33" applyNumberFormat="1" applyFont="1" applyFill="1" applyBorder="1" applyAlignment="1">
      <alignment horizontal="center" vertical="center" wrapText="1"/>
    </xf>
    <xf numFmtId="165" fontId="144" fillId="0" borderId="6" xfId="16" applyFont="1" applyFill="1" applyBorder="1" applyAlignment="1">
      <alignment horizontal="center" vertical="center" wrapText="1"/>
    </xf>
    <xf numFmtId="174" fontId="133" fillId="0" borderId="21" xfId="33" applyNumberFormat="1" applyFont="1" applyFill="1" applyBorder="1" applyAlignment="1">
      <alignment horizontal="center" vertical="center" wrapText="1"/>
    </xf>
    <xf numFmtId="165" fontId="133" fillId="0" borderId="21" xfId="16" applyFont="1" applyFill="1" applyBorder="1" applyAlignment="1">
      <alignment horizontal="center" vertical="center" wrapText="1"/>
    </xf>
    <xf numFmtId="174" fontId="133" fillId="0" borderId="6" xfId="16" applyNumberFormat="1" applyFont="1" applyFill="1" applyBorder="1" applyAlignment="1">
      <alignment horizontal="center" vertical="center" wrapText="1"/>
    </xf>
    <xf numFmtId="174" fontId="133" fillId="2" borderId="22" xfId="16" applyNumberFormat="1" applyFont="1" applyFill="1" applyBorder="1" applyAlignment="1">
      <alignment horizontal="center" vertical="center"/>
    </xf>
    <xf numFmtId="165" fontId="133" fillId="2" borderId="6" xfId="16" applyFont="1" applyFill="1" applyBorder="1" applyAlignment="1">
      <alignment horizontal="center" vertical="center"/>
    </xf>
    <xf numFmtId="168" fontId="133" fillId="0" borderId="6" xfId="33" applyNumberFormat="1" applyFont="1" applyFill="1" applyBorder="1" applyAlignment="1">
      <alignment horizontal="center" vertical="center" wrapText="1"/>
    </xf>
    <xf numFmtId="168" fontId="133" fillId="0" borderId="21" xfId="33" applyNumberFormat="1" applyFont="1" applyFill="1" applyBorder="1" applyAlignment="1">
      <alignment horizontal="center" vertical="center" wrapText="1"/>
    </xf>
    <xf numFmtId="168" fontId="133" fillId="2" borderId="6" xfId="16" applyNumberFormat="1" applyFont="1" applyFill="1" applyBorder="1" applyAlignment="1">
      <alignment horizontal="center" vertical="center"/>
    </xf>
    <xf numFmtId="168" fontId="133" fillId="2" borderId="6" xfId="33" applyNumberFormat="1" applyFont="1" applyFill="1" applyBorder="1" applyAlignment="1">
      <alignment horizontal="center" vertical="center" wrapText="1"/>
    </xf>
    <xf numFmtId="168" fontId="133" fillId="2" borderId="22" xfId="16" applyNumberFormat="1" applyFont="1" applyFill="1" applyBorder="1" applyAlignment="1">
      <alignment horizontal="center" vertical="center"/>
    </xf>
    <xf numFmtId="165" fontId="131" fillId="0" borderId="6" xfId="16" applyFont="1" applyFill="1" applyBorder="1" applyAlignment="1">
      <alignment horizontal="center" vertical="center"/>
    </xf>
    <xf numFmtId="2" fontId="129" fillId="2" borderId="6" xfId="33" applyNumberFormat="1" applyFont="1" applyFill="1" applyBorder="1" applyAlignment="1">
      <alignment horizontal="center" vertical="center" wrapText="1"/>
    </xf>
    <xf numFmtId="174" fontId="139" fillId="2" borderId="6" xfId="33" applyNumberFormat="1" applyFont="1" applyFill="1" applyBorder="1" applyAlignment="1">
      <alignment horizontal="center" vertical="center" wrapText="1"/>
    </xf>
    <xf numFmtId="165" fontId="145" fillId="2" borderId="6" xfId="16" applyFont="1" applyFill="1" applyBorder="1" applyAlignment="1">
      <alignment horizontal="center" vertical="center"/>
    </xf>
    <xf numFmtId="174" fontId="139" fillId="2" borderId="21" xfId="33" applyNumberFormat="1" applyFont="1" applyFill="1" applyBorder="1" applyAlignment="1">
      <alignment horizontal="center" vertical="center" wrapText="1"/>
    </xf>
    <xf numFmtId="165" fontId="143" fillId="2" borderId="21" xfId="16" applyFont="1" applyFill="1" applyBorder="1" applyAlignment="1">
      <alignment horizontal="center" vertical="center" wrapText="1"/>
    </xf>
    <xf numFmtId="2" fontId="143" fillId="2" borderId="21" xfId="33" applyNumberFormat="1" applyFont="1" applyFill="1" applyBorder="1" applyAlignment="1">
      <alignment horizontal="center" vertical="center" wrapText="1"/>
    </xf>
    <xf numFmtId="2" fontId="146" fillId="2" borderId="6" xfId="33" applyNumberFormat="1" applyFont="1" applyFill="1" applyBorder="1" applyAlignment="1">
      <alignment horizontal="center" vertical="center" wrapText="1"/>
    </xf>
    <xf numFmtId="165" fontId="143" fillId="2" borderId="6" xfId="16" applyFont="1" applyFill="1" applyBorder="1" applyAlignment="1">
      <alignment horizontal="center" vertical="center" wrapText="1"/>
    </xf>
    <xf numFmtId="165" fontId="133" fillId="2" borderId="21" xfId="16" applyFont="1" applyFill="1" applyBorder="1" applyAlignment="1">
      <alignment horizontal="center" vertical="center" wrapText="1"/>
    </xf>
    <xf numFmtId="174" fontId="133" fillId="2" borderId="25" xfId="33" applyNumberFormat="1" applyFont="1" applyFill="1" applyBorder="1" applyAlignment="1">
      <alignment horizontal="center" vertical="center" wrapText="1"/>
    </xf>
    <xf numFmtId="165" fontId="131" fillId="2" borderId="25" xfId="16" applyFont="1" applyFill="1" applyBorder="1" applyAlignment="1">
      <alignment horizontal="center" vertical="center" wrapText="1"/>
    </xf>
    <xf numFmtId="2" fontId="131" fillId="2" borderId="25" xfId="33" applyNumberFormat="1" applyFont="1" applyFill="1" applyBorder="1" applyAlignment="1">
      <alignment horizontal="center" vertical="center" wrapText="1"/>
    </xf>
    <xf numFmtId="1" fontId="133" fillId="2" borderId="21" xfId="33" applyNumberFormat="1" applyFont="1" applyFill="1" applyBorder="1" applyAlignment="1">
      <alignment horizontal="center" vertical="center" wrapText="1"/>
    </xf>
    <xf numFmtId="1" fontId="133" fillId="2" borderId="6" xfId="33" applyNumberFormat="1" applyFont="1" applyFill="1" applyBorder="1" applyAlignment="1">
      <alignment horizontal="center" vertical="center" wrapText="1"/>
    </xf>
    <xf numFmtId="165" fontId="133" fillId="2" borderId="22" xfId="16" applyFont="1" applyFill="1" applyBorder="1" applyAlignment="1">
      <alignment horizontal="center" vertical="center"/>
    </xf>
    <xf numFmtId="165" fontId="139" fillId="0" borderId="21" xfId="16" applyFont="1" applyFill="1" applyBorder="1" applyAlignment="1">
      <alignment horizontal="center" vertical="center" wrapText="1"/>
    </xf>
    <xf numFmtId="165" fontId="139" fillId="2" borderId="21" xfId="16" applyFont="1" applyFill="1" applyBorder="1" applyAlignment="1">
      <alignment horizontal="center" vertical="center" wrapText="1"/>
    </xf>
    <xf numFmtId="166" fontId="139" fillId="2" borderId="22" xfId="16" applyNumberFormat="1" applyFont="1" applyFill="1" applyBorder="1" applyAlignment="1">
      <alignment horizontal="center" vertical="center" wrapText="1"/>
    </xf>
    <xf numFmtId="165" fontId="130" fillId="0" borderId="6" xfId="16" applyFont="1" applyFill="1" applyBorder="1" applyAlignment="1">
      <alignment horizontal="center" vertical="center"/>
    </xf>
    <xf numFmtId="165" fontId="147" fillId="2" borderId="0" xfId="16" applyFont="1" applyFill="1" applyAlignment="1">
      <alignment horizontal="center" vertical="center"/>
    </xf>
    <xf numFmtId="2" fontId="142" fillId="2" borderId="6" xfId="33" applyNumberFormat="1" applyFont="1" applyFill="1" applyBorder="1" applyAlignment="1">
      <alignment horizontal="center" vertical="center" wrapText="1"/>
    </xf>
    <xf numFmtId="2" fontId="142" fillId="2" borderId="21" xfId="33" applyNumberFormat="1" applyFont="1" applyFill="1" applyBorder="1" applyAlignment="1">
      <alignment horizontal="center" vertical="center" wrapText="1"/>
    </xf>
    <xf numFmtId="165" fontId="142" fillId="2" borderId="22" xfId="16" applyFont="1" applyFill="1" applyBorder="1" applyAlignment="1">
      <alignment horizontal="center" vertical="center"/>
    </xf>
    <xf numFmtId="2" fontId="152" fillId="2" borderId="25" xfId="33" applyNumberFormat="1" applyFont="1" applyFill="1" applyBorder="1" applyAlignment="1">
      <alignment horizontal="center" vertical="center" wrapText="1"/>
    </xf>
    <xf numFmtId="165" fontId="152" fillId="2" borderId="25" xfId="16" applyFont="1" applyFill="1" applyBorder="1" applyAlignment="1">
      <alignment horizontal="center" vertical="center" wrapText="1"/>
    </xf>
    <xf numFmtId="2" fontId="152" fillId="2" borderId="6" xfId="33" applyNumberFormat="1" applyFont="1" applyFill="1" applyBorder="1" applyAlignment="1">
      <alignment horizontal="center" vertical="center" wrapText="1"/>
    </xf>
    <xf numFmtId="176" fontId="133" fillId="0" borderId="6" xfId="33" applyNumberFormat="1" applyFont="1" applyFill="1" applyBorder="1" applyAlignment="1">
      <alignment horizontal="center" vertical="center" wrapText="1"/>
    </xf>
    <xf numFmtId="174" fontId="133" fillId="0" borderId="6" xfId="16" applyNumberFormat="1" applyFont="1" applyFill="1" applyBorder="1" applyAlignment="1">
      <alignment horizontal="center" vertical="center"/>
    </xf>
    <xf numFmtId="174" fontId="142" fillId="2" borderId="22" xfId="16" applyNumberFormat="1" applyFont="1" applyFill="1" applyBorder="1" applyAlignment="1">
      <alignment horizontal="center" vertical="center"/>
    </xf>
    <xf numFmtId="165" fontId="141" fillId="2" borderId="0" xfId="16" applyFont="1" applyFill="1" applyBorder="1" applyAlignment="1">
      <alignment horizontal="center" vertical="center"/>
    </xf>
    <xf numFmtId="165" fontId="147" fillId="2" borderId="0" xfId="16" applyFont="1" applyFill="1" applyBorder="1" applyAlignment="1">
      <alignment horizontal="center" vertical="center"/>
    </xf>
    <xf numFmtId="165" fontId="142" fillId="2" borderId="0" xfId="16" applyFont="1" applyFill="1" applyBorder="1" applyAlignment="1">
      <alignment horizontal="center" vertical="center"/>
    </xf>
    <xf numFmtId="174" fontId="142" fillId="2" borderId="6" xfId="33" applyNumberFormat="1" applyFont="1" applyFill="1" applyBorder="1" applyAlignment="1">
      <alignment horizontal="center" vertical="center" wrapText="1"/>
    </xf>
    <xf numFmtId="174" fontId="142" fillId="2" borderId="21" xfId="33" applyNumberFormat="1" applyFont="1" applyFill="1" applyBorder="1" applyAlignment="1">
      <alignment horizontal="center" vertical="center" wrapText="1"/>
    </xf>
    <xf numFmtId="165" fontId="145" fillId="2" borderId="0" xfId="16" applyFont="1" applyFill="1" applyAlignment="1">
      <alignment horizontal="center" vertical="center"/>
    </xf>
    <xf numFmtId="165" fontId="129" fillId="0" borderId="21" xfId="16" applyFont="1" applyFill="1" applyBorder="1" applyAlignment="1">
      <alignment horizontal="center" vertical="center" wrapText="1"/>
    </xf>
    <xf numFmtId="165" fontId="132" fillId="2" borderId="6" xfId="16" applyFont="1" applyFill="1" applyBorder="1" applyAlignment="1">
      <alignment horizontal="center" vertical="center"/>
    </xf>
    <xf numFmtId="165" fontId="129" fillId="0" borderId="6" xfId="16" applyFont="1" applyFill="1" applyBorder="1" applyAlignment="1">
      <alignment horizontal="center" vertical="center" wrapText="1"/>
    </xf>
    <xf numFmtId="2" fontId="131" fillId="2" borderId="6" xfId="34" applyNumberFormat="1" applyFont="1" applyFill="1" applyBorder="1" applyAlignment="1">
      <alignment horizontal="center" vertical="center" wrapText="1"/>
    </xf>
    <xf numFmtId="0" fontId="131" fillId="2" borderId="6" xfId="16" applyNumberFormat="1" applyFont="1" applyFill="1" applyBorder="1" applyAlignment="1">
      <alignment horizontal="center" vertical="center" wrapText="1"/>
    </xf>
    <xf numFmtId="2" fontId="131" fillId="2" borderId="6" xfId="3" applyNumberFormat="1" applyFont="1" applyFill="1" applyBorder="1" applyAlignment="1">
      <alignment horizontal="center" vertical="center" wrapText="1"/>
    </xf>
    <xf numFmtId="2" fontId="118" fillId="2" borderId="6" xfId="3" applyNumberFormat="1" applyFont="1" applyFill="1" applyBorder="1" applyAlignment="1">
      <alignment horizontal="center" vertical="center" wrapText="1"/>
    </xf>
    <xf numFmtId="2" fontId="118" fillId="2" borderId="22" xfId="3" applyNumberFormat="1" applyFont="1" applyFill="1" applyBorder="1" applyAlignment="1">
      <alignment horizontal="center" vertical="center" wrapText="1"/>
    </xf>
    <xf numFmtId="2" fontId="133" fillId="2" borderId="22" xfId="3" applyNumberFormat="1" applyFont="1" applyFill="1" applyBorder="1" applyAlignment="1">
      <alignment horizontal="center" vertical="center" wrapText="1"/>
    </xf>
    <xf numFmtId="2" fontId="131" fillId="2" borderId="22" xfId="3" applyNumberFormat="1" applyFont="1" applyFill="1" applyBorder="1" applyAlignment="1">
      <alignment horizontal="center" vertical="center" wrapText="1"/>
    </xf>
    <xf numFmtId="165" fontId="133" fillId="2" borderId="21" xfId="16" applyFont="1" applyFill="1" applyBorder="1" applyAlignment="1">
      <alignment horizontal="center" vertical="center"/>
    </xf>
    <xf numFmtId="165" fontId="133" fillId="2" borderId="25" xfId="16" applyFont="1" applyFill="1" applyBorder="1" applyAlignment="1">
      <alignment horizontal="center" vertical="center"/>
    </xf>
    <xf numFmtId="174" fontId="133" fillId="11" borderId="6" xfId="33" applyNumberFormat="1" applyFont="1" applyFill="1" applyBorder="1" applyAlignment="1">
      <alignment horizontal="center" vertical="center" wrapText="1"/>
    </xf>
    <xf numFmtId="165" fontId="131" fillId="11" borderId="6" xfId="16" applyFont="1" applyFill="1" applyBorder="1" applyAlignment="1">
      <alignment horizontal="center" vertical="center" wrapText="1"/>
    </xf>
    <xf numFmtId="2" fontId="131" fillId="11" borderId="6" xfId="33" applyNumberFormat="1" applyFont="1" applyFill="1" applyBorder="1" applyAlignment="1">
      <alignment horizontal="center" vertical="center" wrapText="1"/>
    </xf>
    <xf numFmtId="165" fontId="139" fillId="11" borderId="6" xfId="16" applyFont="1" applyFill="1" applyBorder="1" applyAlignment="1">
      <alignment horizontal="center" vertical="center" wrapText="1"/>
    </xf>
    <xf numFmtId="165" fontId="141" fillId="11" borderId="0" xfId="16" applyFont="1" applyFill="1" applyAlignment="1">
      <alignment horizontal="center" vertical="center"/>
    </xf>
    <xf numFmtId="165" fontId="140" fillId="11" borderId="0" xfId="16" applyFont="1" applyFill="1" applyAlignment="1">
      <alignment horizontal="center" vertical="center"/>
    </xf>
    <xf numFmtId="165" fontId="142" fillId="11" borderId="0" xfId="16" applyFont="1" applyFill="1" applyAlignment="1">
      <alignment horizontal="center" vertical="center"/>
    </xf>
    <xf numFmtId="165" fontId="133" fillId="11" borderId="22" xfId="16" applyFont="1" applyFill="1" applyBorder="1" applyAlignment="1">
      <alignment horizontal="center" vertical="center"/>
    </xf>
    <xf numFmtId="165" fontId="131" fillId="11" borderId="22" xfId="16" applyFont="1" applyFill="1" applyBorder="1" applyAlignment="1">
      <alignment horizontal="center" vertical="center" wrapText="1"/>
    </xf>
    <xf numFmtId="2" fontId="131" fillId="11" borderId="22" xfId="33" applyNumberFormat="1" applyFont="1" applyFill="1" applyBorder="1" applyAlignment="1">
      <alignment horizontal="center" vertical="center" wrapText="1"/>
    </xf>
    <xf numFmtId="165" fontId="139" fillId="11" borderId="22" xfId="16" applyFont="1" applyFill="1" applyBorder="1" applyAlignment="1">
      <alignment horizontal="center" vertical="center" wrapText="1"/>
    </xf>
    <xf numFmtId="2" fontId="142" fillId="2" borderId="6" xfId="3" applyNumberFormat="1" applyFont="1" applyFill="1" applyBorder="1" applyAlignment="1">
      <alignment horizontal="center" vertical="center" wrapText="1"/>
    </xf>
    <xf numFmtId="165" fontId="131" fillId="2" borderId="0" xfId="16" applyFont="1" applyFill="1" applyBorder="1" applyAlignment="1">
      <alignment horizontal="center" vertical="center" wrapText="1"/>
    </xf>
    <xf numFmtId="2" fontId="131" fillId="2" borderId="0" xfId="33" applyNumberFormat="1" applyFont="1" applyFill="1" applyBorder="1" applyAlignment="1">
      <alignment horizontal="center" vertical="center" wrapText="1"/>
    </xf>
    <xf numFmtId="1" fontId="133" fillId="0" borderId="6" xfId="33" applyNumberFormat="1" applyFont="1" applyFill="1" applyBorder="1" applyAlignment="1">
      <alignment horizontal="center" vertical="center" wrapText="1"/>
    </xf>
    <xf numFmtId="166" fontId="139" fillId="0" borderId="6" xfId="16" applyNumberFormat="1" applyFont="1" applyFill="1" applyBorder="1" applyAlignment="1">
      <alignment horizontal="center" vertical="center" wrapText="1"/>
    </xf>
    <xf numFmtId="2" fontId="133" fillId="2" borderId="6" xfId="16" applyNumberFormat="1" applyFont="1" applyFill="1" applyBorder="1" applyAlignment="1">
      <alignment horizontal="center" vertical="center" wrapText="1"/>
    </xf>
    <xf numFmtId="2" fontId="133" fillId="0" borderId="6" xfId="16" applyNumberFormat="1" applyFont="1" applyFill="1" applyBorder="1" applyAlignment="1">
      <alignment horizontal="center" vertical="center" wrapText="1"/>
    </xf>
    <xf numFmtId="2" fontId="131" fillId="2" borderId="21" xfId="16" applyNumberFormat="1" applyFont="1" applyFill="1" applyBorder="1" applyAlignment="1">
      <alignment horizontal="center" vertical="center" wrapText="1"/>
    </xf>
    <xf numFmtId="1" fontId="131" fillId="2" borderId="6" xfId="33" applyNumberFormat="1" applyFont="1" applyFill="1" applyBorder="1" applyAlignment="1">
      <alignment horizontal="center" vertical="center" wrapText="1"/>
    </xf>
    <xf numFmtId="1" fontId="133" fillId="0" borderId="21" xfId="33" applyNumberFormat="1" applyFont="1" applyFill="1" applyBorder="1" applyAlignment="1">
      <alignment horizontal="center" vertical="center" wrapText="1"/>
    </xf>
    <xf numFmtId="1" fontId="131" fillId="2" borderId="21" xfId="33" applyNumberFormat="1" applyFont="1" applyFill="1" applyBorder="1" applyAlignment="1">
      <alignment horizontal="center" vertical="center" wrapText="1"/>
    </xf>
    <xf numFmtId="165" fontId="133" fillId="6" borderId="6" xfId="16" applyFont="1" applyFill="1" applyBorder="1" applyAlignment="1">
      <alignment horizontal="center" vertical="center" wrapText="1"/>
    </xf>
    <xf numFmtId="165" fontId="131" fillId="3" borderId="6" xfId="16" applyFont="1" applyFill="1" applyBorder="1" applyAlignment="1">
      <alignment horizontal="center" vertical="center" wrapText="1"/>
    </xf>
    <xf numFmtId="2" fontId="131" fillId="3" borderId="6" xfId="34" applyNumberFormat="1" applyFont="1" applyFill="1" applyBorder="1" applyAlignment="1">
      <alignment horizontal="center" vertical="center" wrapText="1"/>
    </xf>
    <xf numFmtId="165" fontId="131" fillId="2" borderId="6" xfId="32" applyNumberFormat="1" applyFont="1" applyFill="1" applyBorder="1" applyAlignment="1">
      <alignment horizontal="center" vertical="center" wrapText="1"/>
    </xf>
    <xf numFmtId="165" fontId="129" fillId="3" borderId="6" xfId="16" applyFont="1" applyFill="1" applyBorder="1" applyAlignment="1">
      <alignment horizontal="center" vertical="center"/>
    </xf>
    <xf numFmtId="2" fontId="129" fillId="3" borderId="6" xfId="33" applyNumberFormat="1" applyFont="1" applyFill="1" applyBorder="1" applyAlignment="1">
      <alignment horizontal="center" vertical="center" wrapText="1"/>
    </xf>
    <xf numFmtId="0" fontId="131" fillId="2" borderId="6" xfId="32" applyNumberFormat="1" applyFont="1" applyFill="1" applyBorder="1" applyAlignment="1">
      <alignment horizontal="center" vertical="center" wrapText="1"/>
    </xf>
    <xf numFmtId="174" fontId="132" fillId="2" borderId="6" xfId="33" applyNumberFormat="1" applyFont="1" applyFill="1" applyBorder="1" applyAlignment="1">
      <alignment horizontal="center" vertical="center" wrapText="1"/>
    </xf>
    <xf numFmtId="2" fontId="129" fillId="2" borderId="6" xfId="34" applyNumberFormat="1" applyFont="1" applyFill="1" applyBorder="1" applyAlignment="1">
      <alignment horizontal="center" vertical="center" wrapText="1"/>
    </xf>
    <xf numFmtId="2" fontId="129" fillId="2" borderId="6" xfId="3" applyNumberFormat="1" applyFont="1" applyFill="1" applyBorder="1" applyAlignment="1">
      <alignment horizontal="center" vertical="center" wrapText="1"/>
    </xf>
    <xf numFmtId="165" fontId="153" fillId="2" borderId="0" xfId="16" applyFont="1" applyFill="1" applyAlignment="1">
      <alignment horizontal="center" vertical="center"/>
    </xf>
    <xf numFmtId="165" fontId="149" fillId="2" borderId="0" xfId="16" applyFont="1" applyFill="1" applyAlignment="1">
      <alignment horizontal="center" vertical="center"/>
    </xf>
    <xf numFmtId="165" fontId="142" fillId="2" borderId="6" xfId="32" applyNumberFormat="1" applyFont="1" applyFill="1" applyBorder="1" applyAlignment="1">
      <alignment horizontal="center" vertical="center" wrapText="1"/>
    </xf>
    <xf numFmtId="2" fontId="145" fillId="2" borderId="6" xfId="34" applyNumberFormat="1" applyFont="1" applyFill="1" applyBorder="1" applyAlignment="1">
      <alignment horizontal="center" vertical="center" wrapText="1"/>
    </xf>
    <xf numFmtId="2" fontId="145" fillId="2" borderId="21" xfId="34" applyNumberFormat="1" applyFont="1" applyFill="1" applyBorder="1" applyAlignment="1">
      <alignment horizontal="center" vertical="center" wrapText="1"/>
    </xf>
    <xf numFmtId="2" fontId="131" fillId="2" borderId="21" xfId="3" applyNumberFormat="1" applyFont="1" applyFill="1" applyBorder="1" applyAlignment="1">
      <alignment horizontal="center" vertical="center" wrapText="1"/>
    </xf>
    <xf numFmtId="2" fontId="131" fillId="2" borderId="21" xfId="34" applyNumberFormat="1" applyFont="1" applyFill="1" applyBorder="1" applyAlignment="1">
      <alignment horizontal="center" vertical="center" wrapText="1"/>
    </xf>
    <xf numFmtId="2" fontId="131" fillId="2" borderId="22" xfId="34" applyNumberFormat="1" applyFont="1" applyFill="1" applyBorder="1" applyAlignment="1">
      <alignment horizontal="center" vertical="center" wrapText="1"/>
    </xf>
    <xf numFmtId="2" fontId="133" fillId="2" borderId="6" xfId="34" applyNumberFormat="1" applyFont="1" applyFill="1" applyBorder="1" applyAlignment="1">
      <alignment horizontal="center" vertical="center" wrapText="1"/>
    </xf>
    <xf numFmtId="2" fontId="133" fillId="0" borderId="6" xfId="34" applyNumberFormat="1" applyFont="1" applyFill="1" applyBorder="1" applyAlignment="1">
      <alignment horizontal="center" vertical="center" wrapText="1"/>
    </xf>
    <xf numFmtId="174" fontId="133" fillId="0" borderId="25" xfId="33" applyNumberFormat="1" applyFont="1" applyFill="1" applyBorder="1" applyAlignment="1">
      <alignment horizontal="center" vertical="center" wrapText="1"/>
    </xf>
    <xf numFmtId="2" fontId="133" fillId="0" borderId="25" xfId="34" applyNumberFormat="1" applyFont="1" applyFill="1" applyBorder="1" applyAlignment="1">
      <alignment horizontal="center" vertical="center" wrapText="1"/>
    </xf>
    <xf numFmtId="2" fontId="133" fillId="0" borderId="25" xfId="33" applyNumberFormat="1" applyFont="1" applyFill="1" applyBorder="1" applyAlignment="1">
      <alignment horizontal="center" vertical="center" wrapText="1"/>
    </xf>
    <xf numFmtId="2" fontId="139" fillId="2" borderId="6" xfId="34" applyNumberFormat="1" applyFont="1" applyFill="1" applyBorder="1" applyAlignment="1">
      <alignment horizontal="center" vertical="center" wrapText="1"/>
    </xf>
    <xf numFmtId="2" fontId="131" fillId="2" borderId="6" xfId="16" applyNumberFormat="1" applyFont="1" applyFill="1" applyBorder="1" applyAlignment="1">
      <alignment horizontal="center" vertical="center" wrapText="1"/>
    </xf>
    <xf numFmtId="165" fontId="131" fillId="2" borderId="21" xfId="16" applyFont="1" applyFill="1" applyBorder="1" applyAlignment="1">
      <alignment horizontal="center" vertical="center"/>
    </xf>
    <xf numFmtId="165" fontId="155" fillId="2" borderId="0" xfId="16" applyFont="1" applyFill="1" applyAlignment="1">
      <alignment horizontal="center" vertical="center"/>
    </xf>
    <xf numFmtId="2" fontId="142" fillId="2" borderId="6" xfId="34" applyNumberFormat="1" applyFont="1" applyFill="1" applyBorder="1" applyAlignment="1">
      <alignment horizontal="center" vertical="center" wrapText="1"/>
    </xf>
    <xf numFmtId="2" fontId="142" fillId="2" borderId="21" xfId="34" applyNumberFormat="1" applyFont="1" applyFill="1" applyBorder="1" applyAlignment="1">
      <alignment horizontal="center" vertical="center" wrapText="1"/>
    </xf>
    <xf numFmtId="165" fontId="142" fillId="2" borderId="21" xfId="32" applyNumberFormat="1" applyFont="1" applyFill="1" applyBorder="1" applyAlignment="1">
      <alignment horizontal="center" vertical="center" wrapText="1"/>
    </xf>
    <xf numFmtId="2" fontId="63" fillId="2" borderId="6" xfId="33" applyNumberFormat="1" applyFont="1" applyFill="1" applyBorder="1" applyAlignment="1">
      <alignment horizontal="center" vertical="center" wrapText="1"/>
    </xf>
    <xf numFmtId="1" fontId="131" fillId="0" borderId="6" xfId="33" applyNumberFormat="1" applyFont="1" applyFill="1" applyBorder="1" applyAlignment="1">
      <alignment horizontal="center" vertical="center" wrapText="1"/>
    </xf>
    <xf numFmtId="2" fontId="137" fillId="0" borderId="6" xfId="33" applyNumberFormat="1" applyFont="1" applyFill="1" applyBorder="1" applyAlignment="1">
      <alignment horizontal="center" vertical="center" wrapText="1"/>
    </xf>
    <xf numFmtId="1" fontId="133" fillId="2" borderId="22" xfId="33" applyNumberFormat="1" applyFont="1" applyFill="1" applyBorder="1" applyAlignment="1">
      <alignment horizontal="center" vertical="center" wrapText="1"/>
    </xf>
    <xf numFmtId="2" fontId="139" fillId="2" borderId="6" xfId="3" applyNumberFormat="1" applyFont="1" applyFill="1" applyBorder="1" applyAlignment="1">
      <alignment horizontal="center" vertical="center" wrapText="1"/>
    </xf>
    <xf numFmtId="165" fontId="146" fillId="2" borderId="6" xfId="16" applyFont="1" applyFill="1" applyBorder="1" applyAlignment="1">
      <alignment horizontal="center" vertical="center" wrapText="1"/>
    </xf>
    <xf numFmtId="165" fontId="143" fillId="2" borderId="0" xfId="16" applyFont="1" applyFill="1" applyAlignment="1">
      <alignment horizontal="center" vertical="center"/>
    </xf>
    <xf numFmtId="165" fontId="145" fillId="2" borderId="6" xfId="16" applyFont="1" applyFill="1" applyBorder="1" applyAlignment="1">
      <alignment horizontal="center" vertical="center" wrapText="1"/>
    </xf>
    <xf numFmtId="166" fontId="133" fillId="2" borderId="6" xfId="33" applyNumberFormat="1" applyFont="1" applyFill="1" applyBorder="1" applyAlignment="1">
      <alignment horizontal="center" vertical="center" wrapText="1"/>
    </xf>
    <xf numFmtId="2" fontId="155" fillId="2" borderId="6" xfId="33" applyNumberFormat="1" applyFont="1" applyFill="1" applyBorder="1" applyAlignment="1">
      <alignment horizontal="center" vertical="center" wrapText="1"/>
    </xf>
    <xf numFmtId="165" fontId="133" fillId="2" borderId="0" xfId="16" applyFont="1" applyFill="1" applyBorder="1" applyAlignment="1">
      <alignment horizontal="center" vertical="center" wrapText="1"/>
    </xf>
    <xf numFmtId="166" fontId="133" fillId="2" borderId="0" xfId="16" applyNumberFormat="1" applyFont="1" applyFill="1" applyBorder="1" applyAlignment="1">
      <alignment horizontal="center" vertical="center" wrapText="1"/>
    </xf>
    <xf numFmtId="166" fontId="131" fillId="2" borderId="0" xfId="16" applyNumberFormat="1" applyFont="1" applyFill="1" applyAlignment="1">
      <alignment horizontal="center" vertical="center"/>
    </xf>
    <xf numFmtId="165" fontId="132" fillId="2" borderId="6" xfId="16" applyFont="1" applyFill="1" applyBorder="1" applyAlignment="1">
      <alignment horizontal="left" vertical="center" wrapText="1"/>
    </xf>
    <xf numFmtId="2" fontId="131" fillId="0" borderId="21" xfId="33" applyNumberFormat="1" applyFont="1" applyFill="1" applyBorder="1" applyAlignment="1">
      <alignment horizontal="left" vertical="center" wrapText="1"/>
    </xf>
    <xf numFmtId="2" fontId="133" fillId="2" borderId="22" xfId="33" applyNumberFormat="1" applyFont="1" applyFill="1" applyBorder="1" applyAlignment="1">
      <alignment horizontal="left" vertical="center" wrapText="1"/>
    </xf>
    <xf numFmtId="2" fontId="131" fillId="0" borderId="6" xfId="33" applyNumberFormat="1" applyFont="1" applyFill="1" applyBorder="1" applyAlignment="1">
      <alignment horizontal="left" vertical="center" wrapText="1"/>
    </xf>
    <xf numFmtId="2" fontId="131" fillId="2" borderId="6" xfId="33" applyNumberFormat="1" applyFont="1" applyFill="1" applyBorder="1" applyAlignment="1">
      <alignment horizontal="left" vertical="center" wrapText="1"/>
    </xf>
    <xf numFmtId="2" fontId="132" fillId="2" borderId="6" xfId="33" applyNumberFormat="1" applyFont="1" applyFill="1" applyBorder="1" applyAlignment="1">
      <alignment horizontal="left" vertical="center" wrapText="1"/>
    </xf>
    <xf numFmtId="2" fontId="132" fillId="0" borderId="6" xfId="33" applyNumberFormat="1" applyFont="1" applyFill="1" applyBorder="1" applyAlignment="1">
      <alignment horizontal="left" vertical="center" wrapText="1"/>
    </xf>
    <xf numFmtId="2" fontId="132" fillId="2" borderId="21" xfId="33" applyNumberFormat="1" applyFont="1" applyFill="1" applyBorder="1" applyAlignment="1">
      <alignment horizontal="left" vertical="center" wrapText="1"/>
    </xf>
    <xf numFmtId="2" fontId="133" fillId="0" borderId="6" xfId="33" applyNumberFormat="1" applyFont="1" applyFill="1" applyBorder="1" applyAlignment="1">
      <alignment horizontal="left" vertical="center" wrapText="1"/>
    </xf>
    <xf numFmtId="2" fontId="133" fillId="0" borderId="21" xfId="33" applyNumberFormat="1" applyFont="1" applyFill="1" applyBorder="1" applyAlignment="1">
      <alignment horizontal="left" vertical="center" wrapText="1"/>
    </xf>
    <xf numFmtId="2" fontId="139" fillId="2" borderId="6" xfId="33" applyNumberFormat="1" applyFont="1" applyFill="1" applyBorder="1" applyAlignment="1">
      <alignment horizontal="left" vertical="center" wrapText="1"/>
    </xf>
    <xf numFmtId="2" fontId="139" fillId="2" borderId="21" xfId="33" applyNumberFormat="1" applyFont="1" applyFill="1" applyBorder="1" applyAlignment="1">
      <alignment horizontal="left" vertical="center" wrapText="1"/>
    </xf>
    <xf numFmtId="2" fontId="146" fillId="2" borderId="6" xfId="33" applyNumberFormat="1" applyFont="1" applyFill="1" applyBorder="1" applyAlignment="1">
      <alignment horizontal="left" vertical="center" wrapText="1"/>
    </xf>
    <xf numFmtId="165" fontId="133" fillId="2" borderId="0" xfId="16" applyFont="1" applyFill="1" applyAlignment="1">
      <alignment horizontal="left" vertical="center" wrapText="1"/>
    </xf>
    <xf numFmtId="2" fontId="129" fillId="0" borderId="6" xfId="33" applyNumberFormat="1" applyFont="1" applyFill="1" applyBorder="1" applyAlignment="1">
      <alignment horizontal="left" vertical="center" wrapText="1"/>
    </xf>
    <xf numFmtId="2" fontId="133" fillId="2" borderId="25" xfId="33" applyNumberFormat="1" applyFont="1" applyFill="1" applyBorder="1" applyAlignment="1">
      <alignment horizontal="left" vertical="center" wrapText="1"/>
    </xf>
    <xf numFmtId="165" fontId="129" fillId="2" borderId="6" xfId="16" applyFont="1" applyFill="1" applyBorder="1" applyAlignment="1">
      <alignment horizontal="left" vertical="center" wrapText="1"/>
    </xf>
    <xf numFmtId="2" fontId="148" fillId="0" borderId="6" xfId="33" applyNumberFormat="1" applyFont="1" applyFill="1" applyBorder="1" applyAlignment="1">
      <alignment horizontal="left" vertical="center" wrapText="1"/>
    </xf>
    <xf numFmtId="2" fontId="142" fillId="2" borderId="6" xfId="33" applyNumberFormat="1" applyFont="1" applyFill="1" applyBorder="1" applyAlignment="1">
      <alignment horizontal="left" vertical="center" wrapText="1"/>
    </xf>
    <xf numFmtId="2" fontId="149" fillId="2" borderId="6" xfId="33" applyNumberFormat="1" applyFont="1" applyFill="1" applyBorder="1" applyAlignment="1">
      <alignment horizontal="left" vertical="center" wrapText="1"/>
    </xf>
    <xf numFmtId="2" fontId="142" fillId="2" borderId="21" xfId="33" applyNumberFormat="1" applyFont="1" applyFill="1" applyBorder="1" applyAlignment="1">
      <alignment horizontal="left" vertical="center" wrapText="1"/>
    </xf>
    <xf numFmtId="2" fontId="142" fillId="2" borderId="22" xfId="33" applyNumberFormat="1" applyFont="1" applyFill="1" applyBorder="1" applyAlignment="1">
      <alignment horizontal="left" vertical="center" wrapText="1"/>
    </xf>
    <xf numFmtId="2" fontId="150" fillId="2" borderId="6" xfId="3" applyNumberFormat="1" applyFont="1" applyFill="1" applyBorder="1" applyAlignment="1">
      <alignment horizontal="left" vertical="center" wrapText="1"/>
    </xf>
    <xf numFmtId="2" fontId="152" fillId="2" borderId="25" xfId="33" applyNumberFormat="1" applyFont="1" applyFill="1" applyBorder="1" applyAlignment="1">
      <alignment horizontal="left" vertical="center" wrapText="1"/>
    </xf>
    <xf numFmtId="2" fontId="152" fillId="2" borderId="6" xfId="33" applyNumberFormat="1" applyFont="1" applyFill="1" applyBorder="1" applyAlignment="1">
      <alignment horizontal="left" vertical="center" wrapText="1"/>
    </xf>
    <xf numFmtId="2" fontId="150" fillId="2" borderId="22" xfId="33" applyNumberFormat="1" applyFont="1" applyFill="1" applyBorder="1" applyAlignment="1">
      <alignment horizontal="left" vertical="center" wrapText="1"/>
    </xf>
    <xf numFmtId="165" fontId="151" fillId="2" borderId="6" xfId="16" applyFont="1" applyFill="1" applyBorder="1" applyAlignment="1">
      <alignment horizontal="left" vertical="center"/>
    </xf>
    <xf numFmtId="0" fontId="132" fillId="2" borderId="6" xfId="16" applyNumberFormat="1" applyFont="1" applyFill="1" applyBorder="1" applyAlignment="1">
      <alignment horizontal="left" vertical="center" wrapText="1"/>
    </xf>
    <xf numFmtId="165" fontId="133" fillId="2" borderId="6" xfId="16" applyFont="1" applyFill="1" applyBorder="1" applyAlignment="1">
      <alignment horizontal="left" vertical="center"/>
    </xf>
    <xf numFmtId="2" fontId="142" fillId="2" borderId="22" xfId="3" applyNumberFormat="1" applyFont="1" applyFill="1" applyBorder="1" applyAlignment="1">
      <alignment horizontal="left" vertical="center" wrapText="1"/>
    </xf>
    <xf numFmtId="2" fontId="133" fillId="11" borderId="6" xfId="33" applyNumberFormat="1" applyFont="1" applyFill="1" applyBorder="1" applyAlignment="1">
      <alignment horizontal="left" vertical="center" wrapText="1"/>
    </xf>
    <xf numFmtId="2" fontId="133" fillId="11" borderId="22" xfId="33" applyNumberFormat="1" applyFont="1" applyFill="1" applyBorder="1" applyAlignment="1">
      <alignment horizontal="left" vertical="center" wrapText="1"/>
    </xf>
    <xf numFmtId="2" fontId="142" fillId="2" borderId="6" xfId="3" applyNumberFormat="1" applyFont="1" applyFill="1" applyBorder="1" applyAlignment="1">
      <alignment horizontal="left" vertical="center" wrapText="1"/>
    </xf>
    <xf numFmtId="2" fontId="150" fillId="0" borderId="6" xfId="3" applyNumberFormat="1" applyFont="1" applyBorder="1" applyAlignment="1">
      <alignment horizontal="left" vertical="center" wrapText="1"/>
    </xf>
    <xf numFmtId="2" fontId="129" fillId="2" borderId="6" xfId="33" applyNumberFormat="1" applyFont="1" applyFill="1" applyBorder="1" applyAlignment="1">
      <alignment horizontal="left" vertical="center" wrapText="1"/>
    </xf>
    <xf numFmtId="2" fontId="133" fillId="6" borderId="6" xfId="33" applyNumberFormat="1" applyFont="1" applyFill="1" applyBorder="1" applyAlignment="1">
      <alignment horizontal="left" vertical="center" wrapText="1"/>
    </xf>
    <xf numFmtId="2" fontId="142" fillId="12" borderId="6" xfId="3" applyNumberFormat="1" applyFont="1" applyFill="1" applyBorder="1" applyAlignment="1">
      <alignment horizontal="left" vertical="center" wrapText="1"/>
    </xf>
    <xf numFmtId="2" fontId="149" fillId="2" borderId="6" xfId="3" applyNumberFormat="1" applyFont="1" applyFill="1" applyBorder="1" applyAlignment="1">
      <alignment horizontal="left" vertical="center" wrapText="1"/>
    </xf>
    <xf numFmtId="2" fontId="132" fillId="0" borderId="6" xfId="3" applyNumberFormat="1" applyFont="1" applyFill="1" applyBorder="1" applyAlignment="1">
      <alignment horizontal="left" vertical="center" wrapText="1"/>
    </xf>
    <xf numFmtId="2" fontId="133" fillId="3" borderId="22" xfId="3" applyNumberFormat="1" applyFont="1" applyFill="1" applyBorder="1" applyAlignment="1">
      <alignment horizontal="left" vertical="center" wrapText="1"/>
    </xf>
    <xf numFmtId="2" fontId="133" fillId="3" borderId="22" xfId="33" applyNumberFormat="1" applyFont="1" applyFill="1" applyBorder="1" applyAlignment="1">
      <alignment horizontal="left" vertical="center" wrapText="1"/>
    </xf>
    <xf numFmtId="2" fontId="133" fillId="3" borderId="6" xfId="33" applyNumberFormat="1" applyFont="1" applyFill="1" applyBorder="1" applyAlignment="1">
      <alignment horizontal="left" vertical="center" wrapText="1"/>
    </xf>
    <xf numFmtId="2" fontId="154" fillId="0" borderId="6" xfId="33" applyNumberFormat="1" applyFont="1" applyFill="1" applyBorder="1" applyAlignment="1">
      <alignment horizontal="left" vertical="center" wrapText="1"/>
    </xf>
    <xf numFmtId="2" fontId="142" fillId="0" borderId="25" xfId="33" applyNumberFormat="1" applyFont="1" applyFill="1" applyBorder="1" applyAlignment="1">
      <alignment horizontal="left" vertical="center" wrapText="1"/>
    </xf>
    <xf numFmtId="2" fontId="132" fillId="3" borderId="21" xfId="33" applyNumberFormat="1" applyFont="1" applyFill="1" applyBorder="1" applyAlignment="1">
      <alignment horizontal="left" vertical="center" wrapText="1"/>
    </xf>
    <xf numFmtId="2" fontId="142" fillId="3" borderId="21" xfId="33" applyNumberFormat="1" applyFont="1" applyFill="1" applyBorder="1" applyAlignment="1">
      <alignment horizontal="left" vertical="center" wrapText="1"/>
    </xf>
    <xf numFmtId="2" fontId="133" fillId="0" borderId="6" xfId="3" applyNumberFormat="1" applyFont="1" applyFill="1" applyBorder="1" applyAlignment="1">
      <alignment horizontal="left" vertical="center" wrapText="1"/>
    </xf>
    <xf numFmtId="2" fontId="142" fillId="2" borderId="25" xfId="33" applyNumberFormat="1" applyFont="1" applyFill="1" applyBorder="1" applyAlignment="1">
      <alignment horizontal="left" vertical="center" wrapText="1"/>
    </xf>
    <xf numFmtId="2" fontId="149" fillId="2" borderId="25" xfId="33" applyNumberFormat="1" applyFont="1" applyFill="1" applyBorder="1" applyAlignment="1">
      <alignment horizontal="left" vertical="center" wrapText="1"/>
    </xf>
    <xf numFmtId="165" fontId="156" fillId="2" borderId="27" xfId="16" applyFont="1" applyFill="1" applyBorder="1" applyAlignment="1">
      <alignment horizontal="left" vertical="center" wrapText="1"/>
    </xf>
    <xf numFmtId="2" fontId="132" fillId="2" borderId="22" xfId="33" applyNumberFormat="1" applyFont="1" applyFill="1" applyBorder="1" applyAlignment="1">
      <alignment horizontal="left" vertical="center" wrapText="1"/>
    </xf>
    <xf numFmtId="165" fontId="133" fillId="2" borderId="6" xfId="27" applyNumberFormat="1" applyFont="1" applyFill="1" applyBorder="1" applyAlignment="1">
      <alignment horizontal="left" vertical="center" wrapText="1"/>
    </xf>
    <xf numFmtId="0" fontId="139" fillId="2" borderId="6" xfId="28" applyNumberFormat="1" applyFont="1" applyFill="1" applyBorder="1" applyAlignment="1">
      <alignment horizontal="left" vertical="center" wrapText="1"/>
    </xf>
    <xf numFmtId="165" fontId="133" fillId="2" borderId="6" xfId="28" applyNumberFormat="1" applyFont="1" applyFill="1" applyBorder="1" applyAlignment="1">
      <alignment horizontal="left" vertical="center" wrapText="1"/>
    </xf>
    <xf numFmtId="165" fontId="133" fillId="0" borderId="6" xfId="28" applyNumberFormat="1" applyFont="1" applyBorder="1" applyAlignment="1">
      <alignment horizontal="left" vertical="center" wrapText="1"/>
    </xf>
    <xf numFmtId="165" fontId="133" fillId="2" borderId="6" xfId="29" applyNumberFormat="1" applyFont="1" applyFill="1" applyBorder="1" applyAlignment="1">
      <alignment horizontal="left" vertical="center" wrapText="1"/>
    </xf>
    <xf numFmtId="2" fontId="139" fillId="2" borderId="6" xfId="30" applyNumberFormat="1" applyFont="1" applyFill="1" applyBorder="1" applyAlignment="1">
      <alignment horizontal="left" vertical="center" wrapText="1"/>
    </xf>
    <xf numFmtId="0" fontId="133" fillId="2" borderId="6" xfId="30" applyFont="1" applyFill="1" applyBorder="1" applyAlignment="1">
      <alignment horizontal="left" vertical="center" wrapText="1"/>
    </xf>
    <xf numFmtId="0" fontId="133" fillId="2" borderId="6" xfId="30" applyNumberFormat="1" applyFont="1" applyFill="1" applyBorder="1" applyAlignment="1">
      <alignment horizontal="left" vertical="center" wrapText="1"/>
    </xf>
    <xf numFmtId="0" fontId="133" fillId="2" borderId="6" xfId="32" applyFont="1" applyFill="1" applyBorder="1" applyAlignment="1" applyProtection="1">
      <alignment horizontal="left" vertical="center" wrapText="1"/>
      <protection locked="0"/>
    </xf>
    <xf numFmtId="2" fontId="132" fillId="2" borderId="6" xfId="35" applyNumberFormat="1" applyFont="1" applyFill="1" applyBorder="1" applyAlignment="1">
      <alignment horizontal="left" vertical="center" wrapText="1"/>
    </xf>
    <xf numFmtId="174" fontId="133" fillId="2" borderId="6" xfId="35" applyNumberFormat="1" applyFont="1" applyFill="1" applyBorder="1" applyAlignment="1">
      <alignment horizontal="left" vertical="center" wrapText="1"/>
    </xf>
    <xf numFmtId="2" fontId="146" fillId="2" borderId="6" xfId="30" applyNumberFormat="1" applyFont="1" applyFill="1" applyBorder="1" applyAlignment="1">
      <alignment horizontal="left" vertical="center" wrapText="1"/>
    </xf>
    <xf numFmtId="2" fontId="133" fillId="2" borderId="6" xfId="35" applyNumberFormat="1" applyFont="1" applyFill="1" applyBorder="1" applyAlignment="1">
      <alignment horizontal="left" vertical="center" wrapText="1"/>
    </xf>
    <xf numFmtId="165" fontId="132" fillId="2" borderId="0" xfId="16" applyFont="1" applyFill="1" applyAlignment="1">
      <alignment horizontal="left" vertical="center"/>
    </xf>
    <xf numFmtId="165" fontId="133" fillId="2" borderId="0" xfId="16" applyFont="1" applyFill="1" applyAlignment="1">
      <alignment horizontal="left" vertical="center"/>
    </xf>
    <xf numFmtId="165" fontId="133" fillId="2" borderId="0" xfId="16" applyFont="1" applyFill="1" applyBorder="1" applyAlignment="1">
      <alignment horizontal="left" vertical="center"/>
    </xf>
    <xf numFmtId="165" fontId="132" fillId="2" borderId="0" xfId="16" applyFont="1" applyFill="1" applyAlignment="1">
      <alignment horizontal="left" vertical="center" wrapText="1"/>
    </xf>
    <xf numFmtId="165" fontId="142" fillId="2" borderId="0" xfId="16" applyFont="1" applyFill="1" applyAlignment="1">
      <alignment horizontal="left" vertical="center"/>
    </xf>
    <xf numFmtId="165" fontId="131" fillId="2" borderId="0" xfId="16" applyFont="1" applyFill="1" applyAlignment="1">
      <alignment horizontal="left" vertical="center"/>
    </xf>
    <xf numFmtId="0" fontId="113" fillId="0" borderId="1" xfId="0" applyNumberFormat="1" applyFont="1" applyFill="1" applyBorder="1" applyAlignment="1">
      <alignment horizontal="left" vertical="center" wrapText="1"/>
    </xf>
    <xf numFmtId="165" fontId="10" fillId="0" borderId="1" xfId="0" applyNumberFormat="1" applyFont="1" applyFill="1" applyBorder="1" applyAlignment="1">
      <alignment vertical="center" wrapText="1"/>
    </xf>
    <xf numFmtId="165" fontId="132" fillId="2" borderId="6" xfId="16" applyFont="1" applyFill="1" applyBorder="1" applyAlignment="1">
      <alignment horizontal="center" vertical="center" wrapText="1"/>
    </xf>
    <xf numFmtId="0" fontId="101" fillId="0" borderId="1" xfId="0" applyNumberFormat="1" applyFont="1" applyFill="1" applyBorder="1" applyAlignment="1">
      <alignment horizontal="left" vertical="center" wrapText="1"/>
    </xf>
    <xf numFmtId="0" fontId="139" fillId="0" borderId="1" xfId="0" applyFont="1" applyFill="1" applyBorder="1" applyAlignment="1">
      <alignment vertical="center" wrapText="1"/>
    </xf>
    <xf numFmtId="165" fontId="132" fillId="2" borderId="6" xfId="16" applyFont="1" applyFill="1" applyBorder="1" applyAlignment="1">
      <alignment horizontal="center" vertical="center" wrapText="1"/>
    </xf>
    <xf numFmtId="2" fontId="63" fillId="2" borderId="6" xfId="33" applyNumberFormat="1" applyFont="1" applyFill="1" applyBorder="1" applyAlignment="1">
      <alignment horizontal="left" vertical="center" wrapText="1"/>
    </xf>
    <xf numFmtId="9" fontId="63" fillId="2" borderId="6" xfId="34" applyFont="1" applyFill="1" applyBorder="1" applyAlignment="1">
      <alignment horizontal="center" vertical="center" wrapText="1"/>
    </xf>
    <xf numFmtId="165" fontId="63" fillId="2" borderId="6" xfId="16" applyFont="1" applyFill="1" applyBorder="1" applyAlignment="1">
      <alignment horizontal="center" vertical="center" wrapText="1"/>
    </xf>
    <xf numFmtId="2" fontId="64" fillId="2" borderId="6" xfId="33" applyNumberFormat="1" applyFont="1" applyFill="1" applyBorder="1" applyAlignment="1">
      <alignment horizontal="left" vertical="center" wrapText="1"/>
    </xf>
    <xf numFmtId="2" fontId="183" fillId="2" borderId="6" xfId="33" applyNumberFormat="1" applyFont="1" applyFill="1" applyBorder="1" applyAlignment="1">
      <alignment horizontal="left" vertical="center" wrapText="1"/>
    </xf>
    <xf numFmtId="165" fontId="183" fillId="2" borderId="6" xfId="16" applyFont="1" applyFill="1" applyBorder="1" applyAlignment="1">
      <alignment horizontal="center" vertical="center" wrapText="1"/>
    </xf>
    <xf numFmtId="2" fontId="183" fillId="2" borderId="6" xfId="33" applyNumberFormat="1" applyFont="1" applyFill="1" applyBorder="1" applyAlignment="1">
      <alignment horizontal="center" vertical="center" wrapText="1"/>
    </xf>
    <xf numFmtId="2" fontId="63" fillId="2" borderId="21" xfId="33" applyNumberFormat="1" applyFont="1" applyFill="1" applyBorder="1" applyAlignment="1">
      <alignment horizontal="left" vertical="center" wrapText="1"/>
    </xf>
    <xf numFmtId="165" fontId="63" fillId="2" borderId="21" xfId="16" applyFont="1" applyFill="1" applyBorder="1" applyAlignment="1">
      <alignment horizontal="center" vertical="center" wrapText="1"/>
    </xf>
    <xf numFmtId="2" fontId="63" fillId="2" borderId="21" xfId="33" applyNumberFormat="1" applyFont="1" applyFill="1" applyBorder="1" applyAlignment="1">
      <alignment horizontal="center" vertical="center" wrapText="1"/>
    </xf>
    <xf numFmtId="165" fontId="63" fillId="2" borderId="0" xfId="16" applyFont="1" applyFill="1" applyAlignment="1">
      <alignment horizontal="left" vertical="center" wrapText="1"/>
    </xf>
    <xf numFmtId="165" fontId="63" fillId="2" borderId="0" xfId="16" applyFont="1" applyFill="1" applyAlignment="1">
      <alignment horizontal="center" vertical="center"/>
    </xf>
    <xf numFmtId="2" fontId="64" fillId="0" borderId="6" xfId="33" applyNumberFormat="1" applyFont="1" applyFill="1" applyBorder="1" applyAlignment="1">
      <alignment horizontal="left" vertical="center" wrapText="1"/>
    </xf>
    <xf numFmtId="165" fontId="63" fillId="0" borderId="6" xfId="16" applyFont="1" applyFill="1" applyBorder="1" applyAlignment="1">
      <alignment horizontal="center" vertical="center" wrapText="1"/>
    </xf>
    <xf numFmtId="2" fontId="63" fillId="0" borderId="6" xfId="33" applyNumberFormat="1" applyFont="1" applyFill="1" applyBorder="1" applyAlignment="1">
      <alignment horizontal="center" vertical="center" wrapText="1"/>
    </xf>
    <xf numFmtId="2" fontId="63" fillId="2" borderId="25" xfId="33" applyNumberFormat="1" applyFont="1" applyFill="1" applyBorder="1" applyAlignment="1">
      <alignment horizontal="left" vertical="center" wrapText="1"/>
    </xf>
    <xf numFmtId="165" fontId="63" fillId="2" borderId="25" xfId="16" applyFont="1" applyFill="1" applyBorder="1" applyAlignment="1">
      <alignment horizontal="center" vertical="center" wrapText="1"/>
    </xf>
    <xf numFmtId="2" fontId="63" fillId="2" borderId="25" xfId="33" applyNumberFormat="1" applyFont="1" applyFill="1" applyBorder="1" applyAlignment="1">
      <alignment horizontal="center" vertical="center" wrapText="1"/>
    </xf>
    <xf numFmtId="2" fontId="63" fillId="0" borderId="6" xfId="33" applyNumberFormat="1" applyFont="1" applyFill="1" applyBorder="1" applyAlignment="1">
      <alignment horizontal="left" vertical="center" wrapText="1"/>
    </xf>
    <xf numFmtId="165" fontId="64" fillId="2" borderId="6" xfId="16" applyFont="1" applyFill="1" applyBorder="1" applyAlignment="1">
      <alignment horizontal="left" vertical="center" wrapText="1"/>
    </xf>
    <xf numFmtId="2" fontId="63" fillId="2" borderId="22" xfId="33" applyNumberFormat="1" applyFont="1" applyFill="1" applyBorder="1" applyAlignment="1">
      <alignment horizontal="left" vertical="center" wrapText="1"/>
    </xf>
    <xf numFmtId="165" fontId="63" fillId="2" borderId="22" xfId="16" applyFont="1" applyFill="1" applyBorder="1" applyAlignment="1">
      <alignment horizontal="center" vertical="center" wrapText="1"/>
    </xf>
    <xf numFmtId="2" fontId="63" fillId="2" borderId="22" xfId="33" applyNumberFormat="1" applyFont="1" applyFill="1" applyBorder="1" applyAlignment="1">
      <alignment horizontal="center" vertical="center" wrapText="1"/>
    </xf>
    <xf numFmtId="2" fontId="63" fillId="2" borderId="6" xfId="16" applyNumberFormat="1" applyFont="1" applyFill="1" applyBorder="1" applyAlignment="1">
      <alignment horizontal="center" vertical="center" wrapText="1"/>
    </xf>
    <xf numFmtId="1" fontId="63" fillId="2" borderId="6" xfId="33" applyNumberFormat="1" applyFont="1" applyFill="1" applyBorder="1" applyAlignment="1">
      <alignment horizontal="center" vertical="center" wrapText="1"/>
    </xf>
    <xf numFmtId="2" fontId="63" fillId="0" borderId="6" xfId="34" applyNumberFormat="1" applyFont="1" applyFill="1" applyBorder="1" applyAlignment="1">
      <alignment horizontal="center" vertical="center" wrapText="1"/>
    </xf>
    <xf numFmtId="2" fontId="63" fillId="2" borderId="6" xfId="34" applyNumberFormat="1" applyFont="1" applyFill="1" applyBorder="1" applyAlignment="1">
      <alignment horizontal="center" vertical="center" wrapText="1"/>
    </xf>
    <xf numFmtId="2" fontId="84" fillId="2" borderId="6" xfId="33" applyNumberFormat="1" applyFont="1" applyFill="1" applyBorder="1" applyAlignment="1">
      <alignment horizontal="center" vertical="center" wrapText="1"/>
    </xf>
    <xf numFmtId="0" fontId="63" fillId="2" borderId="6" xfId="32" applyFont="1" applyFill="1" applyBorder="1" applyAlignment="1" applyProtection="1">
      <alignment horizontal="left" vertical="center" wrapText="1"/>
      <protection locked="0"/>
    </xf>
    <xf numFmtId="165" fontId="63" fillId="2" borderId="6" xfId="31" applyNumberFormat="1" applyFont="1" applyFill="1" applyBorder="1" applyAlignment="1">
      <alignment horizontal="center" vertical="center" wrapText="1"/>
    </xf>
    <xf numFmtId="165" fontId="63" fillId="2" borderId="6" xfId="6" applyNumberFormat="1" applyFont="1" applyFill="1" applyBorder="1" applyAlignment="1">
      <alignment horizontal="center" vertical="center" wrapText="1"/>
    </xf>
    <xf numFmtId="2" fontId="63" fillId="2" borderId="6" xfId="3" applyNumberFormat="1" applyFont="1" applyFill="1" applyBorder="1" applyAlignment="1">
      <alignment horizontal="center" vertical="center" wrapText="1"/>
    </xf>
    <xf numFmtId="2" fontId="184" fillId="2" borderId="6" xfId="30" applyNumberFormat="1" applyFont="1" applyFill="1" applyBorder="1" applyAlignment="1">
      <alignment horizontal="left" vertical="center" wrapText="1"/>
    </xf>
    <xf numFmtId="2" fontId="183" fillId="2" borderId="6" xfId="30" applyNumberFormat="1" applyFont="1" applyFill="1" applyBorder="1" applyAlignment="1">
      <alignment horizontal="left" vertical="center" wrapText="1"/>
    </xf>
    <xf numFmtId="165" fontId="84" fillId="2" borderId="6" xfId="31" applyNumberFormat="1" applyFont="1" applyFill="1" applyBorder="1" applyAlignment="1">
      <alignment horizontal="center" vertical="center" wrapText="1"/>
    </xf>
    <xf numFmtId="165" fontId="185" fillId="2" borderId="6" xfId="31" applyNumberFormat="1" applyFont="1" applyFill="1" applyBorder="1" applyAlignment="1">
      <alignment horizontal="center" vertical="center" wrapText="1"/>
    </xf>
    <xf numFmtId="0" fontId="183" fillId="0" borderId="1" xfId="0" applyFont="1" applyFill="1" applyBorder="1" applyAlignment="1">
      <alignment vertical="center" wrapText="1"/>
    </xf>
    <xf numFmtId="174" fontId="63" fillId="2" borderId="6" xfId="33" applyNumberFormat="1" applyFont="1" applyFill="1" applyBorder="1" applyAlignment="1">
      <alignment horizontal="center" vertical="center" wrapText="1"/>
    </xf>
    <xf numFmtId="174" fontId="183" fillId="2" borderId="6" xfId="33" applyNumberFormat="1" applyFont="1" applyFill="1" applyBorder="1" applyAlignment="1">
      <alignment horizontal="center" vertical="center" wrapText="1"/>
    </xf>
    <xf numFmtId="174" fontId="63" fillId="2" borderId="21" xfId="33" applyNumberFormat="1" applyFont="1" applyFill="1" applyBorder="1" applyAlignment="1">
      <alignment horizontal="center" vertical="center" wrapText="1"/>
    </xf>
    <xf numFmtId="165" fontId="63" fillId="2" borderId="6" xfId="16" applyFont="1" applyFill="1" applyBorder="1" applyAlignment="1">
      <alignment horizontal="center" vertical="center"/>
    </xf>
    <xf numFmtId="174" fontId="63" fillId="0" borderId="6" xfId="33" applyNumberFormat="1" applyFont="1" applyFill="1" applyBorder="1" applyAlignment="1">
      <alignment horizontal="center" vertical="center" wrapText="1"/>
    </xf>
    <xf numFmtId="174" fontId="63" fillId="2" borderId="25" xfId="33" applyNumberFormat="1" applyFont="1" applyFill="1" applyBorder="1" applyAlignment="1">
      <alignment horizontal="center" vertical="center" wrapText="1"/>
    </xf>
    <xf numFmtId="1" fontId="63" fillId="0" borderId="6" xfId="33" applyNumberFormat="1" applyFont="1" applyFill="1" applyBorder="1" applyAlignment="1">
      <alignment horizontal="center" vertical="center" wrapText="1"/>
    </xf>
    <xf numFmtId="174" fontId="63" fillId="2" borderId="22" xfId="33" applyNumberFormat="1" applyFont="1" applyFill="1" applyBorder="1" applyAlignment="1">
      <alignment horizontal="center" vertical="center" wrapText="1"/>
    </xf>
    <xf numFmtId="2" fontId="92" fillId="0" borderId="1" xfId="16" applyNumberFormat="1" applyFont="1" applyFill="1" applyBorder="1" applyAlignment="1">
      <alignment horizontal="center" vertical="center"/>
    </xf>
    <xf numFmtId="2" fontId="69" fillId="0" borderId="1" xfId="3" applyNumberFormat="1" applyFont="1" applyFill="1" applyBorder="1" applyAlignment="1">
      <alignment horizontal="center" vertical="top" wrapText="1"/>
    </xf>
    <xf numFmtId="2" fontId="168" fillId="0" borderId="0" xfId="16" applyNumberFormat="1" applyFont="1" applyFill="1" applyBorder="1" applyAlignment="1">
      <alignment horizontal="center" vertical="top"/>
    </xf>
    <xf numFmtId="165" fontId="133" fillId="0" borderId="6" xfId="31"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2" fontId="10" fillId="2" borderId="6" xfId="33" applyNumberFormat="1" applyFont="1" applyFill="1" applyBorder="1" applyAlignment="1">
      <alignment horizontal="left" vertical="center" wrapText="1"/>
    </xf>
    <xf numFmtId="0" fontId="3" fillId="0" borderId="1" xfId="0" applyFont="1" applyFill="1" applyBorder="1" applyAlignment="1">
      <alignment horizontal="center" vertical="center" wrapText="1"/>
    </xf>
    <xf numFmtId="0" fontId="3" fillId="0" borderId="1" xfId="0" applyFont="1" applyBorder="1" applyAlignment="1">
      <alignment horizontal="center" vertical="center"/>
    </xf>
    <xf numFmtId="0" fontId="2" fillId="0" borderId="1" xfId="0" applyFont="1" applyBorder="1" applyAlignment="1">
      <alignment horizontal="center" vertical="center"/>
    </xf>
    <xf numFmtId="0" fontId="10" fillId="0" borderId="1" xfId="0" applyNumberFormat="1" applyFont="1" applyFill="1" applyBorder="1" applyAlignment="1">
      <alignment vertical="center" wrapText="1"/>
    </xf>
    <xf numFmtId="165" fontId="133" fillId="0" borderId="1" xfId="0" applyNumberFormat="1" applyFont="1" applyBorder="1" applyAlignment="1">
      <alignment horizontal="left" vertical="center" wrapText="1"/>
    </xf>
    <xf numFmtId="1" fontId="133" fillId="2" borderId="18" xfId="33" applyNumberFormat="1" applyFont="1" applyFill="1" applyBorder="1" applyAlignment="1">
      <alignment horizontal="center" vertical="center" wrapText="1"/>
    </xf>
    <xf numFmtId="165" fontId="133" fillId="2" borderId="20" xfId="31" applyNumberFormat="1" applyFont="1" applyFill="1" applyBorder="1" applyAlignment="1">
      <alignment horizontal="center" vertical="center" wrapText="1"/>
    </xf>
    <xf numFmtId="2" fontId="139" fillId="2" borderId="21" xfId="30" applyNumberFormat="1" applyFont="1" applyFill="1" applyBorder="1" applyAlignment="1">
      <alignment horizontal="left" vertical="center" wrapText="1"/>
    </xf>
    <xf numFmtId="2" fontId="139" fillId="2" borderId="1" xfId="30" applyNumberFormat="1" applyFont="1" applyFill="1" applyBorder="1" applyAlignment="1">
      <alignment horizontal="left" vertical="center" wrapText="1"/>
    </xf>
    <xf numFmtId="0" fontId="187" fillId="0" borderId="0" xfId="0" applyFont="1" applyFill="1" applyAlignment="1">
      <alignment vertical="center" wrapText="1"/>
    </xf>
    <xf numFmtId="0" fontId="186" fillId="0" borderId="1" xfId="0" applyFont="1" applyFill="1" applyBorder="1" applyAlignment="1">
      <alignment horizontal="center" vertical="center" wrapText="1"/>
    </xf>
    <xf numFmtId="2" fontId="186" fillId="0" borderId="1" xfId="0" applyNumberFormat="1" applyFont="1" applyFill="1" applyBorder="1" applyAlignment="1">
      <alignment horizontal="center" vertical="center" wrapText="1"/>
    </xf>
    <xf numFmtId="0" fontId="188" fillId="0" borderId="1" xfId="0" applyNumberFormat="1" applyFont="1" applyBorder="1" applyAlignment="1">
      <alignment horizontal="center" vertical="center"/>
    </xf>
    <xf numFmtId="0" fontId="188" fillId="0" borderId="1" xfId="0" applyNumberFormat="1" applyFont="1" applyBorder="1" applyAlignment="1">
      <alignment vertical="center" wrapText="1"/>
    </xf>
    <xf numFmtId="0" fontId="189" fillId="0" borderId="1" xfId="0" applyNumberFormat="1" applyFont="1" applyBorder="1" applyAlignment="1">
      <alignment horizontal="center" vertical="center"/>
    </xf>
    <xf numFmtId="2" fontId="189" fillId="0" borderId="1" xfId="0" applyNumberFormat="1" applyFont="1" applyBorder="1" applyAlignment="1">
      <alignment horizontal="center" vertical="center"/>
    </xf>
    <xf numFmtId="2" fontId="189" fillId="0" borderId="1" xfId="0" applyNumberFormat="1" applyFont="1" applyBorder="1" applyAlignment="1">
      <alignment vertical="center"/>
    </xf>
    <xf numFmtId="0" fontId="186" fillId="0" borderId="1" xfId="0" applyFont="1" applyBorder="1" applyAlignment="1">
      <alignment horizontal="center" vertical="center"/>
    </xf>
    <xf numFmtId="0" fontId="187" fillId="0" borderId="1" xfId="0" applyFont="1" applyBorder="1" applyAlignment="1">
      <alignment horizontal="left" vertical="center" wrapText="1"/>
    </xf>
    <xf numFmtId="0" fontId="187" fillId="0" borderId="1" xfId="0" applyFont="1" applyFill="1" applyBorder="1" applyAlignment="1">
      <alignment horizontal="center" vertical="center" wrapText="1"/>
    </xf>
    <xf numFmtId="0" fontId="187" fillId="0" borderId="1" xfId="0" applyFont="1" applyBorder="1" applyAlignment="1">
      <alignment horizontal="center" vertical="center"/>
    </xf>
    <xf numFmtId="2" fontId="187" fillId="0" borderId="1" xfId="0" applyNumberFormat="1" applyFont="1" applyBorder="1" applyAlignment="1">
      <alignment horizontal="center" vertical="center"/>
    </xf>
    <xf numFmtId="2" fontId="187" fillId="0" borderId="1" xfId="0" applyNumberFormat="1" applyFont="1" applyFill="1" applyBorder="1" applyAlignment="1">
      <alignment vertical="center" wrapText="1"/>
    </xf>
    <xf numFmtId="0" fontId="187" fillId="0" borderId="1" xfId="0" applyFont="1" applyBorder="1" applyAlignment="1">
      <alignment horizontal="left" vertical="center"/>
    </xf>
    <xf numFmtId="0" fontId="187" fillId="0" borderId="0" xfId="0" applyFont="1" applyBorder="1"/>
    <xf numFmtId="0" fontId="187" fillId="0" borderId="1" xfId="0" applyFont="1" applyFill="1" applyBorder="1" applyAlignment="1">
      <alignment vertical="center" wrapText="1"/>
    </xf>
    <xf numFmtId="2" fontId="187" fillId="0" borderId="1" xfId="0" applyNumberFormat="1" applyFont="1" applyFill="1" applyBorder="1" applyAlignment="1">
      <alignment horizontal="center" vertical="center" wrapText="1"/>
    </xf>
    <xf numFmtId="2" fontId="188" fillId="0" borderId="1" xfId="0" applyNumberFormat="1" applyFont="1" applyBorder="1" applyAlignment="1">
      <alignment vertical="center"/>
    </xf>
    <xf numFmtId="2" fontId="190" fillId="2" borderId="6" xfId="33" applyNumberFormat="1" applyFont="1" applyFill="1" applyBorder="1" applyAlignment="1">
      <alignment horizontal="left" vertical="center" wrapText="1"/>
    </xf>
    <xf numFmtId="165" fontId="190" fillId="0" borderId="1" xfId="0" applyNumberFormat="1" applyFont="1" applyBorder="1" applyAlignment="1">
      <alignment vertical="center" wrapText="1"/>
    </xf>
    <xf numFmtId="0" fontId="188" fillId="0" borderId="1" xfId="0" applyNumberFormat="1" applyFont="1" applyFill="1" applyBorder="1" applyAlignment="1">
      <alignment horizontal="center" vertical="center"/>
    </xf>
    <xf numFmtId="2" fontId="191" fillId="0" borderId="1" xfId="0" applyNumberFormat="1" applyFont="1" applyFill="1" applyBorder="1" applyAlignment="1">
      <alignment horizontal="right" vertical="center"/>
    </xf>
    <xf numFmtId="0" fontId="191" fillId="0" borderId="1" xfId="0" applyNumberFormat="1" applyFont="1" applyFill="1" applyBorder="1" applyAlignment="1">
      <alignment horizontal="left" vertical="center"/>
    </xf>
    <xf numFmtId="0" fontId="189" fillId="0" borderId="1" xfId="0" applyNumberFormat="1" applyFont="1" applyBorder="1" applyAlignment="1">
      <alignment horizontal="left" vertical="center"/>
    </xf>
    <xf numFmtId="0" fontId="189" fillId="0" borderId="1" xfId="0" applyNumberFormat="1" applyFont="1" applyBorder="1" applyAlignment="1">
      <alignment horizontal="right" vertical="center"/>
    </xf>
    <xf numFmtId="2" fontId="187" fillId="0" borderId="1" xfId="0" applyNumberFormat="1" applyFont="1" applyFill="1" applyBorder="1" applyAlignment="1">
      <alignment horizontal="right" vertical="center" wrapText="1"/>
    </xf>
    <xf numFmtId="164" fontId="187" fillId="0" borderId="1" xfId="0" applyNumberFormat="1" applyFont="1" applyFill="1" applyBorder="1" applyAlignment="1">
      <alignment horizontal="center" vertical="center" wrapText="1"/>
    </xf>
    <xf numFmtId="2" fontId="186" fillId="0" borderId="1" xfId="0" applyNumberFormat="1" applyFont="1" applyFill="1" applyBorder="1" applyAlignment="1">
      <alignment horizontal="right" vertical="center" wrapText="1"/>
    </xf>
    <xf numFmtId="0" fontId="188" fillId="0" borderId="1" xfId="0" applyNumberFormat="1" applyFont="1" applyBorder="1" applyAlignment="1">
      <alignment horizontal="left" vertical="center" wrapText="1"/>
    </xf>
    <xf numFmtId="2" fontId="191" fillId="0" borderId="2" xfId="0" applyNumberFormat="1" applyFont="1" applyFill="1" applyBorder="1" applyAlignment="1">
      <alignment horizontal="right" vertical="center"/>
    </xf>
    <xf numFmtId="0" fontId="186" fillId="0" borderId="1" xfId="0" applyFont="1" applyBorder="1" applyAlignment="1">
      <alignment horizontal="left"/>
    </xf>
    <xf numFmtId="0" fontId="188" fillId="0" borderId="1" xfId="0" applyNumberFormat="1" applyFont="1" applyBorder="1" applyAlignment="1">
      <alignment horizontal="justify" vertical="center" wrapText="1"/>
    </xf>
    <xf numFmtId="0" fontId="189" fillId="0" borderId="1" xfId="0" applyNumberFormat="1" applyFont="1" applyBorder="1" applyAlignment="1">
      <alignment horizontal="left" vertical="center" wrapText="1"/>
    </xf>
    <xf numFmtId="0" fontId="189" fillId="0" borderId="1" xfId="0" applyNumberFormat="1" applyFont="1" applyFill="1" applyBorder="1" applyAlignment="1">
      <alignment horizontal="left" vertical="center" wrapText="1"/>
    </xf>
    <xf numFmtId="0" fontId="189" fillId="0" borderId="1" xfId="0" applyNumberFormat="1" applyFont="1" applyFill="1" applyBorder="1" applyAlignment="1">
      <alignment horizontal="center" vertical="center"/>
    </xf>
    <xf numFmtId="2" fontId="189" fillId="0" borderId="1" xfId="0" applyNumberFormat="1" applyFont="1" applyFill="1" applyBorder="1" applyAlignment="1">
      <alignment horizontal="center" vertical="center"/>
    </xf>
    <xf numFmtId="0" fontId="189" fillId="0" borderId="1" xfId="0" applyNumberFormat="1" applyFont="1" applyBorder="1" applyAlignment="1">
      <alignment vertical="center" wrapText="1"/>
    </xf>
    <xf numFmtId="0" fontId="188" fillId="0" borderId="1" xfId="0" applyNumberFormat="1" applyFont="1" applyFill="1" applyBorder="1" applyAlignment="1">
      <alignment horizontal="left" vertical="center" wrapText="1"/>
    </xf>
    <xf numFmtId="0" fontId="187" fillId="0" borderId="1" xfId="0" applyFont="1" applyBorder="1" applyAlignment="1">
      <alignment wrapText="1"/>
    </xf>
    <xf numFmtId="0" fontId="187" fillId="0" borderId="1" xfId="0" applyFont="1" applyBorder="1" applyAlignment="1">
      <alignment horizontal="left" wrapText="1"/>
    </xf>
    <xf numFmtId="0" fontId="190" fillId="0" borderId="1" xfId="0" applyNumberFormat="1" applyFont="1" applyFill="1" applyBorder="1" applyAlignment="1">
      <alignment horizontal="left"/>
    </xf>
    <xf numFmtId="0" fontId="186" fillId="0" borderId="1" xfId="0" applyFont="1" applyFill="1" applyBorder="1" applyAlignment="1">
      <alignment vertical="center" wrapText="1"/>
    </xf>
    <xf numFmtId="0" fontId="187" fillId="0" borderId="1" xfId="0" applyFont="1" applyFill="1" applyBorder="1" applyAlignment="1">
      <alignment horizontal="left" vertical="center" wrapText="1"/>
    </xf>
    <xf numFmtId="0" fontId="191" fillId="0" borderId="1" xfId="0" applyNumberFormat="1" applyFont="1" applyBorder="1" applyAlignment="1">
      <alignment horizontal="center" vertical="center"/>
    </xf>
    <xf numFmtId="165" fontId="191" fillId="0" borderId="1" xfId="0" applyNumberFormat="1" applyFont="1" applyBorder="1" applyAlignment="1">
      <alignment horizontal="center" vertical="center"/>
    </xf>
    <xf numFmtId="2" fontId="191" fillId="0" borderId="1" xfId="3" applyNumberFormat="1" applyFont="1" applyBorder="1" applyAlignment="1">
      <alignment horizontal="left" vertical="center" wrapText="1"/>
    </xf>
    <xf numFmtId="0" fontId="191" fillId="0" borderId="1" xfId="3" applyNumberFormat="1" applyFont="1" applyFill="1" applyBorder="1" applyAlignment="1">
      <alignment horizontal="center" vertical="center" wrapText="1"/>
    </xf>
    <xf numFmtId="2" fontId="191" fillId="0" borderId="1" xfId="3" applyNumberFormat="1" applyFont="1" applyBorder="1" applyAlignment="1">
      <alignment horizontal="center" vertical="center" wrapText="1"/>
    </xf>
    <xf numFmtId="2" fontId="190" fillId="0" borderId="1" xfId="3" applyNumberFormat="1" applyFont="1" applyBorder="1" applyAlignment="1">
      <alignment horizontal="center" vertical="center" wrapText="1"/>
    </xf>
    <xf numFmtId="2" fontId="190" fillId="0" borderId="1" xfId="3" applyNumberFormat="1" applyFont="1" applyBorder="1" applyAlignment="1">
      <alignment horizontal="right" vertical="center" wrapText="1"/>
    </xf>
    <xf numFmtId="0" fontId="187" fillId="0" borderId="2" xfId="0" applyFont="1" applyBorder="1" applyAlignment="1">
      <alignment horizontal="center" vertical="center"/>
    </xf>
    <xf numFmtId="165" fontId="191" fillId="0" borderId="1" xfId="0" applyNumberFormat="1" applyFont="1" applyBorder="1" applyAlignment="1">
      <alignment vertical="center" wrapText="1"/>
    </xf>
    <xf numFmtId="0" fontId="191" fillId="0" borderId="1" xfId="0" applyNumberFormat="1" applyFont="1" applyBorder="1" applyAlignment="1">
      <alignment vertical="center"/>
    </xf>
    <xf numFmtId="2" fontId="191" fillId="0" borderId="1" xfId="0" applyNumberFormat="1" applyFont="1" applyBorder="1" applyAlignment="1">
      <alignment vertical="center"/>
    </xf>
    <xf numFmtId="2" fontId="191" fillId="0" borderId="1" xfId="0" applyNumberFormat="1" applyFont="1" applyBorder="1" applyAlignment="1">
      <alignment horizontal="right" vertical="center"/>
    </xf>
    <xf numFmtId="0" fontId="191" fillId="0" borderId="1" xfId="3" applyNumberFormat="1" applyFont="1" applyBorder="1" applyAlignment="1">
      <alignment horizontal="center" vertical="center" wrapText="1"/>
    </xf>
    <xf numFmtId="2" fontId="191" fillId="0" borderId="1" xfId="0" applyNumberFormat="1" applyFont="1" applyFill="1" applyBorder="1" applyAlignment="1">
      <alignment horizontal="center" vertical="center"/>
    </xf>
    <xf numFmtId="165" fontId="191" fillId="0" borderId="1" xfId="0" applyNumberFormat="1" applyFont="1" applyBorder="1" applyAlignment="1">
      <alignment horizontal="left" vertical="center" wrapText="1"/>
    </xf>
    <xf numFmtId="2" fontId="191" fillId="0" borderId="1" xfId="0" applyNumberFormat="1" applyFont="1" applyBorder="1" applyAlignment="1">
      <alignment horizontal="center" vertical="center"/>
    </xf>
    <xf numFmtId="165" fontId="191" fillId="0" borderId="1" xfId="0" applyNumberFormat="1" applyFont="1" applyBorder="1" applyAlignment="1">
      <alignment horizontal="left" vertical="center"/>
    </xf>
    <xf numFmtId="2" fontId="190" fillId="0" borderId="1" xfId="0" applyNumberFormat="1" applyFont="1" applyFill="1" applyBorder="1" applyAlignment="1">
      <alignment horizontal="center" vertical="center"/>
    </xf>
    <xf numFmtId="165" fontId="190" fillId="0" borderId="1" xfId="0" applyNumberFormat="1" applyFont="1" applyBorder="1" applyAlignment="1">
      <alignment horizontal="left" vertical="center" wrapText="1"/>
    </xf>
    <xf numFmtId="2" fontId="191" fillId="0" borderId="1" xfId="3" applyNumberFormat="1" applyFont="1" applyFill="1" applyBorder="1" applyAlignment="1">
      <alignment horizontal="left" vertical="top" wrapText="1"/>
    </xf>
    <xf numFmtId="0" fontId="191" fillId="2" borderId="16" xfId="0" applyNumberFormat="1" applyFont="1" applyFill="1" applyBorder="1" applyAlignment="1">
      <alignment horizontal="justify" vertical="center" wrapText="1"/>
    </xf>
    <xf numFmtId="0" fontId="186" fillId="0" borderId="0" xfId="0" applyFont="1" applyFill="1" applyAlignment="1">
      <alignment vertical="center" wrapText="1"/>
    </xf>
    <xf numFmtId="2" fontId="188" fillId="0" borderId="1" xfId="23" applyNumberFormat="1" applyFont="1" applyBorder="1" applyAlignment="1">
      <alignment horizontal="left" vertical="center" wrapText="1"/>
    </xf>
    <xf numFmtId="2" fontId="193" fillId="0" borderId="1" xfId="23" applyNumberFormat="1" applyFont="1" applyFill="1" applyBorder="1" applyAlignment="1">
      <alignment horizontal="left" vertical="center" wrapText="1"/>
    </xf>
    <xf numFmtId="0" fontId="188" fillId="0" borderId="1" xfId="0" applyNumberFormat="1" applyFont="1" applyFill="1" applyBorder="1" applyAlignment="1">
      <alignment vertical="center" wrapText="1"/>
    </xf>
    <xf numFmtId="0" fontId="187" fillId="0" borderId="0" xfId="0" applyFont="1" applyFill="1" applyAlignment="1">
      <alignment horizontal="center" vertical="center" wrapText="1"/>
    </xf>
    <xf numFmtId="2" fontId="187" fillId="0" borderId="0" xfId="0" applyNumberFormat="1" applyFont="1" applyFill="1" applyAlignment="1">
      <alignment horizontal="center" vertical="center" wrapText="1"/>
    </xf>
    <xf numFmtId="2" fontId="187" fillId="0" borderId="0" xfId="0" applyNumberFormat="1" applyFont="1" applyFill="1" applyAlignment="1">
      <alignment horizontal="right" vertical="center" wrapText="1"/>
    </xf>
    <xf numFmtId="0" fontId="190" fillId="0" borderId="1" xfId="0" applyNumberFormat="1" applyFont="1" applyBorder="1" applyAlignment="1">
      <alignment horizontal="left" vertical="center"/>
    </xf>
    <xf numFmtId="165" fontId="188" fillId="0" borderId="1" xfId="0" applyNumberFormat="1" applyFont="1" applyBorder="1" applyAlignment="1">
      <alignment vertical="center" wrapText="1"/>
    </xf>
    <xf numFmtId="165" fontId="190" fillId="0" borderId="17" xfId="0" applyNumberFormat="1" applyFont="1" applyFill="1" applyBorder="1" applyAlignment="1">
      <alignment horizontal="left" vertical="center" wrapText="1"/>
    </xf>
    <xf numFmtId="2" fontId="186" fillId="0" borderId="1" xfId="0" applyNumberFormat="1" applyFont="1" applyFill="1" applyBorder="1" applyAlignment="1">
      <alignment vertical="center" wrapText="1"/>
    </xf>
    <xf numFmtId="165" fontId="182" fillId="0" borderId="0" xfId="23" applyNumberFormat="1" applyFont="1" applyAlignment="1"/>
    <xf numFmtId="0" fontId="194" fillId="0" borderId="1" xfId="23" applyNumberFormat="1" applyFont="1" applyBorder="1" applyAlignment="1">
      <alignment horizontal="center" vertical="center" wrapText="1"/>
    </xf>
    <xf numFmtId="0" fontId="194" fillId="0" borderId="1" xfId="23" applyNumberFormat="1" applyFont="1" applyBorder="1" applyAlignment="1">
      <alignment vertical="center"/>
    </xf>
    <xf numFmtId="0" fontId="194" fillId="0" borderId="1" xfId="23" applyNumberFormat="1" applyFont="1" applyBorder="1" applyAlignment="1">
      <alignment horizontal="center" vertical="center"/>
    </xf>
    <xf numFmtId="2" fontId="194" fillId="0" borderId="1" xfId="23" applyNumberFormat="1" applyFont="1" applyBorder="1" applyAlignment="1">
      <alignment horizontal="right" vertical="center"/>
    </xf>
    <xf numFmtId="165" fontId="4" fillId="0" borderId="1" xfId="16" applyNumberFormat="1" applyFont="1" applyFill="1" applyBorder="1" applyAlignment="1">
      <alignment vertical="center" wrapText="1"/>
    </xf>
    <xf numFmtId="0" fontId="195" fillId="0" borderId="1" xfId="23" applyNumberFormat="1" applyFont="1" applyBorder="1" applyAlignment="1">
      <alignment horizontal="center" vertical="center"/>
    </xf>
    <xf numFmtId="2" fontId="195" fillId="0" borderId="1" xfId="23" applyNumberFormat="1" applyFont="1" applyBorder="1" applyAlignment="1">
      <alignment horizontal="center" vertical="center"/>
    </xf>
    <xf numFmtId="2" fontId="194" fillId="0" borderId="1" xfId="23" applyNumberFormat="1" applyFont="1" applyBorder="1" applyAlignment="1">
      <alignment horizontal="right"/>
    </xf>
    <xf numFmtId="0" fontId="195" fillId="0" borderId="1" xfId="23" applyNumberFormat="1" applyFont="1" applyBorder="1" applyAlignment="1">
      <alignment vertical="center"/>
    </xf>
    <xf numFmtId="2" fontId="109" fillId="0" borderId="1" xfId="3" applyNumberFormat="1" applyFont="1" applyFill="1" applyBorder="1" applyAlignment="1">
      <alignment vertical="top" wrapText="1"/>
    </xf>
    <xf numFmtId="165" fontId="109" fillId="0" borderId="1" xfId="16" applyNumberFormat="1" applyFont="1" applyBorder="1" applyAlignment="1">
      <alignment vertical="center" wrapText="1"/>
    </xf>
    <xf numFmtId="2" fontId="195" fillId="0" borderId="1" xfId="23" applyNumberFormat="1" applyFont="1" applyBorder="1" applyAlignment="1">
      <alignment horizontal="right"/>
    </xf>
    <xf numFmtId="2" fontId="109" fillId="0" borderId="1" xfId="3" applyNumberFormat="1" applyFont="1" applyBorder="1" applyAlignment="1">
      <alignment vertical="center" wrapText="1"/>
    </xf>
    <xf numFmtId="2" fontId="104" fillId="0" borderId="1" xfId="3" applyNumberFormat="1" applyFont="1" applyBorder="1" applyAlignment="1">
      <alignment vertical="center" wrapText="1"/>
    </xf>
    <xf numFmtId="2" fontId="195" fillId="0" borderId="1" xfId="23" applyNumberFormat="1" applyFont="1" applyBorder="1" applyAlignment="1">
      <alignment horizontal="center" vertical="center" wrapText="1"/>
    </xf>
    <xf numFmtId="2" fontId="109" fillId="0" borderId="1" xfId="16" applyNumberFormat="1" applyFont="1" applyBorder="1" applyAlignment="1">
      <alignment horizontal="center" vertical="center"/>
    </xf>
    <xf numFmtId="2" fontId="182" fillId="0" borderId="1" xfId="16" applyNumberFormat="1" applyFont="1" applyBorder="1" applyAlignment="1">
      <alignment horizontal="center" vertical="center"/>
    </xf>
    <xf numFmtId="2" fontId="182" fillId="0" borderId="1" xfId="3" applyNumberFormat="1" applyFont="1" applyBorder="1" applyAlignment="1">
      <alignment vertical="center" wrapText="1"/>
    </xf>
    <xf numFmtId="2" fontId="109" fillId="0" borderId="1" xfId="3" applyNumberFormat="1" applyFont="1" applyFill="1" applyBorder="1" applyAlignment="1">
      <alignment vertical="center" wrapText="1"/>
    </xf>
    <xf numFmtId="2" fontId="109" fillId="0" borderId="1" xfId="23" applyNumberFormat="1" applyFont="1" applyBorder="1" applyAlignment="1">
      <alignment horizontal="right"/>
    </xf>
    <xf numFmtId="0" fontId="194" fillId="0" borderId="0" xfId="23" applyNumberFormat="1" applyFont="1" applyAlignment="1">
      <alignment horizontal="center" vertical="center" wrapText="1"/>
    </xf>
    <xf numFmtId="0" fontId="195" fillId="0" borderId="0" xfId="23" applyNumberFormat="1" applyFont="1" applyAlignment="1">
      <alignment vertical="center"/>
    </xf>
    <xf numFmtId="0" fontId="195" fillId="0" borderId="0" xfId="23" applyNumberFormat="1" applyFont="1" applyAlignment="1">
      <alignment horizontal="center" vertical="center"/>
    </xf>
    <xf numFmtId="2" fontId="195" fillId="0" borderId="0" xfId="23" applyNumberFormat="1" applyFont="1" applyAlignment="1">
      <alignment horizontal="center" vertical="center"/>
    </xf>
    <xf numFmtId="2" fontId="194" fillId="0" borderId="0" xfId="23" applyNumberFormat="1" applyFont="1" applyAlignment="1">
      <alignment horizontal="right"/>
    </xf>
    <xf numFmtId="0" fontId="195" fillId="0" borderId="0" xfId="23" applyNumberFormat="1" applyFont="1" applyAlignment="1">
      <alignment vertical="center" wrapText="1"/>
    </xf>
    <xf numFmtId="165" fontId="109" fillId="0" borderId="0" xfId="23" applyNumberFormat="1" applyFont="1" applyAlignment="1">
      <alignment horizontal="center" vertical="center" wrapText="1"/>
    </xf>
    <xf numFmtId="165" fontId="182" fillId="0" borderId="0" xfId="23" applyNumberFormat="1" applyFont="1" applyAlignment="1">
      <alignment horizontal="center" vertical="center"/>
    </xf>
    <xf numFmtId="2" fontId="109" fillId="0" borderId="0" xfId="23" applyNumberFormat="1" applyFont="1" applyAlignment="1">
      <alignment horizontal="right"/>
    </xf>
    <xf numFmtId="165" fontId="182" fillId="0" borderId="0" xfId="23" applyNumberFormat="1" applyFont="1" applyAlignment="1">
      <alignment vertical="center"/>
    </xf>
    <xf numFmtId="165" fontId="109" fillId="9" borderId="0" xfId="23" applyNumberFormat="1" applyFont="1" applyFill="1" applyBorder="1" applyAlignment="1">
      <alignment horizontal="center" vertical="center" wrapText="1"/>
    </xf>
    <xf numFmtId="165" fontId="63" fillId="0" borderId="0" xfId="23" applyNumberFormat="1" applyFont="1"/>
    <xf numFmtId="165" fontId="109" fillId="0" borderId="1" xfId="23" applyNumberFormat="1" applyFont="1" applyBorder="1" applyAlignment="1">
      <alignment horizontal="center" vertical="center"/>
    </xf>
    <xf numFmtId="2" fontId="109" fillId="0" borderId="1" xfId="23" applyNumberFormat="1" applyFont="1" applyBorder="1" applyAlignment="1">
      <alignment horizontal="center" vertical="center"/>
    </xf>
    <xf numFmtId="165" fontId="195" fillId="0" borderId="1" xfId="3" applyNumberFormat="1" applyFont="1" applyFill="1" applyBorder="1" applyAlignment="1">
      <alignment horizontal="center" vertical="center" wrapText="1"/>
    </xf>
    <xf numFmtId="165" fontId="195" fillId="0" borderId="1" xfId="23" applyNumberFormat="1" applyFont="1" applyFill="1" applyBorder="1" applyAlignment="1">
      <alignment horizontal="center" vertical="center"/>
    </xf>
    <xf numFmtId="0" fontId="195" fillId="0" borderId="1" xfId="23" applyNumberFormat="1" applyFont="1" applyBorder="1" applyAlignment="1">
      <alignment horizontal="left" vertical="center" wrapText="1"/>
    </xf>
    <xf numFmtId="2" fontId="182" fillId="0" borderId="1" xfId="23" applyNumberFormat="1" applyFont="1" applyFill="1" applyBorder="1" applyAlignment="1">
      <alignment horizontal="center" vertical="center"/>
    </xf>
    <xf numFmtId="2" fontId="195" fillId="0" borderId="1" xfId="3" applyNumberFormat="1" applyFont="1" applyFill="1" applyBorder="1" applyAlignment="1">
      <alignment horizontal="center" vertical="center" wrapText="1"/>
    </xf>
    <xf numFmtId="2" fontId="182" fillId="0" borderId="1" xfId="23" applyNumberFormat="1" applyFont="1" applyBorder="1" applyAlignment="1">
      <alignment horizontal="right" vertical="center"/>
    </xf>
    <xf numFmtId="2" fontId="195" fillId="0" borderId="1" xfId="23" applyNumberFormat="1" applyFont="1" applyBorder="1" applyAlignment="1">
      <alignment horizontal="left" vertical="center" wrapText="1"/>
    </xf>
    <xf numFmtId="2" fontId="182" fillId="0" borderId="1" xfId="23" applyNumberFormat="1" applyFont="1" applyBorder="1" applyAlignment="1">
      <alignment horizontal="center" vertical="center"/>
    </xf>
    <xf numFmtId="0" fontId="9" fillId="0" borderId="1" xfId="16" applyNumberFormat="1" applyFont="1" applyBorder="1" applyAlignment="1">
      <alignment horizontal="left" vertical="center" wrapText="1"/>
    </xf>
    <xf numFmtId="165" fontId="63" fillId="0" borderId="0" xfId="16" applyNumberFormat="1" applyFont="1"/>
    <xf numFmtId="2" fontId="182" fillId="0" borderId="1" xfId="3" applyNumberFormat="1" applyFont="1" applyFill="1" applyBorder="1" applyAlignment="1">
      <alignment horizontal="left" vertical="center" wrapText="1"/>
    </xf>
    <xf numFmtId="2" fontId="109" fillId="0" borderId="1" xfId="23" applyNumberFormat="1" applyFont="1" applyBorder="1"/>
    <xf numFmtId="165" fontId="195" fillId="2" borderId="1" xfId="3" applyNumberFormat="1" applyFont="1" applyFill="1" applyBorder="1" applyAlignment="1">
      <alignment horizontal="center" vertical="center" wrapText="1"/>
    </xf>
    <xf numFmtId="2" fontId="182" fillId="0" borderId="1" xfId="23" applyNumberFormat="1" applyFont="1" applyBorder="1"/>
    <xf numFmtId="165" fontId="195" fillId="0" borderId="0" xfId="3" applyNumberFormat="1" applyFont="1" applyFill="1" applyBorder="1" applyAlignment="1">
      <alignment horizontal="center" vertical="center" wrapText="1"/>
    </xf>
    <xf numFmtId="165" fontId="195" fillId="0" borderId="0" xfId="23" applyNumberFormat="1" applyFont="1" applyFill="1" applyBorder="1" applyAlignment="1">
      <alignment vertical="top"/>
    </xf>
    <xf numFmtId="2" fontId="195" fillId="0" borderId="0" xfId="3" applyNumberFormat="1" applyFont="1" applyFill="1" applyBorder="1" applyAlignment="1">
      <alignment horizontal="left" vertical="top" wrapText="1"/>
    </xf>
    <xf numFmtId="2" fontId="195" fillId="0" borderId="0" xfId="3" applyNumberFormat="1" applyFont="1" applyFill="1" applyBorder="1" applyAlignment="1">
      <alignment vertical="top" wrapText="1"/>
    </xf>
    <xf numFmtId="2" fontId="182" fillId="0" borderId="0" xfId="23" applyNumberFormat="1" applyFont="1" applyBorder="1"/>
    <xf numFmtId="165" fontId="9" fillId="0" borderId="0" xfId="23" applyNumberFormat="1" applyFont="1" applyFill="1" applyBorder="1" applyAlignment="1">
      <alignment vertical="top"/>
    </xf>
    <xf numFmtId="2" fontId="194" fillId="0" borderId="0" xfId="3" applyNumberFormat="1" applyFont="1" applyFill="1" applyBorder="1" applyAlignment="1">
      <alignment horizontal="left" vertical="top" wrapText="1"/>
    </xf>
    <xf numFmtId="165" fontId="182" fillId="0" borderId="0" xfId="23" applyNumberFormat="1" applyFont="1" applyFill="1" applyBorder="1" applyAlignment="1">
      <alignment vertical="top"/>
    </xf>
    <xf numFmtId="165" fontId="195" fillId="0" borderId="0" xfId="23" applyNumberFormat="1" applyFont="1" applyFill="1" applyBorder="1" applyAlignment="1">
      <alignment horizontal="center" vertical="center"/>
    </xf>
    <xf numFmtId="166" fontId="195" fillId="0" borderId="0" xfId="23" applyNumberFormat="1" applyFont="1" applyFill="1" applyBorder="1" applyAlignment="1">
      <alignment vertical="top"/>
    </xf>
    <xf numFmtId="2" fontId="195" fillId="0" borderId="0" xfId="23" applyNumberFormat="1" applyFont="1" applyFill="1" applyBorder="1" applyAlignment="1">
      <alignment vertical="top" wrapText="1"/>
    </xf>
    <xf numFmtId="165" fontId="63" fillId="0" borderId="0" xfId="23" applyNumberFormat="1" applyFont="1" applyBorder="1" applyAlignment="1">
      <alignment horizontal="center" vertical="center"/>
    </xf>
    <xf numFmtId="2" fontId="182" fillId="0" borderId="0" xfId="3" applyNumberFormat="1" applyFont="1" applyFill="1" applyBorder="1" applyAlignment="1">
      <alignment horizontal="left" vertical="top" wrapText="1"/>
    </xf>
    <xf numFmtId="165" fontId="195" fillId="0" borderId="0" xfId="23" applyNumberFormat="1" applyFont="1" applyFill="1" applyBorder="1" applyAlignment="1">
      <alignment vertical="top" wrapText="1"/>
    </xf>
    <xf numFmtId="1" fontId="195" fillId="0" borderId="0" xfId="3" applyNumberFormat="1" applyFont="1" applyFill="1" applyBorder="1" applyAlignment="1">
      <alignment vertical="top" wrapText="1"/>
    </xf>
    <xf numFmtId="2" fontId="109" fillId="0" borderId="0" xfId="23" applyNumberFormat="1" applyFont="1" applyBorder="1"/>
    <xf numFmtId="165" fontId="63" fillId="0" borderId="0" xfId="23" applyNumberFormat="1" applyFont="1" applyBorder="1"/>
    <xf numFmtId="165" fontId="63" fillId="0" borderId="0" xfId="23" applyNumberFormat="1" applyFont="1" applyBorder="1" applyAlignment="1">
      <alignment horizontal="left"/>
    </xf>
    <xf numFmtId="2" fontId="63" fillId="0" borderId="0" xfId="23" applyNumberFormat="1" applyFont="1" applyBorder="1"/>
    <xf numFmtId="165" fontId="63" fillId="0" borderId="0" xfId="23" applyNumberFormat="1" applyFont="1" applyAlignment="1">
      <alignment horizontal="left"/>
    </xf>
    <xf numFmtId="2" fontId="63" fillId="0" borderId="0" xfId="23" applyNumberFormat="1" applyFont="1"/>
    <xf numFmtId="165" fontId="63" fillId="0" borderId="0" xfId="23" applyNumberFormat="1" applyFont="1" applyAlignment="1">
      <alignment horizontal="center" vertical="center"/>
    </xf>
    <xf numFmtId="165" fontId="133" fillId="2" borderId="22" xfId="16" applyFont="1" applyFill="1" applyBorder="1" applyAlignment="1">
      <alignment horizontal="center" vertical="center" wrapText="1"/>
    </xf>
    <xf numFmtId="165" fontId="133" fillId="2" borderId="25" xfId="16" applyFont="1" applyFill="1" applyBorder="1" applyAlignment="1">
      <alignment horizontal="center" vertical="center" wrapText="1"/>
    </xf>
    <xf numFmtId="2" fontId="133" fillId="2" borderId="25" xfId="33" applyNumberFormat="1" applyFont="1" applyFill="1" applyBorder="1" applyAlignment="1">
      <alignment horizontal="center" vertical="center" wrapText="1"/>
    </xf>
    <xf numFmtId="165" fontId="139" fillId="2" borderId="0" xfId="16" applyFont="1" applyFill="1" applyAlignment="1">
      <alignment horizontal="center" vertical="center"/>
    </xf>
    <xf numFmtId="165" fontId="132" fillId="2" borderId="6" xfId="16" applyNumberFormat="1" applyFont="1" applyFill="1" applyBorder="1" applyAlignment="1">
      <alignment horizontal="center" vertical="center" wrapText="1"/>
    </xf>
    <xf numFmtId="165" fontId="138" fillId="2" borderId="6" xfId="16" applyNumberFormat="1" applyFont="1" applyFill="1" applyBorder="1" applyAlignment="1">
      <alignment horizontal="center" vertical="center" wrapText="1"/>
    </xf>
    <xf numFmtId="165" fontId="139" fillId="2" borderId="6" xfId="16" applyNumberFormat="1" applyFont="1" applyFill="1" applyBorder="1" applyAlignment="1">
      <alignment horizontal="center" vertical="center" wrapText="1"/>
    </xf>
    <xf numFmtId="165" fontId="131" fillId="2" borderId="0" xfId="16" applyNumberFormat="1" applyFont="1" applyFill="1" applyAlignment="1">
      <alignment horizontal="center" vertical="center"/>
    </xf>
    <xf numFmtId="165" fontId="130" fillId="2" borderId="0" xfId="16" applyNumberFormat="1" applyFont="1" applyFill="1" applyAlignment="1">
      <alignment horizontal="center" vertical="center"/>
    </xf>
    <xf numFmtId="0" fontId="1" fillId="0" borderId="0" xfId="26" applyFont="1" applyBorder="1" applyAlignment="1">
      <alignment wrapText="1"/>
    </xf>
    <xf numFmtId="0" fontId="1" fillId="0" borderId="0" xfId="26" applyFont="1" applyBorder="1" applyAlignment="1">
      <alignment horizontal="right" wrapText="1"/>
    </xf>
    <xf numFmtId="0" fontId="1" fillId="0" borderId="0" xfId="26" applyFont="1" applyFill="1" applyBorder="1" applyAlignment="1">
      <alignment horizontal="right" wrapText="1"/>
    </xf>
    <xf numFmtId="0" fontId="173" fillId="0" borderId="0" xfId="26" applyFont="1" applyBorder="1" applyAlignment="1">
      <alignment horizontal="center" wrapText="1"/>
    </xf>
    <xf numFmtId="0" fontId="173" fillId="0" borderId="0" xfId="26" applyFont="1" applyBorder="1" applyAlignment="1">
      <alignment wrapText="1"/>
    </xf>
    <xf numFmtId="0" fontId="85" fillId="0" borderId="0" xfId="26" applyFont="1" applyBorder="1" applyAlignment="1">
      <alignment wrapText="1"/>
    </xf>
    <xf numFmtId="0" fontId="85" fillId="0" borderId="0" xfId="26" applyFont="1" applyBorder="1" applyAlignment="1">
      <alignment horizontal="right" wrapText="1"/>
    </xf>
    <xf numFmtId="0" fontId="85" fillId="0" borderId="0" xfId="26" applyFont="1" applyFill="1" applyBorder="1" applyAlignment="1">
      <alignment horizontal="right" wrapText="1"/>
    </xf>
    <xf numFmtId="0" fontId="85" fillId="9" borderId="0" xfId="26" applyFont="1" applyFill="1" applyBorder="1" applyAlignment="1">
      <alignment wrapText="1"/>
    </xf>
    <xf numFmtId="0" fontId="46" fillId="0" borderId="0" xfId="26" applyFont="1" applyBorder="1" applyAlignment="1">
      <alignment vertical="center" wrapText="1" shrinkToFit="1"/>
    </xf>
    <xf numFmtId="165" fontId="181" fillId="0" borderId="0" xfId="0" applyNumberFormat="1" applyFont="1" applyBorder="1"/>
    <xf numFmtId="165" fontId="85" fillId="0" borderId="0" xfId="0" applyNumberFormat="1" applyFont="1" applyBorder="1" applyAlignment="1">
      <alignment horizontal="left"/>
    </xf>
    <xf numFmtId="165" fontId="85" fillId="0" borderId="0" xfId="0" applyNumberFormat="1" applyFont="1" applyBorder="1" applyAlignment="1">
      <alignment horizontal="right"/>
    </xf>
    <xf numFmtId="165" fontId="173" fillId="0" borderId="0" xfId="0" applyNumberFormat="1" applyFont="1" applyBorder="1" applyAlignment="1">
      <alignment horizontal="right"/>
    </xf>
    <xf numFmtId="165" fontId="85" fillId="0" borderId="0" xfId="0" applyNumberFormat="1" applyFont="1" applyBorder="1" applyAlignment="1">
      <alignment horizontal="left" vertical="top" wrapText="1"/>
    </xf>
    <xf numFmtId="165" fontId="85" fillId="0" borderId="0" xfId="0" applyNumberFormat="1" applyFont="1" applyBorder="1"/>
    <xf numFmtId="165" fontId="181" fillId="0" borderId="0" xfId="0" applyNumberFormat="1" applyFont="1" applyBorder="1" applyAlignment="1">
      <alignment horizontal="right"/>
    </xf>
    <xf numFmtId="2" fontId="139" fillId="0" borderId="6" xfId="30" applyNumberFormat="1" applyFont="1" applyFill="1" applyBorder="1" applyAlignment="1">
      <alignment horizontal="left" vertical="center" wrapText="1"/>
    </xf>
    <xf numFmtId="0" fontId="8" fillId="0" borderId="1" xfId="0" applyNumberFormat="1" applyFont="1" applyBorder="1" applyAlignment="1">
      <alignment vertical="center" wrapText="1"/>
    </xf>
    <xf numFmtId="0" fontId="8" fillId="0" borderId="1" xfId="0" applyNumberFormat="1" applyFont="1" applyBorder="1" applyAlignment="1">
      <alignment horizontal="center" vertical="center" wrapText="1"/>
    </xf>
    <xf numFmtId="2" fontId="139" fillId="0" borderId="6" xfId="33" applyNumberFormat="1" applyFont="1" applyFill="1" applyBorder="1" applyAlignment="1">
      <alignment horizontal="center" vertical="center" wrapText="1"/>
    </xf>
    <xf numFmtId="2" fontId="139" fillId="0" borderId="6" xfId="30" applyNumberFormat="1" applyFont="1" applyFill="1" applyBorder="1" applyAlignment="1">
      <alignment vertical="top" wrapText="1"/>
    </xf>
    <xf numFmtId="165" fontId="133" fillId="0" borderId="6" xfId="6" applyNumberFormat="1" applyFont="1" applyFill="1" applyBorder="1" applyAlignment="1">
      <alignment horizontal="right" vertical="center" wrapText="1"/>
    </xf>
    <xf numFmtId="2" fontId="133" fillId="0" borderId="6" xfId="3" applyNumberFormat="1" applyFont="1" applyFill="1" applyBorder="1" applyAlignment="1">
      <alignment horizontal="center" vertical="center" wrapText="1"/>
    </xf>
    <xf numFmtId="165" fontId="141" fillId="0" borderId="0" xfId="16" applyFont="1" applyFill="1" applyAlignment="1">
      <alignment horizontal="center" vertical="center"/>
    </xf>
    <xf numFmtId="165" fontId="142" fillId="0" borderId="0" xfId="16" applyFont="1" applyFill="1" applyAlignment="1">
      <alignment horizontal="center" vertical="center"/>
    </xf>
    <xf numFmtId="0" fontId="56" fillId="0" borderId="0" xfId="26" applyFont="1" applyBorder="1" applyAlignment="1">
      <alignment wrapText="1"/>
    </xf>
    <xf numFmtId="0" fontId="197" fillId="0" borderId="0" xfId="0" applyNumberFormat="1" applyFont="1" applyBorder="1"/>
    <xf numFmtId="0" fontId="197" fillId="0" borderId="0" xfId="0" applyNumberFormat="1" applyFont="1"/>
    <xf numFmtId="0" fontId="3" fillId="0" borderId="1" xfId="0" applyNumberFormat="1" applyFont="1" applyBorder="1" applyAlignment="1">
      <alignment horizontal="center"/>
    </xf>
    <xf numFmtId="0" fontId="2" fillId="0" borderId="1" xfId="0" applyNumberFormat="1" applyFont="1" applyBorder="1" applyAlignment="1">
      <alignment horizontal="center" vertical="center"/>
    </xf>
    <xf numFmtId="0" fontId="3" fillId="0" borderId="1" xfId="0" applyNumberFormat="1" applyFont="1" applyBorder="1" applyAlignment="1">
      <alignment horizontal="left" vertical="center" wrapText="1"/>
    </xf>
    <xf numFmtId="0" fontId="2" fillId="0" borderId="1" xfId="0" applyNumberFormat="1" applyFont="1" applyBorder="1" applyAlignment="1">
      <alignment horizontal="right" vertical="center"/>
    </xf>
    <xf numFmtId="0" fontId="2" fillId="0" borderId="1" xfId="0" applyNumberFormat="1" applyFont="1" applyBorder="1" applyAlignment="1">
      <alignment horizontal="left" vertical="center"/>
    </xf>
    <xf numFmtId="0" fontId="3" fillId="0" borderId="1" xfId="0" applyNumberFormat="1" applyFont="1" applyBorder="1" applyAlignment="1">
      <alignment horizontal="center" vertical="center"/>
    </xf>
    <xf numFmtId="2" fontId="10" fillId="0" borderId="6" xfId="33" applyNumberFormat="1" applyFont="1" applyBorder="1" applyAlignment="1">
      <alignment vertical="top" wrapText="1"/>
    </xf>
    <xf numFmtId="0" fontId="3" fillId="0" borderId="1" xfId="0" applyNumberFormat="1" applyFont="1" applyFill="1" applyBorder="1" applyAlignment="1">
      <alignment horizontal="left" vertical="center"/>
    </xf>
    <xf numFmtId="0" fontId="2" fillId="0" borderId="1" xfId="0" applyNumberFormat="1" applyFont="1" applyBorder="1"/>
    <xf numFmtId="0" fontId="2" fillId="0" borderId="1" xfId="0" applyNumberFormat="1" applyFont="1" applyBorder="1" applyAlignment="1">
      <alignment horizontal="right"/>
    </xf>
    <xf numFmtId="0" fontId="3" fillId="0" borderId="1" xfId="0" applyNumberFormat="1" applyFont="1" applyBorder="1" applyAlignment="1">
      <alignment wrapText="1"/>
    </xf>
    <xf numFmtId="0" fontId="2" fillId="0" borderId="1" xfId="0" applyNumberFormat="1" applyFont="1" applyFill="1" applyBorder="1" applyAlignment="1">
      <alignment horizontal="left" vertical="center"/>
    </xf>
    <xf numFmtId="0" fontId="2" fillId="0" borderId="1" xfId="0" applyNumberFormat="1" applyFont="1" applyFill="1" applyBorder="1" applyAlignment="1">
      <alignment wrapText="1"/>
    </xf>
    <xf numFmtId="2" fontId="2" fillId="0" borderId="1" xfId="0" applyNumberFormat="1" applyFont="1" applyBorder="1" applyAlignment="1">
      <alignment horizontal="right"/>
    </xf>
    <xf numFmtId="2" fontId="3" fillId="0" borderId="1" xfId="0" applyNumberFormat="1" applyFont="1" applyBorder="1" applyAlignment="1">
      <alignment horizontal="right"/>
    </xf>
    <xf numFmtId="0" fontId="3" fillId="0" borderId="1" xfId="0" applyNumberFormat="1" applyFont="1" applyBorder="1"/>
    <xf numFmtId="2" fontId="2" fillId="0" borderId="1" xfId="0" applyNumberFormat="1" applyFont="1" applyBorder="1" applyAlignment="1">
      <alignment horizontal="center"/>
    </xf>
    <xf numFmtId="0" fontId="2" fillId="0" borderId="1" xfId="0" applyNumberFormat="1" applyFont="1" applyBorder="1" applyAlignment="1">
      <alignment horizontal="center"/>
    </xf>
    <xf numFmtId="0" fontId="3" fillId="0" borderId="1" xfId="0" applyNumberFormat="1" applyFont="1" applyBorder="1" applyAlignment="1">
      <alignment horizontal="right"/>
    </xf>
    <xf numFmtId="0" fontId="2" fillId="0" borderId="1" xfId="0" applyNumberFormat="1" applyFont="1" applyBorder="1" applyAlignment="1">
      <alignment horizontal="center" vertical="center" wrapText="1"/>
    </xf>
    <xf numFmtId="2" fontId="3" fillId="0" borderId="2" xfId="3" applyNumberFormat="1" applyFont="1" applyFill="1" applyBorder="1" applyAlignment="1">
      <alignment vertical="center" wrapText="1"/>
    </xf>
    <xf numFmtId="0" fontId="3" fillId="0" borderId="1" xfId="0" applyFont="1" applyBorder="1" applyAlignment="1">
      <alignment vertical="center" wrapText="1"/>
    </xf>
    <xf numFmtId="0" fontId="198" fillId="0" borderId="1" xfId="0" applyFont="1" applyBorder="1" applyAlignment="1">
      <alignment horizontal="center" vertical="center" wrapText="1"/>
    </xf>
    <xf numFmtId="0" fontId="199" fillId="0" borderId="1" xfId="0" applyFont="1" applyBorder="1" applyAlignment="1">
      <alignment vertical="center" wrapText="1"/>
    </xf>
    <xf numFmtId="2" fontId="198" fillId="0" borderId="1" xfId="0" applyNumberFormat="1" applyFont="1" applyBorder="1" applyAlignment="1">
      <alignment horizontal="center" vertical="center" wrapText="1"/>
    </xf>
    <xf numFmtId="2" fontId="199" fillId="0" borderId="1" xfId="0" applyNumberFormat="1" applyFont="1" applyBorder="1" applyAlignment="1">
      <alignment horizontal="right" vertical="center" wrapText="1"/>
    </xf>
    <xf numFmtId="165" fontId="10" fillId="0" borderId="1" xfId="0" applyNumberFormat="1" applyFont="1" applyBorder="1" applyAlignment="1">
      <alignment horizontal="left" vertical="top" wrapText="1"/>
    </xf>
    <xf numFmtId="0" fontId="2" fillId="0" borderId="0" xfId="0" applyNumberFormat="1" applyFont="1"/>
    <xf numFmtId="0" fontId="197" fillId="0" borderId="1" xfId="0" applyNumberFormat="1" applyFont="1" applyBorder="1"/>
    <xf numFmtId="2" fontId="3" fillId="0" borderId="1" xfId="0" applyNumberFormat="1" applyFont="1" applyBorder="1"/>
    <xf numFmtId="0" fontId="107" fillId="0" borderId="0" xfId="0" applyFont="1"/>
    <xf numFmtId="0" fontId="108" fillId="0" borderId="1" xfId="0" applyFont="1" applyBorder="1" applyAlignment="1">
      <alignment horizontal="center" vertical="center"/>
    </xf>
    <xf numFmtId="0" fontId="108" fillId="0" borderId="0" xfId="0" applyFont="1" applyAlignment="1">
      <alignment horizontal="center" vertical="center"/>
    </xf>
    <xf numFmtId="0" fontId="107" fillId="0" borderId="1" xfId="0" applyFont="1" applyBorder="1" applyAlignment="1">
      <alignment horizontal="center" vertical="center"/>
    </xf>
    <xf numFmtId="2" fontId="107" fillId="0" borderId="1" xfId="0" applyNumberFormat="1" applyFont="1" applyBorder="1" applyAlignment="1">
      <alignment horizontal="center" vertical="center"/>
    </xf>
    <xf numFmtId="0" fontId="107" fillId="0" borderId="1" xfId="0" applyFont="1" applyBorder="1" applyAlignment="1">
      <alignment horizontal="left" vertical="center" wrapText="1"/>
    </xf>
    <xf numFmtId="0" fontId="107" fillId="0" borderId="1" xfId="0" applyFont="1" applyBorder="1" applyAlignment="1">
      <alignment horizontal="left" vertical="center"/>
    </xf>
    <xf numFmtId="2" fontId="108" fillId="0" borderId="1" xfId="0" applyNumberFormat="1" applyFont="1" applyBorder="1" applyAlignment="1">
      <alignment horizontal="center" vertical="center"/>
    </xf>
    <xf numFmtId="0" fontId="107" fillId="0" borderId="0" xfId="0" applyFont="1" applyAlignment="1">
      <alignment horizontal="center" vertical="center"/>
    </xf>
    <xf numFmtId="4" fontId="107" fillId="0" borderId="0" xfId="0" applyNumberFormat="1" applyFont="1"/>
    <xf numFmtId="2" fontId="3" fillId="0" borderId="1" xfId="0" applyNumberFormat="1" applyFont="1" applyBorder="1" applyAlignment="1">
      <alignment wrapText="1"/>
    </xf>
    <xf numFmtId="0" fontId="197" fillId="0" borderId="1" xfId="0" applyNumberFormat="1" applyFont="1" applyBorder="1" applyAlignment="1">
      <alignment horizontal="center"/>
    </xf>
    <xf numFmtId="0" fontId="197" fillId="0" borderId="0" xfId="0" applyNumberFormat="1" applyFont="1" applyAlignment="1">
      <alignment horizontal="center"/>
    </xf>
    <xf numFmtId="0" fontId="2" fillId="0" borderId="1" xfId="0" applyNumberFormat="1" applyFont="1" applyBorder="1" applyAlignment="1">
      <alignment horizontal="center" wrapText="1"/>
    </xf>
    <xf numFmtId="0" fontId="2" fillId="0" borderId="1" xfId="0" applyFont="1" applyBorder="1" applyAlignment="1">
      <alignment horizontal="center" wrapText="1"/>
    </xf>
    <xf numFmtId="0" fontId="198" fillId="0" borderId="1" xfId="0" applyFont="1" applyBorder="1" applyAlignment="1">
      <alignment horizontal="center" wrapText="1"/>
    </xf>
    <xf numFmtId="0" fontId="8" fillId="0" borderId="1" xfId="0" applyNumberFormat="1" applyFont="1" applyBorder="1" applyAlignment="1">
      <alignment horizontal="center" wrapText="1"/>
    </xf>
    <xf numFmtId="0" fontId="113" fillId="0" borderId="1" xfId="0" applyNumberFormat="1" applyFont="1" applyBorder="1"/>
    <xf numFmtId="2" fontId="107" fillId="0" borderId="0" xfId="0" applyNumberFormat="1" applyFont="1"/>
    <xf numFmtId="165" fontId="8" fillId="0" borderId="0" xfId="16" applyNumberFormat="1" applyFont="1" applyAlignment="1" applyProtection="1">
      <alignment horizontal="left"/>
    </xf>
    <xf numFmtId="165" fontId="8" fillId="0" borderId="0" xfId="16" applyNumberFormat="1" applyFont="1" applyAlignment="1" applyProtection="1">
      <alignment horizontal="center"/>
    </xf>
    <xf numFmtId="165" fontId="8" fillId="0" borderId="0" xfId="16" applyFont="1"/>
    <xf numFmtId="165" fontId="8" fillId="0" borderId="0" xfId="16" applyFont="1" applyAlignment="1"/>
    <xf numFmtId="165" fontId="10" fillId="0" borderId="0" xfId="16" applyNumberFormat="1" applyFont="1" applyAlignment="1" applyProtection="1">
      <alignment horizontal="left"/>
    </xf>
    <xf numFmtId="165" fontId="8" fillId="0" borderId="0" xfId="16" applyFont="1" applyAlignment="1">
      <alignment horizontal="left"/>
    </xf>
    <xf numFmtId="166" fontId="8" fillId="0" borderId="0" xfId="16" applyNumberFormat="1" applyFont="1"/>
    <xf numFmtId="165" fontId="8" fillId="0" borderId="0" xfId="16" applyFont="1" applyAlignment="1">
      <alignment horizontal="center"/>
    </xf>
    <xf numFmtId="165" fontId="10" fillId="0" borderId="0" xfId="16" applyNumberFormat="1" applyFont="1" applyAlignment="1" applyProtection="1"/>
    <xf numFmtId="165" fontId="8" fillId="0" borderId="0" xfId="16" applyNumberFormat="1" applyFont="1" applyAlignment="1" applyProtection="1">
      <alignment horizontal="fill"/>
    </xf>
    <xf numFmtId="165" fontId="10" fillId="0" borderId="0" xfId="16" applyNumberFormat="1" applyFont="1" applyAlignment="1" applyProtection="1">
      <alignment horizontal="right"/>
    </xf>
    <xf numFmtId="165" fontId="8" fillId="0" borderId="0" xfId="16" applyNumberFormat="1" applyFont="1" applyAlignment="1" applyProtection="1"/>
    <xf numFmtId="165" fontId="10" fillId="0" borderId="0" xfId="16" applyNumberFormat="1" applyFont="1" applyProtection="1"/>
    <xf numFmtId="165" fontId="8" fillId="0" borderId="0" xfId="16" applyNumberFormat="1" applyFont="1" applyProtection="1"/>
    <xf numFmtId="165" fontId="10" fillId="0" borderId="0" xfId="16" applyNumberFormat="1" applyFont="1" applyAlignment="1" applyProtection="1">
      <alignment horizontal="center"/>
    </xf>
    <xf numFmtId="165" fontId="10" fillId="0" borderId="0" xfId="16" quotePrefix="1" applyNumberFormat="1" applyFont="1" applyAlignment="1" applyProtection="1">
      <alignment horizontal="right"/>
    </xf>
    <xf numFmtId="165" fontId="10" fillId="0" borderId="0" xfId="16" quotePrefix="1" applyNumberFormat="1" applyFont="1" applyAlignment="1" applyProtection="1">
      <alignment horizontal="center"/>
    </xf>
    <xf numFmtId="165" fontId="10" fillId="0" borderId="0" xfId="16" quotePrefix="1" applyFont="1" applyAlignment="1">
      <alignment horizontal="center"/>
    </xf>
    <xf numFmtId="165" fontId="8" fillId="0" borderId="0" xfId="32" applyNumberFormat="1" applyFont="1" applyFill="1" applyAlignment="1" applyProtection="1">
      <alignment horizontal="left" vertical="center"/>
    </xf>
    <xf numFmtId="165" fontId="8" fillId="0" borderId="0" xfId="16" applyNumberFormat="1" applyFont="1" applyAlignment="1" applyProtection="1">
      <alignment horizontal="right" indent="2"/>
    </xf>
    <xf numFmtId="167" fontId="8" fillId="0" borderId="0" xfId="16" applyNumberFormat="1" applyFont="1" applyProtection="1"/>
    <xf numFmtId="165" fontId="8" fillId="0" borderId="0" xfId="32" applyNumberFormat="1" applyFont="1" applyFill="1" applyAlignment="1" applyProtection="1">
      <alignment horizontal="left" vertical="center" wrapText="1"/>
    </xf>
    <xf numFmtId="165" fontId="8" fillId="0" borderId="0" xfId="16" applyNumberFormat="1" applyFont="1" applyFill="1" applyAlignment="1" applyProtection="1">
      <alignment horizontal="right" indent="2"/>
    </xf>
    <xf numFmtId="165" fontId="8" fillId="0" borderId="0" xfId="16" applyFont="1" applyAlignment="1">
      <alignment horizontal="right" indent="2"/>
    </xf>
    <xf numFmtId="165" fontId="8" fillId="3" borderId="0" xfId="16" applyNumberFormat="1" applyFont="1" applyFill="1" applyProtection="1"/>
    <xf numFmtId="167" fontId="8" fillId="0" borderId="0" xfId="16" applyNumberFormat="1" applyFont="1" applyAlignment="1" applyProtection="1">
      <alignment horizontal="center"/>
    </xf>
    <xf numFmtId="165" fontId="8" fillId="0" borderId="0" xfId="16" applyNumberFormat="1" applyFont="1" applyFill="1" applyAlignment="1" applyProtection="1">
      <alignment horizontal="left"/>
    </xf>
    <xf numFmtId="165" fontId="8" fillId="0" borderId="0" xfId="16" applyNumberFormat="1" applyFont="1" applyFill="1" applyProtection="1"/>
    <xf numFmtId="165" fontId="8" fillId="0" borderId="0" xfId="16" applyNumberFormat="1" applyFont="1" applyFill="1" applyAlignment="1" applyProtection="1">
      <alignment horizontal="right"/>
    </xf>
    <xf numFmtId="165" fontId="8" fillId="0" borderId="0" xfId="16" applyNumberFormat="1" applyFont="1" applyAlignment="1" applyProtection="1">
      <alignment horizontal="right"/>
    </xf>
    <xf numFmtId="165" fontId="8" fillId="0" borderId="0" xfId="16" applyNumberFormat="1" applyFont="1" applyAlignment="1" applyProtection="1">
      <alignment horizontal="left" vertical="top" wrapText="1"/>
    </xf>
    <xf numFmtId="166" fontId="8" fillId="0" borderId="0" xfId="16" applyNumberFormat="1" applyFont="1" applyProtection="1"/>
    <xf numFmtId="165" fontId="8" fillId="0" borderId="0" xfId="16" applyNumberFormat="1" applyFont="1" applyAlignment="1" applyProtection="1">
      <alignment horizontal="left" vertical="top"/>
    </xf>
    <xf numFmtId="165" fontId="8" fillId="0" borderId="0" xfId="16" applyNumberFormat="1" applyFont="1" applyFill="1" applyAlignment="1" applyProtection="1">
      <alignment horizontal="left" vertical="center"/>
    </xf>
    <xf numFmtId="165" fontId="10" fillId="0" borderId="0" xfId="16" applyFont="1"/>
    <xf numFmtId="168" fontId="8" fillId="0" borderId="0" xfId="16" applyNumberFormat="1" applyFont="1" applyAlignment="1" applyProtection="1">
      <alignment horizontal="center"/>
    </xf>
    <xf numFmtId="0" fontId="8" fillId="0" borderId="0" xfId="16" applyNumberFormat="1" applyFont="1" applyFill="1"/>
    <xf numFmtId="165" fontId="8" fillId="0" borderId="0" xfId="16" quotePrefix="1" applyFont="1"/>
    <xf numFmtId="0" fontId="8" fillId="0" borderId="0" xfId="16" applyNumberFormat="1" applyFont="1" applyFill="1" applyAlignment="1">
      <alignment wrapText="1"/>
    </xf>
    <xf numFmtId="167" fontId="8" fillId="3" borderId="0" xfId="16" applyNumberFormat="1" applyFont="1" applyFill="1" applyProtection="1"/>
    <xf numFmtId="165" fontId="8" fillId="3" borderId="0" xfId="16" applyNumberFormat="1" applyFont="1" applyFill="1" applyAlignment="1" applyProtection="1">
      <alignment horizontal="left"/>
    </xf>
    <xf numFmtId="165" fontId="8" fillId="3" borderId="0" xfId="16" applyFont="1" applyFill="1"/>
    <xf numFmtId="165" fontId="8" fillId="3" borderId="0" xfId="16" applyNumberFormat="1" applyFont="1" applyFill="1" applyAlignment="1" applyProtection="1"/>
    <xf numFmtId="166" fontId="8" fillId="3" borderId="0" xfId="16" applyNumberFormat="1" applyFont="1" applyFill="1"/>
    <xf numFmtId="165" fontId="8" fillId="3" borderId="0" xfId="16" applyFont="1" applyFill="1" applyAlignment="1">
      <alignment horizontal="center"/>
    </xf>
    <xf numFmtId="165" fontId="8" fillId="0" borderId="0" xfId="16" applyFont="1" applyAlignment="1">
      <alignment vertical="top" wrapText="1"/>
    </xf>
    <xf numFmtId="166" fontId="8" fillId="0" borderId="0" xfId="16" applyNumberFormat="1" applyFont="1" applyAlignment="1" applyProtection="1">
      <alignment horizontal="center"/>
    </xf>
    <xf numFmtId="168" fontId="8" fillId="0" borderId="0" xfId="16" applyNumberFormat="1" applyFont="1" applyAlignment="1" applyProtection="1">
      <alignment horizontal="left"/>
    </xf>
    <xf numFmtId="166" fontId="8" fillId="0" borderId="0" xfId="16" applyNumberFormat="1" applyFont="1" applyAlignment="1" applyProtection="1">
      <alignment horizontal="left"/>
    </xf>
    <xf numFmtId="165" fontId="10" fillId="0" borderId="0" xfId="16" applyFont="1" applyAlignment="1">
      <alignment horizontal="left"/>
    </xf>
    <xf numFmtId="165" fontId="10" fillId="0" borderId="0" xfId="16" applyFont="1" applyAlignment="1">
      <alignment horizontal="center"/>
    </xf>
    <xf numFmtId="165" fontId="10" fillId="0" borderId="0" xfId="16" applyNumberFormat="1" applyFont="1" applyAlignment="1" applyProtection="1">
      <alignment horizontal="left" wrapText="1"/>
    </xf>
    <xf numFmtId="165" fontId="10" fillId="0" borderId="0" xfId="16" applyNumberFormat="1" applyFont="1" applyAlignment="1" applyProtection="1">
      <alignment horizontal="fill"/>
    </xf>
    <xf numFmtId="165" fontId="8" fillId="0" borderId="0" xfId="16" applyNumberFormat="1" applyFont="1" applyAlignment="1" applyProtection="1">
      <alignment horizontal="left" wrapText="1"/>
    </xf>
    <xf numFmtId="168" fontId="8" fillId="0" borderId="0" xfId="16" applyNumberFormat="1" applyFont="1" applyAlignment="1">
      <alignment horizontal="center" vertical="top"/>
    </xf>
    <xf numFmtId="166" fontId="8" fillId="0" borderId="0" xfId="16" applyNumberFormat="1" applyFont="1" applyAlignment="1">
      <alignment horizontal="center" vertical="top"/>
    </xf>
    <xf numFmtId="168" fontId="8" fillId="0" borderId="0" xfId="16" applyNumberFormat="1" applyFont="1" applyAlignment="1">
      <alignment horizontal="center"/>
    </xf>
    <xf numFmtId="166" fontId="8" fillId="0" borderId="0" xfId="16" applyNumberFormat="1" applyFont="1" applyAlignment="1">
      <alignment horizontal="center"/>
    </xf>
    <xf numFmtId="165" fontId="8" fillId="5" borderId="0" xfId="16" applyNumberFormat="1" applyFont="1" applyFill="1" applyAlignment="1" applyProtection="1">
      <alignment horizontal="left"/>
    </xf>
    <xf numFmtId="165" fontId="8" fillId="2" borderId="0" xfId="16" applyNumberFormat="1" applyFont="1" applyFill="1" applyProtection="1"/>
    <xf numFmtId="167" fontId="10" fillId="0" borderId="0" xfId="16" applyNumberFormat="1" applyFont="1" applyAlignment="1" applyProtection="1">
      <alignment horizontal="center"/>
    </xf>
    <xf numFmtId="165" fontId="10" fillId="0" borderId="0" xfId="16" applyFont="1" applyAlignment="1"/>
    <xf numFmtId="168" fontId="8" fillId="0" borderId="0" xfId="16" applyNumberFormat="1" applyFont="1"/>
    <xf numFmtId="165" fontId="8" fillId="6" borderId="0" xfId="16" applyNumberFormat="1" applyFont="1" applyFill="1" applyProtection="1"/>
    <xf numFmtId="169" fontId="8" fillId="0" borderId="0" xfId="16" applyNumberFormat="1" applyFont="1" applyProtection="1"/>
    <xf numFmtId="170" fontId="8" fillId="0" borderId="0" xfId="16" applyNumberFormat="1" applyFont="1" applyProtection="1"/>
    <xf numFmtId="165" fontId="8" fillId="2" borderId="0" xfId="16" applyNumberFormat="1" applyFont="1" applyFill="1" applyAlignment="1" applyProtection="1">
      <alignment horizontal="left"/>
    </xf>
    <xf numFmtId="165" fontId="8" fillId="0" borderId="0" xfId="16" applyFont="1" applyAlignment="1">
      <alignment horizontal="right"/>
    </xf>
    <xf numFmtId="165" fontId="8" fillId="2" borderId="0" xfId="16" applyFont="1" applyFill="1"/>
    <xf numFmtId="165" fontId="10" fillId="6" borderId="0" xfId="16" applyNumberFormat="1" applyFont="1" applyFill="1" applyAlignment="1" applyProtection="1">
      <alignment horizontal="left"/>
    </xf>
    <xf numFmtId="165" fontId="8" fillId="0" borderId="0" xfId="16" applyNumberFormat="1" applyFont="1" applyAlignment="1" applyProtection="1">
      <alignment wrapText="1"/>
    </xf>
    <xf numFmtId="170" fontId="8" fillId="0" borderId="0" xfId="16" applyNumberFormat="1" applyFont="1"/>
    <xf numFmtId="167" fontId="8" fillId="0" borderId="0" xfId="16" applyNumberFormat="1" applyFont="1" applyAlignment="1" applyProtection="1">
      <alignment vertical="center" wrapText="1"/>
    </xf>
    <xf numFmtId="165" fontId="8" fillId="6" borderId="0" xfId="16" applyNumberFormat="1" applyFont="1" applyFill="1" applyAlignment="1" applyProtection="1">
      <alignment horizontal="left"/>
    </xf>
    <xf numFmtId="165" fontId="8" fillId="6" borderId="0" xfId="16" applyFont="1" applyFill="1"/>
    <xf numFmtId="167" fontId="8" fillId="0" borderId="0" xfId="16" applyNumberFormat="1" applyFont="1" applyAlignment="1" applyProtection="1">
      <alignment horizontal="left" wrapText="1"/>
    </xf>
    <xf numFmtId="167" fontId="8" fillId="0" borderId="0" xfId="16" applyNumberFormat="1" applyFont="1" applyAlignment="1" applyProtection="1">
      <alignment horizontal="left"/>
    </xf>
    <xf numFmtId="166" fontId="8" fillId="0" borderId="0" xfId="16" applyNumberFormat="1" applyFont="1" applyAlignment="1">
      <alignment horizontal="right"/>
    </xf>
    <xf numFmtId="165" fontId="10" fillId="0" borderId="0" xfId="16" applyFont="1" applyAlignment="1">
      <alignment wrapText="1"/>
    </xf>
    <xf numFmtId="170" fontId="8" fillId="0" borderId="0" xfId="16" quotePrefix="1" applyNumberFormat="1" applyFont="1" applyProtection="1"/>
    <xf numFmtId="165" fontId="8" fillId="0" borderId="0" xfId="16" quotePrefix="1" applyNumberFormat="1" applyFont="1" applyProtection="1"/>
    <xf numFmtId="168" fontId="8" fillId="0" borderId="0" xfId="16" applyNumberFormat="1" applyFont="1" applyAlignment="1" applyProtection="1">
      <alignment horizontal="center" vertical="top" wrapText="1"/>
    </xf>
    <xf numFmtId="165" fontId="8" fillId="0" borderId="0" xfId="16" applyNumberFormat="1" applyFont="1" applyAlignment="1" applyProtection="1">
      <alignment horizontal="justify" vertical="top" wrapText="1"/>
    </xf>
    <xf numFmtId="169" fontId="8" fillId="0" borderId="0" xfId="16" applyNumberFormat="1" applyFont="1" applyAlignment="1" applyProtection="1">
      <alignment horizontal="left"/>
    </xf>
    <xf numFmtId="171" fontId="8" fillId="7" borderId="0" xfId="16" applyNumberFormat="1" applyFont="1" applyFill="1" applyProtection="1"/>
    <xf numFmtId="165" fontId="8" fillId="7" borderId="0" xfId="16" applyNumberFormat="1" applyFont="1" applyFill="1" applyAlignment="1" applyProtection="1"/>
    <xf numFmtId="165" fontId="8" fillId="7" borderId="0" xfId="16" applyNumberFormat="1" applyFont="1" applyFill="1" applyAlignment="1" applyProtection="1">
      <alignment horizontal="left"/>
    </xf>
    <xf numFmtId="165" fontId="8" fillId="7" borderId="0" xfId="16" applyNumberFormat="1" applyFont="1" applyFill="1" applyProtection="1"/>
    <xf numFmtId="171" fontId="8" fillId="0" borderId="0" xfId="16" applyNumberFormat="1" applyFont="1" applyProtection="1"/>
    <xf numFmtId="169" fontId="8" fillId="0" borderId="0" xfId="16" applyNumberFormat="1" applyFont="1" applyAlignment="1" applyProtection="1">
      <alignment horizontal="fill"/>
    </xf>
    <xf numFmtId="165" fontId="10" fillId="3" borderId="0" xfId="16" applyFont="1" applyFill="1"/>
    <xf numFmtId="165" fontId="10" fillId="3" borderId="0" xfId="16" applyFont="1" applyFill="1" applyAlignment="1">
      <alignment horizontal="left"/>
    </xf>
    <xf numFmtId="165" fontId="8" fillId="7" borderId="0" xfId="16" applyFont="1" applyFill="1"/>
    <xf numFmtId="166" fontId="8" fillId="7" borderId="0" xfId="16" applyNumberFormat="1" applyFont="1" applyFill="1" applyProtection="1"/>
    <xf numFmtId="165" fontId="8" fillId="7" borderId="0" xfId="16" applyFont="1" applyFill="1" applyAlignment="1">
      <alignment horizontal="center"/>
    </xf>
    <xf numFmtId="166" fontId="8" fillId="0" borderId="0" xfId="16" applyNumberFormat="1" applyFont="1" applyAlignment="1" applyProtection="1">
      <alignment horizontal="fill"/>
    </xf>
    <xf numFmtId="169" fontId="8" fillId="0" borderId="0" xfId="16" applyNumberFormat="1" applyFont="1"/>
    <xf numFmtId="2" fontId="10" fillId="0" borderId="6" xfId="3" applyNumberFormat="1" applyFont="1" applyBorder="1" applyAlignment="1">
      <alignment vertical="top" wrapText="1"/>
    </xf>
    <xf numFmtId="166" fontId="10" fillId="0" borderId="0" xfId="16" applyNumberFormat="1" applyFont="1" applyAlignment="1">
      <alignment horizontal="right"/>
    </xf>
    <xf numFmtId="165" fontId="8" fillId="8" borderId="0" xfId="16" applyFont="1" applyFill="1"/>
    <xf numFmtId="165" fontId="8" fillId="8" borderId="0" xfId="16" applyFont="1" applyFill="1" applyAlignment="1"/>
    <xf numFmtId="165" fontId="8" fillId="2" borderId="0" xfId="16" applyFont="1" applyFill="1" applyAlignment="1"/>
    <xf numFmtId="165" fontId="8" fillId="2" borderId="0" xfId="16" applyNumberFormat="1" applyFont="1" applyFill="1" applyAlignment="1" applyProtection="1"/>
    <xf numFmtId="165" fontId="8" fillId="2" borderId="0" xfId="16" applyNumberFormat="1" applyFont="1" applyFill="1" applyAlignment="1" applyProtection="1">
      <alignment horizontal="right"/>
    </xf>
    <xf numFmtId="165" fontId="10" fillId="5" borderId="0" xfId="16" applyNumberFormat="1" applyFont="1" applyFill="1" applyAlignment="1" applyProtection="1">
      <alignment horizontal="left"/>
    </xf>
    <xf numFmtId="169" fontId="8" fillId="0" borderId="0" xfId="16" applyNumberFormat="1" applyFont="1" applyAlignment="1" applyProtection="1"/>
    <xf numFmtId="169" fontId="8" fillId="0" borderId="0" xfId="16" applyNumberFormat="1" applyFont="1" applyAlignment="1"/>
    <xf numFmtId="165" fontId="8" fillId="5" borderId="0" xfId="16" applyFont="1" applyFill="1"/>
    <xf numFmtId="165" fontId="10" fillId="0" borderId="0" xfId="16" applyFont="1" applyAlignment="1">
      <alignment horizontal="right"/>
    </xf>
    <xf numFmtId="165" fontId="10" fillId="0" borderId="0" xfId="16" applyNumberFormat="1" applyFont="1" applyAlignment="1">
      <alignment horizontal="center"/>
    </xf>
    <xf numFmtId="165" fontId="8" fillId="0" borderId="0" xfId="16" applyNumberFormat="1" applyFont="1"/>
    <xf numFmtId="165" fontId="8" fillId="0" borderId="0" xfId="16" applyNumberFormat="1" applyFont="1" applyAlignment="1">
      <alignment horizontal="center"/>
    </xf>
    <xf numFmtId="165" fontId="8" fillId="0" borderId="7" xfId="16" applyFont="1" applyBorder="1"/>
    <xf numFmtId="165" fontId="8" fillId="0" borderId="8" xfId="16" applyFont="1" applyBorder="1"/>
    <xf numFmtId="165" fontId="8" fillId="0" borderId="0" xfId="16" applyNumberFormat="1" applyFont="1" applyAlignment="1"/>
    <xf numFmtId="165" fontId="8" fillId="0" borderId="9" xfId="16" applyFont="1" applyBorder="1"/>
    <xf numFmtId="165" fontId="10" fillId="0" borderId="0" xfId="16" applyNumberFormat="1" applyFont="1"/>
    <xf numFmtId="165" fontId="8" fillId="0" borderId="0" xfId="16" applyNumberFormat="1" applyFont="1" applyAlignment="1">
      <alignment horizontal="left"/>
    </xf>
    <xf numFmtId="167" fontId="8" fillId="0" borderId="10" xfId="16" applyNumberFormat="1" applyFont="1" applyBorder="1" applyAlignment="1" applyProtection="1">
      <alignment horizontal="center"/>
    </xf>
    <xf numFmtId="165" fontId="8" fillId="0" borderId="5" xfId="16" applyNumberFormat="1" applyFont="1" applyBorder="1" applyAlignment="1" applyProtection="1"/>
    <xf numFmtId="165" fontId="8" fillId="0" borderId="5" xfId="16" applyNumberFormat="1" applyFont="1" applyBorder="1" applyAlignment="1" applyProtection="1">
      <alignment horizontal="left"/>
    </xf>
    <xf numFmtId="165" fontId="8" fillId="0" borderId="5" xfId="16" applyFont="1" applyBorder="1"/>
    <xf numFmtId="165" fontId="8" fillId="0" borderId="5" xfId="16" applyFont="1" applyBorder="1" applyAlignment="1">
      <alignment horizontal="left"/>
    </xf>
    <xf numFmtId="165" fontId="8" fillId="0" borderId="11" xfId="16" applyFont="1" applyBorder="1"/>
    <xf numFmtId="165" fontId="8" fillId="0" borderId="0" xfId="16" applyFont="1" applyBorder="1" applyAlignment="1"/>
    <xf numFmtId="165" fontId="8" fillId="0" borderId="0" xfId="16" applyNumberFormat="1" applyFont="1" applyBorder="1" applyAlignment="1" applyProtection="1">
      <alignment horizontal="left"/>
    </xf>
    <xf numFmtId="165" fontId="8" fillId="0" borderId="0" xfId="16" applyFont="1" applyBorder="1"/>
    <xf numFmtId="165" fontId="8" fillId="0" borderId="0" xfId="16" applyFont="1" applyBorder="1" applyAlignment="1">
      <alignment horizontal="left"/>
    </xf>
    <xf numFmtId="165" fontId="8" fillId="0" borderId="0" xfId="16" applyNumberFormat="1" applyFont="1" applyBorder="1" applyAlignment="1" applyProtection="1">
      <alignment horizontal="fill"/>
    </xf>
    <xf numFmtId="165" fontId="8" fillId="0" borderId="11" xfId="16" applyNumberFormat="1" applyFont="1" applyBorder="1" applyProtection="1"/>
    <xf numFmtId="165" fontId="8" fillId="0" borderId="0" xfId="16" applyNumberFormat="1" applyFont="1" applyBorder="1" applyAlignment="1" applyProtection="1"/>
    <xf numFmtId="165" fontId="8" fillId="0" borderId="0" xfId="16" applyNumberFormat="1" applyFont="1" applyBorder="1" applyProtection="1"/>
    <xf numFmtId="165" fontId="8" fillId="5" borderId="0" xfId="16" applyNumberFormat="1" applyFont="1" applyFill="1" applyBorder="1" applyProtection="1"/>
    <xf numFmtId="165" fontId="8" fillId="0" borderId="0" xfId="16" applyNumberFormat="1" applyFont="1" applyBorder="1" applyAlignment="1" applyProtection="1">
      <alignment horizontal="right"/>
    </xf>
    <xf numFmtId="165" fontId="10" fillId="0" borderId="0" xfId="16" applyNumberFormat="1" applyFont="1" applyBorder="1" applyAlignment="1" applyProtection="1">
      <alignment horizontal="center"/>
    </xf>
    <xf numFmtId="165" fontId="10" fillId="0" borderId="0" xfId="16" applyFont="1" applyBorder="1"/>
    <xf numFmtId="165" fontId="10" fillId="0" borderId="0" xfId="16" applyFont="1" applyBorder="1" applyAlignment="1">
      <alignment horizontal="left"/>
    </xf>
    <xf numFmtId="165" fontId="10" fillId="0" borderId="0" xfId="16" applyNumberFormat="1" applyFont="1" applyBorder="1" applyProtection="1"/>
    <xf numFmtId="165" fontId="8" fillId="0" borderId="12" xfId="16" applyFont="1" applyBorder="1"/>
    <xf numFmtId="165" fontId="8" fillId="0" borderId="13" xfId="16" applyFont="1" applyBorder="1" applyAlignment="1"/>
    <xf numFmtId="165" fontId="8" fillId="0" borderId="13" xfId="16" applyFont="1" applyBorder="1"/>
    <xf numFmtId="165" fontId="8" fillId="0" borderId="13" xfId="16" applyFont="1" applyBorder="1" applyAlignment="1">
      <alignment horizontal="left"/>
    </xf>
    <xf numFmtId="165" fontId="8" fillId="0" borderId="13" xfId="16" applyNumberFormat="1" applyFont="1" applyBorder="1" applyAlignment="1" applyProtection="1">
      <alignment horizontal="fill"/>
    </xf>
    <xf numFmtId="165" fontId="8" fillId="0" borderId="10" xfId="16" applyNumberFormat="1" applyFont="1" applyBorder="1" applyAlignment="1" applyProtection="1">
      <alignment horizontal="center"/>
    </xf>
    <xf numFmtId="166" fontId="8" fillId="0" borderId="11" xfId="16" applyNumberFormat="1" applyFont="1" applyBorder="1" applyProtection="1"/>
    <xf numFmtId="166" fontId="8" fillId="0" borderId="12" xfId="16" applyNumberFormat="1" applyFont="1" applyBorder="1" applyProtection="1"/>
    <xf numFmtId="165" fontId="10" fillId="0" borderId="13" xfId="16" applyNumberFormat="1" applyFont="1" applyBorder="1" applyAlignment="1" applyProtection="1">
      <alignment horizontal="center"/>
    </xf>
    <xf numFmtId="165" fontId="10" fillId="0" borderId="13" xfId="16" applyFont="1" applyBorder="1"/>
    <xf numFmtId="165" fontId="10" fillId="0" borderId="13" xfId="16" applyFont="1" applyBorder="1" applyAlignment="1">
      <alignment horizontal="left"/>
    </xf>
    <xf numFmtId="165" fontId="10" fillId="0" borderId="13" xfId="16" applyNumberFormat="1" applyFont="1" applyBorder="1" applyProtection="1"/>
    <xf numFmtId="167" fontId="8" fillId="0" borderId="0" xfId="16" applyNumberFormat="1" applyFont="1" applyAlignment="1">
      <alignment horizontal="center"/>
    </xf>
    <xf numFmtId="165" fontId="8" fillId="0" borderId="0" xfId="16" applyFont="1" applyAlignment="1">
      <alignment wrapText="1"/>
    </xf>
    <xf numFmtId="165" fontId="8" fillId="0" borderId="0" xfId="16" applyNumberFormat="1" applyFont="1" applyAlignment="1" applyProtection="1">
      <alignment vertical="center"/>
    </xf>
    <xf numFmtId="165" fontId="8" fillId="0" borderId="0" xfId="16" applyNumberFormat="1" applyFont="1" applyAlignment="1" applyProtection="1">
      <alignment horizontal="left" vertical="center"/>
    </xf>
    <xf numFmtId="165" fontId="8" fillId="5" borderId="0" xfId="16" applyNumberFormat="1" applyFont="1" applyFill="1" applyProtection="1"/>
    <xf numFmtId="165" fontId="8" fillId="6" borderId="0" xfId="16" applyNumberFormat="1" applyFont="1" applyFill="1" applyAlignment="1" applyProtection="1">
      <alignment vertical="center"/>
    </xf>
    <xf numFmtId="165" fontId="10" fillId="0" borderId="14" xfId="16" applyNumberFormat="1" applyFont="1" applyBorder="1" applyProtection="1"/>
    <xf numFmtId="165" fontId="8" fillId="0" borderId="15" xfId="16" applyNumberFormat="1" applyFont="1" applyBorder="1" applyAlignment="1" applyProtection="1">
      <alignment horizontal="fill"/>
    </xf>
    <xf numFmtId="166" fontId="10" fillId="0" borderId="0" xfId="16" applyNumberFormat="1" applyFont="1"/>
    <xf numFmtId="166" fontId="8" fillId="0" borderId="0" xfId="16" applyNumberFormat="1" applyFont="1" applyAlignment="1">
      <alignment wrapText="1"/>
    </xf>
    <xf numFmtId="165" fontId="8" fillId="0" borderId="0" xfId="16" applyFont="1" applyAlignment="1">
      <alignment horizontal="fill" wrapText="1"/>
    </xf>
    <xf numFmtId="168" fontId="8" fillId="0" borderId="0" xfId="16" applyNumberFormat="1" applyFont="1" applyAlignment="1" applyProtection="1">
      <alignment horizontal="center" vertical="top"/>
    </xf>
    <xf numFmtId="165" fontId="8" fillId="0" borderId="0" xfId="16" applyNumberFormat="1" applyFont="1" applyAlignment="1" applyProtection="1">
      <alignment horizontal="right" vertical="center"/>
    </xf>
    <xf numFmtId="2" fontId="8" fillId="0" borderId="6" xfId="3" applyNumberFormat="1" applyFont="1" applyBorder="1" applyAlignment="1">
      <alignment vertical="top" wrapText="1"/>
    </xf>
    <xf numFmtId="165" fontId="8" fillId="0" borderId="0" xfId="16" applyNumberFormat="1" applyFont="1" applyFill="1" applyBorder="1" applyAlignment="1" applyProtection="1">
      <alignment horizontal="left"/>
    </xf>
    <xf numFmtId="168" fontId="8" fillId="0" borderId="0" xfId="16" applyNumberFormat="1" applyFont="1" applyAlignment="1">
      <alignment horizontal="center" vertical="top" wrapText="1"/>
    </xf>
    <xf numFmtId="165" fontId="10" fillId="0" borderId="0" xfId="16" applyNumberFormat="1" applyFont="1" applyAlignment="1" applyProtection="1">
      <alignment horizontal="left" vertical="top" wrapText="1"/>
    </xf>
    <xf numFmtId="165" fontId="8" fillId="0" borderId="0" xfId="16" applyFont="1" applyBorder="1" applyAlignment="1">
      <alignment horizontal="left" vertical="top"/>
    </xf>
    <xf numFmtId="165" fontId="8" fillId="0" borderId="0" xfId="16" applyNumberFormat="1" applyFont="1" applyBorder="1" applyAlignment="1">
      <alignment horizontal="right" vertical="top"/>
    </xf>
    <xf numFmtId="165" fontId="10" fillId="0" borderId="0" xfId="16" applyFont="1" applyAlignment="1">
      <alignment horizontal="left" vertical="top" wrapText="1"/>
    </xf>
    <xf numFmtId="165" fontId="10" fillId="5" borderId="0" xfId="16" applyFont="1" applyFill="1" applyAlignment="1">
      <alignment wrapText="1"/>
    </xf>
    <xf numFmtId="165" fontId="10" fillId="0" borderId="0" xfId="16" applyFont="1" applyAlignment="1">
      <alignment horizontal="right" vertical="top"/>
    </xf>
    <xf numFmtId="165" fontId="8" fillId="6" borderId="0" xfId="16" quotePrefix="1" applyFont="1" applyFill="1"/>
    <xf numFmtId="165" fontId="10" fillId="0" borderId="0" xfId="16" applyFont="1" applyAlignment="1">
      <alignment horizontal="left" wrapText="1"/>
    </xf>
    <xf numFmtId="165" fontId="8" fillId="0" borderId="0" xfId="16" applyFont="1" applyAlignment="1">
      <alignment horizontal="left" wrapText="1"/>
    </xf>
    <xf numFmtId="165" fontId="8" fillId="6" borderId="0" xfId="16" applyFont="1" applyFill="1" applyAlignment="1">
      <alignment wrapText="1"/>
    </xf>
    <xf numFmtId="165" fontId="8" fillId="0" borderId="0" xfId="16" quotePrefix="1" applyNumberFormat="1" applyFont="1" applyAlignment="1" applyProtection="1">
      <alignment horizontal="fill"/>
    </xf>
    <xf numFmtId="165" fontId="10" fillId="0" borderId="0" xfId="16" quotePrefix="1" applyNumberFormat="1" applyFont="1" applyProtection="1"/>
    <xf numFmtId="168" fontId="10" fillId="0" borderId="0" xfId="16" applyNumberFormat="1" applyFont="1"/>
    <xf numFmtId="165" fontId="8" fillId="0" borderId="0" xfId="16" applyFont="1" applyAlignment="1">
      <alignment horizontal="fill"/>
    </xf>
    <xf numFmtId="165" fontId="8" fillId="0" borderId="0" xfId="16" quotePrefix="1" applyFont="1" applyAlignment="1">
      <alignment horizontal="fill"/>
    </xf>
    <xf numFmtId="170" fontId="10" fillId="0" borderId="0" xfId="16" applyNumberFormat="1" applyFont="1"/>
    <xf numFmtId="170" fontId="10" fillId="0" borderId="0" xfId="16" applyNumberFormat="1" applyFont="1" applyAlignment="1">
      <alignment horizontal="right"/>
    </xf>
    <xf numFmtId="165" fontId="10" fillId="0" borderId="0" xfId="16" applyFont="1" applyAlignment="1">
      <alignment horizontal="left" vertical="top"/>
    </xf>
    <xf numFmtId="2" fontId="8" fillId="0" borderId="0" xfId="16" applyNumberFormat="1" applyFont="1"/>
    <xf numFmtId="2" fontId="10" fillId="0" borderId="0" xfId="16" applyNumberFormat="1" applyFont="1"/>
    <xf numFmtId="165" fontId="8" fillId="0" borderId="10" xfId="16" applyFont="1" applyBorder="1"/>
    <xf numFmtId="168" fontId="8" fillId="0" borderId="11" xfId="16" applyNumberFormat="1" applyFont="1" applyBorder="1" applyAlignment="1" applyProtection="1">
      <alignment horizontal="center"/>
    </xf>
    <xf numFmtId="165" fontId="10" fillId="0" borderId="0" xfId="16" applyFont="1" applyBorder="1" applyAlignment="1"/>
    <xf numFmtId="165" fontId="8" fillId="0" borderId="0" xfId="16" applyFont="1" applyBorder="1" applyAlignment="1">
      <alignment horizontal="center"/>
    </xf>
    <xf numFmtId="165" fontId="8" fillId="3" borderId="0" xfId="16" applyFont="1" applyFill="1" applyBorder="1"/>
    <xf numFmtId="165" fontId="8" fillId="9" borderId="0" xfId="16" applyFont="1" applyFill="1" applyBorder="1"/>
    <xf numFmtId="165" fontId="8" fillId="0" borderId="0" xfId="16" applyFont="1" applyBorder="1" applyAlignment="1">
      <alignment horizontal="right"/>
    </xf>
    <xf numFmtId="165" fontId="8" fillId="0" borderId="0" xfId="16" applyFont="1" applyBorder="1" applyAlignment="1">
      <alignment horizontal="fill"/>
    </xf>
    <xf numFmtId="169" fontId="8" fillId="0" borderId="0" xfId="16" applyNumberFormat="1" applyFont="1" applyAlignment="1" applyProtection="1">
      <alignment horizontal="center"/>
    </xf>
    <xf numFmtId="165" fontId="8" fillId="0" borderId="13" xfId="16" applyFont="1" applyBorder="1" applyAlignment="1">
      <alignment horizontal="center"/>
    </xf>
    <xf numFmtId="165" fontId="8" fillId="0" borderId="13" xfId="16" applyFont="1" applyBorder="1" applyAlignment="1">
      <alignment horizontal="fill"/>
    </xf>
    <xf numFmtId="166" fontId="8" fillId="0" borderId="0" xfId="16" applyNumberFormat="1" applyFont="1" applyAlignment="1"/>
    <xf numFmtId="172" fontId="10" fillId="0" borderId="0" xfId="16" applyNumberFormat="1" applyFont="1"/>
    <xf numFmtId="169" fontId="10" fillId="0" borderId="0" xfId="16" applyNumberFormat="1" applyFont="1"/>
    <xf numFmtId="165" fontId="10" fillId="0" borderId="0" xfId="16" quotePrefix="1" applyFont="1"/>
    <xf numFmtId="165" fontId="8" fillId="0" borderId="0" xfId="16" applyNumberFormat="1" applyFont="1" applyFill="1" applyAlignment="1" applyProtection="1">
      <alignment horizontal="center"/>
    </xf>
    <xf numFmtId="165" fontId="8" fillId="0" borderId="0" xfId="16" applyNumberFormat="1" applyFont="1" applyFill="1" applyAlignment="1" applyProtection="1"/>
    <xf numFmtId="165" fontId="8" fillId="0" borderId="0" xfId="16" applyFont="1" applyFill="1"/>
    <xf numFmtId="165" fontId="8" fillId="0" borderId="0" xfId="16" applyFont="1" applyFill="1" applyAlignment="1">
      <alignment horizontal="center"/>
    </xf>
    <xf numFmtId="165" fontId="8" fillId="0" borderId="0" xfId="16" applyFont="1" applyFill="1" applyAlignment="1"/>
    <xf numFmtId="165" fontId="10" fillId="0" borderId="0" xfId="16" applyFont="1" applyFill="1"/>
    <xf numFmtId="165" fontId="8" fillId="0" borderId="0" xfId="16" applyNumberFormat="1" applyFont="1" applyFill="1" applyAlignment="1" applyProtection="1">
      <alignment horizontal="fill"/>
    </xf>
    <xf numFmtId="169" fontId="8" fillId="0" borderId="0" xfId="16" applyNumberFormat="1" applyFont="1" applyFill="1" applyProtection="1"/>
    <xf numFmtId="169" fontId="8" fillId="0" borderId="0" xfId="16" applyNumberFormat="1" applyFont="1" applyFill="1" applyAlignment="1" applyProtection="1">
      <alignment horizontal="center"/>
    </xf>
    <xf numFmtId="171" fontId="8" fillId="0" borderId="0" xfId="16" applyNumberFormat="1" applyFont="1" applyFill="1"/>
    <xf numFmtId="170" fontId="8" fillId="0" borderId="0" xfId="16" applyNumberFormat="1" applyFont="1" applyFill="1" applyProtection="1"/>
    <xf numFmtId="165" fontId="8" fillId="6" borderId="0" xfId="16" applyNumberFormat="1" applyFont="1" applyFill="1" applyAlignment="1" applyProtection="1">
      <alignment horizontal="left" wrapText="1"/>
    </xf>
    <xf numFmtId="165" fontId="10" fillId="0" borderId="0" xfId="16" applyFont="1" applyAlignment="1">
      <alignment vertical="top" wrapText="1"/>
    </xf>
    <xf numFmtId="170" fontId="8" fillId="0" borderId="0" xfId="16" applyNumberFormat="1" applyFont="1" applyBorder="1" applyAlignment="1"/>
    <xf numFmtId="170" fontId="8" fillId="0" borderId="0" xfId="16" applyNumberFormat="1" applyFont="1" applyBorder="1"/>
    <xf numFmtId="165" fontId="8" fillId="0" borderId="0" xfId="16" applyFont="1" applyFill="1" applyBorder="1"/>
    <xf numFmtId="165" fontId="8" fillId="0" borderId="0" xfId="16" applyFont="1" applyFill="1" applyBorder="1" applyAlignment="1"/>
    <xf numFmtId="169" fontId="8" fillId="0" borderId="0" xfId="16" applyNumberFormat="1" applyFont="1" applyAlignment="1">
      <alignment horizontal="right"/>
    </xf>
    <xf numFmtId="169" fontId="10" fillId="0" borderId="0" xfId="16" applyNumberFormat="1" applyFont="1" applyAlignment="1" applyProtection="1">
      <alignment horizontal="right"/>
    </xf>
    <xf numFmtId="170" fontId="8" fillId="0" borderId="0" xfId="16" applyNumberFormat="1" applyFont="1" applyAlignment="1">
      <alignment horizontal="right"/>
    </xf>
    <xf numFmtId="170" fontId="8" fillId="0" borderId="0" xfId="16" applyNumberFormat="1" applyFont="1" applyAlignment="1" applyProtection="1">
      <alignment horizontal="right"/>
    </xf>
    <xf numFmtId="170" fontId="10" fillId="0" borderId="0" xfId="16" applyNumberFormat="1" applyFont="1" applyAlignment="1" applyProtection="1">
      <alignment horizontal="right"/>
    </xf>
    <xf numFmtId="165" fontId="8" fillId="0" borderId="0" xfId="16" quotePrefix="1" applyNumberFormat="1" applyFont="1" applyAlignment="1" applyProtection="1">
      <alignment horizontal="left"/>
    </xf>
    <xf numFmtId="171" fontId="8" fillId="0" borderId="0" xfId="16" applyNumberFormat="1" applyFont="1" applyAlignment="1">
      <alignment horizontal="right"/>
    </xf>
    <xf numFmtId="165" fontId="10" fillId="6" borderId="0" xfId="16" applyFont="1" applyFill="1"/>
    <xf numFmtId="169" fontId="10" fillId="0" borderId="0" xfId="16" applyNumberFormat="1" applyFont="1" applyAlignment="1">
      <alignment vertical="top"/>
    </xf>
    <xf numFmtId="165" fontId="10" fillId="0" borderId="0" xfId="16" applyFont="1" applyAlignment="1">
      <alignment vertical="top"/>
    </xf>
    <xf numFmtId="165" fontId="10" fillId="6" borderId="0" xfId="16" applyFont="1" applyFill="1" applyAlignment="1">
      <alignment vertical="top" wrapText="1"/>
    </xf>
    <xf numFmtId="166" fontId="8" fillId="0" borderId="0" xfId="16" applyNumberFormat="1" applyFont="1" applyAlignment="1" applyProtection="1">
      <alignment horizontal="right"/>
    </xf>
    <xf numFmtId="165" fontId="10" fillId="5" borderId="0" xfId="16" applyNumberFormat="1" applyFont="1" applyFill="1" applyAlignment="1" applyProtection="1">
      <alignment horizontal="right"/>
    </xf>
    <xf numFmtId="167" fontId="10" fillId="0" borderId="0" xfId="16" applyNumberFormat="1" applyFont="1" applyAlignment="1">
      <alignment vertical="center"/>
    </xf>
    <xf numFmtId="2" fontId="8" fillId="0" borderId="0" xfId="3" applyNumberFormat="1" applyFont="1" applyBorder="1" applyAlignment="1">
      <alignment vertical="top" wrapText="1"/>
    </xf>
    <xf numFmtId="165" fontId="8" fillId="10" borderId="0" xfId="16" applyFont="1" applyFill="1"/>
    <xf numFmtId="165" fontId="201" fillId="0" borderId="0" xfId="16" applyFont="1"/>
    <xf numFmtId="165" fontId="10" fillId="0" borderId="0" xfId="16" applyFont="1" applyAlignment="1">
      <alignment horizontal="center" vertical="top" wrapText="1"/>
    </xf>
    <xf numFmtId="165" fontId="8" fillId="0" borderId="0" xfId="16" applyNumberFormat="1" applyFont="1" applyAlignment="1" applyProtection="1">
      <alignment vertical="top"/>
    </xf>
    <xf numFmtId="165" fontId="8" fillId="0" borderId="0" xfId="16" applyFont="1" applyAlignment="1">
      <alignment vertical="top"/>
    </xf>
    <xf numFmtId="165" fontId="8" fillId="0" borderId="0" xfId="16" applyFont="1" applyAlignment="1">
      <alignment horizontal="left" vertical="top"/>
    </xf>
    <xf numFmtId="165" fontId="10" fillId="0" borderId="0" xfId="16" applyNumberFormat="1" applyFont="1" applyAlignment="1"/>
    <xf numFmtId="165" fontId="10" fillId="0" borderId="0" xfId="16" applyNumberFormat="1" applyFont="1" applyAlignment="1" applyProtection="1">
      <alignment horizontal="center" wrapText="1"/>
    </xf>
    <xf numFmtId="0" fontId="8" fillId="0" borderId="0" xfId="16" applyNumberFormat="1" applyFont="1"/>
    <xf numFmtId="0" fontId="8" fillId="0" borderId="0" xfId="16" applyNumberFormat="1" applyFont="1" applyAlignment="1">
      <alignment horizontal="center"/>
    </xf>
    <xf numFmtId="170" fontId="8" fillId="3" borderId="0" xfId="16" applyNumberFormat="1" applyFont="1" applyFill="1" applyProtection="1"/>
    <xf numFmtId="0" fontId="8" fillId="9" borderId="0" xfId="16" applyNumberFormat="1" applyFont="1" applyFill="1" applyBorder="1" applyAlignment="1">
      <alignment vertical="top" wrapText="1"/>
    </xf>
    <xf numFmtId="0" fontId="8" fillId="9" borderId="0" xfId="16" applyNumberFormat="1" applyFont="1" applyFill="1" applyBorder="1" applyAlignment="1">
      <alignment horizontal="center" wrapText="1"/>
    </xf>
    <xf numFmtId="0" fontId="10" fillId="0" borderId="0" xfId="16" applyNumberFormat="1" applyFont="1"/>
    <xf numFmtId="0" fontId="8" fillId="0" borderId="0" xfId="16" applyNumberFormat="1" applyFont="1" applyBorder="1" applyAlignment="1"/>
    <xf numFmtId="0" fontId="8" fillId="0" borderId="0" xfId="16" applyNumberFormat="1" applyFont="1" applyBorder="1"/>
    <xf numFmtId="0" fontId="10" fillId="0" borderId="0" xfId="16" applyNumberFormat="1" applyFont="1" applyBorder="1"/>
    <xf numFmtId="165" fontId="8" fillId="0" borderId="0" xfId="16" applyNumberFormat="1" applyFont="1" applyBorder="1" applyAlignment="1"/>
    <xf numFmtId="2" fontId="8" fillId="0" borderId="0" xfId="16" applyNumberFormat="1" applyFont="1" applyBorder="1"/>
    <xf numFmtId="165" fontId="8" fillId="0" borderId="0" xfId="16" applyNumberFormat="1" applyFont="1" applyBorder="1"/>
    <xf numFmtId="165" fontId="8" fillId="0" borderId="0" xfId="16" applyNumberFormat="1" applyFont="1" applyBorder="1" applyAlignment="1">
      <alignment vertical="center"/>
    </xf>
    <xf numFmtId="0" fontId="8" fillId="0" borderId="0" xfId="16" applyNumberFormat="1" applyFont="1" applyBorder="1" applyAlignment="1">
      <alignment vertical="center"/>
    </xf>
    <xf numFmtId="165" fontId="8" fillId="0" borderId="0" xfId="16" applyNumberFormat="1" applyFont="1" applyBorder="1" applyAlignment="1" applyProtection="1">
      <alignment horizontal="left" vertical="center"/>
    </xf>
    <xf numFmtId="0" fontId="8" fillId="0" borderId="0" xfId="16" applyNumberFormat="1" applyFont="1" applyBorder="1" applyAlignment="1">
      <alignment wrapText="1"/>
    </xf>
    <xf numFmtId="165" fontId="8" fillId="0" borderId="0" xfId="16" applyNumberFormat="1" applyFont="1" applyFill="1" applyBorder="1"/>
    <xf numFmtId="165" fontId="8" fillId="0" borderId="0" xfId="16" applyNumberFormat="1" applyFont="1" applyFill="1" applyBorder="1" applyAlignment="1"/>
    <xf numFmtId="0" fontId="10" fillId="0" borderId="0" xfId="16" applyNumberFormat="1" applyFont="1" applyBorder="1" applyAlignment="1">
      <alignment horizontal="right"/>
    </xf>
    <xf numFmtId="165" fontId="10" fillId="0" borderId="0" xfId="16" applyNumberFormat="1" applyFont="1" applyBorder="1"/>
    <xf numFmtId="165" fontId="8" fillId="0" borderId="0" xfId="16" applyNumberFormat="1" applyFont="1" applyAlignment="1">
      <alignment horizontal="right"/>
    </xf>
    <xf numFmtId="165" fontId="10" fillId="0" borderId="0" xfId="16" applyNumberFormat="1" applyFont="1" applyAlignment="1">
      <alignment horizontal="left"/>
    </xf>
    <xf numFmtId="165" fontId="8" fillId="0" borderId="0" xfId="16" applyNumberFormat="1" applyFont="1" applyBorder="1" applyAlignment="1">
      <alignment horizontal="left"/>
    </xf>
    <xf numFmtId="165" fontId="8" fillId="0" borderId="0" xfId="16" applyNumberFormat="1" applyFont="1" applyBorder="1" applyAlignment="1">
      <alignment horizontal="left" vertical="top"/>
    </xf>
    <xf numFmtId="165" fontId="10" fillId="0" borderId="0" xfId="16" applyNumberFormat="1" applyFont="1" applyAlignment="1">
      <alignment horizontal="right"/>
    </xf>
    <xf numFmtId="0" fontId="10" fillId="0" borderId="0" xfId="16" applyNumberFormat="1" applyFont="1" applyAlignment="1">
      <alignment horizontal="center"/>
    </xf>
    <xf numFmtId="165" fontId="8" fillId="3" borderId="0" xfId="16" applyNumberFormat="1" applyFont="1" applyFill="1" applyAlignment="1"/>
    <xf numFmtId="165" fontId="8" fillId="3" borderId="0" xfId="16" applyNumberFormat="1" applyFont="1" applyFill="1"/>
    <xf numFmtId="165" fontId="8" fillId="3" borderId="0" xfId="16" applyNumberFormat="1" applyFont="1" applyFill="1" applyAlignment="1" applyProtection="1">
      <alignment horizontal="right"/>
    </xf>
    <xf numFmtId="170" fontId="10" fillId="0" borderId="0" xfId="16" applyNumberFormat="1" applyFont="1" applyAlignment="1">
      <alignment vertical="top"/>
    </xf>
    <xf numFmtId="170" fontId="8" fillId="0" borderId="0" xfId="16" applyNumberFormat="1" applyFont="1" applyAlignment="1">
      <alignment horizontal="center"/>
    </xf>
    <xf numFmtId="165" fontId="10" fillId="0" borderId="0" xfId="16" applyNumberFormat="1" applyFont="1" applyAlignment="1">
      <alignment vertical="top"/>
    </xf>
    <xf numFmtId="165" fontId="17" fillId="0" borderId="0" xfId="16" applyFont="1" applyBorder="1" applyAlignment="1">
      <alignment horizontal="left" vertical="top" wrapText="1"/>
    </xf>
    <xf numFmtId="165" fontId="17" fillId="0" borderId="0" xfId="16" applyFont="1" applyFill="1" applyBorder="1" applyAlignment="1">
      <alignment horizontal="left" vertical="top"/>
    </xf>
    <xf numFmtId="165" fontId="13" fillId="3" borderId="0" xfId="16" applyFont="1" applyFill="1" applyBorder="1" applyAlignment="1">
      <alignment horizontal="left" vertical="top"/>
    </xf>
    <xf numFmtId="165" fontId="12" fillId="0" borderId="0" xfId="16" applyFont="1" applyBorder="1"/>
    <xf numFmtId="165" fontId="56" fillId="0" borderId="0" xfId="16" applyFont="1" applyFill="1" applyBorder="1" applyAlignment="1">
      <alignment horizontal="right" vertical="top"/>
    </xf>
    <xf numFmtId="0" fontId="1" fillId="0" borderId="0" xfId="104" applyAlignment="1">
      <alignment wrapText="1"/>
    </xf>
    <xf numFmtId="0" fontId="46" fillId="0" borderId="0" xfId="104" applyFont="1" applyAlignment="1">
      <alignment vertical="center" wrapText="1"/>
    </xf>
    <xf numFmtId="0" fontId="1" fillId="0" borderId="0" xfId="104"/>
    <xf numFmtId="0" fontId="169" fillId="0" borderId="0" xfId="104" applyFont="1" applyAlignment="1">
      <alignment horizontal="center"/>
    </xf>
    <xf numFmtId="0" fontId="46" fillId="0" borderId="0" xfId="104" applyFont="1" applyAlignment="1">
      <alignment horizontal="center"/>
    </xf>
    <xf numFmtId="0" fontId="46" fillId="0" borderId="0" xfId="104" applyFont="1"/>
    <xf numFmtId="0" fontId="1" fillId="0" borderId="0" xfId="104" applyFont="1"/>
    <xf numFmtId="2" fontId="170" fillId="0" borderId="0" xfId="104" applyNumberFormat="1" applyFont="1"/>
    <xf numFmtId="2" fontId="1" fillId="0" borderId="0" xfId="104" applyNumberFormat="1" applyFont="1"/>
    <xf numFmtId="17" fontId="1" fillId="0" borderId="0" xfId="104" quotePrefix="1" applyNumberFormat="1" applyFont="1"/>
    <xf numFmtId="2" fontId="171" fillId="2" borderId="0" xfId="104" applyNumberFormat="1" applyFont="1" applyFill="1"/>
    <xf numFmtId="0" fontId="170" fillId="0" borderId="0" xfId="104" applyFont="1"/>
    <xf numFmtId="0" fontId="1" fillId="0" borderId="0" xfId="104" applyFont="1" applyAlignment="1">
      <alignment wrapText="1"/>
    </xf>
    <xf numFmtId="0" fontId="172" fillId="0" borderId="0" xfId="104" applyFont="1" applyAlignment="1">
      <alignment wrapText="1"/>
    </xf>
    <xf numFmtId="0" fontId="172" fillId="0" borderId="0" xfId="104" applyFont="1"/>
    <xf numFmtId="2" fontId="1" fillId="0" borderId="0" xfId="104" applyNumberFormat="1"/>
    <xf numFmtId="0" fontId="1" fillId="0" borderId="0" xfId="104" applyFont="1" applyFill="1" applyBorder="1"/>
    <xf numFmtId="2" fontId="1" fillId="0" borderId="0" xfId="104" applyNumberFormat="1" applyFont="1" applyFill="1" applyBorder="1"/>
    <xf numFmtId="0" fontId="210" fillId="0" borderId="0" xfId="104" applyFont="1"/>
    <xf numFmtId="2" fontId="171" fillId="13" borderId="0" xfId="104" applyNumberFormat="1" applyFont="1" applyFill="1" applyBorder="1"/>
    <xf numFmtId="0" fontId="171" fillId="13" borderId="0" xfId="104" applyFont="1" applyFill="1" applyBorder="1" applyAlignment="1">
      <alignment horizontal="right"/>
    </xf>
    <xf numFmtId="0" fontId="1" fillId="0" borderId="0" xfId="104" applyFont="1" applyFill="1" applyBorder="1" applyAlignment="1">
      <alignment wrapText="1"/>
    </xf>
    <xf numFmtId="0" fontId="172" fillId="0" borderId="0" xfId="104" applyFont="1" applyFill="1" applyBorder="1" applyAlignment="1">
      <alignment wrapText="1"/>
    </xf>
    <xf numFmtId="2" fontId="46" fillId="0" borderId="0" xfId="104" applyNumberFormat="1" applyFont="1" applyFill="1" applyBorder="1"/>
    <xf numFmtId="0" fontId="46" fillId="0" borderId="0" xfId="104" applyFont="1" applyFill="1" applyBorder="1"/>
    <xf numFmtId="2" fontId="133" fillId="0" borderId="1" xfId="3" applyNumberFormat="1" applyFont="1" applyFill="1" applyBorder="1" applyAlignment="1">
      <alignment horizontal="left" vertical="center" wrapText="1"/>
    </xf>
    <xf numFmtId="2" fontId="133" fillId="2" borderId="1" xfId="3" applyNumberFormat="1" applyFont="1" applyFill="1" applyBorder="1" applyAlignment="1">
      <alignment horizontal="left" vertical="center" wrapText="1"/>
    </xf>
    <xf numFmtId="165" fontId="133" fillId="2" borderId="1" xfId="16" applyFont="1" applyFill="1" applyBorder="1" applyAlignment="1">
      <alignment horizontal="center" vertical="center" wrapText="1"/>
    </xf>
    <xf numFmtId="165" fontId="133" fillId="0" borderId="1" xfId="16" applyFont="1" applyFill="1" applyBorder="1" applyAlignment="1">
      <alignment horizontal="center" vertical="center" wrapText="1"/>
    </xf>
    <xf numFmtId="2" fontId="0" fillId="0" borderId="0" xfId="0" applyNumberFormat="1"/>
    <xf numFmtId="0" fontId="133" fillId="3" borderId="6" xfId="32" applyFont="1" applyFill="1" applyBorder="1" applyAlignment="1" applyProtection="1">
      <alignment horizontal="left" vertical="center" wrapText="1"/>
      <protection locked="0"/>
    </xf>
    <xf numFmtId="165" fontId="133" fillId="3" borderId="6" xfId="31" applyNumberFormat="1" applyFont="1" applyFill="1" applyBorder="1" applyAlignment="1">
      <alignment horizontal="center" vertical="center" wrapText="1"/>
    </xf>
    <xf numFmtId="165" fontId="133" fillId="2" borderId="1" xfId="31" applyNumberFormat="1" applyFont="1" applyFill="1" applyBorder="1" applyAlignment="1">
      <alignment horizontal="center" vertical="center" wrapText="1"/>
    </xf>
    <xf numFmtId="165" fontId="133" fillId="0" borderId="1" xfId="31" applyNumberFormat="1" applyFont="1" applyFill="1" applyBorder="1" applyAlignment="1">
      <alignment horizontal="center" vertical="center" wrapText="1"/>
    </xf>
    <xf numFmtId="0" fontId="107" fillId="0" borderId="1" xfId="0" applyFont="1" applyBorder="1" applyAlignment="1">
      <alignment vertical="center"/>
    </xf>
    <xf numFmtId="0" fontId="211" fillId="0" borderId="1" xfId="0" applyFont="1" applyFill="1" applyBorder="1" applyAlignment="1">
      <alignment vertical="center" wrapText="1"/>
    </xf>
    <xf numFmtId="2" fontId="139" fillId="2" borderId="0" xfId="30" applyNumberFormat="1" applyFont="1" applyFill="1" applyBorder="1" applyAlignment="1">
      <alignment horizontal="left" vertical="center" wrapText="1"/>
    </xf>
    <xf numFmtId="171" fontId="143" fillId="2" borderId="0" xfId="16" applyNumberFormat="1" applyFont="1" applyFill="1" applyAlignment="1">
      <alignment horizontal="center" vertical="center"/>
    </xf>
    <xf numFmtId="0" fontId="99" fillId="0" borderId="1" xfId="0" applyFont="1" applyFill="1" applyBorder="1" applyAlignment="1">
      <alignment horizontal="center" vertical="center" wrapText="1"/>
    </xf>
    <xf numFmtId="0" fontId="99" fillId="0" borderId="2" xfId="0" applyFont="1" applyFill="1" applyBorder="1" applyAlignment="1">
      <alignment horizontal="center" vertical="center" wrapText="1"/>
    </xf>
    <xf numFmtId="0" fontId="99" fillId="0" borderId="4" xfId="0" applyFont="1" applyFill="1" applyBorder="1" applyAlignment="1">
      <alignment horizontal="center" vertical="center" wrapText="1"/>
    </xf>
    <xf numFmtId="0" fontId="99" fillId="0" borderId="3" xfId="0" applyFont="1" applyFill="1" applyBorder="1" applyAlignment="1">
      <alignment horizontal="center" vertical="center" wrapText="1"/>
    </xf>
    <xf numFmtId="0" fontId="3" fillId="0" borderId="0" xfId="0" applyFont="1" applyBorder="1" applyAlignment="1">
      <alignment horizontal="right"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4" fillId="0" borderId="1" xfId="0" applyFont="1" applyBorder="1" applyAlignment="1">
      <alignment horizontal="center" vertical="center" wrapText="1"/>
    </xf>
    <xf numFmtId="0" fontId="10" fillId="0" borderId="2" xfId="0" applyFont="1" applyFill="1" applyBorder="1" applyAlignment="1">
      <alignment horizontal="center" vertical="center" wrapText="1"/>
    </xf>
    <xf numFmtId="0" fontId="10" fillId="0" borderId="4" xfId="0" applyFont="1" applyFill="1" applyBorder="1" applyAlignment="1">
      <alignment horizontal="center" vertical="center" wrapText="1"/>
    </xf>
    <xf numFmtId="0" fontId="10" fillId="0" borderId="3" xfId="0" applyFont="1" applyFill="1" applyBorder="1" applyAlignment="1">
      <alignment horizontal="center" vertical="center" wrapText="1"/>
    </xf>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4" xfId="0" applyFont="1" applyBorder="1" applyAlignment="1">
      <alignment horizontal="center" vertical="center" wrapText="1"/>
    </xf>
    <xf numFmtId="0" fontId="3" fillId="0" borderId="3" xfId="0" applyFont="1" applyBorder="1" applyAlignment="1">
      <alignment horizontal="center" vertical="center" wrapText="1"/>
    </xf>
    <xf numFmtId="0" fontId="182" fillId="0" borderId="2" xfId="15" applyFont="1" applyBorder="1" applyAlignment="1">
      <alignment horizontal="center" vertical="center"/>
    </xf>
    <xf numFmtId="0" fontId="182" fillId="0" borderId="3" xfId="15" applyFont="1" applyBorder="1" applyAlignment="1">
      <alignment horizontal="center" vertical="center"/>
    </xf>
    <xf numFmtId="0" fontId="182" fillId="0" borderId="1" xfId="23" applyNumberFormat="1" applyFont="1" applyBorder="1" applyAlignment="1">
      <alignment horizontal="center" vertical="center"/>
    </xf>
    <xf numFmtId="165" fontId="109" fillId="9" borderId="1" xfId="23" applyNumberFormat="1" applyFont="1" applyFill="1" applyBorder="1" applyAlignment="1">
      <alignment horizontal="center" vertical="center" wrapText="1"/>
    </xf>
    <xf numFmtId="165" fontId="196" fillId="0" borderId="1" xfId="23" applyNumberFormat="1" applyFont="1" applyBorder="1" applyAlignment="1">
      <alignment horizontal="center" vertical="center"/>
    </xf>
    <xf numFmtId="165" fontId="109" fillId="0" borderId="1" xfId="23" applyNumberFormat="1" applyFont="1" applyBorder="1" applyAlignment="1">
      <alignment horizontal="center" vertical="center"/>
    </xf>
    <xf numFmtId="2" fontId="194" fillId="0" borderId="1" xfId="3" applyNumberFormat="1" applyFont="1" applyFill="1" applyBorder="1" applyAlignment="1">
      <alignment horizontal="center" vertical="center" wrapText="1"/>
    </xf>
    <xf numFmtId="2" fontId="195" fillId="0" borderId="1" xfId="3" applyNumberFormat="1" applyFont="1" applyFill="1" applyBorder="1" applyAlignment="1">
      <alignment horizontal="center" vertical="center" wrapText="1"/>
    </xf>
    <xf numFmtId="174" fontId="182" fillId="0" borderId="2" xfId="3" applyNumberFormat="1" applyFont="1" applyBorder="1" applyAlignment="1">
      <alignment horizontal="center" vertical="center"/>
    </xf>
    <xf numFmtId="174" fontId="182" fillId="0" borderId="3" xfId="3" applyNumberFormat="1" applyFont="1" applyBorder="1" applyAlignment="1">
      <alignment horizontal="center" vertical="center"/>
    </xf>
    <xf numFmtId="165" fontId="194" fillId="0" borderId="1" xfId="23" applyNumberFormat="1" applyFont="1" applyFill="1" applyBorder="1" applyAlignment="1">
      <alignment horizontal="center" vertical="top"/>
    </xf>
    <xf numFmtId="165" fontId="194" fillId="0" borderId="2" xfId="23" applyNumberFormat="1" applyFont="1" applyFill="1" applyBorder="1" applyAlignment="1">
      <alignment horizontal="center" vertical="center"/>
    </xf>
    <xf numFmtId="165" fontId="194" fillId="0" borderId="4" xfId="23" applyNumberFormat="1" applyFont="1" applyFill="1" applyBorder="1" applyAlignment="1">
      <alignment horizontal="center" vertical="center"/>
    </xf>
    <xf numFmtId="165" fontId="194" fillId="0" borderId="3" xfId="23" applyNumberFormat="1" applyFont="1" applyFill="1" applyBorder="1" applyAlignment="1">
      <alignment horizontal="center" vertical="center"/>
    </xf>
    <xf numFmtId="165" fontId="109" fillId="0" borderId="0" xfId="23" applyNumberFormat="1" applyFont="1" applyBorder="1" applyAlignment="1">
      <alignment horizontal="center"/>
    </xf>
    <xf numFmtId="165" fontId="132" fillId="2" borderId="6" xfId="16" applyFont="1" applyFill="1" applyBorder="1" applyAlignment="1">
      <alignment horizontal="center" vertical="center" wrapText="1"/>
    </xf>
    <xf numFmtId="165" fontId="129" fillId="2" borderId="18" xfId="16" applyFont="1" applyFill="1" applyBorder="1" applyAlignment="1">
      <alignment horizontal="center" vertical="center" wrapText="1"/>
    </xf>
    <xf numFmtId="165" fontId="129" fillId="2" borderId="19" xfId="16" applyFont="1" applyFill="1" applyBorder="1" applyAlignment="1">
      <alignment horizontal="center" vertical="center" wrapText="1"/>
    </xf>
    <xf numFmtId="165" fontId="129" fillId="2" borderId="20" xfId="16" applyFont="1" applyFill="1" applyBorder="1" applyAlignment="1">
      <alignment horizontal="center" vertical="center" wrapText="1"/>
    </xf>
    <xf numFmtId="165" fontId="165" fillId="0" borderId="0" xfId="16" applyFont="1" applyFill="1" applyBorder="1" applyAlignment="1">
      <alignment horizontal="center" vertical="center" wrapText="1"/>
    </xf>
    <xf numFmtId="165" fontId="160" fillId="0" borderId="1" xfId="16" applyFont="1" applyFill="1" applyBorder="1" applyAlignment="1">
      <alignment horizontal="center" vertical="center"/>
    </xf>
    <xf numFmtId="164" fontId="161" fillId="0" borderId="1" xfId="16" applyNumberFormat="1" applyFont="1" applyFill="1" applyBorder="1" applyAlignment="1">
      <alignment horizontal="right" vertical="top"/>
    </xf>
    <xf numFmtId="165" fontId="162" fillId="0" borderId="1" xfId="16" applyFont="1" applyFill="1" applyBorder="1" applyAlignment="1">
      <alignment horizontal="justify" vertical="center"/>
    </xf>
    <xf numFmtId="165" fontId="160" fillId="0" borderId="1" xfId="16" applyFont="1" applyFill="1" applyBorder="1" applyAlignment="1">
      <alignment horizontal="right" vertical="center"/>
    </xf>
    <xf numFmtId="165" fontId="66" fillId="0" borderId="1" xfId="16" applyFont="1" applyFill="1" applyBorder="1" applyAlignment="1">
      <alignment horizontal="center" vertical="center" wrapText="1"/>
    </xf>
    <xf numFmtId="164" fontId="97" fillId="0" borderId="1" xfId="16" applyNumberFormat="1" applyFont="1" applyFill="1" applyBorder="1" applyAlignment="1">
      <alignment horizontal="right" vertical="top" wrapText="1"/>
    </xf>
    <xf numFmtId="165" fontId="56" fillId="0" borderId="1" xfId="16" applyFont="1" applyFill="1" applyBorder="1" applyAlignment="1">
      <alignment horizontal="justify" vertical="center" wrapText="1"/>
    </xf>
    <xf numFmtId="165" fontId="66" fillId="0" borderId="1" xfId="16" applyFont="1" applyFill="1" applyBorder="1" applyAlignment="1">
      <alignment horizontal="right" vertical="center" wrapText="1"/>
    </xf>
    <xf numFmtId="0" fontId="46" fillId="0" borderId="0" xfId="104" applyFont="1" applyFill="1" applyBorder="1" applyAlignment="1">
      <alignment horizontal="center"/>
    </xf>
    <xf numFmtId="0" fontId="46" fillId="0" borderId="0" xfId="104" applyFont="1" applyFill="1" applyBorder="1" applyAlignment="1">
      <alignment horizontal="center" wrapText="1"/>
    </xf>
    <xf numFmtId="165" fontId="85" fillId="0" borderId="0" xfId="0" applyNumberFormat="1" applyFont="1" applyBorder="1" applyAlignment="1">
      <alignment horizontal="left" indent="1"/>
    </xf>
    <xf numFmtId="0" fontId="173" fillId="0" borderId="0" xfId="26" applyFont="1" applyBorder="1" applyAlignment="1">
      <alignment horizontal="center" wrapText="1"/>
    </xf>
    <xf numFmtId="0" fontId="173" fillId="0" borderId="0" xfId="26" applyFont="1" applyBorder="1" applyAlignment="1">
      <alignment horizontal="center" vertical="center" wrapText="1" shrinkToFit="1"/>
    </xf>
    <xf numFmtId="165" fontId="173" fillId="0" borderId="0" xfId="0" applyNumberFormat="1" applyFont="1" applyBorder="1" applyAlignment="1">
      <alignment horizontal="center" vertical="center"/>
    </xf>
    <xf numFmtId="165" fontId="85" fillId="0" borderId="0" xfId="0" applyNumberFormat="1" applyFont="1" applyBorder="1" applyAlignment="1">
      <alignment horizontal="left" wrapText="1" indent="1"/>
    </xf>
    <xf numFmtId="165" fontId="85" fillId="0" borderId="0" xfId="0" applyNumberFormat="1" applyFont="1" applyBorder="1" applyAlignment="1">
      <alignment horizontal="center" vertical="top" wrapText="1"/>
    </xf>
    <xf numFmtId="165" fontId="173" fillId="0" borderId="0" xfId="0" applyNumberFormat="1" applyFont="1" applyBorder="1" applyAlignment="1">
      <alignment horizontal="center" vertical="center" wrapText="1"/>
    </xf>
    <xf numFmtId="0" fontId="10" fillId="0" borderId="1" xfId="26" applyFont="1" applyBorder="1" applyAlignment="1">
      <alignment horizontal="center" wrapText="1"/>
    </xf>
    <xf numFmtId="0" fontId="3" fillId="0" borderId="1" xfId="0" applyNumberFormat="1" applyFont="1" applyBorder="1" applyAlignment="1">
      <alignment horizontal="center"/>
    </xf>
    <xf numFmtId="0" fontId="2" fillId="0" borderId="1" xfId="0" applyNumberFormat="1" applyFont="1" applyBorder="1" applyAlignment="1">
      <alignment horizontal="center" vertical="center"/>
    </xf>
    <xf numFmtId="0" fontId="2" fillId="0" borderId="1" xfId="0" applyNumberFormat="1" applyFont="1" applyBorder="1" applyAlignment="1">
      <alignment horizontal="center"/>
    </xf>
    <xf numFmtId="0" fontId="3" fillId="0" borderId="2" xfId="0" applyFont="1" applyFill="1" applyBorder="1" applyAlignment="1">
      <alignment horizontal="center" vertical="center" wrapText="1"/>
    </xf>
    <xf numFmtId="0" fontId="3" fillId="0" borderId="4" xfId="0" applyFont="1" applyFill="1" applyBorder="1" applyAlignment="1">
      <alignment horizontal="center" vertical="center" wrapText="1"/>
    </xf>
    <xf numFmtId="0" fontId="3" fillId="0" borderId="3" xfId="0" applyFont="1" applyFill="1" applyBorder="1" applyAlignment="1">
      <alignment horizontal="center" vertical="center" wrapText="1"/>
    </xf>
    <xf numFmtId="0" fontId="194" fillId="0" borderId="1" xfId="23" applyNumberFormat="1" applyFont="1" applyBorder="1" applyAlignment="1">
      <alignment horizontal="center" vertical="center"/>
    </xf>
    <xf numFmtId="165" fontId="64" fillId="0" borderId="0" xfId="16" applyFont="1" applyBorder="1" applyAlignment="1">
      <alignment horizontal="center" vertical="center" wrapText="1"/>
    </xf>
    <xf numFmtId="165" fontId="56" fillId="0" borderId="0" xfId="16" applyFont="1" applyBorder="1" applyAlignment="1">
      <alignment horizontal="center" vertical="top"/>
    </xf>
    <xf numFmtId="165" fontId="12" fillId="0" borderId="0" xfId="16" applyBorder="1" applyAlignment="1">
      <alignment horizontal="center" vertical="top" wrapText="1"/>
    </xf>
    <xf numFmtId="165" fontId="160" fillId="0" borderId="0" xfId="16" applyFont="1" applyBorder="1" applyAlignment="1">
      <alignment horizontal="center" vertical="center"/>
    </xf>
    <xf numFmtId="165" fontId="56" fillId="0" borderId="0" xfId="16" applyFont="1" applyBorder="1" applyAlignment="1">
      <alignment horizontal="center" vertical="center" wrapText="1"/>
    </xf>
    <xf numFmtId="165" fontId="10" fillId="0" borderId="0" xfId="16" applyNumberFormat="1" applyFont="1" applyAlignment="1">
      <alignment horizontal="center"/>
    </xf>
    <xf numFmtId="165" fontId="8" fillId="0" borderId="0" xfId="16" applyFont="1" applyAlignment="1">
      <alignment horizontal="center"/>
    </xf>
    <xf numFmtId="165" fontId="10" fillId="0" borderId="0" xfId="16" applyNumberFormat="1" applyFont="1" applyAlignment="1">
      <alignment horizontal="center" wrapText="1"/>
    </xf>
    <xf numFmtId="0" fontId="8" fillId="0" borderId="0" xfId="16" applyNumberFormat="1" applyFont="1" applyBorder="1" applyAlignment="1">
      <alignment horizontal="center"/>
    </xf>
    <xf numFmtId="0" fontId="10" fillId="0" borderId="0" xfId="16" applyNumberFormat="1" applyFont="1" applyBorder="1" applyAlignment="1">
      <alignment horizontal="center" wrapText="1"/>
    </xf>
    <xf numFmtId="165" fontId="8" fillId="6" borderId="0" xfId="16" applyNumberFormat="1" applyFont="1" applyFill="1" applyAlignment="1" applyProtection="1">
      <alignment horizontal="left" vertical="top" wrapText="1"/>
    </xf>
    <xf numFmtId="165" fontId="10" fillId="0" borderId="0" xfId="16" applyNumberFormat="1" applyFont="1" applyAlignment="1" applyProtection="1">
      <alignment vertical="top"/>
    </xf>
    <xf numFmtId="165" fontId="8" fillId="5" borderId="0" xfId="16" applyNumberFormat="1" applyFont="1" applyFill="1" applyAlignment="1" applyProtection="1">
      <alignment horizontal="left" vertical="top" wrapText="1"/>
    </xf>
    <xf numFmtId="0" fontId="8" fillId="0" borderId="0" xfId="16" applyNumberFormat="1" applyFont="1" applyAlignment="1">
      <alignment horizontal="center" wrapText="1"/>
    </xf>
    <xf numFmtId="165" fontId="10" fillId="0" borderId="0" xfId="16" applyFont="1" applyAlignment="1">
      <alignment horizontal="right"/>
    </xf>
    <xf numFmtId="166" fontId="8" fillId="0" borderId="0" xfId="16" applyNumberFormat="1" applyFont="1" applyAlignment="1">
      <alignment horizontal="right"/>
    </xf>
    <xf numFmtId="165" fontId="10" fillId="0" borderId="0" xfId="16" applyFont="1" applyAlignment="1">
      <alignment horizontal="center"/>
    </xf>
    <xf numFmtId="165" fontId="10" fillId="0" borderId="0" xfId="16" applyFont="1" applyAlignment="1">
      <alignment vertical="top" wrapText="1"/>
    </xf>
    <xf numFmtId="165" fontId="8" fillId="0" borderId="0" xfId="16" applyFont="1" applyAlignment="1">
      <alignment vertical="top"/>
    </xf>
    <xf numFmtId="165" fontId="8" fillId="0" borderId="0" xfId="16" applyNumberFormat="1" applyFont="1" applyAlignment="1" applyProtection="1">
      <alignment horizontal="center" wrapText="1"/>
    </xf>
    <xf numFmtId="165" fontId="10" fillId="0" borderId="0" xfId="16" applyNumberFormat="1" applyFont="1" applyAlignment="1" applyProtection="1">
      <alignment horizontal="left" vertical="top"/>
    </xf>
    <xf numFmtId="165" fontId="8" fillId="0" borderId="0" xfId="16" quotePrefix="1" applyNumberFormat="1" applyFont="1" applyAlignment="1" applyProtection="1">
      <alignment horizontal="center"/>
    </xf>
    <xf numFmtId="165" fontId="8" fillId="0" borderId="0" xfId="16" applyNumberFormat="1" applyFont="1" applyAlignment="1" applyProtection="1">
      <alignment horizontal="center"/>
    </xf>
    <xf numFmtId="165" fontId="10" fillId="0" borderId="0" xfId="16" applyFont="1" applyFill="1" applyAlignment="1">
      <alignment horizontal="left" vertical="center"/>
    </xf>
    <xf numFmtId="0" fontId="108" fillId="0" borderId="2" xfId="0" applyFont="1" applyBorder="1" applyAlignment="1">
      <alignment horizontal="center" vertical="center"/>
    </xf>
    <xf numFmtId="0" fontId="108" fillId="0" borderId="4" xfId="0" applyFont="1" applyBorder="1" applyAlignment="1">
      <alignment horizontal="center" vertical="center"/>
    </xf>
    <xf numFmtId="0" fontId="108" fillId="0" borderId="3" xfId="0" applyFont="1" applyBorder="1" applyAlignment="1">
      <alignment horizontal="center" vertical="center"/>
    </xf>
    <xf numFmtId="0" fontId="107" fillId="0" borderId="2" xfId="0" applyFont="1" applyBorder="1" applyAlignment="1">
      <alignment horizontal="left" vertical="center"/>
    </xf>
    <xf numFmtId="0" fontId="107" fillId="0" borderId="4" xfId="0" applyFont="1" applyBorder="1" applyAlignment="1">
      <alignment horizontal="left" vertical="center"/>
    </xf>
    <xf numFmtId="0" fontId="107" fillId="0" borderId="3" xfId="0" applyFont="1" applyBorder="1" applyAlignment="1">
      <alignment horizontal="left" vertical="center"/>
    </xf>
    <xf numFmtId="0" fontId="107" fillId="0" borderId="2" xfId="0" applyFont="1" applyBorder="1" applyAlignment="1">
      <alignment horizontal="left" vertical="center" wrapText="1"/>
    </xf>
    <xf numFmtId="0" fontId="107" fillId="0" borderId="4" xfId="0" applyFont="1" applyBorder="1" applyAlignment="1">
      <alignment horizontal="left" vertical="center" wrapText="1"/>
    </xf>
    <xf numFmtId="0" fontId="107" fillId="0" borderId="3" xfId="0" applyFont="1" applyBorder="1" applyAlignment="1">
      <alignment horizontal="left" vertical="center" wrapText="1"/>
    </xf>
    <xf numFmtId="0" fontId="107" fillId="0" borderId="2" xfId="0" applyFont="1" applyBorder="1" applyAlignment="1">
      <alignment horizontal="center" vertical="center"/>
    </xf>
    <xf numFmtId="0" fontId="107" fillId="0" borderId="3" xfId="0" applyFont="1" applyBorder="1" applyAlignment="1">
      <alignment horizontal="center" vertical="center"/>
    </xf>
    <xf numFmtId="0" fontId="107" fillId="0" borderId="4" xfId="0" applyFont="1" applyBorder="1" applyAlignment="1">
      <alignment horizontal="center" vertical="center"/>
    </xf>
    <xf numFmtId="0" fontId="200" fillId="0" borderId="0" xfId="0" applyFont="1" applyAlignment="1">
      <alignment horizontal="center" vertical="center"/>
    </xf>
    <xf numFmtId="0" fontId="3" fillId="0" borderId="1" xfId="0" applyFont="1" applyFill="1" applyBorder="1" applyAlignment="1">
      <alignment horizontal="center" vertical="center" wrapText="1"/>
    </xf>
    <xf numFmtId="165" fontId="132" fillId="2" borderId="6" xfId="16" applyNumberFormat="1" applyFont="1" applyFill="1" applyBorder="1" applyAlignment="1">
      <alignment horizontal="center" vertical="center" wrapText="1"/>
    </xf>
    <xf numFmtId="165" fontId="129" fillId="2" borderId="19" xfId="16" applyNumberFormat="1" applyFont="1" applyFill="1" applyBorder="1" applyAlignment="1">
      <alignment horizontal="center" vertical="center" wrapText="1"/>
    </xf>
    <xf numFmtId="0" fontId="123" fillId="0" borderId="0" xfId="0" applyFont="1" applyBorder="1" applyAlignment="1">
      <alignment horizontal="center" vertical="center" wrapText="1"/>
    </xf>
    <xf numFmtId="0" fontId="125" fillId="0" borderId="0" xfId="0" applyFont="1" applyBorder="1" applyAlignment="1">
      <alignment horizontal="center" vertical="center" wrapText="1"/>
    </xf>
    <xf numFmtId="165" fontId="128" fillId="2" borderId="6" xfId="16" applyFont="1" applyFill="1" applyBorder="1" applyAlignment="1">
      <alignment horizontal="center" vertical="top" wrapText="1"/>
    </xf>
    <xf numFmtId="165" fontId="123" fillId="0" borderId="0" xfId="16" applyFont="1" applyFill="1" applyBorder="1" applyAlignment="1">
      <alignment horizontal="center" vertical="top" wrapText="1"/>
    </xf>
    <xf numFmtId="165" fontId="128" fillId="2" borderId="6" xfId="16" applyFont="1" applyFill="1" applyBorder="1" applyAlignment="1">
      <alignment horizontal="center" vertical="center" wrapText="1"/>
    </xf>
    <xf numFmtId="165" fontId="128" fillId="2" borderId="18" xfId="16" applyFont="1" applyFill="1" applyBorder="1" applyAlignment="1">
      <alignment horizontal="center" vertical="center" wrapText="1"/>
    </xf>
    <xf numFmtId="165" fontId="128" fillId="2" borderId="19" xfId="16" applyFont="1" applyFill="1" applyBorder="1" applyAlignment="1">
      <alignment horizontal="center" vertical="center" wrapText="1"/>
    </xf>
    <xf numFmtId="165" fontId="128" fillId="2" borderId="20" xfId="16" applyFont="1" applyFill="1" applyBorder="1" applyAlignment="1">
      <alignment horizontal="center" vertical="center" wrapText="1"/>
    </xf>
    <xf numFmtId="165" fontId="128" fillId="2" borderId="18" xfId="16" applyFont="1" applyFill="1" applyBorder="1" applyAlignment="1">
      <alignment horizontal="center" vertical="top" wrapText="1"/>
    </xf>
    <xf numFmtId="165" fontId="128" fillId="2" borderId="20" xfId="16" applyFont="1" applyFill="1" applyBorder="1" applyAlignment="1">
      <alignment horizontal="center" vertical="top" wrapText="1"/>
    </xf>
    <xf numFmtId="0" fontId="8" fillId="0" borderId="1" xfId="26" applyFont="1" applyBorder="1" applyAlignment="1">
      <alignment horizontal="left" vertical="center" wrapText="1"/>
    </xf>
    <xf numFmtId="0" fontId="3" fillId="0" borderId="1" xfId="0" applyFont="1" applyBorder="1" applyAlignment="1">
      <alignment horizontal="center" vertical="center"/>
    </xf>
    <xf numFmtId="0" fontId="2" fillId="0" borderId="1" xfId="0" applyFont="1" applyBorder="1" applyAlignment="1">
      <alignment horizontal="center" vertical="center"/>
    </xf>
    <xf numFmtId="0" fontId="10" fillId="0" borderId="1" xfId="26" applyFont="1" applyBorder="1" applyAlignment="1">
      <alignment horizontal="center" vertical="center"/>
    </xf>
    <xf numFmtId="0" fontId="10" fillId="0" borderId="1" xfId="26" applyFont="1" applyBorder="1" applyAlignment="1">
      <alignment horizontal="center" vertical="center" wrapText="1"/>
    </xf>
    <xf numFmtId="0" fontId="10" fillId="0" borderId="1" xfId="26" applyFont="1" applyFill="1" applyBorder="1" applyAlignment="1">
      <alignment horizontal="center" vertical="center" wrapText="1"/>
    </xf>
    <xf numFmtId="0" fontId="10" fillId="0" borderId="2" xfId="26" applyFont="1" applyBorder="1" applyAlignment="1">
      <alignment horizontal="center" vertical="center"/>
    </xf>
    <xf numFmtId="0" fontId="10" fillId="0" borderId="4" xfId="26" applyFont="1" applyBorder="1" applyAlignment="1">
      <alignment horizontal="center" vertical="center"/>
    </xf>
    <xf numFmtId="0" fontId="10" fillId="0" borderId="3" xfId="26" applyFont="1" applyBorder="1" applyAlignment="1">
      <alignment horizontal="center" vertical="center"/>
    </xf>
    <xf numFmtId="0" fontId="10" fillId="0" borderId="2" xfId="26" applyFont="1" applyBorder="1" applyAlignment="1">
      <alignment horizontal="center" wrapText="1"/>
    </xf>
    <xf numFmtId="0" fontId="10" fillId="0" borderId="4" xfId="26" applyFont="1" applyBorder="1" applyAlignment="1">
      <alignment horizontal="center" wrapText="1"/>
    </xf>
    <xf numFmtId="0" fontId="10" fillId="0" borderId="3" xfId="26" applyFont="1" applyBorder="1" applyAlignment="1">
      <alignment horizontal="center" wrapText="1"/>
    </xf>
    <xf numFmtId="0" fontId="109" fillId="0" borderId="2" xfId="26" applyFont="1" applyBorder="1" applyAlignment="1">
      <alignment horizontal="center" vertical="center" wrapText="1"/>
    </xf>
    <xf numFmtId="0" fontId="109" fillId="0" borderId="4" xfId="26" applyFont="1" applyBorder="1" applyAlignment="1">
      <alignment horizontal="center" vertical="center" wrapText="1"/>
    </xf>
    <xf numFmtId="0" fontId="109" fillId="0" borderId="3" xfId="26" applyFont="1" applyBorder="1" applyAlignment="1">
      <alignment horizontal="center" vertical="center" wrapText="1"/>
    </xf>
    <xf numFmtId="0" fontId="3" fillId="0" borderId="2" xfId="16" applyNumberFormat="1" applyFont="1" applyBorder="1" applyAlignment="1">
      <alignment horizontal="center"/>
    </xf>
    <xf numFmtId="0" fontId="3" fillId="0" borderId="4" xfId="16" applyNumberFormat="1" applyFont="1" applyBorder="1" applyAlignment="1">
      <alignment horizontal="center"/>
    </xf>
    <xf numFmtId="0" fontId="3" fillId="0" borderId="3" xfId="16" applyNumberFormat="1" applyFont="1" applyBorder="1" applyAlignment="1">
      <alignment horizontal="center"/>
    </xf>
    <xf numFmtId="0" fontId="10" fillId="0" borderId="2" xfId="26" applyFont="1" applyBorder="1" applyAlignment="1">
      <alignment horizontal="center" vertical="center" wrapText="1"/>
    </xf>
    <xf numFmtId="0" fontId="10" fillId="0" borderId="4" xfId="26" applyFont="1" applyBorder="1" applyAlignment="1">
      <alignment horizontal="center" vertical="center" wrapText="1"/>
    </xf>
    <xf numFmtId="0" fontId="10" fillId="0" borderId="3" xfId="26" applyFont="1" applyBorder="1" applyAlignment="1">
      <alignment horizontal="center" vertical="center" wrapText="1"/>
    </xf>
    <xf numFmtId="0" fontId="186" fillId="0" borderId="1"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4" fillId="0" borderId="2" xfId="0" applyFont="1" applyBorder="1" applyAlignment="1">
      <alignment horizontal="center" vertical="center" wrapText="1"/>
    </xf>
    <xf numFmtId="0" fontId="4" fillId="0" borderId="4" xfId="0" applyFont="1" applyBorder="1" applyAlignment="1">
      <alignment horizontal="center" vertical="center" wrapText="1"/>
    </xf>
    <xf numFmtId="0" fontId="4" fillId="0" borderId="3" xfId="0" applyFont="1" applyBorder="1" applyAlignment="1">
      <alignment horizontal="center" vertical="center" wrapText="1"/>
    </xf>
    <xf numFmtId="0" fontId="3" fillId="0" borderId="2" xfId="0" applyFont="1" applyBorder="1" applyAlignment="1">
      <alignment horizontal="center" vertical="center"/>
    </xf>
    <xf numFmtId="0" fontId="2" fillId="0" borderId="4" xfId="0" applyFont="1" applyBorder="1" applyAlignment="1">
      <alignment horizontal="center" vertical="center"/>
    </xf>
    <xf numFmtId="0" fontId="2" fillId="0" borderId="3" xfId="0" applyFont="1" applyBorder="1" applyAlignment="1">
      <alignment horizontal="center" vertical="center"/>
    </xf>
    <xf numFmtId="0" fontId="2" fillId="0" borderId="2" xfId="19" applyNumberFormat="1" applyFont="1" applyBorder="1" applyAlignment="1">
      <alignment horizontal="center" vertical="center"/>
    </xf>
    <xf numFmtId="0" fontId="2" fillId="0" borderId="4" xfId="19" applyNumberFormat="1" applyFont="1" applyBorder="1" applyAlignment="1">
      <alignment horizontal="center" vertical="center"/>
    </xf>
    <xf numFmtId="0" fontId="2" fillId="0" borderId="3" xfId="19" applyNumberFormat="1" applyFont="1" applyBorder="1" applyAlignment="1">
      <alignment horizontal="center" vertical="center"/>
    </xf>
    <xf numFmtId="0" fontId="10" fillId="0" borderId="1" xfId="19" applyNumberFormat="1" applyFont="1" applyFill="1" applyBorder="1" applyAlignment="1">
      <alignment horizontal="right" vertical="center"/>
    </xf>
    <xf numFmtId="0" fontId="3" fillId="0" borderId="13" xfId="19" applyFont="1" applyBorder="1" applyAlignment="1">
      <alignment horizontal="center" vertical="center" wrapText="1"/>
    </xf>
    <xf numFmtId="0" fontId="3" fillId="0" borderId="2" xfId="19" applyFont="1" applyBorder="1" applyAlignment="1">
      <alignment horizontal="center" vertical="center" wrapText="1"/>
    </xf>
    <xf numFmtId="0" fontId="3" fillId="0" borderId="4" xfId="19" applyFont="1" applyBorder="1" applyAlignment="1">
      <alignment horizontal="center" vertical="center" wrapText="1"/>
    </xf>
    <xf numFmtId="0" fontId="3" fillId="0" borderId="3" xfId="19" applyFont="1" applyBorder="1" applyAlignment="1">
      <alignment horizontal="center" vertical="center" wrapText="1"/>
    </xf>
    <xf numFmtId="0" fontId="110" fillId="0" borderId="1" xfId="19" applyFont="1" applyBorder="1" applyAlignment="1">
      <alignment horizontal="center" vertical="center" wrapText="1"/>
    </xf>
    <xf numFmtId="0" fontId="10" fillId="0" borderId="2" xfId="19" applyNumberFormat="1" applyFont="1" applyFill="1" applyBorder="1" applyAlignment="1">
      <alignment horizontal="center" vertical="center"/>
    </xf>
    <xf numFmtId="0" fontId="10" fillId="0" borderId="4" xfId="19" applyNumberFormat="1" applyFont="1" applyFill="1" applyBorder="1" applyAlignment="1">
      <alignment horizontal="center" vertical="center"/>
    </xf>
    <xf numFmtId="0" fontId="10" fillId="0" borderId="3" xfId="19" applyNumberFormat="1" applyFont="1" applyFill="1" applyBorder="1" applyAlignment="1">
      <alignment horizontal="center" vertical="center"/>
    </xf>
    <xf numFmtId="0" fontId="8" fillId="0" borderId="2" xfId="19" applyNumberFormat="1" applyFont="1" applyFill="1" applyBorder="1" applyAlignment="1">
      <alignment horizontal="center" vertical="center"/>
    </xf>
    <xf numFmtId="0" fontId="8" fillId="0" borderId="4" xfId="19" applyNumberFormat="1" applyFont="1" applyFill="1" applyBorder="1" applyAlignment="1">
      <alignment horizontal="center" vertical="center"/>
    </xf>
    <xf numFmtId="0" fontId="8" fillId="0" borderId="3" xfId="19" applyNumberFormat="1" applyFont="1" applyFill="1" applyBorder="1" applyAlignment="1">
      <alignment horizontal="center" vertical="center"/>
    </xf>
    <xf numFmtId="0" fontId="109" fillId="0" borderId="1" xfId="26" applyFont="1" applyBorder="1" applyAlignment="1">
      <alignment horizontal="center" vertical="center" wrapText="1"/>
    </xf>
    <xf numFmtId="0" fontId="7" fillId="0" borderId="1" xfId="0" applyNumberFormat="1" applyFont="1" applyBorder="1" applyAlignment="1">
      <alignment horizontal="center" vertical="center" wrapText="1"/>
    </xf>
    <xf numFmtId="0" fontId="4" fillId="0" borderId="1" xfId="0" applyNumberFormat="1" applyFont="1" applyBorder="1" applyAlignment="1">
      <alignment horizontal="center" vertical="center" wrapText="1"/>
    </xf>
    <xf numFmtId="0" fontId="99" fillId="0" borderId="1" xfId="0" applyFont="1" applyBorder="1" applyAlignment="1">
      <alignment horizontal="center" vertical="center"/>
    </xf>
    <xf numFmtId="0" fontId="99" fillId="0" borderId="2" xfId="0" applyFont="1"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165" fontId="66" fillId="0" borderId="0" xfId="4" applyNumberFormat="1" applyFont="1" applyAlignment="1">
      <alignment horizontal="center"/>
    </xf>
    <xf numFmtId="0" fontId="12" fillId="0" borderId="0" xfId="4" applyNumberFormat="1" applyBorder="1" applyAlignment="1">
      <alignment horizontal="center"/>
    </xf>
    <xf numFmtId="165" fontId="49" fillId="0" borderId="0" xfId="4" applyNumberFormat="1" applyFont="1" applyAlignment="1">
      <alignment horizontal="center"/>
    </xf>
    <xf numFmtId="165" fontId="13" fillId="0" borderId="0" xfId="4" applyNumberFormat="1" applyFont="1" applyAlignment="1">
      <alignment horizontal="right"/>
    </xf>
    <xf numFmtId="166" fontId="12" fillId="0" borderId="0" xfId="4" applyNumberFormat="1" applyAlignment="1">
      <alignment horizontal="right"/>
    </xf>
    <xf numFmtId="165" fontId="12" fillId="0" borderId="0" xfId="4" applyNumberFormat="1" applyAlignment="1">
      <alignment horizontal="center"/>
    </xf>
    <xf numFmtId="165" fontId="13" fillId="0" borderId="0" xfId="4" applyNumberFormat="1" applyFont="1" applyAlignment="1">
      <alignment horizontal="center" vertical="top" wrapText="1"/>
    </xf>
    <xf numFmtId="165" fontId="59" fillId="0" borderId="0" xfId="4" applyNumberFormat="1" applyFont="1" applyAlignment="1">
      <alignment horizontal="center"/>
    </xf>
    <xf numFmtId="165" fontId="13" fillId="0" borderId="0" xfId="4" applyNumberFormat="1" applyFont="1" applyAlignment="1" applyProtection="1">
      <alignment horizontal="left" vertical="top"/>
    </xf>
    <xf numFmtId="165" fontId="12" fillId="6" borderId="0" xfId="4" applyNumberFormat="1" applyFill="1" applyAlignment="1" applyProtection="1">
      <alignment horizontal="left" vertical="top" wrapText="1"/>
    </xf>
    <xf numFmtId="165" fontId="12" fillId="6" borderId="0" xfId="4" applyNumberFormat="1" applyFont="1" applyFill="1" applyAlignment="1" applyProtection="1">
      <alignment horizontal="left" vertical="top" wrapText="1"/>
    </xf>
    <xf numFmtId="165" fontId="13" fillId="0" borderId="0" xfId="4" applyNumberFormat="1" applyFont="1" applyAlignment="1" applyProtection="1">
      <alignment vertical="top"/>
    </xf>
    <xf numFmtId="165" fontId="12" fillId="5" borderId="0" xfId="4" applyNumberFormat="1" applyFill="1" applyAlignment="1" applyProtection="1">
      <alignment horizontal="left" vertical="top" wrapText="1"/>
    </xf>
    <xf numFmtId="165" fontId="12" fillId="5" borderId="0" xfId="4" applyNumberFormat="1" applyFont="1" applyFill="1" applyAlignment="1" applyProtection="1">
      <alignment horizontal="left" vertical="top" wrapText="1"/>
    </xf>
    <xf numFmtId="0" fontId="63" fillId="0" borderId="0" xfId="4" applyNumberFormat="1" applyFont="1" applyAlignment="1">
      <alignment horizontal="center" wrapText="1"/>
    </xf>
    <xf numFmtId="165" fontId="13" fillId="0" borderId="0" xfId="4" applyNumberFormat="1" applyFont="1" applyAlignment="1">
      <alignment horizontal="center"/>
    </xf>
    <xf numFmtId="165" fontId="13" fillId="0" borderId="0" xfId="4" applyNumberFormat="1" applyFont="1" applyAlignment="1">
      <alignment vertical="top" wrapText="1"/>
    </xf>
    <xf numFmtId="165" fontId="12" fillId="0" borderId="0" xfId="4" applyNumberFormat="1" applyAlignment="1">
      <alignment vertical="top"/>
    </xf>
    <xf numFmtId="165" fontId="12" fillId="0" borderId="0" xfId="4" quotePrefix="1" applyNumberFormat="1" applyAlignment="1" applyProtection="1">
      <alignment horizontal="center"/>
    </xf>
    <xf numFmtId="165" fontId="12" fillId="0" borderId="0" xfId="4" applyNumberFormat="1" applyAlignment="1" applyProtection="1">
      <alignment horizontal="center"/>
    </xf>
    <xf numFmtId="165" fontId="13" fillId="0" borderId="0" xfId="4" applyNumberFormat="1" applyFont="1" applyAlignment="1" applyProtection="1">
      <alignment horizontal="center"/>
    </xf>
    <xf numFmtId="165" fontId="12" fillId="0" borderId="0" xfId="4" applyNumberFormat="1" applyAlignment="1" applyProtection="1">
      <alignment horizontal="center" wrapText="1"/>
    </xf>
    <xf numFmtId="0" fontId="2" fillId="0" borderId="0" xfId="0" applyFont="1" applyAlignment="1">
      <alignment horizontal="left" wrapText="1"/>
    </xf>
    <xf numFmtId="0" fontId="2" fillId="0" borderId="0" xfId="0" applyFont="1" applyAlignment="1">
      <alignment horizontal="center" wrapText="1"/>
    </xf>
    <xf numFmtId="2" fontId="2" fillId="0" borderId="2" xfId="0" applyNumberFormat="1" applyFont="1" applyBorder="1" applyAlignment="1">
      <alignment horizontal="center" vertical="center" wrapText="1"/>
    </xf>
    <xf numFmtId="2" fontId="2" fillId="0" borderId="4" xfId="0" applyNumberFormat="1" applyFont="1" applyBorder="1" applyAlignment="1">
      <alignment horizontal="center" vertical="center" wrapText="1"/>
    </xf>
    <xf numFmtId="2" fontId="2" fillId="0" borderId="3" xfId="0" applyNumberFormat="1" applyFont="1" applyBorder="1" applyAlignment="1">
      <alignment horizontal="center" vertical="center" wrapText="1"/>
    </xf>
    <xf numFmtId="0" fontId="4" fillId="0" borderId="0" xfId="0" applyFont="1" applyAlignment="1">
      <alignment horizontal="center" vertical="center" wrapText="1"/>
    </xf>
    <xf numFmtId="0" fontId="7" fillId="0" borderId="0" xfId="0" applyFont="1" applyAlignment="1">
      <alignment horizontal="center" vertical="center" wrapText="1"/>
    </xf>
  </cellXfs>
  <cellStyles count="110">
    <cellStyle name="Comma 10" xfId="36"/>
    <cellStyle name="Comma 2" xfId="8"/>
    <cellStyle name="Comma 2 2" xfId="37"/>
    <cellStyle name="Comma 2 3" xfId="38"/>
    <cellStyle name="Comma 4 2" xfId="9"/>
    <cellStyle name="Grey" xfId="39"/>
    <cellStyle name="Hyperlink 2" xfId="40"/>
    <cellStyle name="Input [yellow]" xfId="41"/>
    <cellStyle name="Normal" xfId="0" builtinId="0"/>
    <cellStyle name="Normal - Style1" xfId="42"/>
    <cellStyle name="Normal 10" xfId="28"/>
    <cellStyle name="Normal 10 2 2" xfId="43"/>
    <cellStyle name="Normal 11" xfId="44"/>
    <cellStyle name="Normal 11 2" xfId="31"/>
    <cellStyle name="Normal 12" xfId="45"/>
    <cellStyle name="Normal 13" xfId="46"/>
    <cellStyle name="Normal 14" xfId="47"/>
    <cellStyle name="Normal 15" xfId="48"/>
    <cellStyle name="Normal 15 5" xfId="30"/>
    <cellStyle name="Normal 15 5 2" xfId="49"/>
    <cellStyle name="Normal 16" xfId="50"/>
    <cellStyle name="Normal 17" xfId="51"/>
    <cellStyle name="Normal 18" xfId="52"/>
    <cellStyle name="Normal 19" xfId="53"/>
    <cellStyle name="Normal 2" xfId="4"/>
    <cellStyle name="Normal 2 13" xfId="32"/>
    <cellStyle name="Normal 2 13 2" xfId="54"/>
    <cellStyle name="Normal 2 2" xfId="7"/>
    <cellStyle name="Normal 2 2 2" xfId="2"/>
    <cellStyle name="Normal 2 2 2 2" xfId="10"/>
    <cellStyle name="Normal 2 2 2 2 2" xfId="55"/>
    <cellStyle name="Normal 2 2 2 3" xfId="56"/>
    <cellStyle name="Normal 2 2 2 4" xfId="57"/>
    <cellStyle name="Normal 2 2 3" xfId="58"/>
    <cellStyle name="Normal 2 3" xfId="11"/>
    <cellStyle name="Normal 2 3 2" xfId="12"/>
    <cellStyle name="Normal 2 3 2 2" xfId="59"/>
    <cellStyle name="Normal 2 3 3" xfId="60"/>
    <cellStyle name="Normal 2 4" xfId="13"/>
    <cellStyle name="Normal 2 4 2" xfId="61"/>
    <cellStyle name="Normal 2 5" xfId="62"/>
    <cellStyle name="Normal 2 6" xfId="63"/>
    <cellStyle name="Normal 2 7" xfId="64"/>
    <cellStyle name="Normal 20" xfId="65"/>
    <cellStyle name="Normal 21" xfId="66"/>
    <cellStyle name="Normal 22" xfId="67"/>
    <cellStyle name="Normal 23" xfId="68"/>
    <cellStyle name="Normal 24" xfId="69"/>
    <cellStyle name="Normal 25" xfId="70"/>
    <cellStyle name="Normal 26" xfId="71"/>
    <cellStyle name="Normal 3" xfId="14"/>
    <cellStyle name="Normal 3 2" xfId="15"/>
    <cellStyle name="Normal 3 2 2" xfId="16"/>
    <cellStyle name="Normal 3 2 2 2 4" xfId="29"/>
    <cellStyle name="Normal 3 2 2 2 4 2" xfId="72"/>
    <cellStyle name="Normal 3 2 3" xfId="73"/>
    <cellStyle name="Normal 3 3" xfId="74"/>
    <cellStyle name="Normal 3 4" xfId="17"/>
    <cellStyle name="Normal 3 4 2" xfId="18"/>
    <cellStyle name="Normal 3 5" xfId="75"/>
    <cellStyle name="Normal 32" xfId="19"/>
    <cellStyle name="Normal 32 2" xfId="76"/>
    <cellStyle name="Normal 32 2 2" xfId="77"/>
    <cellStyle name="Normal 32 2 3" xfId="78"/>
    <cellStyle name="Normal 32 3" xfId="79"/>
    <cellStyle name="Normal 32 4" xfId="80"/>
    <cellStyle name="Normal 4" xfId="1"/>
    <cellStyle name="Normal 4 2" xfId="20"/>
    <cellStyle name="Normal 5" xfId="5"/>
    <cellStyle name="Normal 5 2" xfId="21"/>
    <cellStyle name="Normal 5 2 2" xfId="81"/>
    <cellStyle name="Normal 5 3" xfId="22"/>
    <cellStyle name="Normal 5 3 2" xfId="82"/>
    <cellStyle name="Normal 5 3 3" xfId="83"/>
    <cellStyle name="Normal 5 4" xfId="84"/>
    <cellStyle name="Normal 5 4 2" xfId="85"/>
    <cellStyle name="Normal 5 4 3" xfId="86"/>
    <cellStyle name="Normal 5 5" xfId="87"/>
    <cellStyle name="Normal 5 6" xfId="88"/>
    <cellStyle name="Normal 5 7" xfId="89"/>
    <cellStyle name="Normal 6" xfId="23"/>
    <cellStyle name="Normal 6 2" xfId="90"/>
    <cellStyle name="Normal 6 2 2" xfId="91"/>
    <cellStyle name="Normal 6 2 2 2" xfId="92"/>
    <cellStyle name="Normal 6 2 2 3" xfId="93"/>
    <cellStyle name="Normal 6 2 3" xfId="94"/>
    <cellStyle name="Normal 6 2 4" xfId="95"/>
    <cellStyle name="Normal 6 3" xfId="96"/>
    <cellStyle name="Normal 6 4" xfId="97"/>
    <cellStyle name="Normal 7" xfId="98"/>
    <cellStyle name="Normal 7 2" xfId="27"/>
    <cellStyle name="Normal 7 2 2" xfId="99"/>
    <cellStyle name="Normal 7 3 2" xfId="100"/>
    <cellStyle name="Normal 8" xfId="101"/>
    <cellStyle name="Normal 8 2" xfId="102"/>
    <cellStyle name="Normal 9" xfId="103"/>
    <cellStyle name="Normal_External WS 2" xfId="26"/>
    <cellStyle name="Normal_Phase XI QS" xfId="33"/>
    <cellStyle name="Normal_Phase XI QS 2" xfId="3"/>
    <cellStyle name="Normal_Phase XI QS 2 2" xfId="35"/>
    <cellStyle name="Normal_Phase XI QS 3" xfId="6"/>
    <cellStyle name="Normal_test-1 2" xfId="104"/>
    <cellStyle name="Percent [2]" xfId="105"/>
    <cellStyle name="Percent 2" xfId="24"/>
    <cellStyle name="Percent 2 2" xfId="25"/>
    <cellStyle name="Percent 2 2 2" xfId="106"/>
    <cellStyle name="Percent 2 2 3" xfId="107"/>
    <cellStyle name="Percent 3" xfId="34"/>
    <cellStyle name="Style 1" xfId="108"/>
    <cellStyle name="Times New Roman" xfId="10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3.xml"/><Relationship Id="rId63" Type="http://schemas.openxmlformats.org/officeDocument/2006/relationships/externalLink" Target="externalLinks/externalLink11.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1.xml"/><Relationship Id="rId58" Type="http://schemas.openxmlformats.org/officeDocument/2006/relationships/externalLink" Target="externalLinks/externalLink6.xml"/><Relationship Id="rId66" Type="http://schemas.openxmlformats.org/officeDocument/2006/relationships/externalLink" Target="externalLinks/externalLink1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5.xml"/><Relationship Id="rId61" Type="http://schemas.openxmlformats.org/officeDocument/2006/relationships/externalLink" Target="externalLinks/externalLink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8.xml"/><Relationship Id="rId65" Type="http://schemas.openxmlformats.org/officeDocument/2006/relationships/externalLink" Target="externalLinks/externalLink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4.xml"/><Relationship Id="rId64" Type="http://schemas.openxmlformats.org/officeDocument/2006/relationships/externalLink" Target="externalLinks/externalLink12.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7.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2.xml"/><Relationship Id="rId62" Type="http://schemas.openxmlformats.org/officeDocument/2006/relationships/externalLink" Target="externalLinks/externalLink10.xml"/><Relationship Id="rId7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1</xdr:col>
      <xdr:colOff>1514475</xdr:colOff>
      <xdr:row>15</xdr:row>
      <xdr:rowOff>0</xdr:rowOff>
    </xdr:from>
    <xdr:to>
      <xdr:col>2</xdr:col>
      <xdr:colOff>112395</xdr:colOff>
      <xdr:row>15</xdr:row>
      <xdr:rowOff>47625</xdr:rowOff>
    </xdr:to>
    <xdr:sp macro="" textlink="">
      <xdr:nvSpPr>
        <xdr:cNvPr id="2" name="Text Box 1"/>
        <xdr:cNvSpPr txBox="1">
          <a:spLocks noChangeArrowheads="1"/>
        </xdr:cNvSpPr>
      </xdr:nvSpPr>
      <xdr:spPr bwMode="auto">
        <a:xfrm>
          <a:off x="1476375" y="13083540"/>
          <a:ext cx="114300"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15</xdr:row>
      <xdr:rowOff>0</xdr:rowOff>
    </xdr:from>
    <xdr:to>
      <xdr:col>2</xdr:col>
      <xdr:colOff>112395</xdr:colOff>
      <xdr:row>15</xdr:row>
      <xdr:rowOff>47625</xdr:rowOff>
    </xdr:to>
    <xdr:sp macro="" textlink="">
      <xdr:nvSpPr>
        <xdr:cNvPr id="3" name="Text Box 4"/>
        <xdr:cNvSpPr txBox="1">
          <a:spLocks noChangeArrowheads="1"/>
        </xdr:cNvSpPr>
      </xdr:nvSpPr>
      <xdr:spPr bwMode="auto">
        <a:xfrm>
          <a:off x="1476375" y="13083540"/>
          <a:ext cx="114300"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15</xdr:row>
      <xdr:rowOff>0</xdr:rowOff>
    </xdr:from>
    <xdr:to>
      <xdr:col>2</xdr:col>
      <xdr:colOff>112395</xdr:colOff>
      <xdr:row>15</xdr:row>
      <xdr:rowOff>47625</xdr:rowOff>
    </xdr:to>
    <xdr:sp macro="" textlink="">
      <xdr:nvSpPr>
        <xdr:cNvPr id="4" name="Text Box 5"/>
        <xdr:cNvSpPr txBox="1">
          <a:spLocks noChangeArrowheads="1"/>
        </xdr:cNvSpPr>
      </xdr:nvSpPr>
      <xdr:spPr bwMode="auto">
        <a:xfrm>
          <a:off x="1476375" y="13083540"/>
          <a:ext cx="114300"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15</xdr:row>
      <xdr:rowOff>0</xdr:rowOff>
    </xdr:from>
    <xdr:to>
      <xdr:col>2</xdr:col>
      <xdr:colOff>112395</xdr:colOff>
      <xdr:row>15</xdr:row>
      <xdr:rowOff>47625</xdr:rowOff>
    </xdr:to>
    <xdr:sp macro="" textlink="">
      <xdr:nvSpPr>
        <xdr:cNvPr id="5" name="Text Box 6"/>
        <xdr:cNvSpPr txBox="1">
          <a:spLocks noChangeArrowheads="1"/>
        </xdr:cNvSpPr>
      </xdr:nvSpPr>
      <xdr:spPr bwMode="auto">
        <a:xfrm>
          <a:off x="1476375" y="13083540"/>
          <a:ext cx="114300"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15</xdr:row>
      <xdr:rowOff>0</xdr:rowOff>
    </xdr:from>
    <xdr:to>
      <xdr:col>2</xdr:col>
      <xdr:colOff>112395</xdr:colOff>
      <xdr:row>15</xdr:row>
      <xdr:rowOff>47625</xdr:rowOff>
    </xdr:to>
    <xdr:sp macro="" textlink="">
      <xdr:nvSpPr>
        <xdr:cNvPr id="6" name="Text Box 1"/>
        <xdr:cNvSpPr txBox="1">
          <a:spLocks noChangeArrowheads="1"/>
        </xdr:cNvSpPr>
      </xdr:nvSpPr>
      <xdr:spPr bwMode="auto">
        <a:xfrm>
          <a:off x="1476375" y="13083540"/>
          <a:ext cx="114300"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15</xdr:row>
      <xdr:rowOff>0</xdr:rowOff>
    </xdr:from>
    <xdr:to>
      <xdr:col>2</xdr:col>
      <xdr:colOff>112395</xdr:colOff>
      <xdr:row>15</xdr:row>
      <xdr:rowOff>47625</xdr:rowOff>
    </xdr:to>
    <xdr:sp macro="" textlink="">
      <xdr:nvSpPr>
        <xdr:cNvPr id="7" name="Text Box 1"/>
        <xdr:cNvSpPr txBox="1">
          <a:spLocks noChangeArrowheads="1"/>
        </xdr:cNvSpPr>
      </xdr:nvSpPr>
      <xdr:spPr bwMode="auto">
        <a:xfrm>
          <a:off x="1476375" y="13083540"/>
          <a:ext cx="114300"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15</xdr:row>
      <xdr:rowOff>0</xdr:rowOff>
    </xdr:from>
    <xdr:to>
      <xdr:col>2</xdr:col>
      <xdr:colOff>112395</xdr:colOff>
      <xdr:row>15</xdr:row>
      <xdr:rowOff>47625</xdr:rowOff>
    </xdr:to>
    <xdr:sp macro="" textlink="">
      <xdr:nvSpPr>
        <xdr:cNvPr id="8" name="Text Box 4"/>
        <xdr:cNvSpPr txBox="1">
          <a:spLocks noChangeArrowheads="1"/>
        </xdr:cNvSpPr>
      </xdr:nvSpPr>
      <xdr:spPr bwMode="auto">
        <a:xfrm>
          <a:off x="1476375" y="13083540"/>
          <a:ext cx="114300"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15</xdr:row>
      <xdr:rowOff>0</xdr:rowOff>
    </xdr:from>
    <xdr:to>
      <xdr:col>2</xdr:col>
      <xdr:colOff>112395</xdr:colOff>
      <xdr:row>15</xdr:row>
      <xdr:rowOff>47625</xdr:rowOff>
    </xdr:to>
    <xdr:sp macro="" textlink="">
      <xdr:nvSpPr>
        <xdr:cNvPr id="9" name="Text Box 5"/>
        <xdr:cNvSpPr txBox="1">
          <a:spLocks noChangeArrowheads="1"/>
        </xdr:cNvSpPr>
      </xdr:nvSpPr>
      <xdr:spPr bwMode="auto">
        <a:xfrm>
          <a:off x="1476375" y="13083540"/>
          <a:ext cx="114300"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15</xdr:row>
      <xdr:rowOff>0</xdr:rowOff>
    </xdr:from>
    <xdr:to>
      <xdr:col>2</xdr:col>
      <xdr:colOff>112395</xdr:colOff>
      <xdr:row>15</xdr:row>
      <xdr:rowOff>47625</xdr:rowOff>
    </xdr:to>
    <xdr:sp macro="" textlink="">
      <xdr:nvSpPr>
        <xdr:cNvPr id="10" name="Text Box 6"/>
        <xdr:cNvSpPr txBox="1">
          <a:spLocks noChangeArrowheads="1"/>
        </xdr:cNvSpPr>
      </xdr:nvSpPr>
      <xdr:spPr bwMode="auto">
        <a:xfrm>
          <a:off x="1476375" y="13083540"/>
          <a:ext cx="114300"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15</xdr:row>
      <xdr:rowOff>0</xdr:rowOff>
    </xdr:from>
    <xdr:to>
      <xdr:col>2</xdr:col>
      <xdr:colOff>112395</xdr:colOff>
      <xdr:row>15</xdr:row>
      <xdr:rowOff>47625</xdr:rowOff>
    </xdr:to>
    <xdr:sp macro="" textlink="">
      <xdr:nvSpPr>
        <xdr:cNvPr id="11" name="Text Box 1"/>
        <xdr:cNvSpPr txBox="1">
          <a:spLocks noChangeArrowheads="1"/>
        </xdr:cNvSpPr>
      </xdr:nvSpPr>
      <xdr:spPr bwMode="auto">
        <a:xfrm>
          <a:off x="1476375" y="13083540"/>
          <a:ext cx="114300"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1516380</xdr:colOff>
      <xdr:row>959</xdr:row>
      <xdr:rowOff>0</xdr:rowOff>
    </xdr:from>
    <xdr:to>
      <xdr:col>1</xdr:col>
      <xdr:colOff>1516380</xdr:colOff>
      <xdr:row>959</xdr:row>
      <xdr:rowOff>30480</xdr:rowOff>
    </xdr:to>
    <xdr:sp macro="" textlink="">
      <xdr:nvSpPr>
        <xdr:cNvPr id="2" name="Text Box 1"/>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3"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4"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5"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6"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7"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8" name="Text Box 1"/>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9"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10"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11"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12"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13"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14"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15"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16"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17"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18"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19"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20"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21"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22" name="Text Box 1"/>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23"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24"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25"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26"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27"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28" name="Text Box 1"/>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29"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30"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31"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32"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33"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34"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35"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36"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37"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38"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39"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40"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41"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42" name="Text Box 1"/>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43"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44"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45"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46"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47"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48" name="Text Box 1"/>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49"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50"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51"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52"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53"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54"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55"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56"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57"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58"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59"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60"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61"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62" name="Text Box 1"/>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63"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64"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65"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66"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67"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68" name="Text Box 1"/>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69"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70"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71"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72"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73"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74"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75"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76"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77"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78"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79"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80"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959</xdr:row>
      <xdr:rowOff>0</xdr:rowOff>
    </xdr:from>
    <xdr:to>
      <xdr:col>1</xdr:col>
      <xdr:colOff>1516380</xdr:colOff>
      <xdr:row>959</xdr:row>
      <xdr:rowOff>30480</xdr:rowOff>
    </xdr:to>
    <xdr:sp macro="" textlink="">
      <xdr:nvSpPr>
        <xdr:cNvPr id="81"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1516380</xdr:colOff>
      <xdr:row>68</xdr:row>
      <xdr:rowOff>0</xdr:rowOff>
    </xdr:from>
    <xdr:to>
      <xdr:col>2</xdr:col>
      <xdr:colOff>1516380</xdr:colOff>
      <xdr:row>68</xdr:row>
      <xdr:rowOff>30480</xdr:rowOff>
    </xdr:to>
    <xdr:sp macro="" textlink="">
      <xdr:nvSpPr>
        <xdr:cNvPr id="2" name="Text Box 1"/>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3"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4"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5"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6"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7"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8" name="Text Box 1"/>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9"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10"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11"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12"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13"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14"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15"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16"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17"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18"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19"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20"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21"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22" name="Text Box 1"/>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23"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24"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25"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26"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27"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28" name="Text Box 1"/>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29"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30"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31"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32"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33"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34"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35"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36"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37"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38"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39"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40"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41"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42" name="Text Box 1"/>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43"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44"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45"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46"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47"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48" name="Text Box 1"/>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49"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50"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51"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52"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53"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54"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55"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56"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57"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58"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59"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60"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61"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62" name="Text Box 1"/>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63"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64"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65"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66"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67"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68" name="Text Box 1"/>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69"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70"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71"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72"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73"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74"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75"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76"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77"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78"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79"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80"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1516380</xdr:colOff>
      <xdr:row>68</xdr:row>
      <xdr:rowOff>0</xdr:rowOff>
    </xdr:from>
    <xdr:to>
      <xdr:col>2</xdr:col>
      <xdr:colOff>1516380</xdr:colOff>
      <xdr:row>68</xdr:row>
      <xdr:rowOff>30480</xdr:rowOff>
    </xdr:to>
    <xdr:sp macro="" textlink="">
      <xdr:nvSpPr>
        <xdr:cNvPr id="81"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2" name="Text Box 1">
          <a:extLst>
            <a:ext uri="{FF2B5EF4-FFF2-40B4-BE49-F238E27FC236}">
              <a16:creationId xmlns="" xmlns:a16="http://schemas.microsoft.com/office/drawing/2014/main" id="{00000000-0008-0000-0500-000036AE0100}"/>
            </a:ext>
          </a:extLst>
        </xdr:cNvPr>
        <xdr:cNvSpPr txBox="1">
          <a:spLocks noChangeArrowheads="1"/>
        </xdr:cNvSpPr>
      </xdr:nvSpPr>
      <xdr:spPr bwMode="auto">
        <a:xfrm>
          <a:off x="10925175" y="1097441925"/>
          <a:ext cx="85725" cy="2857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461645</xdr:colOff>
      <xdr:row>7793</xdr:row>
      <xdr:rowOff>202565</xdr:rowOff>
    </xdr:to>
    <xdr:sp macro="" textlink="">
      <xdr:nvSpPr>
        <xdr:cNvPr id="2" name="Text Box 1">
          <a:extLst>
            <a:ext uri="{FF2B5EF4-FFF2-40B4-BE49-F238E27FC236}">
              <a16:creationId xmlns:a16="http://schemas.microsoft.com/office/drawing/2014/main" xmlns="" id="{00000000-0008-0000-0700-0000ABCB0100}"/>
            </a:ext>
          </a:extLst>
        </xdr:cNvPr>
        <xdr:cNvSpPr txBox="1">
          <a:spLocks noChangeArrowheads="1"/>
        </xdr:cNvSpPr>
      </xdr:nvSpPr>
      <xdr:spPr bwMode="auto">
        <a:xfrm>
          <a:off x="14192250" y="2420321550"/>
          <a:ext cx="4445" cy="1206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10133</xdr:colOff>
      <xdr:row>0</xdr:row>
      <xdr:rowOff>47625</xdr:rowOff>
    </xdr:to>
    <xdr:sp macro="" textlink="">
      <xdr:nvSpPr>
        <xdr:cNvPr id="3" name="Text Box 2">
          <a:extLst>
            <a:ext uri="{FF2B5EF4-FFF2-40B4-BE49-F238E27FC236}">
              <a16:creationId xmlns:a16="http://schemas.microsoft.com/office/drawing/2014/main" xmlns="" id="{00000000-0008-0000-0700-0000ACCB0100}"/>
            </a:ext>
          </a:extLst>
        </xdr:cNvPr>
        <xdr:cNvSpPr txBox="1">
          <a:spLocks noChangeArrowheads="1"/>
        </xdr:cNvSpPr>
      </xdr:nvSpPr>
      <xdr:spPr bwMode="auto">
        <a:xfrm>
          <a:off x="9105900" y="0"/>
          <a:ext cx="10133"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2272</xdr:colOff>
      <xdr:row>0</xdr:row>
      <xdr:rowOff>47625</xdr:rowOff>
    </xdr:to>
    <xdr:sp macro="" textlink="">
      <xdr:nvSpPr>
        <xdr:cNvPr id="4" name="Text Box 2">
          <a:extLst>
            <a:ext uri="{FF2B5EF4-FFF2-40B4-BE49-F238E27FC236}">
              <a16:creationId xmlns:a16="http://schemas.microsoft.com/office/drawing/2014/main" xmlns="" id="{00000000-0008-0000-0700-0000ADCB0100}"/>
            </a:ext>
          </a:extLst>
        </xdr:cNvPr>
        <xdr:cNvSpPr txBox="1">
          <a:spLocks noChangeArrowheads="1"/>
        </xdr:cNvSpPr>
      </xdr:nvSpPr>
      <xdr:spPr bwMode="auto">
        <a:xfrm>
          <a:off x="9105900" y="0"/>
          <a:ext cx="2272"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461645</xdr:colOff>
      <xdr:row>7792</xdr:row>
      <xdr:rowOff>202565</xdr:rowOff>
    </xdr:to>
    <xdr:sp macro="" textlink="">
      <xdr:nvSpPr>
        <xdr:cNvPr id="5" name="Text Box 1">
          <a:extLst>
            <a:ext uri="{FF2B5EF4-FFF2-40B4-BE49-F238E27FC236}">
              <a16:creationId xmlns:a16="http://schemas.microsoft.com/office/drawing/2014/main" xmlns="" id="{00000000-0008-0000-0700-0000AECB0100}"/>
            </a:ext>
          </a:extLst>
        </xdr:cNvPr>
        <xdr:cNvSpPr txBox="1">
          <a:spLocks noChangeArrowheads="1"/>
        </xdr:cNvSpPr>
      </xdr:nvSpPr>
      <xdr:spPr bwMode="auto">
        <a:xfrm>
          <a:off x="14192250" y="2420016750"/>
          <a:ext cx="4445" cy="1206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2272</xdr:colOff>
      <xdr:row>0</xdr:row>
      <xdr:rowOff>47625</xdr:rowOff>
    </xdr:to>
    <xdr:sp macro="" textlink="">
      <xdr:nvSpPr>
        <xdr:cNvPr id="6" name="Text Box 2">
          <a:extLst>
            <a:ext uri="{FF2B5EF4-FFF2-40B4-BE49-F238E27FC236}">
              <a16:creationId xmlns:a16="http://schemas.microsoft.com/office/drawing/2014/main" xmlns="" id="{00000000-0008-0000-0700-0000AFCB0100}"/>
            </a:ext>
          </a:extLst>
        </xdr:cNvPr>
        <xdr:cNvSpPr txBox="1">
          <a:spLocks noChangeArrowheads="1"/>
        </xdr:cNvSpPr>
      </xdr:nvSpPr>
      <xdr:spPr bwMode="auto">
        <a:xfrm>
          <a:off x="9105900" y="0"/>
          <a:ext cx="2272"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463550</xdr:colOff>
      <xdr:row>7793</xdr:row>
      <xdr:rowOff>202565</xdr:rowOff>
    </xdr:to>
    <xdr:sp macro="" textlink="">
      <xdr:nvSpPr>
        <xdr:cNvPr id="7" name="Text Box 1">
          <a:extLst>
            <a:ext uri="{FF2B5EF4-FFF2-40B4-BE49-F238E27FC236}">
              <a16:creationId xmlns:a16="http://schemas.microsoft.com/office/drawing/2014/main" xmlns="" id="{00000000-0008-0000-0700-0000B0CB0100}"/>
            </a:ext>
          </a:extLst>
        </xdr:cNvPr>
        <xdr:cNvSpPr txBox="1">
          <a:spLocks noChangeArrowheads="1"/>
        </xdr:cNvSpPr>
      </xdr:nvSpPr>
      <xdr:spPr bwMode="auto">
        <a:xfrm>
          <a:off x="14192250" y="2420321550"/>
          <a:ext cx="6350" cy="1206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463550</xdr:colOff>
      <xdr:row>7792</xdr:row>
      <xdr:rowOff>202565</xdr:rowOff>
    </xdr:to>
    <xdr:sp macro="" textlink="">
      <xdr:nvSpPr>
        <xdr:cNvPr id="8" name="Text Box 1">
          <a:extLst>
            <a:ext uri="{FF2B5EF4-FFF2-40B4-BE49-F238E27FC236}">
              <a16:creationId xmlns:a16="http://schemas.microsoft.com/office/drawing/2014/main" xmlns="" id="{00000000-0008-0000-0700-0000B1CB0100}"/>
            </a:ext>
          </a:extLst>
        </xdr:cNvPr>
        <xdr:cNvSpPr txBox="1">
          <a:spLocks noChangeArrowheads="1"/>
        </xdr:cNvSpPr>
      </xdr:nvSpPr>
      <xdr:spPr bwMode="auto">
        <a:xfrm>
          <a:off x="14192250" y="2420016750"/>
          <a:ext cx="6350" cy="1206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10133</xdr:colOff>
      <xdr:row>0</xdr:row>
      <xdr:rowOff>47625</xdr:rowOff>
    </xdr:to>
    <xdr:sp macro="" textlink="">
      <xdr:nvSpPr>
        <xdr:cNvPr id="9" name="Text Box 2">
          <a:extLst>
            <a:ext uri="{FF2B5EF4-FFF2-40B4-BE49-F238E27FC236}">
              <a16:creationId xmlns:a16="http://schemas.microsoft.com/office/drawing/2014/main" xmlns="" id="{00000000-0008-0000-0700-0000B2CB0100}"/>
            </a:ext>
          </a:extLst>
        </xdr:cNvPr>
        <xdr:cNvSpPr txBox="1">
          <a:spLocks noChangeArrowheads="1"/>
        </xdr:cNvSpPr>
      </xdr:nvSpPr>
      <xdr:spPr bwMode="auto">
        <a:xfrm>
          <a:off x="9105900" y="0"/>
          <a:ext cx="10133"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2272</xdr:colOff>
      <xdr:row>0</xdr:row>
      <xdr:rowOff>47625</xdr:rowOff>
    </xdr:to>
    <xdr:sp macro="" textlink="">
      <xdr:nvSpPr>
        <xdr:cNvPr id="10" name="Text Box 2">
          <a:extLst>
            <a:ext uri="{FF2B5EF4-FFF2-40B4-BE49-F238E27FC236}">
              <a16:creationId xmlns:a16="http://schemas.microsoft.com/office/drawing/2014/main" xmlns="" id="{00000000-0008-0000-0700-0000B3CB0100}"/>
            </a:ext>
          </a:extLst>
        </xdr:cNvPr>
        <xdr:cNvSpPr txBox="1">
          <a:spLocks noChangeArrowheads="1"/>
        </xdr:cNvSpPr>
      </xdr:nvSpPr>
      <xdr:spPr bwMode="auto">
        <a:xfrm>
          <a:off x="9105900" y="0"/>
          <a:ext cx="2272"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2272</xdr:colOff>
      <xdr:row>0</xdr:row>
      <xdr:rowOff>47625</xdr:rowOff>
    </xdr:to>
    <xdr:sp macro="" textlink="">
      <xdr:nvSpPr>
        <xdr:cNvPr id="11" name="Text Box 2">
          <a:extLst>
            <a:ext uri="{FF2B5EF4-FFF2-40B4-BE49-F238E27FC236}">
              <a16:creationId xmlns:a16="http://schemas.microsoft.com/office/drawing/2014/main" xmlns="" id="{00000000-0008-0000-0700-0000B4CB0100}"/>
            </a:ext>
          </a:extLst>
        </xdr:cNvPr>
        <xdr:cNvSpPr txBox="1">
          <a:spLocks noChangeArrowheads="1"/>
        </xdr:cNvSpPr>
      </xdr:nvSpPr>
      <xdr:spPr bwMode="auto">
        <a:xfrm>
          <a:off x="9105900" y="0"/>
          <a:ext cx="2272"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10133</xdr:colOff>
      <xdr:row>0</xdr:row>
      <xdr:rowOff>47625</xdr:rowOff>
    </xdr:to>
    <xdr:sp macro="" textlink="">
      <xdr:nvSpPr>
        <xdr:cNvPr id="12" name="Text Box 2">
          <a:extLst>
            <a:ext uri="{FF2B5EF4-FFF2-40B4-BE49-F238E27FC236}">
              <a16:creationId xmlns:a16="http://schemas.microsoft.com/office/drawing/2014/main" xmlns="" id="{00000000-0008-0000-0700-0000B5CB0100}"/>
            </a:ext>
          </a:extLst>
        </xdr:cNvPr>
        <xdr:cNvSpPr txBox="1">
          <a:spLocks noChangeArrowheads="1"/>
        </xdr:cNvSpPr>
      </xdr:nvSpPr>
      <xdr:spPr bwMode="auto">
        <a:xfrm>
          <a:off x="9105900" y="0"/>
          <a:ext cx="10133"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2272</xdr:colOff>
      <xdr:row>0</xdr:row>
      <xdr:rowOff>47625</xdr:rowOff>
    </xdr:to>
    <xdr:sp macro="" textlink="">
      <xdr:nvSpPr>
        <xdr:cNvPr id="13" name="Text Box 2">
          <a:extLst>
            <a:ext uri="{FF2B5EF4-FFF2-40B4-BE49-F238E27FC236}">
              <a16:creationId xmlns:a16="http://schemas.microsoft.com/office/drawing/2014/main" xmlns="" id="{00000000-0008-0000-0700-0000B6CB0100}"/>
            </a:ext>
          </a:extLst>
        </xdr:cNvPr>
        <xdr:cNvSpPr txBox="1">
          <a:spLocks noChangeArrowheads="1"/>
        </xdr:cNvSpPr>
      </xdr:nvSpPr>
      <xdr:spPr bwMode="auto">
        <a:xfrm>
          <a:off x="9105900" y="0"/>
          <a:ext cx="2272"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2272</xdr:colOff>
      <xdr:row>0</xdr:row>
      <xdr:rowOff>47625</xdr:rowOff>
    </xdr:to>
    <xdr:sp macro="" textlink="">
      <xdr:nvSpPr>
        <xdr:cNvPr id="14" name="Text Box 2">
          <a:extLst>
            <a:ext uri="{FF2B5EF4-FFF2-40B4-BE49-F238E27FC236}">
              <a16:creationId xmlns:a16="http://schemas.microsoft.com/office/drawing/2014/main" xmlns="" id="{00000000-0008-0000-0700-0000B7CB0100}"/>
            </a:ext>
          </a:extLst>
        </xdr:cNvPr>
        <xdr:cNvSpPr txBox="1">
          <a:spLocks noChangeArrowheads="1"/>
        </xdr:cNvSpPr>
      </xdr:nvSpPr>
      <xdr:spPr bwMode="auto">
        <a:xfrm>
          <a:off x="9105900" y="0"/>
          <a:ext cx="2272"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10133</xdr:colOff>
      <xdr:row>0</xdr:row>
      <xdr:rowOff>47625</xdr:rowOff>
    </xdr:to>
    <xdr:sp macro="" textlink="">
      <xdr:nvSpPr>
        <xdr:cNvPr id="15" name="Text Box 2">
          <a:extLst>
            <a:ext uri="{FF2B5EF4-FFF2-40B4-BE49-F238E27FC236}">
              <a16:creationId xmlns:a16="http://schemas.microsoft.com/office/drawing/2014/main" xmlns="" id="{00000000-0008-0000-0700-0000B8CB0100}"/>
            </a:ext>
          </a:extLst>
        </xdr:cNvPr>
        <xdr:cNvSpPr txBox="1">
          <a:spLocks noChangeArrowheads="1"/>
        </xdr:cNvSpPr>
      </xdr:nvSpPr>
      <xdr:spPr bwMode="auto">
        <a:xfrm>
          <a:off x="9105900" y="0"/>
          <a:ext cx="10133"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2272</xdr:colOff>
      <xdr:row>0</xdr:row>
      <xdr:rowOff>47625</xdr:rowOff>
    </xdr:to>
    <xdr:sp macro="" textlink="">
      <xdr:nvSpPr>
        <xdr:cNvPr id="16" name="Text Box 2">
          <a:extLst>
            <a:ext uri="{FF2B5EF4-FFF2-40B4-BE49-F238E27FC236}">
              <a16:creationId xmlns:a16="http://schemas.microsoft.com/office/drawing/2014/main" xmlns="" id="{00000000-0008-0000-0700-0000B9CB0100}"/>
            </a:ext>
          </a:extLst>
        </xdr:cNvPr>
        <xdr:cNvSpPr txBox="1">
          <a:spLocks noChangeArrowheads="1"/>
        </xdr:cNvSpPr>
      </xdr:nvSpPr>
      <xdr:spPr bwMode="auto">
        <a:xfrm>
          <a:off x="9105900" y="0"/>
          <a:ext cx="2272"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2272</xdr:colOff>
      <xdr:row>0</xdr:row>
      <xdr:rowOff>47625</xdr:rowOff>
    </xdr:to>
    <xdr:sp macro="" textlink="">
      <xdr:nvSpPr>
        <xdr:cNvPr id="17" name="Text Box 2">
          <a:extLst>
            <a:ext uri="{FF2B5EF4-FFF2-40B4-BE49-F238E27FC236}">
              <a16:creationId xmlns:a16="http://schemas.microsoft.com/office/drawing/2014/main" xmlns="" id="{00000000-0008-0000-0700-0000BACB0100}"/>
            </a:ext>
          </a:extLst>
        </xdr:cNvPr>
        <xdr:cNvSpPr txBox="1">
          <a:spLocks noChangeArrowheads="1"/>
        </xdr:cNvSpPr>
      </xdr:nvSpPr>
      <xdr:spPr bwMode="auto">
        <a:xfrm>
          <a:off x="9105900" y="0"/>
          <a:ext cx="2272"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10133</xdr:colOff>
      <xdr:row>0</xdr:row>
      <xdr:rowOff>47625</xdr:rowOff>
    </xdr:to>
    <xdr:sp macro="" textlink="">
      <xdr:nvSpPr>
        <xdr:cNvPr id="18" name="Text Box 2">
          <a:extLst>
            <a:ext uri="{FF2B5EF4-FFF2-40B4-BE49-F238E27FC236}">
              <a16:creationId xmlns:a16="http://schemas.microsoft.com/office/drawing/2014/main" xmlns="" id="{00000000-0008-0000-0700-0000BBCB0100}"/>
            </a:ext>
          </a:extLst>
        </xdr:cNvPr>
        <xdr:cNvSpPr txBox="1">
          <a:spLocks noChangeArrowheads="1"/>
        </xdr:cNvSpPr>
      </xdr:nvSpPr>
      <xdr:spPr bwMode="auto">
        <a:xfrm>
          <a:off x="9105900" y="0"/>
          <a:ext cx="10133"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2272</xdr:colOff>
      <xdr:row>0</xdr:row>
      <xdr:rowOff>47625</xdr:rowOff>
    </xdr:to>
    <xdr:sp macro="" textlink="">
      <xdr:nvSpPr>
        <xdr:cNvPr id="19" name="Text Box 2">
          <a:extLst>
            <a:ext uri="{FF2B5EF4-FFF2-40B4-BE49-F238E27FC236}">
              <a16:creationId xmlns:a16="http://schemas.microsoft.com/office/drawing/2014/main" xmlns="" id="{00000000-0008-0000-0700-0000BCCB0100}"/>
            </a:ext>
          </a:extLst>
        </xdr:cNvPr>
        <xdr:cNvSpPr txBox="1">
          <a:spLocks noChangeArrowheads="1"/>
        </xdr:cNvSpPr>
      </xdr:nvSpPr>
      <xdr:spPr bwMode="auto">
        <a:xfrm>
          <a:off x="9105900" y="0"/>
          <a:ext cx="2272"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2272</xdr:colOff>
      <xdr:row>0</xdr:row>
      <xdr:rowOff>47625</xdr:rowOff>
    </xdr:to>
    <xdr:sp macro="" textlink="">
      <xdr:nvSpPr>
        <xdr:cNvPr id="20" name="Text Box 2">
          <a:extLst>
            <a:ext uri="{FF2B5EF4-FFF2-40B4-BE49-F238E27FC236}">
              <a16:creationId xmlns:a16="http://schemas.microsoft.com/office/drawing/2014/main" xmlns="" id="{00000000-0008-0000-0700-0000BDCB0100}"/>
            </a:ext>
          </a:extLst>
        </xdr:cNvPr>
        <xdr:cNvSpPr txBox="1">
          <a:spLocks noChangeArrowheads="1"/>
        </xdr:cNvSpPr>
      </xdr:nvSpPr>
      <xdr:spPr bwMode="auto">
        <a:xfrm>
          <a:off x="9105900" y="0"/>
          <a:ext cx="2272"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10133</xdr:colOff>
      <xdr:row>0</xdr:row>
      <xdr:rowOff>47625</xdr:rowOff>
    </xdr:to>
    <xdr:sp macro="" textlink="">
      <xdr:nvSpPr>
        <xdr:cNvPr id="21" name="Text Box 2">
          <a:extLst>
            <a:ext uri="{FF2B5EF4-FFF2-40B4-BE49-F238E27FC236}">
              <a16:creationId xmlns:a16="http://schemas.microsoft.com/office/drawing/2014/main" xmlns="" id="{00000000-0008-0000-0700-0000BECB0100}"/>
            </a:ext>
          </a:extLst>
        </xdr:cNvPr>
        <xdr:cNvSpPr txBox="1">
          <a:spLocks noChangeArrowheads="1"/>
        </xdr:cNvSpPr>
      </xdr:nvSpPr>
      <xdr:spPr bwMode="auto">
        <a:xfrm>
          <a:off x="9105900" y="0"/>
          <a:ext cx="10133"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2272</xdr:colOff>
      <xdr:row>0</xdr:row>
      <xdr:rowOff>47625</xdr:rowOff>
    </xdr:to>
    <xdr:sp macro="" textlink="">
      <xdr:nvSpPr>
        <xdr:cNvPr id="22" name="Text Box 2">
          <a:extLst>
            <a:ext uri="{FF2B5EF4-FFF2-40B4-BE49-F238E27FC236}">
              <a16:creationId xmlns:a16="http://schemas.microsoft.com/office/drawing/2014/main" xmlns="" id="{00000000-0008-0000-0700-0000BFCB0100}"/>
            </a:ext>
          </a:extLst>
        </xdr:cNvPr>
        <xdr:cNvSpPr txBox="1">
          <a:spLocks noChangeArrowheads="1"/>
        </xdr:cNvSpPr>
      </xdr:nvSpPr>
      <xdr:spPr bwMode="auto">
        <a:xfrm>
          <a:off x="9105900" y="0"/>
          <a:ext cx="2272"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2272</xdr:colOff>
      <xdr:row>0</xdr:row>
      <xdr:rowOff>47625</xdr:rowOff>
    </xdr:to>
    <xdr:sp macro="" textlink="">
      <xdr:nvSpPr>
        <xdr:cNvPr id="23" name="Text Box 2">
          <a:extLst>
            <a:ext uri="{FF2B5EF4-FFF2-40B4-BE49-F238E27FC236}">
              <a16:creationId xmlns:a16="http://schemas.microsoft.com/office/drawing/2014/main" xmlns="" id="{00000000-0008-0000-0700-0000C0CB0100}"/>
            </a:ext>
          </a:extLst>
        </xdr:cNvPr>
        <xdr:cNvSpPr txBox="1">
          <a:spLocks noChangeArrowheads="1"/>
        </xdr:cNvSpPr>
      </xdr:nvSpPr>
      <xdr:spPr bwMode="auto">
        <a:xfrm>
          <a:off x="9105900" y="0"/>
          <a:ext cx="2272" cy="47625"/>
        </a:xfrm>
        <a:prstGeom prst="rect">
          <a:avLst/>
        </a:prstGeom>
        <a:noFill/>
        <a:ln w="9525">
          <a:no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1516380</xdr:colOff>
      <xdr:row>81</xdr:row>
      <xdr:rowOff>0</xdr:rowOff>
    </xdr:from>
    <xdr:to>
      <xdr:col>1</xdr:col>
      <xdr:colOff>1516380</xdr:colOff>
      <xdr:row>81</xdr:row>
      <xdr:rowOff>30480</xdr:rowOff>
    </xdr:to>
    <xdr:sp macro="" textlink="">
      <xdr:nvSpPr>
        <xdr:cNvPr id="2" name="Text Box 1"/>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3"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4"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5"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6" name="Text Box 7"/>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7" name="Text Box 8"/>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8" name="Text Box 1"/>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9"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10"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11"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12" name="Text Box 7"/>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13" name="Text Box 8"/>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14"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15"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16"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17" name="Text Box 7"/>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18" name="Text Box 8"/>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19"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20"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21"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22" name="Text Box 1"/>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23"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24"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25"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26" name="Text Box 7"/>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27" name="Text Box 8"/>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28" name="Text Box 1"/>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29"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30"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31"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32" name="Text Box 7"/>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33" name="Text Box 8"/>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34"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35"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36"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37" name="Text Box 7"/>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38" name="Text Box 8"/>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39"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40"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41"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42" name="Text Box 1"/>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43"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44"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45"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46" name="Text Box 7"/>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47" name="Text Box 8"/>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48" name="Text Box 1"/>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49"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50"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51"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52" name="Text Box 7"/>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53" name="Text Box 8"/>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54"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55"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56"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57" name="Text Box 7"/>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58" name="Text Box 8"/>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59"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60"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61"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62" name="Text Box 1"/>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63"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64"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65"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66" name="Text Box 7"/>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67" name="Text Box 8"/>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68" name="Text Box 1"/>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69"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70"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71"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72" name="Text Box 7"/>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73" name="Text Box 8"/>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74"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75"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76"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77" name="Text Box 7"/>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78" name="Text Box 8"/>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79"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80"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81</xdr:row>
      <xdr:rowOff>0</xdr:rowOff>
    </xdr:from>
    <xdr:to>
      <xdr:col>1</xdr:col>
      <xdr:colOff>1516380</xdr:colOff>
      <xdr:row>81</xdr:row>
      <xdr:rowOff>30480</xdr:rowOff>
    </xdr:to>
    <xdr:sp macro="" textlink="">
      <xdr:nvSpPr>
        <xdr:cNvPr id="81"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1516380</xdr:colOff>
      <xdr:row>84</xdr:row>
      <xdr:rowOff>0</xdr:rowOff>
    </xdr:from>
    <xdr:to>
      <xdr:col>1</xdr:col>
      <xdr:colOff>1516380</xdr:colOff>
      <xdr:row>84</xdr:row>
      <xdr:rowOff>30480</xdr:rowOff>
    </xdr:to>
    <xdr:sp macro="" textlink="">
      <xdr:nvSpPr>
        <xdr:cNvPr id="2" name="Text Box 1"/>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3"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4"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5"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6" name="Text Box 7"/>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7" name="Text Box 8"/>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8" name="Text Box 1"/>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9"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10"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11"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12" name="Text Box 7"/>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13" name="Text Box 8"/>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14"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15"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16"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17" name="Text Box 7"/>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18" name="Text Box 8"/>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19"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20"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21"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22" name="Text Box 1"/>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23"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24"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25"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26" name="Text Box 7"/>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27" name="Text Box 8"/>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28" name="Text Box 1"/>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29"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30"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31"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32" name="Text Box 7"/>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33" name="Text Box 8"/>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34"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35"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36"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37" name="Text Box 7"/>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38" name="Text Box 8"/>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39"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40"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41"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42" name="Text Box 1"/>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43"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44"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45"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46" name="Text Box 7"/>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47" name="Text Box 8"/>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48" name="Text Box 1"/>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49"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50"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51"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52" name="Text Box 7"/>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53" name="Text Box 8"/>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54"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55"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56"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57" name="Text Box 7"/>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58" name="Text Box 8"/>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59"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60"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61"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62" name="Text Box 1"/>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63"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64"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65"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66" name="Text Box 7"/>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67" name="Text Box 8"/>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68" name="Text Box 1"/>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69"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70"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71"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72" name="Text Box 7"/>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73" name="Text Box 8"/>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74"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75"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76"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77" name="Text Box 7"/>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78" name="Text Box 8"/>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79"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80"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81"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1516380</xdr:colOff>
      <xdr:row>82</xdr:row>
      <xdr:rowOff>0</xdr:rowOff>
    </xdr:from>
    <xdr:to>
      <xdr:col>1</xdr:col>
      <xdr:colOff>1516380</xdr:colOff>
      <xdr:row>82</xdr:row>
      <xdr:rowOff>30480</xdr:rowOff>
    </xdr:to>
    <xdr:sp macro="" textlink="">
      <xdr:nvSpPr>
        <xdr:cNvPr id="2" name="Text Box 1"/>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3"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4"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5"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6"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7"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8" name="Text Box 1"/>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9"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10"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11"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12"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13"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14"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15"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16"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17"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18"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19"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20"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21"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22" name="Text Box 1"/>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23"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24"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25"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26"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27"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28" name="Text Box 1"/>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29"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30"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31"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32"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33"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34"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35"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36"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37"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38"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39"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40"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41"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42" name="Text Box 1"/>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43"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44"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45"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46"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47"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48" name="Text Box 1"/>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49"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50"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51"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52"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53"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54"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55"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56"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57"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58"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59"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60"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61"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62" name="Text Box 1"/>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63"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64"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65"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66"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67"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68" name="Text Box 1"/>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69"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70"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71"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72"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73"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74"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75"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76"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77" name="Text Box 7"/>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78" name="Text Box 8"/>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79" name="Text Box 4"/>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80" name="Text Box 5"/>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82</xdr:row>
      <xdr:rowOff>0</xdr:rowOff>
    </xdr:from>
    <xdr:to>
      <xdr:col>1</xdr:col>
      <xdr:colOff>1516380</xdr:colOff>
      <xdr:row>82</xdr:row>
      <xdr:rowOff>30480</xdr:rowOff>
    </xdr:to>
    <xdr:sp macro="" textlink="">
      <xdr:nvSpPr>
        <xdr:cNvPr id="81" name="Text Box 6"/>
        <xdr:cNvSpPr txBox="1">
          <a:spLocks noChangeArrowheads="1"/>
        </xdr:cNvSpPr>
      </xdr:nvSpPr>
      <xdr:spPr bwMode="auto">
        <a:xfrm>
          <a:off x="2354580" y="6547866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1516380</xdr:colOff>
      <xdr:row>76</xdr:row>
      <xdr:rowOff>0</xdr:rowOff>
    </xdr:from>
    <xdr:to>
      <xdr:col>1</xdr:col>
      <xdr:colOff>1516380</xdr:colOff>
      <xdr:row>76</xdr:row>
      <xdr:rowOff>30480</xdr:rowOff>
    </xdr:to>
    <xdr:sp macro="" textlink="">
      <xdr:nvSpPr>
        <xdr:cNvPr id="2" name="Text Box 1"/>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3"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4"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5"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6" name="Text Box 7"/>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7" name="Text Box 8"/>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8" name="Text Box 1"/>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9"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10"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11"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12" name="Text Box 7"/>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13" name="Text Box 8"/>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14"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15"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16"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17" name="Text Box 7"/>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18" name="Text Box 8"/>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19"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20"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21"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22" name="Text Box 1"/>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23"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24"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25"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26" name="Text Box 7"/>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27" name="Text Box 8"/>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28" name="Text Box 1"/>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29"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30"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31"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32" name="Text Box 7"/>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33" name="Text Box 8"/>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34"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35"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36"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37" name="Text Box 7"/>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38" name="Text Box 8"/>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39"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40"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41"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42" name="Text Box 1"/>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43"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44"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45"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46" name="Text Box 7"/>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47" name="Text Box 8"/>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48" name="Text Box 1"/>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49"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50"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51"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52" name="Text Box 7"/>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53" name="Text Box 8"/>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54"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55"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56"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57" name="Text Box 7"/>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58" name="Text Box 8"/>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59"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60"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61"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62" name="Text Box 1"/>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63"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64"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65"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66" name="Text Box 7"/>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67" name="Text Box 8"/>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68" name="Text Box 1"/>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69"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70"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71"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72" name="Text Box 7"/>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73" name="Text Box 8"/>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74"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75"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76"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77" name="Text Box 7"/>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78" name="Text Box 8"/>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79" name="Text Box 4"/>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80" name="Text Box 5"/>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76</xdr:row>
      <xdr:rowOff>0</xdr:rowOff>
    </xdr:from>
    <xdr:to>
      <xdr:col>1</xdr:col>
      <xdr:colOff>1516380</xdr:colOff>
      <xdr:row>76</xdr:row>
      <xdr:rowOff>30480</xdr:rowOff>
    </xdr:to>
    <xdr:sp macro="" textlink="">
      <xdr:nvSpPr>
        <xdr:cNvPr id="81" name="Text Box 6"/>
        <xdr:cNvSpPr txBox="1">
          <a:spLocks noChangeArrowheads="1"/>
        </xdr:cNvSpPr>
      </xdr:nvSpPr>
      <xdr:spPr bwMode="auto">
        <a:xfrm>
          <a:off x="2354580" y="6038088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1516380</xdr:colOff>
      <xdr:row>84</xdr:row>
      <xdr:rowOff>0</xdr:rowOff>
    </xdr:from>
    <xdr:to>
      <xdr:col>1</xdr:col>
      <xdr:colOff>1516380</xdr:colOff>
      <xdr:row>84</xdr:row>
      <xdr:rowOff>30480</xdr:rowOff>
    </xdr:to>
    <xdr:sp macro="" textlink="">
      <xdr:nvSpPr>
        <xdr:cNvPr id="2" name="Text Box 1"/>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3"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4"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5"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6" name="Text Box 7"/>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7" name="Text Box 8"/>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8" name="Text Box 1"/>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9"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10"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11"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12" name="Text Box 7"/>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13" name="Text Box 8"/>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14"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15"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16"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17" name="Text Box 7"/>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18" name="Text Box 8"/>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19"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20"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21"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22" name="Text Box 1"/>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23"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24"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25"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26" name="Text Box 7"/>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27" name="Text Box 8"/>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28" name="Text Box 1"/>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29"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30"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31"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32" name="Text Box 7"/>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33" name="Text Box 8"/>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34"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35"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36"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37" name="Text Box 7"/>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38" name="Text Box 8"/>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39"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40"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41"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42" name="Text Box 1"/>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43"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44"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45"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46" name="Text Box 7"/>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47" name="Text Box 8"/>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48" name="Text Box 1"/>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49"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50"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51"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52" name="Text Box 7"/>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53" name="Text Box 8"/>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54"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55"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56"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57" name="Text Box 7"/>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58" name="Text Box 8"/>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59"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60"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61"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62" name="Text Box 1"/>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63"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64"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65"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66" name="Text Box 7"/>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67" name="Text Box 8"/>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68" name="Text Box 1"/>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69"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70"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71"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72" name="Text Box 7"/>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73" name="Text Box 8"/>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74"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75"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76"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77" name="Text Box 7"/>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78" name="Text Box 8"/>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79" name="Text Box 4"/>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80" name="Text Box 5"/>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1516380</xdr:colOff>
      <xdr:row>84</xdr:row>
      <xdr:rowOff>0</xdr:rowOff>
    </xdr:from>
    <xdr:to>
      <xdr:col>1</xdr:col>
      <xdr:colOff>1516380</xdr:colOff>
      <xdr:row>84</xdr:row>
      <xdr:rowOff>30480</xdr:rowOff>
    </xdr:to>
    <xdr:sp macro="" textlink="">
      <xdr:nvSpPr>
        <xdr:cNvPr id="81" name="Text Box 6"/>
        <xdr:cNvSpPr txBox="1">
          <a:spLocks noChangeArrowheads="1"/>
        </xdr:cNvSpPr>
      </xdr:nvSpPr>
      <xdr:spPr bwMode="auto">
        <a:xfrm>
          <a:off x="2354580" y="579965820"/>
          <a:ext cx="0" cy="304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14</xdr:col>
      <xdr:colOff>457200</xdr:colOff>
      <xdr:row>7792</xdr:row>
      <xdr:rowOff>190500</xdr:rowOff>
    </xdr:from>
    <xdr:to>
      <xdr:col>14</xdr:col>
      <xdr:colOff>552450</xdr:colOff>
      <xdr:row>7792</xdr:row>
      <xdr:rowOff>193675</xdr:rowOff>
    </xdr:to>
    <xdr:sp macro="" textlink="">
      <xdr:nvSpPr>
        <xdr:cNvPr id="2" name="Text Box 1"/>
        <xdr:cNvSpPr txBox="1">
          <a:spLocks noChangeArrowheads="1"/>
        </xdr:cNvSpPr>
      </xdr:nvSpPr>
      <xdr:spPr bwMode="auto">
        <a:xfrm>
          <a:off x="20688300" y="2408237500"/>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2510971</xdr:colOff>
      <xdr:row>0</xdr:row>
      <xdr:rowOff>47625</xdr:rowOff>
    </xdr:to>
    <xdr:sp macro="" textlink="">
      <xdr:nvSpPr>
        <xdr:cNvPr id="3" name="Text Box 2"/>
        <xdr:cNvSpPr txBox="1">
          <a:spLocks noChangeArrowheads="1"/>
        </xdr:cNvSpPr>
      </xdr:nvSpPr>
      <xdr:spPr bwMode="auto">
        <a:xfrm>
          <a:off x="12544425" y="0"/>
          <a:ext cx="12246" cy="476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021%20-%202022%20-%20Ooty/Church%20Hill%20-%20Rough%20Cost%20%20-%2021%20-%2022/Office%20Files%20-%2022.03/21%20-22%20Data/Ooty%20Data%20-%202021-202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ayiladuthurai%20qtrs%2024.02.2017%20to%20Chennai%20Head%20Offic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2021%20-%202022%20-%20Ooty/Church%20Hill%20-%20Rough%20Cost%20%20-%2021%20-%2022/pen%20drive%20bakup/baskar%2007.01.2018/MPF%20SHEME%20Rough%20ost%20development%20works/dsp%20gudalur/gUDALUR%20nEW/gudalur%20F.S/Gudalur%20Fire%20service%20quarters%20Development%20work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Subd%20Division%20files\baskar%2017.02.23\Final%20final%20hill%20data%20GMHSS%20RATE%20STATEMEN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Project%20System/Desktop/church%20hill%20data%20final%202022-2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2021%20-%202022%20-%20Ooty/Church%20Hill%20-%20Rough%20Cost%20%20-%2021%20-%2022/back%20up%20desk%20top%20and%20c%20drive/documents/Desktop/Tj%20Est/Ooty%20Est/SP%20Residence/SP%20Residence.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2021%20-%202022%20-%20Ooty/Church%20Hill%20-%20Rough%20Cost%20%20-%2021%20-%2022/Office%20Files/Gudalur%20Files/CSC%20Est/CSC.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2021%20-%202022%20-%20Ooty/Church%20Hill%20-%20Rough%20Cost%20%20-%2021%20-%2022/Office%20Files%20-%2022.03/Ooty%20Files/120%20Pudhumand%20Qtrs/Rough%20cost/Rough%20Cost%20%20Pudumand%20Final%2021%20-%2022%20-%20New.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2021%20-%202022%20-%20Ooty/Church%20Hill%20-%20Rough%20Cost%20%20-%2021%20-%2022/MY%20EST/Est%20and%20Files%20Gdr/Ooty%20Est/Sub%20Jail%20-%20Est%201/Sub%20Jail%20-%20Add%20-%201.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2021%20-%202022%20-%20Ooty/Church%20Hill%20-%20Rough%20Cost%20%20-%2021%20-%2022/Users/PC/Desktop/May/OOTY%20DATA%202020-2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2021%20-%202022%20-%20Ooty/Church%20Hill%20-%20Rough%20Cost%20%20-%2021%20-%2022/Users/Loganathan/Desktop/share/Indiragandhi/revised%20estimate%202017-18/Final%20D5%20MArina%20Police%20Station.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pile data ( M30 grade) (2)"/>
      <sheetName val="Abstract "/>
      <sheetName val="G. Abstract"/>
      <sheetName val="pile data "/>
      <sheetName val="  Coastal  Elec.Data "/>
      <sheetName val="Chart1"/>
      <sheetName val="lead  charge"/>
      <sheetName val="Elec.Data"/>
      <sheetName val="Data"/>
      <sheetName val="building"/>
      <sheetName val="Sliding and french window"/>
      <sheetName val="Sheet1"/>
    </sheetNames>
    <sheetDataSet>
      <sheetData sheetId="0">
        <row r="17">
          <cell r="F17">
            <v>3529.84</v>
          </cell>
        </row>
        <row r="28">
          <cell r="F28">
            <v>764.05</v>
          </cell>
        </row>
        <row r="81">
          <cell r="F81">
            <v>3091.82</v>
          </cell>
        </row>
        <row r="92">
          <cell r="F92">
            <v>619.82000000000005</v>
          </cell>
        </row>
        <row r="141">
          <cell r="F141">
            <v>2699.36</v>
          </cell>
        </row>
        <row r="152">
          <cell r="F152">
            <v>491.17</v>
          </cell>
        </row>
      </sheetData>
      <sheetData sheetId="1"/>
      <sheetData sheetId="2"/>
      <sheetData sheetId="3">
        <row r="17">
          <cell r="F17">
            <v>6410.78</v>
          </cell>
        </row>
        <row r="81">
          <cell r="F81">
            <v>4544.05</v>
          </cell>
        </row>
        <row r="92">
          <cell r="F92">
            <v>1579.06</v>
          </cell>
        </row>
        <row r="141">
          <cell r="F141">
            <v>2699.36</v>
          </cell>
        </row>
        <row r="152">
          <cell r="F152">
            <v>710.58</v>
          </cell>
        </row>
      </sheetData>
      <sheetData sheetId="4">
        <row r="2860">
          <cell r="K2860">
            <v>1493.5</v>
          </cell>
        </row>
        <row r="2884">
          <cell r="K2884">
            <v>1496.5</v>
          </cell>
        </row>
        <row r="2899">
          <cell r="K2899">
            <v>1526.1</v>
          </cell>
        </row>
        <row r="2921">
          <cell r="K2921">
            <v>1547.2</v>
          </cell>
        </row>
        <row r="2945">
          <cell r="K2945">
            <v>2795.5</v>
          </cell>
        </row>
        <row r="2965">
          <cell r="K2965">
            <v>1038</v>
          </cell>
        </row>
        <row r="2977">
          <cell r="K2977">
            <v>765</v>
          </cell>
        </row>
        <row r="2988">
          <cell r="K2988">
            <v>133.5</v>
          </cell>
        </row>
      </sheetData>
      <sheetData sheetId="5" refreshError="1"/>
      <sheetData sheetId="6"/>
      <sheetData sheetId="7"/>
      <sheetData sheetId="8"/>
      <sheetData sheetId="9"/>
      <sheetData sheetId="10">
        <row r="145">
          <cell r="F145">
            <v>5796.72</v>
          </cell>
        </row>
        <row r="167">
          <cell r="F167">
            <v>5136.1000000000004</v>
          </cell>
        </row>
        <row r="219">
          <cell r="G219">
            <v>27750</v>
          </cell>
        </row>
        <row r="310">
          <cell r="F310">
            <v>5808.54</v>
          </cell>
        </row>
        <row r="350">
          <cell r="G350">
            <v>3353.03</v>
          </cell>
        </row>
        <row r="395">
          <cell r="G395">
            <v>4048</v>
          </cell>
        </row>
        <row r="440">
          <cell r="G440">
            <v>3758.93</v>
          </cell>
        </row>
        <row r="491">
          <cell r="G491">
            <v>3169.22</v>
          </cell>
        </row>
        <row r="558">
          <cell r="F558">
            <v>4084.7</v>
          </cell>
        </row>
        <row r="595">
          <cell r="F595">
            <v>3783.48</v>
          </cell>
        </row>
        <row r="630">
          <cell r="F630">
            <v>4084.71</v>
          </cell>
        </row>
        <row r="666">
          <cell r="F666">
            <v>4532.8500000000004</v>
          </cell>
        </row>
        <row r="702">
          <cell r="F702">
            <v>5387.75</v>
          </cell>
        </row>
      </sheetData>
      <sheetData sheetId="1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 new Elec.Data (2)"/>
      <sheetName val="Sheet1 (3)"/>
      <sheetName val="pile data"/>
      <sheetName val="lead  charge"/>
      <sheetName val="Elec.Data"/>
      <sheetName val="Elec.abs"/>
      <sheetName val="G. Abstract (8.11)"/>
      <sheetName val="Data"/>
      <sheetName val="Develo"/>
      <sheetName val="Building (8.11)"/>
      <sheetName val="Abstract"/>
    </sheetNames>
    <sheetDataSet>
      <sheetData sheetId="0" refreshError="1"/>
      <sheetData sheetId="1" refreshError="1"/>
      <sheetData sheetId="2"/>
      <sheetData sheetId="3" refreshError="1"/>
      <sheetData sheetId="4" refreshError="1"/>
      <sheetData sheetId="5" refreshError="1"/>
      <sheetData sheetId="6" refreshError="1"/>
      <sheetData sheetId="7"/>
      <sheetData sheetId="8" refreshError="1"/>
      <sheetData sheetId="9" refreshError="1"/>
      <sheetData sheetId="10"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teel formula (4)"/>
      <sheetName val="lead  charge"/>
      <sheetName val="Elec.Data"/>
      <sheetName val="Elec.abs"/>
      <sheetName val="Data"/>
      <sheetName val="Develo"/>
      <sheetName val="Building"/>
      <sheetName val="CC Road Det"/>
      <sheetName val="CC Road Abs"/>
      <sheetName val="Storm Abs"/>
      <sheetName val="Storm Det"/>
      <sheetName val="Sullage detail"/>
      <sheetName val="Sullage Abs"/>
      <sheetName val="Septic detail"/>
      <sheetName val="Sheet1"/>
      <sheetName val="Septic Tank Abs"/>
      <sheetName val="Sheet2"/>
      <sheetName val="Sump detail"/>
      <sheetName val="sump abs"/>
      <sheetName val="plinth protection Detailed"/>
      <sheetName val="Plinth protection abs"/>
      <sheetName val="OHT Detail"/>
      <sheetName val="OHT Abs"/>
      <sheetName val="final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
          <cell r="A4" t="str">
            <v>NAME OF WORK:  SEPTIC TANK DESIGN FOR THE CONSTRUCTION OF 1 No SFO and 14 Nos Fire men quarters at Gudalur in the Nilgiris District</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ile data ( M30 grade) (2)"/>
      <sheetName val="Abstract "/>
      <sheetName val="G. Abstract"/>
      <sheetName val="2 in 1 incl. F.E."/>
      <sheetName val="pile data "/>
      <sheetName val="  Coastal  Elec.Data "/>
      <sheetName val="lead  charge"/>
      <sheetName val="Elec.Data"/>
      <sheetName val="Sliding and french window"/>
      <sheetName val="Print Data"/>
      <sheetName val="Data"/>
      <sheetName val="Chart1"/>
      <sheetName val="G.abs"/>
      <sheetName val="buildingfinal A3"/>
      <sheetName val="Auditorium"/>
      <sheetName val="Girls toilet t3&amp;t7"/>
      <sheetName val="Girls toilet T4"/>
      <sheetName val="class roomblocks"/>
      <sheetName val="R.R WATER TANK"/>
      <sheetName val="High lab"/>
      <sheetName val="Boys Toilet  T1"/>
      <sheetName val="women staff toilet"/>
      <sheetName val="physics lab"/>
      <sheetName val="chemistry lab"/>
    </sheetNames>
    <sheetDataSet>
      <sheetData sheetId="0"/>
      <sheetData sheetId="1"/>
      <sheetData sheetId="2"/>
      <sheetData sheetId="3"/>
      <sheetData sheetId="4"/>
      <sheetData sheetId="5"/>
      <sheetData sheetId="6"/>
      <sheetData sheetId="7"/>
      <sheetData sheetId="8"/>
      <sheetData sheetId="9"/>
      <sheetData sheetId="10">
        <row r="9">
          <cell r="AH9">
            <v>947</v>
          </cell>
        </row>
        <row r="16">
          <cell r="Z16">
            <v>1312</v>
          </cell>
        </row>
        <row r="18">
          <cell r="Z18">
            <v>5709</v>
          </cell>
        </row>
        <row r="31">
          <cell r="Z31">
            <v>6040</v>
          </cell>
        </row>
        <row r="67">
          <cell r="C67">
            <v>6040</v>
          </cell>
        </row>
        <row r="3241">
          <cell r="I3241">
            <v>227.6</v>
          </cell>
        </row>
      </sheetData>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pile data ( M30 grade) (2)"/>
      <sheetName val="Abstract "/>
      <sheetName val="G. Abstract"/>
      <sheetName val="2 in 1 incl. F.E."/>
      <sheetName val="pile data "/>
      <sheetName val="  Coastal  Elec.Data "/>
      <sheetName val="lead  charge"/>
      <sheetName val="Elec.Data"/>
      <sheetName val="Sliding and french window"/>
      <sheetName val="Data"/>
      <sheetName val="Chart1"/>
      <sheetName val="G.abs"/>
      <sheetName val="buildingfinal"/>
      <sheetName val="chemistry lab"/>
      <sheetName val="women staff toilet"/>
      <sheetName val="physics lab"/>
    </sheetNames>
    <sheetDataSet>
      <sheetData sheetId="0" refreshError="1"/>
      <sheetData sheetId="1" refreshError="1"/>
      <sheetData sheetId="2" refreshError="1"/>
      <sheetData sheetId="3" refreshError="1"/>
      <sheetData sheetId="4" refreshError="1"/>
      <sheetData sheetId="5" refreshError="1"/>
      <sheetData sheetId="6">
        <row r="10">
          <cell r="D10">
            <v>10</v>
          </cell>
          <cell r="E10">
            <v>114.5</v>
          </cell>
          <cell r="G10">
            <v>35</v>
          </cell>
          <cell r="H10">
            <v>285.8</v>
          </cell>
          <cell r="M10">
            <v>35</v>
          </cell>
          <cell r="N10">
            <v>476.45</v>
          </cell>
          <cell r="P10">
            <v>35</v>
          </cell>
          <cell r="Q10">
            <v>232.9</v>
          </cell>
        </row>
        <row r="11">
          <cell r="D11">
            <v>4</v>
          </cell>
          <cell r="E11">
            <v>45.8</v>
          </cell>
          <cell r="K11">
            <v>0</v>
          </cell>
          <cell r="P11">
            <v>0</v>
          </cell>
          <cell r="Q11">
            <v>0</v>
          </cell>
        </row>
        <row r="12">
          <cell r="D12">
            <v>10</v>
          </cell>
          <cell r="E12">
            <v>114.5</v>
          </cell>
          <cell r="J12">
            <v>0</v>
          </cell>
          <cell r="P12">
            <v>0</v>
          </cell>
          <cell r="Q12">
            <v>0</v>
          </cell>
        </row>
        <row r="13">
          <cell r="D13">
            <v>0</v>
          </cell>
          <cell r="E13">
            <v>0</v>
          </cell>
          <cell r="P13">
            <v>0</v>
          </cell>
          <cell r="Q13">
            <v>0</v>
          </cell>
        </row>
        <row r="14">
          <cell r="D14">
            <v>0</v>
          </cell>
          <cell r="E14">
            <v>0</v>
          </cell>
        </row>
        <row r="15">
          <cell r="D15">
            <v>0</v>
          </cell>
        </row>
        <row r="16">
          <cell r="D16">
            <v>0</v>
          </cell>
          <cell r="E16">
            <v>0</v>
          </cell>
        </row>
        <row r="36">
          <cell r="C36">
            <v>51</v>
          </cell>
          <cell r="D36">
            <v>865.22</v>
          </cell>
          <cell r="F36">
            <v>51</v>
          </cell>
          <cell r="G36">
            <v>628.72</v>
          </cell>
          <cell r="L36">
            <v>51</v>
          </cell>
          <cell r="M36">
            <v>1048.8599999999999</v>
          </cell>
          <cell r="O36">
            <v>51</v>
          </cell>
          <cell r="P36">
            <v>513.52</v>
          </cell>
        </row>
        <row r="50">
          <cell r="C50">
            <v>51</v>
          </cell>
          <cell r="D50">
            <v>907.7</v>
          </cell>
        </row>
      </sheetData>
      <sheetData sheetId="7">
        <row r="29">
          <cell r="K29">
            <v>1630</v>
          </cell>
        </row>
        <row r="53">
          <cell r="K53">
            <v>1633</v>
          </cell>
        </row>
        <row r="68">
          <cell r="K68">
            <v>1670</v>
          </cell>
        </row>
        <row r="90">
          <cell r="K90">
            <v>1705</v>
          </cell>
        </row>
        <row r="114">
          <cell r="K114">
            <v>3052</v>
          </cell>
        </row>
        <row r="134">
          <cell r="K134">
            <v>1133</v>
          </cell>
        </row>
        <row r="146">
          <cell r="K146">
            <v>835</v>
          </cell>
        </row>
        <row r="157">
          <cell r="K157">
            <v>150</v>
          </cell>
        </row>
        <row r="249">
          <cell r="K249">
            <v>208</v>
          </cell>
        </row>
        <row r="274">
          <cell r="K274">
            <v>266</v>
          </cell>
        </row>
        <row r="304">
          <cell r="K304">
            <v>517</v>
          </cell>
        </row>
        <row r="342">
          <cell r="K342">
            <v>1345.6</v>
          </cell>
        </row>
        <row r="390">
          <cell r="K390">
            <v>3430</v>
          </cell>
        </row>
        <row r="402">
          <cell r="K402">
            <v>4212</v>
          </cell>
        </row>
        <row r="446">
          <cell r="K446">
            <v>571</v>
          </cell>
        </row>
        <row r="463">
          <cell r="K463">
            <v>26.3</v>
          </cell>
        </row>
        <row r="488">
          <cell r="K488">
            <v>2921.6</v>
          </cell>
        </row>
        <row r="610">
          <cell r="K610">
            <v>818.75</v>
          </cell>
        </row>
        <row r="627">
          <cell r="K627">
            <v>2695</v>
          </cell>
        </row>
        <row r="807">
          <cell r="K807">
            <v>2946</v>
          </cell>
        </row>
        <row r="881">
          <cell r="K881">
            <v>77.010000000000005</v>
          </cell>
        </row>
        <row r="913">
          <cell r="K913">
            <v>2336</v>
          </cell>
        </row>
        <row r="931">
          <cell r="K931">
            <v>2149.15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sheetData>
      <sheetData sheetId="7"/>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lead  charge"/>
      <sheetName val="Elec.Data"/>
      <sheetName val="Elec.abs"/>
      <sheetName val="Data"/>
      <sheetName val="Short data"/>
      <sheetName val="cc.road"/>
      <sheetName val="CC ABS"/>
      <sheetName val="septic tank"/>
      <sheetName val="septic abs"/>
      <sheetName val="sump"/>
      <sheetName val="sump abs"/>
      <sheetName val="SULLAGE DRAIN"/>
      <sheetName val="SULLAGE DRAIN ABS"/>
      <sheetName val="storm water"/>
      <sheetName val="STORM ABS"/>
      <sheetName val="compound wall"/>
      <sheetName val="COMPOUND ABS"/>
      <sheetName val="Details"/>
      <sheetName val="Abstract"/>
      <sheetName val="SUB DATA"/>
      <sheetName val="retaining wall"/>
      <sheetName val="retaining wall abs"/>
      <sheetName val="retaining wall abs "/>
      <sheetName val="Sheet1"/>
      <sheetName val="bar bending"/>
    </sheetNames>
    <sheetDataSet>
      <sheetData sheetId="0" refreshError="1"/>
      <sheetData sheetId="1" refreshError="1"/>
      <sheetData sheetId="2">
        <row r="3948">
          <cell r="K3948">
            <v>94.004444444444445</v>
          </cell>
        </row>
      </sheetData>
      <sheetData sheetId="3">
        <row r="88">
          <cell r="K88">
            <v>248.87333333333331</v>
          </cell>
        </row>
      </sheetData>
      <sheetData sheetId="4">
        <row r="122">
          <cell r="F122">
            <v>637.85755549999999</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0">
          <cell r="D10">
            <v>272.2414</v>
          </cell>
        </row>
      </sheetData>
      <sheetData sheetId="15" refreshError="1"/>
      <sheetData sheetId="16">
        <row r="7">
          <cell r="D7">
            <v>5702.5769999999993</v>
          </cell>
        </row>
      </sheetData>
      <sheetData sheetId="17">
        <row r="1">
          <cell r="A1" t="str">
            <v>TamilNadu Police Housing Corporation Limited</v>
          </cell>
        </row>
      </sheetData>
      <sheetData sheetId="18"/>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plinth detail"/>
      <sheetName val="sullage detail"/>
      <sheetName val="pile data ( M30 grade) (2)"/>
      <sheetName val="Abstract (21.4.18)"/>
      <sheetName val="G. Abstract (2)"/>
      <sheetName val="pile data ( M20 grade)"/>
      <sheetName val="  Coastal  Elec.Data "/>
      <sheetName val="lead  charge"/>
      <sheetName val="Data"/>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G. Abstractfinal"/>
      <sheetName val="Elec.Data"/>
      <sheetName val="Elec.abs"/>
      <sheetName val="detail est"/>
      <sheetName val="Abstract Est"/>
      <sheetName val="Sheet Detail"/>
      <sheetName val="Sheet Abs"/>
      <sheetName val="G.Abstract"/>
      <sheetName val="Sheet2"/>
    </sheetNames>
    <sheetDataSet>
      <sheetData sheetId="0"/>
      <sheetData sheetId="1"/>
      <sheetData sheetId="2"/>
      <sheetData sheetId="3"/>
      <sheetData sheetId="4"/>
      <sheetData sheetId="5"/>
      <sheetData sheetId="6"/>
      <sheetData sheetId="7"/>
      <sheetData sheetId="8">
        <row r="88">
          <cell r="K88">
            <v>248.87</v>
          </cell>
        </row>
        <row r="144">
          <cell r="K144">
            <v>2498</v>
          </cell>
        </row>
        <row r="204">
          <cell r="K204">
            <v>6158.05</v>
          </cell>
        </row>
        <row r="345">
          <cell r="AI345">
            <v>7462.57</v>
          </cell>
        </row>
        <row r="409">
          <cell r="AI409">
            <v>938.23</v>
          </cell>
        </row>
        <row r="482">
          <cell r="K482">
            <v>41.02</v>
          </cell>
        </row>
        <row r="1400">
          <cell r="K1400">
            <v>277.07</v>
          </cell>
        </row>
        <row r="1727">
          <cell r="K1727">
            <v>479.3</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lead  charge (3)"/>
      <sheetName val="Data (3)"/>
      <sheetName val="lead  charge"/>
      <sheetName val="Data"/>
      <sheetName val="Short data"/>
      <sheetName val="Gen abs"/>
      <sheetName val="DSP"/>
      <sheetName val="DSP(G+1)"/>
      <sheetName val="INS (G)"/>
      <sheetName val="G SI ( 4 in1 )"/>
      <sheetName val="G SI  (2 in 1)"/>
      <sheetName val="PCHC (4 in 1)"/>
      <sheetName val="PCHC (2in1)"/>
      <sheetName val="cc.road"/>
      <sheetName val="CC ABS"/>
      <sheetName val="septic tank"/>
      <sheetName val="septic abs"/>
      <sheetName val="sump"/>
      <sheetName val="sump abs"/>
      <sheetName val="SULLAGE DRAIN"/>
      <sheetName val="SULLAGE DRAIN ABS"/>
      <sheetName val="storm water"/>
      <sheetName val="STORM ABS"/>
      <sheetName val="Culvert"/>
      <sheetName val="Culvert abs"/>
      <sheetName val="Retained Wall 4.5 m "/>
      <sheetName val="Retained Wall 4.5 m Abs"/>
      <sheetName val="BBS"/>
      <sheetName val="Retained Wall 3.5 m "/>
      <sheetName val="Retained Wall 3.5 m Abs "/>
      <sheetName val="compound wall"/>
      <sheetName val="COMPOUND ABS"/>
      <sheetName val="two wheeler shed"/>
      <sheetName val="Wheeler Shed ABS"/>
      <sheetName val="retaining wall"/>
      <sheetName val="retaining wall abs"/>
      <sheetName val="retaining wall abs "/>
      <sheetName val="Sheet1"/>
      <sheetName val="bar bending"/>
    </sheetNames>
    <sheetDataSet>
      <sheetData sheetId="0"/>
      <sheetData sheetId="1"/>
      <sheetData sheetId="2"/>
      <sheetData sheetId="3">
        <row r="88">
          <cell r="K88">
            <v>286.15999999999997</v>
          </cell>
        </row>
        <row r="89">
          <cell r="K89">
            <v>299.18</v>
          </cell>
        </row>
        <row r="304">
          <cell r="R304">
            <v>315.83972000000006</v>
          </cell>
        </row>
        <row r="411">
          <cell r="AH411">
            <v>995.56168548000005</v>
          </cell>
        </row>
        <row r="1952">
          <cell r="K1952">
            <v>30</v>
          </cell>
        </row>
      </sheetData>
      <sheetData sheetId="4"/>
      <sheetData sheetId="5"/>
      <sheetData sheetId="6"/>
      <sheetData sheetId="7"/>
      <sheetData sheetId="8"/>
      <sheetData sheetId="9"/>
      <sheetData sheetId="10"/>
      <sheetData sheetId="11"/>
      <sheetData sheetId="12"/>
      <sheetData sheetId="13"/>
      <sheetData sheetId="14">
        <row r="6">
          <cell r="D6">
            <v>2248.4800000000005</v>
          </cell>
        </row>
        <row r="7">
          <cell r="D7">
            <v>6117.4169999999995</v>
          </cell>
        </row>
      </sheetData>
      <sheetData sheetId="15"/>
      <sheetData sheetId="16">
        <row r="14">
          <cell r="D14">
            <v>9466.0664780999996</v>
          </cell>
        </row>
        <row r="17">
          <cell r="D17">
            <v>47.04</v>
          </cell>
        </row>
        <row r="20">
          <cell r="D20">
            <v>299.81924000000004</v>
          </cell>
        </row>
        <row r="24">
          <cell r="D24">
            <v>1001.4532549999999</v>
          </cell>
        </row>
        <row r="25">
          <cell r="D25">
            <v>1110.1552549999999</v>
          </cell>
        </row>
        <row r="26">
          <cell r="D26">
            <v>88856</v>
          </cell>
        </row>
        <row r="28">
          <cell r="D28">
            <v>1846</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lead  charge"/>
      <sheetName val="Elec.Data"/>
      <sheetName val="Elec.abs"/>
      <sheetName val="Data"/>
      <sheetName val="Details"/>
      <sheetName val="Abs"/>
      <sheetName val="Print data"/>
      <sheetName val="cc.road"/>
      <sheetName val="CC ABS"/>
      <sheetName val="septic tank"/>
      <sheetName val="septic abs"/>
      <sheetName val="sump"/>
      <sheetName val="sump abs"/>
      <sheetName val="SULLAGE DRAIN"/>
      <sheetName val="SULLAGE DRAIN ABS"/>
      <sheetName val="storm water"/>
      <sheetName val="STORM ABS"/>
      <sheetName val="compound wall"/>
      <sheetName val="COMPOUND ABS"/>
      <sheetName val="retaining wall"/>
      <sheetName val="retaining wall abs"/>
      <sheetName val="retaining wall abs "/>
      <sheetName val="Sheet1"/>
      <sheetName val="bar bending"/>
      <sheetName val="Short data"/>
    </sheetNames>
    <definedNames>
      <definedName name="Fbi" sheetId="3"/>
    </definedNames>
    <sheetDataSet>
      <sheetData sheetId="0">
        <row r="10">
          <cell r="D10">
            <v>10</v>
          </cell>
          <cell r="E10">
            <v>104</v>
          </cell>
          <cell r="G10">
            <v>35</v>
          </cell>
          <cell r="H10">
            <v>259.64999999999998</v>
          </cell>
          <cell r="M10">
            <v>35</v>
          </cell>
          <cell r="N10">
            <v>432.94999999999993</v>
          </cell>
          <cell r="P10">
            <v>35</v>
          </cell>
          <cell r="Q10">
            <v>211.64999999999998</v>
          </cell>
        </row>
        <row r="11">
          <cell r="D11">
            <v>4</v>
          </cell>
          <cell r="E11">
            <v>41.6</v>
          </cell>
          <cell r="K11">
            <v>0</v>
          </cell>
        </row>
        <row r="12">
          <cell r="D12">
            <v>10</v>
          </cell>
          <cell r="E12">
            <v>104</v>
          </cell>
          <cell r="J12">
            <v>0</v>
          </cell>
          <cell r="P12">
            <v>0</v>
          </cell>
          <cell r="Q12">
            <v>0</v>
          </cell>
        </row>
        <row r="13">
          <cell r="D13">
            <v>0</v>
          </cell>
          <cell r="E13">
            <v>0</v>
          </cell>
          <cell r="P13">
            <v>0</v>
          </cell>
          <cell r="Q13">
            <v>0</v>
          </cell>
        </row>
        <row r="14">
          <cell r="D14">
            <v>0</v>
          </cell>
          <cell r="E14">
            <v>0</v>
          </cell>
        </row>
        <row r="15">
          <cell r="D15">
            <v>0</v>
          </cell>
        </row>
        <row r="16">
          <cell r="D16">
            <v>0</v>
          </cell>
          <cell r="E16">
            <v>0</v>
          </cell>
        </row>
        <row r="17">
          <cell r="E17">
            <v>0</v>
          </cell>
        </row>
        <row r="36">
          <cell r="D36">
            <v>51</v>
          </cell>
          <cell r="E36">
            <v>786.78</v>
          </cell>
          <cell r="G36">
            <v>51</v>
          </cell>
          <cell r="H36">
            <v>576.94000000000005</v>
          </cell>
          <cell r="M36">
            <v>51</v>
          </cell>
          <cell r="N36">
            <v>963.3</v>
          </cell>
          <cell r="P36">
            <v>51</v>
          </cell>
          <cell r="Q36">
            <v>471.29999999999995</v>
          </cell>
        </row>
        <row r="50">
          <cell r="D50">
            <v>51</v>
          </cell>
          <cell r="E50">
            <v>825.30000000000007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Building (2)"/>
      <sheetName val="  Coastal  Elec.Data "/>
      <sheetName val="lead  charge"/>
      <sheetName val="Elec.Data"/>
      <sheetName val="Elec.abs"/>
      <sheetName val="Data"/>
      <sheetName val="comp abstract"/>
      <sheetName val="DETAILED ESTIMATE"/>
      <sheetName val="data print"/>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860">
          <cell r="K2860">
            <v>1340</v>
          </cell>
        </row>
        <row r="2884">
          <cell r="K2884">
            <v>1344</v>
          </cell>
        </row>
        <row r="2899">
          <cell r="K2899">
            <v>1372</v>
          </cell>
        </row>
        <row r="2921">
          <cell r="K2921">
            <v>1399</v>
          </cell>
        </row>
        <row r="2945">
          <cell r="K2945">
            <v>2507</v>
          </cell>
        </row>
        <row r="2965">
          <cell r="K2965">
            <v>934</v>
          </cell>
        </row>
        <row r="2977">
          <cell r="K2977">
            <v>688</v>
          </cell>
        </row>
        <row r="2988">
          <cell r="K2988">
            <v>129</v>
          </cell>
        </row>
        <row r="3080">
          <cell r="K3080">
            <v>172</v>
          </cell>
        </row>
        <row r="3105">
          <cell r="K3105">
            <v>219</v>
          </cell>
        </row>
        <row r="3135">
          <cell r="K3135">
            <v>462</v>
          </cell>
        </row>
        <row r="3221">
          <cell r="K3221">
            <v>3250</v>
          </cell>
        </row>
        <row r="3233">
          <cell r="K3233">
            <v>4020</v>
          </cell>
        </row>
        <row r="3277">
          <cell r="K3277">
            <v>467</v>
          </cell>
        </row>
        <row r="3289">
          <cell r="I3289">
            <v>82.6</v>
          </cell>
        </row>
        <row r="3313">
          <cell r="I3313">
            <v>4.96</v>
          </cell>
        </row>
        <row r="3316">
          <cell r="I3316">
            <v>3.7</v>
          </cell>
        </row>
        <row r="3319">
          <cell r="K3319">
            <v>2355</v>
          </cell>
        </row>
        <row r="3441">
          <cell r="K3441">
            <v>718</v>
          </cell>
        </row>
        <row r="3458">
          <cell r="K3458">
            <v>2505</v>
          </cell>
        </row>
        <row r="3638">
          <cell r="K3638">
            <v>2579</v>
          </cell>
        </row>
        <row r="3712">
          <cell r="K3712">
            <v>80</v>
          </cell>
        </row>
        <row r="3744">
          <cell r="K3744">
            <v>1920</v>
          </cell>
        </row>
        <row r="3762">
          <cell r="K3762">
            <v>1770</v>
          </cell>
        </row>
        <row r="3767">
          <cell r="K3767">
            <v>1300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pile data ( M20 grade)"/>
      <sheetName val="  Coastal  Elec.Data "/>
      <sheetName val="lead  charge"/>
      <sheetName val="Elec.Data"/>
      <sheetName val="Elec.abs"/>
      <sheetName val="Data"/>
      <sheetName val="Develop"/>
      <sheetName val="Building (2)"/>
      <sheetName val="Abstract"/>
      <sheetName val="G. Abstract (2.11.2017)"/>
      <sheetName val="Sheet1"/>
      <sheetName val="pile data ( M30 grade) (2)"/>
      <sheetName val="Abstract (21.4.18)"/>
      <sheetName val="G. Abstract (2)"/>
      <sheetName val="comp abstract"/>
      <sheetName val="DETAILED ESTIMATE"/>
      <sheetName val="data print"/>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General Abs"/>
      <sheetName val="Circut House"/>
      <sheetName val="DSP Office"/>
      <sheetName val="Admin Block"/>
      <sheetName val="Dormitory"/>
      <sheetName val="Kitchen Cum Dinnng"/>
      <sheetName val="Vehicle shed"/>
      <sheetName val="rail abs"/>
      <sheetName val="CC Road Detail"/>
      <sheetName val="Security detail"/>
      <sheetName val="watch tower detail"/>
    </sheetNames>
    <sheetDataSet>
      <sheetData sheetId="0" refreshError="1"/>
      <sheetData sheetId="1" refreshError="1"/>
      <sheetData sheetId="2" refreshError="1"/>
      <sheetData sheetId="3">
        <row r="3154">
          <cell r="K3154">
            <v>562</v>
          </cell>
        </row>
      </sheetData>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7.xml.rels><?xml version="1.0" encoding="UTF-8" standalone="yes"?>
<Relationships xmlns="http://schemas.openxmlformats.org/package/2006/relationships"><Relationship Id="rId3" Type="http://schemas.openxmlformats.org/officeDocument/2006/relationships/printerSettings" Target="../printerSettings/printerSettings44.bin"/><Relationship Id="rId2" Type="http://schemas.openxmlformats.org/officeDocument/2006/relationships/hyperlink" Target="../../DB%20SECTION/E/theju/AppData/2273" TargetMode="External"/><Relationship Id="rId1" Type="http://schemas.openxmlformats.org/officeDocument/2006/relationships/hyperlink" Target="../../DB%20SECTION/E/theju/AppData/2273" TargetMode="External"/><Relationship Id="rId4" Type="http://schemas.openxmlformats.org/officeDocument/2006/relationships/drawing" Target="../drawings/drawing11.xml"/></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sheet1.xml><?xml version="1.0" encoding="utf-8"?>
<worksheet xmlns="http://schemas.openxmlformats.org/spreadsheetml/2006/main" xmlns:r="http://schemas.openxmlformats.org/officeDocument/2006/relationships">
  <sheetPr codeName="Sheet1">
    <tabColor rgb="FF7030A0"/>
  </sheetPr>
  <dimension ref="A1:O644"/>
  <sheetViews>
    <sheetView view="pageBreakPreview" topLeftCell="A586" zoomScale="90" zoomScaleNormal="90" zoomScaleSheetLayoutView="90" workbookViewId="0">
      <selection activeCell="B604" sqref="B604:H608"/>
    </sheetView>
  </sheetViews>
  <sheetFormatPr defaultColWidth="9.28515625" defaultRowHeight="16.5"/>
  <cols>
    <col min="1" max="1" width="5.28515625" style="661" customWidth="1"/>
    <col min="2" max="2" width="36.7109375" style="572" customWidth="1"/>
    <col min="3" max="4" width="5.42578125" style="661" customWidth="1"/>
    <col min="5" max="5" width="9.5703125" style="662" customWidth="1"/>
    <col min="6" max="7" width="7.7109375" style="662" customWidth="1"/>
    <col min="8" max="8" width="10.28515625" style="663" customWidth="1"/>
    <col min="9" max="9" width="8.7109375" style="661" customWidth="1"/>
    <col min="10" max="13" width="9.28515625" style="572"/>
    <col min="14" max="14" width="12.7109375" style="572" bestFit="1" customWidth="1"/>
    <col min="15" max="16384" width="9.28515625" style="572"/>
  </cols>
  <sheetData>
    <row r="1" spans="1:9">
      <c r="A1" s="1943" t="s">
        <v>241</v>
      </c>
      <c r="B1" s="1943"/>
      <c r="C1" s="1943"/>
      <c r="D1" s="1943"/>
      <c r="E1" s="1943"/>
      <c r="F1" s="1943"/>
      <c r="G1" s="1943"/>
      <c r="H1" s="1943"/>
      <c r="I1" s="1943"/>
    </row>
    <row r="2" spans="1:9" ht="50.45" customHeight="1">
      <c r="A2" s="1943" t="s">
        <v>3168</v>
      </c>
      <c r="B2" s="1943"/>
      <c r="C2" s="1943"/>
      <c r="D2" s="1943"/>
      <c r="E2" s="1943"/>
      <c r="F2" s="1943"/>
      <c r="G2" s="1943"/>
      <c r="H2" s="1943"/>
      <c r="I2" s="1943"/>
    </row>
    <row r="3" spans="1:9" ht="22.5" customHeight="1">
      <c r="A3" s="1944" t="s">
        <v>14</v>
      </c>
      <c r="B3" s="1945"/>
      <c r="C3" s="1945"/>
      <c r="D3" s="1945"/>
      <c r="E3" s="1945"/>
      <c r="F3" s="1945"/>
      <c r="G3" s="1945"/>
      <c r="H3" s="1945"/>
      <c r="I3" s="1946"/>
    </row>
    <row r="4" spans="1:9" ht="40.5" customHeight="1">
      <c r="A4" s="573" t="s">
        <v>12</v>
      </c>
      <c r="B4" s="573" t="s">
        <v>11</v>
      </c>
      <c r="C4" s="1943" t="s">
        <v>4</v>
      </c>
      <c r="D4" s="1943"/>
      <c r="E4" s="574" t="s">
        <v>5</v>
      </c>
      <c r="F4" s="574" t="s">
        <v>6</v>
      </c>
      <c r="G4" s="574" t="s">
        <v>7</v>
      </c>
      <c r="H4" s="574" t="s">
        <v>3</v>
      </c>
      <c r="I4" s="574" t="s">
        <v>10</v>
      </c>
    </row>
    <row r="5" spans="1:9" ht="56.45" customHeight="1">
      <c r="A5" s="575">
        <v>1</v>
      </c>
      <c r="B5" s="576" t="s">
        <v>3413</v>
      </c>
      <c r="C5" s="577"/>
      <c r="D5" s="577"/>
      <c r="E5" s="578"/>
      <c r="F5" s="577"/>
      <c r="G5" s="577"/>
      <c r="H5" s="579"/>
      <c r="I5" s="574"/>
    </row>
    <row r="6" spans="1:9" ht="34.9" customHeight="1">
      <c r="A6" s="573"/>
      <c r="B6" s="580" t="s">
        <v>3442</v>
      </c>
      <c r="C6" s="581">
        <v>6</v>
      </c>
      <c r="D6" s="581">
        <v>1</v>
      </c>
      <c r="E6" s="582">
        <v>46</v>
      </c>
      <c r="F6" s="582">
        <v>0.3</v>
      </c>
      <c r="G6" s="582">
        <v>0.3</v>
      </c>
      <c r="H6" s="583">
        <f>PRODUCT(C6:G6)</f>
        <v>24.84</v>
      </c>
      <c r="I6" s="582"/>
    </row>
    <row r="7" spans="1:9" ht="33" customHeight="1">
      <c r="A7" s="573"/>
      <c r="B7" s="580" t="s">
        <v>3443</v>
      </c>
      <c r="C7" s="581">
        <v>5</v>
      </c>
      <c r="D7" s="581">
        <v>1</v>
      </c>
      <c r="E7" s="582">
        <v>29</v>
      </c>
      <c r="F7" s="582">
        <v>0.3</v>
      </c>
      <c r="G7" s="582">
        <v>0.3</v>
      </c>
      <c r="H7" s="583">
        <f>PRODUCT(C7:G7)</f>
        <v>13.049999999999999</v>
      </c>
      <c r="I7" s="582"/>
    </row>
    <row r="8" spans="1:9" ht="31.15" customHeight="1">
      <c r="A8" s="573"/>
      <c r="B8" s="580" t="s">
        <v>3444</v>
      </c>
      <c r="C8" s="581">
        <v>2</v>
      </c>
      <c r="D8" s="581">
        <v>1</v>
      </c>
      <c r="E8" s="582">
        <v>33</v>
      </c>
      <c r="F8" s="582">
        <v>0.3</v>
      </c>
      <c r="G8" s="582">
        <v>0.3</v>
      </c>
      <c r="H8" s="583">
        <f>PRODUCT(C8:G8)</f>
        <v>5.94</v>
      </c>
      <c r="I8" s="582"/>
    </row>
    <row r="9" spans="1:9" ht="25.15" customHeight="1">
      <c r="A9" s="573"/>
      <c r="B9" s="580" t="s">
        <v>3450</v>
      </c>
      <c r="C9" s="581">
        <v>1</v>
      </c>
      <c r="D9" s="581">
        <v>1</v>
      </c>
      <c r="E9" s="582">
        <v>90</v>
      </c>
      <c r="F9" s="582">
        <v>0.5</v>
      </c>
      <c r="G9" s="582">
        <v>1</v>
      </c>
      <c r="H9" s="583">
        <f>PRODUCT(C9:G9)</f>
        <v>45</v>
      </c>
      <c r="I9" s="582"/>
    </row>
    <row r="10" spans="1:9" s="590" customFormat="1">
      <c r="A10" s="584"/>
      <c r="B10" s="585" t="s">
        <v>3463</v>
      </c>
      <c r="C10" s="581">
        <v>1</v>
      </c>
      <c r="D10" s="586">
        <v>10</v>
      </c>
      <c r="E10" s="587">
        <v>1.2</v>
      </c>
      <c r="F10" s="587">
        <v>1.2</v>
      </c>
      <c r="G10" s="587">
        <v>1</v>
      </c>
      <c r="H10" s="583">
        <f>PRODUCT(C10:G10)</f>
        <v>14.399999999999999</v>
      </c>
      <c r="I10" s="589"/>
    </row>
    <row r="11" spans="1:9" ht="25.15" customHeight="1">
      <c r="A11" s="573"/>
      <c r="B11" s="580"/>
      <c r="C11" s="581"/>
      <c r="D11" s="581"/>
      <c r="E11" s="582"/>
      <c r="F11" s="582"/>
      <c r="G11" s="582"/>
      <c r="H11" s="583">
        <f>SUM(H6:H10)</f>
        <v>103.22999999999999</v>
      </c>
      <c r="I11" s="582"/>
    </row>
    <row r="12" spans="1:9" ht="25.15" customHeight="1">
      <c r="A12" s="573"/>
      <c r="B12" s="580"/>
      <c r="C12" s="581"/>
      <c r="D12" s="581"/>
      <c r="E12" s="582"/>
      <c r="F12" s="582"/>
      <c r="G12" s="578" t="s">
        <v>9</v>
      </c>
      <c r="H12" s="591">
        <v>104</v>
      </c>
      <c r="I12" s="582" t="s">
        <v>276</v>
      </c>
    </row>
    <row r="13" spans="1:9" ht="52.15" customHeight="1">
      <c r="A13" s="573">
        <v>2</v>
      </c>
      <c r="B13" s="592" t="s">
        <v>3476</v>
      </c>
      <c r="C13" s="581"/>
      <c r="D13" s="581"/>
      <c r="E13" s="582"/>
      <c r="F13" s="582"/>
      <c r="G13" s="582"/>
      <c r="H13" s="583"/>
      <c r="I13" s="582"/>
    </row>
    <row r="14" spans="1:9" ht="25.15" customHeight="1">
      <c r="A14" s="575"/>
      <c r="B14" s="593" t="s">
        <v>3445</v>
      </c>
      <c r="C14" s="577">
        <v>6</v>
      </c>
      <c r="D14" s="577">
        <v>1</v>
      </c>
      <c r="E14" s="578">
        <v>40</v>
      </c>
      <c r="F14" s="578">
        <v>0.6</v>
      </c>
      <c r="G14" s="578">
        <v>0.5</v>
      </c>
      <c r="H14" s="583">
        <f>PRODUCT(C14:G14)</f>
        <v>72</v>
      </c>
      <c r="I14" s="582"/>
    </row>
    <row r="15" spans="1:9" ht="25.15" customHeight="1">
      <c r="A15" s="575"/>
      <c r="B15" s="593" t="s">
        <v>3446</v>
      </c>
      <c r="C15" s="577">
        <v>5</v>
      </c>
      <c r="D15" s="577">
        <v>1</v>
      </c>
      <c r="E15" s="578">
        <v>30</v>
      </c>
      <c r="F15" s="578">
        <v>0.6</v>
      </c>
      <c r="G15" s="578">
        <v>0.5</v>
      </c>
      <c r="H15" s="583">
        <f>PRODUCT(C15:G15)</f>
        <v>45</v>
      </c>
      <c r="I15" s="582"/>
    </row>
    <row r="16" spans="1:9" ht="25.15" customHeight="1">
      <c r="A16" s="575"/>
      <c r="B16" s="593" t="s">
        <v>3447</v>
      </c>
      <c r="C16" s="577">
        <v>2</v>
      </c>
      <c r="D16" s="577">
        <v>1</v>
      </c>
      <c r="E16" s="578">
        <v>30</v>
      </c>
      <c r="F16" s="578">
        <v>0.6</v>
      </c>
      <c r="G16" s="578">
        <v>0.5</v>
      </c>
      <c r="H16" s="583">
        <f>PRODUCT(C16:G16)</f>
        <v>18</v>
      </c>
      <c r="I16" s="582"/>
    </row>
    <row r="17" spans="1:9" ht="25.15" customHeight="1">
      <c r="A17" s="575"/>
      <c r="B17" s="594"/>
      <c r="C17" s="577"/>
      <c r="D17" s="577"/>
      <c r="E17" s="578"/>
      <c r="F17" s="578"/>
      <c r="G17" s="578"/>
      <c r="H17" s="583">
        <f>SUM(H14:H16)</f>
        <v>135</v>
      </c>
      <c r="I17" s="582"/>
    </row>
    <row r="18" spans="1:9" ht="25.15" customHeight="1">
      <c r="A18" s="575"/>
      <c r="B18" s="594"/>
      <c r="C18" s="577"/>
      <c r="D18" s="577"/>
      <c r="E18" s="578"/>
      <c r="F18" s="578"/>
      <c r="G18" s="578" t="s">
        <v>9</v>
      </c>
      <c r="H18" s="591">
        <v>135</v>
      </c>
      <c r="I18" s="582" t="s">
        <v>313</v>
      </c>
    </row>
    <row r="19" spans="1:9" ht="53.45" customHeight="1">
      <c r="A19" s="575">
        <v>3</v>
      </c>
      <c r="B19" s="595" t="s">
        <v>3414</v>
      </c>
      <c r="C19" s="577"/>
      <c r="D19" s="577"/>
      <c r="E19" s="578"/>
      <c r="F19" s="578"/>
      <c r="G19" s="578"/>
      <c r="H19" s="579"/>
      <c r="I19" s="582"/>
    </row>
    <row r="20" spans="1:9" ht="34.9" customHeight="1">
      <c r="A20" s="575"/>
      <c r="B20" s="580" t="s">
        <v>3442</v>
      </c>
      <c r="C20" s="581">
        <v>6</v>
      </c>
      <c r="D20" s="581">
        <v>1</v>
      </c>
      <c r="E20" s="582">
        <f>E6</f>
        <v>46</v>
      </c>
      <c r="F20" s="578">
        <v>0.3</v>
      </c>
      <c r="G20" s="578">
        <v>0.15</v>
      </c>
      <c r="H20" s="583">
        <f t="shared" ref="H20:H29" si="0">PRODUCT(C20:G20)</f>
        <v>12.42</v>
      </c>
      <c r="I20" s="582"/>
    </row>
    <row r="21" spans="1:9" ht="25.15" customHeight="1">
      <c r="A21" s="575"/>
      <c r="B21" s="580" t="s">
        <v>3443</v>
      </c>
      <c r="C21" s="581">
        <v>5</v>
      </c>
      <c r="D21" s="581">
        <v>1</v>
      </c>
      <c r="E21" s="582">
        <f>E7</f>
        <v>29</v>
      </c>
      <c r="F21" s="578">
        <v>0.3</v>
      </c>
      <c r="G21" s="578">
        <v>0.15</v>
      </c>
      <c r="H21" s="583">
        <f t="shared" si="0"/>
        <v>6.5249999999999995</v>
      </c>
      <c r="I21" s="582"/>
    </row>
    <row r="22" spans="1:9" ht="34.9" customHeight="1">
      <c r="A22" s="575"/>
      <c r="B22" s="580" t="s">
        <v>3444</v>
      </c>
      <c r="C22" s="581">
        <v>2</v>
      </c>
      <c r="D22" s="581">
        <v>1</v>
      </c>
      <c r="E22" s="582">
        <f>E8</f>
        <v>33</v>
      </c>
      <c r="F22" s="578">
        <v>0.3</v>
      </c>
      <c r="G22" s="578">
        <v>0.15</v>
      </c>
      <c r="H22" s="583">
        <f t="shared" si="0"/>
        <v>2.97</v>
      </c>
      <c r="I22" s="582"/>
    </row>
    <row r="23" spans="1:9" ht="25.15" customHeight="1">
      <c r="A23" s="575"/>
      <c r="B23" s="593" t="s">
        <v>3445</v>
      </c>
      <c r="C23" s="577">
        <v>6</v>
      </c>
      <c r="D23" s="577">
        <v>1</v>
      </c>
      <c r="E23" s="578">
        <f>E14</f>
        <v>40</v>
      </c>
      <c r="F23" s="578">
        <v>0.53</v>
      </c>
      <c r="G23" s="578">
        <v>0.15</v>
      </c>
      <c r="H23" s="583">
        <f t="shared" si="0"/>
        <v>19.079999999999998</v>
      </c>
      <c r="I23" s="582"/>
    </row>
    <row r="24" spans="1:9" ht="25.15" customHeight="1">
      <c r="A24" s="575"/>
      <c r="B24" s="593" t="s">
        <v>3446</v>
      </c>
      <c r="C24" s="577">
        <v>5</v>
      </c>
      <c r="D24" s="577">
        <v>1</v>
      </c>
      <c r="E24" s="578">
        <f>E15</f>
        <v>30</v>
      </c>
      <c r="F24" s="578">
        <v>0.53</v>
      </c>
      <c r="G24" s="578">
        <v>0.15</v>
      </c>
      <c r="H24" s="583">
        <f t="shared" si="0"/>
        <v>11.924999999999999</v>
      </c>
      <c r="I24" s="582"/>
    </row>
    <row r="25" spans="1:9" ht="25.15" customHeight="1">
      <c r="A25" s="575"/>
      <c r="B25" s="593" t="s">
        <v>3447</v>
      </c>
      <c r="C25" s="577">
        <v>2</v>
      </c>
      <c r="D25" s="577">
        <v>1</v>
      </c>
      <c r="E25" s="578">
        <f>E16</f>
        <v>30</v>
      </c>
      <c r="F25" s="578">
        <v>0.53</v>
      </c>
      <c r="G25" s="578">
        <v>0.15</v>
      </c>
      <c r="H25" s="583">
        <f t="shared" si="0"/>
        <v>4.7699999999999996</v>
      </c>
      <c r="I25" s="582"/>
    </row>
    <row r="26" spans="1:9" ht="32.450000000000003" customHeight="1">
      <c r="A26" s="596"/>
      <c r="B26" s="597" t="s">
        <v>3478</v>
      </c>
      <c r="C26" s="598">
        <v>6</v>
      </c>
      <c r="D26" s="598">
        <v>1</v>
      </c>
      <c r="E26" s="599">
        <v>10</v>
      </c>
      <c r="F26" s="599">
        <v>0.6</v>
      </c>
      <c r="G26" s="599">
        <v>0.1</v>
      </c>
      <c r="H26" s="583">
        <f t="shared" si="0"/>
        <v>3.6</v>
      </c>
      <c r="I26" s="582"/>
    </row>
    <row r="27" spans="1:9" ht="25.15" customHeight="1">
      <c r="A27" s="596"/>
      <c r="B27" s="597" t="s">
        <v>3479</v>
      </c>
      <c r="C27" s="598">
        <v>6</v>
      </c>
      <c r="D27" s="598">
        <v>1</v>
      </c>
      <c r="E27" s="599">
        <v>10</v>
      </c>
      <c r="F27" s="599">
        <v>0.6</v>
      </c>
      <c r="G27" s="599">
        <v>0.1</v>
      </c>
      <c r="H27" s="583">
        <f t="shared" si="0"/>
        <v>3.6</v>
      </c>
      <c r="I27" s="582"/>
    </row>
    <row r="28" spans="1:9" ht="36.6" customHeight="1">
      <c r="A28" s="596"/>
      <c r="B28" s="597" t="s">
        <v>3480</v>
      </c>
      <c r="C28" s="598">
        <v>6</v>
      </c>
      <c r="D28" s="598">
        <v>1</v>
      </c>
      <c r="E28" s="599">
        <v>10</v>
      </c>
      <c r="F28" s="599">
        <v>0.6</v>
      </c>
      <c r="G28" s="599">
        <v>0.1</v>
      </c>
      <c r="H28" s="583">
        <f t="shared" si="0"/>
        <v>3.6</v>
      </c>
      <c r="I28" s="582"/>
    </row>
    <row r="29" spans="1:9" s="590" customFormat="1">
      <c r="A29" s="584"/>
      <c r="B29" s="585" t="s">
        <v>3463</v>
      </c>
      <c r="C29" s="581">
        <v>1</v>
      </c>
      <c r="D29" s="586">
        <v>10</v>
      </c>
      <c r="E29" s="587">
        <v>0.8</v>
      </c>
      <c r="F29" s="587">
        <v>0.8</v>
      </c>
      <c r="G29" s="587">
        <v>0.15</v>
      </c>
      <c r="H29" s="588">
        <f t="shared" si="0"/>
        <v>0.96</v>
      </c>
      <c r="I29" s="600"/>
    </row>
    <row r="30" spans="1:9" ht="25.15" customHeight="1">
      <c r="A30" s="575"/>
      <c r="B30" s="594"/>
      <c r="C30" s="577"/>
      <c r="D30" s="577"/>
      <c r="E30" s="578"/>
      <c r="F30" s="578"/>
      <c r="G30" s="578"/>
      <c r="H30" s="579">
        <f>SUM(H20:H29)</f>
        <v>69.449999999999989</v>
      </c>
      <c r="I30" s="582"/>
    </row>
    <row r="31" spans="1:9" ht="25.15" customHeight="1">
      <c r="A31" s="575"/>
      <c r="B31" s="601"/>
      <c r="C31" s="577"/>
      <c r="D31" s="577"/>
      <c r="E31" s="578"/>
      <c r="F31" s="578"/>
      <c r="G31" s="578" t="s">
        <v>9</v>
      </c>
      <c r="H31" s="591">
        <v>70</v>
      </c>
      <c r="I31" s="582"/>
    </row>
    <row r="32" spans="1:9" ht="69" customHeight="1">
      <c r="A32" s="575">
        <v>4</v>
      </c>
      <c r="B32" s="602" t="s">
        <v>3448</v>
      </c>
      <c r="C32" s="577"/>
      <c r="D32" s="577"/>
      <c r="E32" s="578"/>
      <c r="F32" s="578"/>
      <c r="G32" s="578"/>
      <c r="H32" s="579"/>
      <c r="I32" s="582"/>
    </row>
    <row r="33" spans="1:13" ht="40.15" customHeight="1">
      <c r="A33" s="575"/>
      <c r="B33" s="602" t="s">
        <v>3415</v>
      </c>
      <c r="C33" s="577"/>
      <c r="D33" s="577"/>
      <c r="E33" s="578"/>
      <c r="F33" s="578"/>
      <c r="G33" s="578"/>
      <c r="H33" s="579"/>
      <c r="I33" s="582"/>
    </row>
    <row r="34" spans="1:13" ht="25.15" customHeight="1">
      <c r="A34" s="575"/>
      <c r="B34" s="593" t="s">
        <v>3445</v>
      </c>
      <c r="C34" s="577">
        <v>6</v>
      </c>
      <c r="D34" s="577">
        <v>1</v>
      </c>
      <c r="E34" s="578">
        <f>E14</f>
        <v>40</v>
      </c>
      <c r="F34" s="578">
        <v>0.23</v>
      </c>
      <c r="G34" s="578">
        <v>0.45</v>
      </c>
      <c r="H34" s="583">
        <f>PRODUCT(C34:G34)</f>
        <v>24.840000000000003</v>
      </c>
      <c r="I34" s="582"/>
      <c r="J34" s="581">
        <v>6</v>
      </c>
      <c r="K34" s="581">
        <v>1</v>
      </c>
      <c r="L34" s="582">
        <f>E6</f>
        <v>46</v>
      </c>
      <c r="M34" s="583">
        <f>PRODUCT(J34:L34)</f>
        <v>276</v>
      </c>
    </row>
    <row r="35" spans="1:13" ht="25.15" customHeight="1">
      <c r="A35" s="575"/>
      <c r="B35" s="593" t="s">
        <v>3446</v>
      </c>
      <c r="C35" s="577">
        <v>5</v>
      </c>
      <c r="D35" s="577">
        <v>1</v>
      </c>
      <c r="E35" s="578">
        <f>E15</f>
        <v>30</v>
      </c>
      <c r="F35" s="578">
        <v>0.23</v>
      </c>
      <c r="G35" s="578">
        <v>0.45</v>
      </c>
      <c r="H35" s="583">
        <f>PRODUCT(C35:G35)</f>
        <v>15.525</v>
      </c>
      <c r="I35" s="582"/>
      <c r="J35" s="581">
        <v>5</v>
      </c>
      <c r="K35" s="581">
        <v>1</v>
      </c>
      <c r="L35" s="582">
        <f>E7</f>
        <v>29</v>
      </c>
      <c r="M35" s="583">
        <f>PRODUCT(J35:L35)</f>
        <v>145</v>
      </c>
    </row>
    <row r="36" spans="1:13" ht="25.15" customHeight="1">
      <c r="A36" s="575"/>
      <c r="B36" s="593" t="s">
        <v>3447</v>
      </c>
      <c r="C36" s="577">
        <v>2</v>
      </c>
      <c r="D36" s="577">
        <v>1</v>
      </c>
      <c r="E36" s="578">
        <f>E16</f>
        <v>30</v>
      </c>
      <c r="F36" s="578">
        <v>0.23</v>
      </c>
      <c r="G36" s="578">
        <v>0.45</v>
      </c>
      <c r="H36" s="583">
        <f>PRODUCT(C36:G36)</f>
        <v>6.2100000000000009</v>
      </c>
      <c r="I36" s="582"/>
      <c r="J36" s="581">
        <v>2</v>
      </c>
      <c r="K36" s="581">
        <v>1</v>
      </c>
      <c r="L36" s="582">
        <f>E8</f>
        <v>33</v>
      </c>
      <c r="M36" s="583">
        <f>PRODUCT(J36:L36)</f>
        <v>66</v>
      </c>
    </row>
    <row r="37" spans="1:13" ht="25.15" customHeight="1">
      <c r="A37" s="575"/>
      <c r="B37" s="594" t="s">
        <v>3416</v>
      </c>
      <c r="C37" s="577">
        <v>1</v>
      </c>
      <c r="D37" s="577">
        <f>M37/2.8</f>
        <v>173.92857142857144</v>
      </c>
      <c r="E37" s="578">
        <v>0.23</v>
      </c>
      <c r="F37" s="578">
        <v>0.23</v>
      </c>
      <c r="G37" s="578">
        <v>0.75</v>
      </c>
      <c r="H37" s="583">
        <f>PRODUCT(C37:G37)</f>
        <v>6.9006160714285727</v>
      </c>
      <c r="I37" s="582"/>
      <c r="M37" s="603">
        <f>SUM(M34:M36)</f>
        <v>487</v>
      </c>
    </row>
    <row r="38" spans="1:13" s="590" customFormat="1">
      <c r="A38" s="584"/>
      <c r="B38" s="585" t="s">
        <v>3464</v>
      </c>
      <c r="C38" s="581">
        <v>1</v>
      </c>
      <c r="D38" s="586">
        <v>10</v>
      </c>
      <c r="E38" s="587">
        <v>3.32</v>
      </c>
      <c r="F38" s="587">
        <v>0.23</v>
      </c>
      <c r="G38" s="587">
        <v>1</v>
      </c>
      <c r="H38" s="604">
        <f>PRODUCT(C38:G38)</f>
        <v>7.6359999999999992</v>
      </c>
      <c r="I38" s="605"/>
    </row>
    <row r="39" spans="1:13" ht="25.15" customHeight="1">
      <c r="A39" s="575"/>
      <c r="B39" s="601"/>
      <c r="C39" s="577"/>
      <c r="D39" s="577"/>
      <c r="E39" s="578"/>
      <c r="F39" s="578"/>
      <c r="G39" s="578"/>
      <c r="H39" s="579">
        <f>SUM(H34:H38)</f>
        <v>61.111616071428571</v>
      </c>
      <c r="I39" s="582"/>
    </row>
    <row r="40" spans="1:13" ht="25.15" customHeight="1">
      <c r="A40" s="575"/>
      <c r="B40" s="601"/>
      <c r="C40" s="577"/>
      <c r="D40" s="577"/>
      <c r="E40" s="578"/>
      <c r="F40" s="578"/>
      <c r="G40" s="578" t="s">
        <v>9</v>
      </c>
      <c r="H40" s="591">
        <v>62</v>
      </c>
      <c r="I40" s="582"/>
    </row>
    <row r="41" spans="1:13" ht="67.900000000000006" customHeight="1">
      <c r="A41" s="575">
        <v>5</v>
      </c>
      <c r="B41" s="602" t="s">
        <v>3417</v>
      </c>
      <c r="C41" s="577"/>
      <c r="D41" s="577"/>
      <c r="E41" s="578"/>
      <c r="F41" s="578"/>
      <c r="G41" s="578"/>
      <c r="H41" s="591"/>
      <c r="I41" s="582"/>
    </row>
    <row r="42" spans="1:13" ht="25.15" customHeight="1">
      <c r="A42" s="575"/>
      <c r="B42" s="602" t="s">
        <v>3418</v>
      </c>
      <c r="C42" s="577"/>
      <c r="D42" s="577"/>
      <c r="E42" s="578"/>
      <c r="F42" s="578"/>
      <c r="G42" s="578"/>
      <c r="H42" s="591"/>
      <c r="I42" s="582"/>
    </row>
    <row r="43" spans="1:13" ht="33" customHeight="1">
      <c r="A43" s="573"/>
      <c r="B43" s="580" t="s">
        <v>3442</v>
      </c>
      <c r="C43" s="581">
        <v>6</v>
      </c>
      <c r="D43" s="581">
        <v>1</v>
      </c>
      <c r="E43" s="582">
        <f>E6</f>
        <v>46</v>
      </c>
      <c r="F43" s="582" t="s">
        <v>21</v>
      </c>
      <c r="G43" s="582">
        <v>0.75</v>
      </c>
      <c r="H43" s="583">
        <f>PRODUCT(C43:G43)</f>
        <v>207</v>
      </c>
      <c r="I43" s="582"/>
    </row>
    <row r="44" spans="1:13" ht="25.15" customHeight="1">
      <c r="A44" s="573"/>
      <c r="B44" s="580" t="s">
        <v>3443</v>
      </c>
      <c r="C44" s="581">
        <v>5</v>
      </c>
      <c r="D44" s="581">
        <v>1</v>
      </c>
      <c r="E44" s="582">
        <f>E7</f>
        <v>29</v>
      </c>
      <c r="F44" s="582" t="s">
        <v>21</v>
      </c>
      <c r="G44" s="582">
        <v>0.75</v>
      </c>
      <c r="H44" s="583">
        <f>PRODUCT(C44:G44)</f>
        <v>108.75</v>
      </c>
      <c r="I44" s="582"/>
    </row>
    <row r="45" spans="1:13" ht="35.450000000000003" customHeight="1">
      <c r="A45" s="573"/>
      <c r="B45" s="580" t="s">
        <v>3444</v>
      </c>
      <c r="C45" s="581">
        <v>2</v>
      </c>
      <c r="D45" s="581">
        <v>1</v>
      </c>
      <c r="E45" s="582">
        <f>E8</f>
        <v>33</v>
      </c>
      <c r="F45" s="582" t="s">
        <v>21</v>
      </c>
      <c r="G45" s="582">
        <v>0.75</v>
      </c>
      <c r="H45" s="583">
        <f>PRODUCT(C45:G45)</f>
        <v>49.5</v>
      </c>
      <c r="I45" s="582"/>
    </row>
    <row r="46" spans="1:13" ht="25.15" customHeight="1">
      <c r="A46" s="606"/>
      <c r="B46" s="607" t="s">
        <v>3419</v>
      </c>
      <c r="C46" s="608">
        <v>-1</v>
      </c>
      <c r="D46" s="609">
        <f>D37</f>
        <v>173.92857142857144</v>
      </c>
      <c r="E46" s="610">
        <v>0.23</v>
      </c>
      <c r="F46" s="610" t="s">
        <v>21</v>
      </c>
      <c r="G46" s="582">
        <v>0.75</v>
      </c>
      <c r="H46" s="583">
        <f>PRODUCT(C46:G46)</f>
        <v>-30.002678571428575</v>
      </c>
      <c r="I46" s="582"/>
    </row>
    <row r="47" spans="1:13" ht="25.15" customHeight="1">
      <c r="A47" s="575"/>
      <c r="B47" s="594"/>
      <c r="C47" s="577"/>
      <c r="D47" s="577"/>
      <c r="E47" s="578"/>
      <c r="F47" s="578"/>
      <c r="G47" s="578"/>
      <c r="H47" s="579">
        <f>SUM(H43:H46)</f>
        <v>335.24732142857141</v>
      </c>
      <c r="I47" s="582"/>
    </row>
    <row r="48" spans="1:13" ht="25.15" customHeight="1">
      <c r="A48" s="575"/>
      <c r="B48" s="594"/>
      <c r="C48" s="577"/>
      <c r="D48" s="577"/>
      <c r="E48" s="578"/>
      <c r="F48" s="578"/>
      <c r="G48" s="578" t="s">
        <v>9</v>
      </c>
      <c r="H48" s="591">
        <v>336</v>
      </c>
      <c r="I48" s="582"/>
    </row>
    <row r="49" spans="1:9" ht="84" customHeight="1">
      <c r="A49" s="573">
        <v>6</v>
      </c>
      <c r="B49" s="611" t="s">
        <v>3421</v>
      </c>
      <c r="C49" s="581"/>
      <c r="D49" s="581"/>
      <c r="E49" s="582"/>
      <c r="F49" s="582"/>
      <c r="G49" s="582"/>
      <c r="H49" s="583"/>
      <c r="I49" s="582"/>
    </row>
    <row r="50" spans="1:9" ht="33" customHeight="1">
      <c r="A50" s="573"/>
      <c r="B50" s="580" t="s">
        <v>3442</v>
      </c>
      <c r="C50" s="581">
        <v>6</v>
      </c>
      <c r="D50" s="581">
        <v>1</v>
      </c>
      <c r="E50" s="582">
        <f>E43</f>
        <v>46</v>
      </c>
      <c r="F50" s="582">
        <v>0.6</v>
      </c>
      <c r="G50" s="612" t="s">
        <v>21</v>
      </c>
      <c r="H50" s="579">
        <f>PRODUCT(C50:G50)</f>
        <v>165.6</v>
      </c>
      <c r="I50" s="582"/>
    </row>
    <row r="51" spans="1:9" ht="25.15" customHeight="1">
      <c r="A51" s="573"/>
      <c r="B51" s="580" t="s">
        <v>3443</v>
      </c>
      <c r="C51" s="581">
        <v>5</v>
      </c>
      <c r="D51" s="581">
        <v>1</v>
      </c>
      <c r="E51" s="582">
        <f>E44</f>
        <v>29</v>
      </c>
      <c r="F51" s="582">
        <v>0.6</v>
      </c>
      <c r="G51" s="612" t="s">
        <v>21</v>
      </c>
      <c r="H51" s="579">
        <f>PRODUCT(C51:G51)</f>
        <v>87</v>
      </c>
      <c r="I51" s="582"/>
    </row>
    <row r="52" spans="1:9" ht="37.15" customHeight="1">
      <c r="A52" s="573"/>
      <c r="B52" s="580" t="s">
        <v>3444</v>
      </c>
      <c r="C52" s="581">
        <v>2</v>
      </c>
      <c r="D52" s="581">
        <v>1</v>
      </c>
      <c r="E52" s="582">
        <f>E45</f>
        <v>33</v>
      </c>
      <c r="F52" s="582">
        <v>0.6</v>
      </c>
      <c r="G52" s="612" t="s">
        <v>21</v>
      </c>
      <c r="H52" s="579">
        <f>PRODUCT(C52:G52)</f>
        <v>39.6</v>
      </c>
      <c r="I52" s="582"/>
    </row>
    <row r="53" spans="1:9" ht="32.450000000000003" customHeight="1">
      <c r="A53" s="573"/>
      <c r="B53" s="580"/>
      <c r="C53" s="581"/>
      <c r="D53" s="581"/>
      <c r="E53" s="582"/>
      <c r="F53" s="582"/>
      <c r="G53" s="612"/>
      <c r="H53" s="579">
        <f>SUM(H50:H52)</f>
        <v>292.2</v>
      </c>
      <c r="I53" s="582"/>
    </row>
    <row r="54" spans="1:9" ht="25.15" customHeight="1">
      <c r="A54" s="573"/>
      <c r="B54" s="580"/>
      <c r="C54" s="581"/>
      <c r="D54" s="581"/>
      <c r="E54" s="582"/>
      <c r="F54" s="582"/>
      <c r="G54" s="582" t="s">
        <v>9</v>
      </c>
      <c r="H54" s="613">
        <v>293</v>
      </c>
      <c r="I54" s="582"/>
    </row>
    <row r="55" spans="1:9" ht="88.15" customHeight="1">
      <c r="A55" s="606">
        <v>7</v>
      </c>
      <c r="B55" s="614" t="s">
        <v>3422</v>
      </c>
      <c r="C55" s="608"/>
      <c r="D55" s="609"/>
      <c r="E55" s="615"/>
      <c r="F55" s="615"/>
      <c r="G55" s="615"/>
      <c r="H55" s="616"/>
      <c r="I55" s="582"/>
    </row>
    <row r="56" spans="1:9" ht="37.9" customHeight="1">
      <c r="A56" s="606"/>
      <c r="B56" s="580" t="s">
        <v>3442</v>
      </c>
      <c r="C56" s="581">
        <v>6</v>
      </c>
      <c r="D56" s="581">
        <v>1</v>
      </c>
      <c r="E56" s="582">
        <f>E50</f>
        <v>46</v>
      </c>
      <c r="F56" s="617">
        <v>0.48499999999999999</v>
      </c>
      <c r="G56" s="617">
        <v>0.47499999999999998</v>
      </c>
      <c r="H56" s="579">
        <f>PRODUCT(C56:G56)</f>
        <v>63.583499999999987</v>
      </c>
      <c r="I56" s="582"/>
    </row>
    <row r="57" spans="1:9" ht="32.450000000000003" customHeight="1">
      <c r="A57" s="606"/>
      <c r="B57" s="580" t="s">
        <v>3443</v>
      </c>
      <c r="C57" s="581">
        <v>5</v>
      </c>
      <c r="D57" s="581">
        <v>1</v>
      </c>
      <c r="E57" s="582">
        <f>E51</f>
        <v>29</v>
      </c>
      <c r="F57" s="617">
        <v>0.48499999999999999</v>
      </c>
      <c r="G57" s="617">
        <v>0.47499999999999998</v>
      </c>
      <c r="H57" s="579">
        <f>PRODUCT(C57:G57)</f>
        <v>33.404375000000002</v>
      </c>
      <c r="I57" s="582"/>
    </row>
    <row r="58" spans="1:9" ht="37.15" customHeight="1">
      <c r="A58" s="606"/>
      <c r="B58" s="580" t="s">
        <v>3444</v>
      </c>
      <c r="C58" s="581">
        <v>2</v>
      </c>
      <c r="D58" s="581">
        <v>1</v>
      </c>
      <c r="E58" s="582">
        <f>E52</f>
        <v>33</v>
      </c>
      <c r="F58" s="617">
        <v>0.48499999999999999</v>
      </c>
      <c r="G58" s="617">
        <v>0.47499999999999998</v>
      </c>
      <c r="H58" s="579">
        <f>PRODUCT(C58:G58)</f>
        <v>15.204749999999999</v>
      </c>
      <c r="I58" s="582"/>
    </row>
    <row r="59" spans="1:9" ht="25.15" customHeight="1">
      <c r="A59" s="606"/>
      <c r="B59" s="607"/>
      <c r="C59" s="608"/>
      <c r="D59" s="609"/>
      <c r="E59" s="615"/>
      <c r="F59" s="617"/>
      <c r="G59" s="617"/>
      <c r="H59" s="618">
        <f>SUM(H56:H58)</f>
        <v>112.19262499999999</v>
      </c>
      <c r="I59" s="582"/>
    </row>
    <row r="60" spans="1:9" ht="25.15" customHeight="1">
      <c r="A60" s="606"/>
      <c r="B60" s="607"/>
      <c r="C60" s="608"/>
      <c r="D60" s="609"/>
      <c r="E60" s="615"/>
      <c r="F60" s="615"/>
      <c r="G60" s="582" t="s">
        <v>9</v>
      </c>
      <c r="H60" s="616">
        <v>113</v>
      </c>
      <c r="I60" s="582"/>
    </row>
    <row r="61" spans="1:9" ht="65.45" customHeight="1">
      <c r="A61" s="606">
        <v>8</v>
      </c>
      <c r="B61" s="614" t="s">
        <v>3423</v>
      </c>
      <c r="C61" s="608"/>
      <c r="D61" s="609"/>
      <c r="E61" s="615"/>
      <c r="F61" s="615"/>
      <c r="G61" s="615"/>
      <c r="H61" s="619"/>
      <c r="I61" s="582"/>
    </row>
    <row r="62" spans="1:9" ht="34.9" customHeight="1">
      <c r="A62" s="606"/>
      <c r="B62" s="580" t="s">
        <v>3442</v>
      </c>
      <c r="C62" s="581">
        <v>6</v>
      </c>
      <c r="D62" s="581">
        <v>1</v>
      </c>
      <c r="E62" s="582">
        <f>E56</f>
        <v>46</v>
      </c>
      <c r="F62" s="617">
        <v>0.48499999999999999</v>
      </c>
      <c r="G62" s="617">
        <v>0.05</v>
      </c>
      <c r="H62" s="579">
        <f>PRODUCT(C62:G62)</f>
        <v>6.6929999999999996</v>
      </c>
      <c r="I62" s="582"/>
    </row>
    <row r="63" spans="1:9" ht="25.15" customHeight="1">
      <c r="A63" s="606"/>
      <c r="B63" s="580" t="s">
        <v>3443</v>
      </c>
      <c r="C63" s="581">
        <v>5</v>
      </c>
      <c r="D63" s="581">
        <v>1</v>
      </c>
      <c r="E63" s="582">
        <f>E57</f>
        <v>29</v>
      </c>
      <c r="F63" s="617">
        <v>0.48499999999999999</v>
      </c>
      <c r="G63" s="617">
        <v>0.05</v>
      </c>
      <c r="H63" s="579">
        <f>PRODUCT(C63:G63)</f>
        <v>3.5162500000000003</v>
      </c>
      <c r="I63" s="582"/>
    </row>
    <row r="64" spans="1:9" ht="36.6" customHeight="1">
      <c r="A64" s="606"/>
      <c r="B64" s="580" t="s">
        <v>3444</v>
      </c>
      <c r="C64" s="581">
        <v>2</v>
      </c>
      <c r="D64" s="581">
        <v>1</v>
      </c>
      <c r="E64" s="582">
        <f>E58</f>
        <v>33</v>
      </c>
      <c r="F64" s="617">
        <v>0.48499999999999999</v>
      </c>
      <c r="G64" s="617">
        <v>0.05</v>
      </c>
      <c r="H64" s="579">
        <f>PRODUCT(C64:G64)</f>
        <v>1.6005</v>
      </c>
      <c r="I64" s="582"/>
    </row>
    <row r="65" spans="1:9" ht="25.15" customHeight="1">
      <c r="A65" s="606"/>
      <c r="B65" s="607" t="s">
        <v>3420</v>
      </c>
      <c r="C65" s="608"/>
      <c r="D65" s="609"/>
      <c r="E65" s="615"/>
      <c r="F65" s="617"/>
      <c r="G65" s="617"/>
      <c r="H65" s="618">
        <f>SUM(H62:H64)</f>
        <v>11.809750000000001</v>
      </c>
      <c r="I65" s="582"/>
    </row>
    <row r="66" spans="1:9" ht="25.15" customHeight="1">
      <c r="A66" s="606"/>
      <c r="B66" s="607"/>
      <c r="C66" s="608"/>
      <c r="D66" s="609"/>
      <c r="E66" s="615"/>
      <c r="F66" s="615"/>
      <c r="G66" s="615" t="s">
        <v>9</v>
      </c>
      <c r="H66" s="616">
        <v>12</v>
      </c>
      <c r="I66" s="582"/>
    </row>
    <row r="67" spans="1:9" ht="65.45" customHeight="1">
      <c r="A67" s="575">
        <v>9</v>
      </c>
      <c r="B67" s="620" t="s">
        <v>3424</v>
      </c>
      <c r="C67" s="577"/>
      <c r="D67" s="577"/>
      <c r="E67" s="578"/>
      <c r="F67" s="578"/>
      <c r="G67" s="578"/>
      <c r="H67" s="579"/>
      <c r="I67" s="582"/>
    </row>
    <row r="68" spans="1:9" ht="25.15" customHeight="1">
      <c r="A68" s="575"/>
      <c r="B68" s="602" t="s">
        <v>3425</v>
      </c>
      <c r="C68" s="577"/>
      <c r="D68" s="577"/>
      <c r="E68" s="578"/>
      <c r="F68" s="578"/>
      <c r="G68" s="578"/>
      <c r="H68" s="579"/>
      <c r="I68" s="582"/>
    </row>
    <row r="69" spans="1:9" ht="25.15" customHeight="1">
      <c r="A69" s="575"/>
      <c r="B69" s="621" t="s">
        <v>3426</v>
      </c>
      <c r="C69" s="577">
        <v>1</v>
      </c>
      <c r="D69" s="577">
        <v>2</v>
      </c>
      <c r="E69" s="578">
        <v>6.6</v>
      </c>
      <c r="F69" s="578">
        <v>0.6</v>
      </c>
      <c r="G69" s="578" t="s">
        <v>21</v>
      </c>
      <c r="H69" s="579">
        <f>PRODUCT(C69:G69)</f>
        <v>7.919999999999999</v>
      </c>
      <c r="I69" s="582"/>
    </row>
    <row r="70" spans="1:9" ht="25.15" customHeight="1">
      <c r="A70" s="575"/>
      <c r="B70" s="621" t="s">
        <v>3426</v>
      </c>
      <c r="C70" s="577">
        <v>1</v>
      </c>
      <c r="D70" s="577">
        <v>1</v>
      </c>
      <c r="E70" s="578">
        <v>2.2000000000000002</v>
      </c>
      <c r="F70" s="578">
        <v>0.6</v>
      </c>
      <c r="G70" s="578" t="s">
        <v>21</v>
      </c>
      <c r="H70" s="579">
        <f t="shared" ref="H70:H90" si="1">PRODUCT(C70:G70)</f>
        <v>1.32</v>
      </c>
      <c r="I70" s="582"/>
    </row>
    <row r="71" spans="1:9" ht="25.15" customHeight="1">
      <c r="A71" s="575"/>
      <c r="B71" s="621" t="s">
        <v>3427</v>
      </c>
      <c r="C71" s="577">
        <v>1</v>
      </c>
      <c r="D71" s="577">
        <v>1</v>
      </c>
      <c r="E71" s="578">
        <v>1.7</v>
      </c>
      <c r="F71" s="578">
        <v>0.6</v>
      </c>
      <c r="G71" s="578" t="s">
        <v>21</v>
      </c>
      <c r="H71" s="579">
        <f t="shared" si="1"/>
        <v>1.02</v>
      </c>
      <c r="I71" s="582"/>
    </row>
    <row r="72" spans="1:9" ht="25.15" customHeight="1">
      <c r="A72" s="575"/>
      <c r="B72" s="621" t="s">
        <v>3427</v>
      </c>
      <c r="C72" s="577">
        <v>1</v>
      </c>
      <c r="D72" s="577">
        <v>1</v>
      </c>
      <c r="E72" s="578">
        <v>1.8</v>
      </c>
      <c r="F72" s="578">
        <v>0.6</v>
      </c>
      <c r="G72" s="578" t="s">
        <v>21</v>
      </c>
      <c r="H72" s="579">
        <f t="shared" si="1"/>
        <v>1.08</v>
      </c>
      <c r="I72" s="582"/>
    </row>
    <row r="73" spans="1:9" ht="25.15" customHeight="1">
      <c r="A73" s="575"/>
      <c r="B73" s="621" t="s">
        <v>3427</v>
      </c>
      <c r="C73" s="577">
        <v>1</v>
      </c>
      <c r="D73" s="577">
        <v>5</v>
      </c>
      <c r="E73" s="578">
        <v>1.7</v>
      </c>
      <c r="F73" s="578">
        <v>0.6</v>
      </c>
      <c r="G73" s="578" t="s">
        <v>21</v>
      </c>
      <c r="H73" s="579">
        <f t="shared" si="1"/>
        <v>5.0999999999999996</v>
      </c>
      <c r="I73" s="582"/>
    </row>
    <row r="74" spans="1:9" ht="25.15" customHeight="1">
      <c r="A74" s="575"/>
      <c r="B74" s="621" t="s">
        <v>3428</v>
      </c>
      <c r="C74" s="577">
        <v>1</v>
      </c>
      <c r="D74" s="577">
        <v>1</v>
      </c>
      <c r="E74" s="578">
        <v>2.5</v>
      </c>
      <c r="F74" s="578">
        <v>0.6</v>
      </c>
      <c r="G74" s="578" t="s">
        <v>21</v>
      </c>
      <c r="H74" s="579">
        <f t="shared" si="1"/>
        <v>1.5</v>
      </c>
      <c r="I74" s="582"/>
    </row>
    <row r="75" spans="1:9" ht="25.15" customHeight="1">
      <c r="A75" s="575"/>
      <c r="B75" s="621" t="s">
        <v>3428</v>
      </c>
      <c r="C75" s="577">
        <v>1</v>
      </c>
      <c r="D75" s="577">
        <v>2</v>
      </c>
      <c r="E75" s="578">
        <v>3.7</v>
      </c>
      <c r="F75" s="578">
        <v>0.6</v>
      </c>
      <c r="G75" s="578" t="s">
        <v>21</v>
      </c>
      <c r="H75" s="579">
        <f t="shared" si="1"/>
        <v>4.4400000000000004</v>
      </c>
      <c r="I75" s="582"/>
    </row>
    <row r="76" spans="1:9" ht="25.15" customHeight="1">
      <c r="A76" s="596"/>
      <c r="B76" s="597" t="s">
        <v>3428</v>
      </c>
      <c r="C76" s="598">
        <v>1</v>
      </c>
      <c r="D76" s="598">
        <v>2</v>
      </c>
      <c r="E76" s="599">
        <v>1.7</v>
      </c>
      <c r="F76" s="599">
        <v>0.6</v>
      </c>
      <c r="G76" s="599" t="s">
        <v>21</v>
      </c>
      <c r="H76" s="579">
        <f t="shared" si="1"/>
        <v>2.04</v>
      </c>
      <c r="I76" s="582"/>
    </row>
    <row r="77" spans="1:9" ht="25.15" customHeight="1">
      <c r="A77" s="596"/>
      <c r="B77" s="597" t="s">
        <v>3429</v>
      </c>
      <c r="C77" s="598">
        <v>1</v>
      </c>
      <c r="D77" s="598">
        <v>3</v>
      </c>
      <c r="E77" s="599">
        <v>1.7</v>
      </c>
      <c r="F77" s="599">
        <v>0.6</v>
      </c>
      <c r="G77" s="599" t="s">
        <v>21</v>
      </c>
      <c r="H77" s="579">
        <f t="shared" si="1"/>
        <v>3.0599999999999996</v>
      </c>
      <c r="I77" s="582"/>
    </row>
    <row r="78" spans="1:9" ht="25.15" customHeight="1">
      <c r="A78" s="596"/>
      <c r="B78" s="597" t="s">
        <v>3430</v>
      </c>
      <c r="C78" s="598">
        <v>1</v>
      </c>
      <c r="D78" s="598">
        <v>1</v>
      </c>
      <c r="E78" s="599">
        <v>1.96</v>
      </c>
      <c r="F78" s="599">
        <v>1</v>
      </c>
      <c r="G78" s="599" t="s">
        <v>21</v>
      </c>
      <c r="H78" s="579">
        <f t="shared" si="1"/>
        <v>1.96</v>
      </c>
      <c r="I78" s="582"/>
    </row>
    <row r="79" spans="1:9" ht="25.15" customHeight="1">
      <c r="A79" s="575"/>
      <c r="B79" s="621" t="s">
        <v>3431</v>
      </c>
      <c r="C79" s="577">
        <v>1</v>
      </c>
      <c r="D79" s="577">
        <v>4</v>
      </c>
      <c r="E79" s="578">
        <v>1.7</v>
      </c>
      <c r="F79" s="578">
        <v>0.6</v>
      </c>
      <c r="G79" s="578" t="s">
        <v>21</v>
      </c>
      <c r="H79" s="579">
        <f t="shared" si="1"/>
        <v>4.08</v>
      </c>
      <c r="I79" s="582"/>
    </row>
    <row r="80" spans="1:9" ht="25.15" customHeight="1">
      <c r="A80" s="575"/>
      <c r="B80" s="621" t="s">
        <v>3431</v>
      </c>
      <c r="C80" s="577">
        <v>1</v>
      </c>
      <c r="D80" s="577">
        <v>2</v>
      </c>
      <c r="E80" s="578">
        <v>2.1</v>
      </c>
      <c r="F80" s="578">
        <v>0.6</v>
      </c>
      <c r="G80" s="578" t="s">
        <v>21</v>
      </c>
      <c r="H80" s="579">
        <f t="shared" si="1"/>
        <v>2.52</v>
      </c>
      <c r="I80" s="582"/>
    </row>
    <row r="81" spans="1:9" ht="25.15" customHeight="1">
      <c r="A81" s="575"/>
      <c r="B81" s="621" t="s">
        <v>3432</v>
      </c>
      <c r="C81" s="577">
        <v>1</v>
      </c>
      <c r="D81" s="577">
        <v>2</v>
      </c>
      <c r="E81" s="578">
        <v>6.6</v>
      </c>
      <c r="F81" s="578">
        <v>0.6</v>
      </c>
      <c r="G81" s="578" t="s">
        <v>21</v>
      </c>
      <c r="H81" s="579">
        <f t="shared" si="1"/>
        <v>7.919999999999999</v>
      </c>
      <c r="I81" s="582"/>
    </row>
    <row r="82" spans="1:9" ht="25.15" customHeight="1">
      <c r="A82" s="575"/>
      <c r="B82" s="621" t="s">
        <v>3433</v>
      </c>
      <c r="C82" s="577">
        <v>1</v>
      </c>
      <c r="D82" s="577">
        <v>1</v>
      </c>
      <c r="E82" s="578">
        <v>3</v>
      </c>
      <c r="F82" s="578">
        <v>0.3</v>
      </c>
      <c r="G82" s="578" t="s">
        <v>21</v>
      </c>
      <c r="H82" s="579">
        <f t="shared" si="1"/>
        <v>0.89999999999999991</v>
      </c>
      <c r="I82" s="582"/>
    </row>
    <row r="83" spans="1:9" ht="25.15" customHeight="1">
      <c r="A83" s="575"/>
      <c r="B83" s="621" t="s">
        <v>3434</v>
      </c>
      <c r="C83" s="577">
        <v>1</v>
      </c>
      <c r="D83" s="577">
        <v>1</v>
      </c>
      <c r="E83" s="578">
        <v>1.46</v>
      </c>
      <c r="F83" s="578">
        <v>0.6</v>
      </c>
      <c r="G83" s="578" t="s">
        <v>21</v>
      </c>
      <c r="H83" s="579">
        <f t="shared" si="1"/>
        <v>0.876</v>
      </c>
      <c r="I83" s="582"/>
    </row>
    <row r="84" spans="1:9" ht="36" customHeight="1">
      <c r="A84" s="575"/>
      <c r="B84" s="621" t="s">
        <v>3435</v>
      </c>
      <c r="C84" s="577">
        <v>1</v>
      </c>
      <c r="D84" s="577">
        <v>1</v>
      </c>
      <c r="E84" s="578">
        <v>4.5</v>
      </c>
      <c r="F84" s="578">
        <v>0.3</v>
      </c>
      <c r="G84" s="578" t="s">
        <v>21</v>
      </c>
      <c r="H84" s="579">
        <f t="shared" si="1"/>
        <v>1.3499999999999999</v>
      </c>
      <c r="I84" s="582"/>
    </row>
    <row r="85" spans="1:9" ht="37.9" customHeight="1">
      <c r="A85" s="575"/>
      <c r="B85" s="621" t="s">
        <v>3436</v>
      </c>
      <c r="C85" s="577">
        <v>1</v>
      </c>
      <c r="D85" s="577">
        <v>1</v>
      </c>
      <c r="E85" s="578">
        <v>3.3</v>
      </c>
      <c r="F85" s="578">
        <v>0.8</v>
      </c>
      <c r="G85" s="578" t="s">
        <v>21</v>
      </c>
      <c r="H85" s="579">
        <f t="shared" si="1"/>
        <v>2.64</v>
      </c>
      <c r="I85" s="582"/>
    </row>
    <row r="86" spans="1:9" ht="25.15" customHeight="1">
      <c r="A86" s="575"/>
      <c r="B86" s="621" t="s">
        <v>3437</v>
      </c>
      <c r="C86" s="577">
        <v>1</v>
      </c>
      <c r="D86" s="577">
        <v>2</v>
      </c>
      <c r="E86" s="578">
        <v>3.7</v>
      </c>
      <c r="F86" s="578">
        <v>0.6</v>
      </c>
      <c r="G86" s="578" t="s">
        <v>21</v>
      </c>
      <c r="H86" s="579">
        <f t="shared" si="1"/>
        <v>4.4400000000000004</v>
      </c>
      <c r="I86" s="582"/>
    </row>
    <row r="87" spans="1:9" ht="25.15" customHeight="1">
      <c r="A87" s="575"/>
      <c r="B87" s="621" t="s">
        <v>3437</v>
      </c>
      <c r="C87" s="577">
        <v>1</v>
      </c>
      <c r="D87" s="577">
        <v>1</v>
      </c>
      <c r="E87" s="578">
        <v>1.7</v>
      </c>
      <c r="F87" s="578">
        <v>0.6</v>
      </c>
      <c r="G87" s="578" t="s">
        <v>21</v>
      </c>
      <c r="H87" s="579">
        <f t="shared" si="1"/>
        <v>1.02</v>
      </c>
      <c r="I87" s="582"/>
    </row>
    <row r="88" spans="1:9" ht="25.15" customHeight="1">
      <c r="A88" s="575"/>
      <c r="B88" s="621" t="s">
        <v>3438</v>
      </c>
      <c r="C88" s="577">
        <v>1</v>
      </c>
      <c r="D88" s="577">
        <v>1</v>
      </c>
      <c r="E88" s="578">
        <v>12</v>
      </c>
      <c r="F88" s="578">
        <v>0.3</v>
      </c>
      <c r="G88" s="578" t="s">
        <v>21</v>
      </c>
      <c r="H88" s="579">
        <f t="shared" si="1"/>
        <v>3.5999999999999996</v>
      </c>
      <c r="I88" s="582"/>
    </row>
    <row r="89" spans="1:9" ht="25.15" customHeight="1">
      <c r="A89" s="575"/>
      <c r="B89" s="621" t="s">
        <v>3439</v>
      </c>
      <c r="C89" s="577">
        <v>1</v>
      </c>
      <c r="D89" s="577">
        <v>3</v>
      </c>
      <c r="E89" s="578">
        <v>1.7</v>
      </c>
      <c r="F89" s="578">
        <v>0.6</v>
      </c>
      <c r="G89" s="578" t="s">
        <v>21</v>
      </c>
      <c r="H89" s="579">
        <f t="shared" si="1"/>
        <v>3.0599999999999996</v>
      </c>
      <c r="I89" s="582"/>
    </row>
    <row r="90" spans="1:9" ht="25.15" customHeight="1">
      <c r="A90" s="575"/>
      <c r="B90" s="621" t="s">
        <v>3439</v>
      </c>
      <c r="C90" s="577">
        <v>1</v>
      </c>
      <c r="D90" s="577">
        <v>1</v>
      </c>
      <c r="E90" s="578">
        <v>2.1</v>
      </c>
      <c r="F90" s="578">
        <v>0.6</v>
      </c>
      <c r="G90" s="578" t="s">
        <v>21</v>
      </c>
      <c r="H90" s="579">
        <f t="shared" si="1"/>
        <v>1.26</v>
      </c>
      <c r="I90" s="582"/>
    </row>
    <row r="91" spans="1:9" ht="25.15" customHeight="1">
      <c r="A91" s="575"/>
      <c r="B91" s="622"/>
      <c r="C91" s="577"/>
      <c r="D91" s="577"/>
      <c r="E91" s="578"/>
      <c r="F91" s="578"/>
      <c r="G91" s="578"/>
      <c r="H91" s="579">
        <f>SUM(H69:H90)</f>
        <v>63.106000000000002</v>
      </c>
      <c r="I91" s="582"/>
    </row>
    <row r="92" spans="1:9" ht="25.15" customHeight="1">
      <c r="A92" s="575"/>
      <c r="B92" s="622"/>
      <c r="C92" s="577"/>
      <c r="D92" s="577"/>
      <c r="E92" s="578"/>
      <c r="F92" s="578"/>
      <c r="G92" s="578" t="s">
        <v>9</v>
      </c>
      <c r="H92" s="591">
        <v>63.5</v>
      </c>
      <c r="I92" s="582"/>
    </row>
    <row r="93" spans="1:9" ht="52.15" customHeight="1">
      <c r="A93" s="575">
        <v>10</v>
      </c>
      <c r="B93" s="602" t="s">
        <v>3440</v>
      </c>
      <c r="C93" s="577"/>
      <c r="D93" s="577"/>
      <c r="E93" s="578"/>
      <c r="F93" s="578"/>
      <c r="G93" s="578"/>
      <c r="H93" s="579"/>
      <c r="I93" s="582"/>
    </row>
    <row r="94" spans="1:9" ht="25.15" customHeight="1">
      <c r="A94" s="575"/>
      <c r="B94" s="602" t="s">
        <v>3425</v>
      </c>
      <c r="C94" s="577"/>
      <c r="D94" s="577"/>
      <c r="E94" s="578"/>
      <c r="F94" s="578"/>
      <c r="G94" s="578"/>
      <c r="H94" s="579"/>
      <c r="I94" s="582"/>
    </row>
    <row r="95" spans="1:9" ht="25.15" customHeight="1">
      <c r="A95" s="575"/>
      <c r="B95" s="621" t="s">
        <v>3426</v>
      </c>
      <c r="C95" s="577">
        <v>1</v>
      </c>
      <c r="D95" s="577">
        <v>2</v>
      </c>
      <c r="E95" s="578">
        <v>6.6</v>
      </c>
      <c r="F95" s="578">
        <v>0.6</v>
      </c>
      <c r="G95" s="578" t="s">
        <v>21</v>
      </c>
      <c r="H95" s="579">
        <f>PRODUCT(C95:G95)</f>
        <v>7.919999999999999</v>
      </c>
      <c r="I95" s="582"/>
    </row>
    <row r="96" spans="1:9" ht="25.15" customHeight="1">
      <c r="A96" s="575"/>
      <c r="B96" s="621" t="s">
        <v>3426</v>
      </c>
      <c r="C96" s="577">
        <v>1</v>
      </c>
      <c r="D96" s="577">
        <v>1</v>
      </c>
      <c r="E96" s="578">
        <v>2.2000000000000002</v>
      </c>
      <c r="F96" s="578">
        <v>0.6</v>
      </c>
      <c r="G96" s="578" t="s">
        <v>21</v>
      </c>
      <c r="H96" s="579">
        <f t="shared" ref="H96:H116" si="2">PRODUCT(C96:G96)</f>
        <v>1.32</v>
      </c>
      <c r="I96" s="582"/>
    </row>
    <row r="97" spans="1:9" ht="25.15" customHeight="1">
      <c r="A97" s="575"/>
      <c r="B97" s="621" t="s">
        <v>3427</v>
      </c>
      <c r="C97" s="577">
        <v>1</v>
      </c>
      <c r="D97" s="577">
        <v>1</v>
      </c>
      <c r="E97" s="578">
        <v>1.7</v>
      </c>
      <c r="F97" s="578">
        <v>0.6</v>
      </c>
      <c r="G97" s="578" t="s">
        <v>21</v>
      </c>
      <c r="H97" s="579">
        <f t="shared" si="2"/>
        <v>1.02</v>
      </c>
      <c r="I97" s="582"/>
    </row>
    <row r="98" spans="1:9" ht="25.15" customHeight="1">
      <c r="A98" s="575"/>
      <c r="B98" s="621" t="s">
        <v>3427</v>
      </c>
      <c r="C98" s="577">
        <v>1</v>
      </c>
      <c r="D98" s="577">
        <v>1</v>
      </c>
      <c r="E98" s="578">
        <v>1.8</v>
      </c>
      <c r="F98" s="578">
        <v>0.6</v>
      </c>
      <c r="G98" s="578" t="s">
        <v>21</v>
      </c>
      <c r="H98" s="579">
        <f t="shared" si="2"/>
        <v>1.08</v>
      </c>
      <c r="I98" s="582"/>
    </row>
    <row r="99" spans="1:9" ht="25.15" customHeight="1">
      <c r="A99" s="575"/>
      <c r="B99" s="621" t="s">
        <v>3427</v>
      </c>
      <c r="C99" s="577">
        <v>1</v>
      </c>
      <c r="D99" s="577">
        <v>5</v>
      </c>
      <c r="E99" s="578">
        <v>1.7</v>
      </c>
      <c r="F99" s="578">
        <v>0.6</v>
      </c>
      <c r="G99" s="578" t="s">
        <v>21</v>
      </c>
      <c r="H99" s="579">
        <f t="shared" si="2"/>
        <v>5.0999999999999996</v>
      </c>
      <c r="I99" s="582"/>
    </row>
    <row r="100" spans="1:9" ht="25.15" customHeight="1">
      <c r="A100" s="575"/>
      <c r="B100" s="621" t="s">
        <v>3428</v>
      </c>
      <c r="C100" s="577">
        <v>1</v>
      </c>
      <c r="D100" s="577">
        <v>1</v>
      </c>
      <c r="E100" s="578">
        <v>2.5</v>
      </c>
      <c r="F100" s="578">
        <v>0.6</v>
      </c>
      <c r="G100" s="578" t="s">
        <v>21</v>
      </c>
      <c r="H100" s="579">
        <f t="shared" si="2"/>
        <v>1.5</v>
      </c>
      <c r="I100" s="582"/>
    </row>
    <row r="101" spans="1:9" ht="25.15" customHeight="1">
      <c r="A101" s="575"/>
      <c r="B101" s="621" t="s">
        <v>3428</v>
      </c>
      <c r="C101" s="577">
        <v>1</v>
      </c>
      <c r="D101" s="577">
        <v>2</v>
      </c>
      <c r="E101" s="578">
        <v>3.7</v>
      </c>
      <c r="F101" s="578">
        <v>0.6</v>
      </c>
      <c r="G101" s="578" t="s">
        <v>21</v>
      </c>
      <c r="H101" s="579">
        <f t="shared" si="2"/>
        <v>4.4400000000000004</v>
      </c>
      <c r="I101" s="582"/>
    </row>
    <row r="102" spans="1:9" ht="25.15" customHeight="1">
      <c r="A102" s="596"/>
      <c r="B102" s="597" t="s">
        <v>3428</v>
      </c>
      <c r="C102" s="598">
        <v>1</v>
      </c>
      <c r="D102" s="598">
        <v>2</v>
      </c>
      <c r="E102" s="599">
        <v>1.7</v>
      </c>
      <c r="F102" s="599">
        <v>0.6</v>
      </c>
      <c r="G102" s="599" t="s">
        <v>21</v>
      </c>
      <c r="H102" s="579">
        <f t="shared" si="2"/>
        <v>2.04</v>
      </c>
      <c r="I102" s="582"/>
    </row>
    <row r="103" spans="1:9" ht="25.15" customHeight="1">
      <c r="A103" s="596"/>
      <c r="B103" s="597" t="s">
        <v>3429</v>
      </c>
      <c r="C103" s="598">
        <v>1</v>
      </c>
      <c r="D103" s="598">
        <v>3</v>
      </c>
      <c r="E103" s="599">
        <v>1.7</v>
      </c>
      <c r="F103" s="599">
        <v>0.6</v>
      </c>
      <c r="G103" s="599" t="s">
        <v>21</v>
      </c>
      <c r="H103" s="579">
        <f t="shared" si="2"/>
        <v>3.0599999999999996</v>
      </c>
      <c r="I103" s="582"/>
    </row>
    <row r="104" spans="1:9" ht="25.15" customHeight="1">
      <c r="A104" s="596"/>
      <c r="B104" s="597" t="s">
        <v>3430</v>
      </c>
      <c r="C104" s="598">
        <v>1</v>
      </c>
      <c r="D104" s="598">
        <v>1</v>
      </c>
      <c r="E104" s="599">
        <v>1.96</v>
      </c>
      <c r="F104" s="599">
        <v>1</v>
      </c>
      <c r="G104" s="599" t="s">
        <v>21</v>
      </c>
      <c r="H104" s="579">
        <f t="shared" si="2"/>
        <v>1.96</v>
      </c>
      <c r="I104" s="582"/>
    </row>
    <row r="105" spans="1:9" ht="25.15" customHeight="1">
      <c r="A105" s="575"/>
      <c r="B105" s="621" t="s">
        <v>3431</v>
      </c>
      <c r="C105" s="577">
        <v>1</v>
      </c>
      <c r="D105" s="577">
        <v>4</v>
      </c>
      <c r="E105" s="578">
        <v>1.7</v>
      </c>
      <c r="F105" s="578">
        <v>0.6</v>
      </c>
      <c r="G105" s="578" t="s">
        <v>21</v>
      </c>
      <c r="H105" s="579">
        <f t="shared" si="2"/>
        <v>4.08</v>
      </c>
      <c r="I105" s="582"/>
    </row>
    <row r="106" spans="1:9" ht="25.15" customHeight="1">
      <c r="A106" s="575"/>
      <c r="B106" s="621" t="s">
        <v>3431</v>
      </c>
      <c r="C106" s="577">
        <v>1</v>
      </c>
      <c r="D106" s="577">
        <v>2</v>
      </c>
      <c r="E106" s="578">
        <v>2.1</v>
      </c>
      <c r="F106" s="578">
        <v>0.6</v>
      </c>
      <c r="G106" s="578" t="s">
        <v>21</v>
      </c>
      <c r="H106" s="579">
        <f t="shared" si="2"/>
        <v>2.52</v>
      </c>
      <c r="I106" s="582"/>
    </row>
    <row r="107" spans="1:9" ht="25.15" customHeight="1">
      <c r="A107" s="575"/>
      <c r="B107" s="621" t="s">
        <v>3432</v>
      </c>
      <c r="C107" s="577">
        <v>1</v>
      </c>
      <c r="D107" s="577">
        <v>2</v>
      </c>
      <c r="E107" s="578">
        <v>6.6</v>
      </c>
      <c r="F107" s="578">
        <v>0.6</v>
      </c>
      <c r="G107" s="578" t="s">
        <v>21</v>
      </c>
      <c r="H107" s="579">
        <f t="shared" si="2"/>
        <v>7.919999999999999</v>
      </c>
      <c r="I107" s="582"/>
    </row>
    <row r="108" spans="1:9" ht="33" customHeight="1">
      <c r="A108" s="575"/>
      <c r="B108" s="621" t="s">
        <v>3433</v>
      </c>
      <c r="C108" s="577">
        <v>1</v>
      </c>
      <c r="D108" s="577">
        <v>1</v>
      </c>
      <c r="E108" s="578">
        <v>3</v>
      </c>
      <c r="F108" s="578">
        <v>0.3</v>
      </c>
      <c r="G108" s="578" t="s">
        <v>21</v>
      </c>
      <c r="H108" s="579">
        <f t="shared" si="2"/>
        <v>0.89999999999999991</v>
      </c>
      <c r="I108" s="582"/>
    </row>
    <row r="109" spans="1:9" ht="25.15" customHeight="1">
      <c r="A109" s="575"/>
      <c r="B109" s="621" t="s">
        <v>3434</v>
      </c>
      <c r="C109" s="577">
        <v>1</v>
      </c>
      <c r="D109" s="577">
        <v>1</v>
      </c>
      <c r="E109" s="578">
        <v>1.46</v>
      </c>
      <c r="F109" s="578">
        <v>0.6</v>
      </c>
      <c r="G109" s="578" t="s">
        <v>21</v>
      </c>
      <c r="H109" s="579">
        <f t="shared" si="2"/>
        <v>0.876</v>
      </c>
      <c r="I109" s="582"/>
    </row>
    <row r="110" spans="1:9" ht="36.6" customHeight="1">
      <c r="A110" s="575"/>
      <c r="B110" s="621" t="s">
        <v>3435</v>
      </c>
      <c r="C110" s="577">
        <v>1</v>
      </c>
      <c r="D110" s="577">
        <v>1</v>
      </c>
      <c r="E110" s="578">
        <v>4.5</v>
      </c>
      <c r="F110" s="578">
        <v>0.3</v>
      </c>
      <c r="G110" s="578" t="s">
        <v>21</v>
      </c>
      <c r="H110" s="579">
        <f t="shared" si="2"/>
        <v>1.3499999999999999</v>
      </c>
      <c r="I110" s="582"/>
    </row>
    <row r="111" spans="1:9" ht="34.15" customHeight="1">
      <c r="A111" s="575"/>
      <c r="B111" s="621" t="s">
        <v>3436</v>
      </c>
      <c r="C111" s="577">
        <v>1</v>
      </c>
      <c r="D111" s="577">
        <v>1</v>
      </c>
      <c r="E111" s="578">
        <v>3.3</v>
      </c>
      <c r="F111" s="578">
        <v>0.8</v>
      </c>
      <c r="G111" s="578" t="s">
        <v>21</v>
      </c>
      <c r="H111" s="579">
        <f t="shared" si="2"/>
        <v>2.64</v>
      </c>
      <c r="I111" s="582"/>
    </row>
    <row r="112" spans="1:9" ht="25.15" customHeight="1">
      <c r="A112" s="575"/>
      <c r="B112" s="621" t="s">
        <v>3437</v>
      </c>
      <c r="C112" s="577">
        <v>1</v>
      </c>
      <c r="D112" s="577">
        <v>2</v>
      </c>
      <c r="E112" s="578">
        <v>3.7</v>
      </c>
      <c r="F112" s="578">
        <v>0.6</v>
      </c>
      <c r="G112" s="578" t="s">
        <v>21</v>
      </c>
      <c r="H112" s="579">
        <f t="shared" si="2"/>
        <v>4.4400000000000004</v>
      </c>
      <c r="I112" s="582"/>
    </row>
    <row r="113" spans="1:9" ht="25.15" customHeight="1">
      <c r="A113" s="575"/>
      <c r="B113" s="621" t="s">
        <v>3437</v>
      </c>
      <c r="C113" s="577">
        <v>1</v>
      </c>
      <c r="D113" s="577">
        <v>1</v>
      </c>
      <c r="E113" s="578">
        <v>1.7</v>
      </c>
      <c r="F113" s="578">
        <v>0.6</v>
      </c>
      <c r="G113" s="578" t="s">
        <v>21</v>
      </c>
      <c r="H113" s="579">
        <f t="shared" si="2"/>
        <v>1.02</v>
      </c>
      <c r="I113" s="582"/>
    </row>
    <row r="114" spans="1:9" ht="25.15" customHeight="1">
      <c r="A114" s="575"/>
      <c r="B114" s="621" t="s">
        <v>3438</v>
      </c>
      <c r="C114" s="577">
        <v>1</v>
      </c>
      <c r="D114" s="577">
        <v>1</v>
      </c>
      <c r="E114" s="578">
        <v>12</v>
      </c>
      <c r="F114" s="578">
        <v>0.3</v>
      </c>
      <c r="G114" s="578" t="s">
        <v>21</v>
      </c>
      <c r="H114" s="579">
        <f t="shared" si="2"/>
        <v>3.5999999999999996</v>
      </c>
      <c r="I114" s="582"/>
    </row>
    <row r="115" spans="1:9" ht="25.15" customHeight="1">
      <c r="A115" s="575"/>
      <c r="B115" s="621" t="s">
        <v>3439</v>
      </c>
      <c r="C115" s="577">
        <v>1</v>
      </c>
      <c r="D115" s="577">
        <v>3</v>
      </c>
      <c r="E115" s="578">
        <v>1.7</v>
      </c>
      <c r="F115" s="578">
        <v>0.6</v>
      </c>
      <c r="G115" s="578" t="s">
        <v>21</v>
      </c>
      <c r="H115" s="579">
        <f t="shared" si="2"/>
        <v>3.0599999999999996</v>
      </c>
      <c r="I115" s="582"/>
    </row>
    <row r="116" spans="1:9" ht="25.15" customHeight="1">
      <c r="A116" s="575"/>
      <c r="B116" s="621" t="s">
        <v>3439</v>
      </c>
      <c r="C116" s="577">
        <v>1</v>
      </c>
      <c r="D116" s="577">
        <v>1</v>
      </c>
      <c r="E116" s="578">
        <v>2.1</v>
      </c>
      <c r="F116" s="578">
        <v>0.6</v>
      </c>
      <c r="G116" s="578" t="s">
        <v>21</v>
      </c>
      <c r="H116" s="579">
        <f t="shared" si="2"/>
        <v>1.26</v>
      </c>
      <c r="I116" s="582"/>
    </row>
    <row r="117" spans="1:9" ht="25.15" customHeight="1">
      <c r="A117" s="575"/>
      <c r="B117" s="593" t="s">
        <v>3449</v>
      </c>
      <c r="C117" s="577">
        <v>6</v>
      </c>
      <c r="D117" s="577">
        <v>1</v>
      </c>
      <c r="E117" s="578">
        <f>E23</f>
        <v>40</v>
      </c>
      <c r="F117" s="578">
        <v>0.23</v>
      </c>
      <c r="G117" s="578" t="s">
        <v>21</v>
      </c>
      <c r="H117" s="579">
        <f t="shared" ref="H117:H122" si="3">PRODUCT(C117:G117)</f>
        <v>55.2</v>
      </c>
      <c r="I117" s="582"/>
    </row>
    <row r="118" spans="1:9" ht="25.15" customHeight="1">
      <c r="A118" s="575"/>
      <c r="B118" s="593" t="s">
        <v>3446</v>
      </c>
      <c r="C118" s="577">
        <v>5</v>
      </c>
      <c r="D118" s="577">
        <v>1</v>
      </c>
      <c r="E118" s="578">
        <f>E24</f>
        <v>30</v>
      </c>
      <c r="F118" s="578">
        <v>1.23</v>
      </c>
      <c r="G118" s="578" t="s">
        <v>21</v>
      </c>
      <c r="H118" s="579">
        <f t="shared" si="3"/>
        <v>184.5</v>
      </c>
      <c r="I118" s="582"/>
    </row>
    <row r="119" spans="1:9" ht="25.15" customHeight="1">
      <c r="A119" s="575"/>
      <c r="B119" s="593" t="s">
        <v>3447</v>
      </c>
      <c r="C119" s="577">
        <v>2</v>
      </c>
      <c r="D119" s="577">
        <v>1</v>
      </c>
      <c r="E119" s="578">
        <f>E25</f>
        <v>30</v>
      </c>
      <c r="F119" s="578">
        <v>2.23</v>
      </c>
      <c r="G119" s="578" t="s">
        <v>21</v>
      </c>
      <c r="H119" s="579">
        <f t="shared" si="3"/>
        <v>133.80000000000001</v>
      </c>
      <c r="I119" s="582"/>
    </row>
    <row r="120" spans="1:9" ht="25.15" customHeight="1">
      <c r="A120" s="575"/>
      <c r="B120" s="623" t="s">
        <v>3467</v>
      </c>
      <c r="C120" s="581">
        <v>1</v>
      </c>
      <c r="D120" s="586">
        <v>10</v>
      </c>
      <c r="E120" s="587">
        <v>4.24</v>
      </c>
      <c r="F120" s="587" t="s">
        <v>21</v>
      </c>
      <c r="G120" s="587">
        <v>1.5</v>
      </c>
      <c r="H120" s="579">
        <f t="shared" si="3"/>
        <v>63.600000000000009</v>
      </c>
      <c r="I120" s="582"/>
    </row>
    <row r="121" spans="1:9" ht="25.15" customHeight="1">
      <c r="A121" s="575"/>
      <c r="B121" s="623" t="s">
        <v>3468</v>
      </c>
      <c r="C121" s="581">
        <v>1</v>
      </c>
      <c r="D121" s="586">
        <v>10</v>
      </c>
      <c r="E121" s="587">
        <v>3.32</v>
      </c>
      <c r="F121" s="587">
        <v>0.23</v>
      </c>
      <c r="G121" s="587" t="s">
        <v>21</v>
      </c>
      <c r="H121" s="579">
        <f t="shared" si="3"/>
        <v>7.6359999999999992</v>
      </c>
      <c r="I121" s="582"/>
    </row>
    <row r="122" spans="1:9" ht="25.15" customHeight="1">
      <c r="A122" s="575"/>
      <c r="B122" s="622" t="s">
        <v>3469</v>
      </c>
      <c r="C122" s="577">
        <v>1</v>
      </c>
      <c r="D122" s="577">
        <v>5</v>
      </c>
      <c r="E122" s="578">
        <v>4.24</v>
      </c>
      <c r="F122" s="578" t="s">
        <v>21</v>
      </c>
      <c r="G122" s="578">
        <v>0.5</v>
      </c>
      <c r="H122" s="579">
        <f t="shared" si="3"/>
        <v>10.600000000000001</v>
      </c>
      <c r="I122" s="582"/>
    </row>
    <row r="123" spans="1:9" ht="25.15" customHeight="1">
      <c r="A123" s="575"/>
      <c r="B123" s="622"/>
      <c r="C123" s="577"/>
      <c r="D123" s="577"/>
      <c r="E123" s="578"/>
      <c r="F123" s="578"/>
      <c r="G123" s="578"/>
      <c r="H123" s="579">
        <f>SUM(H95:H122)</f>
        <v>518.44200000000012</v>
      </c>
      <c r="I123" s="582"/>
    </row>
    <row r="124" spans="1:9" ht="25.15" customHeight="1">
      <c r="A124" s="575"/>
      <c r="B124" s="622"/>
      <c r="C124" s="577"/>
      <c r="D124" s="577"/>
      <c r="E124" s="578"/>
      <c r="F124" s="578"/>
      <c r="G124" s="578" t="s">
        <v>3093</v>
      </c>
      <c r="H124" s="591">
        <v>520</v>
      </c>
      <c r="I124" s="582"/>
    </row>
    <row r="125" spans="1:9" ht="56.45" customHeight="1">
      <c r="A125" s="575">
        <v>11</v>
      </c>
      <c r="B125" s="602" t="s">
        <v>3441</v>
      </c>
      <c r="C125" s="577"/>
      <c r="D125" s="577"/>
      <c r="E125" s="578"/>
      <c r="F125" s="578"/>
      <c r="G125" s="578"/>
      <c r="H125" s="591"/>
      <c r="I125" s="582"/>
    </row>
    <row r="126" spans="1:9" ht="37.15" customHeight="1">
      <c r="A126" s="575"/>
      <c r="B126" s="580" t="s">
        <v>3442</v>
      </c>
      <c r="C126" s="581">
        <v>6</v>
      </c>
      <c r="D126" s="581">
        <v>1</v>
      </c>
      <c r="E126" s="582">
        <f>E43</f>
        <v>46</v>
      </c>
      <c r="F126" s="578" t="s">
        <v>21</v>
      </c>
      <c r="G126" s="578">
        <v>0.5</v>
      </c>
      <c r="H126" s="579">
        <f t="shared" ref="H126:H132" si="4">PRODUCT(C126:G126)</f>
        <v>138</v>
      </c>
      <c r="I126" s="582"/>
    </row>
    <row r="127" spans="1:9" ht="25.15" customHeight="1">
      <c r="A127" s="575"/>
      <c r="B127" s="580" t="s">
        <v>3443</v>
      </c>
      <c r="C127" s="581">
        <v>5</v>
      </c>
      <c r="D127" s="581">
        <v>1</v>
      </c>
      <c r="E127" s="582">
        <f>E44</f>
        <v>29</v>
      </c>
      <c r="F127" s="578" t="s">
        <v>21</v>
      </c>
      <c r="G127" s="578">
        <v>0.5</v>
      </c>
      <c r="H127" s="579">
        <f t="shared" si="4"/>
        <v>72.5</v>
      </c>
      <c r="I127" s="582"/>
    </row>
    <row r="128" spans="1:9" ht="36" customHeight="1">
      <c r="A128" s="575"/>
      <c r="B128" s="580" t="s">
        <v>3444</v>
      </c>
      <c r="C128" s="581">
        <v>2</v>
      </c>
      <c r="D128" s="581">
        <v>1</v>
      </c>
      <c r="E128" s="582">
        <f>E45</f>
        <v>33</v>
      </c>
      <c r="F128" s="578" t="s">
        <v>21</v>
      </c>
      <c r="G128" s="578">
        <v>0.5</v>
      </c>
      <c r="H128" s="579">
        <f t="shared" si="4"/>
        <v>33</v>
      </c>
      <c r="I128" s="582"/>
    </row>
    <row r="129" spans="1:15" ht="25.15" customHeight="1">
      <c r="A129" s="575"/>
      <c r="B129" s="593" t="s">
        <v>3445</v>
      </c>
      <c r="C129" s="577">
        <v>6</v>
      </c>
      <c r="D129" s="577">
        <v>1</v>
      </c>
      <c r="E129" s="578">
        <f>E117</f>
        <v>40</v>
      </c>
      <c r="F129" s="578" t="s">
        <v>21</v>
      </c>
      <c r="G129" s="578">
        <v>0.3</v>
      </c>
      <c r="H129" s="579">
        <f t="shared" si="4"/>
        <v>72</v>
      </c>
      <c r="I129" s="582"/>
    </row>
    <row r="130" spans="1:15" ht="25.15" customHeight="1">
      <c r="A130" s="575"/>
      <c r="B130" s="593" t="s">
        <v>3446</v>
      </c>
      <c r="C130" s="577">
        <v>5</v>
      </c>
      <c r="D130" s="577">
        <v>1</v>
      </c>
      <c r="E130" s="578">
        <f>E118</f>
        <v>30</v>
      </c>
      <c r="F130" s="578" t="s">
        <v>21</v>
      </c>
      <c r="G130" s="578">
        <v>0.3</v>
      </c>
      <c r="H130" s="579">
        <f t="shared" si="4"/>
        <v>45</v>
      </c>
      <c r="I130" s="582"/>
    </row>
    <row r="131" spans="1:15" ht="25.15" customHeight="1">
      <c r="A131" s="575"/>
      <c r="B131" s="593" t="s">
        <v>3447</v>
      </c>
      <c r="C131" s="577">
        <v>2</v>
      </c>
      <c r="D131" s="577">
        <v>1</v>
      </c>
      <c r="E131" s="578">
        <f>E119</f>
        <v>30</v>
      </c>
      <c r="F131" s="578" t="s">
        <v>21</v>
      </c>
      <c r="G131" s="578">
        <v>0.3</v>
      </c>
      <c r="H131" s="579">
        <f t="shared" si="4"/>
        <v>18</v>
      </c>
      <c r="I131" s="582"/>
    </row>
    <row r="132" spans="1:15" s="590" customFormat="1">
      <c r="A132" s="584"/>
      <c r="B132" s="624" t="s">
        <v>3466</v>
      </c>
      <c r="C132" s="581">
        <v>1</v>
      </c>
      <c r="D132" s="586">
        <v>10</v>
      </c>
      <c r="E132" s="587">
        <v>2.4</v>
      </c>
      <c r="F132" s="587" t="s">
        <v>21</v>
      </c>
      <c r="G132" s="587">
        <v>1.5</v>
      </c>
      <c r="H132" s="588">
        <f t="shared" si="4"/>
        <v>36</v>
      </c>
      <c r="I132" s="625"/>
    </row>
    <row r="133" spans="1:15" ht="25.15" customHeight="1">
      <c r="A133" s="575"/>
      <c r="B133" s="593"/>
      <c r="C133" s="577"/>
      <c r="D133" s="577"/>
      <c r="E133" s="578"/>
      <c r="F133" s="578"/>
      <c r="G133" s="578"/>
      <c r="H133" s="579">
        <f>SUM(H126:H132)</f>
        <v>414.5</v>
      </c>
      <c r="I133" s="582"/>
    </row>
    <row r="134" spans="1:15" ht="25.15" customHeight="1">
      <c r="A134" s="575"/>
      <c r="B134" s="622"/>
      <c r="C134" s="577"/>
      <c r="D134" s="577"/>
      <c r="E134" s="578"/>
      <c r="F134" s="578"/>
      <c r="G134" s="578" t="s">
        <v>9</v>
      </c>
      <c r="H134" s="591">
        <v>415</v>
      </c>
      <c r="I134" s="582"/>
    </row>
    <row r="135" spans="1:15">
      <c r="A135" s="581"/>
      <c r="B135" s="580"/>
      <c r="C135" s="581"/>
      <c r="D135" s="581"/>
      <c r="E135" s="582"/>
      <c r="F135" s="582"/>
      <c r="G135" s="582"/>
      <c r="H135" s="626"/>
      <c r="I135" s="581"/>
    </row>
    <row r="136" spans="1:15" ht="40.5" customHeight="1">
      <c r="A136" s="573">
        <v>12</v>
      </c>
      <c r="B136" s="627" t="s">
        <v>512</v>
      </c>
      <c r="C136" s="573"/>
      <c r="D136" s="573"/>
      <c r="E136" s="574"/>
      <c r="F136" s="574"/>
      <c r="G136" s="574"/>
      <c r="H136" s="574"/>
      <c r="I136" s="574"/>
      <c r="O136" s="627"/>
    </row>
    <row r="137" spans="1:15" ht="18.600000000000001" customHeight="1">
      <c r="A137" s="573"/>
      <c r="B137" s="628" t="s">
        <v>3203</v>
      </c>
      <c r="C137" s="581">
        <v>90</v>
      </c>
      <c r="D137" s="581">
        <v>1</v>
      </c>
      <c r="E137" s="582">
        <v>0.4</v>
      </c>
      <c r="F137" s="582" t="s">
        <v>21</v>
      </c>
      <c r="G137" s="582">
        <v>0.35</v>
      </c>
      <c r="H137" s="626">
        <f t="shared" ref="H137:H144" si="5">PRODUCT(C137:G137)</f>
        <v>12.6</v>
      </c>
      <c r="I137" s="574"/>
    </row>
    <row r="138" spans="1:15" ht="18.600000000000001" customHeight="1">
      <c r="A138" s="573"/>
      <c r="B138" s="628" t="s">
        <v>3204</v>
      </c>
      <c r="C138" s="581">
        <v>35</v>
      </c>
      <c r="D138" s="581">
        <v>1</v>
      </c>
      <c r="E138" s="582">
        <v>0.45</v>
      </c>
      <c r="F138" s="582" t="s">
        <v>21</v>
      </c>
      <c r="G138" s="582">
        <v>0.3</v>
      </c>
      <c r="H138" s="626">
        <f t="shared" si="5"/>
        <v>4.7249999999999996</v>
      </c>
      <c r="I138" s="574"/>
    </row>
    <row r="139" spans="1:15" ht="18.600000000000001" customHeight="1">
      <c r="A139" s="573"/>
      <c r="B139" s="628" t="s">
        <v>3207</v>
      </c>
      <c r="C139" s="581">
        <v>8</v>
      </c>
      <c r="D139" s="581">
        <v>1</v>
      </c>
      <c r="E139" s="582">
        <v>0.53</v>
      </c>
      <c r="F139" s="582" t="s">
        <v>21</v>
      </c>
      <c r="G139" s="582">
        <v>0.45</v>
      </c>
      <c r="H139" s="626">
        <f t="shared" si="5"/>
        <v>1.9080000000000001</v>
      </c>
      <c r="I139" s="574"/>
    </row>
    <row r="140" spans="1:15" ht="18.600000000000001" customHeight="1">
      <c r="A140" s="573"/>
      <c r="B140" s="628" t="s">
        <v>3205</v>
      </c>
      <c r="C140" s="581">
        <v>12</v>
      </c>
      <c r="D140" s="581">
        <v>1</v>
      </c>
      <c r="E140" s="582">
        <v>0.7</v>
      </c>
      <c r="F140" s="582" t="s">
        <v>21</v>
      </c>
      <c r="G140" s="582">
        <v>0.8</v>
      </c>
      <c r="H140" s="626">
        <f t="shared" si="5"/>
        <v>6.7199999999999989</v>
      </c>
      <c r="I140" s="574"/>
    </row>
    <row r="141" spans="1:15" ht="18.600000000000001" customHeight="1">
      <c r="A141" s="573"/>
      <c r="B141" s="628" t="s">
        <v>3189</v>
      </c>
      <c r="C141" s="581">
        <v>14</v>
      </c>
      <c r="D141" s="581">
        <v>1</v>
      </c>
      <c r="E141" s="582">
        <v>0.35</v>
      </c>
      <c r="F141" s="582" t="s">
        <v>21</v>
      </c>
      <c r="G141" s="582">
        <v>0.3</v>
      </c>
      <c r="H141" s="626">
        <f t="shared" si="5"/>
        <v>1.4699999999999998</v>
      </c>
      <c r="I141" s="574"/>
    </row>
    <row r="142" spans="1:15" ht="18.600000000000001" customHeight="1">
      <c r="A142" s="573"/>
      <c r="B142" s="628" t="s">
        <v>3205</v>
      </c>
      <c r="C142" s="581">
        <v>6</v>
      </c>
      <c r="D142" s="581">
        <v>1</v>
      </c>
      <c r="E142" s="582">
        <v>0.7</v>
      </c>
      <c r="F142" s="582" t="s">
        <v>21</v>
      </c>
      <c r="G142" s="582">
        <v>0.8</v>
      </c>
      <c r="H142" s="626">
        <f t="shared" si="5"/>
        <v>3.3599999999999994</v>
      </c>
      <c r="I142" s="574"/>
    </row>
    <row r="143" spans="1:15" ht="18.600000000000001" customHeight="1">
      <c r="A143" s="573"/>
      <c r="B143" s="628" t="s">
        <v>3206</v>
      </c>
      <c r="C143" s="581">
        <v>9</v>
      </c>
      <c r="D143" s="581">
        <v>1</v>
      </c>
      <c r="E143" s="582">
        <v>0.35</v>
      </c>
      <c r="F143" s="582" t="s">
        <v>21</v>
      </c>
      <c r="G143" s="582">
        <v>0.3</v>
      </c>
      <c r="H143" s="626">
        <f t="shared" si="5"/>
        <v>0.94499999999999995</v>
      </c>
      <c r="I143" s="574"/>
    </row>
    <row r="144" spans="1:15" ht="18.600000000000001" customHeight="1">
      <c r="A144" s="573"/>
      <c r="B144" s="628" t="s">
        <v>3205</v>
      </c>
      <c r="C144" s="581">
        <v>7</v>
      </c>
      <c r="D144" s="581">
        <v>1</v>
      </c>
      <c r="E144" s="582">
        <v>0.5</v>
      </c>
      <c r="F144" s="582" t="s">
        <v>21</v>
      </c>
      <c r="G144" s="582">
        <v>0.7</v>
      </c>
      <c r="H144" s="626">
        <f t="shared" si="5"/>
        <v>2.4499999999999997</v>
      </c>
      <c r="I144" s="574"/>
    </row>
    <row r="145" spans="1:9" ht="18.600000000000001" customHeight="1">
      <c r="A145" s="573"/>
      <c r="B145" s="581"/>
      <c r="C145" s="581"/>
      <c r="D145" s="581"/>
      <c r="E145" s="582"/>
      <c r="F145" s="582"/>
      <c r="G145" s="582"/>
      <c r="H145" s="626">
        <f>SUM(H137:H144)</f>
        <v>34.177999999999997</v>
      </c>
      <c r="I145" s="574"/>
    </row>
    <row r="146" spans="1:9" ht="18.600000000000001" customHeight="1">
      <c r="A146" s="573"/>
      <c r="B146" s="581"/>
      <c r="C146" s="581"/>
      <c r="D146" s="581"/>
      <c r="E146" s="582"/>
      <c r="F146" s="582"/>
      <c r="G146" s="582" t="s">
        <v>9</v>
      </c>
      <c r="H146" s="629">
        <v>35</v>
      </c>
      <c r="I146" s="581" t="s">
        <v>3481</v>
      </c>
    </row>
    <row r="147" spans="1:9" ht="18.600000000000001" customHeight="1">
      <c r="A147" s="573"/>
      <c r="B147" s="573"/>
      <c r="C147" s="573"/>
      <c r="D147" s="573"/>
      <c r="E147" s="574"/>
      <c r="F147" s="574"/>
      <c r="G147" s="574"/>
      <c r="H147" s="574"/>
      <c r="I147" s="574"/>
    </row>
    <row r="148" spans="1:9" ht="33">
      <c r="A148" s="573">
        <v>13</v>
      </c>
      <c r="B148" s="627" t="s">
        <v>508</v>
      </c>
      <c r="C148" s="581"/>
      <c r="D148" s="581"/>
      <c r="E148" s="582"/>
      <c r="F148" s="582"/>
      <c r="G148" s="582"/>
      <c r="H148" s="626"/>
      <c r="I148" s="581"/>
    </row>
    <row r="149" spans="1:9">
      <c r="A149" s="581"/>
      <c r="B149" s="580" t="s">
        <v>3169</v>
      </c>
      <c r="C149" s="581">
        <v>1</v>
      </c>
      <c r="D149" s="581">
        <v>4</v>
      </c>
      <c r="E149" s="582">
        <v>10</v>
      </c>
      <c r="F149" s="582">
        <v>4</v>
      </c>
      <c r="G149" s="582" t="s">
        <v>21</v>
      </c>
      <c r="H149" s="626">
        <f>PRODUCT(C149:G149)</f>
        <v>160</v>
      </c>
      <c r="I149" s="581"/>
    </row>
    <row r="150" spans="1:9">
      <c r="A150" s="581"/>
      <c r="B150" s="580" t="s">
        <v>3170</v>
      </c>
      <c r="C150" s="581">
        <v>1</v>
      </c>
      <c r="D150" s="581">
        <v>2</v>
      </c>
      <c r="E150" s="582">
        <v>5</v>
      </c>
      <c r="F150" s="582">
        <v>1</v>
      </c>
      <c r="G150" s="582" t="s">
        <v>21</v>
      </c>
      <c r="H150" s="626">
        <f>PRODUCT(C150:G150)</f>
        <v>10</v>
      </c>
      <c r="I150" s="581"/>
    </row>
    <row r="151" spans="1:9">
      <c r="A151" s="581"/>
      <c r="B151" s="580" t="s">
        <v>3171</v>
      </c>
      <c r="C151" s="581">
        <v>1</v>
      </c>
      <c r="D151" s="581">
        <v>2</v>
      </c>
      <c r="E151" s="582">
        <v>7</v>
      </c>
      <c r="F151" s="582">
        <v>1</v>
      </c>
      <c r="G151" s="582" t="s">
        <v>21</v>
      </c>
      <c r="H151" s="626">
        <f>PRODUCT(C151:G151)</f>
        <v>14</v>
      </c>
      <c r="I151" s="581"/>
    </row>
    <row r="152" spans="1:9">
      <c r="A152" s="581"/>
      <c r="B152" s="580"/>
      <c r="C152" s="581"/>
      <c r="D152" s="581"/>
      <c r="E152" s="582"/>
      <c r="F152" s="582"/>
      <c r="G152" s="582"/>
      <c r="H152" s="626">
        <f>SUM(H149:H151)</f>
        <v>184</v>
      </c>
      <c r="I152" s="581"/>
    </row>
    <row r="153" spans="1:9" ht="19.5">
      <c r="A153" s="581"/>
      <c r="B153" s="580"/>
      <c r="C153" s="581"/>
      <c r="D153" s="581"/>
      <c r="E153" s="582"/>
      <c r="F153" s="582"/>
      <c r="G153" s="582" t="s">
        <v>9</v>
      </c>
      <c r="H153" s="629">
        <f>H152</f>
        <v>184</v>
      </c>
      <c r="I153" s="581" t="s">
        <v>3481</v>
      </c>
    </row>
    <row r="154" spans="1:9" ht="33">
      <c r="A154" s="581">
        <v>14</v>
      </c>
      <c r="B154" s="627" t="s">
        <v>509</v>
      </c>
      <c r="C154" s="581"/>
      <c r="D154" s="581"/>
      <c r="E154" s="582"/>
      <c r="F154" s="582"/>
      <c r="G154" s="582"/>
      <c r="H154" s="626"/>
      <c r="I154" s="581"/>
    </row>
    <row r="155" spans="1:9">
      <c r="A155" s="581"/>
      <c r="B155" s="580" t="s">
        <v>3169</v>
      </c>
      <c r="C155" s="581">
        <v>1</v>
      </c>
      <c r="D155" s="581">
        <v>4</v>
      </c>
      <c r="E155" s="582">
        <v>10</v>
      </c>
      <c r="F155" s="582">
        <v>4</v>
      </c>
      <c r="G155" s="582" t="s">
        <v>21</v>
      </c>
      <c r="H155" s="626">
        <f>PRODUCT(C155:G155)</f>
        <v>160</v>
      </c>
      <c r="I155" s="581"/>
    </row>
    <row r="156" spans="1:9">
      <c r="A156" s="581"/>
      <c r="B156" s="580" t="s">
        <v>3170</v>
      </c>
      <c r="C156" s="581">
        <v>1</v>
      </c>
      <c r="D156" s="581">
        <v>2</v>
      </c>
      <c r="E156" s="582">
        <v>5</v>
      </c>
      <c r="F156" s="582">
        <v>1</v>
      </c>
      <c r="G156" s="582" t="s">
        <v>21</v>
      </c>
      <c r="H156" s="626">
        <f>PRODUCT(C156:G156)</f>
        <v>10</v>
      </c>
      <c r="I156" s="581"/>
    </row>
    <row r="157" spans="1:9">
      <c r="A157" s="581"/>
      <c r="B157" s="580" t="s">
        <v>3171</v>
      </c>
      <c r="C157" s="581">
        <v>1</v>
      </c>
      <c r="D157" s="581">
        <v>2</v>
      </c>
      <c r="E157" s="582">
        <v>7</v>
      </c>
      <c r="F157" s="582">
        <v>1</v>
      </c>
      <c r="G157" s="582" t="s">
        <v>21</v>
      </c>
      <c r="H157" s="626">
        <f>PRODUCT(C157:G157)</f>
        <v>14</v>
      </c>
      <c r="I157" s="581"/>
    </row>
    <row r="158" spans="1:9">
      <c r="A158" s="581"/>
      <c r="B158" s="580"/>
      <c r="C158" s="581"/>
      <c r="D158" s="581"/>
      <c r="E158" s="582"/>
      <c r="F158" s="582"/>
      <c r="G158" s="582"/>
      <c r="H158" s="626">
        <f>SUM(H155:H157)</f>
        <v>184</v>
      </c>
      <c r="I158" s="581"/>
    </row>
    <row r="159" spans="1:9" ht="19.5">
      <c r="A159" s="581"/>
      <c r="B159" s="580"/>
      <c r="C159" s="581"/>
      <c r="D159" s="581"/>
      <c r="E159" s="582"/>
      <c r="F159" s="582"/>
      <c r="G159" s="582" t="s">
        <v>9</v>
      </c>
      <c r="H159" s="629">
        <f>H158</f>
        <v>184</v>
      </c>
      <c r="I159" s="581" t="s">
        <v>3481</v>
      </c>
    </row>
    <row r="160" spans="1:9" s="668" customFormat="1" ht="33">
      <c r="A160" s="664">
        <v>15</v>
      </c>
      <c r="B160" s="665" t="s">
        <v>510</v>
      </c>
      <c r="C160" s="664"/>
      <c r="D160" s="664"/>
      <c r="E160" s="666"/>
      <c r="F160" s="666"/>
      <c r="G160" s="666"/>
      <c r="H160" s="667"/>
      <c r="I160" s="664"/>
    </row>
    <row r="161" spans="1:9" s="668" customFormat="1">
      <c r="A161" s="664"/>
      <c r="B161" s="669" t="s">
        <v>3172</v>
      </c>
      <c r="C161" s="664"/>
      <c r="D161" s="664"/>
      <c r="E161" s="666"/>
      <c r="F161" s="666"/>
      <c r="G161" s="666"/>
      <c r="H161" s="667"/>
      <c r="I161" s="664"/>
    </row>
    <row r="162" spans="1:9" s="668" customFormat="1">
      <c r="A162" s="664"/>
      <c r="B162" s="669" t="s">
        <v>3173</v>
      </c>
      <c r="C162" s="664">
        <v>6</v>
      </c>
      <c r="D162" s="664">
        <v>1</v>
      </c>
      <c r="E162" s="666">
        <v>14.12</v>
      </c>
      <c r="F162" s="666">
        <v>4.12</v>
      </c>
      <c r="G162" s="666" t="s">
        <v>21</v>
      </c>
      <c r="H162" s="667">
        <f t="shared" ref="H162:H176" si="6">PRODUCT(C162:G162)</f>
        <v>349.04640000000001</v>
      </c>
      <c r="I162" s="664"/>
    </row>
    <row r="163" spans="1:9" s="668" customFormat="1">
      <c r="A163" s="664"/>
      <c r="B163" s="669" t="s">
        <v>3174</v>
      </c>
      <c r="C163" s="664">
        <v>6</v>
      </c>
      <c r="D163" s="664">
        <v>1</v>
      </c>
      <c r="E163" s="666">
        <v>8.3800000000000008</v>
      </c>
      <c r="F163" s="666">
        <v>1.7</v>
      </c>
      <c r="G163" s="666" t="s">
        <v>21</v>
      </c>
      <c r="H163" s="667">
        <f t="shared" si="6"/>
        <v>85.475999999999999</v>
      </c>
      <c r="I163" s="664"/>
    </row>
    <row r="164" spans="1:9" s="668" customFormat="1">
      <c r="A164" s="664"/>
      <c r="B164" s="669" t="s">
        <v>3175</v>
      </c>
      <c r="C164" s="664">
        <v>6</v>
      </c>
      <c r="D164" s="664">
        <v>2</v>
      </c>
      <c r="E164" s="666">
        <v>2.2999999999999998</v>
      </c>
      <c r="F164" s="666">
        <v>2.2999999999999998</v>
      </c>
      <c r="G164" s="666" t="s">
        <v>21</v>
      </c>
      <c r="H164" s="667">
        <f t="shared" si="6"/>
        <v>63.47999999999999</v>
      </c>
      <c r="I164" s="664"/>
    </row>
    <row r="165" spans="1:9" s="668" customFormat="1">
      <c r="A165" s="664"/>
      <c r="B165" s="669" t="s">
        <v>3176</v>
      </c>
      <c r="C165" s="664"/>
      <c r="D165" s="664"/>
      <c r="E165" s="666"/>
      <c r="F165" s="666"/>
      <c r="G165" s="666"/>
      <c r="H165" s="667"/>
      <c r="I165" s="664"/>
    </row>
    <row r="166" spans="1:9" s="668" customFormat="1">
      <c r="A166" s="664"/>
      <c r="B166" s="669" t="s">
        <v>3177</v>
      </c>
      <c r="C166" s="664">
        <v>3</v>
      </c>
      <c r="D166" s="664">
        <v>1</v>
      </c>
      <c r="E166" s="666">
        <v>7.9</v>
      </c>
      <c r="F166" s="666">
        <v>3.34</v>
      </c>
      <c r="G166" s="666" t="s">
        <v>21</v>
      </c>
      <c r="H166" s="667">
        <f t="shared" si="6"/>
        <v>79.158000000000001</v>
      </c>
      <c r="I166" s="664"/>
    </row>
    <row r="167" spans="1:9" s="668" customFormat="1">
      <c r="A167" s="664"/>
      <c r="B167" s="669" t="s">
        <v>3174</v>
      </c>
      <c r="C167" s="664">
        <v>3</v>
      </c>
      <c r="D167" s="664">
        <v>1</v>
      </c>
      <c r="E167" s="666">
        <v>1.89</v>
      </c>
      <c r="F167" s="666">
        <v>7.7</v>
      </c>
      <c r="G167" s="666" t="s">
        <v>21</v>
      </c>
      <c r="H167" s="667">
        <f t="shared" si="6"/>
        <v>43.658999999999999</v>
      </c>
      <c r="I167" s="664"/>
    </row>
    <row r="168" spans="1:9" s="668" customFormat="1">
      <c r="A168" s="664"/>
      <c r="B168" s="669" t="s">
        <v>3178</v>
      </c>
      <c r="C168" s="664"/>
      <c r="D168" s="664"/>
      <c r="E168" s="666"/>
      <c r="F168" s="666"/>
      <c r="G168" s="666"/>
      <c r="H168" s="667"/>
      <c r="I168" s="664"/>
    </row>
    <row r="169" spans="1:9" s="668" customFormat="1">
      <c r="A169" s="664"/>
      <c r="B169" s="669" t="s">
        <v>3179</v>
      </c>
      <c r="C169" s="664">
        <v>2</v>
      </c>
      <c r="D169" s="664">
        <v>1</v>
      </c>
      <c r="E169" s="666">
        <v>5.64</v>
      </c>
      <c r="F169" s="666">
        <v>4.12</v>
      </c>
      <c r="G169" s="666" t="s">
        <v>21</v>
      </c>
      <c r="H169" s="667">
        <f t="shared" si="6"/>
        <v>46.473599999999998</v>
      </c>
      <c r="I169" s="664"/>
    </row>
    <row r="170" spans="1:9" s="668" customFormat="1">
      <c r="A170" s="664"/>
      <c r="B170" s="669" t="s">
        <v>3180</v>
      </c>
      <c r="C170" s="664">
        <v>2</v>
      </c>
      <c r="D170" s="664">
        <v>1</v>
      </c>
      <c r="E170" s="666">
        <v>2.2200000000000002</v>
      </c>
      <c r="F170" s="666">
        <v>2.35</v>
      </c>
      <c r="G170" s="666" t="s">
        <v>21</v>
      </c>
      <c r="H170" s="667">
        <f t="shared" si="6"/>
        <v>10.434000000000001</v>
      </c>
      <c r="I170" s="664"/>
    </row>
    <row r="171" spans="1:9" s="668" customFormat="1">
      <c r="A171" s="664"/>
      <c r="B171" s="669" t="s">
        <v>3174</v>
      </c>
      <c r="C171" s="664">
        <v>2</v>
      </c>
      <c r="D171" s="664">
        <v>1</v>
      </c>
      <c r="E171" s="666">
        <v>3.2</v>
      </c>
      <c r="F171" s="666">
        <v>1.5</v>
      </c>
      <c r="G171" s="666" t="s">
        <v>21</v>
      </c>
      <c r="H171" s="667">
        <f t="shared" si="6"/>
        <v>9.6000000000000014</v>
      </c>
      <c r="I171" s="664"/>
    </row>
    <row r="172" spans="1:9" s="668" customFormat="1">
      <c r="A172" s="664"/>
      <c r="B172" s="669" t="s">
        <v>3181</v>
      </c>
      <c r="C172" s="664"/>
      <c r="D172" s="664"/>
      <c r="E172" s="666"/>
      <c r="F172" s="666"/>
      <c r="G172" s="666"/>
      <c r="H172" s="667"/>
      <c r="I172" s="664"/>
    </row>
    <row r="173" spans="1:9" s="668" customFormat="1">
      <c r="A173" s="664"/>
      <c r="B173" s="669" t="s">
        <v>3182</v>
      </c>
      <c r="C173" s="664">
        <v>2</v>
      </c>
      <c r="D173" s="664">
        <v>1</v>
      </c>
      <c r="E173" s="666">
        <v>5.68</v>
      </c>
      <c r="F173" s="666">
        <v>4.12</v>
      </c>
      <c r="G173" s="666" t="s">
        <v>21</v>
      </c>
      <c r="H173" s="667">
        <f t="shared" si="6"/>
        <v>46.803199999999997</v>
      </c>
      <c r="I173" s="664"/>
    </row>
    <row r="174" spans="1:9" s="668" customFormat="1">
      <c r="A174" s="664"/>
      <c r="B174" s="669" t="s">
        <v>3183</v>
      </c>
      <c r="C174" s="664">
        <v>2</v>
      </c>
      <c r="D174" s="664">
        <v>1</v>
      </c>
      <c r="E174" s="666">
        <v>7.17</v>
      </c>
      <c r="F174" s="666">
        <v>3.5</v>
      </c>
      <c r="G174" s="666" t="s">
        <v>21</v>
      </c>
      <c r="H174" s="667">
        <f t="shared" si="6"/>
        <v>50.19</v>
      </c>
      <c r="I174" s="664"/>
    </row>
    <row r="175" spans="1:9" s="668" customFormat="1">
      <c r="A175" s="664"/>
      <c r="B175" s="669" t="s">
        <v>3184</v>
      </c>
      <c r="C175" s="664">
        <v>2</v>
      </c>
      <c r="D175" s="664">
        <v>1</v>
      </c>
      <c r="E175" s="666">
        <v>6.23</v>
      </c>
      <c r="F175" s="666">
        <v>4.25</v>
      </c>
      <c r="G175" s="666" t="s">
        <v>21</v>
      </c>
      <c r="H175" s="667">
        <f t="shared" si="6"/>
        <v>52.955000000000005</v>
      </c>
      <c r="I175" s="664"/>
    </row>
    <row r="176" spans="1:9" s="668" customFormat="1">
      <c r="A176" s="664"/>
      <c r="B176" s="669" t="s">
        <v>3185</v>
      </c>
      <c r="C176" s="664">
        <v>2</v>
      </c>
      <c r="D176" s="664">
        <v>1</v>
      </c>
      <c r="E176" s="666">
        <v>2.8</v>
      </c>
      <c r="F176" s="666">
        <v>2.7</v>
      </c>
      <c r="G176" s="666" t="s">
        <v>21</v>
      </c>
      <c r="H176" s="667">
        <f t="shared" si="6"/>
        <v>15.12</v>
      </c>
      <c r="I176" s="664"/>
    </row>
    <row r="177" spans="1:9" s="668" customFormat="1">
      <c r="A177" s="664"/>
      <c r="B177" s="669"/>
      <c r="C177" s="664"/>
      <c r="D177" s="664"/>
      <c r="E177" s="666"/>
      <c r="F177" s="666"/>
      <c r="G177" s="666"/>
      <c r="H177" s="667">
        <f>SUM(H162:H176)</f>
        <v>852.39519999999993</v>
      </c>
      <c r="I177" s="664"/>
    </row>
    <row r="178" spans="1:9" s="668" customFormat="1" ht="19.5">
      <c r="A178" s="664"/>
      <c r="B178" s="669"/>
      <c r="C178" s="664"/>
      <c r="D178" s="664"/>
      <c r="E178" s="666"/>
      <c r="F178" s="666"/>
      <c r="G178" s="666" t="s">
        <v>9</v>
      </c>
      <c r="H178" s="670">
        <v>852.5</v>
      </c>
      <c r="I178" s="664" t="s">
        <v>3481</v>
      </c>
    </row>
    <row r="179" spans="1:9">
      <c r="A179" s="581"/>
      <c r="B179" s="580"/>
      <c r="C179" s="581"/>
      <c r="D179" s="581"/>
      <c r="E179" s="582"/>
      <c r="F179" s="582"/>
      <c r="G179" s="582"/>
      <c r="H179" s="626"/>
      <c r="I179" s="581"/>
    </row>
    <row r="180" spans="1:9" ht="33">
      <c r="A180" s="581">
        <v>16</v>
      </c>
      <c r="B180" s="627" t="s">
        <v>3186</v>
      </c>
      <c r="C180" s="581"/>
      <c r="D180" s="581"/>
      <c r="E180" s="582"/>
      <c r="F180" s="582"/>
      <c r="G180" s="582"/>
      <c r="H180" s="626"/>
      <c r="I180" s="581"/>
    </row>
    <row r="181" spans="1:9">
      <c r="A181" s="581"/>
      <c r="B181" s="580" t="s">
        <v>3187</v>
      </c>
      <c r="C181" s="581">
        <v>24</v>
      </c>
      <c r="D181" s="581">
        <v>1</v>
      </c>
      <c r="E181" s="582">
        <v>1.2</v>
      </c>
      <c r="F181" s="582">
        <v>0.9</v>
      </c>
      <c r="G181" s="582" t="s">
        <v>21</v>
      </c>
      <c r="H181" s="626">
        <f t="shared" ref="H181:H189" si="7">PRODUCT(C181:G181)</f>
        <v>25.919999999999998</v>
      </c>
      <c r="I181" s="581"/>
    </row>
    <row r="182" spans="1:9">
      <c r="A182" s="581"/>
      <c r="B182" s="580" t="s">
        <v>3188</v>
      </c>
      <c r="C182" s="581">
        <v>-24</v>
      </c>
      <c r="D182" s="581">
        <v>1</v>
      </c>
      <c r="E182" s="582">
        <v>0.6</v>
      </c>
      <c r="F182" s="582">
        <v>0.6</v>
      </c>
      <c r="G182" s="582" t="s">
        <v>21</v>
      </c>
      <c r="H182" s="626">
        <f t="shared" si="7"/>
        <v>-8.6399999999999988</v>
      </c>
      <c r="I182" s="581"/>
    </row>
    <row r="183" spans="1:9">
      <c r="A183" s="581"/>
      <c r="B183" s="580" t="s">
        <v>3191</v>
      </c>
      <c r="C183" s="581">
        <v>24</v>
      </c>
      <c r="D183" s="581">
        <v>1</v>
      </c>
      <c r="E183" s="582">
        <v>1.2</v>
      </c>
      <c r="F183" s="582">
        <v>1.2</v>
      </c>
      <c r="G183" s="582" t="s">
        <v>21</v>
      </c>
      <c r="H183" s="626">
        <f t="shared" si="7"/>
        <v>34.559999999999995</v>
      </c>
      <c r="I183" s="581"/>
    </row>
    <row r="184" spans="1:9">
      <c r="A184" s="581"/>
      <c r="B184" s="580" t="s">
        <v>3189</v>
      </c>
      <c r="C184" s="581">
        <v>8</v>
      </c>
      <c r="D184" s="581">
        <v>1</v>
      </c>
      <c r="E184" s="582">
        <v>1.2</v>
      </c>
      <c r="F184" s="582">
        <v>0.9</v>
      </c>
      <c r="G184" s="582" t="s">
        <v>21</v>
      </c>
      <c r="H184" s="626">
        <f t="shared" si="7"/>
        <v>8.64</v>
      </c>
      <c r="I184" s="581"/>
    </row>
    <row r="185" spans="1:9">
      <c r="A185" s="581"/>
      <c r="B185" s="580" t="s">
        <v>3188</v>
      </c>
      <c r="C185" s="581">
        <v>-8</v>
      </c>
      <c r="D185" s="581">
        <v>1</v>
      </c>
      <c r="E185" s="582">
        <v>0.6</v>
      </c>
      <c r="F185" s="582">
        <v>0.6</v>
      </c>
      <c r="G185" s="582" t="s">
        <v>21</v>
      </c>
      <c r="H185" s="626">
        <f t="shared" si="7"/>
        <v>-2.88</v>
      </c>
      <c r="I185" s="581"/>
    </row>
    <row r="186" spans="1:9">
      <c r="A186" s="581"/>
      <c r="B186" s="580" t="s">
        <v>3191</v>
      </c>
      <c r="C186" s="581">
        <v>24</v>
      </c>
      <c r="D186" s="581">
        <v>1</v>
      </c>
      <c r="E186" s="582">
        <v>1.2</v>
      </c>
      <c r="F186" s="582">
        <v>1.2</v>
      </c>
      <c r="G186" s="582" t="s">
        <v>21</v>
      </c>
      <c r="H186" s="626">
        <f t="shared" si="7"/>
        <v>34.559999999999995</v>
      </c>
      <c r="I186" s="581"/>
    </row>
    <row r="187" spans="1:9">
      <c r="A187" s="581"/>
      <c r="B187" s="580" t="s">
        <v>3190</v>
      </c>
      <c r="C187" s="581">
        <v>4</v>
      </c>
      <c r="D187" s="581">
        <v>1</v>
      </c>
      <c r="E187" s="582">
        <v>1.2</v>
      </c>
      <c r="F187" s="582">
        <v>1</v>
      </c>
      <c r="G187" s="582" t="s">
        <v>21</v>
      </c>
      <c r="H187" s="626">
        <f t="shared" si="7"/>
        <v>4.8</v>
      </c>
      <c r="I187" s="581"/>
    </row>
    <row r="188" spans="1:9">
      <c r="A188" s="581"/>
      <c r="B188" s="580" t="s">
        <v>3188</v>
      </c>
      <c r="C188" s="581">
        <v>-4</v>
      </c>
      <c r="D188" s="581">
        <v>1</v>
      </c>
      <c r="E188" s="582">
        <v>0.6</v>
      </c>
      <c r="F188" s="582">
        <v>0.6</v>
      </c>
      <c r="G188" s="582"/>
      <c r="H188" s="626">
        <f t="shared" si="7"/>
        <v>-1.44</v>
      </c>
      <c r="I188" s="581"/>
    </row>
    <row r="189" spans="1:9">
      <c r="A189" s="581"/>
      <c r="B189" s="580" t="s">
        <v>3191</v>
      </c>
      <c r="C189" s="581">
        <v>4</v>
      </c>
      <c r="D189" s="581">
        <v>1</v>
      </c>
      <c r="E189" s="582">
        <v>1.2</v>
      </c>
      <c r="F189" s="582">
        <v>1.3</v>
      </c>
      <c r="G189" s="582" t="s">
        <v>21</v>
      </c>
      <c r="H189" s="626">
        <f t="shared" si="7"/>
        <v>6.24</v>
      </c>
      <c r="I189" s="581"/>
    </row>
    <row r="190" spans="1:9">
      <c r="A190" s="581"/>
      <c r="B190" s="580"/>
      <c r="C190" s="581"/>
      <c r="D190" s="581"/>
      <c r="E190" s="582"/>
      <c r="F190" s="582"/>
      <c r="G190" s="582"/>
      <c r="H190" s="626">
        <f>SUM(H181:H189)</f>
        <v>101.75999999999999</v>
      </c>
      <c r="I190" s="581"/>
    </row>
    <row r="191" spans="1:9" ht="19.5">
      <c r="A191" s="581"/>
      <c r="B191" s="580"/>
      <c r="C191" s="581"/>
      <c r="D191" s="581"/>
      <c r="E191" s="582"/>
      <c r="F191" s="582"/>
      <c r="G191" s="582" t="s">
        <v>9</v>
      </c>
      <c r="H191" s="629">
        <v>102</v>
      </c>
      <c r="I191" s="581" t="s">
        <v>3481</v>
      </c>
    </row>
    <row r="192" spans="1:9" ht="33">
      <c r="A192" s="581">
        <v>17</v>
      </c>
      <c r="B192" s="627" t="s">
        <v>3192</v>
      </c>
      <c r="C192" s="581"/>
      <c r="D192" s="581"/>
      <c r="E192" s="582"/>
      <c r="F192" s="582"/>
      <c r="G192" s="582"/>
      <c r="H192" s="626"/>
      <c r="I192" s="581"/>
    </row>
    <row r="193" spans="1:9">
      <c r="A193" s="581"/>
      <c r="B193" s="580" t="s">
        <v>3187</v>
      </c>
      <c r="C193" s="581">
        <v>24</v>
      </c>
      <c r="D193" s="581">
        <v>1</v>
      </c>
      <c r="E193" s="582">
        <v>1.08</v>
      </c>
      <c r="F193" s="582">
        <v>1.5</v>
      </c>
      <c r="G193" s="582" t="s">
        <v>21</v>
      </c>
      <c r="H193" s="626">
        <f t="shared" ref="H193:H198" si="8">PRODUCT(C193:G193)</f>
        <v>38.880000000000003</v>
      </c>
      <c r="I193" s="581"/>
    </row>
    <row r="194" spans="1:9">
      <c r="A194" s="581"/>
      <c r="B194" s="580" t="s">
        <v>3191</v>
      </c>
      <c r="C194" s="581">
        <v>24</v>
      </c>
      <c r="D194" s="581">
        <v>1</v>
      </c>
      <c r="E194" s="582">
        <v>1.44</v>
      </c>
      <c r="F194" s="582">
        <v>1.5</v>
      </c>
      <c r="G194" s="582" t="s">
        <v>21</v>
      </c>
      <c r="H194" s="626">
        <f t="shared" si="8"/>
        <v>51.84</v>
      </c>
      <c r="I194" s="581"/>
    </row>
    <row r="195" spans="1:9">
      <c r="A195" s="630"/>
      <c r="B195" s="580" t="s">
        <v>3193</v>
      </c>
      <c r="C195" s="581">
        <v>8</v>
      </c>
      <c r="D195" s="581">
        <v>1</v>
      </c>
      <c r="E195" s="582">
        <v>1.08</v>
      </c>
      <c r="F195" s="582">
        <v>1.5</v>
      </c>
      <c r="G195" s="582" t="s">
        <v>21</v>
      </c>
      <c r="H195" s="626">
        <f t="shared" si="8"/>
        <v>12.96</v>
      </c>
      <c r="I195" s="631"/>
    </row>
    <row r="196" spans="1:9">
      <c r="A196" s="630"/>
      <c r="B196" s="580" t="s">
        <v>3191</v>
      </c>
      <c r="C196" s="581">
        <v>24</v>
      </c>
      <c r="D196" s="581">
        <v>1</v>
      </c>
      <c r="E196" s="582">
        <v>1.44</v>
      </c>
      <c r="F196" s="582">
        <v>1.5</v>
      </c>
      <c r="G196" s="582" t="s">
        <v>21</v>
      </c>
      <c r="H196" s="626">
        <f t="shared" si="8"/>
        <v>51.84</v>
      </c>
      <c r="I196" s="631"/>
    </row>
    <row r="197" spans="1:9">
      <c r="A197" s="630"/>
      <c r="B197" s="580" t="s">
        <v>3190</v>
      </c>
      <c r="C197" s="581">
        <v>4</v>
      </c>
      <c r="D197" s="581">
        <v>1</v>
      </c>
      <c r="E197" s="582">
        <v>1.2</v>
      </c>
      <c r="F197" s="582">
        <v>1.5</v>
      </c>
      <c r="G197" s="582" t="s">
        <v>21</v>
      </c>
      <c r="H197" s="626">
        <f t="shared" si="8"/>
        <v>7.1999999999999993</v>
      </c>
      <c r="I197" s="631"/>
    </row>
    <row r="198" spans="1:9">
      <c r="A198" s="630"/>
      <c r="B198" s="580" t="s">
        <v>3191</v>
      </c>
      <c r="C198" s="581">
        <v>4</v>
      </c>
      <c r="D198" s="581">
        <v>1</v>
      </c>
      <c r="E198" s="582">
        <v>1.56</v>
      </c>
      <c r="F198" s="582">
        <v>1.5</v>
      </c>
      <c r="G198" s="582" t="s">
        <v>21</v>
      </c>
      <c r="H198" s="626">
        <f t="shared" si="8"/>
        <v>9.36</v>
      </c>
      <c r="I198" s="631"/>
    </row>
    <row r="199" spans="1:9">
      <c r="A199" s="630"/>
      <c r="B199" s="580"/>
      <c r="C199" s="581"/>
      <c r="D199" s="581"/>
      <c r="E199" s="582"/>
      <c r="F199" s="582"/>
      <c r="G199" s="582"/>
      <c r="H199" s="626">
        <f>SUM(H193:H198)</f>
        <v>172.07999999999998</v>
      </c>
      <c r="I199" s="631"/>
    </row>
    <row r="200" spans="1:9" ht="19.5">
      <c r="A200" s="630"/>
      <c r="B200" s="632"/>
      <c r="C200" s="630"/>
      <c r="D200" s="633"/>
      <c r="E200" s="634"/>
      <c r="F200" s="634"/>
      <c r="G200" s="582" t="s">
        <v>9</v>
      </c>
      <c r="H200" s="629">
        <v>175</v>
      </c>
      <c r="I200" s="581" t="s">
        <v>3481</v>
      </c>
    </row>
    <row r="201" spans="1:9">
      <c r="A201" s="630"/>
      <c r="B201" s="632"/>
      <c r="C201" s="630"/>
      <c r="D201" s="635"/>
      <c r="E201" s="634"/>
      <c r="F201" s="634"/>
      <c r="G201" s="634"/>
      <c r="H201" s="636"/>
      <c r="I201" s="631"/>
    </row>
    <row r="202" spans="1:9" ht="49.5">
      <c r="A202" s="630">
        <v>18</v>
      </c>
      <c r="B202" s="595" t="s">
        <v>3194</v>
      </c>
      <c r="C202" s="630"/>
      <c r="D202" s="633"/>
      <c r="E202" s="634"/>
      <c r="F202" s="634"/>
      <c r="G202" s="637"/>
      <c r="H202" s="638"/>
      <c r="I202" s="631"/>
    </row>
    <row r="203" spans="1:9">
      <c r="A203" s="639"/>
      <c r="B203" s="640" t="s">
        <v>3195</v>
      </c>
      <c r="C203" s="641"/>
      <c r="D203" s="641"/>
      <c r="E203" s="642"/>
      <c r="F203" s="642"/>
      <c r="G203" s="642"/>
      <c r="H203" s="643"/>
      <c r="I203" s="631"/>
    </row>
    <row r="204" spans="1:9">
      <c r="A204" s="639"/>
      <c r="B204" s="632" t="s">
        <v>3196</v>
      </c>
      <c r="C204" s="630">
        <v>12</v>
      </c>
      <c r="D204" s="635">
        <v>1</v>
      </c>
      <c r="E204" s="587" t="s">
        <v>21</v>
      </c>
      <c r="F204" s="587" t="s">
        <v>21</v>
      </c>
      <c r="G204" s="587" t="s">
        <v>21</v>
      </c>
      <c r="H204" s="626">
        <f>PRODUCT(C204:G204)</f>
        <v>12</v>
      </c>
      <c r="I204" s="631"/>
    </row>
    <row r="205" spans="1:9">
      <c r="A205" s="639"/>
      <c r="B205" s="644" t="s">
        <v>3197</v>
      </c>
      <c r="C205" s="630">
        <v>5</v>
      </c>
      <c r="D205" s="630">
        <v>1</v>
      </c>
      <c r="E205" s="645" t="s">
        <v>21</v>
      </c>
      <c r="F205" s="645" t="s">
        <v>21</v>
      </c>
      <c r="G205" s="637" t="s">
        <v>21</v>
      </c>
      <c r="H205" s="626">
        <f>PRODUCT(C205:G205)</f>
        <v>5</v>
      </c>
      <c r="I205" s="631"/>
    </row>
    <row r="206" spans="1:9">
      <c r="A206" s="639"/>
      <c r="B206" s="644" t="s">
        <v>3181</v>
      </c>
      <c r="C206" s="630">
        <v>2</v>
      </c>
      <c r="D206" s="630">
        <v>1</v>
      </c>
      <c r="E206" s="645" t="s">
        <v>21</v>
      </c>
      <c r="F206" s="645" t="s">
        <v>21</v>
      </c>
      <c r="G206" s="645" t="s">
        <v>21</v>
      </c>
      <c r="H206" s="626">
        <f>PRODUCT(C206:G206)</f>
        <v>2</v>
      </c>
      <c r="I206" s="631"/>
    </row>
    <row r="207" spans="1:9">
      <c r="A207" s="630"/>
      <c r="B207" s="585"/>
      <c r="C207" s="630"/>
      <c r="D207" s="630"/>
      <c r="E207" s="587"/>
      <c r="F207" s="587"/>
      <c r="G207" s="646"/>
      <c r="H207" s="629">
        <f>SUM(H204:H206)</f>
        <v>19</v>
      </c>
      <c r="I207" s="586" t="s">
        <v>340</v>
      </c>
    </row>
    <row r="208" spans="1:9">
      <c r="A208" s="630"/>
      <c r="B208" s="640" t="s">
        <v>3198</v>
      </c>
      <c r="C208" s="630"/>
      <c r="D208" s="635"/>
      <c r="E208" s="635"/>
      <c r="F208" s="587"/>
      <c r="G208" s="646"/>
      <c r="H208" s="626"/>
      <c r="I208" s="586"/>
    </row>
    <row r="209" spans="1:9">
      <c r="A209" s="630"/>
      <c r="B209" s="632" t="s">
        <v>3196</v>
      </c>
      <c r="C209" s="630">
        <v>10</v>
      </c>
      <c r="D209" s="635">
        <v>1</v>
      </c>
      <c r="E209" s="587" t="s">
        <v>21</v>
      </c>
      <c r="F209" s="587" t="s">
        <v>21</v>
      </c>
      <c r="G209" s="587" t="s">
        <v>21</v>
      </c>
      <c r="H209" s="626">
        <f>PRODUCT(C209:G209)</f>
        <v>10</v>
      </c>
      <c r="I209" s="631"/>
    </row>
    <row r="210" spans="1:9">
      <c r="A210" s="630"/>
      <c r="B210" s="644" t="s">
        <v>3197</v>
      </c>
      <c r="C210" s="630">
        <v>3</v>
      </c>
      <c r="D210" s="630">
        <v>1</v>
      </c>
      <c r="E210" s="645" t="s">
        <v>21</v>
      </c>
      <c r="F210" s="645" t="s">
        <v>21</v>
      </c>
      <c r="G210" s="637" t="s">
        <v>21</v>
      </c>
      <c r="H210" s="626">
        <f>PRODUCT(C210:G210)</f>
        <v>3</v>
      </c>
      <c r="I210" s="586"/>
    </row>
    <row r="211" spans="1:9">
      <c r="A211" s="630"/>
      <c r="B211" s="644" t="s">
        <v>3181</v>
      </c>
      <c r="C211" s="630">
        <v>2</v>
      </c>
      <c r="D211" s="630">
        <v>1</v>
      </c>
      <c r="E211" s="645" t="s">
        <v>21</v>
      </c>
      <c r="F211" s="645" t="s">
        <v>21</v>
      </c>
      <c r="G211" s="645" t="s">
        <v>21</v>
      </c>
      <c r="H211" s="626">
        <f>PRODUCT(C211:G211)</f>
        <v>2</v>
      </c>
      <c r="I211" s="586"/>
    </row>
    <row r="212" spans="1:9">
      <c r="A212" s="630"/>
      <c r="B212" s="647"/>
      <c r="C212" s="630"/>
      <c r="D212" s="630"/>
      <c r="E212" s="645"/>
      <c r="F212" s="645"/>
      <c r="G212" s="645"/>
      <c r="H212" s="629">
        <f>SUM(H209:H211)</f>
        <v>15</v>
      </c>
      <c r="I212" s="586" t="s">
        <v>340</v>
      </c>
    </row>
    <row r="213" spans="1:9" ht="59.45" customHeight="1">
      <c r="A213" s="630">
        <v>19</v>
      </c>
      <c r="B213" s="648" t="s">
        <v>3199</v>
      </c>
      <c r="C213" s="630"/>
      <c r="D213" s="630"/>
      <c r="E213" s="645"/>
      <c r="F213" s="645"/>
      <c r="G213" s="645"/>
      <c r="H213" s="645"/>
      <c r="I213" s="586"/>
    </row>
    <row r="214" spans="1:9">
      <c r="A214" s="630"/>
      <c r="B214" s="649" t="s">
        <v>3200</v>
      </c>
      <c r="C214" s="630">
        <v>24</v>
      </c>
      <c r="D214" s="630">
        <v>2</v>
      </c>
      <c r="E214" s="645">
        <v>0.75</v>
      </c>
      <c r="F214" s="645">
        <v>2</v>
      </c>
      <c r="G214" s="650" t="s">
        <v>21</v>
      </c>
      <c r="H214" s="626">
        <f>PRODUCT(C214:G214)</f>
        <v>72</v>
      </c>
      <c r="I214" s="586"/>
    </row>
    <row r="215" spans="1:9">
      <c r="A215" s="651"/>
      <c r="B215" s="649" t="s">
        <v>3201</v>
      </c>
      <c r="C215" s="630">
        <v>8</v>
      </c>
      <c r="D215" s="630">
        <v>2</v>
      </c>
      <c r="E215" s="645">
        <v>0.75</v>
      </c>
      <c r="F215" s="645">
        <v>2</v>
      </c>
      <c r="G215" s="650" t="s">
        <v>21</v>
      </c>
      <c r="H215" s="626">
        <f>PRODUCT(C215:G215)</f>
        <v>24</v>
      </c>
      <c r="I215" s="651"/>
    </row>
    <row r="216" spans="1:9">
      <c r="A216" s="581"/>
      <c r="B216" s="649" t="s">
        <v>3202</v>
      </c>
      <c r="C216" s="630">
        <v>4</v>
      </c>
      <c r="D216" s="630">
        <v>2</v>
      </c>
      <c r="E216" s="645">
        <v>0.75</v>
      </c>
      <c r="F216" s="645">
        <v>2</v>
      </c>
      <c r="G216" s="650" t="s">
        <v>21</v>
      </c>
      <c r="H216" s="626">
        <f>PRODUCT(C216:G216)</f>
        <v>12</v>
      </c>
      <c r="I216" s="581"/>
    </row>
    <row r="217" spans="1:9">
      <c r="A217" s="581"/>
      <c r="B217" s="580"/>
      <c r="C217" s="581"/>
      <c r="D217" s="581"/>
      <c r="E217" s="582"/>
      <c r="F217" s="582"/>
      <c r="G217" s="582"/>
      <c r="H217" s="629">
        <f>SUM(H214:H216)</f>
        <v>108</v>
      </c>
      <c r="I217" s="581" t="s">
        <v>306</v>
      </c>
    </row>
    <row r="218" spans="1:9">
      <c r="A218" s="581"/>
      <c r="B218" s="580"/>
      <c r="C218" s="581"/>
      <c r="D218" s="581"/>
      <c r="E218" s="582"/>
      <c r="F218" s="582"/>
      <c r="G218" s="582"/>
      <c r="H218" s="574"/>
      <c r="I218" s="581"/>
    </row>
    <row r="219" spans="1:9" ht="99">
      <c r="A219" s="581">
        <v>20</v>
      </c>
      <c r="B219" s="595" t="s">
        <v>3208</v>
      </c>
      <c r="C219" s="581"/>
      <c r="D219" s="581"/>
      <c r="E219" s="582"/>
      <c r="F219" s="582"/>
      <c r="G219" s="582"/>
      <c r="H219" s="582"/>
      <c r="I219" s="581"/>
    </row>
    <row r="220" spans="1:9">
      <c r="A220" s="581"/>
      <c r="B220" s="580" t="s">
        <v>3209</v>
      </c>
      <c r="C220" s="581">
        <v>24</v>
      </c>
      <c r="D220" s="581">
        <v>2</v>
      </c>
      <c r="E220" s="582">
        <v>1.2</v>
      </c>
      <c r="F220" s="582">
        <v>1.2</v>
      </c>
      <c r="G220" s="582" t="s">
        <v>21</v>
      </c>
      <c r="H220" s="626">
        <f t="shared" ref="H220:H227" si="9">PRODUCT(C220:G220)</f>
        <v>69.11999999999999</v>
      </c>
      <c r="I220" s="581"/>
    </row>
    <row r="221" spans="1:9">
      <c r="A221" s="581"/>
      <c r="B221" s="580" t="s">
        <v>3210</v>
      </c>
      <c r="C221" s="581">
        <v>24</v>
      </c>
      <c r="D221" s="581">
        <v>2</v>
      </c>
      <c r="E221" s="582">
        <v>1.2</v>
      </c>
      <c r="F221" s="582">
        <v>0.9</v>
      </c>
      <c r="G221" s="582" t="s">
        <v>21</v>
      </c>
      <c r="H221" s="626">
        <f t="shared" si="9"/>
        <v>51.839999999999996</v>
      </c>
      <c r="I221" s="581"/>
    </row>
    <row r="222" spans="1:9">
      <c r="A222" s="581"/>
      <c r="B222" s="580" t="s">
        <v>3215</v>
      </c>
      <c r="C222" s="581">
        <v>24</v>
      </c>
      <c r="D222" s="581">
        <v>1</v>
      </c>
      <c r="E222" s="582">
        <v>2.2999999999999998</v>
      </c>
      <c r="F222" s="582">
        <v>0.95</v>
      </c>
      <c r="G222" s="582" t="s">
        <v>21</v>
      </c>
      <c r="H222" s="626">
        <f t="shared" si="9"/>
        <v>52.439999999999991</v>
      </c>
      <c r="I222" s="581"/>
    </row>
    <row r="223" spans="1:9">
      <c r="A223" s="581"/>
      <c r="B223" s="580" t="s">
        <v>3211</v>
      </c>
      <c r="C223" s="581">
        <v>8</v>
      </c>
      <c r="D223" s="581">
        <v>2</v>
      </c>
      <c r="E223" s="582">
        <v>1.2</v>
      </c>
      <c r="F223" s="582">
        <v>1.2</v>
      </c>
      <c r="G223" s="582" t="s">
        <v>21</v>
      </c>
      <c r="H223" s="626">
        <f t="shared" si="9"/>
        <v>23.04</v>
      </c>
      <c r="I223" s="581"/>
    </row>
    <row r="224" spans="1:9">
      <c r="A224" s="581"/>
      <c r="B224" s="580" t="s">
        <v>3212</v>
      </c>
      <c r="C224" s="581">
        <v>8</v>
      </c>
      <c r="D224" s="581">
        <v>2</v>
      </c>
      <c r="E224" s="582">
        <v>1.2</v>
      </c>
      <c r="F224" s="582">
        <v>0.9</v>
      </c>
      <c r="G224" s="582" t="s">
        <v>21</v>
      </c>
      <c r="H224" s="626">
        <f t="shared" si="9"/>
        <v>17.28</v>
      </c>
      <c r="I224" s="581"/>
    </row>
    <row r="225" spans="1:9">
      <c r="A225" s="581"/>
      <c r="B225" s="580" t="s">
        <v>3215</v>
      </c>
      <c r="C225" s="581">
        <v>8</v>
      </c>
      <c r="D225" s="581">
        <v>1</v>
      </c>
      <c r="E225" s="582">
        <v>2.7</v>
      </c>
      <c r="F225" s="582">
        <v>1</v>
      </c>
      <c r="G225" s="582" t="s">
        <v>21</v>
      </c>
      <c r="H225" s="626">
        <f t="shared" si="9"/>
        <v>21.6</v>
      </c>
      <c r="I225" s="581"/>
    </row>
    <row r="226" spans="1:9">
      <c r="A226" s="581"/>
      <c r="B226" s="580" t="s">
        <v>3213</v>
      </c>
      <c r="C226" s="581">
        <v>4</v>
      </c>
      <c r="D226" s="581">
        <v>2</v>
      </c>
      <c r="E226" s="582">
        <v>1.2</v>
      </c>
      <c r="F226" s="582">
        <v>1.3</v>
      </c>
      <c r="G226" s="582" t="s">
        <v>21</v>
      </c>
      <c r="H226" s="626">
        <f t="shared" si="9"/>
        <v>12.48</v>
      </c>
      <c r="I226" s="581"/>
    </row>
    <row r="227" spans="1:9">
      <c r="A227" s="581"/>
      <c r="B227" s="580" t="s">
        <v>3214</v>
      </c>
      <c r="C227" s="581">
        <v>4</v>
      </c>
      <c r="D227" s="581">
        <v>2</v>
      </c>
      <c r="E227" s="582">
        <v>1.2</v>
      </c>
      <c r="F227" s="582">
        <v>1</v>
      </c>
      <c r="G227" s="582" t="s">
        <v>21</v>
      </c>
      <c r="H227" s="626">
        <f t="shared" si="9"/>
        <v>9.6</v>
      </c>
      <c r="I227" s="581"/>
    </row>
    <row r="228" spans="1:9">
      <c r="A228" s="581"/>
      <c r="B228" s="580" t="s">
        <v>3215</v>
      </c>
      <c r="C228" s="581">
        <v>8</v>
      </c>
      <c r="D228" s="581">
        <v>1</v>
      </c>
      <c r="E228" s="582">
        <v>2.7</v>
      </c>
      <c r="F228" s="582">
        <v>1</v>
      </c>
      <c r="G228" s="582" t="s">
        <v>21</v>
      </c>
      <c r="H228" s="626">
        <f>PRODUCT(C228:G228)</f>
        <v>21.6</v>
      </c>
      <c r="I228" s="581"/>
    </row>
    <row r="229" spans="1:9">
      <c r="A229" s="581"/>
      <c r="B229" s="580"/>
      <c r="C229" s="581"/>
      <c r="D229" s="581"/>
      <c r="E229" s="582"/>
      <c r="F229" s="582"/>
      <c r="G229" s="582"/>
      <c r="H229" s="626">
        <f>SUM(H220:H228)</f>
        <v>279</v>
      </c>
      <c r="I229" s="581"/>
    </row>
    <row r="230" spans="1:9" ht="19.5">
      <c r="A230" s="581"/>
      <c r="B230" s="580"/>
      <c r="C230" s="581"/>
      <c r="D230" s="581"/>
      <c r="E230" s="582"/>
      <c r="F230" s="582"/>
      <c r="G230" s="582" t="s">
        <v>9</v>
      </c>
      <c r="H230" s="629">
        <v>279</v>
      </c>
      <c r="I230" s="581" t="s">
        <v>3481</v>
      </c>
    </row>
    <row r="231" spans="1:9" ht="49.5">
      <c r="A231" s="581">
        <v>21</v>
      </c>
      <c r="B231" s="595" t="s">
        <v>3216</v>
      </c>
      <c r="C231" s="581"/>
      <c r="D231" s="581"/>
      <c r="E231" s="582"/>
      <c r="F231" s="582"/>
      <c r="G231" s="582"/>
      <c r="H231" s="574"/>
      <c r="I231" s="581"/>
    </row>
    <row r="232" spans="1:9">
      <c r="A232" s="581"/>
      <c r="B232" s="580" t="s">
        <v>3217</v>
      </c>
      <c r="C232" s="581">
        <v>24</v>
      </c>
      <c r="D232" s="581">
        <v>1</v>
      </c>
      <c r="E232" s="582">
        <v>2.2999999999999998</v>
      </c>
      <c r="F232" s="582">
        <v>0.95</v>
      </c>
      <c r="G232" s="582" t="s">
        <v>21</v>
      </c>
      <c r="H232" s="626">
        <f t="shared" ref="H232:H238" si="10">PRODUCT(C232:G232)</f>
        <v>52.439999999999991</v>
      </c>
      <c r="I232" s="581"/>
    </row>
    <row r="233" spans="1:9">
      <c r="A233" s="581"/>
      <c r="B233" s="580" t="s">
        <v>3218</v>
      </c>
      <c r="C233" s="581">
        <v>8</v>
      </c>
      <c r="D233" s="581">
        <v>1</v>
      </c>
      <c r="E233" s="582">
        <v>2.7</v>
      </c>
      <c r="F233" s="582">
        <v>1</v>
      </c>
      <c r="G233" s="582" t="s">
        <v>21</v>
      </c>
      <c r="H233" s="626">
        <f t="shared" si="10"/>
        <v>21.6</v>
      </c>
      <c r="I233" s="581"/>
    </row>
    <row r="234" spans="1:9">
      <c r="A234" s="581"/>
      <c r="B234" s="580" t="s">
        <v>3219</v>
      </c>
      <c r="C234" s="581">
        <v>8</v>
      </c>
      <c r="D234" s="581">
        <v>1</v>
      </c>
      <c r="E234" s="582">
        <v>2.7</v>
      </c>
      <c r="F234" s="582">
        <v>1</v>
      </c>
      <c r="G234" s="582" t="s">
        <v>21</v>
      </c>
      <c r="H234" s="626">
        <f t="shared" si="10"/>
        <v>21.6</v>
      </c>
      <c r="I234" s="581"/>
    </row>
    <row r="235" spans="1:9" s="590" customFormat="1">
      <c r="A235" s="586"/>
      <c r="B235" s="652" t="s">
        <v>3465</v>
      </c>
      <c r="C235" s="581">
        <v>1</v>
      </c>
      <c r="D235" s="586">
        <v>10</v>
      </c>
      <c r="E235" s="587">
        <v>0.6</v>
      </c>
      <c r="F235" s="587">
        <v>0.6</v>
      </c>
      <c r="G235" s="587" t="s">
        <v>21</v>
      </c>
      <c r="H235" s="588">
        <f t="shared" si="10"/>
        <v>3.5999999999999996</v>
      </c>
      <c r="I235" s="589"/>
    </row>
    <row r="236" spans="1:9" ht="25.15" customHeight="1">
      <c r="A236" s="575"/>
      <c r="B236" s="593" t="s">
        <v>3445</v>
      </c>
      <c r="C236" s="577">
        <v>6</v>
      </c>
      <c r="D236" s="577">
        <v>1</v>
      </c>
      <c r="E236" s="578">
        <v>40</v>
      </c>
      <c r="F236" s="578">
        <v>0.3</v>
      </c>
      <c r="G236" s="587" t="s">
        <v>21</v>
      </c>
      <c r="H236" s="583">
        <f t="shared" si="10"/>
        <v>72</v>
      </c>
      <c r="I236" s="582"/>
    </row>
    <row r="237" spans="1:9" ht="25.15" customHeight="1">
      <c r="A237" s="575"/>
      <c r="B237" s="593" t="s">
        <v>3446</v>
      </c>
      <c r="C237" s="577">
        <v>5</v>
      </c>
      <c r="D237" s="577">
        <v>1</v>
      </c>
      <c r="E237" s="578">
        <v>30</v>
      </c>
      <c r="F237" s="578">
        <v>0.3</v>
      </c>
      <c r="G237" s="587" t="s">
        <v>21</v>
      </c>
      <c r="H237" s="583">
        <f t="shared" si="10"/>
        <v>45</v>
      </c>
      <c r="I237" s="582"/>
    </row>
    <row r="238" spans="1:9" ht="25.15" customHeight="1">
      <c r="A238" s="575"/>
      <c r="B238" s="593" t="s">
        <v>3447</v>
      </c>
      <c r="C238" s="577">
        <v>2</v>
      </c>
      <c r="D238" s="577">
        <v>1</v>
      </c>
      <c r="E238" s="578">
        <v>30</v>
      </c>
      <c r="F238" s="578">
        <v>0.3</v>
      </c>
      <c r="G238" s="587" t="s">
        <v>21</v>
      </c>
      <c r="H238" s="583">
        <f t="shared" si="10"/>
        <v>18</v>
      </c>
      <c r="I238" s="582"/>
    </row>
    <row r="239" spans="1:9">
      <c r="A239" s="581"/>
      <c r="B239" s="580"/>
      <c r="C239" s="581"/>
      <c r="D239" s="581"/>
      <c r="E239" s="582"/>
      <c r="F239" s="582"/>
      <c r="G239" s="582"/>
      <c r="H239" s="626">
        <f>SUM(H232:H238)</f>
        <v>234.23999999999998</v>
      </c>
      <c r="I239" s="581"/>
    </row>
    <row r="240" spans="1:9" ht="19.5">
      <c r="A240" s="581"/>
      <c r="B240" s="580"/>
      <c r="C240" s="581"/>
      <c r="D240" s="581"/>
      <c r="E240" s="582"/>
      <c r="F240" s="582"/>
      <c r="G240" s="582" t="s">
        <v>9</v>
      </c>
      <c r="H240" s="629">
        <v>235</v>
      </c>
      <c r="I240" s="581" t="s">
        <v>3481</v>
      </c>
    </row>
    <row r="241" spans="1:9" ht="66">
      <c r="A241" s="581">
        <v>22</v>
      </c>
      <c r="B241" s="627" t="s">
        <v>3470</v>
      </c>
      <c r="C241" s="581"/>
      <c r="D241" s="581"/>
      <c r="E241" s="582"/>
      <c r="F241" s="582"/>
      <c r="G241" s="582"/>
      <c r="H241" s="582"/>
      <c r="I241" s="581"/>
    </row>
    <row r="242" spans="1:9" ht="33">
      <c r="A242" s="581"/>
      <c r="B242" s="580" t="s">
        <v>3223</v>
      </c>
      <c r="C242" s="581">
        <v>12</v>
      </c>
      <c r="D242" s="581">
        <v>1</v>
      </c>
      <c r="E242" s="582">
        <v>4.5</v>
      </c>
      <c r="F242" s="582" t="s">
        <v>21</v>
      </c>
      <c r="G242" s="582" t="s">
        <v>21</v>
      </c>
      <c r="H242" s="626">
        <f t="shared" ref="H242:H247" si="11">PRODUCT(C242:G242)</f>
        <v>54</v>
      </c>
      <c r="I242" s="581"/>
    </row>
    <row r="243" spans="1:9" ht="33">
      <c r="A243" s="581"/>
      <c r="B243" s="580" t="s">
        <v>3224</v>
      </c>
      <c r="C243" s="581">
        <v>12</v>
      </c>
      <c r="D243" s="581">
        <v>1</v>
      </c>
      <c r="E243" s="582">
        <v>8</v>
      </c>
      <c r="F243" s="582" t="s">
        <v>21</v>
      </c>
      <c r="G243" s="582" t="s">
        <v>21</v>
      </c>
      <c r="H243" s="626">
        <f t="shared" si="11"/>
        <v>96</v>
      </c>
      <c r="I243" s="581"/>
    </row>
    <row r="244" spans="1:9">
      <c r="A244" s="581"/>
      <c r="B244" s="580" t="s">
        <v>3225</v>
      </c>
      <c r="C244" s="581">
        <v>3</v>
      </c>
      <c r="D244" s="581">
        <v>1</v>
      </c>
      <c r="E244" s="582">
        <v>4.5</v>
      </c>
      <c r="F244" s="582" t="s">
        <v>21</v>
      </c>
      <c r="G244" s="582" t="s">
        <v>21</v>
      </c>
      <c r="H244" s="626">
        <f t="shared" si="11"/>
        <v>13.5</v>
      </c>
      <c r="I244" s="581"/>
    </row>
    <row r="245" spans="1:9">
      <c r="A245" s="581"/>
      <c r="B245" s="580" t="s">
        <v>3226</v>
      </c>
      <c r="C245" s="581">
        <v>5</v>
      </c>
      <c r="D245" s="581">
        <v>1</v>
      </c>
      <c r="E245" s="582">
        <v>6</v>
      </c>
      <c r="F245" s="582" t="s">
        <v>21</v>
      </c>
      <c r="G245" s="582" t="s">
        <v>21</v>
      </c>
      <c r="H245" s="626">
        <f t="shared" si="11"/>
        <v>30</v>
      </c>
      <c r="I245" s="581"/>
    </row>
    <row r="246" spans="1:9" ht="18.75" customHeight="1">
      <c r="A246" s="581"/>
      <c r="B246" s="580" t="s">
        <v>3227</v>
      </c>
      <c r="C246" s="581">
        <v>4</v>
      </c>
      <c r="D246" s="581">
        <v>1</v>
      </c>
      <c r="E246" s="582">
        <v>5</v>
      </c>
      <c r="F246" s="582" t="s">
        <v>21</v>
      </c>
      <c r="G246" s="582" t="s">
        <v>21</v>
      </c>
      <c r="H246" s="626">
        <f t="shared" si="11"/>
        <v>20</v>
      </c>
      <c r="I246" s="581"/>
    </row>
    <row r="247" spans="1:9" ht="18.75" customHeight="1">
      <c r="A247" s="581"/>
      <c r="B247" s="580" t="s">
        <v>3228</v>
      </c>
      <c r="C247" s="581">
        <v>4</v>
      </c>
      <c r="D247" s="581">
        <v>1</v>
      </c>
      <c r="E247" s="582">
        <v>8</v>
      </c>
      <c r="F247" s="582" t="s">
        <v>21</v>
      </c>
      <c r="G247" s="582" t="s">
        <v>21</v>
      </c>
      <c r="H247" s="626">
        <f t="shared" si="11"/>
        <v>32</v>
      </c>
      <c r="I247" s="581"/>
    </row>
    <row r="248" spans="1:9">
      <c r="A248" s="581"/>
      <c r="B248" s="580"/>
      <c r="C248" s="581"/>
      <c r="D248" s="581"/>
      <c r="E248" s="582"/>
      <c r="F248" s="582"/>
      <c r="G248" s="582"/>
      <c r="H248" s="629">
        <f>SUM(H242:H247)</f>
        <v>245.5</v>
      </c>
      <c r="I248" s="581" t="s">
        <v>303</v>
      </c>
    </row>
    <row r="249" spans="1:9">
      <c r="A249" s="581"/>
      <c r="B249" s="580"/>
      <c r="C249" s="581"/>
      <c r="D249" s="581"/>
      <c r="E249" s="582"/>
      <c r="F249" s="582"/>
      <c r="G249" s="582"/>
      <c r="H249" s="582"/>
      <c r="I249" s="581"/>
    </row>
    <row r="250" spans="1:9" ht="74.45" customHeight="1">
      <c r="A250" s="581">
        <v>23</v>
      </c>
      <c r="B250" s="595" t="s">
        <v>3471</v>
      </c>
      <c r="C250" s="581"/>
      <c r="D250" s="581"/>
      <c r="E250" s="582"/>
      <c r="F250" s="582"/>
      <c r="G250" s="582"/>
      <c r="H250" s="574"/>
      <c r="I250" s="581"/>
    </row>
    <row r="251" spans="1:9">
      <c r="A251" s="581"/>
      <c r="B251" s="580" t="s">
        <v>3220</v>
      </c>
      <c r="C251" s="581">
        <v>12</v>
      </c>
      <c r="D251" s="581">
        <v>1</v>
      </c>
      <c r="E251" s="582">
        <v>9</v>
      </c>
      <c r="F251" s="582" t="s">
        <v>21</v>
      </c>
      <c r="G251" s="582" t="s">
        <v>21</v>
      </c>
      <c r="H251" s="626">
        <f>PRODUCT(C251:G251)</f>
        <v>108</v>
      </c>
      <c r="I251" s="581"/>
    </row>
    <row r="252" spans="1:9">
      <c r="A252" s="581"/>
      <c r="B252" s="580" t="s">
        <v>3221</v>
      </c>
      <c r="C252" s="581">
        <v>5</v>
      </c>
      <c r="D252" s="581">
        <v>1</v>
      </c>
      <c r="E252" s="582">
        <v>6</v>
      </c>
      <c r="F252" s="582" t="s">
        <v>21</v>
      </c>
      <c r="G252" s="582" t="s">
        <v>21</v>
      </c>
      <c r="H252" s="626">
        <f>PRODUCT(C252:G252)</f>
        <v>30</v>
      </c>
      <c r="I252" s="581"/>
    </row>
    <row r="253" spans="1:9">
      <c r="A253" s="581"/>
      <c r="B253" s="580" t="s">
        <v>3222</v>
      </c>
      <c r="C253" s="581">
        <v>2</v>
      </c>
      <c r="D253" s="581">
        <v>1</v>
      </c>
      <c r="E253" s="582">
        <v>9</v>
      </c>
      <c r="F253" s="582" t="s">
        <v>21</v>
      </c>
      <c r="G253" s="582" t="s">
        <v>21</v>
      </c>
      <c r="H253" s="626">
        <f>PRODUCT(C253:G253)</f>
        <v>18</v>
      </c>
      <c r="I253" s="581"/>
    </row>
    <row r="254" spans="1:9">
      <c r="A254" s="581"/>
      <c r="B254" s="653"/>
      <c r="C254" s="581"/>
      <c r="D254" s="581"/>
      <c r="E254" s="582"/>
      <c r="F254" s="582"/>
      <c r="G254" s="582"/>
      <c r="H254" s="629">
        <f>SUM(H250:H253)</f>
        <v>156</v>
      </c>
      <c r="I254" s="581" t="s">
        <v>303</v>
      </c>
    </row>
    <row r="255" spans="1:9">
      <c r="A255" s="581"/>
      <c r="B255" s="580"/>
      <c r="C255" s="581"/>
      <c r="D255" s="581"/>
      <c r="E255" s="582"/>
      <c r="F255" s="582"/>
      <c r="G255" s="582"/>
      <c r="H255" s="582"/>
      <c r="I255" s="581"/>
    </row>
    <row r="256" spans="1:9" ht="82.5">
      <c r="A256" s="581">
        <v>24</v>
      </c>
      <c r="B256" s="595" t="s">
        <v>3472</v>
      </c>
      <c r="C256" s="581"/>
      <c r="D256" s="581"/>
      <c r="E256" s="582"/>
      <c r="F256" s="582"/>
      <c r="G256" s="582"/>
      <c r="H256" s="626"/>
      <c r="I256" s="581"/>
    </row>
    <row r="257" spans="1:15">
      <c r="A257" s="581"/>
      <c r="B257" s="580" t="s">
        <v>3229</v>
      </c>
      <c r="C257" s="581">
        <v>1</v>
      </c>
      <c r="D257" s="581">
        <v>1</v>
      </c>
      <c r="E257" s="582">
        <v>120</v>
      </c>
      <c r="F257" s="582" t="s">
        <v>21</v>
      </c>
      <c r="G257" s="582" t="s">
        <v>21</v>
      </c>
      <c r="H257" s="629">
        <f>PRODUCT(C257:G257)</f>
        <v>120</v>
      </c>
      <c r="I257" s="573" t="s">
        <v>303</v>
      </c>
    </row>
    <row r="258" spans="1:15">
      <c r="A258" s="581"/>
      <c r="B258" s="580"/>
      <c r="C258" s="581"/>
      <c r="D258" s="581"/>
      <c r="E258" s="582"/>
      <c r="F258" s="582"/>
      <c r="G258" s="582"/>
      <c r="H258" s="626"/>
      <c r="I258" s="581"/>
    </row>
    <row r="259" spans="1:15">
      <c r="A259" s="581"/>
      <c r="B259" s="580"/>
      <c r="C259" s="581"/>
      <c r="D259" s="581"/>
      <c r="E259" s="582"/>
      <c r="F259" s="582"/>
      <c r="G259" s="582"/>
      <c r="H259" s="626"/>
      <c r="I259" s="581"/>
    </row>
    <row r="260" spans="1:15" ht="66">
      <c r="A260" s="581">
        <v>25</v>
      </c>
      <c r="B260" s="595" t="s">
        <v>3230</v>
      </c>
      <c r="C260" s="581"/>
      <c r="D260" s="581"/>
      <c r="E260" s="582"/>
      <c r="F260" s="582"/>
      <c r="G260" s="582"/>
      <c r="H260" s="626"/>
      <c r="I260" s="581"/>
      <c r="O260" s="654"/>
    </row>
    <row r="261" spans="1:15">
      <c r="A261" s="581"/>
      <c r="B261" s="580" t="s">
        <v>3232</v>
      </c>
      <c r="C261" s="581">
        <v>24</v>
      </c>
      <c r="D261" s="581">
        <v>1</v>
      </c>
      <c r="E261" s="582" t="s">
        <v>21</v>
      </c>
      <c r="F261" s="582" t="s">
        <v>21</v>
      </c>
      <c r="G261" s="582" t="s">
        <v>21</v>
      </c>
      <c r="H261" s="626">
        <f>PRODUCT(C261:G261)</f>
        <v>24</v>
      </c>
      <c r="I261" s="581"/>
    </row>
    <row r="262" spans="1:15">
      <c r="A262" s="581"/>
      <c r="B262" s="580" t="s">
        <v>3233</v>
      </c>
      <c r="C262" s="581">
        <v>8</v>
      </c>
      <c r="D262" s="581">
        <v>1</v>
      </c>
      <c r="E262" s="582" t="s">
        <v>21</v>
      </c>
      <c r="F262" s="582" t="s">
        <v>21</v>
      </c>
      <c r="G262" s="582" t="s">
        <v>21</v>
      </c>
      <c r="H262" s="626">
        <f>PRODUCT(C262:G262)</f>
        <v>8</v>
      </c>
      <c r="I262" s="581"/>
    </row>
    <row r="263" spans="1:15">
      <c r="A263" s="581"/>
      <c r="B263" s="580" t="s">
        <v>3234</v>
      </c>
      <c r="C263" s="581">
        <v>4</v>
      </c>
      <c r="D263" s="581">
        <v>1</v>
      </c>
      <c r="E263" s="582" t="s">
        <v>21</v>
      </c>
      <c r="F263" s="582" t="s">
        <v>21</v>
      </c>
      <c r="G263" s="582" t="s">
        <v>21</v>
      </c>
      <c r="H263" s="626">
        <f>PRODUCT(C263:G263)</f>
        <v>4</v>
      </c>
      <c r="I263" s="581"/>
    </row>
    <row r="264" spans="1:15">
      <c r="A264" s="581"/>
      <c r="B264" s="580"/>
      <c r="C264" s="581"/>
      <c r="D264" s="581"/>
      <c r="E264" s="582"/>
      <c r="F264" s="582"/>
      <c r="G264" s="582"/>
      <c r="H264" s="629">
        <f>SUM(H261:H263)</f>
        <v>36</v>
      </c>
      <c r="I264" s="573" t="s">
        <v>340</v>
      </c>
    </row>
    <row r="265" spans="1:15" ht="66">
      <c r="A265" s="581">
        <v>26</v>
      </c>
      <c r="B265" s="595" t="s">
        <v>3231</v>
      </c>
      <c r="C265" s="581"/>
      <c r="D265" s="581"/>
      <c r="E265" s="582"/>
      <c r="F265" s="582"/>
      <c r="G265" s="582"/>
      <c r="H265" s="626"/>
      <c r="I265" s="581"/>
    </row>
    <row r="266" spans="1:15">
      <c r="A266" s="581"/>
      <c r="B266" s="580" t="s">
        <v>3235</v>
      </c>
      <c r="C266" s="581">
        <v>24</v>
      </c>
      <c r="D266" s="581">
        <v>1</v>
      </c>
      <c r="E266" s="582" t="s">
        <v>21</v>
      </c>
      <c r="F266" s="582" t="s">
        <v>21</v>
      </c>
      <c r="G266" s="582" t="s">
        <v>21</v>
      </c>
      <c r="H266" s="626">
        <f>PRODUCT(C266:G266)</f>
        <v>24</v>
      </c>
      <c r="I266" s="581"/>
    </row>
    <row r="267" spans="1:15">
      <c r="A267" s="581"/>
      <c r="B267" s="580" t="s">
        <v>3236</v>
      </c>
      <c r="C267" s="581">
        <v>8</v>
      </c>
      <c r="D267" s="581">
        <v>1</v>
      </c>
      <c r="E267" s="582" t="s">
        <v>21</v>
      </c>
      <c r="F267" s="582" t="s">
        <v>21</v>
      </c>
      <c r="G267" s="582" t="s">
        <v>21</v>
      </c>
      <c r="H267" s="626">
        <f>PRODUCT(C267:G267)</f>
        <v>8</v>
      </c>
      <c r="I267" s="581"/>
    </row>
    <row r="268" spans="1:15">
      <c r="A268" s="581"/>
      <c r="B268" s="580" t="s">
        <v>3237</v>
      </c>
      <c r="C268" s="581">
        <v>4</v>
      </c>
      <c r="D268" s="581">
        <v>1</v>
      </c>
      <c r="E268" s="582" t="s">
        <v>21</v>
      </c>
      <c r="F268" s="582" t="s">
        <v>21</v>
      </c>
      <c r="G268" s="582" t="s">
        <v>21</v>
      </c>
      <c r="H268" s="626">
        <f>PRODUCT(C268:G268)</f>
        <v>4</v>
      </c>
      <c r="I268" s="581"/>
    </row>
    <row r="269" spans="1:15">
      <c r="A269" s="581"/>
      <c r="B269" s="580"/>
      <c r="C269" s="581"/>
      <c r="D269" s="581"/>
      <c r="E269" s="582"/>
      <c r="F269" s="582"/>
      <c r="G269" s="582"/>
      <c r="H269" s="629">
        <f>SUM(H266:H268)</f>
        <v>36</v>
      </c>
      <c r="I269" s="573" t="s">
        <v>340</v>
      </c>
    </row>
    <row r="270" spans="1:15" ht="65.45" customHeight="1">
      <c r="A270" s="581">
        <v>27</v>
      </c>
      <c r="B270" s="627" t="s">
        <v>511</v>
      </c>
      <c r="C270" s="581"/>
      <c r="D270" s="581"/>
      <c r="E270" s="582"/>
      <c r="F270" s="582"/>
      <c r="G270" s="582"/>
      <c r="H270" s="626"/>
      <c r="I270" s="581"/>
    </row>
    <row r="271" spans="1:15">
      <c r="A271" s="581"/>
      <c r="B271" s="580" t="s">
        <v>3238</v>
      </c>
      <c r="C271" s="581">
        <v>6</v>
      </c>
      <c r="D271" s="581">
        <v>4</v>
      </c>
      <c r="E271" s="582">
        <v>6</v>
      </c>
      <c r="F271" s="582" t="s">
        <v>21</v>
      </c>
      <c r="G271" s="582" t="s">
        <v>21</v>
      </c>
      <c r="H271" s="626">
        <f>PRODUCT(C271:G271)</f>
        <v>144</v>
      </c>
      <c r="I271" s="581"/>
    </row>
    <row r="272" spans="1:15">
      <c r="A272" s="581"/>
      <c r="B272" s="580" t="s">
        <v>3189</v>
      </c>
      <c r="C272" s="581">
        <v>4</v>
      </c>
      <c r="D272" s="581">
        <v>4</v>
      </c>
      <c r="E272" s="582">
        <v>6</v>
      </c>
      <c r="F272" s="582" t="s">
        <v>21</v>
      </c>
      <c r="G272" s="582" t="s">
        <v>21</v>
      </c>
      <c r="H272" s="626">
        <f>PRODUCT(C272:G272)</f>
        <v>96</v>
      </c>
      <c r="I272" s="581"/>
    </row>
    <row r="273" spans="1:9">
      <c r="A273" s="581"/>
      <c r="B273" s="580" t="s">
        <v>3206</v>
      </c>
      <c r="C273" s="581">
        <v>2</v>
      </c>
      <c r="D273" s="581">
        <v>4</v>
      </c>
      <c r="E273" s="582">
        <v>6</v>
      </c>
      <c r="F273" s="582" t="s">
        <v>21</v>
      </c>
      <c r="G273" s="582" t="s">
        <v>21</v>
      </c>
      <c r="H273" s="626">
        <f>PRODUCT(C273:G273)</f>
        <v>48</v>
      </c>
      <c r="I273" s="581"/>
    </row>
    <row r="274" spans="1:9">
      <c r="A274" s="581"/>
      <c r="B274" s="580"/>
      <c r="C274" s="581"/>
      <c r="D274" s="581"/>
      <c r="E274" s="582"/>
      <c r="F274" s="582"/>
      <c r="G274" s="582"/>
      <c r="H274" s="629">
        <f>SUM(H271:H273)</f>
        <v>288</v>
      </c>
      <c r="I274" s="573" t="s">
        <v>303</v>
      </c>
    </row>
    <row r="275" spans="1:9" ht="49.5">
      <c r="A275" s="581">
        <v>28</v>
      </c>
      <c r="B275" s="595" t="s">
        <v>3239</v>
      </c>
      <c r="C275" s="581"/>
      <c r="D275" s="581"/>
      <c r="E275" s="582"/>
      <c r="F275" s="582"/>
      <c r="G275" s="582"/>
      <c r="H275" s="626"/>
      <c r="I275" s="581"/>
    </row>
    <row r="276" spans="1:9">
      <c r="A276" s="581"/>
      <c r="B276" s="594" t="s">
        <v>3240</v>
      </c>
      <c r="C276" s="581"/>
      <c r="D276" s="581"/>
      <c r="E276" s="582"/>
      <c r="F276" s="582"/>
      <c r="G276" s="582"/>
      <c r="H276" s="626"/>
      <c r="I276" s="581"/>
    </row>
    <row r="277" spans="1:9">
      <c r="A277" s="581"/>
      <c r="B277" s="580" t="s">
        <v>3238</v>
      </c>
      <c r="C277" s="581">
        <v>24</v>
      </c>
      <c r="D277" s="581">
        <v>1</v>
      </c>
      <c r="E277" s="582">
        <v>6</v>
      </c>
      <c r="F277" s="582" t="s">
        <v>21</v>
      </c>
      <c r="G277" s="582" t="s">
        <v>21</v>
      </c>
      <c r="H277" s="626">
        <f>PRODUCT(C277:G277)</f>
        <v>144</v>
      </c>
      <c r="I277" s="581"/>
    </row>
    <row r="278" spans="1:9">
      <c r="A278" s="581"/>
      <c r="B278" s="580" t="s">
        <v>3189</v>
      </c>
      <c r="C278" s="581">
        <v>8</v>
      </c>
      <c r="D278" s="581">
        <v>1</v>
      </c>
      <c r="E278" s="582">
        <v>5</v>
      </c>
      <c r="F278" s="582" t="s">
        <v>21</v>
      </c>
      <c r="G278" s="582" t="s">
        <v>21</v>
      </c>
      <c r="H278" s="626">
        <f>PRODUCT(C278:G278)</f>
        <v>40</v>
      </c>
      <c r="I278" s="581"/>
    </row>
    <row r="279" spans="1:9">
      <c r="A279" s="581"/>
      <c r="B279" s="580" t="s">
        <v>3206</v>
      </c>
      <c r="C279" s="581">
        <v>4</v>
      </c>
      <c r="D279" s="581">
        <v>1</v>
      </c>
      <c r="E279" s="582">
        <v>6</v>
      </c>
      <c r="F279" s="582" t="s">
        <v>21</v>
      </c>
      <c r="G279" s="582" t="s">
        <v>21</v>
      </c>
      <c r="H279" s="626">
        <f>PRODUCT(C279:G279)</f>
        <v>24</v>
      </c>
      <c r="I279" s="581"/>
    </row>
    <row r="280" spans="1:9">
      <c r="A280" s="581"/>
      <c r="B280" s="580"/>
      <c r="C280" s="581"/>
      <c r="D280" s="581"/>
      <c r="E280" s="582"/>
      <c r="F280" s="582"/>
      <c r="G280" s="582"/>
      <c r="H280" s="629">
        <f>SUM(H277:H279)</f>
        <v>208</v>
      </c>
      <c r="I280" s="573" t="s">
        <v>303</v>
      </c>
    </row>
    <row r="281" spans="1:9">
      <c r="A281" s="581"/>
      <c r="B281" s="594" t="s">
        <v>3241</v>
      </c>
      <c r="C281" s="581"/>
      <c r="D281" s="581"/>
      <c r="E281" s="582"/>
      <c r="F281" s="582"/>
      <c r="G281" s="582"/>
      <c r="H281" s="626"/>
      <c r="I281" s="581"/>
    </row>
    <row r="282" spans="1:9">
      <c r="A282" s="581"/>
      <c r="B282" s="580" t="s">
        <v>3238</v>
      </c>
      <c r="C282" s="581">
        <v>8</v>
      </c>
      <c r="D282" s="581">
        <v>1</v>
      </c>
      <c r="E282" s="582">
        <v>6</v>
      </c>
      <c r="F282" s="582" t="s">
        <v>21</v>
      </c>
      <c r="G282" s="582" t="s">
        <v>21</v>
      </c>
      <c r="H282" s="626">
        <f>PRODUCT(C282:G282)</f>
        <v>48</v>
      </c>
      <c r="I282" s="581"/>
    </row>
    <row r="283" spans="1:9">
      <c r="A283" s="581"/>
      <c r="B283" s="580" t="s">
        <v>3189</v>
      </c>
      <c r="C283" s="581">
        <v>2</v>
      </c>
      <c r="D283" s="581">
        <v>1</v>
      </c>
      <c r="E283" s="582">
        <v>6</v>
      </c>
      <c r="F283" s="582" t="s">
        <v>21</v>
      </c>
      <c r="G283" s="582" t="s">
        <v>21</v>
      </c>
      <c r="H283" s="626">
        <f>PRODUCT(C283:G283)</f>
        <v>12</v>
      </c>
      <c r="I283" s="581"/>
    </row>
    <row r="284" spans="1:9">
      <c r="A284" s="581"/>
      <c r="B284" s="580" t="s">
        <v>3206</v>
      </c>
      <c r="C284" s="581">
        <v>1</v>
      </c>
      <c r="D284" s="581">
        <v>1</v>
      </c>
      <c r="E284" s="582">
        <v>6</v>
      </c>
      <c r="F284" s="582" t="s">
        <v>21</v>
      </c>
      <c r="G284" s="582" t="s">
        <v>21</v>
      </c>
      <c r="H284" s="626">
        <f>PRODUCT(C284:G284)</f>
        <v>6</v>
      </c>
      <c r="I284" s="581"/>
    </row>
    <row r="285" spans="1:9">
      <c r="A285" s="581"/>
      <c r="B285" s="580"/>
      <c r="C285" s="581"/>
      <c r="D285" s="581"/>
      <c r="E285" s="582"/>
      <c r="F285" s="582"/>
      <c r="G285" s="582"/>
      <c r="H285" s="629">
        <f>SUM(H282:H284)</f>
        <v>66</v>
      </c>
      <c r="I285" s="573" t="s">
        <v>303</v>
      </c>
    </row>
    <row r="286" spans="1:9">
      <c r="A286" s="581"/>
      <c r="B286" s="580"/>
      <c r="C286" s="581"/>
      <c r="D286" s="581"/>
      <c r="E286" s="582"/>
      <c r="F286" s="582"/>
      <c r="G286" s="582"/>
      <c r="H286" s="626"/>
      <c r="I286" s="581"/>
    </row>
    <row r="287" spans="1:9" ht="115.5">
      <c r="A287" s="581">
        <v>29</v>
      </c>
      <c r="B287" s="655" t="s">
        <v>3460</v>
      </c>
      <c r="C287" s="581"/>
      <c r="D287" s="581"/>
      <c r="E287" s="582"/>
      <c r="F287" s="582"/>
      <c r="G287" s="582"/>
      <c r="H287" s="626"/>
      <c r="I287" s="581"/>
    </row>
    <row r="288" spans="1:9">
      <c r="A288" s="581"/>
      <c r="B288" s="656" t="s">
        <v>3459</v>
      </c>
      <c r="C288" s="581">
        <v>1</v>
      </c>
      <c r="D288" s="581">
        <v>1</v>
      </c>
      <c r="E288" s="582">
        <v>80</v>
      </c>
      <c r="F288" s="582" t="s">
        <v>21</v>
      </c>
      <c r="G288" s="582" t="s">
        <v>21</v>
      </c>
      <c r="H288" s="629">
        <f>PRODUCT(C288:G288)</f>
        <v>80</v>
      </c>
      <c r="I288" s="581" t="s">
        <v>303</v>
      </c>
    </row>
    <row r="289" spans="1:9">
      <c r="A289" s="581"/>
      <c r="B289" s="656"/>
      <c r="C289" s="581"/>
      <c r="D289" s="581"/>
      <c r="E289" s="582"/>
      <c r="F289" s="582"/>
      <c r="G289" s="582"/>
      <c r="H289" s="629"/>
      <c r="I289" s="581"/>
    </row>
    <row r="290" spans="1:9" ht="66">
      <c r="A290" s="581">
        <v>30</v>
      </c>
      <c r="B290" s="576" t="s">
        <v>3242</v>
      </c>
      <c r="C290" s="581"/>
      <c r="D290" s="581"/>
      <c r="E290" s="582"/>
      <c r="F290" s="582"/>
      <c r="G290" s="582"/>
      <c r="H290" s="626"/>
      <c r="I290" s="581"/>
    </row>
    <row r="291" spans="1:9">
      <c r="A291" s="581"/>
      <c r="B291" s="657" t="s">
        <v>3243</v>
      </c>
      <c r="C291" s="581"/>
      <c r="D291" s="581"/>
      <c r="E291" s="582"/>
      <c r="F291" s="582"/>
      <c r="G291" s="582"/>
      <c r="H291" s="626"/>
      <c r="I291" s="581"/>
    </row>
    <row r="292" spans="1:9">
      <c r="A292" s="581"/>
      <c r="B292" s="580" t="s">
        <v>3248</v>
      </c>
      <c r="C292" s="581"/>
      <c r="D292" s="581"/>
      <c r="E292" s="582"/>
      <c r="F292" s="582"/>
      <c r="G292" s="582"/>
      <c r="H292" s="626"/>
      <c r="I292" s="581"/>
    </row>
    <row r="293" spans="1:9">
      <c r="A293" s="581"/>
      <c r="B293" s="580" t="s">
        <v>3245</v>
      </c>
      <c r="C293" s="581">
        <v>24</v>
      </c>
      <c r="D293" s="581">
        <v>1</v>
      </c>
      <c r="E293" s="582" t="s">
        <v>21</v>
      </c>
      <c r="F293" s="582" t="s">
        <v>21</v>
      </c>
      <c r="G293" s="582" t="s">
        <v>21</v>
      </c>
      <c r="H293" s="626">
        <f>PRODUCT(C293:G293)</f>
        <v>24</v>
      </c>
      <c r="I293" s="581"/>
    </row>
    <row r="294" spans="1:9">
      <c r="A294" s="581"/>
      <c r="B294" s="580" t="s">
        <v>129</v>
      </c>
      <c r="C294" s="581">
        <v>24</v>
      </c>
      <c r="D294" s="581">
        <v>1</v>
      </c>
      <c r="E294" s="582" t="s">
        <v>21</v>
      </c>
      <c r="F294" s="582" t="s">
        <v>21</v>
      </c>
      <c r="G294" s="582" t="s">
        <v>21</v>
      </c>
      <c r="H294" s="626">
        <f>PRODUCT(C294:G294)</f>
        <v>24</v>
      </c>
      <c r="I294" s="581"/>
    </row>
    <row r="295" spans="1:9">
      <c r="A295" s="581"/>
      <c r="B295" s="580" t="s">
        <v>3185</v>
      </c>
      <c r="C295" s="581">
        <v>24</v>
      </c>
      <c r="D295" s="581">
        <v>1</v>
      </c>
      <c r="E295" s="582" t="s">
        <v>21</v>
      </c>
      <c r="F295" s="582" t="s">
        <v>21</v>
      </c>
      <c r="G295" s="582" t="s">
        <v>21</v>
      </c>
      <c r="H295" s="626">
        <f>PRODUCT(C295:G295)</f>
        <v>24</v>
      </c>
      <c r="I295" s="581"/>
    </row>
    <row r="296" spans="1:9">
      <c r="A296" s="581"/>
      <c r="B296" s="580" t="s">
        <v>3246</v>
      </c>
      <c r="C296" s="581">
        <v>24</v>
      </c>
      <c r="D296" s="581">
        <v>1</v>
      </c>
      <c r="E296" s="582" t="s">
        <v>21</v>
      </c>
      <c r="F296" s="582" t="s">
        <v>21</v>
      </c>
      <c r="G296" s="582" t="s">
        <v>21</v>
      </c>
      <c r="H296" s="626">
        <f>PRODUCT(C296:G296)</f>
        <v>24</v>
      </c>
      <c r="I296" s="581"/>
    </row>
    <row r="297" spans="1:9">
      <c r="A297" s="581"/>
      <c r="B297" s="580" t="s">
        <v>3247</v>
      </c>
      <c r="C297" s="581">
        <v>6</v>
      </c>
      <c r="D297" s="581">
        <v>1</v>
      </c>
      <c r="E297" s="582" t="s">
        <v>21</v>
      </c>
      <c r="F297" s="582" t="s">
        <v>21</v>
      </c>
      <c r="G297" s="582" t="s">
        <v>21</v>
      </c>
      <c r="H297" s="626">
        <f>PRODUCT(C297:G297)</f>
        <v>6</v>
      </c>
      <c r="I297" s="581"/>
    </row>
    <row r="298" spans="1:9">
      <c r="A298" s="581"/>
      <c r="B298" s="580" t="s">
        <v>3197</v>
      </c>
      <c r="C298" s="581"/>
      <c r="D298" s="581"/>
      <c r="E298" s="582"/>
      <c r="F298" s="582"/>
      <c r="G298" s="582"/>
      <c r="H298" s="626"/>
      <c r="I298" s="581"/>
    </row>
    <row r="299" spans="1:9">
      <c r="A299" s="581"/>
      <c r="B299" s="580" t="s">
        <v>3249</v>
      </c>
      <c r="C299" s="581">
        <v>8</v>
      </c>
      <c r="D299" s="581">
        <v>1</v>
      </c>
      <c r="E299" s="582" t="s">
        <v>21</v>
      </c>
      <c r="F299" s="582" t="s">
        <v>21</v>
      </c>
      <c r="G299" s="582" t="s">
        <v>21</v>
      </c>
      <c r="H299" s="626">
        <f>PRODUCT(C299:G299)</f>
        <v>8</v>
      </c>
      <c r="I299" s="581"/>
    </row>
    <row r="300" spans="1:9">
      <c r="A300" s="581"/>
      <c r="B300" s="580" t="s">
        <v>129</v>
      </c>
      <c r="C300" s="581">
        <v>8</v>
      </c>
      <c r="D300" s="581">
        <v>1</v>
      </c>
      <c r="E300" s="582" t="s">
        <v>21</v>
      </c>
      <c r="F300" s="582" t="s">
        <v>21</v>
      </c>
      <c r="G300" s="582" t="s">
        <v>21</v>
      </c>
      <c r="H300" s="626">
        <f>PRODUCT(C300:G300)</f>
        <v>8</v>
      </c>
      <c r="I300" s="581"/>
    </row>
    <row r="301" spans="1:9">
      <c r="A301" s="581"/>
      <c r="B301" s="580" t="s">
        <v>3185</v>
      </c>
      <c r="C301" s="581">
        <v>8</v>
      </c>
      <c r="D301" s="581">
        <v>1</v>
      </c>
      <c r="E301" s="582" t="s">
        <v>21</v>
      </c>
      <c r="F301" s="582" t="s">
        <v>21</v>
      </c>
      <c r="G301" s="582" t="s">
        <v>21</v>
      </c>
      <c r="H301" s="626">
        <f>PRODUCT(C301:G301)</f>
        <v>8</v>
      </c>
      <c r="I301" s="581"/>
    </row>
    <row r="302" spans="1:9">
      <c r="A302" s="581"/>
      <c r="B302" s="580" t="s">
        <v>3246</v>
      </c>
      <c r="C302" s="581">
        <v>8</v>
      </c>
      <c r="D302" s="581">
        <v>1</v>
      </c>
      <c r="E302" s="582" t="s">
        <v>21</v>
      </c>
      <c r="F302" s="582" t="s">
        <v>21</v>
      </c>
      <c r="G302" s="582" t="s">
        <v>21</v>
      </c>
      <c r="H302" s="626">
        <f>PRODUCT(C302:G302)</f>
        <v>8</v>
      </c>
      <c r="I302" s="581"/>
    </row>
    <row r="303" spans="1:9">
      <c r="A303" s="581"/>
      <c r="B303" s="580" t="s">
        <v>3181</v>
      </c>
      <c r="C303" s="581"/>
      <c r="D303" s="581"/>
      <c r="E303" s="582"/>
      <c r="F303" s="582"/>
      <c r="G303" s="582"/>
      <c r="H303" s="626"/>
      <c r="I303" s="581"/>
    </row>
    <row r="304" spans="1:9">
      <c r="A304" s="581"/>
      <c r="B304" s="580" t="s">
        <v>3249</v>
      </c>
      <c r="C304" s="581">
        <v>4</v>
      </c>
      <c r="D304" s="581">
        <v>1</v>
      </c>
      <c r="E304" s="582" t="s">
        <v>21</v>
      </c>
      <c r="F304" s="582" t="s">
        <v>21</v>
      </c>
      <c r="G304" s="582" t="s">
        <v>21</v>
      </c>
      <c r="H304" s="626">
        <f t="shared" ref="H304:H310" si="12">PRODUCT(C304:G304)</f>
        <v>4</v>
      </c>
      <c r="I304" s="581"/>
    </row>
    <row r="305" spans="1:9">
      <c r="A305" s="581"/>
      <c r="B305" s="580" t="s">
        <v>129</v>
      </c>
      <c r="C305" s="581">
        <v>4</v>
      </c>
      <c r="D305" s="581">
        <v>1</v>
      </c>
      <c r="E305" s="582" t="s">
        <v>21</v>
      </c>
      <c r="F305" s="582" t="s">
        <v>21</v>
      </c>
      <c r="G305" s="582" t="s">
        <v>21</v>
      </c>
      <c r="H305" s="626">
        <f t="shared" si="12"/>
        <v>4</v>
      </c>
      <c r="I305" s="581"/>
    </row>
    <row r="306" spans="1:9">
      <c r="A306" s="581"/>
      <c r="B306" s="580" t="s">
        <v>3185</v>
      </c>
      <c r="C306" s="581">
        <v>4</v>
      </c>
      <c r="D306" s="581">
        <v>1</v>
      </c>
      <c r="E306" s="582" t="s">
        <v>21</v>
      </c>
      <c r="F306" s="582" t="s">
        <v>21</v>
      </c>
      <c r="G306" s="582" t="s">
        <v>21</v>
      </c>
      <c r="H306" s="626">
        <f t="shared" si="12"/>
        <v>4</v>
      </c>
      <c r="I306" s="581"/>
    </row>
    <row r="307" spans="1:9">
      <c r="A307" s="581"/>
      <c r="B307" s="580" t="s">
        <v>3246</v>
      </c>
      <c r="C307" s="581">
        <v>4</v>
      </c>
      <c r="D307" s="581">
        <v>1</v>
      </c>
      <c r="E307" s="582" t="s">
        <v>21</v>
      </c>
      <c r="F307" s="582" t="s">
        <v>21</v>
      </c>
      <c r="G307" s="582" t="s">
        <v>21</v>
      </c>
      <c r="H307" s="626">
        <f t="shared" si="12"/>
        <v>4</v>
      </c>
      <c r="I307" s="581"/>
    </row>
    <row r="308" spans="1:9">
      <c r="A308" s="581"/>
      <c r="B308" s="580" t="s">
        <v>3250</v>
      </c>
      <c r="C308" s="581">
        <v>4</v>
      </c>
      <c r="D308" s="581">
        <v>1</v>
      </c>
      <c r="E308" s="582" t="s">
        <v>21</v>
      </c>
      <c r="F308" s="582" t="s">
        <v>21</v>
      </c>
      <c r="G308" s="582" t="s">
        <v>21</v>
      </c>
      <c r="H308" s="626">
        <f t="shared" si="12"/>
        <v>4</v>
      </c>
      <c r="I308" s="581"/>
    </row>
    <row r="309" spans="1:9">
      <c r="A309" s="581"/>
      <c r="B309" s="580" t="s">
        <v>3474</v>
      </c>
      <c r="C309" s="581">
        <v>1</v>
      </c>
      <c r="D309" s="581">
        <v>36</v>
      </c>
      <c r="E309" s="582" t="s">
        <v>21</v>
      </c>
      <c r="F309" s="582" t="s">
        <v>21</v>
      </c>
      <c r="G309" s="582" t="s">
        <v>21</v>
      </c>
      <c r="H309" s="626">
        <f t="shared" si="12"/>
        <v>36</v>
      </c>
      <c r="I309" s="581"/>
    </row>
    <row r="310" spans="1:9">
      <c r="A310" s="581"/>
      <c r="B310" s="580" t="s">
        <v>3475</v>
      </c>
      <c r="C310" s="581">
        <v>1</v>
      </c>
      <c r="D310" s="581">
        <v>40</v>
      </c>
      <c r="E310" s="582" t="s">
        <v>21</v>
      </c>
      <c r="F310" s="582" t="s">
        <v>21</v>
      </c>
      <c r="G310" s="582" t="s">
        <v>21</v>
      </c>
      <c r="H310" s="626">
        <f t="shared" si="12"/>
        <v>40</v>
      </c>
      <c r="I310" s="581"/>
    </row>
    <row r="311" spans="1:9">
      <c r="A311" s="581"/>
      <c r="B311" s="580"/>
      <c r="C311" s="581"/>
      <c r="D311" s="581"/>
      <c r="E311" s="582"/>
      <c r="F311" s="582"/>
      <c r="G311" s="582"/>
      <c r="H311" s="629">
        <f>SUM(H293:H310)</f>
        <v>230</v>
      </c>
      <c r="I311" s="581" t="s">
        <v>340</v>
      </c>
    </row>
    <row r="312" spans="1:9" ht="33">
      <c r="A312" s="581"/>
      <c r="B312" s="602" t="s">
        <v>3251</v>
      </c>
      <c r="C312" s="581"/>
      <c r="D312" s="581"/>
      <c r="E312" s="582"/>
      <c r="F312" s="582"/>
      <c r="G312" s="582"/>
      <c r="H312" s="626"/>
      <c r="I312" s="581"/>
    </row>
    <row r="313" spans="1:9">
      <c r="A313" s="581"/>
      <c r="B313" s="580" t="s">
        <v>79</v>
      </c>
      <c r="C313" s="581">
        <v>24</v>
      </c>
      <c r="D313" s="581">
        <v>1</v>
      </c>
      <c r="E313" s="582" t="s">
        <v>21</v>
      </c>
      <c r="F313" s="582" t="s">
        <v>21</v>
      </c>
      <c r="G313" s="582" t="s">
        <v>21</v>
      </c>
      <c r="H313" s="626">
        <f>PRODUCT(C313:G313)</f>
        <v>24</v>
      </c>
      <c r="I313" s="581"/>
    </row>
    <row r="314" spans="1:9">
      <c r="A314" s="581"/>
      <c r="B314" s="580" t="s">
        <v>3252</v>
      </c>
      <c r="C314" s="581">
        <v>6</v>
      </c>
      <c r="D314" s="581">
        <v>1</v>
      </c>
      <c r="E314" s="582" t="s">
        <v>21</v>
      </c>
      <c r="F314" s="582" t="s">
        <v>21</v>
      </c>
      <c r="G314" s="582" t="s">
        <v>21</v>
      </c>
      <c r="H314" s="626">
        <f>PRODUCT(C314:G314)</f>
        <v>6</v>
      </c>
      <c r="I314" s="581"/>
    </row>
    <row r="315" spans="1:9">
      <c r="A315" s="581"/>
      <c r="B315" s="580" t="s">
        <v>3197</v>
      </c>
      <c r="C315" s="581"/>
      <c r="D315" s="581"/>
      <c r="E315" s="582"/>
      <c r="F315" s="582"/>
      <c r="G315" s="582"/>
      <c r="H315" s="626"/>
      <c r="I315" s="581"/>
    </row>
    <row r="316" spans="1:9">
      <c r="A316" s="581"/>
      <c r="B316" s="580" t="s">
        <v>79</v>
      </c>
      <c r="C316" s="581">
        <v>8</v>
      </c>
      <c r="D316" s="581">
        <v>1</v>
      </c>
      <c r="E316" s="582" t="s">
        <v>21</v>
      </c>
      <c r="F316" s="582" t="s">
        <v>21</v>
      </c>
      <c r="G316" s="582" t="s">
        <v>21</v>
      </c>
      <c r="H316" s="626">
        <f>PRODUCT(C316:G316)</f>
        <v>8</v>
      </c>
      <c r="I316" s="581"/>
    </row>
    <row r="317" spans="1:9">
      <c r="A317" s="581"/>
      <c r="B317" s="580" t="s">
        <v>3181</v>
      </c>
      <c r="C317" s="581"/>
      <c r="D317" s="581"/>
      <c r="E317" s="582"/>
      <c r="F317" s="582"/>
      <c r="G317" s="582"/>
      <c r="H317" s="626"/>
      <c r="I317" s="581"/>
    </row>
    <row r="318" spans="1:9">
      <c r="A318" s="581"/>
      <c r="B318" s="580" t="s">
        <v>79</v>
      </c>
      <c r="C318" s="581">
        <v>4</v>
      </c>
      <c r="D318" s="581">
        <v>1</v>
      </c>
      <c r="E318" s="582" t="s">
        <v>21</v>
      </c>
      <c r="F318" s="582" t="s">
        <v>21</v>
      </c>
      <c r="G318" s="582" t="s">
        <v>21</v>
      </c>
      <c r="H318" s="626">
        <f>PRODUCT(C318:G318)</f>
        <v>4</v>
      </c>
      <c r="I318" s="581"/>
    </row>
    <row r="319" spans="1:9">
      <c r="A319" s="581"/>
      <c r="B319" s="580"/>
      <c r="C319" s="581"/>
      <c r="D319" s="581"/>
      <c r="E319" s="582"/>
      <c r="F319" s="582"/>
      <c r="G319" s="582"/>
      <c r="H319" s="629">
        <f>SUM(H313:H318)</f>
        <v>42</v>
      </c>
      <c r="I319" s="581" t="s">
        <v>340</v>
      </c>
    </row>
    <row r="320" spans="1:9">
      <c r="A320" s="581"/>
      <c r="B320" s="580"/>
      <c r="C320" s="581"/>
      <c r="D320" s="581"/>
      <c r="E320" s="582"/>
      <c r="F320" s="582"/>
      <c r="G320" s="582"/>
      <c r="H320" s="626"/>
      <c r="I320" s="581"/>
    </row>
    <row r="321" spans="1:9" ht="66">
      <c r="A321" s="581">
        <v>31</v>
      </c>
      <c r="B321" s="602" t="s">
        <v>3253</v>
      </c>
      <c r="C321" s="581"/>
      <c r="D321" s="581"/>
      <c r="E321" s="582"/>
      <c r="F321" s="582"/>
      <c r="G321" s="582"/>
      <c r="H321" s="626"/>
      <c r="I321" s="581"/>
    </row>
    <row r="322" spans="1:9">
      <c r="A322" s="581"/>
      <c r="B322" s="580" t="s">
        <v>3248</v>
      </c>
      <c r="C322" s="581"/>
      <c r="D322" s="581"/>
      <c r="E322" s="582"/>
      <c r="F322" s="582"/>
      <c r="G322" s="582"/>
      <c r="H322" s="626"/>
      <c r="I322" s="581"/>
    </row>
    <row r="323" spans="1:9">
      <c r="A323" s="581"/>
      <c r="B323" s="580" t="s">
        <v>129</v>
      </c>
      <c r="C323" s="581">
        <v>24</v>
      </c>
      <c r="D323" s="581">
        <v>1</v>
      </c>
      <c r="E323" s="582" t="s">
        <v>21</v>
      </c>
      <c r="F323" s="582" t="s">
        <v>21</v>
      </c>
      <c r="G323" s="582" t="s">
        <v>21</v>
      </c>
      <c r="H323" s="626">
        <f>PRODUCT(C323:G323)</f>
        <v>24</v>
      </c>
      <c r="I323" s="581"/>
    </row>
    <row r="324" spans="1:9">
      <c r="A324" s="581"/>
      <c r="B324" s="580" t="s">
        <v>3185</v>
      </c>
      <c r="C324" s="581">
        <v>24</v>
      </c>
      <c r="D324" s="581">
        <v>1</v>
      </c>
      <c r="E324" s="582" t="s">
        <v>21</v>
      </c>
      <c r="F324" s="582" t="s">
        <v>21</v>
      </c>
      <c r="G324" s="582" t="s">
        <v>21</v>
      </c>
      <c r="H324" s="626">
        <f>PRODUCT(C324:G324)</f>
        <v>24</v>
      </c>
      <c r="I324" s="581"/>
    </row>
    <row r="325" spans="1:9">
      <c r="A325" s="581"/>
      <c r="B325" s="580" t="s">
        <v>3246</v>
      </c>
      <c r="C325" s="581">
        <v>24</v>
      </c>
      <c r="D325" s="581">
        <v>1</v>
      </c>
      <c r="E325" s="582" t="s">
        <v>21</v>
      </c>
      <c r="F325" s="582" t="s">
        <v>21</v>
      </c>
      <c r="G325" s="582" t="s">
        <v>21</v>
      </c>
      <c r="H325" s="626">
        <f>PRODUCT(C325:G325)</f>
        <v>24</v>
      </c>
      <c r="I325" s="581"/>
    </row>
    <row r="326" spans="1:9">
      <c r="A326" s="581"/>
      <c r="B326" s="580" t="s">
        <v>3197</v>
      </c>
      <c r="C326" s="581"/>
      <c r="D326" s="581"/>
      <c r="E326" s="582"/>
      <c r="F326" s="582"/>
      <c r="G326" s="582"/>
      <c r="H326" s="626"/>
      <c r="I326" s="581"/>
    </row>
    <row r="327" spans="1:9">
      <c r="A327" s="581"/>
      <c r="B327" s="580" t="s">
        <v>129</v>
      </c>
      <c r="C327" s="581">
        <v>8</v>
      </c>
      <c r="D327" s="581">
        <v>1</v>
      </c>
      <c r="E327" s="582" t="s">
        <v>21</v>
      </c>
      <c r="F327" s="582" t="s">
        <v>21</v>
      </c>
      <c r="G327" s="582" t="s">
        <v>21</v>
      </c>
      <c r="H327" s="626">
        <f>PRODUCT(C327:G327)</f>
        <v>8</v>
      </c>
      <c r="I327" s="581"/>
    </row>
    <row r="328" spans="1:9">
      <c r="A328" s="581"/>
      <c r="B328" s="580" t="s">
        <v>3185</v>
      </c>
      <c r="C328" s="581">
        <v>8</v>
      </c>
      <c r="D328" s="581">
        <v>1</v>
      </c>
      <c r="E328" s="582" t="s">
        <v>21</v>
      </c>
      <c r="F328" s="582" t="s">
        <v>21</v>
      </c>
      <c r="G328" s="582" t="s">
        <v>21</v>
      </c>
      <c r="H328" s="626">
        <f>PRODUCT(C328:G328)</f>
        <v>8</v>
      </c>
      <c r="I328" s="581"/>
    </row>
    <row r="329" spans="1:9">
      <c r="A329" s="581"/>
      <c r="B329" s="580" t="s">
        <v>3246</v>
      </c>
      <c r="C329" s="581">
        <v>8</v>
      </c>
      <c r="D329" s="581">
        <v>1</v>
      </c>
      <c r="E329" s="582" t="s">
        <v>21</v>
      </c>
      <c r="F329" s="582" t="s">
        <v>21</v>
      </c>
      <c r="G329" s="582" t="s">
        <v>21</v>
      </c>
      <c r="H329" s="626">
        <f>PRODUCT(C329:G329)</f>
        <v>8</v>
      </c>
      <c r="I329" s="581"/>
    </row>
    <row r="330" spans="1:9">
      <c r="A330" s="581"/>
      <c r="B330" s="580" t="s">
        <v>3181</v>
      </c>
      <c r="C330" s="581"/>
      <c r="D330" s="581"/>
      <c r="E330" s="582"/>
      <c r="F330" s="582"/>
      <c r="G330" s="582"/>
      <c r="H330" s="626"/>
      <c r="I330" s="581"/>
    </row>
    <row r="331" spans="1:9">
      <c r="A331" s="581"/>
      <c r="B331" s="580" t="s">
        <v>129</v>
      </c>
      <c r="C331" s="581">
        <v>4</v>
      </c>
      <c r="D331" s="581">
        <v>1</v>
      </c>
      <c r="E331" s="582" t="s">
        <v>21</v>
      </c>
      <c r="F331" s="582" t="s">
        <v>21</v>
      </c>
      <c r="G331" s="582" t="s">
        <v>21</v>
      </c>
      <c r="H331" s="626">
        <f>PRODUCT(C331:G331)</f>
        <v>4</v>
      </c>
      <c r="I331" s="581"/>
    </row>
    <row r="332" spans="1:9">
      <c r="A332" s="581"/>
      <c r="B332" s="580" t="s">
        <v>3185</v>
      </c>
      <c r="C332" s="581">
        <v>4</v>
      </c>
      <c r="D332" s="581">
        <v>1</v>
      </c>
      <c r="E332" s="582" t="s">
        <v>21</v>
      </c>
      <c r="F332" s="582" t="s">
        <v>21</v>
      </c>
      <c r="G332" s="582" t="s">
        <v>21</v>
      </c>
      <c r="H332" s="626">
        <f>PRODUCT(C332:G332)</f>
        <v>4</v>
      </c>
      <c r="I332" s="581"/>
    </row>
    <row r="333" spans="1:9">
      <c r="A333" s="581"/>
      <c r="B333" s="580" t="s">
        <v>3246</v>
      </c>
      <c r="C333" s="581">
        <v>4</v>
      </c>
      <c r="D333" s="581">
        <v>1</v>
      </c>
      <c r="E333" s="582" t="s">
        <v>21</v>
      </c>
      <c r="F333" s="582" t="s">
        <v>21</v>
      </c>
      <c r="G333" s="582" t="s">
        <v>21</v>
      </c>
      <c r="H333" s="626">
        <f>PRODUCT(C333:G333)</f>
        <v>4</v>
      </c>
      <c r="I333" s="581"/>
    </row>
    <row r="334" spans="1:9">
      <c r="A334" s="581"/>
      <c r="B334" s="580" t="s">
        <v>3250</v>
      </c>
      <c r="C334" s="581">
        <v>4</v>
      </c>
      <c r="D334" s="581">
        <v>1</v>
      </c>
      <c r="E334" s="582" t="s">
        <v>21</v>
      </c>
      <c r="F334" s="582" t="s">
        <v>21</v>
      </c>
      <c r="G334" s="582" t="s">
        <v>21</v>
      </c>
      <c r="H334" s="626">
        <f>PRODUCT(C334:G334)</f>
        <v>4</v>
      </c>
      <c r="I334" s="581"/>
    </row>
    <row r="335" spans="1:9">
      <c r="A335" s="581"/>
      <c r="B335" s="580"/>
      <c r="C335" s="581"/>
      <c r="D335" s="581"/>
      <c r="E335" s="582"/>
      <c r="F335" s="582"/>
      <c r="G335" s="582"/>
      <c r="H335" s="629">
        <f>SUM(H323:H334)</f>
        <v>112</v>
      </c>
      <c r="I335" s="581" t="s">
        <v>340</v>
      </c>
    </row>
    <row r="336" spans="1:9">
      <c r="A336" s="581"/>
      <c r="B336" s="580"/>
      <c r="C336" s="581"/>
      <c r="D336" s="581"/>
      <c r="E336" s="582"/>
      <c r="F336" s="582"/>
      <c r="G336" s="582"/>
      <c r="H336" s="626"/>
      <c r="I336" s="581"/>
    </row>
    <row r="337" spans="1:9" ht="66">
      <c r="A337" s="581">
        <v>32</v>
      </c>
      <c r="B337" s="602" t="s">
        <v>3254</v>
      </c>
      <c r="C337" s="581"/>
      <c r="D337" s="581"/>
      <c r="E337" s="582"/>
      <c r="F337" s="582"/>
      <c r="G337" s="582"/>
      <c r="H337" s="626"/>
      <c r="I337" s="581"/>
    </row>
    <row r="338" spans="1:9">
      <c r="A338" s="581"/>
      <c r="B338" s="580" t="s">
        <v>3248</v>
      </c>
      <c r="C338" s="581"/>
      <c r="D338" s="581"/>
      <c r="E338" s="582"/>
      <c r="F338" s="582"/>
      <c r="G338" s="582"/>
      <c r="H338" s="626"/>
      <c r="I338" s="581"/>
    </row>
    <row r="339" spans="1:9">
      <c r="A339" s="581"/>
      <c r="B339" s="580" t="s">
        <v>129</v>
      </c>
      <c r="C339" s="581">
        <v>24</v>
      </c>
      <c r="D339" s="581">
        <v>1</v>
      </c>
      <c r="E339" s="582" t="s">
        <v>21</v>
      </c>
      <c r="F339" s="582" t="s">
        <v>21</v>
      </c>
      <c r="G339" s="582" t="s">
        <v>21</v>
      </c>
      <c r="H339" s="626">
        <f>PRODUCT(C339:G339)</f>
        <v>24</v>
      </c>
      <c r="I339" s="581"/>
    </row>
    <row r="340" spans="1:9">
      <c r="A340" s="581"/>
      <c r="B340" s="580" t="s">
        <v>3185</v>
      </c>
      <c r="C340" s="581">
        <v>24</v>
      </c>
      <c r="D340" s="581">
        <v>1</v>
      </c>
      <c r="E340" s="582" t="s">
        <v>21</v>
      </c>
      <c r="F340" s="582" t="s">
        <v>21</v>
      </c>
      <c r="G340" s="582" t="s">
        <v>21</v>
      </c>
      <c r="H340" s="626">
        <f>PRODUCT(C340:G340)</f>
        <v>24</v>
      </c>
      <c r="I340" s="581"/>
    </row>
    <row r="341" spans="1:9">
      <c r="A341" s="581"/>
      <c r="B341" s="580" t="s">
        <v>3246</v>
      </c>
      <c r="C341" s="581">
        <v>24</v>
      </c>
      <c r="D341" s="581">
        <v>1</v>
      </c>
      <c r="E341" s="582" t="s">
        <v>21</v>
      </c>
      <c r="F341" s="582" t="s">
        <v>21</v>
      </c>
      <c r="G341" s="582" t="s">
        <v>21</v>
      </c>
      <c r="H341" s="626">
        <f>PRODUCT(C341:G341)</f>
        <v>24</v>
      </c>
      <c r="I341" s="581"/>
    </row>
    <row r="342" spans="1:9">
      <c r="A342" s="581"/>
      <c r="B342" s="580" t="s">
        <v>3197</v>
      </c>
      <c r="C342" s="581"/>
      <c r="D342" s="581"/>
      <c r="E342" s="582"/>
      <c r="F342" s="582"/>
      <c r="G342" s="582"/>
      <c r="H342" s="626"/>
      <c r="I342" s="581"/>
    </row>
    <row r="343" spans="1:9">
      <c r="A343" s="581"/>
      <c r="B343" s="580" t="s">
        <v>129</v>
      </c>
      <c r="C343" s="581">
        <v>8</v>
      </c>
      <c r="D343" s="581">
        <v>1</v>
      </c>
      <c r="E343" s="582" t="s">
        <v>21</v>
      </c>
      <c r="F343" s="582" t="s">
        <v>21</v>
      </c>
      <c r="G343" s="582" t="s">
        <v>21</v>
      </c>
      <c r="H343" s="626">
        <f>PRODUCT(C343:G343)</f>
        <v>8</v>
      </c>
      <c r="I343" s="581"/>
    </row>
    <row r="344" spans="1:9">
      <c r="A344" s="581"/>
      <c r="B344" s="580" t="s">
        <v>3185</v>
      </c>
      <c r="C344" s="581">
        <v>8</v>
      </c>
      <c r="D344" s="581">
        <v>1</v>
      </c>
      <c r="E344" s="582" t="s">
        <v>21</v>
      </c>
      <c r="F344" s="582" t="s">
        <v>21</v>
      </c>
      <c r="G344" s="582" t="s">
        <v>21</v>
      </c>
      <c r="H344" s="626">
        <f>PRODUCT(C344:G344)</f>
        <v>8</v>
      </c>
      <c r="I344" s="581"/>
    </row>
    <row r="345" spans="1:9">
      <c r="A345" s="581"/>
      <c r="B345" s="580" t="s">
        <v>3246</v>
      </c>
      <c r="C345" s="581">
        <v>8</v>
      </c>
      <c r="D345" s="581">
        <v>1</v>
      </c>
      <c r="E345" s="582" t="s">
        <v>21</v>
      </c>
      <c r="F345" s="582" t="s">
        <v>21</v>
      </c>
      <c r="G345" s="582" t="s">
        <v>21</v>
      </c>
      <c r="H345" s="626">
        <f>PRODUCT(C345:G345)</f>
        <v>8</v>
      </c>
      <c r="I345" s="581"/>
    </row>
    <row r="346" spans="1:9">
      <c r="A346" s="581"/>
      <c r="B346" s="580" t="s">
        <v>3181</v>
      </c>
      <c r="C346" s="581"/>
      <c r="D346" s="581"/>
      <c r="E346" s="582"/>
      <c r="F346" s="582"/>
      <c r="G346" s="582"/>
      <c r="H346" s="626"/>
      <c r="I346" s="581"/>
    </row>
    <row r="347" spans="1:9">
      <c r="A347" s="581"/>
      <c r="B347" s="580" t="s">
        <v>129</v>
      </c>
      <c r="C347" s="581">
        <v>4</v>
      </c>
      <c r="D347" s="581">
        <v>1</v>
      </c>
      <c r="E347" s="582" t="s">
        <v>21</v>
      </c>
      <c r="F347" s="582" t="s">
        <v>21</v>
      </c>
      <c r="G347" s="582" t="s">
        <v>21</v>
      </c>
      <c r="H347" s="626">
        <f>PRODUCT(C347:G347)</f>
        <v>4</v>
      </c>
      <c r="I347" s="581"/>
    </row>
    <row r="348" spans="1:9">
      <c r="A348" s="581"/>
      <c r="B348" s="580" t="s">
        <v>3185</v>
      </c>
      <c r="C348" s="581">
        <v>4</v>
      </c>
      <c r="D348" s="581">
        <v>1</v>
      </c>
      <c r="E348" s="582" t="s">
        <v>21</v>
      </c>
      <c r="F348" s="582" t="s">
        <v>21</v>
      </c>
      <c r="G348" s="582" t="s">
        <v>21</v>
      </c>
      <c r="H348" s="626">
        <f>PRODUCT(C348:G348)</f>
        <v>4</v>
      </c>
      <c r="I348" s="581"/>
    </row>
    <row r="349" spans="1:9">
      <c r="A349" s="581"/>
      <c r="B349" s="580" t="s">
        <v>3246</v>
      </c>
      <c r="C349" s="581">
        <v>4</v>
      </c>
      <c r="D349" s="581">
        <v>1</v>
      </c>
      <c r="E349" s="582" t="s">
        <v>21</v>
      </c>
      <c r="F349" s="582" t="s">
        <v>21</v>
      </c>
      <c r="G349" s="582" t="s">
        <v>21</v>
      </c>
      <c r="H349" s="626">
        <f>PRODUCT(C349:G349)</f>
        <v>4</v>
      </c>
      <c r="I349" s="581"/>
    </row>
    <row r="350" spans="1:9">
      <c r="A350" s="581"/>
      <c r="B350" s="580" t="s">
        <v>3250</v>
      </c>
      <c r="C350" s="581">
        <v>4</v>
      </c>
      <c r="D350" s="581">
        <v>1</v>
      </c>
      <c r="E350" s="582" t="s">
        <v>21</v>
      </c>
      <c r="F350" s="582" t="s">
        <v>21</v>
      </c>
      <c r="G350" s="582" t="s">
        <v>21</v>
      </c>
      <c r="H350" s="626">
        <f>PRODUCT(C350:G350)</f>
        <v>4</v>
      </c>
      <c r="I350" s="581"/>
    </row>
    <row r="351" spans="1:9">
      <c r="A351" s="581"/>
      <c r="B351" s="580"/>
      <c r="C351" s="581"/>
      <c r="D351" s="581"/>
      <c r="E351" s="582"/>
      <c r="F351" s="582"/>
      <c r="G351" s="582"/>
      <c r="H351" s="629">
        <f>SUM(H339:H350)</f>
        <v>112</v>
      </c>
      <c r="I351" s="581" t="s">
        <v>340</v>
      </c>
    </row>
    <row r="352" spans="1:9" ht="49.5">
      <c r="A352" s="581">
        <v>33</v>
      </c>
      <c r="B352" s="576" t="s">
        <v>3255</v>
      </c>
      <c r="C352" s="581"/>
      <c r="D352" s="581"/>
      <c r="E352" s="582"/>
      <c r="F352" s="582"/>
      <c r="G352" s="582"/>
      <c r="H352" s="626"/>
      <c r="I352" s="581"/>
    </row>
    <row r="353" spans="1:9">
      <c r="A353" s="581"/>
      <c r="B353" s="580" t="s">
        <v>3248</v>
      </c>
      <c r="C353" s="581"/>
      <c r="D353" s="581"/>
      <c r="E353" s="582"/>
      <c r="F353" s="582"/>
      <c r="G353" s="582"/>
      <c r="H353" s="626"/>
      <c r="I353" s="581"/>
    </row>
    <row r="354" spans="1:9">
      <c r="A354" s="581"/>
      <c r="B354" s="580" t="s">
        <v>129</v>
      </c>
      <c r="C354" s="581">
        <v>24</v>
      </c>
      <c r="D354" s="581">
        <v>1</v>
      </c>
      <c r="E354" s="582" t="s">
        <v>21</v>
      </c>
      <c r="F354" s="582" t="s">
        <v>21</v>
      </c>
      <c r="G354" s="582" t="s">
        <v>21</v>
      </c>
      <c r="H354" s="626">
        <f>PRODUCT(C354:G354)</f>
        <v>24</v>
      </c>
      <c r="I354" s="581"/>
    </row>
    <row r="355" spans="1:9">
      <c r="A355" s="581"/>
      <c r="B355" s="580" t="s">
        <v>3246</v>
      </c>
      <c r="C355" s="581">
        <v>24</v>
      </c>
      <c r="D355" s="581">
        <v>2</v>
      </c>
      <c r="E355" s="582" t="s">
        <v>21</v>
      </c>
      <c r="F355" s="582" t="s">
        <v>21</v>
      </c>
      <c r="G355" s="582" t="s">
        <v>21</v>
      </c>
      <c r="H355" s="626">
        <f>PRODUCT(C355:G355)</f>
        <v>48</v>
      </c>
      <c r="I355" s="581"/>
    </row>
    <row r="356" spans="1:9">
      <c r="A356" s="581"/>
      <c r="B356" s="580" t="s">
        <v>3197</v>
      </c>
      <c r="C356" s="581"/>
      <c r="D356" s="581"/>
      <c r="E356" s="582"/>
      <c r="F356" s="582"/>
      <c r="G356" s="582"/>
      <c r="H356" s="626"/>
      <c r="I356" s="581"/>
    </row>
    <row r="357" spans="1:9">
      <c r="A357" s="581"/>
      <c r="B357" s="580" t="s">
        <v>129</v>
      </c>
      <c r="C357" s="581">
        <v>24</v>
      </c>
      <c r="D357" s="581">
        <v>1</v>
      </c>
      <c r="E357" s="582" t="s">
        <v>21</v>
      </c>
      <c r="F357" s="582" t="s">
        <v>21</v>
      </c>
      <c r="G357" s="582" t="s">
        <v>21</v>
      </c>
      <c r="H357" s="626">
        <f>PRODUCT(C357:G357)</f>
        <v>24</v>
      </c>
      <c r="I357" s="581"/>
    </row>
    <row r="358" spans="1:9">
      <c r="A358" s="581"/>
      <c r="B358" s="580" t="s">
        <v>3246</v>
      </c>
      <c r="C358" s="581">
        <v>8</v>
      </c>
      <c r="D358" s="581">
        <v>2</v>
      </c>
      <c r="E358" s="582" t="s">
        <v>21</v>
      </c>
      <c r="F358" s="582" t="s">
        <v>21</v>
      </c>
      <c r="G358" s="582" t="s">
        <v>21</v>
      </c>
      <c r="H358" s="626">
        <f>PRODUCT(C358:G358)</f>
        <v>16</v>
      </c>
      <c r="I358" s="581"/>
    </row>
    <row r="359" spans="1:9">
      <c r="A359" s="581"/>
      <c r="B359" s="580" t="s">
        <v>3181</v>
      </c>
      <c r="C359" s="581"/>
      <c r="D359" s="581"/>
      <c r="E359" s="582"/>
      <c r="F359" s="582"/>
      <c r="G359" s="582"/>
      <c r="H359" s="626"/>
      <c r="I359" s="581"/>
    </row>
    <row r="360" spans="1:9">
      <c r="A360" s="581"/>
      <c r="B360" s="580" t="s">
        <v>129</v>
      </c>
      <c r="C360" s="581">
        <v>24</v>
      </c>
      <c r="D360" s="581">
        <v>1</v>
      </c>
      <c r="E360" s="582" t="s">
        <v>21</v>
      </c>
      <c r="F360" s="582" t="s">
        <v>21</v>
      </c>
      <c r="G360" s="582" t="s">
        <v>21</v>
      </c>
      <c r="H360" s="626">
        <f>PRODUCT(C360:G360)</f>
        <v>24</v>
      </c>
      <c r="I360" s="581"/>
    </row>
    <row r="361" spans="1:9">
      <c r="A361" s="581"/>
      <c r="B361" s="580" t="s">
        <v>3246</v>
      </c>
      <c r="C361" s="581">
        <v>4</v>
      </c>
      <c r="D361" s="581">
        <v>2</v>
      </c>
      <c r="E361" s="582" t="s">
        <v>21</v>
      </c>
      <c r="F361" s="582" t="s">
        <v>21</v>
      </c>
      <c r="G361" s="582" t="s">
        <v>21</v>
      </c>
      <c r="H361" s="626">
        <f>PRODUCT(C361:G361)</f>
        <v>8</v>
      </c>
      <c r="I361" s="581"/>
    </row>
    <row r="362" spans="1:9">
      <c r="A362" s="581"/>
      <c r="B362" s="580"/>
      <c r="C362" s="581"/>
      <c r="D362" s="581"/>
      <c r="E362" s="582"/>
      <c r="F362" s="582"/>
      <c r="G362" s="582"/>
      <c r="H362" s="629">
        <f>SUM(H354:H361)</f>
        <v>144</v>
      </c>
      <c r="I362" s="581" t="s">
        <v>340</v>
      </c>
    </row>
    <row r="363" spans="1:9" ht="64.150000000000006" customHeight="1">
      <c r="A363" s="581">
        <v>34</v>
      </c>
      <c r="B363" s="576" t="s">
        <v>3256</v>
      </c>
      <c r="C363" s="581"/>
      <c r="D363" s="581"/>
      <c r="E363" s="582"/>
      <c r="F363" s="582"/>
      <c r="G363" s="582"/>
      <c r="H363" s="626"/>
      <c r="I363" s="581"/>
    </row>
    <row r="364" spans="1:9">
      <c r="A364" s="581"/>
      <c r="B364" s="580" t="s">
        <v>3257</v>
      </c>
      <c r="C364" s="581">
        <v>1</v>
      </c>
      <c r="D364" s="581">
        <v>36</v>
      </c>
      <c r="E364" s="582" t="s">
        <v>21</v>
      </c>
      <c r="F364" s="582" t="s">
        <v>21</v>
      </c>
      <c r="G364" s="582" t="s">
        <v>21</v>
      </c>
      <c r="H364" s="629">
        <f>PRODUCT(C364:G364)</f>
        <v>36</v>
      </c>
      <c r="I364" s="581" t="s">
        <v>340</v>
      </c>
    </row>
    <row r="365" spans="1:9">
      <c r="A365" s="581"/>
      <c r="B365" s="580"/>
      <c r="C365" s="581"/>
      <c r="D365" s="581"/>
      <c r="E365" s="582"/>
      <c r="F365" s="582"/>
      <c r="G365" s="582"/>
      <c r="H365" s="626"/>
      <c r="I365" s="581"/>
    </row>
    <row r="366" spans="1:9" ht="54" customHeight="1">
      <c r="A366" s="581">
        <v>35</v>
      </c>
      <c r="B366" s="576" t="s">
        <v>3258</v>
      </c>
      <c r="C366" s="581"/>
      <c r="D366" s="581"/>
      <c r="E366" s="582"/>
      <c r="F366" s="582"/>
      <c r="G366" s="582"/>
      <c r="H366" s="626"/>
      <c r="I366" s="581"/>
    </row>
    <row r="367" spans="1:9">
      <c r="A367" s="581"/>
      <c r="B367" s="576" t="s">
        <v>3259</v>
      </c>
      <c r="C367" s="581"/>
      <c r="D367" s="581"/>
      <c r="E367" s="582"/>
      <c r="F367" s="582"/>
      <c r="G367" s="582"/>
      <c r="H367" s="626"/>
      <c r="I367" s="581"/>
    </row>
    <row r="368" spans="1:9">
      <c r="A368" s="581"/>
      <c r="B368" s="580" t="s">
        <v>79</v>
      </c>
      <c r="C368" s="581">
        <v>24</v>
      </c>
      <c r="D368" s="581">
        <v>1</v>
      </c>
      <c r="E368" s="582" t="s">
        <v>21</v>
      </c>
      <c r="F368" s="582" t="s">
        <v>21</v>
      </c>
      <c r="G368" s="582" t="s">
        <v>21</v>
      </c>
      <c r="H368" s="626">
        <f>PRODUCT(C368:G368)</f>
        <v>24</v>
      </c>
      <c r="I368" s="581"/>
    </row>
    <row r="369" spans="1:9">
      <c r="A369" s="581"/>
      <c r="B369" s="580" t="s">
        <v>3252</v>
      </c>
      <c r="C369" s="581">
        <v>6</v>
      </c>
      <c r="D369" s="581">
        <v>1</v>
      </c>
      <c r="E369" s="582" t="s">
        <v>21</v>
      </c>
      <c r="F369" s="582" t="s">
        <v>21</v>
      </c>
      <c r="G369" s="582" t="s">
        <v>21</v>
      </c>
      <c r="H369" s="626">
        <f>PRODUCT(C369:G369)</f>
        <v>6</v>
      </c>
      <c r="I369" s="581"/>
    </row>
    <row r="370" spans="1:9">
      <c r="A370" s="581"/>
      <c r="B370" s="580" t="s">
        <v>3197</v>
      </c>
      <c r="C370" s="581"/>
      <c r="D370" s="581"/>
      <c r="E370" s="582"/>
      <c r="F370" s="582"/>
      <c r="G370" s="582"/>
      <c r="H370" s="626"/>
      <c r="I370" s="581"/>
    </row>
    <row r="371" spans="1:9">
      <c r="A371" s="581"/>
      <c r="B371" s="580" t="s">
        <v>79</v>
      </c>
      <c r="C371" s="581">
        <v>8</v>
      </c>
      <c r="D371" s="581">
        <v>1</v>
      </c>
      <c r="E371" s="582" t="s">
        <v>21</v>
      </c>
      <c r="F371" s="582" t="s">
        <v>21</v>
      </c>
      <c r="G371" s="582" t="s">
        <v>21</v>
      </c>
      <c r="H371" s="626">
        <f>PRODUCT(C371:G371)</f>
        <v>8</v>
      </c>
      <c r="I371" s="581"/>
    </row>
    <row r="372" spans="1:9">
      <c r="A372" s="581"/>
      <c r="B372" s="580" t="s">
        <v>3181</v>
      </c>
      <c r="C372" s="581"/>
      <c r="D372" s="581"/>
      <c r="E372" s="582"/>
      <c r="F372" s="582"/>
      <c r="G372" s="582"/>
      <c r="H372" s="626"/>
      <c r="I372" s="581"/>
    </row>
    <row r="373" spans="1:9">
      <c r="A373" s="581"/>
      <c r="B373" s="580" t="s">
        <v>79</v>
      </c>
      <c r="C373" s="581">
        <v>4</v>
      </c>
      <c r="D373" s="581">
        <v>1</v>
      </c>
      <c r="E373" s="582" t="s">
        <v>21</v>
      </c>
      <c r="F373" s="582" t="s">
        <v>21</v>
      </c>
      <c r="G373" s="582" t="s">
        <v>21</v>
      </c>
      <c r="H373" s="626">
        <f>PRODUCT(C373:G373)</f>
        <v>4</v>
      </c>
      <c r="I373" s="581"/>
    </row>
    <row r="374" spans="1:9">
      <c r="A374" s="581"/>
      <c r="B374" s="580" t="s">
        <v>3252</v>
      </c>
      <c r="C374" s="581">
        <v>2</v>
      </c>
      <c r="D374" s="581">
        <v>3</v>
      </c>
      <c r="E374" s="582" t="s">
        <v>21</v>
      </c>
      <c r="F374" s="582" t="s">
        <v>21</v>
      </c>
      <c r="G374" s="582" t="s">
        <v>21</v>
      </c>
      <c r="H374" s="626">
        <f>PRODUCT(C374:G374)</f>
        <v>6</v>
      </c>
      <c r="I374" s="581"/>
    </row>
    <row r="375" spans="1:9">
      <c r="A375" s="581"/>
      <c r="B375" s="580" t="s">
        <v>3257</v>
      </c>
      <c r="C375" s="581">
        <v>1</v>
      </c>
      <c r="D375" s="581">
        <v>36</v>
      </c>
      <c r="E375" s="582" t="s">
        <v>21</v>
      </c>
      <c r="F375" s="582" t="s">
        <v>21</v>
      </c>
      <c r="G375" s="582" t="s">
        <v>21</v>
      </c>
      <c r="H375" s="626">
        <f>PRODUCT(C375:G375)</f>
        <v>36</v>
      </c>
      <c r="I375" s="581"/>
    </row>
    <row r="376" spans="1:9">
      <c r="A376" s="581"/>
      <c r="B376" s="580"/>
      <c r="C376" s="581"/>
      <c r="D376" s="581"/>
      <c r="E376" s="582"/>
      <c r="F376" s="582"/>
      <c r="G376" s="582"/>
      <c r="H376" s="629">
        <f>SUM(H368:H375)</f>
        <v>84</v>
      </c>
      <c r="I376" s="581" t="s">
        <v>340</v>
      </c>
    </row>
    <row r="377" spans="1:9">
      <c r="A377" s="581"/>
      <c r="B377" s="580"/>
      <c r="C377" s="581"/>
      <c r="D377" s="581"/>
      <c r="E377" s="582"/>
      <c r="F377" s="582"/>
      <c r="G377" s="582"/>
      <c r="H377" s="626"/>
      <c r="I377" s="581"/>
    </row>
    <row r="378" spans="1:9" ht="66">
      <c r="A378" s="581">
        <v>36</v>
      </c>
      <c r="B378" s="576" t="s">
        <v>3260</v>
      </c>
      <c r="C378" s="581"/>
      <c r="D378" s="581"/>
      <c r="E378" s="582"/>
      <c r="F378" s="582"/>
      <c r="G378" s="582"/>
      <c r="H378" s="626"/>
      <c r="I378" s="581"/>
    </row>
    <row r="379" spans="1:9">
      <c r="A379" s="581"/>
      <c r="B379" s="580" t="s">
        <v>3248</v>
      </c>
      <c r="C379" s="581"/>
      <c r="D379" s="581"/>
      <c r="E379" s="582"/>
      <c r="F379" s="582"/>
      <c r="G379" s="582"/>
      <c r="H379" s="626"/>
      <c r="I379" s="581"/>
    </row>
    <row r="380" spans="1:9">
      <c r="A380" s="581"/>
      <c r="B380" s="580" t="s">
        <v>3245</v>
      </c>
      <c r="C380" s="581">
        <v>24</v>
      </c>
      <c r="D380" s="581">
        <v>1</v>
      </c>
      <c r="E380" s="582" t="s">
        <v>21</v>
      </c>
      <c r="F380" s="582" t="s">
        <v>21</v>
      </c>
      <c r="G380" s="582" t="s">
        <v>21</v>
      </c>
      <c r="H380" s="626">
        <f>PRODUCT(C380:G380)</f>
        <v>24</v>
      </c>
      <c r="I380" s="581"/>
    </row>
    <row r="381" spans="1:9">
      <c r="A381" s="581"/>
      <c r="B381" s="580" t="s">
        <v>129</v>
      </c>
      <c r="C381" s="581">
        <v>24</v>
      </c>
      <c r="D381" s="581">
        <v>1</v>
      </c>
      <c r="E381" s="582" t="s">
        <v>21</v>
      </c>
      <c r="F381" s="582" t="s">
        <v>21</v>
      </c>
      <c r="G381" s="582" t="s">
        <v>21</v>
      </c>
      <c r="H381" s="626">
        <f>PRODUCT(C381:G381)</f>
        <v>24</v>
      </c>
      <c r="I381" s="581"/>
    </row>
    <row r="382" spans="1:9">
      <c r="A382" s="581"/>
      <c r="B382" s="580" t="s">
        <v>3185</v>
      </c>
      <c r="C382" s="581">
        <v>24</v>
      </c>
      <c r="D382" s="581">
        <v>1</v>
      </c>
      <c r="E382" s="582" t="s">
        <v>21</v>
      </c>
      <c r="F382" s="582" t="s">
        <v>21</v>
      </c>
      <c r="G382" s="582" t="s">
        <v>21</v>
      </c>
      <c r="H382" s="626">
        <f>PRODUCT(C382:G382)</f>
        <v>24</v>
      </c>
      <c r="I382" s="581"/>
    </row>
    <row r="383" spans="1:9">
      <c r="A383" s="581"/>
      <c r="B383" s="580" t="s">
        <v>3246</v>
      </c>
      <c r="C383" s="581">
        <v>24</v>
      </c>
      <c r="D383" s="581">
        <v>1</v>
      </c>
      <c r="E383" s="582" t="s">
        <v>21</v>
      </c>
      <c r="F383" s="582" t="s">
        <v>21</v>
      </c>
      <c r="G383" s="582" t="s">
        <v>21</v>
      </c>
      <c r="H383" s="626">
        <f>PRODUCT(C383:G383)</f>
        <v>24</v>
      </c>
      <c r="I383" s="581"/>
    </row>
    <row r="384" spans="1:9">
      <c r="A384" s="581"/>
      <c r="B384" s="580" t="s">
        <v>3247</v>
      </c>
      <c r="C384" s="581">
        <v>6</v>
      </c>
      <c r="D384" s="581">
        <v>1</v>
      </c>
      <c r="E384" s="582" t="s">
        <v>21</v>
      </c>
      <c r="F384" s="582" t="s">
        <v>21</v>
      </c>
      <c r="G384" s="582" t="s">
        <v>21</v>
      </c>
      <c r="H384" s="626">
        <f>PRODUCT(C384:G384)</f>
        <v>6</v>
      </c>
      <c r="I384" s="581"/>
    </row>
    <row r="385" spans="1:9">
      <c r="A385" s="581"/>
      <c r="B385" s="580" t="s">
        <v>3197</v>
      </c>
      <c r="C385" s="581"/>
      <c r="D385" s="581"/>
      <c r="E385" s="582"/>
      <c r="F385" s="582"/>
      <c r="G385" s="582"/>
      <c r="H385" s="626"/>
      <c r="I385" s="581"/>
    </row>
    <row r="386" spans="1:9">
      <c r="A386" s="581"/>
      <c r="B386" s="580" t="s">
        <v>3249</v>
      </c>
      <c r="C386" s="581">
        <v>8</v>
      </c>
      <c r="D386" s="581">
        <v>1</v>
      </c>
      <c r="E386" s="582" t="s">
        <v>21</v>
      </c>
      <c r="F386" s="582" t="s">
        <v>21</v>
      </c>
      <c r="G386" s="582" t="s">
        <v>21</v>
      </c>
      <c r="H386" s="626">
        <f>PRODUCT(C386:G386)</f>
        <v>8</v>
      </c>
      <c r="I386" s="581"/>
    </row>
    <row r="387" spans="1:9">
      <c r="A387" s="581"/>
      <c r="B387" s="580" t="s">
        <v>129</v>
      </c>
      <c r="C387" s="581">
        <v>8</v>
      </c>
      <c r="D387" s="581">
        <v>1</v>
      </c>
      <c r="E387" s="582" t="s">
        <v>21</v>
      </c>
      <c r="F387" s="582" t="s">
        <v>21</v>
      </c>
      <c r="G387" s="582" t="s">
        <v>21</v>
      </c>
      <c r="H387" s="626">
        <f>PRODUCT(C387:G387)</f>
        <v>8</v>
      </c>
      <c r="I387" s="581"/>
    </row>
    <row r="388" spans="1:9">
      <c r="A388" s="581"/>
      <c r="B388" s="580" t="s">
        <v>3185</v>
      </c>
      <c r="C388" s="581">
        <v>8</v>
      </c>
      <c r="D388" s="581">
        <v>1</v>
      </c>
      <c r="E388" s="582" t="s">
        <v>21</v>
      </c>
      <c r="F388" s="582" t="s">
        <v>21</v>
      </c>
      <c r="G388" s="582" t="s">
        <v>21</v>
      </c>
      <c r="H388" s="626">
        <f>PRODUCT(C388:G388)</f>
        <v>8</v>
      </c>
      <c r="I388" s="581"/>
    </row>
    <row r="389" spans="1:9">
      <c r="A389" s="581"/>
      <c r="B389" s="580" t="s">
        <v>3246</v>
      </c>
      <c r="C389" s="581">
        <v>8</v>
      </c>
      <c r="D389" s="581">
        <v>1</v>
      </c>
      <c r="E389" s="582" t="s">
        <v>21</v>
      </c>
      <c r="F389" s="582" t="s">
        <v>21</v>
      </c>
      <c r="G389" s="582" t="s">
        <v>21</v>
      </c>
      <c r="H389" s="626">
        <f>PRODUCT(C389:G389)</f>
        <v>8</v>
      </c>
      <c r="I389" s="581"/>
    </row>
    <row r="390" spans="1:9">
      <c r="A390" s="581"/>
      <c r="B390" s="580" t="s">
        <v>3181</v>
      </c>
      <c r="C390" s="581"/>
      <c r="D390" s="581"/>
      <c r="E390" s="582"/>
      <c r="F390" s="582"/>
      <c r="G390" s="582"/>
      <c r="H390" s="626"/>
      <c r="I390" s="581"/>
    </row>
    <row r="391" spans="1:9">
      <c r="A391" s="581"/>
      <c r="B391" s="580" t="s">
        <v>3249</v>
      </c>
      <c r="C391" s="581">
        <v>4</v>
      </c>
      <c r="D391" s="581">
        <v>1</v>
      </c>
      <c r="E391" s="582" t="s">
        <v>21</v>
      </c>
      <c r="F391" s="582" t="s">
        <v>21</v>
      </c>
      <c r="G391" s="582" t="s">
        <v>21</v>
      </c>
      <c r="H391" s="626">
        <f>PRODUCT(C391:G391)</f>
        <v>4</v>
      </c>
      <c r="I391" s="581"/>
    </row>
    <row r="392" spans="1:9">
      <c r="A392" s="581"/>
      <c r="B392" s="580" t="s">
        <v>129</v>
      </c>
      <c r="C392" s="581">
        <v>4</v>
      </c>
      <c r="D392" s="581">
        <v>1</v>
      </c>
      <c r="E392" s="582" t="s">
        <v>21</v>
      </c>
      <c r="F392" s="582" t="s">
        <v>21</v>
      </c>
      <c r="G392" s="582" t="s">
        <v>21</v>
      </c>
      <c r="H392" s="626">
        <f>PRODUCT(C392:G392)</f>
        <v>4</v>
      </c>
      <c r="I392" s="581"/>
    </row>
    <row r="393" spans="1:9">
      <c r="A393" s="581"/>
      <c r="B393" s="580" t="s">
        <v>3185</v>
      </c>
      <c r="C393" s="581">
        <v>4</v>
      </c>
      <c r="D393" s="581">
        <v>1</v>
      </c>
      <c r="E393" s="582" t="s">
        <v>21</v>
      </c>
      <c r="F393" s="582" t="s">
        <v>21</v>
      </c>
      <c r="G393" s="582" t="s">
        <v>21</v>
      </c>
      <c r="H393" s="626">
        <f>PRODUCT(C393:G393)</f>
        <v>4</v>
      </c>
      <c r="I393" s="581"/>
    </row>
    <row r="394" spans="1:9">
      <c r="A394" s="581"/>
      <c r="B394" s="580" t="s">
        <v>3246</v>
      </c>
      <c r="C394" s="581">
        <v>4</v>
      </c>
      <c r="D394" s="581">
        <v>1</v>
      </c>
      <c r="E394" s="582" t="s">
        <v>21</v>
      </c>
      <c r="F394" s="582" t="s">
        <v>21</v>
      </c>
      <c r="G394" s="582" t="s">
        <v>21</v>
      </c>
      <c r="H394" s="626">
        <f>PRODUCT(C394:G394)</f>
        <v>4</v>
      </c>
      <c r="I394" s="581"/>
    </row>
    <row r="395" spans="1:9">
      <c r="A395" s="581"/>
      <c r="B395" s="580" t="s">
        <v>3250</v>
      </c>
      <c r="C395" s="581">
        <v>4</v>
      </c>
      <c r="D395" s="581">
        <v>1</v>
      </c>
      <c r="E395" s="582" t="s">
        <v>21</v>
      </c>
      <c r="F395" s="582" t="s">
        <v>21</v>
      </c>
      <c r="G395" s="582" t="s">
        <v>21</v>
      </c>
      <c r="H395" s="626">
        <f>PRODUCT(C395:G395)</f>
        <v>4</v>
      </c>
      <c r="I395" s="581"/>
    </row>
    <row r="396" spans="1:9">
      <c r="A396" s="581"/>
      <c r="B396" s="580"/>
      <c r="C396" s="581"/>
      <c r="D396" s="581"/>
      <c r="E396" s="582"/>
      <c r="F396" s="582"/>
      <c r="G396" s="582"/>
      <c r="H396" s="629">
        <f>SUM(H380:H395)</f>
        <v>154</v>
      </c>
      <c r="I396" s="581" t="s">
        <v>340</v>
      </c>
    </row>
    <row r="397" spans="1:9">
      <c r="A397" s="581"/>
      <c r="B397" s="580"/>
      <c r="C397" s="581"/>
      <c r="D397" s="581"/>
      <c r="E397" s="582"/>
      <c r="F397" s="582"/>
      <c r="G397" s="582"/>
      <c r="H397" s="626"/>
      <c r="I397" s="581"/>
    </row>
    <row r="398" spans="1:9" ht="66">
      <c r="A398" s="581">
        <v>37</v>
      </c>
      <c r="B398" s="576" t="s">
        <v>3261</v>
      </c>
      <c r="C398" s="581"/>
      <c r="D398" s="581"/>
      <c r="E398" s="582"/>
      <c r="F398" s="582"/>
      <c r="G398" s="582"/>
      <c r="H398" s="626"/>
      <c r="I398" s="581"/>
    </row>
    <row r="399" spans="1:9">
      <c r="A399" s="581"/>
      <c r="B399" s="580" t="s">
        <v>3262</v>
      </c>
      <c r="C399" s="581">
        <v>6</v>
      </c>
      <c r="D399" s="581">
        <v>2</v>
      </c>
      <c r="E399" s="582" t="s">
        <v>21</v>
      </c>
      <c r="F399" s="582" t="s">
        <v>21</v>
      </c>
      <c r="G399" s="582" t="s">
        <v>21</v>
      </c>
      <c r="H399" s="626">
        <f>PRODUCT(C399:G399)</f>
        <v>12</v>
      </c>
      <c r="I399" s="581"/>
    </row>
    <row r="400" spans="1:9">
      <c r="A400" s="581"/>
      <c r="B400" s="580" t="s">
        <v>3263</v>
      </c>
      <c r="C400" s="581">
        <v>5</v>
      </c>
      <c r="D400" s="581">
        <v>4</v>
      </c>
      <c r="E400" s="582" t="s">
        <v>21</v>
      </c>
      <c r="F400" s="582" t="s">
        <v>21</v>
      </c>
      <c r="G400" s="582" t="s">
        <v>21</v>
      </c>
      <c r="H400" s="626">
        <f>PRODUCT(C400:G400)</f>
        <v>20</v>
      </c>
      <c r="I400" s="581"/>
    </row>
    <row r="401" spans="1:9">
      <c r="A401" s="581"/>
      <c r="B401" s="580" t="s">
        <v>3473</v>
      </c>
      <c r="C401" s="581">
        <v>4</v>
      </c>
      <c r="D401" s="581">
        <v>2</v>
      </c>
      <c r="E401" s="582" t="s">
        <v>21</v>
      </c>
      <c r="F401" s="582" t="s">
        <v>21</v>
      </c>
      <c r="G401" s="582" t="s">
        <v>21</v>
      </c>
      <c r="H401" s="626">
        <f>PRODUCT(C401:G401)</f>
        <v>8</v>
      </c>
      <c r="I401" s="581"/>
    </row>
    <row r="402" spans="1:9">
      <c r="A402" s="581"/>
      <c r="B402" s="580"/>
      <c r="C402" s="581"/>
      <c r="D402" s="581"/>
      <c r="E402" s="582"/>
      <c r="F402" s="582"/>
      <c r="G402" s="582"/>
      <c r="H402" s="629">
        <f>SUM(H399:H401)</f>
        <v>40</v>
      </c>
      <c r="I402" s="581" t="s">
        <v>340</v>
      </c>
    </row>
    <row r="403" spans="1:9">
      <c r="A403" s="581"/>
      <c r="B403" s="580"/>
      <c r="C403" s="581"/>
      <c r="D403" s="581"/>
      <c r="E403" s="582"/>
      <c r="F403" s="582"/>
      <c r="G403" s="582"/>
      <c r="H403" s="626"/>
      <c r="I403" s="581"/>
    </row>
    <row r="404" spans="1:9" ht="66">
      <c r="A404" s="581">
        <v>38</v>
      </c>
      <c r="B404" s="658" t="s">
        <v>3264</v>
      </c>
      <c r="C404" s="581"/>
      <c r="D404" s="581"/>
      <c r="E404" s="582"/>
      <c r="F404" s="582"/>
      <c r="G404" s="582"/>
      <c r="H404" s="626"/>
      <c r="I404" s="581"/>
    </row>
    <row r="405" spans="1:9">
      <c r="A405" s="581"/>
      <c r="B405" s="580" t="s">
        <v>3238</v>
      </c>
      <c r="C405" s="581">
        <v>12</v>
      </c>
      <c r="D405" s="581">
        <v>2</v>
      </c>
      <c r="E405" s="582">
        <v>35</v>
      </c>
      <c r="F405" s="582" t="s">
        <v>21</v>
      </c>
      <c r="G405" s="582" t="s">
        <v>21</v>
      </c>
      <c r="H405" s="626">
        <f>PRODUCT(C405:G405)</f>
        <v>840</v>
      </c>
      <c r="I405" s="581"/>
    </row>
    <row r="406" spans="1:9">
      <c r="A406" s="581"/>
      <c r="B406" s="580" t="s">
        <v>3189</v>
      </c>
      <c r="C406" s="581">
        <v>4</v>
      </c>
      <c r="D406" s="581">
        <v>2</v>
      </c>
      <c r="E406" s="582">
        <v>25</v>
      </c>
      <c r="F406" s="582" t="s">
        <v>21</v>
      </c>
      <c r="G406" s="582" t="s">
        <v>21</v>
      </c>
      <c r="H406" s="626">
        <f>PRODUCT(C406:G406)</f>
        <v>200</v>
      </c>
      <c r="I406" s="581"/>
    </row>
    <row r="407" spans="1:9">
      <c r="A407" s="581"/>
      <c r="B407" s="580" t="s">
        <v>3206</v>
      </c>
      <c r="C407" s="581">
        <v>2</v>
      </c>
      <c r="D407" s="581">
        <v>2</v>
      </c>
      <c r="E407" s="582">
        <v>25</v>
      </c>
      <c r="F407" s="582" t="s">
        <v>21</v>
      </c>
      <c r="G407" s="582" t="s">
        <v>21</v>
      </c>
      <c r="H407" s="626">
        <f>PRODUCT(C407:G407)</f>
        <v>100</v>
      </c>
      <c r="I407" s="581"/>
    </row>
    <row r="408" spans="1:9">
      <c r="A408" s="581"/>
      <c r="B408" s="580"/>
      <c r="C408" s="581"/>
      <c r="D408" s="581"/>
      <c r="E408" s="582"/>
      <c r="F408" s="582"/>
      <c r="G408" s="582"/>
      <c r="H408" s="629">
        <f>SUM(H405:H407)</f>
        <v>1140</v>
      </c>
      <c r="I408" s="581" t="s">
        <v>303</v>
      </c>
    </row>
    <row r="409" spans="1:9">
      <c r="A409" s="581"/>
      <c r="B409" s="580"/>
      <c r="C409" s="581"/>
      <c r="D409" s="581"/>
      <c r="E409" s="582"/>
      <c r="F409" s="582"/>
      <c r="G409" s="582"/>
      <c r="H409" s="626"/>
      <c r="I409" s="581"/>
    </row>
    <row r="410" spans="1:9" ht="70.900000000000006" customHeight="1">
      <c r="A410" s="581">
        <v>39</v>
      </c>
      <c r="B410" s="627" t="s">
        <v>3265</v>
      </c>
      <c r="C410" s="581"/>
      <c r="D410" s="581"/>
      <c r="E410" s="582"/>
      <c r="F410" s="582"/>
      <c r="G410" s="582"/>
      <c r="H410" s="626"/>
      <c r="I410" s="581"/>
    </row>
    <row r="411" spans="1:9">
      <c r="A411" s="581"/>
      <c r="B411" s="580" t="s">
        <v>3196</v>
      </c>
      <c r="C411" s="581">
        <v>6</v>
      </c>
      <c r="D411" s="581">
        <v>4</v>
      </c>
      <c r="E411" s="582">
        <v>30</v>
      </c>
      <c r="F411" s="582" t="s">
        <v>21</v>
      </c>
      <c r="G411" s="582" t="s">
        <v>21</v>
      </c>
      <c r="H411" s="626">
        <f>PRODUCT(C411:G411)</f>
        <v>720</v>
      </c>
      <c r="I411" s="581"/>
    </row>
    <row r="412" spans="1:9">
      <c r="A412" s="581"/>
      <c r="B412" s="580" t="s">
        <v>3197</v>
      </c>
      <c r="C412" s="581">
        <v>8</v>
      </c>
      <c r="D412" s="581">
        <v>1</v>
      </c>
      <c r="E412" s="582">
        <v>25</v>
      </c>
      <c r="F412" s="582" t="s">
        <v>21</v>
      </c>
      <c r="G412" s="582" t="s">
        <v>21</v>
      </c>
      <c r="H412" s="626">
        <f>PRODUCT(C412:G412)</f>
        <v>200</v>
      </c>
      <c r="I412" s="581"/>
    </row>
    <row r="413" spans="1:9">
      <c r="A413" s="581"/>
      <c r="B413" s="580" t="s">
        <v>3181</v>
      </c>
      <c r="C413" s="581">
        <v>4</v>
      </c>
      <c r="D413" s="581">
        <v>1</v>
      </c>
      <c r="E413" s="582">
        <v>30</v>
      </c>
      <c r="F413" s="582" t="s">
        <v>21</v>
      </c>
      <c r="G413" s="582" t="s">
        <v>21</v>
      </c>
      <c r="H413" s="626">
        <f>PRODUCT(C413:G413)</f>
        <v>120</v>
      </c>
      <c r="I413" s="581"/>
    </row>
    <row r="414" spans="1:9">
      <c r="A414" s="581"/>
      <c r="B414" s="580"/>
      <c r="C414" s="581"/>
      <c r="D414" s="581"/>
      <c r="E414" s="582"/>
      <c r="F414" s="582"/>
      <c r="G414" s="582"/>
      <c r="H414" s="629">
        <f>SUM(H411:H413)</f>
        <v>1040</v>
      </c>
      <c r="I414" s="581" t="s">
        <v>303</v>
      </c>
    </row>
    <row r="415" spans="1:9" ht="49.5">
      <c r="A415" s="581">
        <v>40</v>
      </c>
      <c r="B415" s="659" t="s">
        <v>3266</v>
      </c>
      <c r="C415" s="581"/>
      <c r="D415" s="581"/>
      <c r="E415" s="582"/>
      <c r="F415" s="582"/>
      <c r="G415" s="582"/>
      <c r="H415" s="626"/>
      <c r="I415" s="581"/>
    </row>
    <row r="416" spans="1:9">
      <c r="A416" s="581"/>
      <c r="B416" s="627" t="s">
        <v>3196</v>
      </c>
      <c r="C416" s="581"/>
      <c r="D416" s="581"/>
      <c r="E416" s="582"/>
      <c r="F416" s="582"/>
      <c r="G416" s="582"/>
      <c r="H416" s="626"/>
      <c r="I416" s="581"/>
    </row>
    <row r="417" spans="1:9">
      <c r="A417" s="581"/>
      <c r="B417" s="580" t="s">
        <v>74</v>
      </c>
      <c r="C417" s="581">
        <v>24</v>
      </c>
      <c r="D417" s="581">
        <v>1</v>
      </c>
      <c r="E417" s="582">
        <v>2.1</v>
      </c>
      <c r="F417" s="582">
        <v>1.9</v>
      </c>
      <c r="G417" s="582" t="s">
        <v>21</v>
      </c>
      <c r="H417" s="626">
        <f t="shared" ref="H417:H424" si="13">PRODUCT(C417:G417)</f>
        <v>95.76</v>
      </c>
      <c r="I417" s="581"/>
    </row>
    <row r="418" spans="1:9">
      <c r="A418" s="581"/>
      <c r="B418" s="580" t="s">
        <v>3267</v>
      </c>
      <c r="C418" s="581">
        <v>24</v>
      </c>
      <c r="D418" s="581">
        <v>1</v>
      </c>
      <c r="E418" s="582">
        <v>2.4</v>
      </c>
      <c r="F418" s="582">
        <v>1.46</v>
      </c>
      <c r="G418" s="582" t="s">
        <v>21</v>
      </c>
      <c r="H418" s="626">
        <f t="shared" si="13"/>
        <v>84.095999999999989</v>
      </c>
      <c r="I418" s="581"/>
    </row>
    <row r="419" spans="1:9">
      <c r="A419" s="581"/>
      <c r="B419" s="580" t="s">
        <v>3185</v>
      </c>
      <c r="C419" s="581">
        <v>24</v>
      </c>
      <c r="D419" s="581">
        <v>1</v>
      </c>
      <c r="E419" s="582">
        <v>3.74</v>
      </c>
      <c r="F419" s="582">
        <v>3.1</v>
      </c>
      <c r="G419" s="582" t="s">
        <v>21</v>
      </c>
      <c r="H419" s="626">
        <f t="shared" si="13"/>
        <v>278.25600000000003</v>
      </c>
      <c r="I419" s="581"/>
    </row>
    <row r="420" spans="1:9">
      <c r="A420" s="581"/>
      <c r="B420" s="580" t="s">
        <v>3246</v>
      </c>
      <c r="C420" s="581">
        <v>24</v>
      </c>
      <c r="D420" s="581">
        <v>1</v>
      </c>
      <c r="E420" s="582">
        <v>4</v>
      </c>
      <c r="F420" s="582">
        <v>1.7</v>
      </c>
      <c r="G420" s="582" t="s">
        <v>21</v>
      </c>
      <c r="H420" s="626">
        <f t="shared" si="13"/>
        <v>163.19999999999999</v>
      </c>
      <c r="I420" s="581"/>
    </row>
    <row r="421" spans="1:9">
      <c r="A421" s="581"/>
      <c r="B421" s="580" t="s">
        <v>1</v>
      </c>
      <c r="C421" s="581">
        <v>24</v>
      </c>
      <c r="D421" s="581">
        <v>1</v>
      </c>
      <c r="E421" s="582">
        <v>1.2</v>
      </c>
      <c r="F421" s="582">
        <v>0.9</v>
      </c>
      <c r="G421" s="582" t="s">
        <v>21</v>
      </c>
      <c r="H421" s="626">
        <f t="shared" si="13"/>
        <v>25.919999999999998</v>
      </c>
      <c r="I421" s="581"/>
    </row>
    <row r="422" spans="1:9">
      <c r="A422" s="581"/>
      <c r="B422" s="580" t="s">
        <v>3268</v>
      </c>
      <c r="C422" s="581">
        <v>24</v>
      </c>
      <c r="D422" s="581">
        <v>1</v>
      </c>
      <c r="E422" s="582">
        <v>1.2</v>
      </c>
      <c r="F422" s="582">
        <v>1.2</v>
      </c>
      <c r="G422" s="582" t="s">
        <v>21</v>
      </c>
      <c r="H422" s="626">
        <f t="shared" si="13"/>
        <v>34.559999999999995</v>
      </c>
      <c r="I422" s="581"/>
    </row>
    <row r="423" spans="1:9">
      <c r="A423" s="581"/>
      <c r="B423" s="580" t="s">
        <v>79</v>
      </c>
      <c r="C423" s="581">
        <v>24</v>
      </c>
      <c r="D423" s="581">
        <v>1</v>
      </c>
      <c r="E423" s="582">
        <v>2.2999999999999998</v>
      </c>
      <c r="F423" s="582">
        <v>0.95</v>
      </c>
      <c r="G423" s="582" t="s">
        <v>21</v>
      </c>
      <c r="H423" s="626">
        <f t="shared" si="13"/>
        <v>52.439999999999991</v>
      </c>
      <c r="I423" s="581"/>
    </row>
    <row r="424" spans="1:9">
      <c r="A424" s="581"/>
      <c r="B424" s="580" t="s">
        <v>3269</v>
      </c>
      <c r="C424" s="581">
        <v>6</v>
      </c>
      <c r="D424" s="581">
        <v>1</v>
      </c>
      <c r="E424" s="582">
        <v>4.4800000000000004</v>
      </c>
      <c r="F424" s="582">
        <v>0.8</v>
      </c>
      <c r="G424" s="582" t="s">
        <v>21</v>
      </c>
      <c r="H424" s="626">
        <f t="shared" si="13"/>
        <v>21.504000000000005</v>
      </c>
      <c r="I424" s="581"/>
    </row>
    <row r="425" spans="1:9">
      <c r="A425" s="581"/>
      <c r="B425" s="627" t="s">
        <v>3197</v>
      </c>
      <c r="C425" s="581"/>
      <c r="D425" s="581"/>
      <c r="E425" s="582"/>
      <c r="F425" s="582"/>
      <c r="G425" s="582"/>
      <c r="H425" s="626"/>
      <c r="I425" s="581"/>
    </row>
    <row r="426" spans="1:9">
      <c r="A426" s="581"/>
      <c r="B426" s="580" t="s">
        <v>129</v>
      </c>
      <c r="C426" s="581">
        <v>8</v>
      </c>
      <c r="D426" s="581">
        <v>1</v>
      </c>
      <c r="E426" s="582">
        <v>3.6</v>
      </c>
      <c r="F426" s="582">
        <v>2.6</v>
      </c>
      <c r="G426" s="582" t="s">
        <v>21</v>
      </c>
      <c r="H426" s="626">
        <f t="shared" ref="H426:H441" si="14">PRODUCT(C426:G426)</f>
        <v>74.88000000000001</v>
      </c>
      <c r="I426" s="581"/>
    </row>
    <row r="427" spans="1:9">
      <c r="A427" s="581"/>
      <c r="B427" s="580" t="s">
        <v>3185</v>
      </c>
      <c r="C427" s="581">
        <v>8</v>
      </c>
      <c r="D427" s="581">
        <v>1</v>
      </c>
      <c r="E427" s="582">
        <v>3.72</v>
      </c>
      <c r="F427" s="582">
        <v>2.68</v>
      </c>
      <c r="G427" s="582" t="s">
        <v>21</v>
      </c>
      <c r="H427" s="626">
        <f t="shared" si="14"/>
        <v>79.756800000000013</v>
      </c>
      <c r="I427" s="581"/>
    </row>
    <row r="428" spans="1:9">
      <c r="A428" s="581"/>
      <c r="B428" s="580" t="s">
        <v>3246</v>
      </c>
      <c r="C428" s="581">
        <v>8</v>
      </c>
      <c r="D428" s="581">
        <v>1</v>
      </c>
      <c r="E428" s="582">
        <v>3.8</v>
      </c>
      <c r="F428" s="582">
        <v>1.85</v>
      </c>
      <c r="G428" s="582" t="s">
        <v>21</v>
      </c>
      <c r="H428" s="626">
        <f t="shared" si="14"/>
        <v>56.24</v>
      </c>
      <c r="I428" s="581"/>
    </row>
    <row r="429" spans="1:9">
      <c r="A429" s="581"/>
      <c r="B429" s="580" t="s">
        <v>1</v>
      </c>
      <c r="C429" s="581">
        <v>8</v>
      </c>
      <c r="D429" s="581">
        <v>1</v>
      </c>
      <c r="E429" s="582">
        <v>1.2</v>
      </c>
      <c r="F429" s="582">
        <v>0.9</v>
      </c>
      <c r="G429" s="582" t="s">
        <v>21</v>
      </c>
      <c r="H429" s="626">
        <f t="shared" si="14"/>
        <v>8.64</v>
      </c>
      <c r="I429" s="581"/>
    </row>
    <row r="430" spans="1:9">
      <c r="A430" s="581"/>
      <c r="B430" s="580" t="s">
        <v>3268</v>
      </c>
      <c r="C430" s="581">
        <v>8</v>
      </c>
      <c r="D430" s="581">
        <v>1</v>
      </c>
      <c r="E430" s="582">
        <v>1.2</v>
      </c>
      <c r="F430" s="582">
        <v>1.2</v>
      </c>
      <c r="G430" s="582" t="s">
        <v>21</v>
      </c>
      <c r="H430" s="626">
        <f t="shared" si="14"/>
        <v>11.52</v>
      </c>
      <c r="I430" s="581"/>
    </row>
    <row r="431" spans="1:9">
      <c r="A431" s="581"/>
      <c r="B431" s="580" t="s">
        <v>79</v>
      </c>
      <c r="C431" s="581">
        <v>8</v>
      </c>
      <c r="D431" s="581">
        <v>1</v>
      </c>
      <c r="E431" s="582">
        <v>2.2000000000000002</v>
      </c>
      <c r="F431" s="582">
        <v>0.85</v>
      </c>
      <c r="G431" s="582" t="s">
        <v>21</v>
      </c>
      <c r="H431" s="626">
        <f t="shared" si="14"/>
        <v>14.96</v>
      </c>
      <c r="I431" s="581"/>
    </row>
    <row r="432" spans="1:9">
      <c r="A432" s="581"/>
      <c r="B432" s="627" t="s">
        <v>3181</v>
      </c>
      <c r="C432" s="581"/>
      <c r="D432" s="581"/>
      <c r="E432" s="582"/>
      <c r="F432" s="582"/>
      <c r="G432" s="582"/>
      <c r="H432" s="626"/>
      <c r="I432" s="581"/>
    </row>
    <row r="433" spans="1:9">
      <c r="A433" s="581"/>
      <c r="B433" s="580" t="s">
        <v>74</v>
      </c>
      <c r="C433" s="581">
        <v>4</v>
      </c>
      <c r="D433" s="581">
        <v>1</v>
      </c>
      <c r="E433" s="582">
        <v>2.4</v>
      </c>
      <c r="F433" s="582">
        <v>1.8</v>
      </c>
      <c r="G433" s="582" t="s">
        <v>21</v>
      </c>
      <c r="H433" s="626">
        <f t="shared" si="14"/>
        <v>17.28</v>
      </c>
      <c r="I433" s="581"/>
    </row>
    <row r="434" spans="1:9">
      <c r="A434" s="581"/>
      <c r="B434" s="580" t="s">
        <v>129</v>
      </c>
      <c r="C434" s="581">
        <v>4</v>
      </c>
      <c r="D434" s="581">
        <v>1</v>
      </c>
      <c r="E434" s="582">
        <v>4.8499999999999996</v>
      </c>
      <c r="F434" s="582">
        <v>3.5</v>
      </c>
      <c r="G434" s="582" t="s">
        <v>21</v>
      </c>
      <c r="H434" s="626">
        <f t="shared" si="14"/>
        <v>67.899999999999991</v>
      </c>
      <c r="I434" s="581"/>
    </row>
    <row r="435" spans="1:9">
      <c r="A435" s="581"/>
      <c r="B435" s="580" t="s">
        <v>3246</v>
      </c>
      <c r="C435" s="581">
        <v>4</v>
      </c>
      <c r="D435" s="581">
        <v>1</v>
      </c>
      <c r="E435" s="582">
        <v>3.5</v>
      </c>
      <c r="F435" s="582">
        <v>2.1</v>
      </c>
      <c r="G435" s="582" t="s">
        <v>21</v>
      </c>
      <c r="H435" s="626">
        <f t="shared" si="14"/>
        <v>29.400000000000002</v>
      </c>
      <c r="I435" s="581"/>
    </row>
    <row r="436" spans="1:9">
      <c r="A436" s="581"/>
      <c r="B436" s="580" t="s">
        <v>3269</v>
      </c>
      <c r="C436" s="581">
        <v>2</v>
      </c>
      <c r="D436" s="581">
        <v>1</v>
      </c>
      <c r="E436" s="582">
        <v>2.1</v>
      </c>
      <c r="F436" s="582">
        <v>1.8</v>
      </c>
      <c r="G436" s="582" t="s">
        <v>21</v>
      </c>
      <c r="H436" s="626">
        <f t="shared" si="14"/>
        <v>7.5600000000000005</v>
      </c>
      <c r="I436" s="581"/>
    </row>
    <row r="437" spans="1:9">
      <c r="A437" s="581"/>
      <c r="B437" s="580" t="s">
        <v>3270</v>
      </c>
      <c r="C437" s="581">
        <v>4</v>
      </c>
      <c r="D437" s="581">
        <v>1</v>
      </c>
      <c r="E437" s="582">
        <v>4.25</v>
      </c>
      <c r="F437" s="582">
        <v>3.65</v>
      </c>
      <c r="G437" s="582" t="s">
        <v>21</v>
      </c>
      <c r="H437" s="626">
        <f t="shared" si="14"/>
        <v>62.05</v>
      </c>
      <c r="I437" s="581"/>
    </row>
    <row r="438" spans="1:9">
      <c r="A438" s="581"/>
      <c r="B438" s="580" t="s">
        <v>3185</v>
      </c>
      <c r="C438" s="581">
        <v>4</v>
      </c>
      <c r="D438" s="581">
        <v>1</v>
      </c>
      <c r="E438" s="582">
        <v>2.2999999999999998</v>
      </c>
      <c r="F438" s="582">
        <v>2.7</v>
      </c>
      <c r="G438" s="582" t="s">
        <v>21</v>
      </c>
      <c r="H438" s="626">
        <f t="shared" si="14"/>
        <v>24.84</v>
      </c>
      <c r="I438" s="581"/>
    </row>
    <row r="439" spans="1:9">
      <c r="A439" s="581"/>
      <c r="B439" s="580" t="s">
        <v>79</v>
      </c>
      <c r="C439" s="581">
        <v>4</v>
      </c>
      <c r="D439" s="581">
        <v>1</v>
      </c>
      <c r="E439" s="582">
        <v>2.35</v>
      </c>
      <c r="F439" s="582">
        <v>1</v>
      </c>
      <c r="G439" s="582" t="s">
        <v>21</v>
      </c>
      <c r="H439" s="626">
        <f t="shared" si="14"/>
        <v>9.4</v>
      </c>
      <c r="I439" s="581"/>
    </row>
    <row r="440" spans="1:9">
      <c r="A440" s="581"/>
      <c r="B440" s="580" t="s">
        <v>3268</v>
      </c>
      <c r="C440" s="581">
        <v>4</v>
      </c>
      <c r="D440" s="581">
        <v>1</v>
      </c>
      <c r="E440" s="582">
        <v>1.3</v>
      </c>
      <c r="F440" s="582">
        <v>1.2</v>
      </c>
      <c r="G440" s="582" t="s">
        <v>21</v>
      </c>
      <c r="H440" s="626">
        <f t="shared" si="14"/>
        <v>6.24</v>
      </c>
      <c r="I440" s="581"/>
    </row>
    <row r="441" spans="1:9">
      <c r="A441" s="581"/>
      <c r="B441" s="580" t="s">
        <v>1</v>
      </c>
      <c r="C441" s="581">
        <v>4</v>
      </c>
      <c r="D441" s="581">
        <v>1</v>
      </c>
      <c r="E441" s="582">
        <v>1.2</v>
      </c>
      <c r="F441" s="582">
        <v>1</v>
      </c>
      <c r="G441" s="582" t="s">
        <v>21</v>
      </c>
      <c r="H441" s="626">
        <f t="shared" si="14"/>
        <v>4.8</v>
      </c>
      <c r="I441" s="581"/>
    </row>
    <row r="442" spans="1:9">
      <c r="A442" s="581"/>
      <c r="B442" s="580"/>
      <c r="C442" s="581"/>
      <c r="D442" s="581"/>
      <c r="E442" s="582"/>
      <c r="F442" s="582"/>
      <c r="G442" s="582"/>
      <c r="H442" s="626">
        <f>SUM(H417:H441)</f>
        <v>1231.2027999999998</v>
      </c>
      <c r="I442" s="581"/>
    </row>
    <row r="443" spans="1:9">
      <c r="A443" s="581"/>
      <c r="B443" s="580"/>
      <c r="C443" s="581"/>
      <c r="D443" s="581"/>
      <c r="E443" s="582"/>
      <c r="F443" s="582"/>
      <c r="G443" s="582" t="s">
        <v>9</v>
      </c>
      <c r="H443" s="629">
        <v>1217</v>
      </c>
      <c r="I443" s="581" t="s">
        <v>306</v>
      </c>
    </row>
    <row r="444" spans="1:9" ht="82.5">
      <c r="A444" s="581">
        <v>41</v>
      </c>
      <c r="B444" s="595" t="s">
        <v>3271</v>
      </c>
      <c r="C444" s="581"/>
      <c r="D444" s="581"/>
      <c r="E444" s="582"/>
      <c r="F444" s="582"/>
      <c r="G444" s="582"/>
      <c r="H444" s="626"/>
      <c r="I444" s="581"/>
    </row>
    <row r="445" spans="1:9">
      <c r="A445" s="581"/>
      <c r="B445" s="627" t="s">
        <v>3196</v>
      </c>
      <c r="C445" s="581"/>
      <c r="D445" s="581"/>
      <c r="E445" s="582"/>
      <c r="F445" s="582"/>
      <c r="G445" s="582"/>
      <c r="H445" s="626"/>
      <c r="I445" s="581"/>
    </row>
    <row r="446" spans="1:9">
      <c r="A446" s="581"/>
      <c r="B446" s="627" t="s">
        <v>3244</v>
      </c>
      <c r="C446" s="581"/>
      <c r="D446" s="581"/>
      <c r="E446" s="582"/>
      <c r="F446" s="582"/>
      <c r="G446" s="582"/>
      <c r="H446" s="626"/>
      <c r="I446" s="581"/>
    </row>
    <row r="447" spans="1:9">
      <c r="A447" s="581"/>
      <c r="B447" s="580" t="s">
        <v>3272</v>
      </c>
      <c r="C447" s="581">
        <v>12</v>
      </c>
      <c r="D447" s="581">
        <v>1</v>
      </c>
      <c r="E447" s="582">
        <v>3.99</v>
      </c>
      <c r="F447" s="582" t="s">
        <v>21</v>
      </c>
      <c r="G447" s="582">
        <v>2.75</v>
      </c>
      <c r="H447" s="626">
        <f>PRODUCT(C447:G447)</f>
        <v>131.67000000000002</v>
      </c>
      <c r="I447" s="581"/>
    </row>
    <row r="448" spans="1:9">
      <c r="A448" s="581"/>
      <c r="B448" s="580" t="s">
        <v>129</v>
      </c>
      <c r="C448" s="581">
        <v>12</v>
      </c>
      <c r="D448" s="581">
        <v>1</v>
      </c>
      <c r="E448" s="582">
        <v>3.07</v>
      </c>
      <c r="F448" s="582" t="s">
        <v>21</v>
      </c>
      <c r="G448" s="582">
        <v>2.75</v>
      </c>
      <c r="H448" s="626">
        <f>PRODUCT(C448:G448)</f>
        <v>101.30999999999999</v>
      </c>
      <c r="I448" s="581"/>
    </row>
    <row r="449" spans="1:9">
      <c r="A449" s="581"/>
      <c r="B449" s="580" t="s">
        <v>3185</v>
      </c>
      <c r="C449" s="581">
        <v>12</v>
      </c>
      <c r="D449" s="581">
        <v>1</v>
      </c>
      <c r="E449" s="582">
        <v>11.6</v>
      </c>
      <c r="F449" s="582" t="s">
        <v>21</v>
      </c>
      <c r="G449" s="582">
        <v>2.75</v>
      </c>
      <c r="H449" s="626">
        <f>PRODUCT(C449:G449)</f>
        <v>382.79999999999995</v>
      </c>
      <c r="I449" s="581"/>
    </row>
    <row r="450" spans="1:9">
      <c r="A450" s="581"/>
      <c r="B450" s="580" t="s">
        <v>0</v>
      </c>
      <c r="C450" s="581">
        <v>12</v>
      </c>
      <c r="D450" s="581">
        <v>1</v>
      </c>
      <c r="E450" s="582">
        <v>6.8</v>
      </c>
      <c r="F450" s="582" t="s">
        <v>21</v>
      </c>
      <c r="G450" s="582">
        <v>2.75</v>
      </c>
      <c r="H450" s="626">
        <f>PRODUCT(C450:G450)</f>
        <v>224.39999999999998</v>
      </c>
      <c r="I450" s="581"/>
    </row>
    <row r="451" spans="1:9">
      <c r="A451" s="581"/>
      <c r="B451" s="580" t="s">
        <v>79</v>
      </c>
      <c r="C451" s="581">
        <v>12</v>
      </c>
      <c r="D451" s="581">
        <v>1</v>
      </c>
      <c r="E451" s="582">
        <v>2.2000000000000002</v>
      </c>
      <c r="F451" s="582" t="s">
        <v>21</v>
      </c>
      <c r="G451" s="582">
        <v>2.75</v>
      </c>
      <c r="H451" s="626">
        <f>PRODUCT(C451:G451)</f>
        <v>72.600000000000009</v>
      </c>
      <c r="I451" s="581"/>
    </row>
    <row r="452" spans="1:9">
      <c r="A452" s="581"/>
      <c r="B452" s="580" t="s">
        <v>3273</v>
      </c>
      <c r="C452" s="581">
        <v>-12</v>
      </c>
      <c r="D452" s="581">
        <v>6</v>
      </c>
      <c r="E452" s="582">
        <v>0.9</v>
      </c>
      <c r="F452" s="582">
        <v>2.25</v>
      </c>
      <c r="G452" s="582" t="s">
        <v>21</v>
      </c>
      <c r="H452" s="626">
        <f t="shared" ref="H452:H457" si="15">PRODUCT(C452:F452)</f>
        <v>-145.79999999999998</v>
      </c>
      <c r="I452" s="581"/>
    </row>
    <row r="453" spans="1:9">
      <c r="A453" s="581"/>
      <c r="B453" s="580" t="s">
        <v>3274</v>
      </c>
      <c r="C453" s="581">
        <v>-12</v>
      </c>
      <c r="D453" s="581">
        <v>2</v>
      </c>
      <c r="E453" s="582">
        <v>0.75</v>
      </c>
      <c r="F453" s="582">
        <v>2</v>
      </c>
      <c r="G453" s="582" t="s">
        <v>21</v>
      </c>
      <c r="H453" s="626">
        <f t="shared" si="15"/>
        <v>-36</v>
      </c>
      <c r="I453" s="581"/>
    </row>
    <row r="454" spans="1:9">
      <c r="A454" s="581"/>
      <c r="B454" s="580" t="s">
        <v>3275</v>
      </c>
      <c r="C454" s="581">
        <v>-12</v>
      </c>
      <c r="D454" s="581">
        <v>1</v>
      </c>
      <c r="E454" s="582">
        <v>1</v>
      </c>
      <c r="F454" s="582">
        <v>2.1</v>
      </c>
      <c r="G454" s="582" t="s">
        <v>21</v>
      </c>
      <c r="H454" s="626">
        <f t="shared" si="15"/>
        <v>-25.200000000000003</v>
      </c>
      <c r="I454" s="581"/>
    </row>
    <row r="455" spans="1:9">
      <c r="A455" s="581"/>
      <c r="B455" s="580" t="s">
        <v>3276</v>
      </c>
      <c r="C455" s="581">
        <v>-12</v>
      </c>
      <c r="D455" s="581">
        <v>3</v>
      </c>
      <c r="E455" s="582">
        <v>1.05</v>
      </c>
      <c r="F455" s="582">
        <v>1.5</v>
      </c>
      <c r="G455" s="582" t="s">
        <v>21</v>
      </c>
      <c r="H455" s="626">
        <f t="shared" si="15"/>
        <v>-56.7</v>
      </c>
      <c r="I455" s="581"/>
    </row>
    <row r="456" spans="1:9">
      <c r="A456" s="581"/>
      <c r="B456" s="580" t="s">
        <v>3277</v>
      </c>
      <c r="C456" s="581">
        <v>-12</v>
      </c>
      <c r="D456" s="581">
        <v>1</v>
      </c>
      <c r="E456" s="582">
        <v>0.6</v>
      </c>
      <c r="F456" s="582">
        <v>1.35</v>
      </c>
      <c r="G456" s="581" t="s">
        <v>21</v>
      </c>
      <c r="H456" s="626">
        <f t="shared" si="15"/>
        <v>-9.7199999999999989</v>
      </c>
      <c r="I456" s="581"/>
    </row>
    <row r="457" spans="1:9">
      <c r="A457" s="581"/>
      <c r="B457" s="580" t="s">
        <v>3278</v>
      </c>
      <c r="C457" s="581">
        <v>-12</v>
      </c>
      <c r="D457" s="581">
        <v>1</v>
      </c>
      <c r="E457" s="582">
        <v>0.9</v>
      </c>
      <c r="F457" s="582">
        <v>1.35</v>
      </c>
      <c r="G457" s="581" t="s">
        <v>21</v>
      </c>
      <c r="H457" s="626">
        <f t="shared" si="15"/>
        <v>-14.580000000000002</v>
      </c>
      <c r="I457" s="581"/>
    </row>
    <row r="458" spans="1:9">
      <c r="A458" s="581"/>
      <c r="B458" s="580" t="s">
        <v>3279</v>
      </c>
      <c r="C458" s="581">
        <v>6</v>
      </c>
      <c r="D458" s="581">
        <v>1</v>
      </c>
      <c r="E458" s="582">
        <v>3.6</v>
      </c>
      <c r="F458" s="582" t="s">
        <v>21</v>
      </c>
      <c r="G458" s="582">
        <v>5.55</v>
      </c>
      <c r="H458" s="626">
        <f>PRODUCT(C458:G458)</f>
        <v>119.88000000000001</v>
      </c>
      <c r="I458" s="581"/>
    </row>
    <row r="459" spans="1:9">
      <c r="A459" s="581"/>
      <c r="B459" s="627" t="s">
        <v>3280</v>
      </c>
      <c r="C459" s="581"/>
      <c r="D459" s="581"/>
      <c r="E459" s="582"/>
      <c r="F459" s="582"/>
      <c r="G459" s="582"/>
      <c r="H459" s="626"/>
      <c r="I459" s="581"/>
    </row>
    <row r="460" spans="1:9">
      <c r="A460" s="581"/>
      <c r="B460" s="580" t="s">
        <v>3272</v>
      </c>
      <c r="C460" s="581">
        <v>12</v>
      </c>
      <c r="D460" s="581">
        <v>1</v>
      </c>
      <c r="E460" s="582">
        <v>3.99</v>
      </c>
      <c r="F460" s="582" t="s">
        <v>21</v>
      </c>
      <c r="G460" s="582">
        <v>2.8</v>
      </c>
      <c r="H460" s="626">
        <f>PRODUCT(C460:G460)</f>
        <v>134.06399999999999</v>
      </c>
      <c r="I460" s="581"/>
    </row>
    <row r="461" spans="1:9">
      <c r="A461" s="581"/>
      <c r="B461" s="580" t="s">
        <v>129</v>
      </c>
      <c r="C461" s="581">
        <v>12</v>
      </c>
      <c r="D461" s="581">
        <v>1</v>
      </c>
      <c r="E461" s="582">
        <v>3.07</v>
      </c>
      <c r="F461" s="582" t="s">
        <v>21</v>
      </c>
      <c r="G461" s="582">
        <v>2.8</v>
      </c>
      <c r="H461" s="626">
        <f>PRODUCT(C461:G461)</f>
        <v>103.15199999999999</v>
      </c>
      <c r="I461" s="581"/>
    </row>
    <row r="462" spans="1:9">
      <c r="A462" s="581"/>
      <c r="B462" s="580" t="s">
        <v>3185</v>
      </c>
      <c r="C462" s="581">
        <v>12</v>
      </c>
      <c r="D462" s="581">
        <v>1</v>
      </c>
      <c r="E462" s="582">
        <v>11.6</v>
      </c>
      <c r="F462" s="582" t="s">
        <v>21</v>
      </c>
      <c r="G462" s="582">
        <v>2.8</v>
      </c>
      <c r="H462" s="626">
        <f>PRODUCT(C462:G462)</f>
        <v>389.75999999999993</v>
      </c>
      <c r="I462" s="581"/>
    </row>
    <row r="463" spans="1:9">
      <c r="A463" s="581"/>
      <c r="B463" s="580" t="s">
        <v>0</v>
      </c>
      <c r="C463" s="581">
        <v>12</v>
      </c>
      <c r="D463" s="581">
        <v>1</v>
      </c>
      <c r="E463" s="582">
        <v>6.8</v>
      </c>
      <c r="F463" s="582" t="s">
        <v>21</v>
      </c>
      <c r="G463" s="582">
        <v>2.8</v>
      </c>
      <c r="H463" s="626">
        <f>PRODUCT(C463:G463)</f>
        <v>228.47999999999996</v>
      </c>
      <c r="I463" s="581"/>
    </row>
    <row r="464" spans="1:9">
      <c r="A464" s="581"/>
      <c r="B464" s="580" t="s">
        <v>79</v>
      </c>
      <c r="C464" s="581">
        <v>12</v>
      </c>
      <c r="D464" s="581">
        <v>1</v>
      </c>
      <c r="E464" s="582">
        <v>2.2000000000000002</v>
      </c>
      <c r="F464" s="582" t="s">
        <v>21</v>
      </c>
      <c r="G464" s="582">
        <v>2.8</v>
      </c>
      <c r="H464" s="626">
        <f>PRODUCT(C464:G464)</f>
        <v>73.92</v>
      </c>
      <c r="I464" s="581"/>
    </row>
    <row r="465" spans="1:9">
      <c r="A465" s="581"/>
      <c r="B465" s="580" t="s">
        <v>3273</v>
      </c>
      <c r="C465" s="581">
        <v>-12</v>
      </c>
      <c r="D465" s="581">
        <v>6</v>
      </c>
      <c r="E465" s="582">
        <v>0.9</v>
      </c>
      <c r="F465" s="582">
        <v>2.25</v>
      </c>
      <c r="G465" s="582" t="s">
        <v>21</v>
      </c>
      <c r="H465" s="626">
        <f t="shared" ref="H465:H470" si="16">PRODUCT(C465:F465)</f>
        <v>-145.79999999999998</v>
      </c>
      <c r="I465" s="581"/>
    </row>
    <row r="466" spans="1:9">
      <c r="A466" s="581"/>
      <c r="B466" s="580" t="s">
        <v>3274</v>
      </c>
      <c r="C466" s="581">
        <v>-12</v>
      </c>
      <c r="D466" s="581">
        <v>2</v>
      </c>
      <c r="E466" s="582">
        <v>0.75</v>
      </c>
      <c r="F466" s="582">
        <v>2</v>
      </c>
      <c r="G466" s="582" t="s">
        <v>21</v>
      </c>
      <c r="H466" s="626">
        <f t="shared" si="16"/>
        <v>-36</v>
      </c>
      <c r="I466" s="581"/>
    </row>
    <row r="467" spans="1:9">
      <c r="A467" s="581"/>
      <c r="B467" s="580" t="s">
        <v>3275</v>
      </c>
      <c r="C467" s="581">
        <v>-12</v>
      </c>
      <c r="D467" s="581">
        <v>1</v>
      </c>
      <c r="E467" s="582">
        <v>1</v>
      </c>
      <c r="F467" s="582">
        <v>2.1</v>
      </c>
      <c r="G467" s="582" t="s">
        <v>21</v>
      </c>
      <c r="H467" s="626">
        <f t="shared" si="16"/>
        <v>-25.200000000000003</v>
      </c>
      <c r="I467" s="581"/>
    </row>
    <row r="468" spans="1:9">
      <c r="A468" s="581"/>
      <c r="B468" s="580" t="s">
        <v>3276</v>
      </c>
      <c r="C468" s="581">
        <v>-12</v>
      </c>
      <c r="D468" s="581">
        <v>3</v>
      </c>
      <c r="E468" s="582">
        <v>1.05</v>
      </c>
      <c r="F468" s="582">
        <v>1.5</v>
      </c>
      <c r="G468" s="582" t="s">
        <v>21</v>
      </c>
      <c r="H468" s="626">
        <f t="shared" si="16"/>
        <v>-56.7</v>
      </c>
      <c r="I468" s="581"/>
    </row>
    <row r="469" spans="1:9">
      <c r="A469" s="581"/>
      <c r="B469" s="580" t="s">
        <v>3277</v>
      </c>
      <c r="C469" s="581">
        <v>-12</v>
      </c>
      <c r="D469" s="581">
        <v>1</v>
      </c>
      <c r="E469" s="582">
        <v>0.6</v>
      </c>
      <c r="F469" s="582">
        <v>1.35</v>
      </c>
      <c r="G469" s="582" t="s">
        <v>21</v>
      </c>
      <c r="H469" s="626">
        <f t="shared" si="16"/>
        <v>-9.7199999999999989</v>
      </c>
      <c r="I469" s="581"/>
    </row>
    <row r="470" spans="1:9">
      <c r="A470" s="581"/>
      <c r="B470" s="580" t="s">
        <v>3278</v>
      </c>
      <c r="C470" s="581">
        <v>-12</v>
      </c>
      <c r="D470" s="581">
        <v>1</v>
      </c>
      <c r="E470" s="582">
        <v>0.9</v>
      </c>
      <c r="F470" s="582">
        <v>1.35</v>
      </c>
      <c r="G470" s="582" t="s">
        <v>21</v>
      </c>
      <c r="H470" s="626">
        <f t="shared" si="16"/>
        <v>-14.580000000000002</v>
      </c>
      <c r="I470" s="581"/>
    </row>
    <row r="471" spans="1:9">
      <c r="A471" s="581"/>
      <c r="B471" s="627" t="s">
        <v>3197</v>
      </c>
      <c r="C471" s="581"/>
      <c r="D471" s="581"/>
      <c r="E471" s="582"/>
      <c r="F471" s="582"/>
      <c r="G471" s="582"/>
      <c r="H471" s="626"/>
      <c r="I471" s="581"/>
    </row>
    <row r="472" spans="1:9">
      <c r="A472" s="581"/>
      <c r="B472" s="627" t="s">
        <v>3244</v>
      </c>
      <c r="C472" s="581"/>
      <c r="D472" s="581"/>
      <c r="E472" s="582"/>
      <c r="F472" s="582"/>
      <c r="G472" s="582"/>
      <c r="H472" s="626"/>
      <c r="I472" s="581"/>
    </row>
    <row r="473" spans="1:9">
      <c r="A473" s="581"/>
      <c r="B473" s="580" t="s">
        <v>129</v>
      </c>
      <c r="C473" s="581">
        <v>5</v>
      </c>
      <c r="D473" s="581">
        <v>1</v>
      </c>
      <c r="E473" s="582">
        <v>9.36</v>
      </c>
      <c r="F473" s="582" t="s">
        <v>21</v>
      </c>
      <c r="G473" s="582">
        <v>2.75</v>
      </c>
      <c r="H473" s="626">
        <f>PRODUCT(C473:G473)</f>
        <v>128.69999999999999</v>
      </c>
      <c r="I473" s="581"/>
    </row>
    <row r="474" spans="1:9">
      <c r="A474" s="581"/>
      <c r="B474" s="580" t="s">
        <v>3185</v>
      </c>
      <c r="C474" s="581">
        <v>5</v>
      </c>
      <c r="D474" s="581">
        <v>1</v>
      </c>
      <c r="E474" s="582">
        <v>9.9700000000000006</v>
      </c>
      <c r="F474" s="582" t="s">
        <v>21</v>
      </c>
      <c r="G474" s="582">
        <v>2.75</v>
      </c>
      <c r="H474" s="626">
        <f>PRODUCT(C474:G474)</f>
        <v>137.08750000000001</v>
      </c>
      <c r="I474" s="581"/>
    </row>
    <row r="475" spans="1:9">
      <c r="A475" s="581"/>
      <c r="B475" s="580" t="s">
        <v>0</v>
      </c>
      <c r="C475" s="581">
        <v>5</v>
      </c>
      <c r="D475" s="581">
        <v>1</v>
      </c>
      <c r="E475" s="582">
        <v>7.03</v>
      </c>
      <c r="F475" s="582" t="s">
        <v>21</v>
      </c>
      <c r="G475" s="582">
        <v>2.75</v>
      </c>
      <c r="H475" s="626">
        <f>PRODUCT(C475:G475)</f>
        <v>96.662499999999994</v>
      </c>
      <c r="I475" s="581"/>
    </row>
    <row r="476" spans="1:9">
      <c r="A476" s="581"/>
      <c r="B476" s="580" t="s">
        <v>79</v>
      </c>
      <c r="C476" s="581">
        <v>5</v>
      </c>
      <c r="D476" s="581">
        <v>1</v>
      </c>
      <c r="E476" s="582">
        <v>1.87</v>
      </c>
      <c r="F476" s="582" t="s">
        <v>21</v>
      </c>
      <c r="G476" s="582">
        <v>2.75</v>
      </c>
      <c r="H476" s="626">
        <f>PRODUCT(C476:G476)</f>
        <v>25.712500000000006</v>
      </c>
      <c r="I476" s="581"/>
    </row>
    <row r="477" spans="1:9">
      <c r="A477" s="581"/>
      <c r="B477" s="580" t="s">
        <v>3273</v>
      </c>
      <c r="C477" s="581">
        <v>-5</v>
      </c>
      <c r="D477" s="581">
        <v>6</v>
      </c>
      <c r="E477" s="582">
        <v>0.9</v>
      </c>
      <c r="F477" s="582">
        <v>2.25</v>
      </c>
      <c r="G477" s="581" t="s">
        <v>21</v>
      </c>
      <c r="H477" s="626">
        <f>PRODUCT(C477:F477)</f>
        <v>-60.75</v>
      </c>
      <c r="I477" s="581"/>
    </row>
    <row r="478" spans="1:9">
      <c r="A478" s="581"/>
      <c r="B478" s="580" t="s">
        <v>3274</v>
      </c>
      <c r="C478" s="581">
        <v>-5</v>
      </c>
      <c r="D478" s="581">
        <v>2</v>
      </c>
      <c r="E478" s="582">
        <v>0.75</v>
      </c>
      <c r="F478" s="582">
        <v>2</v>
      </c>
      <c r="G478" s="581" t="s">
        <v>21</v>
      </c>
      <c r="H478" s="626">
        <f>PRODUCT(C478:F478)</f>
        <v>-15</v>
      </c>
      <c r="I478" s="581"/>
    </row>
    <row r="479" spans="1:9">
      <c r="A479" s="581"/>
      <c r="B479" s="580" t="s">
        <v>3275</v>
      </c>
      <c r="C479" s="581">
        <v>-5</v>
      </c>
      <c r="D479" s="581">
        <v>1</v>
      </c>
      <c r="E479" s="582">
        <v>1</v>
      </c>
      <c r="F479" s="582">
        <v>2.1</v>
      </c>
      <c r="G479" s="581" t="s">
        <v>21</v>
      </c>
      <c r="H479" s="626">
        <f>PRODUCT(C479:F479)</f>
        <v>-10.5</v>
      </c>
      <c r="I479" s="581"/>
    </row>
    <row r="480" spans="1:9">
      <c r="A480" s="581"/>
      <c r="B480" s="580" t="s">
        <v>3276</v>
      </c>
      <c r="C480" s="581">
        <v>-5</v>
      </c>
      <c r="D480" s="581">
        <v>3</v>
      </c>
      <c r="E480" s="582">
        <v>1.05</v>
      </c>
      <c r="F480" s="582">
        <v>1.5</v>
      </c>
      <c r="G480" s="581" t="s">
        <v>21</v>
      </c>
      <c r="H480" s="626">
        <f>PRODUCT(C480:F480)</f>
        <v>-23.625</v>
      </c>
      <c r="I480" s="581"/>
    </row>
    <row r="481" spans="1:9">
      <c r="A481" s="581"/>
      <c r="B481" s="580" t="s">
        <v>3278</v>
      </c>
      <c r="C481" s="581">
        <v>-5</v>
      </c>
      <c r="D481" s="581">
        <v>1</v>
      </c>
      <c r="E481" s="582">
        <v>0.9</v>
      </c>
      <c r="F481" s="582">
        <v>1.35</v>
      </c>
      <c r="G481" s="581" t="s">
        <v>21</v>
      </c>
      <c r="H481" s="626">
        <f>PRODUCT(C481:F481)</f>
        <v>-6.0750000000000002</v>
      </c>
      <c r="I481" s="581"/>
    </row>
    <row r="482" spans="1:9">
      <c r="A482" s="581"/>
      <c r="B482" s="627" t="s">
        <v>3281</v>
      </c>
      <c r="C482" s="581"/>
      <c r="D482" s="581"/>
      <c r="E482" s="582"/>
      <c r="F482" s="582"/>
      <c r="G482" s="582"/>
      <c r="H482" s="626"/>
      <c r="I482" s="581"/>
    </row>
    <row r="483" spans="1:9">
      <c r="A483" s="581"/>
      <c r="B483" s="580" t="s">
        <v>129</v>
      </c>
      <c r="C483" s="581">
        <v>3</v>
      </c>
      <c r="D483" s="581">
        <v>1</v>
      </c>
      <c r="E483" s="582">
        <f>E473</f>
        <v>9.36</v>
      </c>
      <c r="F483" s="582" t="s">
        <v>21</v>
      </c>
      <c r="G483" s="582">
        <v>2.8</v>
      </c>
      <c r="H483" s="626">
        <f>PRODUCT(C483:G483)</f>
        <v>78.623999999999995</v>
      </c>
      <c r="I483" s="581"/>
    </row>
    <row r="484" spans="1:9">
      <c r="A484" s="581"/>
      <c r="B484" s="580" t="s">
        <v>3185</v>
      </c>
      <c r="C484" s="581">
        <v>3</v>
      </c>
      <c r="D484" s="581">
        <v>1</v>
      </c>
      <c r="E484" s="582">
        <f>E474</f>
        <v>9.9700000000000006</v>
      </c>
      <c r="F484" s="582" t="s">
        <v>21</v>
      </c>
      <c r="G484" s="582">
        <v>2.8</v>
      </c>
      <c r="H484" s="626">
        <f>PRODUCT(C484:G484)</f>
        <v>83.748000000000005</v>
      </c>
      <c r="I484" s="581"/>
    </row>
    <row r="485" spans="1:9">
      <c r="A485" s="581"/>
      <c r="B485" s="580" t="s">
        <v>0</v>
      </c>
      <c r="C485" s="581">
        <v>3</v>
      </c>
      <c r="D485" s="581">
        <v>1</v>
      </c>
      <c r="E485" s="582">
        <f>E475</f>
        <v>7.03</v>
      </c>
      <c r="F485" s="582" t="s">
        <v>21</v>
      </c>
      <c r="G485" s="582">
        <v>2.8</v>
      </c>
      <c r="H485" s="626">
        <f>PRODUCT(C485:G485)</f>
        <v>59.051999999999992</v>
      </c>
      <c r="I485" s="581"/>
    </row>
    <row r="486" spans="1:9">
      <c r="A486" s="581"/>
      <c r="B486" s="580" t="s">
        <v>79</v>
      </c>
      <c r="C486" s="581">
        <v>3</v>
      </c>
      <c r="D486" s="581">
        <v>1</v>
      </c>
      <c r="E486" s="582">
        <f>E476</f>
        <v>1.87</v>
      </c>
      <c r="F486" s="582" t="s">
        <v>21</v>
      </c>
      <c r="G486" s="582">
        <v>2.8</v>
      </c>
      <c r="H486" s="626">
        <f>PRODUCT(C486:G486)</f>
        <v>15.708</v>
      </c>
      <c r="I486" s="581"/>
    </row>
    <row r="487" spans="1:9">
      <c r="A487" s="581"/>
      <c r="B487" s="580" t="s">
        <v>3273</v>
      </c>
      <c r="C487" s="581">
        <v>-3</v>
      </c>
      <c r="D487" s="581">
        <v>6</v>
      </c>
      <c r="E487" s="582">
        <v>0.9</v>
      </c>
      <c r="F487" s="582">
        <v>2.25</v>
      </c>
      <c r="G487" s="581" t="s">
        <v>21</v>
      </c>
      <c r="H487" s="626">
        <f>PRODUCT(C487:F487)</f>
        <v>-36.449999999999996</v>
      </c>
      <c r="I487" s="581"/>
    </row>
    <row r="488" spans="1:9">
      <c r="A488" s="581"/>
      <c r="B488" s="580" t="s">
        <v>3274</v>
      </c>
      <c r="C488" s="581">
        <v>-3</v>
      </c>
      <c r="D488" s="581">
        <v>2</v>
      </c>
      <c r="E488" s="582">
        <v>0.75</v>
      </c>
      <c r="F488" s="582">
        <v>2</v>
      </c>
      <c r="G488" s="581" t="s">
        <v>21</v>
      </c>
      <c r="H488" s="626">
        <f>PRODUCT(C488:F488)</f>
        <v>-9</v>
      </c>
      <c r="I488" s="581"/>
    </row>
    <row r="489" spans="1:9">
      <c r="A489" s="581"/>
      <c r="B489" s="580" t="s">
        <v>3275</v>
      </c>
      <c r="C489" s="581">
        <v>-3</v>
      </c>
      <c r="D489" s="581">
        <v>1</v>
      </c>
      <c r="E489" s="582">
        <v>1</v>
      </c>
      <c r="F489" s="582">
        <v>2.1</v>
      </c>
      <c r="G489" s="581" t="s">
        <v>21</v>
      </c>
      <c r="H489" s="626">
        <f>PRODUCT(C489:F489)</f>
        <v>-6.3000000000000007</v>
      </c>
      <c r="I489" s="581"/>
    </row>
    <row r="490" spans="1:9">
      <c r="A490" s="581"/>
      <c r="B490" s="580" t="s">
        <v>3276</v>
      </c>
      <c r="C490" s="581">
        <v>-3</v>
      </c>
      <c r="D490" s="581">
        <v>3</v>
      </c>
      <c r="E490" s="582">
        <v>1.05</v>
      </c>
      <c r="F490" s="582">
        <v>1.5</v>
      </c>
      <c r="G490" s="581" t="s">
        <v>21</v>
      </c>
      <c r="H490" s="626">
        <f>PRODUCT(C490:F490)</f>
        <v>-14.175000000000001</v>
      </c>
      <c r="I490" s="581"/>
    </row>
    <row r="491" spans="1:9">
      <c r="A491" s="581"/>
      <c r="B491" s="580" t="s">
        <v>3278</v>
      </c>
      <c r="C491" s="581">
        <v>-3</v>
      </c>
      <c r="D491" s="581">
        <v>1</v>
      </c>
      <c r="E491" s="582">
        <v>0.9</v>
      </c>
      <c r="F491" s="582">
        <v>1.35</v>
      </c>
      <c r="G491" s="581" t="s">
        <v>21</v>
      </c>
      <c r="H491" s="626">
        <f>PRODUCT(C491:F491)</f>
        <v>-3.6450000000000005</v>
      </c>
      <c r="I491" s="581"/>
    </row>
    <row r="492" spans="1:9">
      <c r="A492" s="581"/>
      <c r="B492" s="627" t="s">
        <v>3181</v>
      </c>
      <c r="C492" s="581"/>
      <c r="D492" s="581"/>
      <c r="E492" s="582"/>
      <c r="F492" s="582"/>
      <c r="G492" s="582"/>
      <c r="H492" s="626"/>
      <c r="I492" s="581"/>
    </row>
    <row r="493" spans="1:9">
      <c r="A493" s="581"/>
      <c r="B493" s="627" t="s">
        <v>3244</v>
      </c>
      <c r="C493" s="581"/>
      <c r="D493" s="581"/>
      <c r="E493" s="582"/>
      <c r="F493" s="582"/>
      <c r="G493" s="582"/>
      <c r="H493" s="626"/>
      <c r="I493" s="581"/>
    </row>
    <row r="494" spans="1:9">
      <c r="A494" s="581"/>
      <c r="B494" s="580" t="s">
        <v>3282</v>
      </c>
      <c r="C494" s="581">
        <v>4</v>
      </c>
      <c r="D494" s="581">
        <v>1</v>
      </c>
      <c r="E494" s="582">
        <v>1.92</v>
      </c>
      <c r="F494" s="582" t="s">
        <v>21</v>
      </c>
      <c r="G494" s="582">
        <v>2.75</v>
      </c>
      <c r="H494" s="626">
        <f t="shared" ref="H494:H503" si="17">PRODUCT(C494:G494)</f>
        <v>21.119999999999997</v>
      </c>
      <c r="I494" s="581"/>
    </row>
    <row r="495" spans="1:9">
      <c r="A495" s="581"/>
      <c r="B495" s="580" t="s">
        <v>129</v>
      </c>
      <c r="C495" s="581">
        <v>4</v>
      </c>
      <c r="D495" s="581">
        <v>1</v>
      </c>
      <c r="E495" s="582">
        <v>16.98</v>
      </c>
      <c r="F495" s="582" t="s">
        <v>21</v>
      </c>
      <c r="G495" s="582">
        <v>2.75</v>
      </c>
      <c r="H495" s="626">
        <f t="shared" si="17"/>
        <v>186.78</v>
      </c>
      <c r="I495" s="581"/>
    </row>
    <row r="496" spans="1:9">
      <c r="A496" s="581"/>
      <c r="B496" s="580" t="s">
        <v>3185</v>
      </c>
      <c r="C496" s="581">
        <v>4</v>
      </c>
      <c r="D496" s="581">
        <v>1</v>
      </c>
      <c r="E496" s="582">
        <v>7.56</v>
      </c>
      <c r="F496" s="582" t="s">
        <v>21</v>
      </c>
      <c r="G496" s="582">
        <v>2.75</v>
      </c>
      <c r="H496" s="626">
        <f t="shared" si="17"/>
        <v>83.16</v>
      </c>
      <c r="I496" s="581"/>
    </row>
    <row r="497" spans="1:9">
      <c r="A497" s="581"/>
      <c r="B497" s="580" t="s">
        <v>3250</v>
      </c>
      <c r="C497" s="581">
        <v>4</v>
      </c>
      <c r="D497" s="581">
        <v>1</v>
      </c>
      <c r="E497" s="582">
        <v>16.43</v>
      </c>
      <c r="F497" s="582" t="s">
        <v>21</v>
      </c>
      <c r="G497" s="582">
        <v>2.75</v>
      </c>
      <c r="H497" s="626">
        <f t="shared" si="17"/>
        <v>180.73</v>
      </c>
      <c r="I497" s="581"/>
    </row>
    <row r="498" spans="1:9">
      <c r="A498" s="581"/>
      <c r="B498" s="580" t="s">
        <v>0</v>
      </c>
      <c r="C498" s="581">
        <v>4</v>
      </c>
      <c r="D498" s="581">
        <v>1</v>
      </c>
      <c r="E498" s="582">
        <v>7.35</v>
      </c>
      <c r="F498" s="582" t="s">
        <v>21</v>
      </c>
      <c r="G498" s="582">
        <v>2.75</v>
      </c>
      <c r="H498" s="626">
        <f t="shared" si="17"/>
        <v>80.849999999999994</v>
      </c>
      <c r="I498" s="581"/>
    </row>
    <row r="499" spans="1:9">
      <c r="A499" s="581"/>
      <c r="B499" s="580" t="s">
        <v>79</v>
      </c>
      <c r="C499" s="581">
        <v>4</v>
      </c>
      <c r="D499" s="581">
        <v>1</v>
      </c>
      <c r="E499" s="582">
        <v>2.7</v>
      </c>
      <c r="F499" s="582" t="s">
        <v>21</v>
      </c>
      <c r="G499" s="582">
        <v>2.75</v>
      </c>
      <c r="H499" s="626">
        <f t="shared" si="17"/>
        <v>29.700000000000003</v>
      </c>
      <c r="I499" s="581"/>
    </row>
    <row r="500" spans="1:9">
      <c r="A500" s="581"/>
      <c r="B500" s="580" t="s">
        <v>3283</v>
      </c>
      <c r="C500" s="581">
        <v>-4</v>
      </c>
      <c r="D500" s="581">
        <v>8</v>
      </c>
      <c r="E500" s="582">
        <v>0.9</v>
      </c>
      <c r="F500" s="582">
        <v>2.25</v>
      </c>
      <c r="G500" s="582" t="s">
        <v>21</v>
      </c>
      <c r="H500" s="626">
        <f t="shared" si="17"/>
        <v>-64.8</v>
      </c>
      <c r="I500" s="581"/>
    </row>
    <row r="501" spans="1:9">
      <c r="A501" s="581"/>
      <c r="B501" s="580" t="s">
        <v>3274</v>
      </c>
      <c r="C501" s="581">
        <v>-4</v>
      </c>
      <c r="D501" s="581">
        <v>2</v>
      </c>
      <c r="E501" s="582">
        <v>0.75</v>
      </c>
      <c r="F501" s="582">
        <v>2</v>
      </c>
      <c r="G501" s="581" t="s">
        <v>21</v>
      </c>
      <c r="H501" s="626">
        <f t="shared" si="17"/>
        <v>-12</v>
      </c>
      <c r="I501" s="581"/>
    </row>
    <row r="502" spans="1:9">
      <c r="A502" s="581"/>
      <c r="B502" s="580" t="s">
        <v>3275</v>
      </c>
      <c r="C502" s="581">
        <v>-4</v>
      </c>
      <c r="D502" s="581">
        <v>1</v>
      </c>
      <c r="E502" s="582">
        <v>1</v>
      </c>
      <c r="F502" s="582">
        <v>2.1</v>
      </c>
      <c r="G502" s="581" t="s">
        <v>21</v>
      </c>
      <c r="H502" s="626">
        <f t="shared" si="17"/>
        <v>-8.4</v>
      </c>
      <c r="I502" s="581"/>
    </row>
    <row r="503" spans="1:9">
      <c r="A503" s="581"/>
      <c r="B503" s="580" t="s">
        <v>3276</v>
      </c>
      <c r="C503" s="581">
        <v>-4</v>
      </c>
      <c r="D503" s="581">
        <v>3</v>
      </c>
      <c r="E503" s="582">
        <v>1.05</v>
      </c>
      <c r="F503" s="582">
        <v>1.5</v>
      </c>
      <c r="G503" s="581" t="s">
        <v>21</v>
      </c>
      <c r="H503" s="626">
        <f t="shared" si="17"/>
        <v>-18.900000000000002</v>
      </c>
      <c r="I503" s="581"/>
    </row>
    <row r="504" spans="1:9">
      <c r="A504" s="581"/>
      <c r="B504" s="580" t="s">
        <v>3278</v>
      </c>
      <c r="C504" s="581">
        <v>-4</v>
      </c>
      <c r="D504" s="581">
        <v>1</v>
      </c>
      <c r="E504" s="582">
        <v>0.9</v>
      </c>
      <c r="F504" s="582">
        <v>1.35</v>
      </c>
      <c r="G504" s="581" t="s">
        <v>21</v>
      </c>
      <c r="H504" s="626">
        <f t="shared" ref="H504:H517" si="18">PRODUCT(C504:G504)</f>
        <v>-4.8600000000000003</v>
      </c>
      <c r="I504" s="581"/>
    </row>
    <row r="505" spans="1:9">
      <c r="A505" s="581"/>
      <c r="B505" s="627" t="s">
        <v>3280</v>
      </c>
      <c r="C505" s="581"/>
      <c r="D505" s="581"/>
      <c r="E505" s="582"/>
      <c r="F505" s="582"/>
      <c r="G505" s="582"/>
      <c r="H505" s="626">
        <f t="shared" si="18"/>
        <v>0</v>
      </c>
      <c r="I505" s="581"/>
    </row>
    <row r="506" spans="1:9">
      <c r="A506" s="581"/>
      <c r="B506" s="580" t="s">
        <v>3282</v>
      </c>
      <c r="C506" s="581">
        <v>4</v>
      </c>
      <c r="D506" s="581">
        <v>1</v>
      </c>
      <c r="E506" s="582">
        <v>1.92</v>
      </c>
      <c r="F506" s="582" t="s">
        <v>21</v>
      </c>
      <c r="G506" s="582">
        <v>2.8</v>
      </c>
      <c r="H506" s="626">
        <f t="shared" si="18"/>
        <v>21.503999999999998</v>
      </c>
      <c r="I506" s="581"/>
    </row>
    <row r="507" spans="1:9">
      <c r="A507" s="581"/>
      <c r="B507" s="580" t="s">
        <v>129</v>
      </c>
      <c r="C507" s="581">
        <v>4</v>
      </c>
      <c r="D507" s="581">
        <v>1</v>
      </c>
      <c r="E507" s="582">
        <v>16.98</v>
      </c>
      <c r="F507" s="582" t="s">
        <v>21</v>
      </c>
      <c r="G507" s="582">
        <v>2.8</v>
      </c>
      <c r="H507" s="626">
        <f t="shared" si="18"/>
        <v>190.17599999999999</v>
      </c>
      <c r="I507" s="581"/>
    </row>
    <row r="508" spans="1:9">
      <c r="A508" s="581"/>
      <c r="B508" s="580" t="s">
        <v>3185</v>
      </c>
      <c r="C508" s="581">
        <v>4</v>
      </c>
      <c r="D508" s="581">
        <v>1</v>
      </c>
      <c r="E508" s="582">
        <v>7.56</v>
      </c>
      <c r="F508" s="582" t="s">
        <v>21</v>
      </c>
      <c r="G508" s="582">
        <v>2.8</v>
      </c>
      <c r="H508" s="626">
        <f t="shared" si="18"/>
        <v>84.671999999999997</v>
      </c>
      <c r="I508" s="581"/>
    </row>
    <row r="509" spans="1:9">
      <c r="A509" s="581"/>
      <c r="B509" s="580" t="s">
        <v>3250</v>
      </c>
      <c r="C509" s="581">
        <v>4</v>
      </c>
      <c r="D509" s="581">
        <v>1</v>
      </c>
      <c r="E509" s="582">
        <v>16.43</v>
      </c>
      <c r="F509" s="582" t="s">
        <v>21</v>
      </c>
      <c r="G509" s="582">
        <v>2.8</v>
      </c>
      <c r="H509" s="626">
        <f t="shared" si="18"/>
        <v>184.01599999999999</v>
      </c>
      <c r="I509" s="581"/>
    </row>
    <row r="510" spans="1:9">
      <c r="A510" s="581"/>
      <c r="B510" s="580" t="s">
        <v>0</v>
      </c>
      <c r="C510" s="581">
        <v>4</v>
      </c>
      <c r="D510" s="581">
        <v>1</v>
      </c>
      <c r="E510" s="582">
        <v>7.35</v>
      </c>
      <c r="F510" s="582" t="s">
        <v>21</v>
      </c>
      <c r="G510" s="582">
        <v>2.8</v>
      </c>
      <c r="H510" s="626">
        <f t="shared" si="18"/>
        <v>82.32</v>
      </c>
      <c r="I510" s="581"/>
    </row>
    <row r="511" spans="1:9">
      <c r="A511" s="581"/>
      <c r="B511" s="580" t="s">
        <v>79</v>
      </c>
      <c r="C511" s="581">
        <v>4</v>
      </c>
      <c r="D511" s="581">
        <v>1</v>
      </c>
      <c r="E511" s="582">
        <v>2.7</v>
      </c>
      <c r="F511" s="582" t="s">
        <v>21</v>
      </c>
      <c r="G511" s="582">
        <v>2.8</v>
      </c>
      <c r="H511" s="626">
        <f t="shared" si="18"/>
        <v>30.24</v>
      </c>
      <c r="I511" s="581"/>
    </row>
    <row r="512" spans="1:9">
      <c r="A512" s="581"/>
      <c r="B512" s="580" t="s">
        <v>3283</v>
      </c>
      <c r="C512" s="581">
        <v>-4</v>
      </c>
      <c r="D512" s="581">
        <v>8</v>
      </c>
      <c r="E512" s="582">
        <v>0.9</v>
      </c>
      <c r="F512" s="582">
        <v>2.25</v>
      </c>
      <c r="G512" s="582" t="s">
        <v>21</v>
      </c>
      <c r="H512" s="626">
        <f t="shared" si="18"/>
        <v>-64.8</v>
      </c>
      <c r="I512" s="581"/>
    </row>
    <row r="513" spans="1:9">
      <c r="A513" s="581"/>
      <c r="B513" s="580" t="s">
        <v>3274</v>
      </c>
      <c r="C513" s="581">
        <v>-4</v>
      </c>
      <c r="D513" s="581">
        <v>2</v>
      </c>
      <c r="E513" s="582">
        <v>0.75</v>
      </c>
      <c r="F513" s="582">
        <v>2</v>
      </c>
      <c r="G513" s="581" t="s">
        <v>21</v>
      </c>
      <c r="H513" s="626">
        <f t="shared" si="18"/>
        <v>-12</v>
      </c>
      <c r="I513" s="581"/>
    </row>
    <row r="514" spans="1:9">
      <c r="A514" s="581"/>
      <c r="B514" s="580" t="s">
        <v>3275</v>
      </c>
      <c r="C514" s="581">
        <v>-4</v>
      </c>
      <c r="D514" s="581">
        <v>1</v>
      </c>
      <c r="E514" s="582">
        <v>1</v>
      </c>
      <c r="F514" s="582">
        <v>2.1</v>
      </c>
      <c r="G514" s="581" t="s">
        <v>21</v>
      </c>
      <c r="H514" s="626">
        <f t="shared" si="18"/>
        <v>-8.4</v>
      </c>
      <c r="I514" s="581"/>
    </row>
    <row r="515" spans="1:9">
      <c r="A515" s="581"/>
      <c r="B515" s="580" t="s">
        <v>3276</v>
      </c>
      <c r="C515" s="581">
        <v>-4</v>
      </c>
      <c r="D515" s="581">
        <v>3</v>
      </c>
      <c r="E515" s="582">
        <v>1.05</v>
      </c>
      <c r="F515" s="582">
        <v>1.5</v>
      </c>
      <c r="G515" s="581" t="s">
        <v>21</v>
      </c>
      <c r="H515" s="626">
        <f t="shared" si="18"/>
        <v>-18.900000000000002</v>
      </c>
      <c r="I515" s="581"/>
    </row>
    <row r="516" spans="1:9">
      <c r="A516" s="581"/>
      <c r="B516" s="580" t="s">
        <v>3278</v>
      </c>
      <c r="C516" s="581">
        <v>-4</v>
      </c>
      <c r="D516" s="581">
        <v>1</v>
      </c>
      <c r="E516" s="582">
        <v>0.9</v>
      </c>
      <c r="F516" s="582">
        <v>1.35</v>
      </c>
      <c r="G516" s="581" t="s">
        <v>21</v>
      </c>
      <c r="H516" s="626">
        <f t="shared" si="18"/>
        <v>-4.8600000000000003</v>
      </c>
      <c r="I516" s="581"/>
    </row>
    <row r="517" spans="1:9">
      <c r="A517" s="581"/>
      <c r="B517" s="580" t="s">
        <v>3279</v>
      </c>
      <c r="C517" s="581">
        <v>2</v>
      </c>
      <c r="D517" s="581">
        <v>1</v>
      </c>
      <c r="E517" s="582">
        <v>3.78</v>
      </c>
      <c r="F517" s="582" t="s">
        <v>21</v>
      </c>
      <c r="G517" s="582">
        <v>5.6</v>
      </c>
      <c r="H517" s="626">
        <f t="shared" si="18"/>
        <v>42.335999999999999</v>
      </c>
      <c r="I517" s="581"/>
    </row>
    <row r="518" spans="1:9">
      <c r="A518" s="581"/>
      <c r="B518" s="580"/>
      <c r="C518" s="581"/>
      <c r="D518" s="581"/>
      <c r="E518" s="582"/>
      <c r="F518" s="582"/>
      <c r="G518" s="582"/>
      <c r="H518" s="626">
        <f>SUM(H447:H517)</f>
        <v>2825.4944999999984</v>
      </c>
      <c r="I518" s="581"/>
    </row>
    <row r="519" spans="1:9">
      <c r="A519" s="581"/>
      <c r="B519" s="580"/>
      <c r="C519" s="581"/>
      <c r="D519" s="581"/>
      <c r="E519" s="582"/>
      <c r="F519" s="582"/>
      <c r="G519" s="582" t="s">
        <v>9</v>
      </c>
      <c r="H519" s="629">
        <v>2830</v>
      </c>
      <c r="I519" s="581" t="s">
        <v>306</v>
      </c>
    </row>
    <row r="520" spans="1:9" ht="66">
      <c r="A520" s="581">
        <v>42</v>
      </c>
      <c r="B520" s="659" t="s">
        <v>3284</v>
      </c>
      <c r="C520" s="581"/>
      <c r="D520" s="581"/>
      <c r="E520" s="582"/>
      <c r="F520" s="582"/>
      <c r="G520" s="582"/>
      <c r="H520" s="626"/>
      <c r="I520" s="581"/>
    </row>
    <row r="521" spans="1:9">
      <c r="A521" s="581"/>
      <c r="B521" s="627" t="s">
        <v>3196</v>
      </c>
      <c r="C521" s="581"/>
      <c r="D521" s="581"/>
      <c r="E521" s="582"/>
      <c r="F521" s="582"/>
      <c r="G521" s="582"/>
      <c r="H521" s="626"/>
      <c r="I521" s="581"/>
    </row>
    <row r="522" spans="1:9">
      <c r="A522" s="581"/>
      <c r="B522" s="580" t="s">
        <v>3285</v>
      </c>
      <c r="C522" s="581">
        <v>6</v>
      </c>
      <c r="D522" s="581">
        <v>1</v>
      </c>
      <c r="E522" s="582">
        <v>14.88</v>
      </c>
      <c r="F522" s="582" t="s">
        <v>21</v>
      </c>
      <c r="G522" s="582">
        <v>6</v>
      </c>
      <c r="H522" s="626">
        <f t="shared" ref="H522:H546" si="19">PRODUCT(C522:G522)</f>
        <v>535.68000000000006</v>
      </c>
      <c r="I522" s="581"/>
    </row>
    <row r="523" spans="1:9">
      <c r="A523" s="581"/>
      <c r="B523" s="580" t="s">
        <v>3286</v>
      </c>
      <c r="C523" s="581">
        <v>6</v>
      </c>
      <c r="D523" s="581">
        <v>2</v>
      </c>
      <c r="E523" s="582">
        <v>4.5</v>
      </c>
      <c r="F523" s="582" t="s">
        <v>21</v>
      </c>
      <c r="G523" s="582">
        <v>6</v>
      </c>
      <c r="H523" s="626">
        <f t="shared" si="19"/>
        <v>324</v>
      </c>
      <c r="I523" s="581"/>
    </row>
    <row r="524" spans="1:9">
      <c r="A524" s="581"/>
      <c r="B524" s="580" t="s">
        <v>3287</v>
      </c>
      <c r="C524" s="581">
        <v>6</v>
      </c>
      <c r="D524" s="581">
        <v>2</v>
      </c>
      <c r="E524" s="582">
        <v>2.7</v>
      </c>
      <c r="F524" s="582" t="s">
        <v>21</v>
      </c>
      <c r="G524" s="582">
        <v>6</v>
      </c>
      <c r="H524" s="626">
        <f t="shared" si="19"/>
        <v>194.40000000000003</v>
      </c>
      <c r="I524" s="581"/>
    </row>
    <row r="525" spans="1:9">
      <c r="A525" s="581"/>
      <c r="B525" s="580" t="s">
        <v>3288</v>
      </c>
      <c r="C525" s="581">
        <v>6</v>
      </c>
      <c r="D525" s="581">
        <v>2</v>
      </c>
      <c r="E525" s="582">
        <v>0.8</v>
      </c>
      <c r="F525" s="582" t="s">
        <v>21</v>
      </c>
      <c r="G525" s="582">
        <v>6</v>
      </c>
      <c r="H525" s="626">
        <f t="shared" si="19"/>
        <v>57.600000000000009</v>
      </c>
      <c r="I525" s="581"/>
    </row>
    <row r="526" spans="1:9">
      <c r="A526" s="581"/>
      <c r="B526" s="580" t="s">
        <v>3289</v>
      </c>
      <c r="C526" s="581">
        <v>6</v>
      </c>
      <c r="D526" s="581">
        <v>2</v>
      </c>
      <c r="E526" s="582">
        <v>4.3600000000000003</v>
      </c>
      <c r="F526" s="582" t="s">
        <v>21</v>
      </c>
      <c r="G526" s="582">
        <v>6</v>
      </c>
      <c r="H526" s="626">
        <f t="shared" si="19"/>
        <v>313.92000000000007</v>
      </c>
      <c r="I526" s="581"/>
    </row>
    <row r="527" spans="1:9">
      <c r="A527" s="581"/>
      <c r="B527" s="580" t="s">
        <v>3290</v>
      </c>
      <c r="C527" s="581">
        <v>6</v>
      </c>
      <c r="D527" s="581">
        <v>2</v>
      </c>
      <c r="E527" s="582">
        <v>8.3800000000000008</v>
      </c>
      <c r="F527" s="582" t="s">
        <v>21</v>
      </c>
      <c r="G527" s="582">
        <v>6</v>
      </c>
      <c r="H527" s="626">
        <f t="shared" si="19"/>
        <v>603.36</v>
      </c>
      <c r="I527" s="581"/>
    </row>
    <row r="528" spans="1:9">
      <c r="A528" s="581"/>
      <c r="B528" s="580" t="s">
        <v>3291</v>
      </c>
      <c r="C528" s="581">
        <v>6</v>
      </c>
      <c r="D528" s="581">
        <v>2</v>
      </c>
      <c r="E528" s="582">
        <v>0.38</v>
      </c>
      <c r="F528" s="582" t="s">
        <v>21</v>
      </c>
      <c r="G528" s="582">
        <v>6</v>
      </c>
      <c r="H528" s="626">
        <f t="shared" si="19"/>
        <v>27.360000000000003</v>
      </c>
      <c r="I528" s="581"/>
    </row>
    <row r="529" spans="1:9">
      <c r="A529" s="581"/>
      <c r="B529" s="580" t="s">
        <v>3292</v>
      </c>
      <c r="C529" s="581">
        <v>6</v>
      </c>
      <c r="D529" s="581">
        <v>2</v>
      </c>
      <c r="E529" s="582">
        <v>0.55000000000000004</v>
      </c>
      <c r="F529" s="582" t="s">
        <v>21</v>
      </c>
      <c r="G529" s="582">
        <v>2.8</v>
      </c>
      <c r="H529" s="626">
        <f t="shared" si="19"/>
        <v>18.48</v>
      </c>
      <c r="I529" s="581"/>
    </row>
    <row r="530" spans="1:9">
      <c r="A530" s="581"/>
      <c r="B530" s="580" t="s">
        <v>3293</v>
      </c>
      <c r="C530" s="581">
        <v>6</v>
      </c>
      <c r="D530" s="581">
        <v>1</v>
      </c>
      <c r="E530" s="582">
        <v>13.52</v>
      </c>
      <c r="F530" s="582" t="s">
        <v>21</v>
      </c>
      <c r="G530" s="582">
        <v>0.6</v>
      </c>
      <c r="H530" s="626">
        <f t="shared" si="19"/>
        <v>48.672000000000004</v>
      </c>
      <c r="I530" s="581"/>
    </row>
    <row r="531" spans="1:9">
      <c r="A531" s="581"/>
      <c r="B531" s="580" t="s">
        <v>3294</v>
      </c>
      <c r="C531" s="581">
        <v>6</v>
      </c>
      <c r="D531" s="581">
        <v>6</v>
      </c>
      <c r="E531" s="582">
        <v>5.5</v>
      </c>
      <c r="F531" s="582" t="s">
        <v>21</v>
      </c>
      <c r="G531" s="582">
        <v>0.6</v>
      </c>
      <c r="H531" s="626">
        <f t="shared" si="19"/>
        <v>118.8</v>
      </c>
      <c r="I531" s="581"/>
    </row>
    <row r="532" spans="1:9">
      <c r="A532" s="581"/>
      <c r="B532" s="580" t="s">
        <v>3295</v>
      </c>
      <c r="C532" s="581">
        <v>-6</v>
      </c>
      <c r="D532" s="581">
        <v>6</v>
      </c>
      <c r="E532" s="582">
        <v>1.05</v>
      </c>
      <c r="F532" s="582">
        <v>1.5</v>
      </c>
      <c r="G532" s="582" t="s">
        <v>21</v>
      </c>
      <c r="H532" s="626">
        <f t="shared" si="19"/>
        <v>-56.7</v>
      </c>
      <c r="I532" s="581"/>
    </row>
    <row r="533" spans="1:9">
      <c r="A533" s="581"/>
      <c r="B533" s="580" t="s">
        <v>3283</v>
      </c>
      <c r="C533" s="581">
        <v>-6</v>
      </c>
      <c r="D533" s="581">
        <v>3</v>
      </c>
      <c r="E533" s="582">
        <v>0.9</v>
      </c>
      <c r="F533" s="582">
        <v>2.25</v>
      </c>
      <c r="G533" s="582" t="s">
        <v>21</v>
      </c>
      <c r="H533" s="626">
        <f t="shared" si="19"/>
        <v>-36.449999999999996</v>
      </c>
      <c r="I533" s="581"/>
    </row>
    <row r="534" spans="1:9">
      <c r="A534" s="581"/>
      <c r="B534" s="580" t="s">
        <v>3296</v>
      </c>
      <c r="C534" s="581">
        <v>-6</v>
      </c>
      <c r="D534" s="581">
        <v>2</v>
      </c>
      <c r="E534" s="582">
        <v>0.9</v>
      </c>
      <c r="F534" s="582">
        <v>1.35</v>
      </c>
      <c r="G534" s="582" t="s">
        <v>21</v>
      </c>
      <c r="H534" s="626">
        <f t="shared" si="19"/>
        <v>-14.580000000000002</v>
      </c>
      <c r="I534" s="581"/>
    </row>
    <row r="535" spans="1:9">
      <c r="A535" s="581"/>
      <c r="B535" s="580" t="s">
        <v>3297</v>
      </c>
      <c r="C535" s="581">
        <v>-6</v>
      </c>
      <c r="D535" s="581">
        <v>2</v>
      </c>
      <c r="E535" s="582">
        <v>0.6</v>
      </c>
      <c r="F535" s="582">
        <v>0.9</v>
      </c>
      <c r="G535" s="582" t="s">
        <v>21</v>
      </c>
      <c r="H535" s="626">
        <f t="shared" si="19"/>
        <v>-6.4799999999999995</v>
      </c>
      <c r="I535" s="581"/>
    </row>
    <row r="536" spans="1:9">
      <c r="A536" s="581"/>
      <c r="B536" s="580" t="s">
        <v>3298</v>
      </c>
      <c r="C536" s="581">
        <v>-6</v>
      </c>
      <c r="D536" s="581">
        <v>2</v>
      </c>
      <c r="E536" s="582" t="s">
        <v>3299</v>
      </c>
      <c r="F536" s="582">
        <v>1.35</v>
      </c>
      <c r="G536" s="582"/>
      <c r="H536" s="626">
        <f t="shared" si="19"/>
        <v>-16.200000000000003</v>
      </c>
      <c r="I536" s="581"/>
    </row>
    <row r="537" spans="1:9">
      <c r="A537" s="581"/>
      <c r="B537" s="580"/>
      <c r="C537" s="581"/>
      <c r="D537" s="581"/>
      <c r="E537" s="582"/>
      <c r="F537" s="582"/>
      <c r="G537" s="582"/>
      <c r="H537" s="626"/>
      <c r="I537" s="581"/>
    </row>
    <row r="538" spans="1:9">
      <c r="A538" s="581"/>
      <c r="B538" s="627" t="s">
        <v>3197</v>
      </c>
      <c r="C538" s="581"/>
      <c r="D538" s="581"/>
      <c r="E538" s="582"/>
      <c r="F538" s="582"/>
      <c r="G538" s="582"/>
      <c r="H538" s="626"/>
      <c r="I538" s="581"/>
    </row>
    <row r="539" spans="1:9">
      <c r="A539" s="581"/>
      <c r="B539" s="580" t="s">
        <v>3300</v>
      </c>
      <c r="C539" s="581">
        <v>8</v>
      </c>
      <c r="D539" s="581">
        <v>1</v>
      </c>
      <c r="E539" s="582">
        <v>6.4</v>
      </c>
      <c r="F539" s="582" t="s">
        <v>21</v>
      </c>
      <c r="G539" s="582">
        <v>3.3</v>
      </c>
      <c r="H539" s="626">
        <f t="shared" si="19"/>
        <v>168.96</v>
      </c>
      <c r="I539" s="581"/>
    </row>
    <row r="540" spans="1:9">
      <c r="A540" s="581"/>
      <c r="B540" s="580" t="s">
        <v>3286</v>
      </c>
      <c r="C540" s="581">
        <v>8</v>
      </c>
      <c r="D540" s="581">
        <v>2</v>
      </c>
      <c r="E540" s="582">
        <v>4.5</v>
      </c>
      <c r="F540" s="582" t="s">
        <v>21</v>
      </c>
      <c r="G540" s="582">
        <v>3.3</v>
      </c>
      <c r="H540" s="626">
        <f t="shared" si="19"/>
        <v>237.6</v>
      </c>
      <c r="I540" s="581"/>
    </row>
    <row r="541" spans="1:9">
      <c r="A541" s="581"/>
      <c r="B541" s="580" t="s">
        <v>3287</v>
      </c>
      <c r="C541" s="581">
        <v>8</v>
      </c>
      <c r="D541" s="581">
        <v>1</v>
      </c>
      <c r="E541" s="582">
        <v>2.6</v>
      </c>
      <c r="F541" s="582" t="s">
        <v>21</v>
      </c>
      <c r="G541" s="582">
        <v>3.3</v>
      </c>
      <c r="H541" s="626">
        <f t="shared" si="19"/>
        <v>68.64</v>
      </c>
      <c r="I541" s="581"/>
    </row>
    <row r="542" spans="1:9">
      <c r="A542" s="581"/>
      <c r="B542" s="580" t="s">
        <v>3301</v>
      </c>
      <c r="C542" s="581">
        <v>8</v>
      </c>
      <c r="D542" s="581">
        <v>1</v>
      </c>
      <c r="E542" s="582">
        <v>2.35</v>
      </c>
      <c r="F542" s="582" t="s">
        <v>21</v>
      </c>
      <c r="G542" s="582">
        <v>3.3</v>
      </c>
      <c r="H542" s="626">
        <f t="shared" si="19"/>
        <v>62.04</v>
      </c>
      <c r="I542" s="581"/>
    </row>
    <row r="543" spans="1:9">
      <c r="A543" s="581"/>
      <c r="B543" s="580" t="s">
        <v>3301</v>
      </c>
      <c r="C543" s="581">
        <v>8</v>
      </c>
      <c r="D543" s="581">
        <v>1</v>
      </c>
      <c r="E543" s="582">
        <v>7.5</v>
      </c>
      <c r="F543" s="582" t="s">
        <v>21</v>
      </c>
      <c r="G543" s="582">
        <v>3.3</v>
      </c>
      <c r="H543" s="626">
        <f t="shared" si="19"/>
        <v>198</v>
      </c>
      <c r="I543" s="581"/>
    </row>
    <row r="544" spans="1:9">
      <c r="A544" s="581"/>
      <c r="B544" s="580" t="s">
        <v>3302</v>
      </c>
      <c r="C544" s="581">
        <v>8</v>
      </c>
      <c r="D544" s="581">
        <v>1</v>
      </c>
      <c r="E544" s="582">
        <v>0.8</v>
      </c>
      <c r="F544" s="582" t="s">
        <v>21</v>
      </c>
      <c r="G544" s="582">
        <v>3.3</v>
      </c>
      <c r="H544" s="626">
        <f t="shared" si="19"/>
        <v>21.12</v>
      </c>
      <c r="I544" s="581"/>
    </row>
    <row r="545" spans="1:9">
      <c r="A545" s="581"/>
      <c r="B545" s="580" t="s">
        <v>3302</v>
      </c>
      <c r="C545" s="581">
        <v>8</v>
      </c>
      <c r="D545" s="581">
        <v>1</v>
      </c>
      <c r="E545" s="582">
        <v>1.1000000000000001</v>
      </c>
      <c r="F545" s="582" t="s">
        <v>21</v>
      </c>
      <c r="G545" s="582">
        <v>3.3</v>
      </c>
      <c r="H545" s="626">
        <f t="shared" si="19"/>
        <v>29.04</v>
      </c>
      <c r="I545" s="581"/>
    </row>
    <row r="546" spans="1:9">
      <c r="A546" s="581"/>
      <c r="B546" s="580" t="s">
        <v>3283</v>
      </c>
      <c r="C546" s="581">
        <v>-8</v>
      </c>
      <c r="D546" s="581">
        <v>2</v>
      </c>
      <c r="E546" s="582">
        <v>0.9</v>
      </c>
      <c r="F546" s="582">
        <v>2.25</v>
      </c>
      <c r="G546" s="582" t="s">
        <v>21</v>
      </c>
      <c r="H546" s="626">
        <f t="shared" si="19"/>
        <v>-32.4</v>
      </c>
      <c r="I546" s="581"/>
    </row>
    <row r="547" spans="1:9">
      <c r="A547" s="581"/>
      <c r="B547" s="580" t="s">
        <v>3295</v>
      </c>
      <c r="C547" s="581">
        <v>-8</v>
      </c>
      <c r="D547" s="581">
        <v>6</v>
      </c>
      <c r="E547" s="582">
        <v>1.05</v>
      </c>
      <c r="F547" s="582">
        <v>1.5</v>
      </c>
      <c r="G547" s="582" t="s">
        <v>21</v>
      </c>
      <c r="H547" s="626">
        <f>PRODUCT(C547:G547)</f>
        <v>-75.600000000000009</v>
      </c>
      <c r="I547" s="581"/>
    </row>
    <row r="548" spans="1:9">
      <c r="A548" s="581"/>
      <c r="B548" s="580" t="s">
        <v>3296</v>
      </c>
      <c r="C548" s="581">
        <v>-8</v>
      </c>
      <c r="D548" s="581">
        <v>2</v>
      </c>
      <c r="E548" s="582">
        <v>0.9</v>
      </c>
      <c r="F548" s="582">
        <v>1.35</v>
      </c>
      <c r="G548" s="582" t="s">
        <v>21</v>
      </c>
      <c r="H548" s="626">
        <f>PRODUCT(C548:G548)</f>
        <v>-19.440000000000001</v>
      </c>
      <c r="I548" s="581"/>
    </row>
    <row r="549" spans="1:9">
      <c r="A549" s="581"/>
      <c r="B549" s="580" t="s">
        <v>3297</v>
      </c>
      <c r="C549" s="581">
        <v>-8</v>
      </c>
      <c r="D549" s="581">
        <v>2</v>
      </c>
      <c r="E549" s="582">
        <v>0.6</v>
      </c>
      <c r="F549" s="582">
        <v>0.9</v>
      </c>
      <c r="G549" s="582" t="s">
        <v>21</v>
      </c>
      <c r="H549" s="626">
        <f>PRODUCT(C549:G549)</f>
        <v>-8.64</v>
      </c>
      <c r="I549" s="581"/>
    </row>
    <row r="550" spans="1:9">
      <c r="A550" s="581"/>
      <c r="B550" s="580" t="s">
        <v>3294</v>
      </c>
      <c r="C550" s="581">
        <v>8</v>
      </c>
      <c r="D550" s="581">
        <v>6</v>
      </c>
      <c r="E550" s="582">
        <v>5.5</v>
      </c>
      <c r="F550" s="582" t="s">
        <v>21</v>
      </c>
      <c r="G550" s="582">
        <v>0.6</v>
      </c>
      <c r="H550" s="626">
        <f>PRODUCT(C550:G550)</f>
        <v>158.4</v>
      </c>
      <c r="I550" s="581"/>
    </row>
    <row r="551" spans="1:9">
      <c r="A551" s="581"/>
      <c r="B551" s="580"/>
      <c r="C551" s="581"/>
      <c r="D551" s="581"/>
      <c r="E551" s="582"/>
      <c r="F551" s="582"/>
      <c r="G551" s="582"/>
      <c r="H551" s="626"/>
      <c r="I551" s="581"/>
    </row>
    <row r="552" spans="1:9">
      <c r="A552" s="581"/>
      <c r="B552" s="627" t="s">
        <v>3181</v>
      </c>
      <c r="C552" s="581"/>
      <c r="D552" s="581"/>
      <c r="E552" s="582"/>
      <c r="F552" s="582"/>
      <c r="G552" s="582"/>
      <c r="H552" s="626"/>
      <c r="I552" s="581"/>
    </row>
    <row r="553" spans="1:9">
      <c r="A553" s="581"/>
      <c r="B553" s="580" t="s">
        <v>3303</v>
      </c>
      <c r="C553" s="581">
        <v>2</v>
      </c>
      <c r="D553" s="581">
        <v>1</v>
      </c>
      <c r="E553" s="582">
        <v>9.3000000000000007</v>
      </c>
      <c r="F553" s="582" t="s">
        <v>21</v>
      </c>
      <c r="G553" s="582">
        <v>6</v>
      </c>
      <c r="H553" s="626">
        <f t="shared" ref="H553:H566" si="20">PRODUCT(C553:G553)</f>
        <v>111.60000000000001</v>
      </c>
      <c r="I553" s="581"/>
    </row>
    <row r="554" spans="1:9">
      <c r="A554" s="581"/>
      <c r="B554" s="580" t="s">
        <v>3304</v>
      </c>
      <c r="C554" s="581">
        <v>2</v>
      </c>
      <c r="D554" s="581">
        <v>1</v>
      </c>
      <c r="E554" s="582">
        <v>6.06</v>
      </c>
      <c r="F554" s="582" t="s">
        <v>21</v>
      </c>
      <c r="G554" s="582">
        <v>6</v>
      </c>
      <c r="H554" s="626">
        <f t="shared" si="20"/>
        <v>72.72</v>
      </c>
      <c r="I554" s="581"/>
    </row>
    <row r="555" spans="1:9">
      <c r="A555" s="581"/>
      <c r="B555" s="580" t="s">
        <v>3305</v>
      </c>
      <c r="C555" s="581">
        <v>2</v>
      </c>
      <c r="D555" s="581">
        <v>1</v>
      </c>
      <c r="E555" s="582">
        <v>3.08</v>
      </c>
      <c r="F555" s="582" t="s">
        <v>21</v>
      </c>
      <c r="G555" s="582">
        <v>6</v>
      </c>
      <c r="H555" s="626">
        <f t="shared" si="20"/>
        <v>36.96</v>
      </c>
      <c r="I555" s="581"/>
    </row>
    <row r="556" spans="1:9">
      <c r="A556" s="581"/>
      <c r="B556" s="580" t="s">
        <v>3306</v>
      </c>
      <c r="C556" s="581">
        <v>2</v>
      </c>
      <c r="D556" s="581">
        <v>1</v>
      </c>
      <c r="E556" s="582">
        <v>7.14</v>
      </c>
      <c r="F556" s="582" t="s">
        <v>21</v>
      </c>
      <c r="G556" s="582">
        <v>6</v>
      </c>
      <c r="H556" s="626">
        <f t="shared" si="20"/>
        <v>85.679999999999993</v>
      </c>
      <c r="I556" s="581"/>
    </row>
    <row r="557" spans="1:9">
      <c r="A557" s="581"/>
      <c r="B557" s="580" t="s">
        <v>3307</v>
      </c>
      <c r="C557" s="581">
        <v>2</v>
      </c>
      <c r="D557" s="581">
        <v>1</v>
      </c>
      <c r="E557" s="582">
        <v>3.2</v>
      </c>
      <c r="F557" s="582" t="s">
        <v>21</v>
      </c>
      <c r="G557" s="582">
        <v>6</v>
      </c>
      <c r="H557" s="626">
        <f t="shared" si="20"/>
        <v>38.400000000000006</v>
      </c>
      <c r="I557" s="581"/>
    </row>
    <row r="558" spans="1:9">
      <c r="A558" s="581"/>
      <c r="B558" s="580" t="s">
        <v>3308</v>
      </c>
      <c r="C558" s="581">
        <v>2</v>
      </c>
      <c r="D558" s="581">
        <v>1</v>
      </c>
      <c r="E558" s="582">
        <v>3.5</v>
      </c>
      <c r="F558" s="582" t="s">
        <v>21</v>
      </c>
      <c r="G558" s="582">
        <v>6</v>
      </c>
      <c r="H558" s="626">
        <f t="shared" si="20"/>
        <v>42</v>
      </c>
      <c r="I558" s="581"/>
    </row>
    <row r="559" spans="1:9">
      <c r="A559" s="581"/>
      <c r="B559" s="580" t="s">
        <v>3309</v>
      </c>
      <c r="C559" s="581">
        <v>2</v>
      </c>
      <c r="D559" s="581">
        <v>1</v>
      </c>
      <c r="E559" s="582">
        <v>1.1000000000000001</v>
      </c>
      <c r="F559" s="582" t="s">
        <v>21</v>
      </c>
      <c r="G559" s="582">
        <v>6</v>
      </c>
      <c r="H559" s="626">
        <f t="shared" si="20"/>
        <v>13.200000000000001</v>
      </c>
      <c r="I559" s="581"/>
    </row>
    <row r="560" spans="1:9">
      <c r="A560" s="581"/>
      <c r="B560" s="580" t="s">
        <v>3309</v>
      </c>
      <c r="C560" s="581">
        <v>2</v>
      </c>
      <c r="D560" s="581">
        <v>1</v>
      </c>
      <c r="E560" s="582">
        <v>0.9</v>
      </c>
      <c r="F560" s="582" t="s">
        <v>21</v>
      </c>
      <c r="G560" s="582">
        <v>6</v>
      </c>
      <c r="H560" s="626">
        <f t="shared" si="20"/>
        <v>10.8</v>
      </c>
      <c r="I560" s="581"/>
    </row>
    <row r="561" spans="1:9">
      <c r="A561" s="581"/>
      <c r="B561" s="580" t="s">
        <v>3309</v>
      </c>
      <c r="C561" s="581">
        <v>2</v>
      </c>
      <c r="D561" s="581">
        <v>1</v>
      </c>
      <c r="E561" s="582">
        <v>0.8</v>
      </c>
      <c r="F561" s="582" t="s">
        <v>21</v>
      </c>
      <c r="G561" s="582">
        <v>6</v>
      </c>
      <c r="H561" s="626">
        <f t="shared" si="20"/>
        <v>9.6000000000000014</v>
      </c>
      <c r="I561" s="581"/>
    </row>
    <row r="562" spans="1:9">
      <c r="A562" s="581"/>
      <c r="B562" s="580" t="s">
        <v>3283</v>
      </c>
      <c r="C562" s="581">
        <v>-2</v>
      </c>
      <c r="D562" s="581">
        <v>6</v>
      </c>
      <c r="E562" s="582">
        <v>0.9</v>
      </c>
      <c r="F562" s="582">
        <v>2.25</v>
      </c>
      <c r="G562" s="582" t="s">
        <v>21</v>
      </c>
      <c r="H562" s="626">
        <f t="shared" si="20"/>
        <v>-24.3</v>
      </c>
      <c r="I562" s="581"/>
    </row>
    <row r="563" spans="1:9">
      <c r="A563" s="581"/>
      <c r="B563" s="580" t="s">
        <v>3295</v>
      </c>
      <c r="C563" s="581">
        <v>-2</v>
      </c>
      <c r="D563" s="581">
        <v>14</v>
      </c>
      <c r="E563" s="582">
        <v>1.05</v>
      </c>
      <c r="F563" s="582">
        <v>1.5</v>
      </c>
      <c r="G563" s="582" t="s">
        <v>21</v>
      </c>
      <c r="H563" s="626">
        <f t="shared" si="20"/>
        <v>-44.1</v>
      </c>
      <c r="I563" s="581"/>
    </row>
    <row r="564" spans="1:9">
      <c r="A564" s="581"/>
      <c r="B564" s="580" t="s">
        <v>3296</v>
      </c>
      <c r="C564" s="581">
        <v>-2</v>
      </c>
      <c r="D564" s="581">
        <v>6</v>
      </c>
      <c r="E564" s="582">
        <v>0.9</v>
      </c>
      <c r="F564" s="582">
        <v>1.35</v>
      </c>
      <c r="G564" s="582" t="s">
        <v>21</v>
      </c>
      <c r="H564" s="626">
        <f t="shared" si="20"/>
        <v>-14.580000000000002</v>
      </c>
      <c r="I564" s="581"/>
    </row>
    <row r="565" spans="1:9">
      <c r="A565" s="581"/>
      <c r="B565" s="580" t="s">
        <v>3297</v>
      </c>
      <c r="C565" s="581">
        <v>-2</v>
      </c>
      <c r="D565" s="581">
        <v>4</v>
      </c>
      <c r="E565" s="582">
        <v>0.6</v>
      </c>
      <c r="F565" s="582">
        <v>0.9</v>
      </c>
      <c r="G565" s="582" t="s">
        <v>21</v>
      </c>
      <c r="H565" s="626">
        <f t="shared" si="20"/>
        <v>-4.32</v>
      </c>
      <c r="I565" s="581"/>
    </row>
    <row r="566" spans="1:9">
      <c r="A566" s="581"/>
      <c r="B566" s="580" t="s">
        <v>3294</v>
      </c>
      <c r="C566" s="581">
        <v>2</v>
      </c>
      <c r="D566" s="581">
        <v>14</v>
      </c>
      <c r="E566" s="582">
        <v>5.5</v>
      </c>
      <c r="F566" s="582" t="s">
        <v>21</v>
      </c>
      <c r="G566" s="582">
        <v>0.6</v>
      </c>
      <c r="H566" s="626">
        <f t="shared" si="20"/>
        <v>92.399999999999991</v>
      </c>
      <c r="I566" s="581"/>
    </row>
    <row r="567" spans="1:9">
      <c r="A567" s="581"/>
      <c r="B567" s="580"/>
      <c r="C567" s="581"/>
      <c r="D567" s="581"/>
      <c r="E567" s="582"/>
      <c r="F567" s="582"/>
      <c r="G567" s="582"/>
      <c r="H567" s="626">
        <f>SUM(H522:H566)</f>
        <v>3345.6420000000003</v>
      </c>
      <c r="I567" s="581"/>
    </row>
    <row r="568" spans="1:9" ht="16.149999999999999" customHeight="1">
      <c r="A568" s="581"/>
      <c r="B568" s="580"/>
      <c r="C568" s="581"/>
      <c r="D568" s="581"/>
      <c r="E568" s="582"/>
      <c r="F568" s="582"/>
      <c r="G568" s="582" t="s">
        <v>9</v>
      </c>
      <c r="H568" s="629">
        <v>3346</v>
      </c>
      <c r="I568" s="581" t="s">
        <v>306</v>
      </c>
    </row>
    <row r="569" spans="1:9" ht="56.45" customHeight="1">
      <c r="A569" s="581">
        <v>43</v>
      </c>
      <c r="B569" s="595" t="s">
        <v>3311</v>
      </c>
      <c r="C569" s="581"/>
      <c r="D569" s="581"/>
      <c r="E569" s="582"/>
      <c r="F569" s="582"/>
      <c r="G569" s="582"/>
      <c r="H569" s="626"/>
      <c r="I569" s="581"/>
    </row>
    <row r="570" spans="1:9">
      <c r="A570" s="581"/>
      <c r="B570" s="595" t="s">
        <v>3196</v>
      </c>
      <c r="C570" s="581"/>
      <c r="D570" s="581"/>
      <c r="E570" s="582"/>
      <c r="F570" s="582"/>
      <c r="G570" s="582"/>
      <c r="H570" s="626"/>
      <c r="I570" s="581"/>
    </row>
    <row r="571" spans="1:9">
      <c r="A571" s="581"/>
      <c r="B571" s="580" t="s">
        <v>3312</v>
      </c>
      <c r="C571" s="581">
        <v>24</v>
      </c>
      <c r="D571" s="581">
        <v>5</v>
      </c>
      <c r="E571" s="582">
        <v>0.9</v>
      </c>
      <c r="F571" s="582" t="s">
        <v>21</v>
      </c>
      <c r="G571" s="582">
        <v>2.25</v>
      </c>
      <c r="H571" s="626">
        <f t="shared" ref="H571:H577" si="21">PRODUCT(C571:G571)</f>
        <v>243</v>
      </c>
      <c r="I571" s="581"/>
    </row>
    <row r="572" spans="1:9">
      <c r="A572" s="581"/>
      <c r="B572" s="580" t="s">
        <v>3313</v>
      </c>
      <c r="C572" s="581">
        <v>24</v>
      </c>
      <c r="D572" s="581">
        <v>2</v>
      </c>
      <c r="E572" s="582">
        <v>0.75</v>
      </c>
      <c r="F572" s="582" t="s">
        <v>21</v>
      </c>
      <c r="G572" s="582">
        <v>2</v>
      </c>
      <c r="H572" s="626">
        <f t="shared" si="21"/>
        <v>72</v>
      </c>
      <c r="I572" s="581"/>
    </row>
    <row r="573" spans="1:9">
      <c r="A573" s="581"/>
      <c r="B573" s="580" t="s">
        <v>29</v>
      </c>
      <c r="C573" s="581">
        <v>24</v>
      </c>
      <c r="D573" s="581">
        <v>3</v>
      </c>
      <c r="E573" s="582">
        <v>1.05</v>
      </c>
      <c r="F573" s="582" t="s">
        <v>21</v>
      </c>
      <c r="G573" s="582">
        <v>1.5</v>
      </c>
      <c r="H573" s="626">
        <f t="shared" si="21"/>
        <v>113.4</v>
      </c>
      <c r="I573" s="581"/>
    </row>
    <row r="574" spans="1:9">
      <c r="A574" s="581"/>
      <c r="B574" s="580" t="s">
        <v>3315</v>
      </c>
      <c r="C574" s="581">
        <v>24</v>
      </c>
      <c r="D574" s="581">
        <v>1</v>
      </c>
      <c r="E574" s="582">
        <v>0.9</v>
      </c>
      <c r="F574" s="582" t="s">
        <v>21</v>
      </c>
      <c r="G574" s="582">
        <v>1.35</v>
      </c>
      <c r="H574" s="626">
        <f t="shared" si="21"/>
        <v>29.160000000000004</v>
      </c>
      <c r="I574" s="581"/>
    </row>
    <row r="575" spans="1:9">
      <c r="A575" s="581"/>
      <c r="B575" s="580" t="s">
        <v>3314</v>
      </c>
      <c r="C575" s="581">
        <v>24</v>
      </c>
      <c r="D575" s="581">
        <v>1</v>
      </c>
      <c r="E575" s="582">
        <v>0.6</v>
      </c>
      <c r="F575" s="582" t="s">
        <v>21</v>
      </c>
      <c r="G575" s="582">
        <v>1.35</v>
      </c>
      <c r="H575" s="626">
        <f t="shared" si="21"/>
        <v>19.439999999999998</v>
      </c>
      <c r="I575" s="581"/>
    </row>
    <row r="576" spans="1:9">
      <c r="A576" s="581"/>
      <c r="B576" s="580" t="s">
        <v>3316</v>
      </c>
      <c r="C576" s="581">
        <v>24</v>
      </c>
      <c r="D576" s="581">
        <v>1</v>
      </c>
      <c r="E576" s="582">
        <v>1.8</v>
      </c>
      <c r="F576" s="582" t="s">
        <v>21</v>
      </c>
      <c r="G576" s="582">
        <v>1.5</v>
      </c>
      <c r="H576" s="626">
        <f t="shared" si="21"/>
        <v>64.800000000000011</v>
      </c>
      <c r="I576" s="581"/>
    </row>
    <row r="577" spans="1:9">
      <c r="A577" s="581"/>
      <c r="B577" s="580" t="s">
        <v>3317</v>
      </c>
      <c r="C577" s="581">
        <v>24</v>
      </c>
      <c r="D577" s="581">
        <v>2</v>
      </c>
      <c r="E577" s="582">
        <v>0.6</v>
      </c>
      <c r="F577" s="582" t="s">
        <v>21</v>
      </c>
      <c r="G577" s="582">
        <v>0.9</v>
      </c>
      <c r="H577" s="626">
        <f t="shared" si="21"/>
        <v>25.919999999999998</v>
      </c>
      <c r="I577" s="581"/>
    </row>
    <row r="578" spans="1:9">
      <c r="A578" s="581"/>
      <c r="B578" s="580"/>
      <c r="C578" s="581"/>
      <c r="D578" s="581"/>
      <c r="E578" s="582"/>
      <c r="F578" s="582"/>
      <c r="G578" s="582"/>
      <c r="H578" s="626"/>
      <c r="I578" s="581"/>
    </row>
    <row r="579" spans="1:9">
      <c r="A579" s="581"/>
      <c r="B579" s="595" t="s">
        <v>3197</v>
      </c>
      <c r="C579" s="581"/>
      <c r="D579" s="581"/>
      <c r="E579" s="582"/>
      <c r="F579" s="582"/>
      <c r="G579" s="582"/>
      <c r="H579" s="626"/>
      <c r="I579" s="581"/>
    </row>
    <row r="580" spans="1:9">
      <c r="A580" s="581"/>
      <c r="B580" s="580" t="s">
        <v>3312</v>
      </c>
      <c r="C580" s="581">
        <v>8</v>
      </c>
      <c r="D580" s="581">
        <v>6</v>
      </c>
      <c r="E580" s="582">
        <v>0.9</v>
      </c>
      <c r="F580" s="582" t="s">
        <v>21</v>
      </c>
      <c r="G580" s="582">
        <v>2.25</v>
      </c>
      <c r="H580" s="626">
        <f t="shared" ref="H580:H585" si="22">PRODUCT(C580:G580)</f>
        <v>97.2</v>
      </c>
      <c r="I580" s="581"/>
    </row>
    <row r="581" spans="1:9">
      <c r="A581" s="581"/>
      <c r="B581" s="580" t="s">
        <v>3313</v>
      </c>
      <c r="C581" s="581">
        <v>8</v>
      </c>
      <c r="D581" s="581">
        <v>2</v>
      </c>
      <c r="E581" s="582">
        <v>0.75</v>
      </c>
      <c r="F581" s="582" t="s">
        <v>21</v>
      </c>
      <c r="G581" s="582">
        <v>2</v>
      </c>
      <c r="H581" s="626">
        <f t="shared" si="22"/>
        <v>24</v>
      </c>
      <c r="I581" s="581"/>
    </row>
    <row r="582" spans="1:9">
      <c r="A582" s="581"/>
      <c r="B582" s="580" t="s">
        <v>29</v>
      </c>
      <c r="C582" s="581">
        <v>8</v>
      </c>
      <c r="D582" s="581">
        <v>4</v>
      </c>
      <c r="E582" s="582">
        <v>1.05</v>
      </c>
      <c r="F582" s="582" t="s">
        <v>21</v>
      </c>
      <c r="G582" s="582">
        <v>1.5</v>
      </c>
      <c r="H582" s="626">
        <f t="shared" si="22"/>
        <v>50.400000000000006</v>
      </c>
      <c r="I582" s="581"/>
    </row>
    <row r="583" spans="1:9">
      <c r="A583" s="581"/>
      <c r="B583" s="580" t="s">
        <v>3315</v>
      </c>
      <c r="C583" s="581">
        <v>8</v>
      </c>
      <c r="D583" s="581">
        <v>2</v>
      </c>
      <c r="E583" s="582">
        <v>0.9</v>
      </c>
      <c r="F583" s="582" t="s">
        <v>21</v>
      </c>
      <c r="G583" s="582">
        <v>1.35</v>
      </c>
      <c r="H583" s="626">
        <f t="shared" si="22"/>
        <v>19.440000000000001</v>
      </c>
      <c r="I583" s="581"/>
    </row>
    <row r="584" spans="1:9">
      <c r="A584" s="581"/>
      <c r="B584" s="580" t="s">
        <v>3314</v>
      </c>
      <c r="C584" s="581">
        <v>8</v>
      </c>
      <c r="D584" s="581">
        <v>1</v>
      </c>
      <c r="E584" s="582">
        <v>0.6</v>
      </c>
      <c r="F584" s="582" t="s">
        <v>21</v>
      </c>
      <c r="G584" s="582">
        <v>1.35</v>
      </c>
      <c r="H584" s="626">
        <f t="shared" si="22"/>
        <v>6.48</v>
      </c>
      <c r="I584" s="581"/>
    </row>
    <row r="585" spans="1:9">
      <c r="A585" s="581"/>
      <c r="B585" s="580" t="s">
        <v>3317</v>
      </c>
      <c r="C585" s="581">
        <v>8</v>
      </c>
      <c r="D585" s="581">
        <v>2</v>
      </c>
      <c r="E585" s="582">
        <v>0.6</v>
      </c>
      <c r="F585" s="582" t="s">
        <v>21</v>
      </c>
      <c r="G585" s="582">
        <v>0.9</v>
      </c>
      <c r="H585" s="626">
        <f t="shared" si="22"/>
        <v>8.64</v>
      </c>
      <c r="I585" s="581"/>
    </row>
    <row r="586" spans="1:9">
      <c r="A586" s="581"/>
      <c r="B586" s="580"/>
      <c r="C586" s="581"/>
      <c r="D586" s="581"/>
      <c r="E586" s="582"/>
      <c r="F586" s="582"/>
      <c r="G586" s="582"/>
      <c r="H586" s="626"/>
      <c r="I586" s="581"/>
    </row>
    <row r="587" spans="1:9">
      <c r="A587" s="581"/>
      <c r="B587" s="595" t="s">
        <v>3181</v>
      </c>
      <c r="C587" s="581"/>
      <c r="D587" s="581"/>
      <c r="E587" s="582"/>
      <c r="F587" s="582"/>
      <c r="G587" s="582"/>
      <c r="H587" s="626"/>
      <c r="I587" s="581"/>
    </row>
    <row r="588" spans="1:9">
      <c r="A588" s="581"/>
      <c r="B588" s="580" t="s">
        <v>3312</v>
      </c>
      <c r="C588" s="581">
        <v>4</v>
      </c>
      <c r="D588" s="581">
        <v>6</v>
      </c>
      <c r="E588" s="582">
        <v>0.9</v>
      </c>
      <c r="F588" s="582" t="s">
        <v>21</v>
      </c>
      <c r="G588" s="582">
        <v>2.25</v>
      </c>
      <c r="H588" s="626">
        <f t="shared" ref="H588:H593" si="23">PRODUCT(C588:G588)</f>
        <v>48.6</v>
      </c>
      <c r="I588" s="581"/>
    </row>
    <row r="589" spans="1:9">
      <c r="A589" s="581"/>
      <c r="B589" s="580" t="s">
        <v>3313</v>
      </c>
      <c r="C589" s="581">
        <v>4</v>
      </c>
      <c r="D589" s="581">
        <v>2</v>
      </c>
      <c r="E589" s="582">
        <v>0.75</v>
      </c>
      <c r="F589" s="582" t="s">
        <v>21</v>
      </c>
      <c r="G589" s="582">
        <v>2</v>
      </c>
      <c r="H589" s="626">
        <f t="shared" si="23"/>
        <v>12</v>
      </c>
      <c r="I589" s="581"/>
    </row>
    <row r="590" spans="1:9">
      <c r="A590" s="581"/>
      <c r="B590" s="580" t="s">
        <v>29</v>
      </c>
      <c r="C590" s="581">
        <v>4</v>
      </c>
      <c r="D590" s="581">
        <v>5</v>
      </c>
      <c r="E590" s="582">
        <v>1.05</v>
      </c>
      <c r="F590" s="582" t="s">
        <v>21</v>
      </c>
      <c r="G590" s="582">
        <v>1.5</v>
      </c>
      <c r="H590" s="626">
        <f t="shared" si="23"/>
        <v>31.5</v>
      </c>
      <c r="I590" s="581"/>
    </row>
    <row r="591" spans="1:9">
      <c r="A591" s="581"/>
      <c r="B591" s="580" t="s">
        <v>3315</v>
      </c>
      <c r="C591" s="581">
        <v>4</v>
      </c>
      <c r="D591" s="581">
        <v>2</v>
      </c>
      <c r="E591" s="582">
        <v>0.9</v>
      </c>
      <c r="F591" s="582" t="s">
        <v>21</v>
      </c>
      <c r="G591" s="582">
        <v>1.35</v>
      </c>
      <c r="H591" s="626">
        <f t="shared" si="23"/>
        <v>9.7200000000000006</v>
      </c>
      <c r="I591" s="581"/>
    </row>
    <row r="592" spans="1:9">
      <c r="A592" s="581"/>
      <c r="B592" s="580" t="s">
        <v>3314</v>
      </c>
      <c r="C592" s="581">
        <v>4</v>
      </c>
      <c r="D592" s="581">
        <v>2</v>
      </c>
      <c r="E592" s="582">
        <v>0.6</v>
      </c>
      <c r="F592" s="582" t="s">
        <v>21</v>
      </c>
      <c r="G592" s="582">
        <v>1.35</v>
      </c>
      <c r="H592" s="626">
        <f t="shared" si="23"/>
        <v>6.48</v>
      </c>
      <c r="I592" s="581"/>
    </row>
    <row r="593" spans="1:9">
      <c r="A593" s="581"/>
      <c r="B593" s="580" t="s">
        <v>3317</v>
      </c>
      <c r="C593" s="581">
        <v>4</v>
      </c>
      <c r="D593" s="581">
        <v>2</v>
      </c>
      <c r="E593" s="582">
        <v>0.6</v>
      </c>
      <c r="F593" s="582" t="s">
        <v>21</v>
      </c>
      <c r="G593" s="582">
        <v>0.9</v>
      </c>
      <c r="H593" s="626">
        <f t="shared" si="23"/>
        <v>4.32</v>
      </c>
      <c r="I593" s="581"/>
    </row>
    <row r="594" spans="1:9">
      <c r="A594" s="581"/>
      <c r="B594" s="580"/>
      <c r="C594" s="581"/>
      <c r="D594" s="581"/>
      <c r="E594" s="582"/>
      <c r="F594" s="582"/>
      <c r="G594" s="582"/>
      <c r="H594" s="629">
        <f>SUM(H571:H593)</f>
        <v>886.50000000000011</v>
      </c>
      <c r="I594" s="581" t="s">
        <v>306</v>
      </c>
    </row>
    <row r="595" spans="1:9">
      <c r="A595" s="581"/>
      <c r="B595" s="580"/>
      <c r="C595" s="581"/>
      <c r="D595" s="581"/>
      <c r="E595" s="582"/>
      <c r="F595" s="582"/>
      <c r="G595" s="582"/>
      <c r="H595" s="629"/>
      <c r="I595" s="581"/>
    </row>
    <row r="596" spans="1:9" ht="60" customHeight="1">
      <c r="A596" s="581">
        <v>44</v>
      </c>
      <c r="B596" s="595" t="s">
        <v>3461</v>
      </c>
      <c r="C596" s="581"/>
      <c r="D596" s="581"/>
      <c r="E596" s="582"/>
      <c r="F596" s="582"/>
      <c r="G596" s="582"/>
      <c r="H596" s="626"/>
      <c r="I596" s="581"/>
    </row>
    <row r="597" spans="1:9" ht="33">
      <c r="A597" s="581"/>
      <c r="B597" s="595" t="s">
        <v>3196</v>
      </c>
      <c r="C597" s="581"/>
      <c r="D597" s="581"/>
      <c r="E597" s="582"/>
      <c r="F597" s="582" t="s">
        <v>3462</v>
      </c>
      <c r="G597" s="582"/>
      <c r="H597" s="626"/>
      <c r="I597" s="581"/>
    </row>
    <row r="598" spans="1:9">
      <c r="A598" s="581"/>
      <c r="B598" s="580" t="s">
        <v>29</v>
      </c>
      <c r="C598" s="581">
        <v>24</v>
      </c>
      <c r="D598" s="581">
        <v>3</v>
      </c>
      <c r="E598" s="582">
        <v>1.05</v>
      </c>
      <c r="F598" s="582">
        <v>1</v>
      </c>
      <c r="G598" s="582">
        <v>1.5</v>
      </c>
      <c r="H598" s="626">
        <f>PRODUCT(C598:G598)</f>
        <v>113.4</v>
      </c>
      <c r="I598" s="581"/>
    </row>
    <row r="599" spans="1:9">
      <c r="A599" s="581"/>
      <c r="B599" s="580" t="s">
        <v>3315</v>
      </c>
      <c r="C599" s="581">
        <v>24</v>
      </c>
      <c r="D599" s="581">
        <v>1</v>
      </c>
      <c r="E599" s="582">
        <v>0.9</v>
      </c>
      <c r="F599" s="582">
        <v>1</v>
      </c>
      <c r="G599" s="582">
        <v>1.35</v>
      </c>
      <c r="H599" s="626">
        <f>PRODUCT(C599:G599)</f>
        <v>29.160000000000004</v>
      </c>
      <c r="I599" s="581"/>
    </row>
    <row r="600" spans="1:9">
      <c r="A600" s="581"/>
      <c r="B600" s="580" t="s">
        <v>3314</v>
      </c>
      <c r="C600" s="581">
        <v>24</v>
      </c>
      <c r="D600" s="581">
        <v>1</v>
      </c>
      <c r="E600" s="582">
        <v>0.6</v>
      </c>
      <c r="F600" s="582">
        <v>1</v>
      </c>
      <c r="G600" s="582">
        <v>1.35</v>
      </c>
      <c r="H600" s="626">
        <f>PRODUCT(C600:G600)</f>
        <v>19.439999999999998</v>
      </c>
      <c r="I600" s="581"/>
    </row>
    <row r="601" spans="1:9">
      <c r="A601" s="581"/>
      <c r="B601" s="580" t="s">
        <v>3316</v>
      </c>
      <c r="C601" s="581">
        <v>24</v>
      </c>
      <c r="D601" s="581">
        <v>1</v>
      </c>
      <c r="E601" s="582">
        <v>1.8</v>
      </c>
      <c r="F601" s="582">
        <v>1</v>
      </c>
      <c r="G601" s="582">
        <v>1.5</v>
      </c>
      <c r="H601" s="626">
        <f>PRODUCT(C601:G601)</f>
        <v>64.800000000000011</v>
      </c>
      <c r="I601" s="581"/>
    </row>
    <row r="602" spans="1:9">
      <c r="A602" s="581"/>
      <c r="B602" s="580" t="s">
        <v>3317</v>
      </c>
      <c r="C602" s="581">
        <v>24</v>
      </c>
      <c r="D602" s="581">
        <v>2</v>
      </c>
      <c r="E602" s="582">
        <v>0.6</v>
      </c>
      <c r="F602" s="582">
        <v>1</v>
      </c>
      <c r="G602" s="582">
        <v>0.9</v>
      </c>
      <c r="H602" s="626">
        <f>PRODUCT(C602:G602)</f>
        <v>25.919999999999998</v>
      </c>
      <c r="I602" s="581"/>
    </row>
    <row r="603" spans="1:9">
      <c r="A603" s="581"/>
      <c r="B603" s="580"/>
      <c r="C603" s="581"/>
      <c r="D603" s="581"/>
      <c r="E603" s="582"/>
      <c r="F603" s="582"/>
      <c r="G603" s="582"/>
      <c r="H603" s="626"/>
      <c r="I603" s="581"/>
    </row>
    <row r="604" spans="1:9">
      <c r="A604" s="581"/>
      <c r="B604" s="595" t="s">
        <v>3197</v>
      </c>
      <c r="C604" s="581"/>
      <c r="D604" s="581"/>
      <c r="E604" s="582"/>
      <c r="F604" s="582"/>
      <c r="G604" s="582"/>
      <c r="H604" s="626"/>
      <c r="I604" s="581"/>
    </row>
    <row r="605" spans="1:9">
      <c r="A605" s="581"/>
      <c r="B605" s="580" t="s">
        <v>29</v>
      </c>
      <c r="C605" s="581">
        <v>8</v>
      </c>
      <c r="D605" s="581">
        <v>4</v>
      </c>
      <c r="E605" s="582">
        <v>1.05</v>
      </c>
      <c r="F605" s="582">
        <v>1</v>
      </c>
      <c r="G605" s="582">
        <v>1.5</v>
      </c>
      <c r="H605" s="626">
        <f>PRODUCT(C605:G605)</f>
        <v>50.400000000000006</v>
      </c>
      <c r="I605" s="581"/>
    </row>
    <row r="606" spans="1:9">
      <c r="A606" s="581"/>
      <c r="B606" s="580" t="s">
        <v>3315</v>
      </c>
      <c r="C606" s="581">
        <v>8</v>
      </c>
      <c r="D606" s="581">
        <v>2</v>
      </c>
      <c r="E606" s="582">
        <v>0.9</v>
      </c>
      <c r="F606" s="582">
        <v>1</v>
      </c>
      <c r="G606" s="582">
        <v>1.35</v>
      </c>
      <c r="H606" s="626">
        <f>PRODUCT(C606:G606)</f>
        <v>19.440000000000001</v>
      </c>
      <c r="I606" s="581"/>
    </row>
    <row r="607" spans="1:9">
      <c r="A607" s="581"/>
      <c r="B607" s="580" t="s">
        <v>3314</v>
      </c>
      <c r="C607" s="581">
        <v>8</v>
      </c>
      <c r="D607" s="581">
        <v>1</v>
      </c>
      <c r="E607" s="582">
        <v>0.6</v>
      </c>
      <c r="F607" s="582">
        <v>1</v>
      </c>
      <c r="G607" s="582">
        <v>1.35</v>
      </c>
      <c r="H607" s="626">
        <f>PRODUCT(C607:G607)</f>
        <v>6.48</v>
      </c>
      <c r="I607" s="581"/>
    </row>
    <row r="608" spans="1:9">
      <c r="A608" s="581"/>
      <c r="B608" s="580" t="s">
        <v>3317</v>
      </c>
      <c r="C608" s="581">
        <v>8</v>
      </c>
      <c r="D608" s="581">
        <v>2</v>
      </c>
      <c r="E608" s="582">
        <v>0.6</v>
      </c>
      <c r="F608" s="582">
        <v>1</v>
      </c>
      <c r="G608" s="582">
        <v>0.9</v>
      </c>
      <c r="H608" s="626">
        <f>PRODUCT(C608:G608)</f>
        <v>8.64</v>
      </c>
      <c r="I608" s="581"/>
    </row>
    <row r="609" spans="1:9">
      <c r="A609" s="581"/>
      <c r="B609" s="580"/>
      <c r="C609" s="581"/>
      <c r="D609" s="581"/>
      <c r="E609" s="582"/>
      <c r="F609" s="582"/>
      <c r="G609" s="582"/>
      <c r="H609" s="626"/>
      <c r="I609" s="581"/>
    </row>
    <row r="610" spans="1:9">
      <c r="A610" s="581"/>
      <c r="B610" s="595" t="s">
        <v>3181</v>
      </c>
      <c r="C610" s="581"/>
      <c r="D610" s="581"/>
      <c r="E610" s="582"/>
      <c r="F610" s="582"/>
      <c r="G610" s="582"/>
      <c r="H610" s="626"/>
      <c r="I610" s="581"/>
    </row>
    <row r="611" spans="1:9">
      <c r="A611" s="581"/>
      <c r="B611" s="580" t="s">
        <v>29</v>
      </c>
      <c r="C611" s="581">
        <v>4</v>
      </c>
      <c r="D611" s="581">
        <v>3</v>
      </c>
      <c r="E611" s="582">
        <v>1.05</v>
      </c>
      <c r="F611" s="582">
        <v>1</v>
      </c>
      <c r="G611" s="582">
        <v>1.5</v>
      </c>
      <c r="H611" s="626">
        <f>PRODUCT(C611:G611)</f>
        <v>18.900000000000002</v>
      </c>
      <c r="I611" s="581"/>
    </row>
    <row r="612" spans="1:9">
      <c r="A612" s="581"/>
      <c r="B612" s="580" t="s">
        <v>3315</v>
      </c>
      <c r="C612" s="581">
        <v>4</v>
      </c>
      <c r="D612" s="581">
        <v>2</v>
      </c>
      <c r="E612" s="582">
        <v>0.9</v>
      </c>
      <c r="F612" s="582">
        <v>1</v>
      </c>
      <c r="G612" s="582">
        <v>1.35</v>
      </c>
      <c r="H612" s="626">
        <f>PRODUCT(C612:G612)</f>
        <v>9.7200000000000006</v>
      </c>
      <c r="I612" s="581"/>
    </row>
    <row r="613" spans="1:9">
      <c r="A613" s="581"/>
      <c r="B613" s="580" t="s">
        <v>3314</v>
      </c>
      <c r="C613" s="581">
        <v>4</v>
      </c>
      <c r="D613" s="581">
        <v>2</v>
      </c>
      <c r="E613" s="582">
        <v>0.6</v>
      </c>
      <c r="F613" s="582">
        <v>1</v>
      </c>
      <c r="G613" s="582">
        <v>1.35</v>
      </c>
      <c r="H613" s="626">
        <f>PRODUCT(C613:G613)</f>
        <v>6.48</v>
      </c>
      <c r="I613" s="581"/>
    </row>
    <row r="614" spans="1:9">
      <c r="A614" s="581"/>
      <c r="B614" s="580" t="s">
        <v>3317</v>
      </c>
      <c r="C614" s="581">
        <v>4</v>
      </c>
      <c r="D614" s="581">
        <v>2</v>
      </c>
      <c r="E614" s="582">
        <v>0.6</v>
      </c>
      <c r="F614" s="582">
        <v>1</v>
      </c>
      <c r="G614" s="582">
        <v>0.9</v>
      </c>
      <c r="H614" s="626">
        <f>PRODUCT(C614:G614)</f>
        <v>4.32</v>
      </c>
      <c r="I614" s="581"/>
    </row>
    <row r="615" spans="1:9">
      <c r="A615" s="581"/>
      <c r="B615" s="580"/>
      <c r="C615" s="581"/>
      <c r="D615" s="581"/>
      <c r="E615" s="582"/>
      <c r="F615" s="582"/>
      <c r="G615" s="582"/>
      <c r="H615" s="629">
        <f>SUM(H598:H614)</f>
        <v>377.1</v>
      </c>
      <c r="I615" s="581" t="s">
        <v>306</v>
      </c>
    </row>
    <row r="616" spans="1:9">
      <c r="A616" s="581"/>
      <c r="B616" s="580"/>
      <c r="C616" s="581"/>
      <c r="D616" s="581"/>
      <c r="E616" s="582"/>
      <c r="F616" s="582"/>
      <c r="G616" s="582"/>
      <c r="H616" s="629"/>
      <c r="I616" s="581"/>
    </row>
    <row r="617" spans="1:9" ht="82.5">
      <c r="A617" s="573">
        <v>45</v>
      </c>
      <c r="B617" s="627" t="s">
        <v>3451</v>
      </c>
      <c r="C617" s="577"/>
      <c r="D617" s="577"/>
      <c r="E617" s="578"/>
      <c r="F617" s="578"/>
      <c r="G617" s="578"/>
      <c r="H617" s="591"/>
      <c r="I617" s="581"/>
    </row>
    <row r="618" spans="1:9">
      <c r="A618" s="581"/>
      <c r="B618" s="622" t="s">
        <v>3452</v>
      </c>
      <c r="C618" s="577">
        <v>1</v>
      </c>
      <c r="D618" s="577">
        <v>15</v>
      </c>
      <c r="E618" s="578" t="s">
        <v>21</v>
      </c>
      <c r="F618" s="578" t="s">
        <v>21</v>
      </c>
      <c r="G618" s="578" t="s">
        <v>21</v>
      </c>
      <c r="H618" s="591">
        <f>PRODUCT(C618:G618)</f>
        <v>15</v>
      </c>
      <c r="I618" s="581" t="s">
        <v>340</v>
      </c>
    </row>
    <row r="619" spans="1:9">
      <c r="A619" s="581"/>
      <c r="B619" s="580"/>
      <c r="C619" s="581"/>
      <c r="D619" s="581"/>
      <c r="E619" s="582"/>
      <c r="F619" s="582"/>
      <c r="G619" s="582"/>
      <c r="H619" s="626"/>
      <c r="I619" s="581"/>
    </row>
    <row r="620" spans="1:9" ht="88.15" customHeight="1">
      <c r="A620" s="575">
        <v>46</v>
      </c>
      <c r="B620" s="660" t="s">
        <v>3455</v>
      </c>
      <c r="C620" s="577"/>
      <c r="D620" s="577"/>
      <c r="E620" s="578"/>
      <c r="F620" s="578"/>
      <c r="G620" s="578"/>
      <c r="H620" s="591"/>
      <c r="I620" s="582"/>
    </row>
    <row r="621" spans="1:9" ht="25.15" customHeight="1">
      <c r="A621" s="575"/>
      <c r="B621" s="622" t="s">
        <v>3453</v>
      </c>
      <c r="C621" s="577">
        <v>1</v>
      </c>
      <c r="D621" s="577">
        <v>1</v>
      </c>
      <c r="E621" s="578">
        <v>160</v>
      </c>
      <c r="F621" s="578">
        <v>5</v>
      </c>
      <c r="G621" s="578" t="s">
        <v>21</v>
      </c>
      <c r="H621" s="629">
        <f>PRODUCT(C621:G621)</f>
        <v>800</v>
      </c>
      <c r="I621" s="581" t="s">
        <v>306</v>
      </c>
    </row>
    <row r="622" spans="1:9" ht="25.15" customHeight="1">
      <c r="A622" s="581"/>
      <c r="B622" s="581"/>
      <c r="C622" s="581"/>
      <c r="D622" s="581"/>
      <c r="E622" s="582"/>
      <c r="F622" s="582"/>
      <c r="G622" s="582"/>
      <c r="H622" s="582"/>
      <c r="I622" s="582"/>
    </row>
    <row r="623" spans="1:9" ht="66">
      <c r="A623" s="581">
        <v>47</v>
      </c>
      <c r="B623" s="627" t="s">
        <v>3458</v>
      </c>
      <c r="C623" s="581"/>
      <c r="D623" s="581"/>
      <c r="E623" s="582"/>
      <c r="F623" s="582"/>
      <c r="G623" s="582"/>
      <c r="H623" s="626"/>
      <c r="I623" s="581"/>
    </row>
    <row r="624" spans="1:9">
      <c r="A624" s="581"/>
      <c r="B624" s="580" t="s">
        <v>3196</v>
      </c>
      <c r="C624" s="581">
        <v>6</v>
      </c>
      <c r="D624" s="581">
        <v>4</v>
      </c>
      <c r="E624" s="582" t="s">
        <v>21</v>
      </c>
      <c r="F624" s="582" t="s">
        <v>21</v>
      </c>
      <c r="G624" s="582" t="s">
        <v>21</v>
      </c>
      <c r="H624" s="626">
        <f>PRODUCT(C624:G624)</f>
        <v>24</v>
      </c>
      <c r="I624" s="581"/>
    </row>
    <row r="625" spans="1:9">
      <c r="A625" s="581"/>
      <c r="B625" s="580" t="s">
        <v>3197</v>
      </c>
      <c r="C625" s="581">
        <v>8</v>
      </c>
      <c r="D625" s="581">
        <v>1</v>
      </c>
      <c r="E625" s="582" t="s">
        <v>21</v>
      </c>
      <c r="F625" s="582" t="s">
        <v>21</v>
      </c>
      <c r="G625" s="582" t="s">
        <v>21</v>
      </c>
      <c r="H625" s="626">
        <f>PRODUCT(C625:G625)</f>
        <v>8</v>
      </c>
      <c r="I625" s="581"/>
    </row>
    <row r="626" spans="1:9">
      <c r="A626" s="581"/>
      <c r="B626" s="580" t="s">
        <v>3181</v>
      </c>
      <c r="C626" s="581">
        <v>4</v>
      </c>
      <c r="D626" s="581">
        <v>1</v>
      </c>
      <c r="E626" s="582" t="s">
        <v>21</v>
      </c>
      <c r="F626" s="582" t="s">
        <v>21</v>
      </c>
      <c r="G626" s="582" t="s">
        <v>21</v>
      </c>
      <c r="H626" s="626">
        <f>PRODUCT(C626:G626)</f>
        <v>4</v>
      </c>
      <c r="I626" s="581"/>
    </row>
    <row r="627" spans="1:9">
      <c r="A627" s="581"/>
      <c r="B627" s="580"/>
      <c r="C627" s="581"/>
      <c r="D627" s="581"/>
      <c r="E627" s="582"/>
      <c r="F627" s="582"/>
      <c r="G627" s="582"/>
      <c r="H627" s="629">
        <f>SUM(H624:H626)</f>
        <v>36</v>
      </c>
      <c r="I627" s="581" t="s">
        <v>154</v>
      </c>
    </row>
    <row r="628" spans="1:9">
      <c r="A628" s="581"/>
      <c r="B628" s="580"/>
      <c r="C628" s="581"/>
      <c r="D628" s="581"/>
      <c r="E628" s="582"/>
      <c r="F628" s="582"/>
      <c r="G628" s="582"/>
      <c r="H628" s="626"/>
      <c r="I628" s="581"/>
    </row>
    <row r="629" spans="1:9" ht="49.5">
      <c r="A629" s="581">
        <v>48</v>
      </c>
      <c r="B629" s="595" t="s">
        <v>3477</v>
      </c>
      <c r="C629" s="581"/>
      <c r="D629" s="581"/>
      <c r="E629" s="582"/>
      <c r="F629" s="582"/>
      <c r="G629" s="582"/>
      <c r="H629" s="626"/>
      <c r="I629" s="581"/>
    </row>
    <row r="630" spans="1:9">
      <c r="A630" s="581"/>
      <c r="B630" s="597" t="s">
        <v>3478</v>
      </c>
      <c r="C630" s="598">
        <v>6</v>
      </c>
      <c r="D630" s="598">
        <v>1</v>
      </c>
      <c r="E630" s="599">
        <v>10</v>
      </c>
      <c r="F630" s="599">
        <v>0.6</v>
      </c>
      <c r="G630" s="599">
        <v>0.05</v>
      </c>
      <c r="H630" s="583">
        <f>PRODUCT(C630:G630)</f>
        <v>1.8</v>
      </c>
      <c r="I630" s="581"/>
    </row>
    <row r="631" spans="1:9">
      <c r="A631" s="581"/>
      <c r="B631" s="597" t="s">
        <v>3479</v>
      </c>
      <c r="C631" s="598">
        <v>5</v>
      </c>
      <c r="D631" s="598">
        <v>1</v>
      </c>
      <c r="E631" s="599">
        <v>10</v>
      </c>
      <c r="F631" s="599">
        <v>0.6</v>
      </c>
      <c r="G631" s="599">
        <v>0.05</v>
      </c>
      <c r="H631" s="583">
        <f>PRODUCT(C631:G631)</f>
        <v>1.5</v>
      </c>
      <c r="I631" s="581"/>
    </row>
    <row r="632" spans="1:9">
      <c r="A632" s="581"/>
      <c r="B632" s="597" t="s">
        <v>3480</v>
      </c>
      <c r="C632" s="598">
        <v>2</v>
      </c>
      <c r="D632" s="598">
        <v>1</v>
      </c>
      <c r="E632" s="599">
        <v>10</v>
      </c>
      <c r="F632" s="599">
        <v>0.6</v>
      </c>
      <c r="G632" s="599">
        <v>0.05</v>
      </c>
      <c r="H632" s="583">
        <f>PRODUCT(C632:G632)</f>
        <v>0.60000000000000009</v>
      </c>
      <c r="I632" s="581"/>
    </row>
    <row r="633" spans="1:9">
      <c r="A633" s="581"/>
      <c r="B633" s="580"/>
      <c r="C633" s="581"/>
      <c r="D633" s="581"/>
      <c r="E633" s="582"/>
      <c r="F633" s="582"/>
      <c r="G633" s="582"/>
      <c r="H633" s="629">
        <f>SUM(H630:H632)</f>
        <v>3.9</v>
      </c>
      <c r="I633" s="581" t="s">
        <v>313</v>
      </c>
    </row>
    <row r="634" spans="1:9">
      <c r="A634" s="581"/>
      <c r="B634" s="580"/>
      <c r="C634" s="581"/>
      <c r="D634" s="581"/>
      <c r="E634" s="582"/>
      <c r="F634" s="582"/>
      <c r="G634" s="582"/>
      <c r="H634" s="626"/>
      <c r="I634" s="581"/>
    </row>
    <row r="635" spans="1:9" ht="66">
      <c r="A635" s="581">
        <v>49</v>
      </c>
      <c r="B635" s="627" t="s">
        <v>3482</v>
      </c>
      <c r="C635" s="581"/>
      <c r="D635" s="581"/>
      <c r="E635" s="582"/>
      <c r="F635" s="582"/>
      <c r="G635" s="582"/>
      <c r="H635" s="626"/>
      <c r="I635" s="581"/>
    </row>
    <row r="636" spans="1:9">
      <c r="A636" s="581"/>
      <c r="B636" s="580" t="s">
        <v>3238</v>
      </c>
      <c r="C636" s="581">
        <v>12</v>
      </c>
      <c r="D636" s="581">
        <v>2</v>
      </c>
      <c r="E636" s="582" t="s">
        <v>21</v>
      </c>
      <c r="F636" s="582" t="s">
        <v>21</v>
      </c>
      <c r="G636" s="582" t="s">
        <v>21</v>
      </c>
      <c r="H636" s="583">
        <f>PRODUCT(C636:G636)</f>
        <v>24</v>
      </c>
      <c r="I636" s="581"/>
    </row>
    <row r="637" spans="1:9">
      <c r="A637" s="581"/>
      <c r="B637" s="580" t="s">
        <v>3189</v>
      </c>
      <c r="C637" s="581">
        <v>8</v>
      </c>
      <c r="D637" s="581">
        <v>1</v>
      </c>
      <c r="E637" s="582" t="s">
        <v>21</v>
      </c>
      <c r="F637" s="582" t="s">
        <v>21</v>
      </c>
      <c r="G637" s="582" t="s">
        <v>21</v>
      </c>
      <c r="H637" s="583">
        <f>PRODUCT(C637:G637)</f>
        <v>8</v>
      </c>
      <c r="I637" s="581"/>
    </row>
    <row r="638" spans="1:9">
      <c r="A638" s="581"/>
      <c r="B638" s="580" t="s">
        <v>3206</v>
      </c>
      <c r="C638" s="581">
        <v>4</v>
      </c>
      <c r="D638" s="581">
        <v>1</v>
      </c>
      <c r="E638" s="582" t="s">
        <v>21</v>
      </c>
      <c r="F638" s="582" t="s">
        <v>21</v>
      </c>
      <c r="G638" s="582" t="s">
        <v>21</v>
      </c>
      <c r="H638" s="583">
        <f>PRODUCT(C638:G638)</f>
        <v>4</v>
      </c>
      <c r="I638" s="581"/>
    </row>
    <row r="639" spans="1:9">
      <c r="A639" s="581"/>
      <c r="B639" s="580"/>
      <c r="C639" s="581"/>
      <c r="D639" s="581"/>
      <c r="E639" s="582"/>
      <c r="F639" s="582"/>
      <c r="G639" s="582"/>
      <c r="H639" s="629">
        <f>SUM(H636:H638)</f>
        <v>36</v>
      </c>
      <c r="I639" s="581" t="s">
        <v>340</v>
      </c>
    </row>
    <row r="640" spans="1:9">
      <c r="A640" s="581"/>
      <c r="B640" s="580"/>
      <c r="C640" s="581"/>
      <c r="D640" s="581"/>
      <c r="E640" s="582"/>
      <c r="F640" s="582"/>
      <c r="G640" s="582"/>
      <c r="H640" s="629"/>
      <c r="I640" s="581"/>
    </row>
    <row r="641" spans="1:9" ht="66">
      <c r="A641" s="581">
        <v>50</v>
      </c>
      <c r="B641" s="627" t="s">
        <v>3483</v>
      </c>
      <c r="C641" s="581"/>
      <c r="D641" s="581"/>
      <c r="E641" s="582"/>
      <c r="F641" s="582"/>
      <c r="G641" s="582"/>
      <c r="H641" s="626"/>
      <c r="I641" s="581"/>
    </row>
    <row r="642" spans="1:9">
      <c r="A642" s="581"/>
      <c r="B642" s="580" t="s">
        <v>3484</v>
      </c>
      <c r="C642" s="581">
        <v>6</v>
      </c>
      <c r="D642" s="581">
        <v>1</v>
      </c>
      <c r="E642" s="582" t="s">
        <v>21</v>
      </c>
      <c r="F642" s="582" t="s">
        <v>21</v>
      </c>
      <c r="G642" s="582" t="s">
        <v>21</v>
      </c>
      <c r="H642" s="583">
        <f>PRODUCT(C642:G642)</f>
        <v>6</v>
      </c>
      <c r="I642" s="581"/>
    </row>
    <row r="643" spans="1:9">
      <c r="A643" s="581"/>
      <c r="B643" s="580" t="s">
        <v>3485</v>
      </c>
      <c r="C643" s="581">
        <v>2</v>
      </c>
      <c r="D643" s="581">
        <v>1</v>
      </c>
      <c r="E643" s="582" t="s">
        <v>21</v>
      </c>
      <c r="F643" s="582" t="s">
        <v>21</v>
      </c>
      <c r="G643" s="582" t="s">
        <v>21</v>
      </c>
      <c r="H643" s="583">
        <f>PRODUCT(C643:G643)</f>
        <v>2</v>
      </c>
      <c r="I643" s="581"/>
    </row>
    <row r="644" spans="1:9">
      <c r="A644" s="581"/>
      <c r="B644" s="580"/>
      <c r="C644" s="581"/>
      <c r="D644" s="581"/>
      <c r="E644" s="582"/>
      <c r="F644" s="582"/>
      <c r="G644" s="582"/>
      <c r="H644" s="629">
        <f>SUM(H641:H643)</f>
        <v>8</v>
      </c>
      <c r="I644" s="581" t="s">
        <v>340</v>
      </c>
    </row>
  </sheetData>
  <mergeCells count="4">
    <mergeCell ref="A1:I1"/>
    <mergeCell ref="A2:I2"/>
    <mergeCell ref="A3:I3"/>
    <mergeCell ref="C4:D4"/>
  </mergeCells>
  <pageMargins left="0.23622047244094491" right="0.23622047244094491" top="0.74803149606299213" bottom="0.74803149606299213" header="0.31496062992125984" footer="0.31496062992125984"/>
  <pageSetup paperSize="9" orientation="portrait" r:id="rId1"/>
</worksheet>
</file>

<file path=xl/worksheets/sheet2.xml><?xml version="1.0" encoding="utf-8"?>
<worksheet xmlns="http://schemas.openxmlformats.org/spreadsheetml/2006/main" xmlns:r="http://schemas.openxmlformats.org/officeDocument/2006/relationships">
  <sheetPr codeName="Sheet2"/>
  <dimension ref="A1:H70"/>
  <sheetViews>
    <sheetView view="pageBreakPreview" zoomScale="60" workbookViewId="0">
      <selection activeCell="W10" sqref="W10"/>
    </sheetView>
  </sheetViews>
  <sheetFormatPr defaultColWidth="9.28515625" defaultRowHeight="15.75"/>
  <cols>
    <col min="1" max="1" width="5" style="49" customWidth="1"/>
    <col min="2" max="2" width="11.7109375" style="559" customWidth="1"/>
    <col min="3" max="3" width="32.5703125" style="49" customWidth="1"/>
    <col min="4" max="4" width="14.28515625" style="559" customWidth="1"/>
    <col min="5" max="5" width="9.28515625" style="49"/>
    <col min="6" max="6" width="17.7109375" style="559" customWidth="1"/>
    <col min="7" max="7" width="13.28515625" style="9" bestFit="1" customWidth="1"/>
    <col min="8" max="8" width="9.28515625" style="9"/>
    <col min="9" max="9" width="13.28515625" style="9" bestFit="1" customWidth="1"/>
    <col min="10" max="16384" width="9.28515625" style="9"/>
  </cols>
  <sheetData>
    <row r="1" spans="1:6" s="570" customFormat="1" ht="21.75" customHeight="1">
      <c r="A1" s="1950" t="s">
        <v>241</v>
      </c>
      <c r="B1" s="1950"/>
      <c r="C1" s="1950"/>
      <c r="D1" s="1950"/>
      <c r="E1" s="1950"/>
      <c r="F1" s="1950"/>
    </row>
    <row r="2" spans="1:6" s="570" customFormat="1" ht="47.45" customHeight="1">
      <c r="A2" s="1950" t="str">
        <f>'Detail new'!A2:I2</f>
        <v>Name of work: Providing Special Repair works for 4 Nos INS, 8 Nos SI, 24 Nos PC/HC Quarters  at Church Hill Ooty in the Nilgiri District</v>
      </c>
      <c r="B2" s="1950"/>
      <c r="C2" s="1950"/>
      <c r="D2" s="1950"/>
      <c r="E2" s="1950"/>
      <c r="F2" s="1950"/>
    </row>
    <row r="3" spans="1:6">
      <c r="A3" s="1951" t="s">
        <v>351</v>
      </c>
      <c r="B3" s="1952"/>
      <c r="C3" s="1952"/>
      <c r="D3" s="1952"/>
      <c r="E3" s="1952"/>
      <c r="F3" s="1953"/>
    </row>
    <row r="4" spans="1:6" ht="31.5">
      <c r="A4" s="2" t="s">
        <v>219</v>
      </c>
      <c r="B4" s="21" t="s">
        <v>3</v>
      </c>
      <c r="C4" s="560" t="s">
        <v>11</v>
      </c>
      <c r="D4" s="21" t="s">
        <v>217</v>
      </c>
      <c r="E4" s="560" t="s">
        <v>10</v>
      </c>
      <c r="F4" s="21" t="s">
        <v>218</v>
      </c>
    </row>
    <row r="5" spans="1:6" ht="47.25">
      <c r="A5" s="2">
        <v>1</v>
      </c>
      <c r="B5" s="3">
        <f>'Detail new'!H12</f>
        <v>104</v>
      </c>
      <c r="C5" s="12" t="str">
        <f>'Detail new'!B5</f>
        <v>Earthwork excavation in all soils and subsoils, etc all complete (including refilling)</v>
      </c>
      <c r="D5" s="3" t="e">
        <f>#REF!</f>
        <v>#REF!</v>
      </c>
      <c r="E5" s="2" t="s">
        <v>313</v>
      </c>
      <c r="F5" s="13" t="e">
        <f>B5*D5</f>
        <v>#REF!</v>
      </c>
    </row>
    <row r="6" spans="1:6" ht="47.25">
      <c r="A6" s="2">
        <v>2</v>
      </c>
      <c r="B6" s="3">
        <f>'Detail new'!H18</f>
        <v>135</v>
      </c>
      <c r="C6" s="569" t="str">
        <f>'Detail new'!B13</f>
        <v>Earth work excavation for Open foundation  for drains (excluding refilling) width  upto 1.25 m</v>
      </c>
      <c r="D6" s="3" t="e">
        <f>#REF!</f>
        <v>#REF!</v>
      </c>
      <c r="E6" s="2" t="s">
        <v>313</v>
      </c>
      <c r="F6" s="13" t="e">
        <f t="shared" ref="F6:F61" si="0">B6*D6</f>
        <v>#REF!</v>
      </c>
    </row>
    <row r="7" spans="1:6" ht="47.25">
      <c r="A7" s="2">
        <v>3</v>
      </c>
      <c r="B7" s="3">
        <f>'Detail new'!H31</f>
        <v>70</v>
      </c>
      <c r="C7" s="12" t="str">
        <f>'Detail new'!B19</f>
        <v xml:space="preserve">PCC 1:5:10 using 40mm jelly including cost of materials and labours etc.., completed </v>
      </c>
      <c r="D7" s="3" t="e">
        <f>#REF!</f>
        <v>#REF!</v>
      </c>
      <c r="E7" s="2" t="s">
        <v>313</v>
      </c>
      <c r="F7" s="13" t="e">
        <f t="shared" si="0"/>
        <v>#REF!</v>
      </c>
    </row>
    <row r="8" spans="1:6" ht="63">
      <c r="A8" s="2">
        <v>4</v>
      </c>
      <c r="B8" s="3">
        <f>'Detail new'!H40</f>
        <v>62</v>
      </c>
      <c r="C8" s="12" t="str">
        <f>'Detail new'!B32</f>
        <v xml:space="preserve">Brickwork in CM 1:5 using Fly ash bricks in foundation including cost of materials and labours etc.., completed </v>
      </c>
      <c r="D8" s="3" t="e">
        <f>#REF!</f>
        <v>#REF!</v>
      </c>
      <c r="E8" s="2" t="s">
        <v>313</v>
      </c>
      <c r="F8" s="13" t="e">
        <f t="shared" si="0"/>
        <v>#REF!</v>
      </c>
    </row>
    <row r="9" spans="1:6" ht="63">
      <c r="A9" s="2">
        <v>5</v>
      </c>
      <c r="B9" s="3">
        <f>'Detail new'!H48</f>
        <v>336</v>
      </c>
      <c r="C9" s="12" t="str">
        <f>'Detail new'!B41</f>
        <v xml:space="preserve">BRICK PARTITION WALL 1;4,114 mm THICK including cost of materials and labours etc.., completed </v>
      </c>
      <c r="D9" s="3" t="e">
        <f>#REF!</f>
        <v>#REF!</v>
      </c>
      <c r="E9" s="30" t="s">
        <v>306</v>
      </c>
      <c r="F9" s="13" t="e">
        <f t="shared" si="0"/>
        <v>#REF!</v>
      </c>
    </row>
    <row r="10" spans="1:6" ht="63">
      <c r="A10" s="2">
        <v>6</v>
      </c>
      <c r="B10" s="3">
        <f>'Detail new'!H54</f>
        <v>293</v>
      </c>
      <c r="C10" s="12" t="str">
        <f>'Detail new'!B49</f>
        <v xml:space="preserve">Precast slab 50mm thick in PCC1:3:6 mixed with fibre including laying , cost of materials and labours etc.., completed </v>
      </c>
      <c r="D10" s="34" t="e">
        <f>#REF!</f>
        <v>#REF!</v>
      </c>
      <c r="E10" s="30" t="s">
        <v>306</v>
      </c>
      <c r="F10" s="13" t="e">
        <f t="shared" si="0"/>
        <v>#REF!</v>
      </c>
    </row>
    <row r="11" spans="1:6" ht="63">
      <c r="A11" s="2">
        <v>7</v>
      </c>
      <c r="B11" s="3">
        <f>'Detail new'!H60</f>
        <v>113</v>
      </c>
      <c r="C11" s="12" t="str">
        <f>'Detail new'!B55</f>
        <v xml:space="preserve">Filling the Basement with excavated earth in layers of 150mm thick including cost of materials and labours etc.., completed </v>
      </c>
      <c r="D11" s="3" t="e">
        <f>#REF!</f>
        <v>#REF!</v>
      </c>
      <c r="E11" s="2" t="s">
        <v>313</v>
      </c>
      <c r="F11" s="13" t="e">
        <f t="shared" si="0"/>
        <v>#REF!</v>
      </c>
    </row>
    <row r="12" spans="1:6" ht="47.25">
      <c r="A12" s="2">
        <v>8</v>
      </c>
      <c r="B12" s="3">
        <f>'Detail new'!H66</f>
        <v>12</v>
      </c>
      <c r="C12" s="12" t="str">
        <f>'Detail new'!B61</f>
        <v>Supplying and filling in foundation and basement with filling sand in layers of 150mm thk</v>
      </c>
      <c r="D12" s="3" t="e">
        <f>#REF!</f>
        <v>#REF!</v>
      </c>
      <c r="E12" s="2" t="s">
        <v>313</v>
      </c>
      <c r="F12" s="13" t="e">
        <f t="shared" si="0"/>
        <v>#REF!</v>
      </c>
    </row>
    <row r="13" spans="1:6" ht="110.25">
      <c r="A13" s="2">
        <v>9</v>
      </c>
      <c r="B13" s="3">
        <f>'Detail new'!H92</f>
        <v>63.5</v>
      </c>
      <c r="C13" s="12" t="str">
        <f>'Detail new'!B67</f>
        <v>Clean removel of the old cement plastering both inside and outside from the existing walls of brick masonry without damageing the existing structure and surroundings and clearing the debries away from the site including all cost etc.,</v>
      </c>
      <c r="D13" s="3">
        <v>9.31</v>
      </c>
      <c r="E13" s="30" t="s">
        <v>306</v>
      </c>
      <c r="F13" s="13">
        <f t="shared" si="0"/>
        <v>591.18500000000006</v>
      </c>
    </row>
    <row r="14" spans="1:6" ht="47.25">
      <c r="A14" s="2">
        <v>10</v>
      </c>
      <c r="B14" s="3">
        <f>'Detail new'!H124</f>
        <v>520</v>
      </c>
      <c r="C14" s="12" t="str">
        <f>'Detail new'!B93</f>
        <v xml:space="preserve">Plastering in CM 1:5, 12mm thick including cost of materials and labours etc.., completed </v>
      </c>
      <c r="D14" s="3" t="e">
        <f>#REF!</f>
        <v>#REF!</v>
      </c>
      <c r="E14" s="30" t="s">
        <v>306</v>
      </c>
      <c r="F14" s="13" t="e">
        <f t="shared" si="0"/>
        <v>#REF!</v>
      </c>
    </row>
    <row r="15" spans="1:6" ht="47.25">
      <c r="A15" s="2">
        <v>11</v>
      </c>
      <c r="B15" s="3">
        <f>'Detail new'!H134</f>
        <v>415</v>
      </c>
      <c r="C15" s="12" t="str">
        <f>'Detail new'!B125</f>
        <v xml:space="preserve">Plastering in CM 1:4, 12mm thick including cost of materials and labours etc.., completed </v>
      </c>
      <c r="D15" s="3" t="e">
        <f>#REF!</f>
        <v>#REF!</v>
      </c>
      <c r="E15" s="30" t="s">
        <v>306</v>
      </c>
      <c r="F15" s="13" t="e">
        <f t="shared" si="0"/>
        <v>#REF!</v>
      </c>
    </row>
    <row r="16" spans="1:6" ht="31.5">
      <c r="A16" s="2">
        <v>12</v>
      </c>
      <c r="B16" s="3">
        <f>'Detail new'!H146</f>
        <v>35</v>
      </c>
      <c r="C16" s="31" t="str">
        <f>'Detail new'!B136</f>
        <v>Supplying and fixing of 4mm thick pin headed glasses etc.,</v>
      </c>
      <c r="D16" s="34" t="e">
        <f>#REF!</f>
        <v>#REF!</v>
      </c>
      <c r="E16" s="30" t="s">
        <v>306</v>
      </c>
      <c r="F16" s="13" t="e">
        <f t="shared" si="0"/>
        <v>#REF!</v>
      </c>
    </row>
    <row r="17" spans="1:6" ht="31.5">
      <c r="A17" s="2">
        <v>13</v>
      </c>
      <c r="B17" s="3">
        <f>'Detail new'!H153</f>
        <v>184</v>
      </c>
      <c r="C17" s="31" t="str">
        <f>'Detail new'!B148</f>
        <v>Dismantling and clearing away the Pressed tiles etc.,</v>
      </c>
      <c r="D17" s="34">
        <v>36.1</v>
      </c>
      <c r="E17" s="40" t="s">
        <v>306</v>
      </c>
      <c r="F17" s="13">
        <f t="shared" si="0"/>
        <v>6642.4000000000005</v>
      </c>
    </row>
    <row r="18" spans="1:6" ht="31.5">
      <c r="A18" s="2">
        <v>14</v>
      </c>
      <c r="B18" s="3">
        <f>'Detail new'!H159</f>
        <v>184</v>
      </c>
      <c r="C18" s="31" t="str">
        <f>'Detail new'!B154</f>
        <v>Supplying and laying of hydraulic pressed tiles etc.,</v>
      </c>
      <c r="D18" s="34" t="e">
        <f>#REF!</f>
        <v>#REF!</v>
      </c>
      <c r="E18" s="40" t="s">
        <v>306</v>
      </c>
      <c r="F18" s="13" t="e">
        <f t="shared" si="0"/>
        <v>#REF!</v>
      </c>
    </row>
    <row r="19" spans="1:6" ht="31.5">
      <c r="A19" s="2">
        <v>15</v>
      </c>
      <c r="B19" s="3">
        <f>'Detail new'!H178</f>
        <v>852.5</v>
      </c>
      <c r="C19" s="31" t="str">
        <f>'Detail new'!B160</f>
        <v>Pointing the pressed tiles in CM 1:3 with WPC etc.,</v>
      </c>
      <c r="D19" s="34" t="e">
        <f>#REF!</f>
        <v>#REF!</v>
      </c>
      <c r="E19" s="40" t="s">
        <v>306</v>
      </c>
      <c r="F19" s="13" t="e">
        <f t="shared" si="0"/>
        <v>#REF!</v>
      </c>
    </row>
    <row r="20" spans="1:6" ht="31.5">
      <c r="A20" s="2">
        <v>16</v>
      </c>
      <c r="B20" s="3">
        <f>'Detail new'!H191</f>
        <v>102</v>
      </c>
      <c r="C20" s="31" t="str">
        <f>'Detail new'!B180</f>
        <v>Supply and laying of ceramic(anti-skid) tiles etc.,</v>
      </c>
      <c r="D20" s="3" t="e">
        <f>#REF!</f>
        <v>#REF!</v>
      </c>
      <c r="E20" s="40" t="s">
        <v>306</v>
      </c>
      <c r="F20" s="13" t="e">
        <f t="shared" si="0"/>
        <v>#REF!</v>
      </c>
    </row>
    <row r="21" spans="1:6" ht="31.5">
      <c r="A21" s="2">
        <v>17</v>
      </c>
      <c r="B21" s="3">
        <f>'Detail new'!H200</f>
        <v>175</v>
      </c>
      <c r="C21" s="37" t="str">
        <f>'Detail new'!B192</f>
        <v>Supplying and laying of glazed tiles etc.,</v>
      </c>
      <c r="D21" s="3" t="e">
        <f>#REF!</f>
        <v>#REF!</v>
      </c>
      <c r="E21" s="40" t="s">
        <v>306</v>
      </c>
      <c r="F21" s="13" t="e">
        <f t="shared" si="0"/>
        <v>#REF!</v>
      </c>
    </row>
    <row r="22" spans="1:6" ht="47.25">
      <c r="A22" s="2">
        <v>18</v>
      </c>
      <c r="B22" s="3"/>
      <c r="C22" s="38" t="str">
        <f>'Detail new'!B202</f>
        <v>Supply and fixing of IWC including all special and labour charges etc., complete</v>
      </c>
      <c r="D22" s="3"/>
      <c r="E22" s="30"/>
      <c r="F22" s="13"/>
    </row>
    <row r="23" spans="1:6">
      <c r="A23" s="2"/>
      <c r="B23" s="3">
        <f>'Detail new'!H207</f>
        <v>19</v>
      </c>
      <c r="C23" s="38" t="str">
        <f>'Detail new'!B203</f>
        <v>a)In .G.F</v>
      </c>
      <c r="D23" s="3" t="e">
        <f>#REF!</f>
        <v>#REF!</v>
      </c>
      <c r="E23" s="2" t="s">
        <v>340</v>
      </c>
      <c r="F23" s="13" t="e">
        <f t="shared" si="0"/>
        <v>#REF!</v>
      </c>
    </row>
    <row r="24" spans="1:6">
      <c r="A24" s="2"/>
      <c r="B24" s="3">
        <f>'Detail new'!H212</f>
        <v>15</v>
      </c>
      <c r="C24" s="38" t="str">
        <f>'Detail new'!B208</f>
        <v>b)In other than G.F</v>
      </c>
      <c r="D24" s="47" t="e">
        <f>#REF!</f>
        <v>#REF!</v>
      </c>
      <c r="E24" s="2" t="s">
        <v>340</v>
      </c>
      <c r="F24" s="13" t="e">
        <f t="shared" si="0"/>
        <v>#REF!</v>
      </c>
    </row>
    <row r="25" spans="1:6" ht="47.25">
      <c r="A25" s="2">
        <v>19</v>
      </c>
      <c r="B25" s="3">
        <f>'Detail new'!H217</f>
        <v>108</v>
      </c>
      <c r="C25" s="39" t="str">
        <f>'Detail new'!B213</f>
        <v>Supplying and fixing of  solid panel door with frame  ( SR pg.No.43 item No.125a)</v>
      </c>
      <c r="D25" s="3">
        <v>3167</v>
      </c>
      <c r="E25" s="40" t="s">
        <v>306</v>
      </c>
      <c r="F25" s="13">
        <f t="shared" si="0"/>
        <v>342036</v>
      </c>
    </row>
    <row r="26" spans="1:6" ht="94.5">
      <c r="A26" s="2">
        <v>20</v>
      </c>
      <c r="B26" s="3">
        <f>'Detail new'!H230</f>
        <v>279</v>
      </c>
      <c r="C26" s="12" t="str">
        <f>'Detail new'!B219</f>
        <v>Chipping of concrete and rougheing of surface including cost of materials and labours etc.., completed                                   PWD SOR 2021-22 p-22 item No.38A</v>
      </c>
      <c r="D26" s="3">
        <v>44.38</v>
      </c>
      <c r="E26" s="40" t="s">
        <v>306</v>
      </c>
      <c r="F26" s="13">
        <f t="shared" si="0"/>
        <v>12382.02</v>
      </c>
    </row>
    <row r="27" spans="1:6" ht="47.25">
      <c r="A27" s="2">
        <v>21</v>
      </c>
      <c r="B27" s="3">
        <f>'Detail new'!H240</f>
        <v>235</v>
      </c>
      <c r="C27" s="41" t="str">
        <f>'Detail new'!B231</f>
        <v>Floor plastering in CM 1:4, 20mm thick  including neat cement, etc all complete</v>
      </c>
      <c r="D27" s="3" t="e">
        <f>#REF!</f>
        <v>#REF!</v>
      </c>
      <c r="E27" s="2" t="s">
        <v>306</v>
      </c>
      <c r="F27" s="13" t="e">
        <f t="shared" si="0"/>
        <v>#REF!</v>
      </c>
    </row>
    <row r="28" spans="1:6" ht="63">
      <c r="A28" s="2">
        <v>22</v>
      </c>
      <c r="B28" s="3">
        <f>'Detail new'!H248</f>
        <v>245.5</v>
      </c>
      <c r="C28" s="31" t="str">
        <f>'Detail new'!B241</f>
        <v>Supply ,laying &amp; jointing the following pipes as per ASTM D 1785 of schedule   PVC Specials etc.,a)25 mm  Pipe</v>
      </c>
      <c r="D28" s="34" t="e">
        <f>#REF!</f>
        <v>#REF!</v>
      </c>
      <c r="E28" s="2" t="s">
        <v>303</v>
      </c>
      <c r="F28" s="13" t="e">
        <f t="shared" si="0"/>
        <v>#REF!</v>
      </c>
    </row>
    <row r="29" spans="1:6" ht="63">
      <c r="A29" s="2">
        <v>23</v>
      </c>
      <c r="B29" s="3">
        <f>'Detail new'!H254</f>
        <v>156</v>
      </c>
      <c r="C29" s="31" t="str">
        <f>'Detail new'!B250</f>
        <v>Supplying and laying of 25 mm dia PVC pipe(Above ground level)  etc all complete including and labour charges etc., complete</v>
      </c>
      <c r="D29" s="3">
        <v>170</v>
      </c>
      <c r="E29" s="2" t="s">
        <v>303</v>
      </c>
      <c r="F29" s="13">
        <f t="shared" si="0"/>
        <v>26520</v>
      </c>
    </row>
    <row r="30" spans="1:6" ht="63">
      <c r="A30" s="2">
        <v>24</v>
      </c>
      <c r="B30" s="3">
        <f>'Detail new'!H257</f>
        <v>120</v>
      </c>
      <c r="C30" s="31" t="str">
        <f>'Detail new'!B256</f>
        <v>Supplying and laying of 32 mm dia PVC pipe  (Below Ground level) etc all complete including and labour charges etc., complete</v>
      </c>
      <c r="D30" s="3">
        <v>275</v>
      </c>
      <c r="E30" s="2" t="s">
        <v>303</v>
      </c>
      <c r="F30" s="13">
        <f t="shared" si="0"/>
        <v>33000</v>
      </c>
    </row>
    <row r="31" spans="1:6" ht="63">
      <c r="A31" s="2">
        <v>25</v>
      </c>
      <c r="B31" s="3">
        <f>'Detail new'!H264</f>
        <v>36</v>
      </c>
      <c r="C31" s="31" t="str">
        <f>'Detail new'!B260</f>
        <v>Supply and Fixing of 15mm dia half turn CP tap (LONG BODY) including all special and labour charges etc., complete</v>
      </c>
      <c r="D31" s="3" t="e">
        <f>#REF!</f>
        <v>#REF!</v>
      </c>
      <c r="E31" s="30" t="s">
        <v>340</v>
      </c>
      <c r="F31" s="13" t="e">
        <f t="shared" si="0"/>
        <v>#REF!</v>
      </c>
    </row>
    <row r="32" spans="1:6" ht="63">
      <c r="A32" s="2">
        <v>26</v>
      </c>
      <c r="B32" s="3">
        <f>'Detail new'!H269</f>
        <v>36</v>
      </c>
      <c r="C32" s="31" t="str">
        <f>'Detail new'!B265</f>
        <v>Supply and Fixing of 15mm dia half turn CP tap (SHORT BODY) including all special and labour charges etc., complete</v>
      </c>
      <c r="D32" s="3" t="e">
        <f>#REF!</f>
        <v>#REF!</v>
      </c>
      <c r="E32" s="30" t="s">
        <v>340</v>
      </c>
      <c r="F32" s="13" t="e">
        <f t="shared" si="0"/>
        <v>#REF!</v>
      </c>
    </row>
    <row r="33" spans="1:6" ht="47.25">
      <c r="A33" s="2">
        <v>27</v>
      </c>
      <c r="B33" s="3">
        <f>'Detail new'!H274</f>
        <v>288</v>
      </c>
      <c r="C33" s="31" t="str">
        <f>'Detail new'!B270</f>
        <v>Supplying and fixing of PVC SWR 110 mm dia with ISI mark type- A for Rain water down fall pipe</v>
      </c>
      <c r="D33" s="3" t="e">
        <f>#REF!</f>
        <v>#REF!</v>
      </c>
      <c r="E33" s="30" t="s">
        <v>303</v>
      </c>
      <c r="F33" s="13" t="e">
        <f t="shared" si="0"/>
        <v>#REF!</v>
      </c>
    </row>
    <row r="34" spans="1:6" ht="47.25">
      <c r="A34" s="2">
        <v>28</v>
      </c>
      <c r="B34" s="3"/>
      <c r="C34" s="31" t="str">
        <f>'Detail new'!B275</f>
        <v>Supply and laying of SWR Pipes including cost of materials and labours etc.., completed</v>
      </c>
      <c r="D34" s="3"/>
      <c r="E34" s="30"/>
      <c r="F34" s="13"/>
    </row>
    <row r="35" spans="1:6">
      <c r="A35" s="2"/>
      <c r="B35" s="3">
        <f>'Detail new'!H280</f>
        <v>208</v>
      </c>
      <c r="C35" s="31" t="str">
        <f>'Detail new'!B276</f>
        <v xml:space="preserve"> 110 MM DIA </v>
      </c>
      <c r="D35" s="3" t="e">
        <f>#REF!</f>
        <v>#REF!</v>
      </c>
      <c r="E35" s="30" t="s">
        <v>303</v>
      </c>
      <c r="F35" s="13" t="e">
        <f t="shared" si="0"/>
        <v>#REF!</v>
      </c>
    </row>
    <row r="36" spans="1:6" ht="19.5" customHeight="1">
      <c r="A36" s="2"/>
      <c r="B36" s="45">
        <f>'Detail new'!H285</f>
        <v>66</v>
      </c>
      <c r="C36" s="31" t="str">
        <f>'Detail new'!B281</f>
        <v xml:space="preserve">75 MM DIA </v>
      </c>
      <c r="D36" s="3" t="e">
        <f>#REF!</f>
        <v>#REF!</v>
      </c>
      <c r="E36" s="30" t="s">
        <v>303</v>
      </c>
      <c r="F36" s="13" t="e">
        <f t="shared" si="0"/>
        <v>#REF!</v>
      </c>
    </row>
    <row r="37" spans="1:6" ht="105.6" customHeight="1">
      <c r="A37" s="2">
        <v>29</v>
      </c>
      <c r="B37" s="45">
        <f>'Detail new'!H288</f>
        <v>80</v>
      </c>
      <c r="C37" s="32" t="str">
        <f>'Detail new'!B287</f>
        <v>Supplying and fixing of following SN8 160mm dia  Pvc pipe  with ISI mark including cost of materials and convenience and earth work excavation and refilling trenches etc.., Below ground level .</v>
      </c>
      <c r="D37" s="34" t="e">
        <f>#REF!</f>
        <v>#REF!</v>
      </c>
      <c r="E37" s="30" t="s">
        <v>303</v>
      </c>
      <c r="F37" s="13" t="e">
        <f t="shared" si="0"/>
        <v>#REF!</v>
      </c>
    </row>
    <row r="38" spans="1:6" ht="63">
      <c r="A38" s="2">
        <v>30</v>
      </c>
      <c r="B38" s="3"/>
      <c r="C38" s="31" t="str">
        <f>'Detail new'!B290</f>
        <v xml:space="preserve">Wiring with 1.5sqmm pvc multistrand copper cable including cost of materials and labours etc.., completed </v>
      </c>
      <c r="D38" s="3"/>
      <c r="E38" s="30"/>
      <c r="F38" s="13"/>
    </row>
    <row r="39" spans="1:6" ht="26.25" customHeight="1">
      <c r="A39" s="2"/>
      <c r="B39" s="3">
        <f>'Detail new'!H311</f>
        <v>230</v>
      </c>
      <c r="C39" s="31" t="str">
        <f>'Detail new'!B291</f>
        <v>a)Light point with ceiling rose</v>
      </c>
      <c r="D39" s="3" t="e">
        <f>#REF!</f>
        <v>#REF!</v>
      </c>
      <c r="E39" s="30" t="s">
        <v>340</v>
      </c>
      <c r="F39" s="13" t="e">
        <f t="shared" si="0"/>
        <v>#REF!</v>
      </c>
    </row>
    <row r="40" spans="1:6" ht="40.9" customHeight="1">
      <c r="A40" s="2"/>
      <c r="B40" s="3">
        <f>'Detail new'!H319</f>
        <v>42</v>
      </c>
      <c r="C40" s="31" t="str">
        <f>'Detail new'!B312</f>
        <v>b) light point with pattern type bakelite holder</v>
      </c>
      <c r="D40" s="3" t="e">
        <f>#REF!</f>
        <v>#REF!</v>
      </c>
      <c r="E40" s="30" t="s">
        <v>340</v>
      </c>
      <c r="F40" s="13" t="e">
        <f t="shared" si="0"/>
        <v>#REF!</v>
      </c>
    </row>
    <row r="41" spans="1:6" ht="78" customHeight="1">
      <c r="A41" s="2">
        <v>31</v>
      </c>
      <c r="B41" s="3">
        <f>'Detail new'!H335</f>
        <v>112</v>
      </c>
      <c r="C41" s="31" t="str">
        <f>'Detail new'!B321</f>
        <v xml:space="preserve">Supply and fixing for 5 amps 5pinplug for switch board itself including cost of materials and labours etc.., completed </v>
      </c>
      <c r="D41" s="3" t="e">
        <f>#REF!</f>
        <v>#REF!</v>
      </c>
      <c r="E41" s="30" t="s">
        <v>340</v>
      </c>
      <c r="F41" s="13" t="e">
        <f t="shared" si="0"/>
        <v>#REF!</v>
      </c>
    </row>
    <row r="42" spans="1:6" ht="79.900000000000006" customHeight="1">
      <c r="A42" s="2">
        <v>32</v>
      </c>
      <c r="B42" s="3">
        <f>'Detail new'!H351</f>
        <v>112</v>
      </c>
      <c r="C42" s="31" t="str">
        <f>'Detail new'!B337</f>
        <v xml:space="preserve">Supply and fixing for 5 amps 5 pin plug for convenient places including cost of materials and labours etc.., completed </v>
      </c>
      <c r="D42" s="3" t="e">
        <f>#REF!</f>
        <v>#REF!</v>
      </c>
      <c r="E42" s="30" t="s">
        <v>340</v>
      </c>
      <c r="F42" s="13" t="e">
        <f t="shared" si="0"/>
        <v>#REF!</v>
      </c>
    </row>
    <row r="43" spans="1:6" ht="69.599999999999994" customHeight="1">
      <c r="A43" s="2">
        <v>33</v>
      </c>
      <c r="B43" s="3">
        <f>'Detail new'!H362</f>
        <v>144</v>
      </c>
      <c r="C43" s="31" t="str">
        <f>'Detail new'!B352</f>
        <v xml:space="preserve">Supply and fixing 15 amps power plug including cost of materials and labours etc.., completed </v>
      </c>
      <c r="D43" s="3" t="e">
        <f>#REF!</f>
        <v>#REF!</v>
      </c>
      <c r="E43" s="30" t="s">
        <v>340</v>
      </c>
      <c r="F43" s="13" t="e">
        <f t="shared" si="0"/>
        <v>#REF!</v>
      </c>
    </row>
    <row r="44" spans="1:6" ht="54.6" customHeight="1">
      <c r="A44" s="2">
        <v>34</v>
      </c>
      <c r="B44" s="3">
        <f>'Detail new'!H364</f>
        <v>36</v>
      </c>
      <c r="C44" s="31" t="str">
        <f>'Detail new'!B363</f>
        <v xml:space="preserve">Supplying and fixing of bulkhead fittings including cost of materials and labours etc.., completed </v>
      </c>
      <c r="D44" s="3" t="e">
        <f>#REF!</f>
        <v>#REF!</v>
      </c>
      <c r="E44" s="30" t="s">
        <v>340</v>
      </c>
      <c r="F44" s="13" t="e">
        <f t="shared" si="0"/>
        <v>#REF!</v>
      </c>
    </row>
    <row r="45" spans="1:6" ht="64.900000000000006" customHeight="1">
      <c r="A45" s="2">
        <v>35</v>
      </c>
      <c r="B45" s="3"/>
      <c r="C45" s="31" t="str">
        <f>'Detail new'!B366</f>
        <v xml:space="preserve">Supplying and fixing of LED Bulbs  including cost of materials and labours etc.., completed </v>
      </c>
      <c r="D45" s="3"/>
      <c r="E45" s="30"/>
      <c r="F45" s="13"/>
    </row>
    <row r="46" spans="1:6" ht="25.15" customHeight="1">
      <c r="A46" s="2"/>
      <c r="B46" s="3">
        <f>'Detail new'!H376</f>
        <v>84</v>
      </c>
      <c r="C46" s="31" t="str">
        <f>'Detail new'!B367</f>
        <v>12 watts</v>
      </c>
      <c r="D46" s="3">
        <v>170</v>
      </c>
      <c r="E46" s="30" t="s">
        <v>340</v>
      </c>
      <c r="F46" s="13">
        <f t="shared" si="0"/>
        <v>14280</v>
      </c>
    </row>
    <row r="47" spans="1:6" ht="70.150000000000006" customHeight="1">
      <c r="A47" s="2">
        <v>36</v>
      </c>
      <c r="B47" s="3">
        <f>'Detail new'!H396</f>
        <v>154</v>
      </c>
      <c r="C47" s="31" t="str">
        <f>'Detail new'!B378</f>
        <v xml:space="preserve">Suplying and Fixing of LED 4'-18 watts Tube Light including cost of materials and labours etc.., completed </v>
      </c>
      <c r="D47" s="3">
        <v>635</v>
      </c>
      <c r="E47" s="30" t="s">
        <v>340</v>
      </c>
      <c r="F47" s="13">
        <f t="shared" si="0"/>
        <v>97790</v>
      </c>
    </row>
    <row r="48" spans="1:6" ht="66.599999999999994" customHeight="1">
      <c r="A48" s="2">
        <v>37</v>
      </c>
      <c r="B48" s="3">
        <f>'Detail new'!H402</f>
        <v>40</v>
      </c>
      <c r="C48" s="31" t="str">
        <f>'Detail new'!B398</f>
        <v xml:space="preserve">Supplying and fixing of 25W LED street light fittings including cost of materials and labours etc.., completed </v>
      </c>
      <c r="D48" s="3" t="e">
        <f>#REF!</f>
        <v>#REF!</v>
      </c>
      <c r="E48" s="30" t="s">
        <v>340</v>
      </c>
      <c r="F48" s="13" t="e">
        <f t="shared" si="0"/>
        <v>#REF!</v>
      </c>
    </row>
    <row r="49" spans="1:8" ht="67.900000000000006" customHeight="1">
      <c r="A49" s="2">
        <v>38</v>
      </c>
      <c r="B49" s="3">
        <f>'Detail new'!H408</f>
        <v>1140</v>
      </c>
      <c r="C49" s="31" t="str">
        <f>'Detail new'!B404</f>
        <v xml:space="preserve">Run off  two wire of 2.5 sq mm multi strand flexible cable including cost of materials and labours etc.., completed </v>
      </c>
      <c r="D49" s="3" t="e">
        <f>#REF!</f>
        <v>#REF!</v>
      </c>
      <c r="E49" s="30" t="s">
        <v>303</v>
      </c>
      <c r="F49" s="13" t="e">
        <f t="shared" si="0"/>
        <v>#REF!</v>
      </c>
    </row>
    <row r="50" spans="1:8" ht="79.150000000000006" customHeight="1">
      <c r="A50" s="2">
        <v>39</v>
      </c>
      <c r="B50" s="3">
        <f>'Detail new'!H414</f>
        <v>1040</v>
      </c>
      <c r="C50" s="31" t="str">
        <f>'Detail new'!B410</f>
        <v>Run off 4 x 4  Sq mm copper PVC insulated unsheathed single core cable for Single phase EB service connection</v>
      </c>
      <c r="D50" s="3">
        <v>231</v>
      </c>
      <c r="E50" s="30" t="s">
        <v>303</v>
      </c>
      <c r="F50" s="13">
        <f t="shared" si="0"/>
        <v>240240</v>
      </c>
    </row>
    <row r="51" spans="1:8" ht="65.45" customHeight="1">
      <c r="A51" s="2">
        <v>40</v>
      </c>
      <c r="B51" s="3">
        <f>'Detail new'!H443</f>
        <v>1217</v>
      </c>
      <c r="C51" s="31" t="str">
        <f>'Detail new'!B415</f>
        <v xml:space="preserve">Painting White washing  two coats including cost of materials and labours etc.., completed </v>
      </c>
      <c r="D51" s="3" t="e">
        <f>#REF!</f>
        <v>#REF!</v>
      </c>
      <c r="E51" s="30" t="s">
        <v>306</v>
      </c>
      <c r="F51" s="13" t="e">
        <f t="shared" si="0"/>
        <v>#REF!</v>
      </c>
    </row>
    <row r="52" spans="1:8" ht="73.900000000000006" customHeight="1">
      <c r="A52" s="2">
        <v>41</v>
      </c>
      <c r="B52" s="3">
        <f>'Detail new'!H519</f>
        <v>2830</v>
      </c>
      <c r="C52" s="31" t="str">
        <f>'Detail new'!B444</f>
        <v xml:space="preserve">Painting Two coat of OBD over one coat white cement for inner walls  including cost of materials and labours etc.., completed </v>
      </c>
      <c r="D52" s="3" t="e">
        <f>#REF!</f>
        <v>#REF!</v>
      </c>
      <c r="E52" s="30" t="s">
        <v>306</v>
      </c>
      <c r="F52" s="13" t="e">
        <f t="shared" si="0"/>
        <v>#REF!</v>
      </c>
    </row>
    <row r="53" spans="1:8" ht="73.150000000000006" customHeight="1">
      <c r="A53" s="2">
        <v>42</v>
      </c>
      <c r="B53" s="3">
        <f>'Detail new'!H568</f>
        <v>3346</v>
      </c>
      <c r="C53" s="31" t="str">
        <f>'Detail new'!B520</f>
        <v xml:space="preserve">Plastic Emulsion paint two coat of Old walls including cost of materials and labours etc.., completed </v>
      </c>
      <c r="D53" s="3" t="e">
        <f>#REF!</f>
        <v>#REF!</v>
      </c>
      <c r="E53" s="30" t="s">
        <v>306</v>
      </c>
      <c r="F53" s="13" t="e">
        <f t="shared" si="0"/>
        <v>#REF!</v>
      </c>
    </row>
    <row r="54" spans="1:8" ht="56.45" customHeight="1">
      <c r="A54" s="2">
        <v>43</v>
      </c>
      <c r="B54" s="3">
        <f>'Detail new'!H594</f>
        <v>886.50000000000011</v>
      </c>
      <c r="C54" s="31" t="str">
        <f>'Detail new'!B569</f>
        <v xml:space="preserve">Painting the old wood work two coats including cost of materials and labours etc.., completed </v>
      </c>
      <c r="D54" s="3" t="e">
        <f>#REF!</f>
        <v>#REF!</v>
      </c>
      <c r="E54" s="30" t="s">
        <v>306</v>
      </c>
      <c r="F54" s="13" t="e">
        <f t="shared" si="0"/>
        <v>#REF!</v>
      </c>
    </row>
    <row r="55" spans="1:8" ht="56.45" customHeight="1">
      <c r="A55" s="2">
        <v>44</v>
      </c>
      <c r="B55" s="3">
        <f>'Detail new'!H615</f>
        <v>377.1</v>
      </c>
      <c r="C55" s="31" t="str">
        <f>'Detail new'!B596</f>
        <v xml:space="preserve">Painting the old iron work two coats including cost of materials and labours etc.., completed </v>
      </c>
      <c r="D55" s="34" t="e">
        <f>#REF!</f>
        <v>#REF!</v>
      </c>
      <c r="E55" s="30" t="s">
        <v>306</v>
      </c>
      <c r="F55" s="13" t="e">
        <f t="shared" si="0"/>
        <v>#REF!</v>
      </c>
    </row>
    <row r="56" spans="1:8" ht="75.599999999999994" customHeight="1">
      <c r="A56" s="2">
        <v>45</v>
      </c>
      <c r="B56" s="3">
        <f>'Detail new'!H618</f>
        <v>15</v>
      </c>
      <c r="C56" s="31" t="str">
        <f>'Detail new'!B617</f>
        <v>Precast Slab For chamber cover slab ( SFRC Slabof size 600 x 600mm with frame) Including Cost of materials etc.., (SR.Pg.No.77 item no.284.a)</v>
      </c>
      <c r="D56" s="3">
        <v>2700</v>
      </c>
      <c r="E56" s="30" t="s">
        <v>340</v>
      </c>
      <c r="F56" s="13">
        <f t="shared" si="0"/>
        <v>40500</v>
      </c>
    </row>
    <row r="57" spans="1:8" ht="75.599999999999994" customHeight="1">
      <c r="A57" s="2">
        <v>46</v>
      </c>
      <c r="B57" s="3">
        <f>'Detail new'!H621</f>
        <v>800</v>
      </c>
      <c r="C57" s="31" t="str">
        <f>'Detail new'!B620</f>
        <v>Charges for Cleaning light jungle to the building outer side including labour charges etc..,completed ( SR Pg.No.92 item No.2)</v>
      </c>
      <c r="D57" s="3">
        <v>5.5</v>
      </c>
      <c r="E57" s="30" t="s">
        <v>306</v>
      </c>
      <c r="F57" s="13">
        <f t="shared" si="0"/>
        <v>4400</v>
      </c>
    </row>
    <row r="58" spans="1:8" ht="75.599999999999994" customHeight="1">
      <c r="A58" s="2">
        <v>47</v>
      </c>
      <c r="B58" s="3">
        <f>'Detail new'!H627</f>
        <v>36</v>
      </c>
      <c r="C58" s="31" t="str">
        <f>'Detail new'!B623</f>
        <v>Supplyying and fixing of pvc sintex tank of 750cum capacity of pvc tank etc., all complete( SR Pg.No.50 item no.180)</v>
      </c>
      <c r="D58" s="3">
        <f>H58</f>
        <v>7200</v>
      </c>
      <c r="E58" s="30" t="s">
        <v>325</v>
      </c>
      <c r="F58" s="13">
        <f t="shared" si="0"/>
        <v>259200</v>
      </c>
      <c r="G58" s="9">
        <f>9.6</f>
        <v>9.6</v>
      </c>
      <c r="H58" s="9">
        <f>G58*750</f>
        <v>7200</v>
      </c>
    </row>
    <row r="59" spans="1:8" ht="75.599999999999994" customHeight="1">
      <c r="A59" s="2">
        <v>48</v>
      </c>
      <c r="B59" s="3">
        <f>'Detail new'!H633</f>
        <v>3.9</v>
      </c>
      <c r="C59" s="31" t="str">
        <f>'Detail new'!B629</f>
        <v xml:space="preserve">PCC 1:2:4 using 20mm jelly including cost of materials and labours etc.., completed </v>
      </c>
      <c r="D59" s="3" t="e">
        <f>#REF!</f>
        <v>#REF!</v>
      </c>
      <c r="E59" s="30" t="s">
        <v>313</v>
      </c>
      <c r="F59" s="13" t="e">
        <f t="shared" si="0"/>
        <v>#REF!</v>
      </c>
    </row>
    <row r="60" spans="1:8" ht="75.599999999999994" customHeight="1">
      <c r="A60" s="2">
        <v>49</v>
      </c>
      <c r="B60" s="3">
        <f>'Detail new'!H639</f>
        <v>36</v>
      </c>
      <c r="C60" s="31" t="str">
        <f>'Detail new'!B635</f>
        <v xml:space="preserve">Supplying and fixing of Single phase DB Box including cost of materials and labours etc.., completed </v>
      </c>
      <c r="D60" s="3">
        <v>3500</v>
      </c>
      <c r="E60" s="30" t="s">
        <v>340</v>
      </c>
      <c r="F60" s="13">
        <f t="shared" si="0"/>
        <v>126000</v>
      </c>
    </row>
    <row r="61" spans="1:8" ht="75.599999999999994" customHeight="1">
      <c r="A61" s="2">
        <v>50</v>
      </c>
      <c r="B61" s="3">
        <f>'Detail new'!H644</f>
        <v>8</v>
      </c>
      <c r="C61" s="31" t="str">
        <f>'Detail new'!B641</f>
        <v xml:space="preserve"> Supplying and fixing of Stair Case light point two way including cost of materials and labours etc.., completed </v>
      </c>
      <c r="D61" s="34" t="e">
        <f>#REF!</f>
        <v>#REF!</v>
      </c>
      <c r="E61" s="30" t="s">
        <v>340</v>
      </c>
      <c r="F61" s="13" t="e">
        <f t="shared" si="0"/>
        <v>#REF!</v>
      </c>
    </row>
    <row r="62" spans="1:8">
      <c r="A62" s="2"/>
      <c r="B62" s="3"/>
      <c r="C62" s="1954" t="s">
        <v>223</v>
      </c>
      <c r="D62" s="1954"/>
      <c r="E62" s="1954"/>
      <c r="F62" s="17" t="e">
        <f>SUM(F5:F61)</f>
        <v>#REF!</v>
      </c>
    </row>
    <row r="63" spans="1:8" ht="19.5" customHeight="1">
      <c r="A63" s="2"/>
      <c r="B63" s="3"/>
      <c r="C63" s="33" t="s">
        <v>382</v>
      </c>
      <c r="D63" s="1948" t="s">
        <v>226</v>
      </c>
      <c r="E63" s="1949"/>
      <c r="F63" s="16" t="e">
        <f>F62*12%</f>
        <v>#REF!</v>
      </c>
      <c r="G63" s="28"/>
    </row>
    <row r="64" spans="1:8">
      <c r="A64" s="2"/>
      <c r="B64" s="3"/>
      <c r="C64" s="1955" t="s">
        <v>3454</v>
      </c>
      <c r="D64" s="1956"/>
      <c r="E64" s="1957"/>
      <c r="F64" s="17" t="e">
        <f>SUM(F62:F63)</f>
        <v>#REF!</v>
      </c>
      <c r="G64" s="28"/>
    </row>
    <row r="65" spans="1:7" ht="21.75" customHeight="1">
      <c r="A65" s="2"/>
      <c r="B65" s="3"/>
      <c r="C65" s="12" t="s">
        <v>224</v>
      </c>
      <c r="D65" s="1948" t="s">
        <v>226</v>
      </c>
      <c r="E65" s="1949"/>
      <c r="F65" s="16" t="e">
        <f>F64*1%</f>
        <v>#REF!</v>
      </c>
    </row>
    <row r="66" spans="1:7" ht="20.25" customHeight="1">
      <c r="A66" s="2"/>
      <c r="B66" s="3"/>
      <c r="C66" s="12" t="s">
        <v>225</v>
      </c>
      <c r="D66" s="1948" t="s">
        <v>226</v>
      </c>
      <c r="E66" s="1949"/>
      <c r="F66" s="16" t="e">
        <f>F64*7.5%</f>
        <v>#REF!</v>
      </c>
    </row>
    <row r="67" spans="1:7" ht="19.5" customHeight="1">
      <c r="A67" s="2"/>
      <c r="B67" s="3"/>
      <c r="C67" s="571" t="s">
        <v>3456</v>
      </c>
      <c r="D67" s="1948" t="s">
        <v>3457</v>
      </c>
      <c r="E67" s="1949"/>
      <c r="F67" s="16">
        <f>36*5000</f>
        <v>180000</v>
      </c>
      <c r="G67" s="28"/>
    </row>
    <row r="68" spans="1:7">
      <c r="A68" s="2"/>
      <c r="B68" s="3"/>
      <c r="C68" s="1955" t="s">
        <v>227</v>
      </c>
      <c r="D68" s="1956"/>
      <c r="E68" s="1957"/>
      <c r="F68" s="17" t="e">
        <f>SUM(F64:F67)</f>
        <v>#REF!</v>
      </c>
    </row>
    <row r="69" spans="1:7" ht="21" customHeight="1">
      <c r="A69" s="2"/>
      <c r="B69" s="3"/>
      <c r="C69" s="560"/>
      <c r="D69" s="560"/>
      <c r="E69" s="14" t="s">
        <v>9</v>
      </c>
      <c r="F69" s="17" t="s">
        <v>3486</v>
      </c>
    </row>
    <row r="70" spans="1:7">
      <c r="D70" s="19"/>
      <c r="E70" s="1947"/>
      <c r="F70" s="1947"/>
    </row>
  </sheetData>
  <mergeCells count="11">
    <mergeCell ref="E70:F70"/>
    <mergeCell ref="D63:E63"/>
    <mergeCell ref="A1:F1"/>
    <mergeCell ref="A2:F2"/>
    <mergeCell ref="A3:F3"/>
    <mergeCell ref="C62:E62"/>
    <mergeCell ref="C64:E64"/>
    <mergeCell ref="D65:E65"/>
    <mergeCell ref="D66:E66"/>
    <mergeCell ref="C68:E68"/>
    <mergeCell ref="D67:E67"/>
  </mergeCells>
  <pageMargins left="0.7" right="0.7" top="0.75" bottom="0.75" header="0.3" footer="0.3"/>
  <pageSetup paperSize="9" scale="94" orientation="portrait" r:id="rId1"/>
</worksheet>
</file>

<file path=xl/worksheets/sheet3.xml><?xml version="1.0" encoding="utf-8"?>
<worksheet xmlns="http://schemas.openxmlformats.org/spreadsheetml/2006/main" xmlns:r="http://schemas.openxmlformats.org/officeDocument/2006/relationships">
  <dimension ref="A1:I162"/>
  <sheetViews>
    <sheetView view="pageBreakPreview" zoomScaleNormal="85" zoomScaleSheetLayoutView="100" workbookViewId="0">
      <selection sqref="A1:F1"/>
    </sheetView>
  </sheetViews>
  <sheetFormatPr defaultRowHeight="18"/>
  <cols>
    <col min="1" max="1" width="10.28515625" style="1539" customWidth="1"/>
    <col min="2" max="2" width="11.28515625" style="1501" customWidth="1"/>
    <col min="3" max="3" width="48.85546875" style="1537" customWidth="1"/>
    <col min="4" max="4" width="14.7109375" style="1501" customWidth="1"/>
    <col min="5" max="5" width="9.7109375" style="1501" customWidth="1"/>
    <col min="6" max="6" width="16" style="1538" customWidth="1"/>
    <col min="7" max="7" width="14.7109375" style="1501" customWidth="1"/>
    <col min="8" max="8" width="14.7109375" style="1501" bestFit="1" customWidth="1"/>
    <col min="9" max="9" width="10.28515625" style="1501" bestFit="1" customWidth="1"/>
    <col min="10" max="256" width="8.85546875" style="1501"/>
    <col min="257" max="257" width="6.7109375" style="1501" customWidth="1"/>
    <col min="258" max="258" width="11.7109375" style="1501" customWidth="1"/>
    <col min="259" max="259" width="37.85546875" style="1501" customWidth="1"/>
    <col min="260" max="260" width="12" style="1501" customWidth="1"/>
    <col min="261" max="261" width="9.7109375" style="1501" customWidth="1"/>
    <col min="262" max="262" width="16" style="1501" customWidth="1"/>
    <col min="263" max="263" width="14.7109375" style="1501" customWidth="1"/>
    <col min="264" max="264" width="14.7109375" style="1501" bestFit="1" customWidth="1"/>
    <col min="265" max="265" width="10.28515625" style="1501" bestFit="1" customWidth="1"/>
    <col min="266" max="512" width="8.85546875" style="1501"/>
    <col min="513" max="513" width="6.7109375" style="1501" customWidth="1"/>
    <col min="514" max="514" width="11.7109375" style="1501" customWidth="1"/>
    <col min="515" max="515" width="37.85546875" style="1501" customWidth="1"/>
    <col min="516" max="516" width="12" style="1501" customWidth="1"/>
    <col min="517" max="517" width="9.7109375" style="1501" customWidth="1"/>
    <col min="518" max="518" width="16" style="1501" customWidth="1"/>
    <col min="519" max="519" width="14.7109375" style="1501" customWidth="1"/>
    <col min="520" max="520" width="14.7109375" style="1501" bestFit="1" customWidth="1"/>
    <col min="521" max="521" width="10.28515625" style="1501" bestFit="1" customWidth="1"/>
    <col min="522" max="768" width="8.85546875" style="1501"/>
    <col min="769" max="769" width="6.7109375" style="1501" customWidth="1"/>
    <col min="770" max="770" width="11.7109375" style="1501" customWidth="1"/>
    <col min="771" max="771" width="37.85546875" style="1501" customWidth="1"/>
    <col min="772" max="772" width="12" style="1501" customWidth="1"/>
    <col min="773" max="773" width="9.7109375" style="1501" customWidth="1"/>
    <col min="774" max="774" width="16" style="1501" customWidth="1"/>
    <col min="775" max="775" width="14.7109375" style="1501" customWidth="1"/>
    <col min="776" max="776" width="14.7109375" style="1501" bestFit="1" customWidth="1"/>
    <col min="777" max="777" width="10.28515625" style="1501" bestFit="1" customWidth="1"/>
    <col min="778" max="1024" width="8.85546875" style="1501"/>
    <col min="1025" max="1025" width="6.7109375" style="1501" customWidth="1"/>
    <col min="1026" max="1026" width="11.7109375" style="1501" customWidth="1"/>
    <col min="1027" max="1027" width="37.85546875" style="1501" customWidth="1"/>
    <col min="1028" max="1028" width="12" style="1501" customWidth="1"/>
    <col min="1029" max="1029" width="9.7109375" style="1501" customWidth="1"/>
    <col min="1030" max="1030" width="16" style="1501" customWidth="1"/>
    <col min="1031" max="1031" width="14.7109375" style="1501" customWidth="1"/>
    <col min="1032" max="1032" width="14.7109375" style="1501" bestFit="1" customWidth="1"/>
    <col min="1033" max="1033" width="10.28515625" style="1501" bestFit="1" customWidth="1"/>
    <col min="1034" max="1280" width="8.85546875" style="1501"/>
    <col min="1281" max="1281" width="6.7109375" style="1501" customWidth="1"/>
    <col min="1282" max="1282" width="11.7109375" style="1501" customWidth="1"/>
    <col min="1283" max="1283" width="37.85546875" style="1501" customWidth="1"/>
    <col min="1284" max="1284" width="12" style="1501" customWidth="1"/>
    <col min="1285" max="1285" width="9.7109375" style="1501" customWidth="1"/>
    <col min="1286" max="1286" width="16" style="1501" customWidth="1"/>
    <col min="1287" max="1287" width="14.7109375" style="1501" customWidth="1"/>
    <col min="1288" max="1288" width="14.7109375" style="1501" bestFit="1" customWidth="1"/>
    <col min="1289" max="1289" width="10.28515625" style="1501" bestFit="1" customWidth="1"/>
    <col min="1290" max="1536" width="8.85546875" style="1501"/>
    <col min="1537" max="1537" width="6.7109375" style="1501" customWidth="1"/>
    <col min="1538" max="1538" width="11.7109375" style="1501" customWidth="1"/>
    <col min="1539" max="1539" width="37.85546875" style="1501" customWidth="1"/>
    <col min="1540" max="1540" width="12" style="1501" customWidth="1"/>
    <col min="1541" max="1541" width="9.7109375" style="1501" customWidth="1"/>
    <col min="1542" max="1542" width="16" style="1501" customWidth="1"/>
    <col min="1543" max="1543" width="14.7109375" style="1501" customWidth="1"/>
    <col min="1544" max="1544" width="14.7109375" style="1501" bestFit="1" customWidth="1"/>
    <col min="1545" max="1545" width="10.28515625" style="1501" bestFit="1" customWidth="1"/>
    <col min="1546" max="1792" width="8.85546875" style="1501"/>
    <col min="1793" max="1793" width="6.7109375" style="1501" customWidth="1"/>
    <col min="1794" max="1794" width="11.7109375" style="1501" customWidth="1"/>
    <col min="1795" max="1795" width="37.85546875" style="1501" customWidth="1"/>
    <col min="1796" max="1796" width="12" style="1501" customWidth="1"/>
    <col min="1797" max="1797" width="9.7109375" style="1501" customWidth="1"/>
    <col min="1798" max="1798" width="16" style="1501" customWidth="1"/>
    <col min="1799" max="1799" width="14.7109375" style="1501" customWidth="1"/>
    <col min="1800" max="1800" width="14.7109375" style="1501" bestFit="1" customWidth="1"/>
    <col min="1801" max="1801" width="10.28515625" style="1501" bestFit="1" customWidth="1"/>
    <col min="1802" max="2048" width="8.85546875" style="1501"/>
    <col min="2049" max="2049" width="6.7109375" style="1501" customWidth="1"/>
    <col min="2050" max="2050" width="11.7109375" style="1501" customWidth="1"/>
    <col min="2051" max="2051" width="37.85546875" style="1501" customWidth="1"/>
    <col min="2052" max="2052" width="12" style="1501" customWidth="1"/>
    <col min="2053" max="2053" width="9.7109375" style="1501" customWidth="1"/>
    <col min="2054" max="2054" width="16" style="1501" customWidth="1"/>
    <col min="2055" max="2055" width="14.7109375" style="1501" customWidth="1"/>
    <col min="2056" max="2056" width="14.7109375" style="1501" bestFit="1" customWidth="1"/>
    <col min="2057" max="2057" width="10.28515625" style="1501" bestFit="1" customWidth="1"/>
    <col min="2058" max="2304" width="8.85546875" style="1501"/>
    <col min="2305" max="2305" width="6.7109375" style="1501" customWidth="1"/>
    <col min="2306" max="2306" width="11.7109375" style="1501" customWidth="1"/>
    <col min="2307" max="2307" width="37.85546875" style="1501" customWidth="1"/>
    <col min="2308" max="2308" width="12" style="1501" customWidth="1"/>
    <col min="2309" max="2309" width="9.7109375" style="1501" customWidth="1"/>
    <col min="2310" max="2310" width="16" style="1501" customWidth="1"/>
    <col min="2311" max="2311" width="14.7109375" style="1501" customWidth="1"/>
    <col min="2312" max="2312" width="14.7109375" style="1501" bestFit="1" customWidth="1"/>
    <col min="2313" max="2313" width="10.28515625" style="1501" bestFit="1" customWidth="1"/>
    <col min="2314" max="2560" width="8.85546875" style="1501"/>
    <col min="2561" max="2561" width="6.7109375" style="1501" customWidth="1"/>
    <col min="2562" max="2562" width="11.7109375" style="1501" customWidth="1"/>
    <col min="2563" max="2563" width="37.85546875" style="1501" customWidth="1"/>
    <col min="2564" max="2564" width="12" style="1501" customWidth="1"/>
    <col min="2565" max="2565" width="9.7109375" style="1501" customWidth="1"/>
    <col min="2566" max="2566" width="16" style="1501" customWidth="1"/>
    <col min="2567" max="2567" width="14.7109375" style="1501" customWidth="1"/>
    <col min="2568" max="2568" width="14.7109375" style="1501" bestFit="1" customWidth="1"/>
    <col min="2569" max="2569" width="10.28515625" style="1501" bestFit="1" customWidth="1"/>
    <col min="2570" max="2816" width="8.85546875" style="1501"/>
    <col min="2817" max="2817" width="6.7109375" style="1501" customWidth="1"/>
    <col min="2818" max="2818" width="11.7109375" style="1501" customWidth="1"/>
    <col min="2819" max="2819" width="37.85546875" style="1501" customWidth="1"/>
    <col min="2820" max="2820" width="12" style="1501" customWidth="1"/>
    <col min="2821" max="2821" width="9.7109375" style="1501" customWidth="1"/>
    <col min="2822" max="2822" width="16" style="1501" customWidth="1"/>
    <col min="2823" max="2823" width="14.7109375" style="1501" customWidth="1"/>
    <col min="2824" max="2824" width="14.7109375" style="1501" bestFit="1" customWidth="1"/>
    <col min="2825" max="2825" width="10.28515625" style="1501" bestFit="1" customWidth="1"/>
    <col min="2826" max="3072" width="8.85546875" style="1501"/>
    <col min="3073" max="3073" width="6.7109375" style="1501" customWidth="1"/>
    <col min="3074" max="3074" width="11.7109375" style="1501" customWidth="1"/>
    <col min="3075" max="3075" width="37.85546875" style="1501" customWidth="1"/>
    <col min="3076" max="3076" width="12" style="1501" customWidth="1"/>
    <col min="3077" max="3077" width="9.7109375" style="1501" customWidth="1"/>
    <col min="3078" max="3078" width="16" style="1501" customWidth="1"/>
    <col min="3079" max="3079" width="14.7109375" style="1501" customWidth="1"/>
    <col min="3080" max="3080" width="14.7109375" style="1501" bestFit="1" customWidth="1"/>
    <col min="3081" max="3081" width="10.28515625" style="1501" bestFit="1" customWidth="1"/>
    <col min="3082" max="3328" width="8.85546875" style="1501"/>
    <col min="3329" max="3329" width="6.7109375" style="1501" customWidth="1"/>
    <col min="3330" max="3330" width="11.7109375" style="1501" customWidth="1"/>
    <col min="3331" max="3331" width="37.85546875" style="1501" customWidth="1"/>
    <col min="3332" max="3332" width="12" style="1501" customWidth="1"/>
    <col min="3333" max="3333" width="9.7109375" style="1501" customWidth="1"/>
    <col min="3334" max="3334" width="16" style="1501" customWidth="1"/>
    <col min="3335" max="3335" width="14.7109375" style="1501" customWidth="1"/>
    <col min="3336" max="3336" width="14.7109375" style="1501" bestFit="1" customWidth="1"/>
    <col min="3337" max="3337" width="10.28515625" style="1501" bestFit="1" customWidth="1"/>
    <col min="3338" max="3584" width="8.85546875" style="1501"/>
    <col min="3585" max="3585" width="6.7109375" style="1501" customWidth="1"/>
    <col min="3586" max="3586" width="11.7109375" style="1501" customWidth="1"/>
    <col min="3587" max="3587" width="37.85546875" style="1501" customWidth="1"/>
    <col min="3588" max="3588" width="12" style="1501" customWidth="1"/>
    <col min="3589" max="3589" width="9.7109375" style="1501" customWidth="1"/>
    <col min="3590" max="3590" width="16" style="1501" customWidth="1"/>
    <col min="3591" max="3591" width="14.7109375" style="1501" customWidth="1"/>
    <col min="3592" max="3592" width="14.7109375" style="1501" bestFit="1" customWidth="1"/>
    <col min="3593" max="3593" width="10.28515625" style="1501" bestFit="1" customWidth="1"/>
    <col min="3594" max="3840" width="8.85546875" style="1501"/>
    <col min="3841" max="3841" width="6.7109375" style="1501" customWidth="1"/>
    <col min="3842" max="3842" width="11.7109375" style="1501" customWidth="1"/>
    <col min="3843" max="3843" width="37.85546875" style="1501" customWidth="1"/>
    <col min="3844" max="3844" width="12" style="1501" customWidth="1"/>
    <col min="3845" max="3845" width="9.7109375" style="1501" customWidth="1"/>
    <col min="3846" max="3846" width="16" style="1501" customWidth="1"/>
    <col min="3847" max="3847" width="14.7109375" style="1501" customWidth="1"/>
    <col min="3848" max="3848" width="14.7109375" style="1501" bestFit="1" customWidth="1"/>
    <col min="3849" max="3849" width="10.28515625" style="1501" bestFit="1" customWidth="1"/>
    <col min="3850" max="4096" width="8.85546875" style="1501"/>
    <col min="4097" max="4097" width="6.7109375" style="1501" customWidth="1"/>
    <col min="4098" max="4098" width="11.7109375" style="1501" customWidth="1"/>
    <col min="4099" max="4099" width="37.85546875" style="1501" customWidth="1"/>
    <col min="4100" max="4100" width="12" style="1501" customWidth="1"/>
    <col min="4101" max="4101" width="9.7109375" style="1501" customWidth="1"/>
    <col min="4102" max="4102" width="16" style="1501" customWidth="1"/>
    <col min="4103" max="4103" width="14.7109375" style="1501" customWidth="1"/>
    <col min="4104" max="4104" width="14.7109375" style="1501" bestFit="1" customWidth="1"/>
    <col min="4105" max="4105" width="10.28515625" style="1501" bestFit="1" customWidth="1"/>
    <col min="4106" max="4352" width="8.85546875" style="1501"/>
    <col min="4353" max="4353" width="6.7109375" style="1501" customWidth="1"/>
    <col min="4354" max="4354" width="11.7109375" style="1501" customWidth="1"/>
    <col min="4355" max="4355" width="37.85546875" style="1501" customWidth="1"/>
    <col min="4356" max="4356" width="12" style="1501" customWidth="1"/>
    <col min="4357" max="4357" width="9.7109375" style="1501" customWidth="1"/>
    <col min="4358" max="4358" width="16" style="1501" customWidth="1"/>
    <col min="4359" max="4359" width="14.7109375" style="1501" customWidth="1"/>
    <col min="4360" max="4360" width="14.7109375" style="1501" bestFit="1" customWidth="1"/>
    <col min="4361" max="4361" width="10.28515625" style="1501" bestFit="1" customWidth="1"/>
    <col min="4362" max="4608" width="8.85546875" style="1501"/>
    <col min="4609" max="4609" width="6.7109375" style="1501" customWidth="1"/>
    <col min="4610" max="4610" width="11.7109375" style="1501" customWidth="1"/>
    <col min="4611" max="4611" width="37.85546875" style="1501" customWidth="1"/>
    <col min="4612" max="4612" width="12" style="1501" customWidth="1"/>
    <col min="4613" max="4613" width="9.7109375" style="1501" customWidth="1"/>
    <col min="4614" max="4614" width="16" style="1501" customWidth="1"/>
    <col min="4615" max="4615" width="14.7109375" style="1501" customWidth="1"/>
    <col min="4616" max="4616" width="14.7109375" style="1501" bestFit="1" customWidth="1"/>
    <col min="4617" max="4617" width="10.28515625" style="1501" bestFit="1" customWidth="1"/>
    <col min="4618" max="4864" width="8.85546875" style="1501"/>
    <col min="4865" max="4865" width="6.7109375" style="1501" customWidth="1"/>
    <col min="4866" max="4866" width="11.7109375" style="1501" customWidth="1"/>
    <col min="4867" max="4867" width="37.85546875" style="1501" customWidth="1"/>
    <col min="4868" max="4868" width="12" style="1501" customWidth="1"/>
    <col min="4869" max="4869" width="9.7109375" style="1501" customWidth="1"/>
    <col min="4870" max="4870" width="16" style="1501" customWidth="1"/>
    <col min="4871" max="4871" width="14.7109375" style="1501" customWidth="1"/>
    <col min="4872" max="4872" width="14.7109375" style="1501" bestFit="1" customWidth="1"/>
    <col min="4873" max="4873" width="10.28515625" style="1501" bestFit="1" customWidth="1"/>
    <col min="4874" max="5120" width="8.85546875" style="1501"/>
    <col min="5121" max="5121" width="6.7109375" style="1501" customWidth="1"/>
    <col min="5122" max="5122" width="11.7109375" style="1501" customWidth="1"/>
    <col min="5123" max="5123" width="37.85546875" style="1501" customWidth="1"/>
    <col min="5124" max="5124" width="12" style="1501" customWidth="1"/>
    <col min="5125" max="5125" width="9.7109375" style="1501" customWidth="1"/>
    <col min="5126" max="5126" width="16" style="1501" customWidth="1"/>
    <col min="5127" max="5127" width="14.7109375" style="1501" customWidth="1"/>
    <col min="5128" max="5128" width="14.7109375" style="1501" bestFit="1" customWidth="1"/>
    <col min="5129" max="5129" width="10.28515625" style="1501" bestFit="1" customWidth="1"/>
    <col min="5130" max="5376" width="8.85546875" style="1501"/>
    <col min="5377" max="5377" width="6.7109375" style="1501" customWidth="1"/>
    <col min="5378" max="5378" width="11.7109375" style="1501" customWidth="1"/>
    <col min="5379" max="5379" width="37.85546875" style="1501" customWidth="1"/>
    <col min="5380" max="5380" width="12" style="1501" customWidth="1"/>
    <col min="5381" max="5381" width="9.7109375" style="1501" customWidth="1"/>
    <col min="5382" max="5382" width="16" style="1501" customWidth="1"/>
    <col min="5383" max="5383" width="14.7109375" style="1501" customWidth="1"/>
    <col min="5384" max="5384" width="14.7109375" style="1501" bestFit="1" customWidth="1"/>
    <col min="5385" max="5385" width="10.28515625" style="1501" bestFit="1" customWidth="1"/>
    <col min="5386" max="5632" width="8.85546875" style="1501"/>
    <col min="5633" max="5633" width="6.7109375" style="1501" customWidth="1"/>
    <col min="5634" max="5634" width="11.7109375" style="1501" customWidth="1"/>
    <col min="5635" max="5635" width="37.85546875" style="1501" customWidth="1"/>
    <col min="5636" max="5636" width="12" style="1501" customWidth="1"/>
    <col min="5637" max="5637" width="9.7109375" style="1501" customWidth="1"/>
    <col min="5638" max="5638" width="16" style="1501" customWidth="1"/>
    <col min="5639" max="5639" width="14.7109375" style="1501" customWidth="1"/>
    <col min="5640" max="5640" width="14.7109375" style="1501" bestFit="1" customWidth="1"/>
    <col min="5641" max="5641" width="10.28515625" style="1501" bestFit="1" customWidth="1"/>
    <col min="5642" max="5888" width="8.85546875" style="1501"/>
    <col min="5889" max="5889" width="6.7109375" style="1501" customWidth="1"/>
    <col min="5890" max="5890" width="11.7109375" style="1501" customWidth="1"/>
    <col min="5891" max="5891" width="37.85546875" style="1501" customWidth="1"/>
    <col min="5892" max="5892" width="12" style="1501" customWidth="1"/>
    <col min="5893" max="5893" width="9.7109375" style="1501" customWidth="1"/>
    <col min="5894" max="5894" width="16" style="1501" customWidth="1"/>
    <col min="5895" max="5895" width="14.7109375" style="1501" customWidth="1"/>
    <col min="5896" max="5896" width="14.7109375" style="1501" bestFit="1" customWidth="1"/>
    <col min="5897" max="5897" width="10.28515625" style="1501" bestFit="1" customWidth="1"/>
    <col min="5898" max="6144" width="8.85546875" style="1501"/>
    <col min="6145" max="6145" width="6.7109375" style="1501" customWidth="1"/>
    <col min="6146" max="6146" width="11.7109375" style="1501" customWidth="1"/>
    <col min="6147" max="6147" width="37.85546875" style="1501" customWidth="1"/>
    <col min="6148" max="6148" width="12" style="1501" customWidth="1"/>
    <col min="6149" max="6149" width="9.7109375" style="1501" customWidth="1"/>
    <col min="6150" max="6150" width="16" style="1501" customWidth="1"/>
    <col min="6151" max="6151" width="14.7109375" style="1501" customWidth="1"/>
    <col min="6152" max="6152" width="14.7109375" style="1501" bestFit="1" customWidth="1"/>
    <col min="6153" max="6153" width="10.28515625" style="1501" bestFit="1" customWidth="1"/>
    <col min="6154" max="6400" width="8.85546875" style="1501"/>
    <col min="6401" max="6401" width="6.7109375" style="1501" customWidth="1"/>
    <col min="6402" max="6402" width="11.7109375" style="1501" customWidth="1"/>
    <col min="6403" max="6403" width="37.85546875" style="1501" customWidth="1"/>
    <col min="6404" max="6404" width="12" style="1501" customWidth="1"/>
    <col min="6405" max="6405" width="9.7109375" style="1501" customWidth="1"/>
    <col min="6406" max="6406" width="16" style="1501" customWidth="1"/>
    <col min="6407" max="6407" width="14.7109375" style="1501" customWidth="1"/>
    <col min="6408" max="6408" width="14.7109375" style="1501" bestFit="1" customWidth="1"/>
    <col min="6409" max="6409" width="10.28515625" style="1501" bestFit="1" customWidth="1"/>
    <col min="6410" max="6656" width="8.85546875" style="1501"/>
    <col min="6657" max="6657" width="6.7109375" style="1501" customWidth="1"/>
    <col min="6658" max="6658" width="11.7109375" style="1501" customWidth="1"/>
    <col min="6659" max="6659" width="37.85546875" style="1501" customWidth="1"/>
    <col min="6660" max="6660" width="12" style="1501" customWidth="1"/>
    <col min="6661" max="6661" width="9.7109375" style="1501" customWidth="1"/>
    <col min="6662" max="6662" width="16" style="1501" customWidth="1"/>
    <col min="6663" max="6663" width="14.7109375" style="1501" customWidth="1"/>
    <col min="6664" max="6664" width="14.7109375" style="1501" bestFit="1" customWidth="1"/>
    <col min="6665" max="6665" width="10.28515625" style="1501" bestFit="1" customWidth="1"/>
    <col min="6666" max="6912" width="8.85546875" style="1501"/>
    <col min="6913" max="6913" width="6.7109375" style="1501" customWidth="1"/>
    <col min="6914" max="6914" width="11.7109375" style="1501" customWidth="1"/>
    <col min="6915" max="6915" width="37.85546875" style="1501" customWidth="1"/>
    <col min="6916" max="6916" width="12" style="1501" customWidth="1"/>
    <col min="6917" max="6917" width="9.7109375" style="1501" customWidth="1"/>
    <col min="6918" max="6918" width="16" style="1501" customWidth="1"/>
    <col min="6919" max="6919" width="14.7109375" style="1501" customWidth="1"/>
    <col min="6920" max="6920" width="14.7109375" style="1501" bestFit="1" customWidth="1"/>
    <col min="6921" max="6921" width="10.28515625" style="1501" bestFit="1" customWidth="1"/>
    <col min="6922" max="7168" width="8.85546875" style="1501"/>
    <col min="7169" max="7169" width="6.7109375" style="1501" customWidth="1"/>
    <col min="7170" max="7170" width="11.7109375" style="1501" customWidth="1"/>
    <col min="7171" max="7171" width="37.85546875" style="1501" customWidth="1"/>
    <col min="7172" max="7172" width="12" style="1501" customWidth="1"/>
    <col min="7173" max="7173" width="9.7109375" style="1501" customWidth="1"/>
    <col min="7174" max="7174" width="16" style="1501" customWidth="1"/>
    <col min="7175" max="7175" width="14.7109375" style="1501" customWidth="1"/>
    <col min="7176" max="7176" width="14.7109375" style="1501" bestFit="1" customWidth="1"/>
    <col min="7177" max="7177" width="10.28515625" style="1501" bestFit="1" customWidth="1"/>
    <col min="7178" max="7424" width="8.85546875" style="1501"/>
    <col min="7425" max="7425" width="6.7109375" style="1501" customWidth="1"/>
    <col min="7426" max="7426" width="11.7109375" style="1501" customWidth="1"/>
    <col min="7427" max="7427" width="37.85546875" style="1501" customWidth="1"/>
    <col min="7428" max="7428" width="12" style="1501" customWidth="1"/>
    <col min="7429" max="7429" width="9.7109375" style="1501" customWidth="1"/>
    <col min="7430" max="7430" width="16" style="1501" customWidth="1"/>
    <col min="7431" max="7431" width="14.7109375" style="1501" customWidth="1"/>
    <col min="7432" max="7432" width="14.7109375" style="1501" bestFit="1" customWidth="1"/>
    <col min="7433" max="7433" width="10.28515625" style="1501" bestFit="1" customWidth="1"/>
    <col min="7434" max="7680" width="8.85546875" style="1501"/>
    <col min="7681" max="7681" width="6.7109375" style="1501" customWidth="1"/>
    <col min="7682" max="7682" width="11.7109375" style="1501" customWidth="1"/>
    <col min="7683" max="7683" width="37.85546875" style="1501" customWidth="1"/>
    <col min="7684" max="7684" width="12" style="1501" customWidth="1"/>
    <col min="7685" max="7685" width="9.7109375" style="1501" customWidth="1"/>
    <col min="7686" max="7686" width="16" style="1501" customWidth="1"/>
    <col min="7687" max="7687" width="14.7109375" style="1501" customWidth="1"/>
    <col min="7688" max="7688" width="14.7109375" style="1501" bestFit="1" customWidth="1"/>
    <col min="7689" max="7689" width="10.28515625" style="1501" bestFit="1" customWidth="1"/>
    <col min="7690" max="7936" width="8.85546875" style="1501"/>
    <col min="7937" max="7937" width="6.7109375" style="1501" customWidth="1"/>
    <col min="7938" max="7938" width="11.7109375" style="1501" customWidth="1"/>
    <col min="7939" max="7939" width="37.85546875" style="1501" customWidth="1"/>
    <col min="7940" max="7940" width="12" style="1501" customWidth="1"/>
    <col min="7941" max="7941" width="9.7109375" style="1501" customWidth="1"/>
    <col min="7942" max="7942" width="16" style="1501" customWidth="1"/>
    <col min="7943" max="7943" width="14.7109375" style="1501" customWidth="1"/>
    <col min="7944" max="7944" width="14.7109375" style="1501" bestFit="1" customWidth="1"/>
    <col min="7945" max="7945" width="10.28515625" style="1501" bestFit="1" customWidth="1"/>
    <col min="7946" max="8192" width="8.85546875" style="1501"/>
    <col min="8193" max="8193" width="6.7109375" style="1501" customWidth="1"/>
    <col min="8194" max="8194" width="11.7109375" style="1501" customWidth="1"/>
    <col min="8195" max="8195" width="37.85546875" style="1501" customWidth="1"/>
    <col min="8196" max="8196" width="12" style="1501" customWidth="1"/>
    <col min="8197" max="8197" width="9.7109375" style="1501" customWidth="1"/>
    <col min="8198" max="8198" width="16" style="1501" customWidth="1"/>
    <col min="8199" max="8199" width="14.7109375" style="1501" customWidth="1"/>
    <col min="8200" max="8200" width="14.7109375" style="1501" bestFit="1" customWidth="1"/>
    <col min="8201" max="8201" width="10.28515625" style="1501" bestFit="1" customWidth="1"/>
    <col min="8202" max="8448" width="8.85546875" style="1501"/>
    <col min="8449" max="8449" width="6.7109375" style="1501" customWidth="1"/>
    <col min="8450" max="8450" width="11.7109375" style="1501" customWidth="1"/>
    <col min="8451" max="8451" width="37.85546875" style="1501" customWidth="1"/>
    <col min="8452" max="8452" width="12" style="1501" customWidth="1"/>
    <col min="8453" max="8453" width="9.7109375" style="1501" customWidth="1"/>
    <col min="8454" max="8454" width="16" style="1501" customWidth="1"/>
    <col min="8455" max="8455" width="14.7109375" style="1501" customWidth="1"/>
    <col min="8456" max="8456" width="14.7109375" style="1501" bestFit="1" customWidth="1"/>
    <col min="8457" max="8457" width="10.28515625" style="1501" bestFit="1" customWidth="1"/>
    <col min="8458" max="8704" width="8.85546875" style="1501"/>
    <col min="8705" max="8705" width="6.7109375" style="1501" customWidth="1"/>
    <col min="8706" max="8706" width="11.7109375" style="1501" customWidth="1"/>
    <col min="8707" max="8707" width="37.85546875" style="1501" customWidth="1"/>
    <col min="8708" max="8708" width="12" style="1501" customWidth="1"/>
    <col min="8709" max="8709" width="9.7109375" style="1501" customWidth="1"/>
    <col min="8710" max="8710" width="16" style="1501" customWidth="1"/>
    <col min="8711" max="8711" width="14.7109375" style="1501" customWidth="1"/>
    <col min="8712" max="8712" width="14.7109375" style="1501" bestFit="1" customWidth="1"/>
    <col min="8713" max="8713" width="10.28515625" style="1501" bestFit="1" customWidth="1"/>
    <col min="8714" max="8960" width="8.85546875" style="1501"/>
    <col min="8961" max="8961" width="6.7109375" style="1501" customWidth="1"/>
    <col min="8962" max="8962" width="11.7109375" style="1501" customWidth="1"/>
    <col min="8963" max="8963" width="37.85546875" style="1501" customWidth="1"/>
    <col min="8964" max="8964" width="12" style="1501" customWidth="1"/>
    <col min="8965" max="8965" width="9.7109375" style="1501" customWidth="1"/>
    <col min="8966" max="8966" width="16" style="1501" customWidth="1"/>
    <col min="8967" max="8967" width="14.7109375" style="1501" customWidth="1"/>
    <col min="8968" max="8968" width="14.7109375" style="1501" bestFit="1" customWidth="1"/>
    <col min="8969" max="8969" width="10.28515625" style="1501" bestFit="1" customWidth="1"/>
    <col min="8970" max="9216" width="8.85546875" style="1501"/>
    <col min="9217" max="9217" width="6.7109375" style="1501" customWidth="1"/>
    <col min="9218" max="9218" width="11.7109375" style="1501" customWidth="1"/>
    <col min="9219" max="9219" width="37.85546875" style="1501" customWidth="1"/>
    <col min="9220" max="9220" width="12" style="1501" customWidth="1"/>
    <col min="9221" max="9221" width="9.7109375" style="1501" customWidth="1"/>
    <col min="9222" max="9222" width="16" style="1501" customWidth="1"/>
    <col min="9223" max="9223" width="14.7109375" style="1501" customWidth="1"/>
    <col min="9224" max="9224" width="14.7109375" style="1501" bestFit="1" customWidth="1"/>
    <col min="9225" max="9225" width="10.28515625" style="1501" bestFit="1" customWidth="1"/>
    <col min="9226" max="9472" width="8.85546875" style="1501"/>
    <col min="9473" max="9473" width="6.7109375" style="1501" customWidth="1"/>
    <col min="9474" max="9474" width="11.7109375" style="1501" customWidth="1"/>
    <col min="9475" max="9475" width="37.85546875" style="1501" customWidth="1"/>
    <col min="9476" max="9476" width="12" style="1501" customWidth="1"/>
    <col min="9477" max="9477" width="9.7109375" style="1501" customWidth="1"/>
    <col min="9478" max="9478" width="16" style="1501" customWidth="1"/>
    <col min="9479" max="9479" width="14.7109375" style="1501" customWidth="1"/>
    <col min="9480" max="9480" width="14.7109375" style="1501" bestFit="1" customWidth="1"/>
    <col min="9481" max="9481" width="10.28515625" style="1501" bestFit="1" customWidth="1"/>
    <col min="9482" max="9728" width="8.85546875" style="1501"/>
    <col min="9729" max="9729" width="6.7109375" style="1501" customWidth="1"/>
    <col min="9730" max="9730" width="11.7109375" style="1501" customWidth="1"/>
    <col min="9731" max="9731" width="37.85546875" style="1501" customWidth="1"/>
    <col min="9732" max="9732" width="12" style="1501" customWidth="1"/>
    <col min="9733" max="9733" width="9.7109375" style="1501" customWidth="1"/>
    <col min="9734" max="9734" width="16" style="1501" customWidth="1"/>
    <col min="9735" max="9735" width="14.7109375" style="1501" customWidth="1"/>
    <col min="9736" max="9736" width="14.7109375" style="1501" bestFit="1" customWidth="1"/>
    <col min="9737" max="9737" width="10.28515625" style="1501" bestFit="1" customWidth="1"/>
    <col min="9738" max="9984" width="8.85546875" style="1501"/>
    <col min="9985" max="9985" width="6.7109375" style="1501" customWidth="1"/>
    <col min="9986" max="9986" width="11.7109375" style="1501" customWidth="1"/>
    <col min="9987" max="9987" width="37.85546875" style="1501" customWidth="1"/>
    <col min="9988" max="9988" width="12" style="1501" customWidth="1"/>
    <col min="9989" max="9989" width="9.7109375" style="1501" customWidth="1"/>
    <col min="9990" max="9990" width="16" style="1501" customWidth="1"/>
    <col min="9991" max="9991" width="14.7109375" style="1501" customWidth="1"/>
    <col min="9992" max="9992" width="14.7109375" style="1501" bestFit="1" customWidth="1"/>
    <col min="9993" max="9993" width="10.28515625" style="1501" bestFit="1" customWidth="1"/>
    <col min="9994" max="10240" width="8.85546875" style="1501"/>
    <col min="10241" max="10241" width="6.7109375" style="1501" customWidth="1"/>
    <col min="10242" max="10242" width="11.7109375" style="1501" customWidth="1"/>
    <col min="10243" max="10243" width="37.85546875" style="1501" customWidth="1"/>
    <col min="10244" max="10244" width="12" style="1501" customWidth="1"/>
    <col min="10245" max="10245" width="9.7109375" style="1501" customWidth="1"/>
    <col min="10246" max="10246" width="16" style="1501" customWidth="1"/>
    <col min="10247" max="10247" width="14.7109375" style="1501" customWidth="1"/>
    <col min="10248" max="10248" width="14.7109375" style="1501" bestFit="1" customWidth="1"/>
    <col min="10249" max="10249" width="10.28515625" style="1501" bestFit="1" customWidth="1"/>
    <col min="10250" max="10496" width="8.85546875" style="1501"/>
    <col min="10497" max="10497" width="6.7109375" style="1501" customWidth="1"/>
    <col min="10498" max="10498" width="11.7109375" style="1501" customWidth="1"/>
    <col min="10499" max="10499" width="37.85546875" style="1501" customWidth="1"/>
    <col min="10500" max="10500" width="12" style="1501" customWidth="1"/>
    <col min="10501" max="10501" width="9.7109375" style="1501" customWidth="1"/>
    <col min="10502" max="10502" width="16" style="1501" customWidth="1"/>
    <col min="10503" max="10503" width="14.7109375" style="1501" customWidth="1"/>
    <col min="10504" max="10504" width="14.7109375" style="1501" bestFit="1" customWidth="1"/>
    <col min="10505" max="10505" width="10.28515625" style="1501" bestFit="1" customWidth="1"/>
    <col min="10506" max="10752" width="8.85546875" style="1501"/>
    <col min="10753" max="10753" width="6.7109375" style="1501" customWidth="1"/>
    <col min="10754" max="10754" width="11.7109375" style="1501" customWidth="1"/>
    <col min="10755" max="10755" width="37.85546875" style="1501" customWidth="1"/>
    <col min="10756" max="10756" width="12" style="1501" customWidth="1"/>
    <col min="10757" max="10757" width="9.7109375" style="1501" customWidth="1"/>
    <col min="10758" max="10758" width="16" style="1501" customWidth="1"/>
    <col min="10759" max="10759" width="14.7109375" style="1501" customWidth="1"/>
    <col min="10760" max="10760" width="14.7109375" style="1501" bestFit="1" customWidth="1"/>
    <col min="10761" max="10761" width="10.28515625" style="1501" bestFit="1" customWidth="1"/>
    <col min="10762" max="11008" width="8.85546875" style="1501"/>
    <col min="11009" max="11009" width="6.7109375" style="1501" customWidth="1"/>
    <col min="11010" max="11010" width="11.7109375" style="1501" customWidth="1"/>
    <col min="11011" max="11011" width="37.85546875" style="1501" customWidth="1"/>
    <col min="11012" max="11012" width="12" style="1501" customWidth="1"/>
    <col min="11013" max="11013" width="9.7109375" style="1501" customWidth="1"/>
    <col min="11014" max="11014" width="16" style="1501" customWidth="1"/>
    <col min="11015" max="11015" width="14.7109375" style="1501" customWidth="1"/>
    <col min="11016" max="11016" width="14.7109375" style="1501" bestFit="1" customWidth="1"/>
    <col min="11017" max="11017" width="10.28515625" style="1501" bestFit="1" customWidth="1"/>
    <col min="11018" max="11264" width="8.85546875" style="1501"/>
    <col min="11265" max="11265" width="6.7109375" style="1501" customWidth="1"/>
    <col min="11266" max="11266" width="11.7109375" style="1501" customWidth="1"/>
    <col min="11267" max="11267" width="37.85546875" style="1501" customWidth="1"/>
    <col min="11268" max="11268" width="12" style="1501" customWidth="1"/>
    <col min="11269" max="11269" width="9.7109375" style="1501" customWidth="1"/>
    <col min="11270" max="11270" width="16" style="1501" customWidth="1"/>
    <col min="11271" max="11271" width="14.7109375" style="1501" customWidth="1"/>
    <col min="11272" max="11272" width="14.7109375" style="1501" bestFit="1" customWidth="1"/>
    <col min="11273" max="11273" width="10.28515625" style="1501" bestFit="1" customWidth="1"/>
    <col min="11274" max="11520" width="8.85546875" style="1501"/>
    <col min="11521" max="11521" width="6.7109375" style="1501" customWidth="1"/>
    <col min="11522" max="11522" width="11.7109375" style="1501" customWidth="1"/>
    <col min="11523" max="11523" width="37.85546875" style="1501" customWidth="1"/>
    <col min="11524" max="11524" width="12" style="1501" customWidth="1"/>
    <col min="11525" max="11525" width="9.7109375" style="1501" customWidth="1"/>
    <col min="11526" max="11526" width="16" style="1501" customWidth="1"/>
    <col min="11527" max="11527" width="14.7109375" style="1501" customWidth="1"/>
    <col min="11528" max="11528" width="14.7109375" style="1501" bestFit="1" customWidth="1"/>
    <col min="11529" max="11529" width="10.28515625" style="1501" bestFit="1" customWidth="1"/>
    <col min="11530" max="11776" width="8.85546875" style="1501"/>
    <col min="11777" max="11777" width="6.7109375" style="1501" customWidth="1"/>
    <col min="11778" max="11778" width="11.7109375" style="1501" customWidth="1"/>
    <col min="11779" max="11779" width="37.85546875" style="1501" customWidth="1"/>
    <col min="11780" max="11780" width="12" style="1501" customWidth="1"/>
    <col min="11781" max="11781" width="9.7109375" style="1501" customWidth="1"/>
    <col min="11782" max="11782" width="16" style="1501" customWidth="1"/>
    <col min="11783" max="11783" width="14.7109375" style="1501" customWidth="1"/>
    <col min="11784" max="11784" width="14.7109375" style="1501" bestFit="1" customWidth="1"/>
    <col min="11785" max="11785" width="10.28515625" style="1501" bestFit="1" customWidth="1"/>
    <col min="11786" max="12032" width="8.85546875" style="1501"/>
    <col min="12033" max="12033" width="6.7109375" style="1501" customWidth="1"/>
    <col min="12034" max="12034" width="11.7109375" style="1501" customWidth="1"/>
    <col min="12035" max="12035" width="37.85546875" style="1501" customWidth="1"/>
    <col min="12036" max="12036" width="12" style="1501" customWidth="1"/>
    <col min="12037" max="12037" width="9.7109375" style="1501" customWidth="1"/>
    <col min="12038" max="12038" width="16" style="1501" customWidth="1"/>
    <col min="12039" max="12039" width="14.7109375" style="1501" customWidth="1"/>
    <col min="12040" max="12040" width="14.7109375" style="1501" bestFit="1" customWidth="1"/>
    <col min="12041" max="12041" width="10.28515625" style="1501" bestFit="1" customWidth="1"/>
    <col min="12042" max="12288" width="8.85546875" style="1501"/>
    <col min="12289" max="12289" width="6.7109375" style="1501" customWidth="1"/>
    <col min="12290" max="12290" width="11.7109375" style="1501" customWidth="1"/>
    <col min="12291" max="12291" width="37.85546875" style="1501" customWidth="1"/>
    <col min="12292" max="12292" width="12" style="1501" customWidth="1"/>
    <col min="12293" max="12293" width="9.7109375" style="1501" customWidth="1"/>
    <col min="12294" max="12294" width="16" style="1501" customWidth="1"/>
    <col min="12295" max="12295" width="14.7109375" style="1501" customWidth="1"/>
    <col min="12296" max="12296" width="14.7109375" style="1501" bestFit="1" customWidth="1"/>
    <col min="12297" max="12297" width="10.28515625" style="1501" bestFit="1" customWidth="1"/>
    <col min="12298" max="12544" width="8.85546875" style="1501"/>
    <col min="12545" max="12545" width="6.7109375" style="1501" customWidth="1"/>
    <col min="12546" max="12546" width="11.7109375" style="1501" customWidth="1"/>
    <col min="12547" max="12547" width="37.85546875" style="1501" customWidth="1"/>
    <col min="12548" max="12548" width="12" style="1501" customWidth="1"/>
    <col min="12549" max="12549" width="9.7109375" style="1501" customWidth="1"/>
    <col min="12550" max="12550" width="16" style="1501" customWidth="1"/>
    <col min="12551" max="12551" width="14.7109375" style="1501" customWidth="1"/>
    <col min="12552" max="12552" width="14.7109375" style="1501" bestFit="1" customWidth="1"/>
    <col min="12553" max="12553" width="10.28515625" style="1501" bestFit="1" customWidth="1"/>
    <col min="12554" max="12800" width="8.85546875" style="1501"/>
    <col min="12801" max="12801" width="6.7109375" style="1501" customWidth="1"/>
    <col min="12802" max="12802" width="11.7109375" style="1501" customWidth="1"/>
    <col min="12803" max="12803" width="37.85546875" style="1501" customWidth="1"/>
    <col min="12804" max="12804" width="12" style="1501" customWidth="1"/>
    <col min="12805" max="12805" width="9.7109375" style="1501" customWidth="1"/>
    <col min="12806" max="12806" width="16" style="1501" customWidth="1"/>
    <col min="12807" max="12807" width="14.7109375" style="1501" customWidth="1"/>
    <col min="12808" max="12808" width="14.7109375" style="1501" bestFit="1" customWidth="1"/>
    <col min="12809" max="12809" width="10.28515625" style="1501" bestFit="1" customWidth="1"/>
    <col min="12810" max="13056" width="8.85546875" style="1501"/>
    <col min="13057" max="13057" width="6.7109375" style="1501" customWidth="1"/>
    <col min="13058" max="13058" width="11.7109375" style="1501" customWidth="1"/>
    <col min="13059" max="13059" width="37.85546875" style="1501" customWidth="1"/>
    <col min="13060" max="13060" width="12" style="1501" customWidth="1"/>
    <col min="13061" max="13061" width="9.7109375" style="1501" customWidth="1"/>
    <col min="13062" max="13062" width="16" style="1501" customWidth="1"/>
    <col min="13063" max="13063" width="14.7109375" style="1501" customWidth="1"/>
    <col min="13064" max="13064" width="14.7109375" style="1501" bestFit="1" customWidth="1"/>
    <col min="13065" max="13065" width="10.28515625" style="1501" bestFit="1" customWidth="1"/>
    <col min="13066" max="13312" width="8.85546875" style="1501"/>
    <col min="13313" max="13313" width="6.7109375" style="1501" customWidth="1"/>
    <col min="13314" max="13314" width="11.7109375" style="1501" customWidth="1"/>
    <col min="13315" max="13315" width="37.85546875" style="1501" customWidth="1"/>
    <col min="13316" max="13316" width="12" style="1501" customWidth="1"/>
    <col min="13317" max="13317" width="9.7109375" style="1501" customWidth="1"/>
    <col min="13318" max="13318" width="16" style="1501" customWidth="1"/>
    <col min="13319" max="13319" width="14.7109375" style="1501" customWidth="1"/>
    <col min="13320" max="13320" width="14.7109375" style="1501" bestFit="1" customWidth="1"/>
    <col min="13321" max="13321" width="10.28515625" style="1501" bestFit="1" customWidth="1"/>
    <col min="13322" max="13568" width="8.85546875" style="1501"/>
    <col min="13569" max="13569" width="6.7109375" style="1501" customWidth="1"/>
    <col min="13570" max="13570" width="11.7109375" style="1501" customWidth="1"/>
    <col min="13571" max="13571" width="37.85546875" style="1501" customWidth="1"/>
    <col min="13572" max="13572" width="12" style="1501" customWidth="1"/>
    <col min="13573" max="13573" width="9.7109375" style="1501" customWidth="1"/>
    <col min="13574" max="13574" width="16" style="1501" customWidth="1"/>
    <col min="13575" max="13575" width="14.7109375" style="1501" customWidth="1"/>
    <col min="13576" max="13576" width="14.7109375" style="1501" bestFit="1" customWidth="1"/>
    <col min="13577" max="13577" width="10.28515625" style="1501" bestFit="1" customWidth="1"/>
    <col min="13578" max="13824" width="8.85546875" style="1501"/>
    <col min="13825" max="13825" width="6.7109375" style="1501" customWidth="1"/>
    <col min="13826" max="13826" width="11.7109375" style="1501" customWidth="1"/>
    <col min="13827" max="13827" width="37.85546875" style="1501" customWidth="1"/>
    <col min="13828" max="13828" width="12" style="1501" customWidth="1"/>
    <col min="13829" max="13829" width="9.7109375" style="1501" customWidth="1"/>
    <col min="13830" max="13830" width="16" style="1501" customWidth="1"/>
    <col min="13831" max="13831" width="14.7109375" style="1501" customWidth="1"/>
    <col min="13832" max="13832" width="14.7109375" style="1501" bestFit="1" customWidth="1"/>
    <col min="13833" max="13833" width="10.28515625" style="1501" bestFit="1" customWidth="1"/>
    <col min="13834" max="14080" width="8.85546875" style="1501"/>
    <col min="14081" max="14081" width="6.7109375" style="1501" customWidth="1"/>
    <col min="14082" max="14082" width="11.7109375" style="1501" customWidth="1"/>
    <col min="14083" max="14083" width="37.85546875" style="1501" customWidth="1"/>
    <col min="14084" max="14084" width="12" style="1501" customWidth="1"/>
    <col min="14085" max="14085" width="9.7109375" style="1501" customWidth="1"/>
    <col min="14086" max="14086" width="16" style="1501" customWidth="1"/>
    <col min="14087" max="14087" width="14.7109375" style="1501" customWidth="1"/>
    <col min="14088" max="14088" width="14.7109375" style="1501" bestFit="1" customWidth="1"/>
    <col min="14089" max="14089" width="10.28515625" style="1501" bestFit="1" customWidth="1"/>
    <col min="14090" max="14336" width="8.85546875" style="1501"/>
    <col min="14337" max="14337" width="6.7109375" style="1501" customWidth="1"/>
    <col min="14338" max="14338" width="11.7109375" style="1501" customWidth="1"/>
    <col min="14339" max="14339" width="37.85546875" style="1501" customWidth="1"/>
    <col min="14340" max="14340" width="12" style="1501" customWidth="1"/>
    <col min="14341" max="14341" width="9.7109375" style="1501" customWidth="1"/>
    <col min="14342" max="14342" width="16" style="1501" customWidth="1"/>
    <col min="14343" max="14343" width="14.7109375" style="1501" customWidth="1"/>
    <col min="14344" max="14344" width="14.7109375" style="1501" bestFit="1" customWidth="1"/>
    <col min="14345" max="14345" width="10.28515625" style="1501" bestFit="1" customWidth="1"/>
    <col min="14346" max="14592" width="8.85546875" style="1501"/>
    <col min="14593" max="14593" width="6.7109375" style="1501" customWidth="1"/>
    <col min="14594" max="14594" width="11.7109375" style="1501" customWidth="1"/>
    <col min="14595" max="14595" width="37.85546875" style="1501" customWidth="1"/>
    <col min="14596" max="14596" width="12" style="1501" customWidth="1"/>
    <col min="14597" max="14597" width="9.7109375" style="1501" customWidth="1"/>
    <col min="14598" max="14598" width="16" style="1501" customWidth="1"/>
    <col min="14599" max="14599" width="14.7109375" style="1501" customWidth="1"/>
    <col min="14600" max="14600" width="14.7109375" style="1501" bestFit="1" customWidth="1"/>
    <col min="14601" max="14601" width="10.28515625" style="1501" bestFit="1" customWidth="1"/>
    <col min="14602" max="14848" width="8.85546875" style="1501"/>
    <col min="14849" max="14849" width="6.7109375" style="1501" customWidth="1"/>
    <col min="14850" max="14850" width="11.7109375" style="1501" customWidth="1"/>
    <col min="14851" max="14851" width="37.85546875" style="1501" customWidth="1"/>
    <col min="14852" max="14852" width="12" style="1501" customWidth="1"/>
    <col min="14853" max="14853" width="9.7109375" style="1501" customWidth="1"/>
    <col min="14854" max="14854" width="16" style="1501" customWidth="1"/>
    <col min="14855" max="14855" width="14.7109375" style="1501" customWidth="1"/>
    <col min="14856" max="14856" width="14.7109375" style="1501" bestFit="1" customWidth="1"/>
    <col min="14857" max="14857" width="10.28515625" style="1501" bestFit="1" customWidth="1"/>
    <col min="14858" max="15104" width="8.85546875" style="1501"/>
    <col min="15105" max="15105" width="6.7109375" style="1501" customWidth="1"/>
    <col min="15106" max="15106" width="11.7109375" style="1501" customWidth="1"/>
    <col min="15107" max="15107" width="37.85546875" style="1501" customWidth="1"/>
    <col min="15108" max="15108" width="12" style="1501" customWidth="1"/>
    <col min="15109" max="15109" width="9.7109375" style="1501" customWidth="1"/>
    <col min="15110" max="15110" width="16" style="1501" customWidth="1"/>
    <col min="15111" max="15111" width="14.7109375" style="1501" customWidth="1"/>
    <col min="15112" max="15112" width="14.7109375" style="1501" bestFit="1" customWidth="1"/>
    <col min="15113" max="15113" width="10.28515625" style="1501" bestFit="1" customWidth="1"/>
    <col min="15114" max="15360" width="8.85546875" style="1501"/>
    <col min="15361" max="15361" width="6.7109375" style="1501" customWidth="1"/>
    <col min="15362" max="15362" width="11.7109375" style="1501" customWidth="1"/>
    <col min="15363" max="15363" width="37.85546875" style="1501" customWidth="1"/>
    <col min="15364" max="15364" width="12" style="1501" customWidth="1"/>
    <col min="15365" max="15365" width="9.7109375" style="1501" customWidth="1"/>
    <col min="15366" max="15366" width="16" style="1501" customWidth="1"/>
    <col min="15367" max="15367" width="14.7109375" style="1501" customWidth="1"/>
    <col min="15368" max="15368" width="14.7109375" style="1501" bestFit="1" customWidth="1"/>
    <col min="15369" max="15369" width="10.28515625" style="1501" bestFit="1" customWidth="1"/>
    <col min="15370" max="15616" width="8.85546875" style="1501"/>
    <col min="15617" max="15617" width="6.7109375" style="1501" customWidth="1"/>
    <col min="15618" max="15618" width="11.7109375" style="1501" customWidth="1"/>
    <col min="15619" max="15619" width="37.85546875" style="1501" customWidth="1"/>
    <col min="15620" max="15620" width="12" style="1501" customWidth="1"/>
    <col min="15621" max="15621" width="9.7109375" style="1501" customWidth="1"/>
    <col min="15622" max="15622" width="16" style="1501" customWidth="1"/>
    <col min="15623" max="15623" width="14.7109375" style="1501" customWidth="1"/>
    <col min="15624" max="15624" width="14.7109375" style="1501" bestFit="1" customWidth="1"/>
    <col min="15625" max="15625" width="10.28515625" style="1501" bestFit="1" customWidth="1"/>
    <col min="15626" max="15872" width="8.85546875" style="1501"/>
    <col min="15873" max="15873" width="6.7109375" style="1501" customWidth="1"/>
    <col min="15874" max="15874" width="11.7109375" style="1501" customWidth="1"/>
    <col min="15875" max="15875" width="37.85546875" style="1501" customWidth="1"/>
    <col min="15876" max="15876" width="12" style="1501" customWidth="1"/>
    <col min="15877" max="15877" width="9.7109375" style="1501" customWidth="1"/>
    <col min="15878" max="15878" width="16" style="1501" customWidth="1"/>
    <col min="15879" max="15879" width="14.7109375" style="1501" customWidth="1"/>
    <col min="15880" max="15880" width="14.7109375" style="1501" bestFit="1" customWidth="1"/>
    <col min="15881" max="15881" width="10.28515625" style="1501" bestFit="1" customWidth="1"/>
    <col min="15882" max="16128" width="8.85546875" style="1501"/>
    <col min="16129" max="16129" width="6.7109375" style="1501" customWidth="1"/>
    <col min="16130" max="16130" width="11.7109375" style="1501" customWidth="1"/>
    <col min="16131" max="16131" width="37.85546875" style="1501" customWidth="1"/>
    <col min="16132" max="16132" width="12" style="1501" customWidth="1"/>
    <col min="16133" max="16133" width="9.7109375" style="1501" customWidth="1"/>
    <col min="16134" max="16134" width="16" style="1501" customWidth="1"/>
    <col min="16135" max="16135" width="14.7109375" style="1501" customWidth="1"/>
    <col min="16136" max="16136" width="14.7109375" style="1501" bestFit="1" customWidth="1"/>
    <col min="16137" max="16137" width="10.28515625" style="1501" bestFit="1" customWidth="1"/>
    <col min="16138" max="16384" width="8.85546875" style="1501"/>
  </cols>
  <sheetData>
    <row r="1" spans="1:9" ht="69.599999999999994" customHeight="1">
      <c r="A1" s="1961" t="s">
        <v>5470</v>
      </c>
      <c r="B1" s="1961"/>
      <c r="C1" s="1961"/>
      <c r="D1" s="1961"/>
      <c r="E1" s="1961"/>
      <c r="F1" s="1961"/>
      <c r="G1" s="1500"/>
      <c r="H1" s="1500"/>
    </row>
    <row r="2" spans="1:9" ht="18.75">
      <c r="A2" s="1962" t="s">
        <v>4557</v>
      </c>
      <c r="B2" s="1962"/>
      <c r="C2" s="1963"/>
      <c r="D2" s="1963"/>
      <c r="E2" s="1963"/>
      <c r="F2" s="1963"/>
    </row>
    <row r="3" spans="1:9" ht="33.75" customHeight="1">
      <c r="A3" s="1502" t="s">
        <v>5412</v>
      </c>
      <c r="B3" s="1502" t="s">
        <v>244</v>
      </c>
      <c r="C3" s="1502" t="s">
        <v>3546</v>
      </c>
      <c r="D3" s="1502" t="s">
        <v>217</v>
      </c>
      <c r="E3" s="1502" t="s">
        <v>247</v>
      </c>
      <c r="F3" s="1503" t="s">
        <v>218</v>
      </c>
    </row>
    <row r="4" spans="1:9" ht="79.150000000000006" customHeight="1">
      <c r="A4" s="1504">
        <f>'Retained Wall '!A4</f>
        <v>1.1000000000000001</v>
      </c>
      <c r="B4" s="1505">
        <f>'Retained Wall '!H5</f>
        <v>47.25</v>
      </c>
      <c r="C4" s="1506" t="str">
        <f>'Retained Wall '!B4</f>
        <v>Earth work excavation for foundation in all soils and sub soils to the required depth including refilling the sides of foundation etc., complete</v>
      </c>
      <c r="D4" s="1507" t="e">
        <f>#REF!</f>
        <v>#REF!</v>
      </c>
      <c r="E4" s="1508" t="s">
        <v>313</v>
      </c>
      <c r="F4" s="1509" t="e">
        <f t="shared" ref="F4:F10" si="0">B4*D4</f>
        <v>#REF!</v>
      </c>
    </row>
    <row r="5" spans="1:9" ht="75.599999999999994" customHeight="1">
      <c r="A5" s="1504">
        <f>'Retained Wall '!A7</f>
        <v>1.5</v>
      </c>
      <c r="B5" s="1505">
        <f>'Retained Wall '!H8</f>
        <v>67.5</v>
      </c>
      <c r="C5" s="1510" t="str">
        <f>'Retained Wall '!B7</f>
        <v>Earth work excavation for Open foundation  for in all soils and sub soils to the required depth including refilling the sides of foundation etc., complete</v>
      </c>
      <c r="D5" s="1511" t="e">
        <f>#REF!</f>
        <v>#REF!</v>
      </c>
      <c r="E5" s="1508" t="s">
        <v>313</v>
      </c>
      <c r="F5" s="1509" t="e">
        <f t="shared" si="0"/>
        <v>#REF!</v>
      </c>
    </row>
    <row r="6" spans="1:9" ht="67.150000000000006" customHeight="1">
      <c r="A6" s="1504" t="str">
        <f>'Retained Wall '!A11</f>
        <v>3.1.1.1</v>
      </c>
      <c r="B6" s="1505">
        <f>'Retained Wall '!H13</f>
        <v>6.2</v>
      </c>
      <c r="C6" s="1512" t="str">
        <f>'Retained Wall '!B11</f>
        <v xml:space="preserve">PCC 1:5:10 using 40mm jelly including cost of materials and labours etc.., completed </v>
      </c>
      <c r="D6" s="1507" t="e">
        <f>#REF!</f>
        <v>#REF!</v>
      </c>
      <c r="E6" s="1508" t="s">
        <v>313</v>
      </c>
      <c r="F6" s="1509" t="e">
        <f t="shared" si="0"/>
        <v>#REF!</v>
      </c>
      <c r="G6" s="1513"/>
      <c r="H6" s="1513"/>
      <c r="I6" s="1513"/>
    </row>
    <row r="7" spans="1:9" ht="48" customHeight="1">
      <c r="A7" s="1504">
        <f>'Retained Wall '!A14</f>
        <v>18.100000000000001</v>
      </c>
      <c r="B7" s="1505"/>
      <c r="C7" s="1510" t="str">
        <f>'Retained Wall '!B14</f>
        <v xml:space="preserve">Providing form work and centering for reinforcement cement  concrete works </v>
      </c>
      <c r="D7" s="1507"/>
      <c r="E7" s="1508"/>
      <c r="F7" s="1509"/>
    </row>
    <row r="8" spans="1:9" ht="31.9" customHeight="1">
      <c r="A8" s="1504"/>
      <c r="B8" s="1505">
        <f>'Retained Wall '!H19</f>
        <v>46.55</v>
      </c>
      <c r="C8" s="1506" t="str">
        <f>'Retained Wall '!B15</f>
        <v>a) Plinth beam,Raft beam etc.,</v>
      </c>
      <c r="D8" s="1507" t="e">
        <f>#REF!</f>
        <v>#REF!</v>
      </c>
      <c r="E8" s="1508" t="s">
        <v>306</v>
      </c>
      <c r="F8" s="1509" t="e">
        <f t="shared" si="0"/>
        <v>#REF!</v>
      </c>
    </row>
    <row r="9" spans="1:9" ht="31.9" customHeight="1">
      <c r="A9" s="1504"/>
      <c r="B9" s="1505">
        <f>'Retained Wall '!H24</f>
        <v>275.39999999999998</v>
      </c>
      <c r="C9" s="1510" t="str">
        <f>'Retained Wall '!B20</f>
        <v>d) Vertical walls</v>
      </c>
      <c r="D9" s="1507" t="e">
        <f>#REF!</f>
        <v>#REF!</v>
      </c>
      <c r="E9" s="1508" t="s">
        <v>306</v>
      </c>
      <c r="F9" s="1509" t="e">
        <f t="shared" si="0"/>
        <v>#REF!</v>
      </c>
    </row>
    <row r="10" spans="1:9" ht="56.45" customHeight="1">
      <c r="A10" s="1504" t="str">
        <f>'Retained Wall '!A25</f>
        <v>3.1.1</v>
      </c>
      <c r="B10" s="1505">
        <f>'Retained Wall '!H29</f>
        <v>121.7</v>
      </c>
      <c r="C10" s="1510" t="str">
        <f>'Retained Wall '!B25</f>
        <v>P.C.C 1:3:6 using 20mm gauge HBS Jelly for Foundation etc., complete</v>
      </c>
      <c r="D10" s="1507" t="e">
        <f>#REF!</f>
        <v>#REF!</v>
      </c>
      <c r="E10" s="1508" t="s">
        <v>313</v>
      </c>
      <c r="F10" s="1509" t="e">
        <f t="shared" si="0"/>
        <v>#REF!</v>
      </c>
    </row>
    <row r="11" spans="1:9" ht="50.25" customHeight="1">
      <c r="A11" s="1504" t="str">
        <f>'Retained Wall '!A30</f>
        <v>**</v>
      </c>
      <c r="B11" s="1505">
        <f>'Retained Wall '!H34</f>
        <v>25.6</v>
      </c>
      <c r="C11" s="1514" t="str">
        <f>'Retained Wall '!B30</f>
        <v>Supplying,laying of the 110 mm dia PVC Pipe</v>
      </c>
      <c r="D11" s="1511">
        <v>125</v>
      </c>
      <c r="E11" s="1508" t="s">
        <v>3723</v>
      </c>
      <c r="F11" s="1509">
        <f>B11*D11</f>
        <v>3200</v>
      </c>
    </row>
    <row r="12" spans="1:9" ht="29.45" customHeight="1">
      <c r="A12" s="1504"/>
      <c r="B12" s="1964" t="s">
        <v>5413</v>
      </c>
      <c r="C12" s="1964"/>
      <c r="D12" s="1964"/>
      <c r="E12" s="1964"/>
      <c r="F12" s="1509" t="e">
        <f>SUM(F4:F11)</f>
        <v>#REF!</v>
      </c>
    </row>
    <row r="13" spans="1:9" ht="29.45" customHeight="1">
      <c r="A13" s="1504"/>
      <c r="B13" s="1965" t="s">
        <v>3548</v>
      </c>
      <c r="C13" s="1965"/>
      <c r="D13" s="1965"/>
      <c r="E13" s="1965"/>
      <c r="F13" s="1509" t="e">
        <f>F12*12%</f>
        <v>#REF!</v>
      </c>
    </row>
    <row r="14" spans="1:9" ht="28.5" customHeight="1">
      <c r="A14" s="1504"/>
      <c r="B14" s="1964" t="s">
        <v>5414</v>
      </c>
      <c r="C14" s="1964"/>
      <c r="D14" s="1964"/>
      <c r="E14" s="1964"/>
      <c r="F14" s="1515" t="e">
        <f>SUM(F12:F13)</f>
        <v>#REF!</v>
      </c>
    </row>
    <row r="15" spans="1:9" ht="24.75" customHeight="1">
      <c r="A15" s="1516"/>
      <c r="B15" s="1958" t="s">
        <v>5415</v>
      </c>
      <c r="C15" s="1959"/>
      <c r="D15" s="1960" t="s">
        <v>287</v>
      </c>
      <c r="E15" s="1960"/>
      <c r="F15" s="1517" t="e">
        <f>F14*1%</f>
        <v>#REF!</v>
      </c>
    </row>
    <row r="16" spans="1:9" ht="28.5" customHeight="1">
      <c r="A16" s="1504"/>
      <c r="B16" s="1966" t="s">
        <v>5416</v>
      </c>
      <c r="C16" s="1967"/>
      <c r="D16" s="1960" t="s">
        <v>287</v>
      </c>
      <c r="E16" s="1960"/>
      <c r="F16" s="1517" t="e">
        <f>F14*7.5%</f>
        <v>#REF!</v>
      </c>
    </row>
    <row r="17" spans="1:6" ht="26.25" customHeight="1">
      <c r="A17" s="1504"/>
      <c r="B17" s="1968" t="s">
        <v>5417</v>
      </c>
      <c r="C17" s="1968"/>
      <c r="D17" s="1968"/>
      <c r="E17" s="1968"/>
      <c r="F17" s="1515" t="e">
        <f>SUM(F14:F16)</f>
        <v>#REF!</v>
      </c>
    </row>
    <row r="18" spans="1:6" ht="32.450000000000003" customHeight="1">
      <c r="A18" s="1504"/>
      <c r="B18" s="1969" t="s">
        <v>9</v>
      </c>
      <c r="C18" s="1970"/>
      <c r="D18" s="1970"/>
      <c r="E18" s="1971"/>
      <c r="F18" s="1489">
        <v>1890500</v>
      </c>
    </row>
    <row r="19" spans="1:6" ht="52.5" customHeight="1">
      <c r="A19" s="1518"/>
      <c r="B19" s="1519"/>
      <c r="C19" s="1520"/>
      <c r="D19" s="1519"/>
      <c r="E19" s="1521"/>
      <c r="F19" s="1522"/>
    </row>
    <row r="20" spans="1:6" ht="52.5" customHeight="1">
      <c r="A20" s="1518"/>
      <c r="B20" s="1519"/>
      <c r="C20" s="1520"/>
      <c r="D20" s="1519"/>
      <c r="E20" s="1521"/>
      <c r="F20" s="1522"/>
    </row>
    <row r="21" spans="1:6" ht="52.5" customHeight="1">
      <c r="A21" s="1518"/>
      <c r="B21" s="1519"/>
      <c r="C21" s="1520"/>
      <c r="D21" s="1523"/>
      <c r="E21" s="1521"/>
      <c r="F21" s="1522"/>
    </row>
    <row r="22" spans="1:6" ht="52.5" customHeight="1">
      <c r="A22" s="1518"/>
      <c r="B22" s="1519"/>
      <c r="C22" s="1520"/>
      <c r="D22" s="1519"/>
      <c r="E22" s="1521"/>
      <c r="F22" s="1522"/>
    </row>
    <row r="23" spans="1:6" ht="52.5" customHeight="1">
      <c r="A23" s="1518"/>
      <c r="B23" s="1519"/>
      <c r="C23" s="1520"/>
      <c r="D23" s="1519"/>
      <c r="E23" s="1521"/>
      <c r="F23" s="1522"/>
    </row>
    <row r="24" spans="1:6" ht="52.5" customHeight="1">
      <c r="A24" s="1518"/>
      <c r="B24" s="1519"/>
      <c r="C24" s="1520"/>
      <c r="D24" s="1519"/>
      <c r="E24" s="1521"/>
      <c r="F24" s="1522"/>
    </row>
    <row r="25" spans="1:6" ht="52.5" customHeight="1">
      <c r="A25" s="1518"/>
      <c r="B25" s="1519"/>
      <c r="C25" s="1520"/>
      <c r="D25" s="1519"/>
      <c r="E25" s="1521"/>
      <c r="F25" s="1522"/>
    </row>
    <row r="26" spans="1:6" ht="52.5" customHeight="1">
      <c r="A26" s="1518"/>
      <c r="B26" s="1519"/>
      <c r="C26" s="1520"/>
      <c r="D26" s="1519"/>
      <c r="E26" s="1521"/>
      <c r="F26" s="1522"/>
    </row>
    <row r="27" spans="1:6" ht="52.5" customHeight="1">
      <c r="A27" s="1518"/>
      <c r="B27" s="1519"/>
      <c r="C27" s="1520"/>
      <c r="D27" s="1519"/>
      <c r="E27" s="1521"/>
      <c r="F27" s="1522"/>
    </row>
    <row r="28" spans="1:6" ht="52.5" customHeight="1">
      <c r="A28" s="1518"/>
      <c r="B28" s="1519"/>
      <c r="C28" s="1520"/>
      <c r="D28" s="1519"/>
      <c r="E28" s="1521"/>
      <c r="F28" s="1522"/>
    </row>
    <row r="29" spans="1:6" ht="52.5" customHeight="1">
      <c r="A29" s="1518"/>
      <c r="B29" s="1519"/>
      <c r="C29" s="1520"/>
      <c r="D29" s="1519"/>
      <c r="E29" s="1521"/>
      <c r="F29" s="1522"/>
    </row>
    <row r="30" spans="1:6" ht="52.5" customHeight="1">
      <c r="A30" s="1518"/>
      <c r="B30" s="1519"/>
      <c r="C30" s="1520"/>
      <c r="D30" s="1519"/>
      <c r="E30" s="1521"/>
      <c r="F30" s="1522"/>
    </row>
    <row r="31" spans="1:6" ht="52.5" customHeight="1">
      <c r="A31" s="1518"/>
      <c r="B31" s="1519"/>
      <c r="C31" s="1520"/>
      <c r="D31" s="1519"/>
      <c r="E31" s="1521"/>
      <c r="F31" s="1522"/>
    </row>
    <row r="32" spans="1:6" ht="52.5" customHeight="1">
      <c r="A32" s="1518"/>
      <c r="B32" s="1519"/>
      <c r="C32" s="1524"/>
      <c r="D32" s="1519"/>
      <c r="E32" s="1521"/>
      <c r="F32" s="1522"/>
    </row>
    <row r="33" spans="1:6" ht="52.5" customHeight="1">
      <c r="A33" s="1518"/>
      <c r="B33" s="1519"/>
      <c r="C33" s="1520"/>
      <c r="D33" s="1519"/>
      <c r="E33" s="1521"/>
      <c r="F33" s="1522"/>
    </row>
    <row r="34" spans="1:6" ht="52.5" customHeight="1">
      <c r="A34" s="1518"/>
      <c r="B34" s="1519"/>
      <c r="C34" s="1520"/>
      <c r="D34" s="1519"/>
      <c r="E34" s="1521"/>
      <c r="F34" s="1522"/>
    </row>
    <row r="35" spans="1:6" ht="52.5" customHeight="1">
      <c r="A35" s="1518"/>
      <c r="B35" s="1519"/>
      <c r="C35" s="1520"/>
      <c r="D35" s="1519"/>
      <c r="E35" s="1521"/>
      <c r="F35" s="1522"/>
    </row>
    <row r="36" spans="1:6" ht="52.5" customHeight="1">
      <c r="A36" s="1518"/>
      <c r="B36" s="1519"/>
      <c r="C36" s="1520"/>
      <c r="D36" s="1519"/>
      <c r="E36" s="1521"/>
      <c r="F36" s="1522"/>
    </row>
    <row r="37" spans="1:6" ht="52.5" customHeight="1">
      <c r="A37" s="1518"/>
      <c r="B37" s="1519"/>
      <c r="C37" s="1520"/>
      <c r="D37" s="1519"/>
      <c r="E37" s="1521"/>
      <c r="F37" s="1522"/>
    </row>
    <row r="38" spans="1:6" ht="52.5" customHeight="1">
      <c r="A38" s="1518"/>
      <c r="B38" s="1519"/>
      <c r="C38" s="1520"/>
      <c r="D38" s="1519"/>
      <c r="E38" s="1521"/>
      <c r="F38" s="1522"/>
    </row>
    <row r="39" spans="1:6" ht="52.5" customHeight="1">
      <c r="A39" s="1518"/>
      <c r="B39" s="1519"/>
      <c r="C39" s="1520"/>
      <c r="D39" s="1519"/>
      <c r="E39" s="1521"/>
      <c r="F39" s="1522"/>
    </row>
    <row r="40" spans="1:6" ht="52.5" customHeight="1">
      <c r="A40" s="1518"/>
      <c r="B40" s="1519"/>
      <c r="C40" s="1520"/>
      <c r="D40" s="1519"/>
      <c r="E40" s="1521"/>
      <c r="F40" s="1522"/>
    </row>
    <row r="41" spans="1:6" ht="52.5" customHeight="1">
      <c r="A41" s="1518"/>
      <c r="B41" s="1519"/>
      <c r="C41" s="1520"/>
      <c r="D41" s="1519"/>
      <c r="E41" s="1521"/>
      <c r="F41" s="1522"/>
    </row>
    <row r="42" spans="1:6" ht="52.5" customHeight="1">
      <c r="A42" s="1518"/>
      <c r="B42" s="1519"/>
      <c r="C42" s="1520"/>
      <c r="D42" s="1519"/>
      <c r="E42" s="1521"/>
      <c r="F42" s="1522"/>
    </row>
    <row r="43" spans="1:6" ht="52.5" customHeight="1">
      <c r="A43" s="1518"/>
      <c r="B43" s="1519"/>
      <c r="C43" s="1520"/>
      <c r="D43" s="1519"/>
      <c r="E43" s="1521"/>
      <c r="F43" s="1522"/>
    </row>
    <row r="44" spans="1:6" ht="52.5" customHeight="1">
      <c r="A44" s="1518"/>
      <c r="B44" s="1519"/>
      <c r="C44" s="1520"/>
      <c r="D44" s="1519"/>
      <c r="E44" s="1521"/>
      <c r="F44" s="1522"/>
    </row>
    <row r="45" spans="1:6" ht="52.5" customHeight="1">
      <c r="A45" s="1518"/>
      <c r="B45" s="1519"/>
      <c r="C45" s="1520"/>
      <c r="D45" s="1519"/>
      <c r="E45" s="1521"/>
      <c r="F45" s="1522"/>
    </row>
    <row r="46" spans="1:6" ht="52.5" customHeight="1">
      <c r="A46" s="1518"/>
      <c r="B46" s="1519"/>
      <c r="C46" s="1520"/>
      <c r="D46" s="1519"/>
      <c r="E46" s="1521"/>
      <c r="F46" s="1522"/>
    </row>
    <row r="47" spans="1:6" ht="52.5" customHeight="1">
      <c r="A47" s="1518"/>
      <c r="B47" s="1519"/>
      <c r="C47" s="1520"/>
      <c r="D47" s="1519"/>
      <c r="E47" s="1521"/>
      <c r="F47" s="1522"/>
    </row>
    <row r="48" spans="1:6" ht="52.5" customHeight="1">
      <c r="A48" s="1518"/>
      <c r="B48" s="1519"/>
      <c r="C48" s="1520"/>
      <c r="D48" s="1519"/>
      <c r="E48" s="1521"/>
      <c r="F48" s="1522"/>
    </row>
    <row r="49" spans="1:6" ht="52.5" customHeight="1">
      <c r="A49" s="1518"/>
      <c r="B49" s="1519"/>
      <c r="C49" s="1520"/>
      <c r="D49" s="1519"/>
      <c r="E49" s="1521"/>
      <c r="F49" s="1522"/>
    </row>
    <row r="50" spans="1:6" ht="52.5" customHeight="1">
      <c r="A50" s="1518"/>
      <c r="B50" s="1519"/>
      <c r="C50" s="1524"/>
      <c r="D50" s="1519"/>
      <c r="E50" s="1521"/>
      <c r="F50" s="1522"/>
    </row>
    <row r="51" spans="1:6" ht="52.5" customHeight="1">
      <c r="A51" s="1518"/>
      <c r="B51" s="1519"/>
      <c r="C51" s="1520"/>
      <c r="D51" s="1519"/>
      <c r="E51" s="1521"/>
      <c r="F51" s="1522"/>
    </row>
    <row r="52" spans="1:6" ht="52.5" customHeight="1">
      <c r="A52" s="1518"/>
      <c r="B52" s="1519"/>
      <c r="C52" s="1520"/>
      <c r="D52" s="1519"/>
      <c r="E52" s="1521"/>
      <c r="F52" s="1522"/>
    </row>
    <row r="53" spans="1:6" ht="52.5" customHeight="1">
      <c r="A53" s="1518"/>
      <c r="B53" s="1519"/>
      <c r="C53" s="1520"/>
      <c r="D53" s="1519"/>
      <c r="E53" s="1521"/>
      <c r="F53" s="1522"/>
    </row>
    <row r="54" spans="1:6" ht="52.5" customHeight="1">
      <c r="A54" s="1518"/>
      <c r="B54" s="1519"/>
      <c r="C54" s="1520"/>
      <c r="D54" s="1519"/>
      <c r="E54" s="1521"/>
      <c r="F54" s="1522"/>
    </row>
    <row r="55" spans="1:6" ht="52.5" customHeight="1">
      <c r="A55" s="1518"/>
      <c r="B55" s="1519"/>
      <c r="C55" s="1520"/>
      <c r="D55" s="1519"/>
      <c r="E55" s="1521"/>
      <c r="F55" s="1522"/>
    </row>
    <row r="56" spans="1:6" ht="52.5" customHeight="1">
      <c r="A56" s="1518"/>
      <c r="B56" s="1519"/>
      <c r="C56" s="1520"/>
      <c r="D56" s="1519"/>
      <c r="E56" s="1521"/>
      <c r="F56" s="1522"/>
    </row>
    <row r="57" spans="1:6" ht="52.5" customHeight="1">
      <c r="A57" s="1518"/>
      <c r="B57" s="1519"/>
      <c r="C57" s="1520"/>
      <c r="D57" s="1519"/>
      <c r="E57" s="1521"/>
      <c r="F57" s="1522"/>
    </row>
    <row r="58" spans="1:6" ht="52.5" customHeight="1">
      <c r="A58" s="1518"/>
      <c r="B58" s="1519"/>
      <c r="C58" s="1520"/>
      <c r="D58" s="1519"/>
      <c r="E58" s="1521"/>
      <c r="F58" s="1522"/>
    </row>
    <row r="59" spans="1:6" ht="52.5" customHeight="1">
      <c r="A59" s="1518"/>
      <c r="B59" s="1519"/>
      <c r="C59" s="1520"/>
      <c r="D59" s="1519"/>
      <c r="E59" s="1521"/>
      <c r="F59" s="1522"/>
    </row>
    <row r="60" spans="1:6" ht="52.5" customHeight="1">
      <c r="A60" s="1518"/>
      <c r="B60" s="1519"/>
      <c r="C60" s="1520"/>
      <c r="D60" s="1525"/>
      <c r="E60" s="1521"/>
      <c r="F60" s="1522"/>
    </row>
    <row r="61" spans="1:6" ht="52.5" customHeight="1">
      <c r="A61" s="1518"/>
      <c r="B61" s="1519"/>
      <c r="C61" s="1524"/>
      <c r="D61" s="1519"/>
      <c r="E61" s="1521"/>
      <c r="F61" s="1522"/>
    </row>
    <row r="62" spans="1:6" ht="52.5" customHeight="1">
      <c r="A62" s="1526"/>
      <c r="B62" s="1519"/>
      <c r="C62" s="1524"/>
      <c r="D62" s="1519"/>
      <c r="E62" s="1521"/>
      <c r="F62" s="1522"/>
    </row>
    <row r="63" spans="1:6" ht="52.5" customHeight="1">
      <c r="A63" s="1526"/>
      <c r="B63" s="1519"/>
      <c r="C63" s="1520"/>
      <c r="D63" s="1519"/>
      <c r="E63" s="1521"/>
      <c r="F63" s="1522"/>
    </row>
    <row r="64" spans="1:6" ht="52.5" customHeight="1">
      <c r="A64" s="1518"/>
      <c r="B64" s="1519"/>
      <c r="C64" s="1524"/>
      <c r="D64" s="1519"/>
      <c r="E64" s="1521"/>
      <c r="F64" s="1522"/>
    </row>
    <row r="65" spans="1:6" ht="52.5" customHeight="1">
      <c r="A65" s="1518"/>
      <c r="B65" s="1519"/>
      <c r="C65" s="1520"/>
      <c r="D65" s="1519"/>
      <c r="E65" s="1521"/>
      <c r="F65" s="1522"/>
    </row>
    <row r="66" spans="1:6" ht="52.5" customHeight="1">
      <c r="A66" s="1518"/>
      <c r="B66" s="1519"/>
      <c r="C66" s="1520"/>
      <c r="D66" s="1519"/>
      <c r="E66" s="1521"/>
      <c r="F66" s="1522"/>
    </row>
    <row r="67" spans="1:6" ht="52.5" customHeight="1">
      <c r="A67" s="1518"/>
      <c r="B67" s="1519"/>
      <c r="C67" s="1520"/>
      <c r="D67" s="1519"/>
      <c r="E67" s="1521"/>
      <c r="F67" s="1522"/>
    </row>
    <row r="68" spans="1:6" ht="52.5" customHeight="1">
      <c r="A68" s="1518"/>
      <c r="B68" s="1519"/>
      <c r="C68" s="1520"/>
      <c r="D68" s="1519"/>
      <c r="E68" s="1521"/>
      <c r="F68" s="1522"/>
    </row>
    <row r="69" spans="1:6" ht="52.5" customHeight="1">
      <c r="A69" s="1526"/>
      <c r="B69" s="1519"/>
      <c r="C69" s="1520"/>
      <c r="D69" s="1519"/>
      <c r="E69" s="1521"/>
      <c r="F69" s="1522"/>
    </row>
    <row r="70" spans="1:6" ht="52.5" customHeight="1">
      <c r="A70" s="1518"/>
      <c r="B70" s="1519"/>
      <c r="C70" s="1520"/>
      <c r="D70" s="1519"/>
      <c r="E70" s="1521"/>
      <c r="F70" s="1522"/>
    </row>
    <row r="71" spans="1:6" ht="52.5" customHeight="1">
      <c r="A71" s="1526"/>
      <c r="B71" s="1519"/>
      <c r="C71" s="1520"/>
      <c r="D71" s="1519"/>
      <c r="E71" s="1521"/>
      <c r="F71" s="1522"/>
    </row>
    <row r="72" spans="1:6" ht="52.5" customHeight="1">
      <c r="A72" s="1518"/>
      <c r="B72" s="1519"/>
      <c r="C72" s="1520"/>
      <c r="D72" s="1519"/>
      <c r="E72" s="1521"/>
      <c r="F72" s="1522"/>
    </row>
    <row r="73" spans="1:6" ht="52.5" customHeight="1">
      <c r="A73" s="1526"/>
      <c r="B73" s="1519"/>
      <c r="C73" s="1520"/>
      <c r="D73" s="1519"/>
      <c r="E73" s="1521"/>
      <c r="F73" s="1522"/>
    </row>
    <row r="74" spans="1:6" ht="52.5" customHeight="1">
      <c r="A74" s="1518"/>
      <c r="B74" s="1519"/>
      <c r="C74" s="1520"/>
      <c r="D74" s="1519"/>
      <c r="E74" s="1521"/>
      <c r="F74" s="1522"/>
    </row>
    <row r="75" spans="1:6" ht="52.5" customHeight="1">
      <c r="A75" s="1518"/>
      <c r="B75" s="1519"/>
      <c r="C75" s="1520"/>
      <c r="D75" s="1519"/>
      <c r="E75" s="1521"/>
      <c r="F75" s="1522"/>
    </row>
    <row r="76" spans="1:6" ht="52.5" customHeight="1">
      <c r="A76" s="1518"/>
      <c r="B76" s="1519"/>
      <c r="C76" s="1520"/>
      <c r="D76" s="1525"/>
      <c r="E76" s="1521"/>
      <c r="F76" s="1522"/>
    </row>
    <row r="77" spans="1:6" ht="52.5" customHeight="1">
      <c r="A77" s="1518"/>
      <c r="B77" s="1527"/>
      <c r="C77" s="1520"/>
      <c r="D77" s="1519"/>
      <c r="E77" s="1521"/>
      <c r="F77" s="1522"/>
    </row>
    <row r="78" spans="1:6" ht="52.5" customHeight="1">
      <c r="A78" s="1518"/>
      <c r="B78" s="1519"/>
      <c r="C78" s="1520"/>
      <c r="D78" s="1519"/>
      <c r="E78" s="1521"/>
      <c r="F78" s="1522"/>
    </row>
    <row r="79" spans="1:6" ht="52.5" customHeight="1">
      <c r="A79" s="1518"/>
      <c r="B79" s="1519"/>
      <c r="C79" s="1520"/>
      <c r="D79" s="1519"/>
      <c r="E79" s="1521"/>
      <c r="F79" s="1522"/>
    </row>
    <row r="80" spans="1:6" ht="52.5" customHeight="1">
      <c r="A80" s="1518"/>
      <c r="B80" s="1519"/>
      <c r="C80" s="1520"/>
      <c r="D80" s="1519"/>
      <c r="E80" s="1521"/>
      <c r="F80" s="1522"/>
    </row>
    <row r="81" spans="1:6" ht="52.5" customHeight="1">
      <c r="A81" s="1518"/>
      <c r="B81" s="1519"/>
      <c r="C81" s="1520"/>
      <c r="D81" s="1519"/>
      <c r="E81" s="1521"/>
      <c r="F81" s="1522"/>
    </row>
    <row r="82" spans="1:6" ht="52.5" customHeight="1">
      <c r="A82" s="1518"/>
      <c r="B82" s="1519"/>
      <c r="C82" s="1520"/>
      <c r="D82" s="1519"/>
      <c r="E82" s="1521"/>
      <c r="F82" s="1522"/>
    </row>
    <row r="83" spans="1:6" ht="52.5" customHeight="1">
      <c r="A83" s="1518"/>
      <c r="B83" s="1519"/>
      <c r="C83" s="1520"/>
      <c r="D83" s="1519"/>
      <c r="E83" s="1521"/>
      <c r="F83" s="1522"/>
    </row>
    <row r="84" spans="1:6" ht="52.5" customHeight="1">
      <c r="A84" s="1518"/>
      <c r="B84" s="1519"/>
      <c r="C84" s="1520"/>
      <c r="D84" s="1519"/>
      <c r="E84" s="1521"/>
      <c r="F84" s="1522"/>
    </row>
    <row r="85" spans="1:6" ht="52.5" customHeight="1">
      <c r="A85" s="1518"/>
      <c r="B85" s="1519"/>
      <c r="C85" s="1520"/>
      <c r="D85" s="1519"/>
      <c r="E85" s="1521"/>
      <c r="F85" s="1522"/>
    </row>
    <row r="86" spans="1:6" ht="52.5" customHeight="1">
      <c r="A86" s="1518"/>
      <c r="B86" s="1519"/>
      <c r="C86" s="1520"/>
      <c r="D86" s="1519"/>
      <c r="E86" s="1528"/>
      <c r="F86" s="1522"/>
    </row>
    <row r="87" spans="1:6" ht="52.5" customHeight="1">
      <c r="A87" s="1518"/>
      <c r="B87" s="1519"/>
      <c r="C87" s="1520"/>
      <c r="D87" s="1519"/>
      <c r="E87" s="1521"/>
      <c r="F87" s="1522"/>
    </row>
    <row r="88" spans="1:6" ht="52.5" customHeight="1">
      <c r="A88" s="1518"/>
      <c r="B88" s="1519"/>
      <c r="C88" s="1520"/>
      <c r="D88" s="1519"/>
      <c r="E88" s="1521"/>
      <c r="F88" s="1522"/>
    </row>
    <row r="89" spans="1:6" ht="52.5" customHeight="1">
      <c r="A89" s="1526"/>
      <c r="B89" s="1519"/>
      <c r="C89" s="1520"/>
      <c r="D89" s="1519"/>
      <c r="E89" s="1528"/>
      <c r="F89" s="1522"/>
    </row>
    <row r="90" spans="1:6" ht="52.5" customHeight="1">
      <c r="A90" s="1518"/>
      <c r="B90" s="1519"/>
      <c r="C90" s="1520"/>
      <c r="D90" s="1519"/>
      <c r="E90" s="1528"/>
      <c r="F90" s="1522"/>
    </row>
    <row r="91" spans="1:6" ht="52.5" customHeight="1">
      <c r="A91" s="1518"/>
      <c r="B91" s="1519"/>
      <c r="C91" s="1520"/>
      <c r="D91" s="1519"/>
      <c r="E91" s="1519"/>
      <c r="F91" s="1522"/>
    </row>
    <row r="92" spans="1:6" ht="52.5" customHeight="1">
      <c r="A92" s="1518"/>
      <c r="B92" s="1519"/>
      <c r="C92" s="1520"/>
      <c r="D92" s="1519"/>
      <c r="E92" s="1519"/>
      <c r="F92" s="1522"/>
    </row>
    <row r="93" spans="1:6" ht="52.5" customHeight="1">
      <c r="A93" s="1518"/>
      <c r="B93" s="1519"/>
      <c r="C93" s="1520"/>
      <c r="D93" s="1519"/>
      <c r="E93" s="1519"/>
      <c r="F93" s="1522"/>
    </row>
    <row r="94" spans="1:6" ht="52.5" customHeight="1">
      <c r="A94" s="1526"/>
      <c r="B94" s="1519"/>
      <c r="C94" s="1520"/>
      <c r="D94" s="1519"/>
      <c r="E94" s="1519"/>
      <c r="F94" s="1522"/>
    </row>
    <row r="95" spans="1:6" ht="52.5" customHeight="1">
      <c r="A95" s="1518"/>
      <c r="B95" s="1519"/>
      <c r="C95" s="1520"/>
      <c r="D95" s="1519"/>
      <c r="E95" s="1519"/>
      <c r="F95" s="1522"/>
    </row>
    <row r="96" spans="1:6" ht="52.5" customHeight="1">
      <c r="A96" s="1518"/>
      <c r="B96" s="1519"/>
      <c r="C96" s="1520"/>
      <c r="D96" s="1519"/>
      <c r="E96" s="1519"/>
      <c r="F96" s="1522"/>
    </row>
    <row r="97" spans="1:6" ht="52.5" customHeight="1">
      <c r="A97" s="1518"/>
      <c r="B97" s="1519"/>
      <c r="C97" s="1520"/>
      <c r="D97" s="1519"/>
      <c r="E97" s="1519"/>
      <c r="F97" s="1522"/>
    </row>
    <row r="98" spans="1:6" ht="52.5" customHeight="1">
      <c r="A98" s="1518"/>
      <c r="B98" s="1519"/>
      <c r="C98" s="1520"/>
      <c r="D98" s="1519"/>
      <c r="E98" s="1519"/>
      <c r="F98" s="1522"/>
    </row>
    <row r="99" spans="1:6" ht="52.5" customHeight="1">
      <c r="A99" s="1518"/>
      <c r="B99" s="1519"/>
      <c r="C99" s="1520"/>
      <c r="D99" s="1519"/>
      <c r="E99" s="1519"/>
      <c r="F99" s="1522"/>
    </row>
    <row r="100" spans="1:6" ht="52.5" customHeight="1">
      <c r="A100" s="1518"/>
      <c r="B100" s="1519"/>
      <c r="C100" s="1520"/>
      <c r="D100" s="1519"/>
      <c r="E100" s="1519"/>
      <c r="F100" s="1522"/>
    </row>
    <row r="101" spans="1:6" ht="52.5" customHeight="1">
      <c r="A101" s="1529"/>
      <c r="B101" s="1519"/>
      <c r="C101" s="1520"/>
      <c r="D101" s="1519"/>
      <c r="E101" s="1528"/>
      <c r="F101" s="1522"/>
    </row>
    <row r="102" spans="1:6" ht="52.5" customHeight="1">
      <c r="A102" s="1518"/>
      <c r="B102" s="1519"/>
      <c r="C102" s="1520"/>
      <c r="D102" s="1519"/>
      <c r="E102" s="1528"/>
      <c r="F102" s="1522"/>
    </row>
    <row r="103" spans="1:6" ht="52.5" customHeight="1">
      <c r="A103" s="1518"/>
      <c r="B103" s="1519"/>
      <c r="C103" s="1520"/>
      <c r="D103" s="1519"/>
      <c r="E103" s="1528"/>
      <c r="F103" s="1522"/>
    </row>
    <row r="104" spans="1:6" ht="52.5" customHeight="1">
      <c r="A104" s="1518"/>
      <c r="B104" s="1519"/>
      <c r="C104" s="1520"/>
      <c r="D104" s="1519"/>
      <c r="E104" s="1528"/>
      <c r="F104" s="1522"/>
    </row>
    <row r="105" spans="1:6" ht="52.5" customHeight="1">
      <c r="A105" s="1518"/>
      <c r="B105" s="1519"/>
      <c r="C105" s="1520"/>
      <c r="D105" s="1519"/>
      <c r="E105" s="1528"/>
      <c r="F105" s="1522"/>
    </row>
    <row r="106" spans="1:6" ht="52.5" customHeight="1">
      <c r="A106" s="1518"/>
      <c r="B106" s="1519"/>
      <c r="C106" s="1520"/>
      <c r="D106" s="1519"/>
      <c r="E106" s="1521"/>
      <c r="F106" s="1522"/>
    </row>
    <row r="107" spans="1:6" ht="52.5" customHeight="1">
      <c r="A107" s="1518"/>
      <c r="B107" s="1519"/>
      <c r="C107" s="1530"/>
      <c r="D107" s="1519"/>
      <c r="E107" s="1521"/>
      <c r="F107" s="1522"/>
    </row>
    <row r="108" spans="1:6" ht="52.5" customHeight="1">
      <c r="A108" s="1518"/>
      <c r="B108" s="1519"/>
      <c r="C108" s="1520"/>
      <c r="D108" s="1519"/>
      <c r="E108" s="1521"/>
      <c r="F108" s="1522"/>
    </row>
    <row r="109" spans="1:6" ht="52.5" customHeight="1">
      <c r="A109" s="1518"/>
      <c r="B109" s="1519"/>
      <c r="C109" s="1520"/>
      <c r="D109" s="1531"/>
      <c r="E109" s="1531"/>
      <c r="F109" s="1522"/>
    </row>
    <row r="110" spans="1:6" ht="52.5" customHeight="1">
      <c r="A110" s="1518"/>
      <c r="B110" s="1519"/>
      <c r="C110" s="1520"/>
      <c r="D110" s="1531"/>
      <c r="E110" s="1531"/>
      <c r="F110" s="1522"/>
    </row>
    <row r="111" spans="1:6" ht="52.5" customHeight="1">
      <c r="A111" s="1518"/>
      <c r="B111" s="1519"/>
      <c r="C111" s="1520"/>
      <c r="D111" s="1531"/>
      <c r="E111" s="1531"/>
      <c r="F111" s="1522"/>
    </row>
    <row r="112" spans="1:6" ht="52.5" customHeight="1">
      <c r="A112" s="1518"/>
      <c r="B112" s="1519"/>
      <c r="C112" s="1520"/>
      <c r="D112" s="1531"/>
      <c r="E112" s="1531"/>
      <c r="F112" s="1522"/>
    </row>
    <row r="113" spans="1:6" ht="52.5" customHeight="1">
      <c r="A113" s="1518"/>
      <c r="B113" s="1519"/>
      <c r="C113" s="1520"/>
      <c r="D113" s="1519"/>
      <c r="E113" s="1519"/>
      <c r="F113" s="1522"/>
    </row>
    <row r="114" spans="1:6" ht="52.5" customHeight="1">
      <c r="A114" s="1518"/>
      <c r="B114" s="1519"/>
      <c r="C114" s="1520"/>
      <c r="D114" s="1519"/>
      <c r="E114" s="1521"/>
      <c r="F114" s="1522"/>
    </row>
    <row r="115" spans="1:6" ht="52.5" customHeight="1">
      <c r="A115" s="1518"/>
      <c r="B115" s="1519"/>
      <c r="C115" s="1520"/>
      <c r="D115" s="1519"/>
      <c r="E115" s="1521"/>
      <c r="F115" s="1522"/>
    </row>
    <row r="116" spans="1:6" ht="52.5" customHeight="1">
      <c r="A116" s="1518"/>
      <c r="B116" s="1519"/>
      <c r="C116" s="1520"/>
      <c r="D116" s="1519"/>
      <c r="E116" s="1519"/>
      <c r="F116" s="1522"/>
    </row>
    <row r="117" spans="1:6" ht="67.5" customHeight="1">
      <c r="A117" s="1518"/>
      <c r="B117" s="1519"/>
      <c r="C117" s="1520"/>
      <c r="D117" s="1519"/>
      <c r="E117" s="1519"/>
      <c r="F117" s="1522"/>
    </row>
    <row r="118" spans="1:6" ht="52.5" customHeight="1">
      <c r="A118" s="1518"/>
      <c r="B118" s="1519"/>
      <c r="C118" s="1520"/>
      <c r="D118" s="1519"/>
      <c r="E118" s="1519"/>
      <c r="F118" s="1522"/>
    </row>
    <row r="119" spans="1:6" ht="52.5" customHeight="1">
      <c r="A119" s="1518"/>
      <c r="B119" s="1519"/>
      <c r="C119" s="1520"/>
      <c r="D119" s="1519"/>
      <c r="E119" s="1519"/>
      <c r="F119" s="1522"/>
    </row>
    <row r="120" spans="1:6" ht="52.5" customHeight="1">
      <c r="A120" s="1518"/>
      <c r="B120" s="1519"/>
      <c r="C120" s="1520"/>
      <c r="D120" s="1519"/>
      <c r="E120" s="1519"/>
      <c r="F120" s="1522"/>
    </row>
    <row r="121" spans="1:6" ht="52.5" customHeight="1">
      <c r="A121" s="1518"/>
      <c r="B121" s="1519"/>
      <c r="C121" s="1520"/>
      <c r="D121" s="1525"/>
      <c r="E121" s="1519"/>
      <c r="F121" s="1522"/>
    </row>
    <row r="122" spans="1:6" ht="52.5" customHeight="1">
      <c r="A122" s="1518"/>
      <c r="B122" s="1519"/>
      <c r="C122" s="1520"/>
      <c r="D122" s="1519"/>
      <c r="E122" s="1519"/>
      <c r="F122" s="1522"/>
    </row>
    <row r="123" spans="1:6" ht="52.5" customHeight="1">
      <c r="A123" s="1518"/>
      <c r="B123" s="1519"/>
      <c r="C123" s="1520"/>
      <c r="D123" s="1519"/>
      <c r="E123" s="1519"/>
      <c r="F123" s="1522"/>
    </row>
    <row r="124" spans="1:6" ht="52.5" customHeight="1">
      <c r="A124" s="1518"/>
      <c r="B124" s="1519"/>
      <c r="C124" s="1520"/>
      <c r="D124" s="1519"/>
      <c r="E124" s="1521"/>
      <c r="F124" s="1522"/>
    </row>
    <row r="125" spans="1:6" ht="52.5" customHeight="1">
      <c r="A125" s="1518"/>
      <c r="B125" s="1519"/>
      <c r="C125" s="1520"/>
      <c r="D125" s="1519"/>
      <c r="E125" s="1532"/>
      <c r="F125" s="1522"/>
    </row>
    <row r="126" spans="1:6" ht="18.75">
      <c r="A126" s="1526"/>
      <c r="B126" s="1972"/>
      <c r="C126" s="1972"/>
      <c r="D126" s="1972"/>
      <c r="E126" s="1972"/>
      <c r="F126" s="1533"/>
    </row>
    <row r="127" spans="1:6" s="1534" customFormat="1">
      <c r="A127" s="1529"/>
      <c r="C127" s="1535"/>
      <c r="F127" s="1536"/>
    </row>
    <row r="128" spans="1:6" s="1534" customFormat="1">
      <c r="A128" s="1529"/>
      <c r="C128" s="1535"/>
      <c r="F128" s="1536"/>
    </row>
    <row r="129" spans="1:6" s="1534" customFormat="1">
      <c r="A129" s="1529"/>
      <c r="C129" s="1535"/>
      <c r="F129" s="1536"/>
    </row>
    <row r="130" spans="1:6" s="1534" customFormat="1">
      <c r="A130" s="1529"/>
      <c r="C130" s="1535"/>
      <c r="F130" s="1536"/>
    </row>
    <row r="131" spans="1:6" s="1534" customFormat="1">
      <c r="A131" s="1529"/>
      <c r="C131" s="1535"/>
      <c r="F131" s="1536"/>
    </row>
    <row r="132" spans="1:6" s="1534" customFormat="1">
      <c r="A132" s="1529"/>
      <c r="C132" s="1535"/>
      <c r="F132" s="1536"/>
    </row>
    <row r="133" spans="1:6" s="1534" customFormat="1">
      <c r="A133" s="1529"/>
      <c r="C133" s="1535"/>
      <c r="F133" s="1536"/>
    </row>
    <row r="134" spans="1:6" s="1534" customFormat="1">
      <c r="A134" s="1529"/>
      <c r="C134" s="1535"/>
      <c r="F134" s="1536"/>
    </row>
    <row r="135" spans="1:6" s="1534" customFormat="1">
      <c r="A135" s="1529"/>
      <c r="C135" s="1535"/>
      <c r="F135" s="1536"/>
    </row>
    <row r="136" spans="1:6" s="1534" customFormat="1">
      <c r="A136" s="1529"/>
      <c r="C136" s="1535"/>
      <c r="F136" s="1536"/>
    </row>
    <row r="137" spans="1:6" s="1534" customFormat="1">
      <c r="A137" s="1529"/>
      <c r="C137" s="1535"/>
      <c r="F137" s="1536"/>
    </row>
    <row r="138" spans="1:6" s="1534" customFormat="1">
      <c r="A138" s="1529"/>
      <c r="C138" s="1535"/>
      <c r="F138" s="1536"/>
    </row>
    <row r="139" spans="1:6" s="1534" customFormat="1">
      <c r="A139" s="1529"/>
      <c r="C139" s="1535"/>
      <c r="F139" s="1536"/>
    </row>
    <row r="140" spans="1:6" s="1534" customFormat="1">
      <c r="A140" s="1529"/>
      <c r="C140" s="1535"/>
      <c r="F140" s="1536"/>
    </row>
    <row r="141" spans="1:6" s="1534" customFormat="1">
      <c r="A141" s="1529"/>
      <c r="C141" s="1535"/>
      <c r="F141" s="1536"/>
    </row>
    <row r="142" spans="1:6" s="1534" customFormat="1">
      <c r="A142" s="1529"/>
      <c r="C142" s="1535"/>
      <c r="F142" s="1536"/>
    </row>
    <row r="143" spans="1:6" s="1534" customFormat="1">
      <c r="A143" s="1529"/>
      <c r="C143" s="1535"/>
      <c r="F143" s="1536"/>
    </row>
    <row r="144" spans="1:6" s="1534" customFormat="1">
      <c r="A144" s="1529"/>
      <c r="C144" s="1535"/>
      <c r="F144" s="1536"/>
    </row>
    <row r="145" spans="1:6">
      <c r="A145" s="1529"/>
      <c r="B145" s="1534"/>
      <c r="C145" s="1535"/>
      <c r="D145" s="1534"/>
      <c r="E145" s="1534"/>
      <c r="F145" s="1534"/>
    </row>
    <row r="146" spans="1:6">
      <c r="A146" s="1529"/>
      <c r="B146" s="1534"/>
      <c r="C146" s="1535"/>
      <c r="D146" s="1534"/>
      <c r="E146" s="1534"/>
      <c r="F146" s="1534"/>
    </row>
    <row r="147" spans="1:6">
      <c r="A147" s="1529"/>
      <c r="B147" s="1534"/>
      <c r="C147" s="1535"/>
      <c r="D147" s="1534"/>
      <c r="E147" s="1534"/>
      <c r="F147" s="1534"/>
    </row>
    <row r="148" spans="1:6">
      <c r="A148" s="1529"/>
      <c r="B148" s="1534"/>
      <c r="C148" s="1535"/>
      <c r="D148" s="1534"/>
      <c r="E148" s="1534"/>
      <c r="F148" s="1536"/>
    </row>
    <row r="149" spans="1:6">
      <c r="A149" s="1529"/>
      <c r="B149" s="1534"/>
      <c r="C149" s="1535"/>
      <c r="D149" s="1534"/>
      <c r="E149" s="1534"/>
      <c r="F149" s="1536"/>
    </row>
    <row r="150" spans="1:6">
      <c r="A150" s="1529"/>
      <c r="B150" s="1534"/>
      <c r="C150" s="1535"/>
      <c r="D150" s="1534"/>
      <c r="E150" s="1534"/>
      <c r="F150" s="1536"/>
    </row>
    <row r="151" spans="1:6">
      <c r="A151" s="1529"/>
      <c r="B151" s="1534"/>
      <c r="C151" s="1535"/>
      <c r="D151" s="1534"/>
      <c r="E151" s="1534"/>
      <c r="F151" s="1536"/>
    </row>
    <row r="152" spans="1:6">
      <c r="A152" s="1529"/>
      <c r="B152" s="1534"/>
      <c r="C152" s="1535"/>
      <c r="D152" s="1534"/>
      <c r="E152" s="1534"/>
      <c r="F152" s="1536"/>
    </row>
    <row r="153" spans="1:6">
      <c r="A153" s="1529"/>
      <c r="B153" s="1534"/>
      <c r="C153" s="1535"/>
      <c r="D153" s="1534"/>
      <c r="E153" s="1534"/>
      <c r="F153" s="1536"/>
    </row>
    <row r="154" spans="1:6">
      <c r="A154" s="1529"/>
      <c r="B154" s="1534"/>
      <c r="C154" s="1535"/>
      <c r="D154" s="1534"/>
      <c r="E154" s="1534"/>
      <c r="F154" s="1536"/>
    </row>
    <row r="155" spans="1:6">
      <c r="A155" s="1529"/>
      <c r="B155" s="1534"/>
      <c r="C155" s="1535"/>
      <c r="D155" s="1534"/>
      <c r="E155" s="1534"/>
      <c r="F155" s="1536"/>
    </row>
    <row r="156" spans="1:6">
      <c r="A156" s="1529"/>
      <c r="B156" s="1534"/>
      <c r="C156" s="1535"/>
      <c r="D156" s="1534"/>
      <c r="E156" s="1534"/>
      <c r="F156" s="1536"/>
    </row>
    <row r="157" spans="1:6">
      <c r="A157" s="1529"/>
      <c r="B157" s="1534"/>
      <c r="C157" s="1535"/>
      <c r="D157" s="1534"/>
      <c r="E157" s="1534"/>
      <c r="F157" s="1536"/>
    </row>
    <row r="158" spans="1:6">
      <c r="A158" s="1529"/>
      <c r="B158" s="1534"/>
      <c r="C158" s="1535"/>
      <c r="D158" s="1534"/>
      <c r="E158" s="1534"/>
      <c r="F158" s="1536"/>
    </row>
    <row r="159" spans="1:6">
      <c r="A159" s="1529"/>
      <c r="B159" s="1534"/>
      <c r="C159" s="1535"/>
      <c r="D159" s="1534"/>
      <c r="E159" s="1534"/>
      <c r="F159" s="1536"/>
    </row>
    <row r="160" spans="1:6">
      <c r="A160" s="1529"/>
      <c r="B160" s="1534"/>
      <c r="C160" s="1535"/>
      <c r="D160" s="1534"/>
      <c r="E160" s="1534"/>
      <c r="F160" s="1536"/>
    </row>
    <row r="161" spans="1:1">
      <c r="A161" s="1529"/>
    </row>
    <row r="162" spans="1:1">
      <c r="A162" s="1529"/>
    </row>
  </sheetData>
  <mergeCells count="12">
    <mergeCell ref="B16:C16"/>
    <mergeCell ref="D16:E16"/>
    <mergeCell ref="B17:E17"/>
    <mergeCell ref="B18:E18"/>
    <mergeCell ref="B126:E126"/>
    <mergeCell ref="B15:C15"/>
    <mergeCell ref="D15:E15"/>
    <mergeCell ref="A1:F1"/>
    <mergeCell ref="A2:F2"/>
    <mergeCell ref="B12:E12"/>
    <mergeCell ref="B13:E13"/>
    <mergeCell ref="B14:E14"/>
  </mergeCells>
  <pageMargins left="0.51181102362204722" right="0.39370078740157483" top="0.39370078740157483" bottom="0.39370078740157483" header="0.31496062992125984" footer="0.31496062992125984"/>
  <pageSetup paperSize="9" scale="85" orientation="portrait" r:id="rId1"/>
  <drawing r:id="rId2"/>
</worksheet>
</file>

<file path=xl/worksheets/sheet4.xml><?xml version="1.0" encoding="utf-8"?>
<worksheet xmlns="http://schemas.openxmlformats.org/spreadsheetml/2006/main" xmlns:r="http://schemas.openxmlformats.org/officeDocument/2006/relationships">
  <sheetPr>
    <tabColor rgb="FF00B050"/>
  </sheetPr>
  <dimension ref="A1:Z1172"/>
  <sheetViews>
    <sheetView showZeros="0" view="pageBreakPreview" zoomScale="55" zoomScaleNormal="40" zoomScaleSheetLayoutView="55" workbookViewId="0">
      <pane xSplit="4" ySplit="5" topLeftCell="E16" activePane="bottomRight" state="frozen"/>
      <selection activeCell="L6" sqref="L6"/>
      <selection pane="topRight" activeCell="L6" sqref="L6"/>
      <selection pane="bottomLeft" activeCell="L6" sqref="L6"/>
      <selection pane="bottomRight" activeCell="F18" sqref="F18"/>
    </sheetView>
  </sheetViews>
  <sheetFormatPr defaultColWidth="10.85546875" defaultRowHeight="25.5"/>
  <cols>
    <col min="1" max="1" width="12.28515625" style="1084" customWidth="1"/>
    <col min="2" max="2" width="78.7109375" style="1084" customWidth="1"/>
    <col min="3" max="3" width="20.28515625" style="1084" customWidth="1"/>
    <col min="4" max="4" width="13.42578125" style="1084" customWidth="1"/>
    <col min="5" max="5" width="17.140625" style="1084" customWidth="1"/>
    <col min="6" max="6" width="22" style="1084" customWidth="1"/>
    <col min="7" max="7" width="17.85546875" style="1084" customWidth="1"/>
    <col min="8" max="8" width="21.28515625" style="1084" customWidth="1"/>
    <col min="9" max="9" width="16.5703125" style="1179" customWidth="1"/>
    <col min="10" max="10" width="20.28515625" style="1084" customWidth="1"/>
    <col min="11" max="11" width="17.28515625" style="1084" customWidth="1"/>
    <col min="12" max="12" width="19.42578125" style="1084" customWidth="1"/>
    <col min="13" max="13" width="18.5703125" style="1084" hidden="1" customWidth="1"/>
    <col min="14" max="14" width="19.7109375" style="1084" hidden="1" customWidth="1"/>
    <col min="15" max="15" width="16.85546875" style="1083" customWidth="1"/>
    <col min="16" max="16" width="23.7109375" style="1083" customWidth="1"/>
    <col min="17" max="17" width="27.140625" style="1083" bestFit="1" customWidth="1"/>
    <col min="18" max="18" width="25.7109375" style="1083" bestFit="1" customWidth="1"/>
    <col min="19" max="19" width="19.42578125" style="1084" bestFit="1" customWidth="1"/>
    <col min="20" max="20" width="10.85546875" style="1084"/>
    <col min="21" max="21" width="16.42578125" style="1084" bestFit="1" customWidth="1"/>
    <col min="22" max="22" width="10.85546875" style="1084"/>
    <col min="23" max="23" width="14.42578125" style="1084" bestFit="1" customWidth="1"/>
    <col min="24" max="25" width="10.85546875" style="1084"/>
    <col min="26" max="26" width="14.28515625" style="1084" bestFit="1" customWidth="1"/>
    <col min="27" max="254" width="10.85546875" style="1084"/>
    <col min="255" max="255" width="12.28515625" style="1084" customWidth="1"/>
    <col min="256" max="256" width="78.7109375" style="1084" customWidth="1"/>
    <col min="257" max="257" width="20.28515625" style="1084" customWidth="1"/>
    <col min="258" max="258" width="13.42578125" style="1084" customWidth="1"/>
    <col min="259" max="259" width="17.140625" style="1084" customWidth="1"/>
    <col min="260" max="260" width="22" style="1084" customWidth="1"/>
    <col min="261" max="261" width="17.85546875" style="1084" customWidth="1"/>
    <col min="262" max="262" width="21.28515625" style="1084" customWidth="1"/>
    <col min="263" max="263" width="16.5703125" style="1084" customWidth="1"/>
    <col min="264" max="264" width="20.28515625" style="1084" customWidth="1"/>
    <col min="265" max="265" width="17.28515625" style="1084" customWidth="1"/>
    <col min="266" max="266" width="19.42578125" style="1084" customWidth="1"/>
    <col min="267" max="267" width="18.5703125" style="1084" customWidth="1"/>
    <col min="268" max="268" width="19.7109375" style="1084" customWidth="1"/>
    <col min="269" max="269" width="16" style="1084" customWidth="1"/>
    <col min="270" max="270" width="20.5703125" style="1084" customWidth="1"/>
    <col min="271" max="271" width="16.85546875" style="1084" customWidth="1"/>
    <col min="272" max="272" width="23.7109375" style="1084" customWidth="1"/>
    <col min="273" max="273" width="27.140625" style="1084" bestFit="1" customWidth="1"/>
    <col min="274" max="274" width="25.7109375" style="1084" bestFit="1" customWidth="1"/>
    <col min="275" max="275" width="19.42578125" style="1084" bestFit="1" customWidth="1"/>
    <col min="276" max="276" width="10.85546875" style="1084"/>
    <col min="277" max="277" width="16.42578125" style="1084" bestFit="1" customWidth="1"/>
    <col min="278" max="278" width="10.85546875" style="1084"/>
    <col min="279" max="279" width="14.42578125" style="1084" bestFit="1" customWidth="1"/>
    <col min="280" max="281" width="10.85546875" style="1084"/>
    <col min="282" max="282" width="14.28515625" style="1084" bestFit="1" customWidth="1"/>
    <col min="283" max="510" width="10.85546875" style="1084"/>
    <col min="511" max="511" width="12.28515625" style="1084" customWidth="1"/>
    <col min="512" max="512" width="78.7109375" style="1084" customWidth="1"/>
    <col min="513" max="513" width="20.28515625" style="1084" customWidth="1"/>
    <col min="514" max="514" width="13.42578125" style="1084" customWidth="1"/>
    <col min="515" max="515" width="17.140625" style="1084" customWidth="1"/>
    <col min="516" max="516" width="22" style="1084" customWidth="1"/>
    <col min="517" max="517" width="17.85546875" style="1084" customWidth="1"/>
    <col min="518" max="518" width="21.28515625" style="1084" customWidth="1"/>
    <col min="519" max="519" width="16.5703125" style="1084" customWidth="1"/>
    <col min="520" max="520" width="20.28515625" style="1084" customWidth="1"/>
    <col min="521" max="521" width="17.28515625" style="1084" customWidth="1"/>
    <col min="522" max="522" width="19.42578125" style="1084" customWidth="1"/>
    <col min="523" max="523" width="18.5703125" style="1084" customWidth="1"/>
    <col min="524" max="524" width="19.7109375" style="1084" customWidth="1"/>
    <col min="525" max="525" width="16" style="1084" customWidth="1"/>
    <col min="526" max="526" width="20.5703125" style="1084" customWidth="1"/>
    <col min="527" max="527" width="16.85546875" style="1084" customWidth="1"/>
    <col min="528" max="528" width="23.7109375" style="1084" customWidth="1"/>
    <col min="529" max="529" width="27.140625" style="1084" bestFit="1" customWidth="1"/>
    <col min="530" max="530" width="25.7109375" style="1084" bestFit="1" customWidth="1"/>
    <col min="531" max="531" width="19.42578125" style="1084" bestFit="1" customWidth="1"/>
    <col min="532" max="532" width="10.85546875" style="1084"/>
    <col min="533" max="533" width="16.42578125" style="1084" bestFit="1" customWidth="1"/>
    <col min="534" max="534" width="10.85546875" style="1084"/>
    <col min="535" max="535" width="14.42578125" style="1084" bestFit="1" customWidth="1"/>
    <col min="536" max="537" width="10.85546875" style="1084"/>
    <col min="538" max="538" width="14.28515625" style="1084" bestFit="1" customWidth="1"/>
    <col min="539" max="766" width="10.85546875" style="1084"/>
    <col min="767" max="767" width="12.28515625" style="1084" customWidth="1"/>
    <col min="768" max="768" width="78.7109375" style="1084" customWidth="1"/>
    <col min="769" max="769" width="20.28515625" style="1084" customWidth="1"/>
    <col min="770" max="770" width="13.42578125" style="1084" customWidth="1"/>
    <col min="771" max="771" width="17.140625" style="1084" customWidth="1"/>
    <col min="772" max="772" width="22" style="1084" customWidth="1"/>
    <col min="773" max="773" width="17.85546875" style="1084" customWidth="1"/>
    <col min="774" max="774" width="21.28515625" style="1084" customWidth="1"/>
    <col min="775" max="775" width="16.5703125" style="1084" customWidth="1"/>
    <col min="776" max="776" width="20.28515625" style="1084" customWidth="1"/>
    <col min="777" max="777" width="17.28515625" style="1084" customWidth="1"/>
    <col min="778" max="778" width="19.42578125" style="1084" customWidth="1"/>
    <col min="779" max="779" width="18.5703125" style="1084" customWidth="1"/>
    <col min="780" max="780" width="19.7109375" style="1084" customWidth="1"/>
    <col min="781" max="781" width="16" style="1084" customWidth="1"/>
    <col min="782" max="782" width="20.5703125" style="1084" customWidth="1"/>
    <col min="783" max="783" width="16.85546875" style="1084" customWidth="1"/>
    <col min="784" max="784" width="23.7109375" style="1084" customWidth="1"/>
    <col min="785" max="785" width="27.140625" style="1084" bestFit="1" customWidth="1"/>
    <col min="786" max="786" width="25.7109375" style="1084" bestFit="1" customWidth="1"/>
    <col min="787" max="787" width="19.42578125" style="1084" bestFit="1" customWidth="1"/>
    <col min="788" max="788" width="10.85546875" style="1084"/>
    <col min="789" max="789" width="16.42578125" style="1084" bestFit="1" customWidth="1"/>
    <col min="790" max="790" width="10.85546875" style="1084"/>
    <col min="791" max="791" width="14.42578125" style="1084" bestFit="1" customWidth="1"/>
    <col min="792" max="793" width="10.85546875" style="1084"/>
    <col min="794" max="794" width="14.28515625" style="1084" bestFit="1" customWidth="1"/>
    <col min="795" max="1022" width="10.85546875" style="1084"/>
    <col min="1023" max="1023" width="12.28515625" style="1084" customWidth="1"/>
    <col min="1024" max="1024" width="78.7109375" style="1084" customWidth="1"/>
    <col min="1025" max="1025" width="20.28515625" style="1084" customWidth="1"/>
    <col min="1026" max="1026" width="13.42578125" style="1084" customWidth="1"/>
    <col min="1027" max="1027" width="17.140625" style="1084" customWidth="1"/>
    <col min="1028" max="1028" width="22" style="1084" customWidth="1"/>
    <col min="1029" max="1029" width="17.85546875" style="1084" customWidth="1"/>
    <col min="1030" max="1030" width="21.28515625" style="1084" customWidth="1"/>
    <col min="1031" max="1031" width="16.5703125" style="1084" customWidth="1"/>
    <col min="1032" max="1032" width="20.28515625" style="1084" customWidth="1"/>
    <col min="1033" max="1033" width="17.28515625" style="1084" customWidth="1"/>
    <col min="1034" max="1034" width="19.42578125" style="1084" customWidth="1"/>
    <col min="1035" max="1035" width="18.5703125" style="1084" customWidth="1"/>
    <col min="1036" max="1036" width="19.7109375" style="1084" customWidth="1"/>
    <col min="1037" max="1037" width="16" style="1084" customWidth="1"/>
    <col min="1038" max="1038" width="20.5703125" style="1084" customWidth="1"/>
    <col min="1039" max="1039" width="16.85546875" style="1084" customWidth="1"/>
    <col min="1040" max="1040" width="23.7109375" style="1084" customWidth="1"/>
    <col min="1041" max="1041" width="27.140625" style="1084" bestFit="1" customWidth="1"/>
    <col min="1042" max="1042" width="25.7109375" style="1084" bestFit="1" customWidth="1"/>
    <col min="1043" max="1043" width="19.42578125" style="1084" bestFit="1" customWidth="1"/>
    <col min="1044" max="1044" width="10.85546875" style="1084"/>
    <col min="1045" max="1045" width="16.42578125" style="1084" bestFit="1" customWidth="1"/>
    <col min="1046" max="1046" width="10.85546875" style="1084"/>
    <col min="1047" max="1047" width="14.42578125" style="1084" bestFit="1" customWidth="1"/>
    <col min="1048" max="1049" width="10.85546875" style="1084"/>
    <col min="1050" max="1050" width="14.28515625" style="1084" bestFit="1" customWidth="1"/>
    <col min="1051" max="1278" width="10.85546875" style="1084"/>
    <col min="1279" max="1279" width="12.28515625" style="1084" customWidth="1"/>
    <col min="1280" max="1280" width="78.7109375" style="1084" customWidth="1"/>
    <col min="1281" max="1281" width="20.28515625" style="1084" customWidth="1"/>
    <col min="1282" max="1282" width="13.42578125" style="1084" customWidth="1"/>
    <col min="1283" max="1283" width="17.140625" style="1084" customWidth="1"/>
    <col min="1284" max="1284" width="22" style="1084" customWidth="1"/>
    <col min="1285" max="1285" width="17.85546875" style="1084" customWidth="1"/>
    <col min="1286" max="1286" width="21.28515625" style="1084" customWidth="1"/>
    <col min="1287" max="1287" width="16.5703125" style="1084" customWidth="1"/>
    <col min="1288" max="1288" width="20.28515625" style="1084" customWidth="1"/>
    <col min="1289" max="1289" width="17.28515625" style="1084" customWidth="1"/>
    <col min="1290" max="1290" width="19.42578125" style="1084" customWidth="1"/>
    <col min="1291" max="1291" width="18.5703125" style="1084" customWidth="1"/>
    <col min="1292" max="1292" width="19.7109375" style="1084" customWidth="1"/>
    <col min="1293" max="1293" width="16" style="1084" customWidth="1"/>
    <col min="1294" max="1294" width="20.5703125" style="1084" customWidth="1"/>
    <col min="1295" max="1295" width="16.85546875" style="1084" customWidth="1"/>
    <col min="1296" max="1296" width="23.7109375" style="1084" customWidth="1"/>
    <col min="1297" max="1297" width="27.140625" style="1084" bestFit="1" customWidth="1"/>
    <col min="1298" max="1298" width="25.7109375" style="1084" bestFit="1" customWidth="1"/>
    <col min="1299" max="1299" width="19.42578125" style="1084" bestFit="1" customWidth="1"/>
    <col min="1300" max="1300" width="10.85546875" style="1084"/>
    <col min="1301" max="1301" width="16.42578125" style="1084" bestFit="1" customWidth="1"/>
    <col min="1302" max="1302" width="10.85546875" style="1084"/>
    <col min="1303" max="1303" width="14.42578125" style="1084" bestFit="1" customWidth="1"/>
    <col min="1304" max="1305" width="10.85546875" style="1084"/>
    <col min="1306" max="1306" width="14.28515625" style="1084" bestFit="1" customWidth="1"/>
    <col min="1307" max="1534" width="10.85546875" style="1084"/>
    <col min="1535" max="1535" width="12.28515625" style="1084" customWidth="1"/>
    <col min="1536" max="1536" width="78.7109375" style="1084" customWidth="1"/>
    <col min="1537" max="1537" width="20.28515625" style="1084" customWidth="1"/>
    <col min="1538" max="1538" width="13.42578125" style="1084" customWidth="1"/>
    <col min="1539" max="1539" width="17.140625" style="1084" customWidth="1"/>
    <col min="1540" max="1540" width="22" style="1084" customWidth="1"/>
    <col min="1541" max="1541" width="17.85546875" style="1084" customWidth="1"/>
    <col min="1542" max="1542" width="21.28515625" style="1084" customWidth="1"/>
    <col min="1543" max="1543" width="16.5703125" style="1084" customWidth="1"/>
    <col min="1544" max="1544" width="20.28515625" style="1084" customWidth="1"/>
    <col min="1545" max="1545" width="17.28515625" style="1084" customWidth="1"/>
    <col min="1546" max="1546" width="19.42578125" style="1084" customWidth="1"/>
    <col min="1547" max="1547" width="18.5703125" style="1084" customWidth="1"/>
    <col min="1548" max="1548" width="19.7109375" style="1084" customWidth="1"/>
    <col min="1549" max="1549" width="16" style="1084" customWidth="1"/>
    <col min="1550" max="1550" width="20.5703125" style="1084" customWidth="1"/>
    <col min="1551" max="1551" width="16.85546875" style="1084" customWidth="1"/>
    <col min="1552" max="1552" width="23.7109375" style="1084" customWidth="1"/>
    <col min="1553" max="1553" width="27.140625" style="1084" bestFit="1" customWidth="1"/>
    <col min="1554" max="1554" width="25.7109375" style="1084" bestFit="1" customWidth="1"/>
    <col min="1555" max="1555" width="19.42578125" style="1084" bestFit="1" customWidth="1"/>
    <col min="1556" max="1556" width="10.85546875" style="1084"/>
    <col min="1557" max="1557" width="16.42578125" style="1084" bestFit="1" customWidth="1"/>
    <col min="1558" max="1558" width="10.85546875" style="1084"/>
    <col min="1559" max="1559" width="14.42578125" style="1084" bestFit="1" customWidth="1"/>
    <col min="1560" max="1561" width="10.85546875" style="1084"/>
    <col min="1562" max="1562" width="14.28515625" style="1084" bestFit="1" customWidth="1"/>
    <col min="1563" max="1790" width="10.85546875" style="1084"/>
    <col min="1791" max="1791" width="12.28515625" style="1084" customWidth="1"/>
    <col min="1792" max="1792" width="78.7109375" style="1084" customWidth="1"/>
    <col min="1793" max="1793" width="20.28515625" style="1084" customWidth="1"/>
    <col min="1794" max="1794" width="13.42578125" style="1084" customWidth="1"/>
    <col min="1795" max="1795" width="17.140625" style="1084" customWidth="1"/>
    <col min="1796" max="1796" width="22" style="1084" customWidth="1"/>
    <col min="1797" max="1797" width="17.85546875" style="1084" customWidth="1"/>
    <col min="1798" max="1798" width="21.28515625" style="1084" customWidth="1"/>
    <col min="1799" max="1799" width="16.5703125" style="1084" customWidth="1"/>
    <col min="1800" max="1800" width="20.28515625" style="1084" customWidth="1"/>
    <col min="1801" max="1801" width="17.28515625" style="1084" customWidth="1"/>
    <col min="1802" max="1802" width="19.42578125" style="1084" customWidth="1"/>
    <col min="1803" max="1803" width="18.5703125" style="1084" customWidth="1"/>
    <col min="1804" max="1804" width="19.7109375" style="1084" customWidth="1"/>
    <col min="1805" max="1805" width="16" style="1084" customWidth="1"/>
    <col min="1806" max="1806" width="20.5703125" style="1084" customWidth="1"/>
    <col min="1807" max="1807" width="16.85546875" style="1084" customWidth="1"/>
    <col min="1808" max="1808" width="23.7109375" style="1084" customWidth="1"/>
    <col min="1809" max="1809" width="27.140625" style="1084" bestFit="1" customWidth="1"/>
    <col min="1810" max="1810" width="25.7109375" style="1084" bestFit="1" customWidth="1"/>
    <col min="1811" max="1811" width="19.42578125" style="1084" bestFit="1" customWidth="1"/>
    <col min="1812" max="1812" width="10.85546875" style="1084"/>
    <col min="1813" max="1813" width="16.42578125" style="1084" bestFit="1" customWidth="1"/>
    <col min="1814" max="1814" width="10.85546875" style="1084"/>
    <col min="1815" max="1815" width="14.42578125" style="1084" bestFit="1" customWidth="1"/>
    <col min="1816" max="1817" width="10.85546875" style="1084"/>
    <col min="1818" max="1818" width="14.28515625" style="1084" bestFit="1" customWidth="1"/>
    <col min="1819" max="2046" width="10.85546875" style="1084"/>
    <col min="2047" max="2047" width="12.28515625" style="1084" customWidth="1"/>
    <col min="2048" max="2048" width="78.7109375" style="1084" customWidth="1"/>
    <col min="2049" max="2049" width="20.28515625" style="1084" customWidth="1"/>
    <col min="2050" max="2050" width="13.42578125" style="1084" customWidth="1"/>
    <col min="2051" max="2051" width="17.140625" style="1084" customWidth="1"/>
    <col min="2052" max="2052" width="22" style="1084" customWidth="1"/>
    <col min="2053" max="2053" width="17.85546875" style="1084" customWidth="1"/>
    <col min="2054" max="2054" width="21.28515625" style="1084" customWidth="1"/>
    <col min="2055" max="2055" width="16.5703125" style="1084" customWidth="1"/>
    <col min="2056" max="2056" width="20.28515625" style="1084" customWidth="1"/>
    <col min="2057" max="2057" width="17.28515625" style="1084" customWidth="1"/>
    <col min="2058" max="2058" width="19.42578125" style="1084" customWidth="1"/>
    <col min="2059" max="2059" width="18.5703125" style="1084" customWidth="1"/>
    <col min="2060" max="2060" width="19.7109375" style="1084" customWidth="1"/>
    <col min="2061" max="2061" width="16" style="1084" customWidth="1"/>
    <col min="2062" max="2062" width="20.5703125" style="1084" customWidth="1"/>
    <col min="2063" max="2063" width="16.85546875" style="1084" customWidth="1"/>
    <col min="2064" max="2064" width="23.7109375" style="1084" customWidth="1"/>
    <col min="2065" max="2065" width="27.140625" style="1084" bestFit="1" customWidth="1"/>
    <col min="2066" max="2066" width="25.7109375" style="1084" bestFit="1" customWidth="1"/>
    <col min="2067" max="2067" width="19.42578125" style="1084" bestFit="1" customWidth="1"/>
    <col min="2068" max="2068" width="10.85546875" style="1084"/>
    <col min="2069" max="2069" width="16.42578125" style="1084" bestFit="1" customWidth="1"/>
    <col min="2070" max="2070" width="10.85546875" style="1084"/>
    <col min="2071" max="2071" width="14.42578125" style="1084" bestFit="1" customWidth="1"/>
    <col min="2072" max="2073" width="10.85546875" style="1084"/>
    <col min="2074" max="2074" width="14.28515625" style="1084" bestFit="1" customWidth="1"/>
    <col min="2075" max="2302" width="10.85546875" style="1084"/>
    <col min="2303" max="2303" width="12.28515625" style="1084" customWidth="1"/>
    <col min="2304" max="2304" width="78.7109375" style="1084" customWidth="1"/>
    <col min="2305" max="2305" width="20.28515625" style="1084" customWidth="1"/>
    <col min="2306" max="2306" width="13.42578125" style="1084" customWidth="1"/>
    <col min="2307" max="2307" width="17.140625" style="1084" customWidth="1"/>
    <col min="2308" max="2308" width="22" style="1084" customWidth="1"/>
    <col min="2309" max="2309" width="17.85546875" style="1084" customWidth="1"/>
    <col min="2310" max="2310" width="21.28515625" style="1084" customWidth="1"/>
    <col min="2311" max="2311" width="16.5703125" style="1084" customWidth="1"/>
    <col min="2312" max="2312" width="20.28515625" style="1084" customWidth="1"/>
    <col min="2313" max="2313" width="17.28515625" style="1084" customWidth="1"/>
    <col min="2314" max="2314" width="19.42578125" style="1084" customWidth="1"/>
    <col min="2315" max="2315" width="18.5703125" style="1084" customWidth="1"/>
    <col min="2316" max="2316" width="19.7109375" style="1084" customWidth="1"/>
    <col min="2317" max="2317" width="16" style="1084" customWidth="1"/>
    <col min="2318" max="2318" width="20.5703125" style="1084" customWidth="1"/>
    <col min="2319" max="2319" width="16.85546875" style="1084" customWidth="1"/>
    <col min="2320" max="2320" width="23.7109375" style="1084" customWidth="1"/>
    <col min="2321" max="2321" width="27.140625" style="1084" bestFit="1" customWidth="1"/>
    <col min="2322" max="2322" width="25.7109375" style="1084" bestFit="1" customWidth="1"/>
    <col min="2323" max="2323" width="19.42578125" style="1084" bestFit="1" customWidth="1"/>
    <col min="2324" max="2324" width="10.85546875" style="1084"/>
    <col min="2325" max="2325" width="16.42578125" style="1084" bestFit="1" customWidth="1"/>
    <col min="2326" max="2326" width="10.85546875" style="1084"/>
    <col min="2327" max="2327" width="14.42578125" style="1084" bestFit="1" customWidth="1"/>
    <col min="2328" max="2329" width="10.85546875" style="1084"/>
    <col min="2330" max="2330" width="14.28515625" style="1084" bestFit="1" customWidth="1"/>
    <col min="2331" max="2558" width="10.85546875" style="1084"/>
    <col min="2559" max="2559" width="12.28515625" style="1084" customWidth="1"/>
    <col min="2560" max="2560" width="78.7109375" style="1084" customWidth="1"/>
    <col min="2561" max="2561" width="20.28515625" style="1084" customWidth="1"/>
    <col min="2562" max="2562" width="13.42578125" style="1084" customWidth="1"/>
    <col min="2563" max="2563" width="17.140625" style="1084" customWidth="1"/>
    <col min="2564" max="2564" width="22" style="1084" customWidth="1"/>
    <col min="2565" max="2565" width="17.85546875" style="1084" customWidth="1"/>
    <col min="2566" max="2566" width="21.28515625" style="1084" customWidth="1"/>
    <col min="2567" max="2567" width="16.5703125" style="1084" customWidth="1"/>
    <col min="2568" max="2568" width="20.28515625" style="1084" customWidth="1"/>
    <col min="2569" max="2569" width="17.28515625" style="1084" customWidth="1"/>
    <col min="2570" max="2570" width="19.42578125" style="1084" customWidth="1"/>
    <col min="2571" max="2571" width="18.5703125" style="1084" customWidth="1"/>
    <col min="2572" max="2572" width="19.7109375" style="1084" customWidth="1"/>
    <col min="2573" max="2573" width="16" style="1084" customWidth="1"/>
    <col min="2574" max="2574" width="20.5703125" style="1084" customWidth="1"/>
    <col min="2575" max="2575" width="16.85546875" style="1084" customWidth="1"/>
    <col min="2576" max="2576" width="23.7109375" style="1084" customWidth="1"/>
    <col min="2577" max="2577" width="27.140625" style="1084" bestFit="1" customWidth="1"/>
    <col min="2578" max="2578" width="25.7109375" style="1084" bestFit="1" customWidth="1"/>
    <col min="2579" max="2579" width="19.42578125" style="1084" bestFit="1" customWidth="1"/>
    <col min="2580" max="2580" width="10.85546875" style="1084"/>
    <col min="2581" max="2581" width="16.42578125" style="1084" bestFit="1" customWidth="1"/>
    <col min="2582" max="2582" width="10.85546875" style="1084"/>
    <col min="2583" max="2583" width="14.42578125" style="1084" bestFit="1" customWidth="1"/>
    <col min="2584" max="2585" width="10.85546875" style="1084"/>
    <col min="2586" max="2586" width="14.28515625" style="1084" bestFit="1" customWidth="1"/>
    <col min="2587" max="2814" width="10.85546875" style="1084"/>
    <col min="2815" max="2815" width="12.28515625" style="1084" customWidth="1"/>
    <col min="2816" max="2816" width="78.7109375" style="1084" customWidth="1"/>
    <col min="2817" max="2817" width="20.28515625" style="1084" customWidth="1"/>
    <col min="2818" max="2818" width="13.42578125" style="1084" customWidth="1"/>
    <col min="2819" max="2819" width="17.140625" style="1084" customWidth="1"/>
    <col min="2820" max="2820" width="22" style="1084" customWidth="1"/>
    <col min="2821" max="2821" width="17.85546875" style="1084" customWidth="1"/>
    <col min="2822" max="2822" width="21.28515625" style="1084" customWidth="1"/>
    <col min="2823" max="2823" width="16.5703125" style="1084" customWidth="1"/>
    <col min="2824" max="2824" width="20.28515625" style="1084" customWidth="1"/>
    <col min="2825" max="2825" width="17.28515625" style="1084" customWidth="1"/>
    <col min="2826" max="2826" width="19.42578125" style="1084" customWidth="1"/>
    <col min="2827" max="2827" width="18.5703125" style="1084" customWidth="1"/>
    <col min="2828" max="2828" width="19.7109375" style="1084" customWidth="1"/>
    <col min="2829" max="2829" width="16" style="1084" customWidth="1"/>
    <col min="2830" max="2830" width="20.5703125" style="1084" customWidth="1"/>
    <col min="2831" max="2831" width="16.85546875" style="1084" customWidth="1"/>
    <col min="2832" max="2832" width="23.7109375" style="1084" customWidth="1"/>
    <col min="2833" max="2833" width="27.140625" style="1084" bestFit="1" customWidth="1"/>
    <col min="2834" max="2834" width="25.7109375" style="1084" bestFit="1" customWidth="1"/>
    <col min="2835" max="2835" width="19.42578125" style="1084" bestFit="1" customWidth="1"/>
    <col min="2836" max="2836" width="10.85546875" style="1084"/>
    <col min="2837" max="2837" width="16.42578125" style="1084" bestFit="1" customWidth="1"/>
    <col min="2838" max="2838" width="10.85546875" style="1084"/>
    <col min="2839" max="2839" width="14.42578125" style="1084" bestFit="1" customWidth="1"/>
    <col min="2840" max="2841" width="10.85546875" style="1084"/>
    <col min="2842" max="2842" width="14.28515625" style="1084" bestFit="1" customWidth="1"/>
    <col min="2843" max="3070" width="10.85546875" style="1084"/>
    <col min="3071" max="3071" width="12.28515625" style="1084" customWidth="1"/>
    <col min="3072" max="3072" width="78.7109375" style="1084" customWidth="1"/>
    <col min="3073" max="3073" width="20.28515625" style="1084" customWidth="1"/>
    <col min="3074" max="3074" width="13.42578125" style="1084" customWidth="1"/>
    <col min="3075" max="3075" width="17.140625" style="1084" customWidth="1"/>
    <col min="3076" max="3076" width="22" style="1084" customWidth="1"/>
    <col min="3077" max="3077" width="17.85546875" style="1084" customWidth="1"/>
    <col min="3078" max="3078" width="21.28515625" style="1084" customWidth="1"/>
    <col min="3079" max="3079" width="16.5703125" style="1084" customWidth="1"/>
    <col min="3080" max="3080" width="20.28515625" style="1084" customWidth="1"/>
    <col min="3081" max="3081" width="17.28515625" style="1084" customWidth="1"/>
    <col min="3082" max="3082" width="19.42578125" style="1084" customWidth="1"/>
    <col min="3083" max="3083" width="18.5703125" style="1084" customWidth="1"/>
    <col min="3084" max="3084" width="19.7109375" style="1084" customWidth="1"/>
    <col min="3085" max="3085" width="16" style="1084" customWidth="1"/>
    <col min="3086" max="3086" width="20.5703125" style="1084" customWidth="1"/>
    <col min="3087" max="3087" width="16.85546875" style="1084" customWidth="1"/>
    <col min="3088" max="3088" width="23.7109375" style="1084" customWidth="1"/>
    <col min="3089" max="3089" width="27.140625" style="1084" bestFit="1" customWidth="1"/>
    <col min="3090" max="3090" width="25.7109375" style="1084" bestFit="1" customWidth="1"/>
    <col min="3091" max="3091" width="19.42578125" style="1084" bestFit="1" customWidth="1"/>
    <col min="3092" max="3092" width="10.85546875" style="1084"/>
    <col min="3093" max="3093" width="16.42578125" style="1084" bestFit="1" customWidth="1"/>
    <col min="3094" max="3094" width="10.85546875" style="1084"/>
    <col min="3095" max="3095" width="14.42578125" style="1084" bestFit="1" customWidth="1"/>
    <col min="3096" max="3097" width="10.85546875" style="1084"/>
    <col min="3098" max="3098" width="14.28515625" style="1084" bestFit="1" customWidth="1"/>
    <col min="3099" max="3326" width="10.85546875" style="1084"/>
    <col min="3327" max="3327" width="12.28515625" style="1084" customWidth="1"/>
    <col min="3328" max="3328" width="78.7109375" style="1084" customWidth="1"/>
    <col min="3329" max="3329" width="20.28515625" style="1084" customWidth="1"/>
    <col min="3330" max="3330" width="13.42578125" style="1084" customWidth="1"/>
    <col min="3331" max="3331" width="17.140625" style="1084" customWidth="1"/>
    <col min="3332" max="3332" width="22" style="1084" customWidth="1"/>
    <col min="3333" max="3333" width="17.85546875" style="1084" customWidth="1"/>
    <col min="3334" max="3334" width="21.28515625" style="1084" customWidth="1"/>
    <col min="3335" max="3335" width="16.5703125" style="1084" customWidth="1"/>
    <col min="3336" max="3336" width="20.28515625" style="1084" customWidth="1"/>
    <col min="3337" max="3337" width="17.28515625" style="1084" customWidth="1"/>
    <col min="3338" max="3338" width="19.42578125" style="1084" customWidth="1"/>
    <col min="3339" max="3339" width="18.5703125" style="1084" customWidth="1"/>
    <col min="3340" max="3340" width="19.7109375" style="1084" customWidth="1"/>
    <col min="3341" max="3341" width="16" style="1084" customWidth="1"/>
    <col min="3342" max="3342" width="20.5703125" style="1084" customWidth="1"/>
    <col min="3343" max="3343" width="16.85546875" style="1084" customWidth="1"/>
    <col min="3344" max="3344" width="23.7109375" style="1084" customWidth="1"/>
    <col min="3345" max="3345" width="27.140625" style="1084" bestFit="1" customWidth="1"/>
    <col min="3346" max="3346" width="25.7109375" style="1084" bestFit="1" customWidth="1"/>
    <col min="3347" max="3347" width="19.42578125" style="1084" bestFit="1" customWidth="1"/>
    <col min="3348" max="3348" width="10.85546875" style="1084"/>
    <col min="3349" max="3349" width="16.42578125" style="1084" bestFit="1" customWidth="1"/>
    <col min="3350" max="3350" width="10.85546875" style="1084"/>
    <col min="3351" max="3351" width="14.42578125" style="1084" bestFit="1" customWidth="1"/>
    <col min="3352" max="3353" width="10.85546875" style="1084"/>
    <col min="3354" max="3354" width="14.28515625" style="1084" bestFit="1" customWidth="1"/>
    <col min="3355" max="3582" width="10.85546875" style="1084"/>
    <col min="3583" max="3583" width="12.28515625" style="1084" customWidth="1"/>
    <col min="3584" max="3584" width="78.7109375" style="1084" customWidth="1"/>
    <col min="3585" max="3585" width="20.28515625" style="1084" customWidth="1"/>
    <col min="3586" max="3586" width="13.42578125" style="1084" customWidth="1"/>
    <col min="3587" max="3587" width="17.140625" style="1084" customWidth="1"/>
    <col min="3588" max="3588" width="22" style="1084" customWidth="1"/>
    <col min="3589" max="3589" width="17.85546875" style="1084" customWidth="1"/>
    <col min="3590" max="3590" width="21.28515625" style="1084" customWidth="1"/>
    <col min="3591" max="3591" width="16.5703125" style="1084" customWidth="1"/>
    <col min="3592" max="3592" width="20.28515625" style="1084" customWidth="1"/>
    <col min="3593" max="3593" width="17.28515625" style="1084" customWidth="1"/>
    <col min="3594" max="3594" width="19.42578125" style="1084" customWidth="1"/>
    <col min="3595" max="3595" width="18.5703125" style="1084" customWidth="1"/>
    <col min="3596" max="3596" width="19.7109375" style="1084" customWidth="1"/>
    <col min="3597" max="3597" width="16" style="1084" customWidth="1"/>
    <col min="3598" max="3598" width="20.5703125" style="1084" customWidth="1"/>
    <col min="3599" max="3599" width="16.85546875" style="1084" customWidth="1"/>
    <col min="3600" max="3600" width="23.7109375" style="1084" customWidth="1"/>
    <col min="3601" max="3601" width="27.140625" style="1084" bestFit="1" customWidth="1"/>
    <col min="3602" max="3602" width="25.7109375" style="1084" bestFit="1" customWidth="1"/>
    <col min="3603" max="3603" width="19.42578125" style="1084" bestFit="1" customWidth="1"/>
    <col min="3604" max="3604" width="10.85546875" style="1084"/>
    <col min="3605" max="3605" width="16.42578125" style="1084" bestFit="1" customWidth="1"/>
    <col min="3606" max="3606" width="10.85546875" style="1084"/>
    <col min="3607" max="3607" width="14.42578125" style="1084" bestFit="1" customWidth="1"/>
    <col min="3608" max="3609" width="10.85546875" style="1084"/>
    <col min="3610" max="3610" width="14.28515625" style="1084" bestFit="1" customWidth="1"/>
    <col min="3611" max="3838" width="10.85546875" style="1084"/>
    <col min="3839" max="3839" width="12.28515625" style="1084" customWidth="1"/>
    <col min="3840" max="3840" width="78.7109375" style="1084" customWidth="1"/>
    <col min="3841" max="3841" width="20.28515625" style="1084" customWidth="1"/>
    <col min="3842" max="3842" width="13.42578125" style="1084" customWidth="1"/>
    <col min="3843" max="3843" width="17.140625" style="1084" customWidth="1"/>
    <col min="3844" max="3844" width="22" style="1084" customWidth="1"/>
    <col min="3845" max="3845" width="17.85546875" style="1084" customWidth="1"/>
    <col min="3846" max="3846" width="21.28515625" style="1084" customWidth="1"/>
    <col min="3847" max="3847" width="16.5703125" style="1084" customWidth="1"/>
    <col min="3848" max="3848" width="20.28515625" style="1084" customWidth="1"/>
    <col min="3849" max="3849" width="17.28515625" style="1084" customWidth="1"/>
    <col min="3850" max="3850" width="19.42578125" style="1084" customWidth="1"/>
    <col min="3851" max="3851" width="18.5703125" style="1084" customWidth="1"/>
    <col min="3852" max="3852" width="19.7109375" style="1084" customWidth="1"/>
    <col min="3853" max="3853" width="16" style="1084" customWidth="1"/>
    <col min="3854" max="3854" width="20.5703125" style="1084" customWidth="1"/>
    <col min="3855" max="3855" width="16.85546875" style="1084" customWidth="1"/>
    <col min="3856" max="3856" width="23.7109375" style="1084" customWidth="1"/>
    <col min="3857" max="3857" width="27.140625" style="1084" bestFit="1" customWidth="1"/>
    <col min="3858" max="3858" width="25.7109375" style="1084" bestFit="1" customWidth="1"/>
    <col min="3859" max="3859" width="19.42578125" style="1084" bestFit="1" customWidth="1"/>
    <col min="3860" max="3860" width="10.85546875" style="1084"/>
    <col min="3861" max="3861" width="16.42578125" style="1084" bestFit="1" customWidth="1"/>
    <col min="3862" max="3862" width="10.85546875" style="1084"/>
    <col min="3863" max="3863" width="14.42578125" style="1084" bestFit="1" customWidth="1"/>
    <col min="3864" max="3865" width="10.85546875" style="1084"/>
    <col min="3866" max="3866" width="14.28515625" style="1084" bestFit="1" customWidth="1"/>
    <col min="3867" max="4094" width="10.85546875" style="1084"/>
    <col min="4095" max="4095" width="12.28515625" style="1084" customWidth="1"/>
    <col min="4096" max="4096" width="78.7109375" style="1084" customWidth="1"/>
    <col min="4097" max="4097" width="20.28515625" style="1084" customWidth="1"/>
    <col min="4098" max="4098" width="13.42578125" style="1084" customWidth="1"/>
    <col min="4099" max="4099" width="17.140625" style="1084" customWidth="1"/>
    <col min="4100" max="4100" width="22" style="1084" customWidth="1"/>
    <col min="4101" max="4101" width="17.85546875" style="1084" customWidth="1"/>
    <col min="4102" max="4102" width="21.28515625" style="1084" customWidth="1"/>
    <col min="4103" max="4103" width="16.5703125" style="1084" customWidth="1"/>
    <col min="4104" max="4104" width="20.28515625" style="1084" customWidth="1"/>
    <col min="4105" max="4105" width="17.28515625" style="1084" customWidth="1"/>
    <col min="4106" max="4106" width="19.42578125" style="1084" customWidth="1"/>
    <col min="4107" max="4107" width="18.5703125" style="1084" customWidth="1"/>
    <col min="4108" max="4108" width="19.7109375" style="1084" customWidth="1"/>
    <col min="4109" max="4109" width="16" style="1084" customWidth="1"/>
    <col min="4110" max="4110" width="20.5703125" style="1084" customWidth="1"/>
    <col min="4111" max="4111" width="16.85546875" style="1084" customWidth="1"/>
    <col min="4112" max="4112" width="23.7109375" style="1084" customWidth="1"/>
    <col min="4113" max="4113" width="27.140625" style="1084" bestFit="1" customWidth="1"/>
    <col min="4114" max="4114" width="25.7109375" style="1084" bestFit="1" customWidth="1"/>
    <col min="4115" max="4115" width="19.42578125" style="1084" bestFit="1" customWidth="1"/>
    <col min="4116" max="4116" width="10.85546875" style="1084"/>
    <col min="4117" max="4117" width="16.42578125" style="1084" bestFit="1" customWidth="1"/>
    <col min="4118" max="4118" width="10.85546875" style="1084"/>
    <col min="4119" max="4119" width="14.42578125" style="1084" bestFit="1" customWidth="1"/>
    <col min="4120" max="4121" width="10.85546875" style="1084"/>
    <col min="4122" max="4122" width="14.28515625" style="1084" bestFit="1" customWidth="1"/>
    <col min="4123" max="4350" width="10.85546875" style="1084"/>
    <col min="4351" max="4351" width="12.28515625" style="1084" customWidth="1"/>
    <col min="4352" max="4352" width="78.7109375" style="1084" customWidth="1"/>
    <col min="4353" max="4353" width="20.28515625" style="1084" customWidth="1"/>
    <col min="4354" max="4354" width="13.42578125" style="1084" customWidth="1"/>
    <col min="4355" max="4355" width="17.140625" style="1084" customWidth="1"/>
    <col min="4356" max="4356" width="22" style="1084" customWidth="1"/>
    <col min="4357" max="4357" width="17.85546875" style="1084" customWidth="1"/>
    <col min="4358" max="4358" width="21.28515625" style="1084" customWidth="1"/>
    <col min="4359" max="4359" width="16.5703125" style="1084" customWidth="1"/>
    <col min="4360" max="4360" width="20.28515625" style="1084" customWidth="1"/>
    <col min="4361" max="4361" width="17.28515625" style="1084" customWidth="1"/>
    <col min="4362" max="4362" width="19.42578125" style="1084" customWidth="1"/>
    <col min="4363" max="4363" width="18.5703125" style="1084" customWidth="1"/>
    <col min="4364" max="4364" width="19.7109375" style="1084" customWidth="1"/>
    <col min="4365" max="4365" width="16" style="1084" customWidth="1"/>
    <col min="4366" max="4366" width="20.5703125" style="1084" customWidth="1"/>
    <col min="4367" max="4367" width="16.85546875" style="1084" customWidth="1"/>
    <col min="4368" max="4368" width="23.7109375" style="1084" customWidth="1"/>
    <col min="4369" max="4369" width="27.140625" style="1084" bestFit="1" customWidth="1"/>
    <col min="4370" max="4370" width="25.7109375" style="1084" bestFit="1" customWidth="1"/>
    <col min="4371" max="4371" width="19.42578125" style="1084" bestFit="1" customWidth="1"/>
    <col min="4372" max="4372" width="10.85546875" style="1084"/>
    <col min="4373" max="4373" width="16.42578125" style="1084" bestFit="1" customWidth="1"/>
    <col min="4374" max="4374" width="10.85546875" style="1084"/>
    <col min="4375" max="4375" width="14.42578125" style="1084" bestFit="1" customWidth="1"/>
    <col min="4376" max="4377" width="10.85546875" style="1084"/>
    <col min="4378" max="4378" width="14.28515625" style="1084" bestFit="1" customWidth="1"/>
    <col min="4379" max="4606" width="10.85546875" style="1084"/>
    <col min="4607" max="4607" width="12.28515625" style="1084" customWidth="1"/>
    <col min="4608" max="4608" width="78.7109375" style="1084" customWidth="1"/>
    <col min="4609" max="4609" width="20.28515625" style="1084" customWidth="1"/>
    <col min="4610" max="4610" width="13.42578125" style="1084" customWidth="1"/>
    <col min="4611" max="4611" width="17.140625" style="1084" customWidth="1"/>
    <col min="4612" max="4612" width="22" style="1084" customWidth="1"/>
    <col min="4613" max="4613" width="17.85546875" style="1084" customWidth="1"/>
    <col min="4614" max="4614" width="21.28515625" style="1084" customWidth="1"/>
    <col min="4615" max="4615" width="16.5703125" style="1084" customWidth="1"/>
    <col min="4616" max="4616" width="20.28515625" style="1084" customWidth="1"/>
    <col min="4617" max="4617" width="17.28515625" style="1084" customWidth="1"/>
    <col min="4618" max="4618" width="19.42578125" style="1084" customWidth="1"/>
    <col min="4619" max="4619" width="18.5703125" style="1084" customWidth="1"/>
    <col min="4620" max="4620" width="19.7109375" style="1084" customWidth="1"/>
    <col min="4621" max="4621" width="16" style="1084" customWidth="1"/>
    <col min="4622" max="4622" width="20.5703125" style="1084" customWidth="1"/>
    <col min="4623" max="4623" width="16.85546875" style="1084" customWidth="1"/>
    <col min="4624" max="4624" width="23.7109375" style="1084" customWidth="1"/>
    <col min="4625" max="4625" width="27.140625" style="1084" bestFit="1" customWidth="1"/>
    <col min="4626" max="4626" width="25.7109375" style="1084" bestFit="1" customWidth="1"/>
    <col min="4627" max="4627" width="19.42578125" style="1084" bestFit="1" customWidth="1"/>
    <col min="4628" max="4628" width="10.85546875" style="1084"/>
    <col min="4629" max="4629" width="16.42578125" style="1084" bestFit="1" customWidth="1"/>
    <col min="4630" max="4630" width="10.85546875" style="1084"/>
    <col min="4631" max="4631" width="14.42578125" style="1084" bestFit="1" customWidth="1"/>
    <col min="4632" max="4633" width="10.85546875" style="1084"/>
    <col min="4634" max="4634" width="14.28515625" style="1084" bestFit="1" customWidth="1"/>
    <col min="4635" max="4862" width="10.85546875" style="1084"/>
    <col min="4863" max="4863" width="12.28515625" style="1084" customWidth="1"/>
    <col min="4864" max="4864" width="78.7109375" style="1084" customWidth="1"/>
    <col min="4865" max="4865" width="20.28515625" style="1084" customWidth="1"/>
    <col min="4866" max="4866" width="13.42578125" style="1084" customWidth="1"/>
    <col min="4867" max="4867" width="17.140625" style="1084" customWidth="1"/>
    <col min="4868" max="4868" width="22" style="1084" customWidth="1"/>
    <col min="4869" max="4869" width="17.85546875" style="1084" customWidth="1"/>
    <col min="4870" max="4870" width="21.28515625" style="1084" customWidth="1"/>
    <col min="4871" max="4871" width="16.5703125" style="1084" customWidth="1"/>
    <col min="4872" max="4872" width="20.28515625" style="1084" customWidth="1"/>
    <col min="4873" max="4873" width="17.28515625" style="1084" customWidth="1"/>
    <col min="4874" max="4874" width="19.42578125" style="1084" customWidth="1"/>
    <col min="4875" max="4875" width="18.5703125" style="1084" customWidth="1"/>
    <col min="4876" max="4876" width="19.7109375" style="1084" customWidth="1"/>
    <col min="4877" max="4877" width="16" style="1084" customWidth="1"/>
    <col min="4878" max="4878" width="20.5703125" style="1084" customWidth="1"/>
    <col min="4879" max="4879" width="16.85546875" style="1084" customWidth="1"/>
    <col min="4880" max="4880" width="23.7109375" style="1084" customWidth="1"/>
    <col min="4881" max="4881" width="27.140625" style="1084" bestFit="1" customWidth="1"/>
    <col min="4882" max="4882" width="25.7109375" style="1084" bestFit="1" customWidth="1"/>
    <col min="4883" max="4883" width="19.42578125" style="1084" bestFit="1" customWidth="1"/>
    <col min="4884" max="4884" width="10.85546875" style="1084"/>
    <col min="4885" max="4885" width="16.42578125" style="1084" bestFit="1" customWidth="1"/>
    <col min="4886" max="4886" width="10.85546875" style="1084"/>
    <col min="4887" max="4887" width="14.42578125" style="1084" bestFit="1" customWidth="1"/>
    <col min="4888" max="4889" width="10.85546875" style="1084"/>
    <col min="4890" max="4890" width="14.28515625" style="1084" bestFit="1" customWidth="1"/>
    <col min="4891" max="5118" width="10.85546875" style="1084"/>
    <col min="5119" max="5119" width="12.28515625" style="1084" customWidth="1"/>
    <col min="5120" max="5120" width="78.7109375" style="1084" customWidth="1"/>
    <col min="5121" max="5121" width="20.28515625" style="1084" customWidth="1"/>
    <col min="5122" max="5122" width="13.42578125" style="1084" customWidth="1"/>
    <col min="5123" max="5123" width="17.140625" style="1084" customWidth="1"/>
    <col min="5124" max="5124" width="22" style="1084" customWidth="1"/>
    <col min="5125" max="5125" width="17.85546875" style="1084" customWidth="1"/>
    <col min="5126" max="5126" width="21.28515625" style="1084" customWidth="1"/>
    <col min="5127" max="5127" width="16.5703125" style="1084" customWidth="1"/>
    <col min="5128" max="5128" width="20.28515625" style="1084" customWidth="1"/>
    <col min="5129" max="5129" width="17.28515625" style="1084" customWidth="1"/>
    <col min="5130" max="5130" width="19.42578125" style="1084" customWidth="1"/>
    <col min="5131" max="5131" width="18.5703125" style="1084" customWidth="1"/>
    <col min="5132" max="5132" width="19.7109375" style="1084" customWidth="1"/>
    <col min="5133" max="5133" width="16" style="1084" customWidth="1"/>
    <col min="5134" max="5134" width="20.5703125" style="1084" customWidth="1"/>
    <col min="5135" max="5135" width="16.85546875" style="1084" customWidth="1"/>
    <col min="5136" max="5136" width="23.7109375" style="1084" customWidth="1"/>
    <col min="5137" max="5137" width="27.140625" style="1084" bestFit="1" customWidth="1"/>
    <col min="5138" max="5138" width="25.7109375" style="1084" bestFit="1" customWidth="1"/>
    <col min="5139" max="5139" width="19.42578125" style="1084" bestFit="1" customWidth="1"/>
    <col min="5140" max="5140" width="10.85546875" style="1084"/>
    <col min="5141" max="5141" width="16.42578125" style="1084" bestFit="1" customWidth="1"/>
    <col min="5142" max="5142" width="10.85546875" style="1084"/>
    <col min="5143" max="5143" width="14.42578125" style="1084" bestFit="1" customWidth="1"/>
    <col min="5144" max="5145" width="10.85546875" style="1084"/>
    <col min="5146" max="5146" width="14.28515625" style="1084" bestFit="1" customWidth="1"/>
    <col min="5147" max="5374" width="10.85546875" style="1084"/>
    <col min="5375" max="5375" width="12.28515625" style="1084" customWidth="1"/>
    <col min="5376" max="5376" width="78.7109375" style="1084" customWidth="1"/>
    <col min="5377" max="5377" width="20.28515625" style="1084" customWidth="1"/>
    <col min="5378" max="5378" width="13.42578125" style="1084" customWidth="1"/>
    <col min="5379" max="5379" width="17.140625" style="1084" customWidth="1"/>
    <col min="5380" max="5380" width="22" style="1084" customWidth="1"/>
    <col min="5381" max="5381" width="17.85546875" style="1084" customWidth="1"/>
    <col min="5382" max="5382" width="21.28515625" style="1084" customWidth="1"/>
    <col min="5383" max="5383" width="16.5703125" style="1084" customWidth="1"/>
    <col min="5384" max="5384" width="20.28515625" style="1084" customWidth="1"/>
    <col min="5385" max="5385" width="17.28515625" style="1084" customWidth="1"/>
    <col min="5386" max="5386" width="19.42578125" style="1084" customWidth="1"/>
    <col min="5387" max="5387" width="18.5703125" style="1084" customWidth="1"/>
    <col min="5388" max="5388" width="19.7109375" style="1084" customWidth="1"/>
    <col min="5389" max="5389" width="16" style="1084" customWidth="1"/>
    <col min="5390" max="5390" width="20.5703125" style="1084" customWidth="1"/>
    <col min="5391" max="5391" width="16.85546875" style="1084" customWidth="1"/>
    <col min="5392" max="5392" width="23.7109375" style="1084" customWidth="1"/>
    <col min="5393" max="5393" width="27.140625" style="1084" bestFit="1" customWidth="1"/>
    <col min="5394" max="5394" width="25.7109375" style="1084" bestFit="1" customWidth="1"/>
    <col min="5395" max="5395" width="19.42578125" style="1084" bestFit="1" customWidth="1"/>
    <col min="5396" max="5396" width="10.85546875" style="1084"/>
    <col min="5397" max="5397" width="16.42578125" style="1084" bestFit="1" customWidth="1"/>
    <col min="5398" max="5398" width="10.85546875" style="1084"/>
    <col min="5399" max="5399" width="14.42578125" style="1084" bestFit="1" customWidth="1"/>
    <col min="5400" max="5401" width="10.85546875" style="1084"/>
    <col min="5402" max="5402" width="14.28515625" style="1084" bestFit="1" customWidth="1"/>
    <col min="5403" max="5630" width="10.85546875" style="1084"/>
    <col min="5631" max="5631" width="12.28515625" style="1084" customWidth="1"/>
    <col min="5632" max="5632" width="78.7109375" style="1084" customWidth="1"/>
    <col min="5633" max="5633" width="20.28515625" style="1084" customWidth="1"/>
    <col min="5634" max="5634" width="13.42578125" style="1084" customWidth="1"/>
    <col min="5635" max="5635" width="17.140625" style="1084" customWidth="1"/>
    <col min="5636" max="5636" width="22" style="1084" customWidth="1"/>
    <col min="5637" max="5637" width="17.85546875" style="1084" customWidth="1"/>
    <col min="5638" max="5638" width="21.28515625" style="1084" customWidth="1"/>
    <col min="5639" max="5639" width="16.5703125" style="1084" customWidth="1"/>
    <col min="5640" max="5640" width="20.28515625" style="1084" customWidth="1"/>
    <col min="5641" max="5641" width="17.28515625" style="1084" customWidth="1"/>
    <col min="5642" max="5642" width="19.42578125" style="1084" customWidth="1"/>
    <col min="5643" max="5643" width="18.5703125" style="1084" customWidth="1"/>
    <col min="5644" max="5644" width="19.7109375" style="1084" customWidth="1"/>
    <col min="5645" max="5645" width="16" style="1084" customWidth="1"/>
    <col min="5646" max="5646" width="20.5703125" style="1084" customWidth="1"/>
    <col min="5647" max="5647" width="16.85546875" style="1084" customWidth="1"/>
    <col min="5648" max="5648" width="23.7109375" style="1084" customWidth="1"/>
    <col min="5649" max="5649" width="27.140625" style="1084" bestFit="1" customWidth="1"/>
    <col min="5650" max="5650" width="25.7109375" style="1084" bestFit="1" customWidth="1"/>
    <col min="5651" max="5651" width="19.42578125" style="1084" bestFit="1" customWidth="1"/>
    <col min="5652" max="5652" width="10.85546875" style="1084"/>
    <col min="5653" max="5653" width="16.42578125" style="1084" bestFit="1" customWidth="1"/>
    <col min="5654" max="5654" width="10.85546875" style="1084"/>
    <col min="5655" max="5655" width="14.42578125" style="1084" bestFit="1" customWidth="1"/>
    <col min="5656" max="5657" width="10.85546875" style="1084"/>
    <col min="5658" max="5658" width="14.28515625" style="1084" bestFit="1" customWidth="1"/>
    <col min="5659" max="5886" width="10.85546875" style="1084"/>
    <col min="5887" max="5887" width="12.28515625" style="1084" customWidth="1"/>
    <col min="5888" max="5888" width="78.7109375" style="1084" customWidth="1"/>
    <col min="5889" max="5889" width="20.28515625" style="1084" customWidth="1"/>
    <col min="5890" max="5890" width="13.42578125" style="1084" customWidth="1"/>
    <col min="5891" max="5891" width="17.140625" style="1084" customWidth="1"/>
    <col min="5892" max="5892" width="22" style="1084" customWidth="1"/>
    <col min="5893" max="5893" width="17.85546875" style="1084" customWidth="1"/>
    <col min="5894" max="5894" width="21.28515625" style="1084" customWidth="1"/>
    <col min="5895" max="5895" width="16.5703125" style="1084" customWidth="1"/>
    <col min="5896" max="5896" width="20.28515625" style="1084" customWidth="1"/>
    <col min="5897" max="5897" width="17.28515625" style="1084" customWidth="1"/>
    <col min="5898" max="5898" width="19.42578125" style="1084" customWidth="1"/>
    <col min="5899" max="5899" width="18.5703125" style="1084" customWidth="1"/>
    <col min="5900" max="5900" width="19.7109375" style="1084" customWidth="1"/>
    <col min="5901" max="5901" width="16" style="1084" customWidth="1"/>
    <col min="5902" max="5902" width="20.5703125" style="1084" customWidth="1"/>
    <col min="5903" max="5903" width="16.85546875" style="1084" customWidth="1"/>
    <col min="5904" max="5904" width="23.7109375" style="1084" customWidth="1"/>
    <col min="5905" max="5905" width="27.140625" style="1084" bestFit="1" customWidth="1"/>
    <col min="5906" max="5906" width="25.7109375" style="1084" bestFit="1" customWidth="1"/>
    <col min="5907" max="5907" width="19.42578125" style="1084" bestFit="1" customWidth="1"/>
    <col min="5908" max="5908" width="10.85546875" style="1084"/>
    <col min="5909" max="5909" width="16.42578125" style="1084" bestFit="1" customWidth="1"/>
    <col min="5910" max="5910" width="10.85546875" style="1084"/>
    <col min="5911" max="5911" width="14.42578125" style="1084" bestFit="1" customWidth="1"/>
    <col min="5912" max="5913" width="10.85546875" style="1084"/>
    <col min="5914" max="5914" width="14.28515625" style="1084" bestFit="1" customWidth="1"/>
    <col min="5915" max="6142" width="10.85546875" style="1084"/>
    <col min="6143" max="6143" width="12.28515625" style="1084" customWidth="1"/>
    <col min="6144" max="6144" width="78.7109375" style="1084" customWidth="1"/>
    <col min="6145" max="6145" width="20.28515625" style="1084" customWidth="1"/>
    <col min="6146" max="6146" width="13.42578125" style="1084" customWidth="1"/>
    <col min="6147" max="6147" width="17.140625" style="1084" customWidth="1"/>
    <col min="6148" max="6148" width="22" style="1084" customWidth="1"/>
    <col min="6149" max="6149" width="17.85546875" style="1084" customWidth="1"/>
    <col min="6150" max="6150" width="21.28515625" style="1084" customWidth="1"/>
    <col min="6151" max="6151" width="16.5703125" style="1084" customWidth="1"/>
    <col min="6152" max="6152" width="20.28515625" style="1084" customWidth="1"/>
    <col min="6153" max="6153" width="17.28515625" style="1084" customWidth="1"/>
    <col min="6154" max="6154" width="19.42578125" style="1084" customWidth="1"/>
    <col min="6155" max="6155" width="18.5703125" style="1084" customWidth="1"/>
    <col min="6156" max="6156" width="19.7109375" style="1084" customWidth="1"/>
    <col min="6157" max="6157" width="16" style="1084" customWidth="1"/>
    <col min="6158" max="6158" width="20.5703125" style="1084" customWidth="1"/>
    <col min="6159" max="6159" width="16.85546875" style="1084" customWidth="1"/>
    <col min="6160" max="6160" width="23.7109375" style="1084" customWidth="1"/>
    <col min="6161" max="6161" width="27.140625" style="1084" bestFit="1" customWidth="1"/>
    <col min="6162" max="6162" width="25.7109375" style="1084" bestFit="1" customWidth="1"/>
    <col min="6163" max="6163" width="19.42578125" style="1084" bestFit="1" customWidth="1"/>
    <col min="6164" max="6164" width="10.85546875" style="1084"/>
    <col min="6165" max="6165" width="16.42578125" style="1084" bestFit="1" customWidth="1"/>
    <col min="6166" max="6166" width="10.85546875" style="1084"/>
    <col min="6167" max="6167" width="14.42578125" style="1084" bestFit="1" customWidth="1"/>
    <col min="6168" max="6169" width="10.85546875" style="1084"/>
    <col min="6170" max="6170" width="14.28515625" style="1084" bestFit="1" customWidth="1"/>
    <col min="6171" max="6398" width="10.85546875" style="1084"/>
    <col min="6399" max="6399" width="12.28515625" style="1084" customWidth="1"/>
    <col min="6400" max="6400" width="78.7109375" style="1084" customWidth="1"/>
    <col min="6401" max="6401" width="20.28515625" style="1084" customWidth="1"/>
    <col min="6402" max="6402" width="13.42578125" style="1084" customWidth="1"/>
    <col min="6403" max="6403" width="17.140625" style="1084" customWidth="1"/>
    <col min="6404" max="6404" width="22" style="1084" customWidth="1"/>
    <col min="6405" max="6405" width="17.85546875" style="1084" customWidth="1"/>
    <col min="6406" max="6406" width="21.28515625" style="1084" customWidth="1"/>
    <col min="6407" max="6407" width="16.5703125" style="1084" customWidth="1"/>
    <col min="6408" max="6408" width="20.28515625" style="1084" customWidth="1"/>
    <col min="6409" max="6409" width="17.28515625" style="1084" customWidth="1"/>
    <col min="6410" max="6410" width="19.42578125" style="1084" customWidth="1"/>
    <col min="6411" max="6411" width="18.5703125" style="1084" customWidth="1"/>
    <col min="6412" max="6412" width="19.7109375" style="1084" customWidth="1"/>
    <col min="6413" max="6413" width="16" style="1084" customWidth="1"/>
    <col min="6414" max="6414" width="20.5703125" style="1084" customWidth="1"/>
    <col min="6415" max="6415" width="16.85546875" style="1084" customWidth="1"/>
    <col min="6416" max="6416" width="23.7109375" style="1084" customWidth="1"/>
    <col min="6417" max="6417" width="27.140625" style="1084" bestFit="1" customWidth="1"/>
    <col min="6418" max="6418" width="25.7109375" style="1084" bestFit="1" customWidth="1"/>
    <col min="6419" max="6419" width="19.42578125" style="1084" bestFit="1" customWidth="1"/>
    <col min="6420" max="6420" width="10.85546875" style="1084"/>
    <col min="6421" max="6421" width="16.42578125" style="1084" bestFit="1" customWidth="1"/>
    <col min="6422" max="6422" width="10.85546875" style="1084"/>
    <col min="6423" max="6423" width="14.42578125" style="1084" bestFit="1" customWidth="1"/>
    <col min="6424" max="6425" width="10.85546875" style="1084"/>
    <col min="6426" max="6426" width="14.28515625" style="1084" bestFit="1" customWidth="1"/>
    <col min="6427" max="6654" width="10.85546875" style="1084"/>
    <col min="6655" max="6655" width="12.28515625" style="1084" customWidth="1"/>
    <col min="6656" max="6656" width="78.7109375" style="1084" customWidth="1"/>
    <col min="6657" max="6657" width="20.28515625" style="1084" customWidth="1"/>
    <col min="6658" max="6658" width="13.42578125" style="1084" customWidth="1"/>
    <col min="6659" max="6659" width="17.140625" style="1084" customWidth="1"/>
    <col min="6660" max="6660" width="22" style="1084" customWidth="1"/>
    <col min="6661" max="6661" width="17.85546875" style="1084" customWidth="1"/>
    <col min="6662" max="6662" width="21.28515625" style="1084" customWidth="1"/>
    <col min="6663" max="6663" width="16.5703125" style="1084" customWidth="1"/>
    <col min="6664" max="6664" width="20.28515625" style="1084" customWidth="1"/>
    <col min="6665" max="6665" width="17.28515625" style="1084" customWidth="1"/>
    <col min="6666" max="6666" width="19.42578125" style="1084" customWidth="1"/>
    <col min="6667" max="6667" width="18.5703125" style="1084" customWidth="1"/>
    <col min="6668" max="6668" width="19.7109375" style="1084" customWidth="1"/>
    <col min="6669" max="6669" width="16" style="1084" customWidth="1"/>
    <col min="6670" max="6670" width="20.5703125" style="1084" customWidth="1"/>
    <col min="6671" max="6671" width="16.85546875" style="1084" customWidth="1"/>
    <col min="6672" max="6672" width="23.7109375" style="1084" customWidth="1"/>
    <col min="6673" max="6673" width="27.140625" style="1084" bestFit="1" customWidth="1"/>
    <col min="6674" max="6674" width="25.7109375" style="1084" bestFit="1" customWidth="1"/>
    <col min="6675" max="6675" width="19.42578125" style="1084" bestFit="1" customWidth="1"/>
    <col min="6676" max="6676" width="10.85546875" style="1084"/>
    <col min="6677" max="6677" width="16.42578125" style="1084" bestFit="1" customWidth="1"/>
    <col min="6678" max="6678" width="10.85546875" style="1084"/>
    <col min="6679" max="6679" width="14.42578125" style="1084" bestFit="1" customWidth="1"/>
    <col min="6680" max="6681" width="10.85546875" style="1084"/>
    <col min="6682" max="6682" width="14.28515625" style="1084" bestFit="1" customWidth="1"/>
    <col min="6683" max="6910" width="10.85546875" style="1084"/>
    <col min="6911" max="6911" width="12.28515625" style="1084" customWidth="1"/>
    <col min="6912" max="6912" width="78.7109375" style="1084" customWidth="1"/>
    <col min="6913" max="6913" width="20.28515625" style="1084" customWidth="1"/>
    <col min="6914" max="6914" width="13.42578125" style="1084" customWidth="1"/>
    <col min="6915" max="6915" width="17.140625" style="1084" customWidth="1"/>
    <col min="6916" max="6916" width="22" style="1084" customWidth="1"/>
    <col min="6917" max="6917" width="17.85546875" style="1084" customWidth="1"/>
    <col min="6918" max="6918" width="21.28515625" style="1084" customWidth="1"/>
    <col min="6919" max="6919" width="16.5703125" style="1084" customWidth="1"/>
    <col min="6920" max="6920" width="20.28515625" style="1084" customWidth="1"/>
    <col min="6921" max="6921" width="17.28515625" style="1084" customWidth="1"/>
    <col min="6922" max="6922" width="19.42578125" style="1084" customWidth="1"/>
    <col min="6923" max="6923" width="18.5703125" style="1084" customWidth="1"/>
    <col min="6924" max="6924" width="19.7109375" style="1084" customWidth="1"/>
    <col min="6925" max="6925" width="16" style="1084" customWidth="1"/>
    <col min="6926" max="6926" width="20.5703125" style="1084" customWidth="1"/>
    <col min="6927" max="6927" width="16.85546875" style="1084" customWidth="1"/>
    <col min="6928" max="6928" width="23.7109375" style="1084" customWidth="1"/>
    <col min="6929" max="6929" width="27.140625" style="1084" bestFit="1" customWidth="1"/>
    <col min="6930" max="6930" width="25.7109375" style="1084" bestFit="1" customWidth="1"/>
    <col min="6931" max="6931" width="19.42578125" style="1084" bestFit="1" customWidth="1"/>
    <col min="6932" max="6932" width="10.85546875" style="1084"/>
    <col min="6933" max="6933" width="16.42578125" style="1084" bestFit="1" customWidth="1"/>
    <col min="6934" max="6934" width="10.85546875" style="1084"/>
    <col min="6935" max="6935" width="14.42578125" style="1084" bestFit="1" customWidth="1"/>
    <col min="6936" max="6937" width="10.85546875" style="1084"/>
    <col min="6938" max="6938" width="14.28515625" style="1084" bestFit="1" customWidth="1"/>
    <col min="6939" max="7166" width="10.85546875" style="1084"/>
    <col min="7167" max="7167" width="12.28515625" style="1084" customWidth="1"/>
    <col min="7168" max="7168" width="78.7109375" style="1084" customWidth="1"/>
    <col min="7169" max="7169" width="20.28515625" style="1084" customWidth="1"/>
    <col min="7170" max="7170" width="13.42578125" style="1084" customWidth="1"/>
    <col min="7171" max="7171" width="17.140625" style="1084" customWidth="1"/>
    <col min="7172" max="7172" width="22" style="1084" customWidth="1"/>
    <col min="7173" max="7173" width="17.85546875" style="1084" customWidth="1"/>
    <col min="7174" max="7174" width="21.28515625" style="1084" customWidth="1"/>
    <col min="7175" max="7175" width="16.5703125" style="1084" customWidth="1"/>
    <col min="7176" max="7176" width="20.28515625" style="1084" customWidth="1"/>
    <col min="7177" max="7177" width="17.28515625" style="1084" customWidth="1"/>
    <col min="7178" max="7178" width="19.42578125" style="1084" customWidth="1"/>
    <col min="7179" max="7179" width="18.5703125" style="1084" customWidth="1"/>
    <col min="7180" max="7180" width="19.7109375" style="1084" customWidth="1"/>
    <col min="7181" max="7181" width="16" style="1084" customWidth="1"/>
    <col min="7182" max="7182" width="20.5703125" style="1084" customWidth="1"/>
    <col min="7183" max="7183" width="16.85546875" style="1084" customWidth="1"/>
    <col min="7184" max="7184" width="23.7109375" style="1084" customWidth="1"/>
    <col min="7185" max="7185" width="27.140625" style="1084" bestFit="1" customWidth="1"/>
    <col min="7186" max="7186" width="25.7109375" style="1084" bestFit="1" customWidth="1"/>
    <col min="7187" max="7187" width="19.42578125" style="1084" bestFit="1" customWidth="1"/>
    <col min="7188" max="7188" width="10.85546875" style="1084"/>
    <col min="7189" max="7189" width="16.42578125" style="1084" bestFit="1" customWidth="1"/>
    <col min="7190" max="7190" width="10.85546875" style="1084"/>
    <col min="7191" max="7191" width="14.42578125" style="1084" bestFit="1" customWidth="1"/>
    <col min="7192" max="7193" width="10.85546875" style="1084"/>
    <col min="7194" max="7194" width="14.28515625" style="1084" bestFit="1" customWidth="1"/>
    <col min="7195" max="7422" width="10.85546875" style="1084"/>
    <col min="7423" max="7423" width="12.28515625" style="1084" customWidth="1"/>
    <col min="7424" max="7424" width="78.7109375" style="1084" customWidth="1"/>
    <col min="7425" max="7425" width="20.28515625" style="1084" customWidth="1"/>
    <col min="7426" max="7426" width="13.42578125" style="1084" customWidth="1"/>
    <col min="7427" max="7427" width="17.140625" style="1084" customWidth="1"/>
    <col min="7428" max="7428" width="22" style="1084" customWidth="1"/>
    <col min="7429" max="7429" width="17.85546875" style="1084" customWidth="1"/>
    <col min="7430" max="7430" width="21.28515625" style="1084" customWidth="1"/>
    <col min="7431" max="7431" width="16.5703125" style="1084" customWidth="1"/>
    <col min="7432" max="7432" width="20.28515625" style="1084" customWidth="1"/>
    <col min="7433" max="7433" width="17.28515625" style="1084" customWidth="1"/>
    <col min="7434" max="7434" width="19.42578125" style="1084" customWidth="1"/>
    <col min="7435" max="7435" width="18.5703125" style="1084" customWidth="1"/>
    <col min="7436" max="7436" width="19.7109375" style="1084" customWidth="1"/>
    <col min="7437" max="7437" width="16" style="1084" customWidth="1"/>
    <col min="7438" max="7438" width="20.5703125" style="1084" customWidth="1"/>
    <col min="7439" max="7439" width="16.85546875" style="1084" customWidth="1"/>
    <col min="7440" max="7440" width="23.7109375" style="1084" customWidth="1"/>
    <col min="7441" max="7441" width="27.140625" style="1084" bestFit="1" customWidth="1"/>
    <col min="7442" max="7442" width="25.7109375" style="1084" bestFit="1" customWidth="1"/>
    <col min="7443" max="7443" width="19.42578125" style="1084" bestFit="1" customWidth="1"/>
    <col min="7444" max="7444" width="10.85546875" style="1084"/>
    <col min="7445" max="7445" width="16.42578125" style="1084" bestFit="1" customWidth="1"/>
    <col min="7446" max="7446" width="10.85546875" style="1084"/>
    <col min="7447" max="7447" width="14.42578125" style="1084" bestFit="1" customWidth="1"/>
    <col min="7448" max="7449" width="10.85546875" style="1084"/>
    <col min="7450" max="7450" width="14.28515625" style="1084" bestFit="1" customWidth="1"/>
    <col min="7451" max="7678" width="10.85546875" style="1084"/>
    <col min="7679" max="7679" width="12.28515625" style="1084" customWidth="1"/>
    <col min="7680" max="7680" width="78.7109375" style="1084" customWidth="1"/>
    <col min="7681" max="7681" width="20.28515625" style="1084" customWidth="1"/>
    <col min="7682" max="7682" width="13.42578125" style="1084" customWidth="1"/>
    <col min="7683" max="7683" width="17.140625" style="1084" customWidth="1"/>
    <col min="7684" max="7684" width="22" style="1084" customWidth="1"/>
    <col min="7685" max="7685" width="17.85546875" style="1084" customWidth="1"/>
    <col min="7686" max="7686" width="21.28515625" style="1084" customWidth="1"/>
    <col min="7687" max="7687" width="16.5703125" style="1084" customWidth="1"/>
    <col min="7688" max="7688" width="20.28515625" style="1084" customWidth="1"/>
    <col min="7689" max="7689" width="17.28515625" style="1084" customWidth="1"/>
    <col min="7690" max="7690" width="19.42578125" style="1084" customWidth="1"/>
    <col min="7691" max="7691" width="18.5703125" style="1084" customWidth="1"/>
    <col min="7692" max="7692" width="19.7109375" style="1084" customWidth="1"/>
    <col min="7693" max="7693" width="16" style="1084" customWidth="1"/>
    <col min="7694" max="7694" width="20.5703125" style="1084" customWidth="1"/>
    <col min="7695" max="7695" width="16.85546875" style="1084" customWidth="1"/>
    <col min="7696" max="7696" width="23.7109375" style="1084" customWidth="1"/>
    <col min="7697" max="7697" width="27.140625" style="1084" bestFit="1" customWidth="1"/>
    <col min="7698" max="7698" width="25.7109375" style="1084" bestFit="1" customWidth="1"/>
    <col min="7699" max="7699" width="19.42578125" style="1084" bestFit="1" customWidth="1"/>
    <col min="7700" max="7700" width="10.85546875" style="1084"/>
    <col min="7701" max="7701" width="16.42578125" style="1084" bestFit="1" customWidth="1"/>
    <col min="7702" max="7702" width="10.85546875" style="1084"/>
    <col min="7703" max="7703" width="14.42578125" style="1084" bestFit="1" customWidth="1"/>
    <col min="7704" max="7705" width="10.85546875" style="1084"/>
    <col min="7706" max="7706" width="14.28515625" style="1084" bestFit="1" customWidth="1"/>
    <col min="7707" max="7934" width="10.85546875" style="1084"/>
    <col min="7935" max="7935" width="12.28515625" style="1084" customWidth="1"/>
    <col min="7936" max="7936" width="78.7109375" style="1084" customWidth="1"/>
    <col min="7937" max="7937" width="20.28515625" style="1084" customWidth="1"/>
    <col min="7938" max="7938" width="13.42578125" style="1084" customWidth="1"/>
    <col min="7939" max="7939" width="17.140625" style="1084" customWidth="1"/>
    <col min="7940" max="7940" width="22" style="1084" customWidth="1"/>
    <col min="7941" max="7941" width="17.85546875" style="1084" customWidth="1"/>
    <col min="7942" max="7942" width="21.28515625" style="1084" customWidth="1"/>
    <col min="7943" max="7943" width="16.5703125" style="1084" customWidth="1"/>
    <col min="7944" max="7944" width="20.28515625" style="1084" customWidth="1"/>
    <col min="7945" max="7945" width="17.28515625" style="1084" customWidth="1"/>
    <col min="7946" max="7946" width="19.42578125" style="1084" customWidth="1"/>
    <col min="7947" max="7947" width="18.5703125" style="1084" customWidth="1"/>
    <col min="7948" max="7948" width="19.7109375" style="1084" customWidth="1"/>
    <col min="7949" max="7949" width="16" style="1084" customWidth="1"/>
    <col min="7950" max="7950" width="20.5703125" style="1084" customWidth="1"/>
    <col min="7951" max="7951" width="16.85546875" style="1084" customWidth="1"/>
    <col min="7952" max="7952" width="23.7109375" style="1084" customWidth="1"/>
    <col min="7953" max="7953" width="27.140625" style="1084" bestFit="1" customWidth="1"/>
    <col min="7954" max="7954" width="25.7109375" style="1084" bestFit="1" customWidth="1"/>
    <col min="7955" max="7955" width="19.42578125" style="1084" bestFit="1" customWidth="1"/>
    <col min="7956" max="7956" width="10.85546875" style="1084"/>
    <col min="7957" max="7957" width="16.42578125" style="1084" bestFit="1" customWidth="1"/>
    <col min="7958" max="7958" width="10.85546875" style="1084"/>
    <col min="7959" max="7959" width="14.42578125" style="1084" bestFit="1" customWidth="1"/>
    <col min="7960" max="7961" width="10.85546875" style="1084"/>
    <col min="7962" max="7962" width="14.28515625" style="1084" bestFit="1" customWidth="1"/>
    <col min="7963" max="8190" width="10.85546875" style="1084"/>
    <col min="8191" max="8191" width="12.28515625" style="1084" customWidth="1"/>
    <col min="8192" max="8192" width="78.7109375" style="1084" customWidth="1"/>
    <col min="8193" max="8193" width="20.28515625" style="1084" customWidth="1"/>
    <col min="8194" max="8194" width="13.42578125" style="1084" customWidth="1"/>
    <col min="8195" max="8195" width="17.140625" style="1084" customWidth="1"/>
    <col min="8196" max="8196" width="22" style="1084" customWidth="1"/>
    <col min="8197" max="8197" width="17.85546875" style="1084" customWidth="1"/>
    <col min="8198" max="8198" width="21.28515625" style="1084" customWidth="1"/>
    <col min="8199" max="8199" width="16.5703125" style="1084" customWidth="1"/>
    <col min="8200" max="8200" width="20.28515625" style="1084" customWidth="1"/>
    <col min="8201" max="8201" width="17.28515625" style="1084" customWidth="1"/>
    <col min="8202" max="8202" width="19.42578125" style="1084" customWidth="1"/>
    <col min="8203" max="8203" width="18.5703125" style="1084" customWidth="1"/>
    <col min="8204" max="8204" width="19.7109375" style="1084" customWidth="1"/>
    <col min="8205" max="8205" width="16" style="1084" customWidth="1"/>
    <col min="8206" max="8206" width="20.5703125" style="1084" customWidth="1"/>
    <col min="8207" max="8207" width="16.85546875" style="1084" customWidth="1"/>
    <col min="8208" max="8208" width="23.7109375" style="1084" customWidth="1"/>
    <col min="8209" max="8209" width="27.140625" style="1084" bestFit="1" customWidth="1"/>
    <col min="8210" max="8210" width="25.7109375" style="1084" bestFit="1" customWidth="1"/>
    <col min="8211" max="8211" width="19.42578125" style="1084" bestFit="1" customWidth="1"/>
    <col min="8212" max="8212" width="10.85546875" style="1084"/>
    <col min="8213" max="8213" width="16.42578125" style="1084" bestFit="1" customWidth="1"/>
    <col min="8214" max="8214" width="10.85546875" style="1084"/>
    <col min="8215" max="8215" width="14.42578125" style="1084" bestFit="1" customWidth="1"/>
    <col min="8216" max="8217" width="10.85546875" style="1084"/>
    <col min="8218" max="8218" width="14.28515625" style="1084" bestFit="1" customWidth="1"/>
    <col min="8219" max="8446" width="10.85546875" style="1084"/>
    <col min="8447" max="8447" width="12.28515625" style="1084" customWidth="1"/>
    <col min="8448" max="8448" width="78.7109375" style="1084" customWidth="1"/>
    <col min="8449" max="8449" width="20.28515625" style="1084" customWidth="1"/>
    <col min="8450" max="8450" width="13.42578125" style="1084" customWidth="1"/>
    <col min="8451" max="8451" width="17.140625" style="1084" customWidth="1"/>
    <col min="8452" max="8452" width="22" style="1084" customWidth="1"/>
    <col min="8453" max="8453" width="17.85546875" style="1084" customWidth="1"/>
    <col min="8454" max="8454" width="21.28515625" style="1084" customWidth="1"/>
    <col min="8455" max="8455" width="16.5703125" style="1084" customWidth="1"/>
    <col min="8456" max="8456" width="20.28515625" style="1084" customWidth="1"/>
    <col min="8457" max="8457" width="17.28515625" style="1084" customWidth="1"/>
    <col min="8458" max="8458" width="19.42578125" style="1084" customWidth="1"/>
    <col min="8459" max="8459" width="18.5703125" style="1084" customWidth="1"/>
    <col min="8460" max="8460" width="19.7109375" style="1084" customWidth="1"/>
    <col min="8461" max="8461" width="16" style="1084" customWidth="1"/>
    <col min="8462" max="8462" width="20.5703125" style="1084" customWidth="1"/>
    <col min="8463" max="8463" width="16.85546875" style="1084" customWidth="1"/>
    <col min="8464" max="8464" width="23.7109375" style="1084" customWidth="1"/>
    <col min="8465" max="8465" width="27.140625" style="1084" bestFit="1" customWidth="1"/>
    <col min="8466" max="8466" width="25.7109375" style="1084" bestFit="1" customWidth="1"/>
    <col min="8467" max="8467" width="19.42578125" style="1084" bestFit="1" customWidth="1"/>
    <col min="8468" max="8468" width="10.85546875" style="1084"/>
    <col min="8469" max="8469" width="16.42578125" style="1084" bestFit="1" customWidth="1"/>
    <col min="8470" max="8470" width="10.85546875" style="1084"/>
    <col min="8471" max="8471" width="14.42578125" style="1084" bestFit="1" customWidth="1"/>
    <col min="8472" max="8473" width="10.85546875" style="1084"/>
    <col min="8474" max="8474" width="14.28515625" style="1084" bestFit="1" customWidth="1"/>
    <col min="8475" max="8702" width="10.85546875" style="1084"/>
    <col min="8703" max="8703" width="12.28515625" style="1084" customWidth="1"/>
    <col min="8704" max="8704" width="78.7109375" style="1084" customWidth="1"/>
    <col min="8705" max="8705" width="20.28515625" style="1084" customWidth="1"/>
    <col min="8706" max="8706" width="13.42578125" style="1084" customWidth="1"/>
    <col min="8707" max="8707" width="17.140625" style="1084" customWidth="1"/>
    <col min="8708" max="8708" width="22" style="1084" customWidth="1"/>
    <col min="8709" max="8709" width="17.85546875" style="1084" customWidth="1"/>
    <col min="8710" max="8710" width="21.28515625" style="1084" customWidth="1"/>
    <col min="8711" max="8711" width="16.5703125" style="1084" customWidth="1"/>
    <col min="8712" max="8712" width="20.28515625" style="1084" customWidth="1"/>
    <col min="8713" max="8713" width="17.28515625" style="1084" customWidth="1"/>
    <col min="8714" max="8714" width="19.42578125" style="1084" customWidth="1"/>
    <col min="8715" max="8715" width="18.5703125" style="1084" customWidth="1"/>
    <col min="8716" max="8716" width="19.7109375" style="1084" customWidth="1"/>
    <col min="8717" max="8717" width="16" style="1084" customWidth="1"/>
    <col min="8718" max="8718" width="20.5703125" style="1084" customWidth="1"/>
    <col min="8719" max="8719" width="16.85546875" style="1084" customWidth="1"/>
    <col min="8720" max="8720" width="23.7109375" style="1084" customWidth="1"/>
    <col min="8721" max="8721" width="27.140625" style="1084" bestFit="1" customWidth="1"/>
    <col min="8722" max="8722" width="25.7109375" style="1084" bestFit="1" customWidth="1"/>
    <col min="8723" max="8723" width="19.42578125" style="1084" bestFit="1" customWidth="1"/>
    <col min="8724" max="8724" width="10.85546875" style="1084"/>
    <col min="8725" max="8725" width="16.42578125" style="1084" bestFit="1" customWidth="1"/>
    <col min="8726" max="8726" width="10.85546875" style="1084"/>
    <col min="8727" max="8727" width="14.42578125" style="1084" bestFit="1" customWidth="1"/>
    <col min="8728" max="8729" width="10.85546875" style="1084"/>
    <col min="8730" max="8730" width="14.28515625" style="1084" bestFit="1" customWidth="1"/>
    <col min="8731" max="8958" width="10.85546875" style="1084"/>
    <col min="8959" max="8959" width="12.28515625" style="1084" customWidth="1"/>
    <col min="8960" max="8960" width="78.7109375" style="1084" customWidth="1"/>
    <col min="8961" max="8961" width="20.28515625" style="1084" customWidth="1"/>
    <col min="8962" max="8962" width="13.42578125" style="1084" customWidth="1"/>
    <col min="8963" max="8963" width="17.140625" style="1084" customWidth="1"/>
    <col min="8964" max="8964" width="22" style="1084" customWidth="1"/>
    <col min="8965" max="8965" width="17.85546875" style="1084" customWidth="1"/>
    <col min="8966" max="8966" width="21.28515625" style="1084" customWidth="1"/>
    <col min="8967" max="8967" width="16.5703125" style="1084" customWidth="1"/>
    <col min="8968" max="8968" width="20.28515625" style="1084" customWidth="1"/>
    <col min="8969" max="8969" width="17.28515625" style="1084" customWidth="1"/>
    <col min="8970" max="8970" width="19.42578125" style="1084" customWidth="1"/>
    <col min="8971" max="8971" width="18.5703125" style="1084" customWidth="1"/>
    <col min="8972" max="8972" width="19.7109375" style="1084" customWidth="1"/>
    <col min="8973" max="8973" width="16" style="1084" customWidth="1"/>
    <col min="8974" max="8974" width="20.5703125" style="1084" customWidth="1"/>
    <col min="8975" max="8975" width="16.85546875" style="1084" customWidth="1"/>
    <col min="8976" max="8976" width="23.7109375" style="1084" customWidth="1"/>
    <col min="8977" max="8977" width="27.140625" style="1084" bestFit="1" customWidth="1"/>
    <col min="8978" max="8978" width="25.7109375" style="1084" bestFit="1" customWidth="1"/>
    <col min="8979" max="8979" width="19.42578125" style="1084" bestFit="1" customWidth="1"/>
    <col min="8980" max="8980" width="10.85546875" style="1084"/>
    <col min="8981" max="8981" width="16.42578125" style="1084" bestFit="1" customWidth="1"/>
    <col min="8982" max="8982" width="10.85546875" style="1084"/>
    <col min="8983" max="8983" width="14.42578125" style="1084" bestFit="1" customWidth="1"/>
    <col min="8984" max="8985" width="10.85546875" style="1084"/>
    <col min="8986" max="8986" width="14.28515625" style="1084" bestFit="1" customWidth="1"/>
    <col min="8987" max="9214" width="10.85546875" style="1084"/>
    <col min="9215" max="9215" width="12.28515625" style="1084" customWidth="1"/>
    <col min="9216" max="9216" width="78.7109375" style="1084" customWidth="1"/>
    <col min="9217" max="9217" width="20.28515625" style="1084" customWidth="1"/>
    <col min="9218" max="9218" width="13.42578125" style="1084" customWidth="1"/>
    <col min="9219" max="9219" width="17.140625" style="1084" customWidth="1"/>
    <col min="9220" max="9220" width="22" style="1084" customWidth="1"/>
    <col min="9221" max="9221" width="17.85546875" style="1084" customWidth="1"/>
    <col min="9222" max="9222" width="21.28515625" style="1084" customWidth="1"/>
    <col min="9223" max="9223" width="16.5703125" style="1084" customWidth="1"/>
    <col min="9224" max="9224" width="20.28515625" style="1084" customWidth="1"/>
    <col min="9225" max="9225" width="17.28515625" style="1084" customWidth="1"/>
    <col min="9226" max="9226" width="19.42578125" style="1084" customWidth="1"/>
    <col min="9227" max="9227" width="18.5703125" style="1084" customWidth="1"/>
    <col min="9228" max="9228" width="19.7109375" style="1084" customWidth="1"/>
    <col min="9229" max="9229" width="16" style="1084" customWidth="1"/>
    <col min="9230" max="9230" width="20.5703125" style="1084" customWidth="1"/>
    <col min="9231" max="9231" width="16.85546875" style="1084" customWidth="1"/>
    <col min="9232" max="9232" width="23.7109375" style="1084" customWidth="1"/>
    <col min="9233" max="9233" width="27.140625" style="1084" bestFit="1" customWidth="1"/>
    <col min="9234" max="9234" width="25.7109375" style="1084" bestFit="1" customWidth="1"/>
    <col min="9235" max="9235" width="19.42578125" style="1084" bestFit="1" customWidth="1"/>
    <col min="9236" max="9236" width="10.85546875" style="1084"/>
    <col min="9237" max="9237" width="16.42578125" style="1084" bestFit="1" customWidth="1"/>
    <col min="9238" max="9238" width="10.85546875" style="1084"/>
    <col min="9239" max="9239" width="14.42578125" style="1084" bestFit="1" customWidth="1"/>
    <col min="9240" max="9241" width="10.85546875" style="1084"/>
    <col min="9242" max="9242" width="14.28515625" style="1084" bestFit="1" customWidth="1"/>
    <col min="9243" max="9470" width="10.85546875" style="1084"/>
    <col min="9471" max="9471" width="12.28515625" style="1084" customWidth="1"/>
    <col min="9472" max="9472" width="78.7109375" style="1084" customWidth="1"/>
    <col min="9473" max="9473" width="20.28515625" style="1084" customWidth="1"/>
    <col min="9474" max="9474" width="13.42578125" style="1084" customWidth="1"/>
    <col min="9475" max="9475" width="17.140625" style="1084" customWidth="1"/>
    <col min="9476" max="9476" width="22" style="1084" customWidth="1"/>
    <col min="9477" max="9477" width="17.85546875" style="1084" customWidth="1"/>
    <col min="9478" max="9478" width="21.28515625" style="1084" customWidth="1"/>
    <col min="9479" max="9479" width="16.5703125" style="1084" customWidth="1"/>
    <col min="9480" max="9480" width="20.28515625" style="1084" customWidth="1"/>
    <col min="9481" max="9481" width="17.28515625" style="1084" customWidth="1"/>
    <col min="9482" max="9482" width="19.42578125" style="1084" customWidth="1"/>
    <col min="9483" max="9483" width="18.5703125" style="1084" customWidth="1"/>
    <col min="9484" max="9484" width="19.7109375" style="1084" customWidth="1"/>
    <col min="9485" max="9485" width="16" style="1084" customWidth="1"/>
    <col min="9486" max="9486" width="20.5703125" style="1084" customWidth="1"/>
    <col min="9487" max="9487" width="16.85546875" style="1084" customWidth="1"/>
    <col min="9488" max="9488" width="23.7109375" style="1084" customWidth="1"/>
    <col min="9489" max="9489" width="27.140625" style="1084" bestFit="1" customWidth="1"/>
    <col min="9490" max="9490" width="25.7109375" style="1084" bestFit="1" customWidth="1"/>
    <col min="9491" max="9491" width="19.42578125" style="1084" bestFit="1" customWidth="1"/>
    <col min="9492" max="9492" width="10.85546875" style="1084"/>
    <col min="9493" max="9493" width="16.42578125" style="1084" bestFit="1" customWidth="1"/>
    <col min="9494" max="9494" width="10.85546875" style="1084"/>
    <col min="9495" max="9495" width="14.42578125" style="1084" bestFit="1" customWidth="1"/>
    <col min="9496" max="9497" width="10.85546875" style="1084"/>
    <col min="9498" max="9498" width="14.28515625" style="1084" bestFit="1" customWidth="1"/>
    <col min="9499" max="9726" width="10.85546875" style="1084"/>
    <col min="9727" max="9727" width="12.28515625" style="1084" customWidth="1"/>
    <col min="9728" max="9728" width="78.7109375" style="1084" customWidth="1"/>
    <col min="9729" max="9729" width="20.28515625" style="1084" customWidth="1"/>
    <col min="9730" max="9730" width="13.42578125" style="1084" customWidth="1"/>
    <col min="9731" max="9731" width="17.140625" style="1084" customWidth="1"/>
    <col min="9732" max="9732" width="22" style="1084" customWidth="1"/>
    <col min="9733" max="9733" width="17.85546875" style="1084" customWidth="1"/>
    <col min="9734" max="9734" width="21.28515625" style="1084" customWidth="1"/>
    <col min="9735" max="9735" width="16.5703125" style="1084" customWidth="1"/>
    <col min="9736" max="9736" width="20.28515625" style="1084" customWidth="1"/>
    <col min="9737" max="9737" width="17.28515625" style="1084" customWidth="1"/>
    <col min="9738" max="9738" width="19.42578125" style="1084" customWidth="1"/>
    <col min="9739" max="9739" width="18.5703125" style="1084" customWidth="1"/>
    <col min="9740" max="9740" width="19.7109375" style="1084" customWidth="1"/>
    <col min="9741" max="9741" width="16" style="1084" customWidth="1"/>
    <col min="9742" max="9742" width="20.5703125" style="1084" customWidth="1"/>
    <col min="9743" max="9743" width="16.85546875" style="1084" customWidth="1"/>
    <col min="9744" max="9744" width="23.7109375" style="1084" customWidth="1"/>
    <col min="9745" max="9745" width="27.140625" style="1084" bestFit="1" customWidth="1"/>
    <col min="9746" max="9746" width="25.7109375" style="1084" bestFit="1" customWidth="1"/>
    <col min="9747" max="9747" width="19.42578125" style="1084" bestFit="1" customWidth="1"/>
    <col min="9748" max="9748" width="10.85546875" style="1084"/>
    <col min="9749" max="9749" width="16.42578125" style="1084" bestFit="1" customWidth="1"/>
    <col min="9750" max="9750" width="10.85546875" style="1084"/>
    <col min="9751" max="9751" width="14.42578125" style="1084" bestFit="1" customWidth="1"/>
    <col min="9752" max="9753" width="10.85546875" style="1084"/>
    <col min="9754" max="9754" width="14.28515625" style="1084" bestFit="1" customWidth="1"/>
    <col min="9755" max="9982" width="10.85546875" style="1084"/>
    <col min="9983" max="9983" width="12.28515625" style="1084" customWidth="1"/>
    <col min="9984" max="9984" width="78.7109375" style="1084" customWidth="1"/>
    <col min="9985" max="9985" width="20.28515625" style="1084" customWidth="1"/>
    <col min="9986" max="9986" width="13.42578125" style="1084" customWidth="1"/>
    <col min="9987" max="9987" width="17.140625" style="1084" customWidth="1"/>
    <col min="9988" max="9988" width="22" style="1084" customWidth="1"/>
    <col min="9989" max="9989" width="17.85546875" style="1084" customWidth="1"/>
    <col min="9990" max="9990" width="21.28515625" style="1084" customWidth="1"/>
    <col min="9991" max="9991" width="16.5703125" style="1084" customWidth="1"/>
    <col min="9992" max="9992" width="20.28515625" style="1084" customWidth="1"/>
    <col min="9993" max="9993" width="17.28515625" style="1084" customWidth="1"/>
    <col min="9994" max="9994" width="19.42578125" style="1084" customWidth="1"/>
    <col min="9995" max="9995" width="18.5703125" style="1084" customWidth="1"/>
    <col min="9996" max="9996" width="19.7109375" style="1084" customWidth="1"/>
    <col min="9997" max="9997" width="16" style="1084" customWidth="1"/>
    <col min="9998" max="9998" width="20.5703125" style="1084" customWidth="1"/>
    <col min="9999" max="9999" width="16.85546875" style="1084" customWidth="1"/>
    <col min="10000" max="10000" width="23.7109375" style="1084" customWidth="1"/>
    <col min="10001" max="10001" width="27.140625" style="1084" bestFit="1" customWidth="1"/>
    <col min="10002" max="10002" width="25.7109375" style="1084" bestFit="1" customWidth="1"/>
    <col min="10003" max="10003" width="19.42578125" style="1084" bestFit="1" customWidth="1"/>
    <col min="10004" max="10004" width="10.85546875" style="1084"/>
    <col min="10005" max="10005" width="16.42578125" style="1084" bestFit="1" customWidth="1"/>
    <col min="10006" max="10006" width="10.85546875" style="1084"/>
    <col min="10007" max="10007" width="14.42578125" style="1084" bestFit="1" customWidth="1"/>
    <col min="10008" max="10009" width="10.85546875" style="1084"/>
    <col min="10010" max="10010" width="14.28515625" style="1084" bestFit="1" customWidth="1"/>
    <col min="10011" max="10238" width="10.85546875" style="1084"/>
    <col min="10239" max="10239" width="12.28515625" style="1084" customWidth="1"/>
    <col min="10240" max="10240" width="78.7109375" style="1084" customWidth="1"/>
    <col min="10241" max="10241" width="20.28515625" style="1084" customWidth="1"/>
    <col min="10242" max="10242" width="13.42578125" style="1084" customWidth="1"/>
    <col min="10243" max="10243" width="17.140625" style="1084" customWidth="1"/>
    <col min="10244" max="10244" width="22" style="1084" customWidth="1"/>
    <col min="10245" max="10245" width="17.85546875" style="1084" customWidth="1"/>
    <col min="10246" max="10246" width="21.28515625" style="1084" customWidth="1"/>
    <col min="10247" max="10247" width="16.5703125" style="1084" customWidth="1"/>
    <col min="10248" max="10248" width="20.28515625" style="1084" customWidth="1"/>
    <col min="10249" max="10249" width="17.28515625" style="1084" customWidth="1"/>
    <col min="10250" max="10250" width="19.42578125" style="1084" customWidth="1"/>
    <col min="10251" max="10251" width="18.5703125" style="1084" customWidth="1"/>
    <col min="10252" max="10252" width="19.7109375" style="1084" customWidth="1"/>
    <col min="10253" max="10253" width="16" style="1084" customWidth="1"/>
    <col min="10254" max="10254" width="20.5703125" style="1084" customWidth="1"/>
    <col min="10255" max="10255" width="16.85546875" style="1084" customWidth="1"/>
    <col min="10256" max="10256" width="23.7109375" style="1084" customWidth="1"/>
    <col min="10257" max="10257" width="27.140625" style="1084" bestFit="1" customWidth="1"/>
    <col min="10258" max="10258" width="25.7109375" style="1084" bestFit="1" customWidth="1"/>
    <col min="10259" max="10259" width="19.42578125" style="1084" bestFit="1" customWidth="1"/>
    <col min="10260" max="10260" width="10.85546875" style="1084"/>
    <col min="10261" max="10261" width="16.42578125" style="1084" bestFit="1" customWidth="1"/>
    <col min="10262" max="10262" width="10.85546875" style="1084"/>
    <col min="10263" max="10263" width="14.42578125" style="1084" bestFit="1" customWidth="1"/>
    <col min="10264" max="10265" width="10.85546875" style="1084"/>
    <col min="10266" max="10266" width="14.28515625" style="1084" bestFit="1" customWidth="1"/>
    <col min="10267" max="10494" width="10.85546875" style="1084"/>
    <col min="10495" max="10495" width="12.28515625" style="1084" customWidth="1"/>
    <col min="10496" max="10496" width="78.7109375" style="1084" customWidth="1"/>
    <col min="10497" max="10497" width="20.28515625" style="1084" customWidth="1"/>
    <col min="10498" max="10498" width="13.42578125" style="1084" customWidth="1"/>
    <col min="10499" max="10499" width="17.140625" style="1084" customWidth="1"/>
    <col min="10500" max="10500" width="22" style="1084" customWidth="1"/>
    <col min="10501" max="10501" width="17.85546875" style="1084" customWidth="1"/>
    <col min="10502" max="10502" width="21.28515625" style="1084" customWidth="1"/>
    <col min="10503" max="10503" width="16.5703125" style="1084" customWidth="1"/>
    <col min="10504" max="10504" width="20.28515625" style="1084" customWidth="1"/>
    <col min="10505" max="10505" width="17.28515625" style="1084" customWidth="1"/>
    <col min="10506" max="10506" width="19.42578125" style="1084" customWidth="1"/>
    <col min="10507" max="10507" width="18.5703125" style="1084" customWidth="1"/>
    <col min="10508" max="10508" width="19.7109375" style="1084" customWidth="1"/>
    <col min="10509" max="10509" width="16" style="1084" customWidth="1"/>
    <col min="10510" max="10510" width="20.5703125" style="1084" customWidth="1"/>
    <col min="10511" max="10511" width="16.85546875" style="1084" customWidth="1"/>
    <col min="10512" max="10512" width="23.7109375" style="1084" customWidth="1"/>
    <col min="10513" max="10513" width="27.140625" style="1084" bestFit="1" customWidth="1"/>
    <col min="10514" max="10514" width="25.7109375" style="1084" bestFit="1" customWidth="1"/>
    <col min="10515" max="10515" width="19.42578125" style="1084" bestFit="1" customWidth="1"/>
    <col min="10516" max="10516" width="10.85546875" style="1084"/>
    <col min="10517" max="10517" width="16.42578125" style="1084" bestFit="1" customWidth="1"/>
    <col min="10518" max="10518" width="10.85546875" style="1084"/>
    <col min="10519" max="10519" width="14.42578125" style="1084" bestFit="1" customWidth="1"/>
    <col min="10520" max="10521" width="10.85546875" style="1084"/>
    <col min="10522" max="10522" width="14.28515625" style="1084" bestFit="1" customWidth="1"/>
    <col min="10523" max="10750" width="10.85546875" style="1084"/>
    <col min="10751" max="10751" width="12.28515625" style="1084" customWidth="1"/>
    <col min="10752" max="10752" width="78.7109375" style="1084" customWidth="1"/>
    <col min="10753" max="10753" width="20.28515625" style="1084" customWidth="1"/>
    <col min="10754" max="10754" width="13.42578125" style="1084" customWidth="1"/>
    <col min="10755" max="10755" width="17.140625" style="1084" customWidth="1"/>
    <col min="10756" max="10756" width="22" style="1084" customWidth="1"/>
    <col min="10757" max="10757" width="17.85546875" style="1084" customWidth="1"/>
    <col min="10758" max="10758" width="21.28515625" style="1084" customWidth="1"/>
    <col min="10759" max="10759" width="16.5703125" style="1084" customWidth="1"/>
    <col min="10760" max="10760" width="20.28515625" style="1084" customWidth="1"/>
    <col min="10761" max="10761" width="17.28515625" style="1084" customWidth="1"/>
    <col min="10762" max="10762" width="19.42578125" style="1084" customWidth="1"/>
    <col min="10763" max="10763" width="18.5703125" style="1084" customWidth="1"/>
    <col min="10764" max="10764" width="19.7109375" style="1084" customWidth="1"/>
    <col min="10765" max="10765" width="16" style="1084" customWidth="1"/>
    <col min="10766" max="10766" width="20.5703125" style="1084" customWidth="1"/>
    <col min="10767" max="10767" width="16.85546875" style="1084" customWidth="1"/>
    <col min="10768" max="10768" width="23.7109375" style="1084" customWidth="1"/>
    <col min="10769" max="10769" width="27.140625" style="1084" bestFit="1" customWidth="1"/>
    <col min="10770" max="10770" width="25.7109375" style="1084" bestFit="1" customWidth="1"/>
    <col min="10771" max="10771" width="19.42578125" style="1084" bestFit="1" customWidth="1"/>
    <col min="10772" max="10772" width="10.85546875" style="1084"/>
    <col min="10773" max="10773" width="16.42578125" style="1084" bestFit="1" customWidth="1"/>
    <col min="10774" max="10774" width="10.85546875" style="1084"/>
    <col min="10775" max="10775" width="14.42578125" style="1084" bestFit="1" customWidth="1"/>
    <col min="10776" max="10777" width="10.85546875" style="1084"/>
    <col min="10778" max="10778" width="14.28515625" style="1084" bestFit="1" customWidth="1"/>
    <col min="10779" max="11006" width="10.85546875" style="1084"/>
    <col min="11007" max="11007" width="12.28515625" style="1084" customWidth="1"/>
    <col min="11008" max="11008" width="78.7109375" style="1084" customWidth="1"/>
    <col min="11009" max="11009" width="20.28515625" style="1084" customWidth="1"/>
    <col min="11010" max="11010" width="13.42578125" style="1084" customWidth="1"/>
    <col min="11011" max="11011" width="17.140625" style="1084" customWidth="1"/>
    <col min="11012" max="11012" width="22" style="1084" customWidth="1"/>
    <col min="11013" max="11013" width="17.85546875" style="1084" customWidth="1"/>
    <col min="11014" max="11014" width="21.28515625" style="1084" customWidth="1"/>
    <col min="11015" max="11015" width="16.5703125" style="1084" customWidth="1"/>
    <col min="11016" max="11016" width="20.28515625" style="1084" customWidth="1"/>
    <col min="11017" max="11017" width="17.28515625" style="1084" customWidth="1"/>
    <col min="11018" max="11018" width="19.42578125" style="1084" customWidth="1"/>
    <col min="11019" max="11019" width="18.5703125" style="1084" customWidth="1"/>
    <col min="11020" max="11020" width="19.7109375" style="1084" customWidth="1"/>
    <col min="11021" max="11021" width="16" style="1084" customWidth="1"/>
    <col min="11022" max="11022" width="20.5703125" style="1084" customWidth="1"/>
    <col min="11023" max="11023" width="16.85546875" style="1084" customWidth="1"/>
    <col min="11024" max="11024" width="23.7109375" style="1084" customWidth="1"/>
    <col min="11025" max="11025" width="27.140625" style="1084" bestFit="1" customWidth="1"/>
    <col min="11026" max="11026" width="25.7109375" style="1084" bestFit="1" customWidth="1"/>
    <col min="11027" max="11027" width="19.42578125" style="1084" bestFit="1" customWidth="1"/>
    <col min="11028" max="11028" width="10.85546875" style="1084"/>
    <col min="11029" max="11029" width="16.42578125" style="1084" bestFit="1" customWidth="1"/>
    <col min="11030" max="11030" width="10.85546875" style="1084"/>
    <col min="11031" max="11031" width="14.42578125" style="1084" bestFit="1" customWidth="1"/>
    <col min="11032" max="11033" width="10.85546875" style="1084"/>
    <col min="11034" max="11034" width="14.28515625" style="1084" bestFit="1" customWidth="1"/>
    <col min="11035" max="11262" width="10.85546875" style="1084"/>
    <col min="11263" max="11263" width="12.28515625" style="1084" customWidth="1"/>
    <col min="11264" max="11264" width="78.7109375" style="1084" customWidth="1"/>
    <col min="11265" max="11265" width="20.28515625" style="1084" customWidth="1"/>
    <col min="11266" max="11266" width="13.42578125" style="1084" customWidth="1"/>
    <col min="11267" max="11267" width="17.140625" style="1084" customWidth="1"/>
    <col min="11268" max="11268" width="22" style="1084" customWidth="1"/>
    <col min="11269" max="11269" width="17.85546875" style="1084" customWidth="1"/>
    <col min="11270" max="11270" width="21.28515625" style="1084" customWidth="1"/>
    <col min="11271" max="11271" width="16.5703125" style="1084" customWidth="1"/>
    <col min="11272" max="11272" width="20.28515625" style="1084" customWidth="1"/>
    <col min="11273" max="11273" width="17.28515625" style="1084" customWidth="1"/>
    <col min="11274" max="11274" width="19.42578125" style="1084" customWidth="1"/>
    <col min="11275" max="11275" width="18.5703125" style="1084" customWidth="1"/>
    <col min="11276" max="11276" width="19.7109375" style="1084" customWidth="1"/>
    <col min="11277" max="11277" width="16" style="1084" customWidth="1"/>
    <col min="11278" max="11278" width="20.5703125" style="1084" customWidth="1"/>
    <col min="11279" max="11279" width="16.85546875" style="1084" customWidth="1"/>
    <col min="11280" max="11280" width="23.7109375" style="1084" customWidth="1"/>
    <col min="11281" max="11281" width="27.140625" style="1084" bestFit="1" customWidth="1"/>
    <col min="11282" max="11282" width="25.7109375" style="1084" bestFit="1" customWidth="1"/>
    <col min="11283" max="11283" width="19.42578125" style="1084" bestFit="1" customWidth="1"/>
    <col min="11284" max="11284" width="10.85546875" style="1084"/>
    <col min="11285" max="11285" width="16.42578125" style="1084" bestFit="1" customWidth="1"/>
    <col min="11286" max="11286" width="10.85546875" style="1084"/>
    <col min="11287" max="11287" width="14.42578125" style="1084" bestFit="1" customWidth="1"/>
    <col min="11288" max="11289" width="10.85546875" style="1084"/>
    <col min="11290" max="11290" width="14.28515625" style="1084" bestFit="1" customWidth="1"/>
    <col min="11291" max="11518" width="10.85546875" style="1084"/>
    <col min="11519" max="11519" width="12.28515625" style="1084" customWidth="1"/>
    <col min="11520" max="11520" width="78.7109375" style="1084" customWidth="1"/>
    <col min="11521" max="11521" width="20.28515625" style="1084" customWidth="1"/>
    <col min="11522" max="11522" width="13.42578125" style="1084" customWidth="1"/>
    <col min="11523" max="11523" width="17.140625" style="1084" customWidth="1"/>
    <col min="11524" max="11524" width="22" style="1084" customWidth="1"/>
    <col min="11525" max="11525" width="17.85546875" style="1084" customWidth="1"/>
    <col min="11526" max="11526" width="21.28515625" style="1084" customWidth="1"/>
    <col min="11527" max="11527" width="16.5703125" style="1084" customWidth="1"/>
    <col min="11528" max="11528" width="20.28515625" style="1084" customWidth="1"/>
    <col min="11529" max="11529" width="17.28515625" style="1084" customWidth="1"/>
    <col min="11530" max="11530" width="19.42578125" style="1084" customWidth="1"/>
    <col min="11531" max="11531" width="18.5703125" style="1084" customWidth="1"/>
    <col min="11532" max="11532" width="19.7109375" style="1084" customWidth="1"/>
    <col min="11533" max="11533" width="16" style="1084" customWidth="1"/>
    <col min="11534" max="11534" width="20.5703125" style="1084" customWidth="1"/>
    <col min="11535" max="11535" width="16.85546875" style="1084" customWidth="1"/>
    <col min="11536" max="11536" width="23.7109375" style="1084" customWidth="1"/>
    <col min="11537" max="11537" width="27.140625" style="1084" bestFit="1" customWidth="1"/>
    <col min="11538" max="11538" width="25.7109375" style="1084" bestFit="1" customWidth="1"/>
    <col min="11539" max="11539" width="19.42578125" style="1084" bestFit="1" customWidth="1"/>
    <col min="11540" max="11540" width="10.85546875" style="1084"/>
    <col min="11541" max="11541" width="16.42578125" style="1084" bestFit="1" customWidth="1"/>
    <col min="11542" max="11542" width="10.85546875" style="1084"/>
    <col min="11543" max="11543" width="14.42578125" style="1084" bestFit="1" customWidth="1"/>
    <col min="11544" max="11545" width="10.85546875" style="1084"/>
    <col min="11546" max="11546" width="14.28515625" style="1084" bestFit="1" customWidth="1"/>
    <col min="11547" max="11774" width="10.85546875" style="1084"/>
    <col min="11775" max="11775" width="12.28515625" style="1084" customWidth="1"/>
    <col min="11776" max="11776" width="78.7109375" style="1084" customWidth="1"/>
    <col min="11777" max="11777" width="20.28515625" style="1084" customWidth="1"/>
    <col min="11778" max="11778" width="13.42578125" style="1084" customWidth="1"/>
    <col min="11779" max="11779" width="17.140625" style="1084" customWidth="1"/>
    <col min="11780" max="11780" width="22" style="1084" customWidth="1"/>
    <col min="11781" max="11781" width="17.85546875" style="1084" customWidth="1"/>
    <col min="11782" max="11782" width="21.28515625" style="1084" customWidth="1"/>
    <col min="11783" max="11783" width="16.5703125" style="1084" customWidth="1"/>
    <col min="11784" max="11784" width="20.28515625" style="1084" customWidth="1"/>
    <col min="11785" max="11785" width="17.28515625" style="1084" customWidth="1"/>
    <col min="11786" max="11786" width="19.42578125" style="1084" customWidth="1"/>
    <col min="11787" max="11787" width="18.5703125" style="1084" customWidth="1"/>
    <col min="11788" max="11788" width="19.7109375" style="1084" customWidth="1"/>
    <col min="11789" max="11789" width="16" style="1084" customWidth="1"/>
    <col min="11790" max="11790" width="20.5703125" style="1084" customWidth="1"/>
    <col min="11791" max="11791" width="16.85546875" style="1084" customWidth="1"/>
    <col min="11792" max="11792" width="23.7109375" style="1084" customWidth="1"/>
    <col min="11793" max="11793" width="27.140625" style="1084" bestFit="1" customWidth="1"/>
    <col min="11794" max="11794" width="25.7109375" style="1084" bestFit="1" customWidth="1"/>
    <col min="11795" max="11795" width="19.42578125" style="1084" bestFit="1" customWidth="1"/>
    <col min="11796" max="11796" width="10.85546875" style="1084"/>
    <col min="11797" max="11797" width="16.42578125" style="1084" bestFit="1" customWidth="1"/>
    <col min="11798" max="11798" width="10.85546875" style="1084"/>
    <col min="11799" max="11799" width="14.42578125" style="1084" bestFit="1" customWidth="1"/>
    <col min="11800" max="11801" width="10.85546875" style="1084"/>
    <col min="11802" max="11802" width="14.28515625" style="1084" bestFit="1" customWidth="1"/>
    <col min="11803" max="12030" width="10.85546875" style="1084"/>
    <col min="12031" max="12031" width="12.28515625" style="1084" customWidth="1"/>
    <col min="12032" max="12032" width="78.7109375" style="1084" customWidth="1"/>
    <col min="12033" max="12033" width="20.28515625" style="1084" customWidth="1"/>
    <col min="12034" max="12034" width="13.42578125" style="1084" customWidth="1"/>
    <col min="12035" max="12035" width="17.140625" style="1084" customWidth="1"/>
    <col min="12036" max="12036" width="22" style="1084" customWidth="1"/>
    <col min="12037" max="12037" width="17.85546875" style="1084" customWidth="1"/>
    <col min="12038" max="12038" width="21.28515625" style="1084" customWidth="1"/>
    <col min="12039" max="12039" width="16.5703125" style="1084" customWidth="1"/>
    <col min="12040" max="12040" width="20.28515625" style="1084" customWidth="1"/>
    <col min="12041" max="12041" width="17.28515625" style="1084" customWidth="1"/>
    <col min="12042" max="12042" width="19.42578125" style="1084" customWidth="1"/>
    <col min="12043" max="12043" width="18.5703125" style="1084" customWidth="1"/>
    <col min="12044" max="12044" width="19.7109375" style="1084" customWidth="1"/>
    <col min="12045" max="12045" width="16" style="1084" customWidth="1"/>
    <col min="12046" max="12046" width="20.5703125" style="1084" customWidth="1"/>
    <col min="12047" max="12047" width="16.85546875" style="1084" customWidth="1"/>
    <col min="12048" max="12048" width="23.7109375" style="1084" customWidth="1"/>
    <col min="12049" max="12049" width="27.140625" style="1084" bestFit="1" customWidth="1"/>
    <col min="12050" max="12050" width="25.7109375" style="1084" bestFit="1" customWidth="1"/>
    <col min="12051" max="12051" width="19.42578125" style="1084" bestFit="1" customWidth="1"/>
    <col min="12052" max="12052" width="10.85546875" style="1084"/>
    <col min="12053" max="12053" width="16.42578125" style="1084" bestFit="1" customWidth="1"/>
    <col min="12054" max="12054" width="10.85546875" style="1084"/>
    <col min="12055" max="12055" width="14.42578125" style="1084" bestFit="1" customWidth="1"/>
    <col min="12056" max="12057" width="10.85546875" style="1084"/>
    <col min="12058" max="12058" width="14.28515625" style="1084" bestFit="1" customWidth="1"/>
    <col min="12059" max="12286" width="10.85546875" style="1084"/>
    <col min="12287" max="12287" width="12.28515625" style="1084" customWidth="1"/>
    <col min="12288" max="12288" width="78.7109375" style="1084" customWidth="1"/>
    <col min="12289" max="12289" width="20.28515625" style="1084" customWidth="1"/>
    <col min="12290" max="12290" width="13.42578125" style="1084" customWidth="1"/>
    <col min="12291" max="12291" width="17.140625" style="1084" customWidth="1"/>
    <col min="12292" max="12292" width="22" style="1084" customWidth="1"/>
    <col min="12293" max="12293" width="17.85546875" style="1084" customWidth="1"/>
    <col min="12294" max="12294" width="21.28515625" style="1084" customWidth="1"/>
    <col min="12295" max="12295" width="16.5703125" style="1084" customWidth="1"/>
    <col min="12296" max="12296" width="20.28515625" style="1084" customWidth="1"/>
    <col min="12297" max="12297" width="17.28515625" style="1084" customWidth="1"/>
    <col min="12298" max="12298" width="19.42578125" style="1084" customWidth="1"/>
    <col min="12299" max="12299" width="18.5703125" style="1084" customWidth="1"/>
    <col min="12300" max="12300" width="19.7109375" style="1084" customWidth="1"/>
    <col min="12301" max="12301" width="16" style="1084" customWidth="1"/>
    <col min="12302" max="12302" width="20.5703125" style="1084" customWidth="1"/>
    <col min="12303" max="12303" width="16.85546875" style="1084" customWidth="1"/>
    <col min="12304" max="12304" width="23.7109375" style="1084" customWidth="1"/>
    <col min="12305" max="12305" width="27.140625" style="1084" bestFit="1" customWidth="1"/>
    <col min="12306" max="12306" width="25.7109375" style="1084" bestFit="1" customWidth="1"/>
    <col min="12307" max="12307" width="19.42578125" style="1084" bestFit="1" customWidth="1"/>
    <col min="12308" max="12308" width="10.85546875" style="1084"/>
    <col min="12309" max="12309" width="16.42578125" style="1084" bestFit="1" customWidth="1"/>
    <col min="12310" max="12310" width="10.85546875" style="1084"/>
    <col min="12311" max="12311" width="14.42578125" style="1084" bestFit="1" customWidth="1"/>
    <col min="12312" max="12313" width="10.85546875" style="1084"/>
    <col min="12314" max="12314" width="14.28515625" style="1084" bestFit="1" customWidth="1"/>
    <col min="12315" max="12542" width="10.85546875" style="1084"/>
    <col min="12543" max="12543" width="12.28515625" style="1084" customWidth="1"/>
    <col min="12544" max="12544" width="78.7109375" style="1084" customWidth="1"/>
    <col min="12545" max="12545" width="20.28515625" style="1084" customWidth="1"/>
    <col min="12546" max="12546" width="13.42578125" style="1084" customWidth="1"/>
    <col min="12547" max="12547" width="17.140625" style="1084" customWidth="1"/>
    <col min="12548" max="12548" width="22" style="1084" customWidth="1"/>
    <col min="12549" max="12549" width="17.85546875" style="1084" customWidth="1"/>
    <col min="12550" max="12550" width="21.28515625" style="1084" customWidth="1"/>
    <col min="12551" max="12551" width="16.5703125" style="1084" customWidth="1"/>
    <col min="12552" max="12552" width="20.28515625" style="1084" customWidth="1"/>
    <col min="12553" max="12553" width="17.28515625" style="1084" customWidth="1"/>
    <col min="12554" max="12554" width="19.42578125" style="1084" customWidth="1"/>
    <col min="12555" max="12555" width="18.5703125" style="1084" customWidth="1"/>
    <col min="12556" max="12556" width="19.7109375" style="1084" customWidth="1"/>
    <col min="12557" max="12557" width="16" style="1084" customWidth="1"/>
    <col min="12558" max="12558" width="20.5703125" style="1084" customWidth="1"/>
    <col min="12559" max="12559" width="16.85546875" style="1084" customWidth="1"/>
    <col min="12560" max="12560" width="23.7109375" style="1084" customWidth="1"/>
    <col min="12561" max="12561" width="27.140625" style="1084" bestFit="1" customWidth="1"/>
    <col min="12562" max="12562" width="25.7109375" style="1084" bestFit="1" customWidth="1"/>
    <col min="12563" max="12563" width="19.42578125" style="1084" bestFit="1" customWidth="1"/>
    <col min="12564" max="12564" width="10.85546875" style="1084"/>
    <col min="12565" max="12565" width="16.42578125" style="1084" bestFit="1" customWidth="1"/>
    <col min="12566" max="12566" width="10.85546875" style="1084"/>
    <col min="12567" max="12567" width="14.42578125" style="1084" bestFit="1" customWidth="1"/>
    <col min="12568" max="12569" width="10.85546875" style="1084"/>
    <col min="12570" max="12570" width="14.28515625" style="1084" bestFit="1" customWidth="1"/>
    <col min="12571" max="12798" width="10.85546875" style="1084"/>
    <col min="12799" max="12799" width="12.28515625" style="1084" customWidth="1"/>
    <col min="12800" max="12800" width="78.7109375" style="1084" customWidth="1"/>
    <col min="12801" max="12801" width="20.28515625" style="1084" customWidth="1"/>
    <col min="12802" max="12802" width="13.42578125" style="1084" customWidth="1"/>
    <col min="12803" max="12803" width="17.140625" style="1084" customWidth="1"/>
    <col min="12804" max="12804" width="22" style="1084" customWidth="1"/>
    <col min="12805" max="12805" width="17.85546875" style="1084" customWidth="1"/>
    <col min="12806" max="12806" width="21.28515625" style="1084" customWidth="1"/>
    <col min="12807" max="12807" width="16.5703125" style="1084" customWidth="1"/>
    <col min="12808" max="12808" width="20.28515625" style="1084" customWidth="1"/>
    <col min="12809" max="12809" width="17.28515625" style="1084" customWidth="1"/>
    <col min="12810" max="12810" width="19.42578125" style="1084" customWidth="1"/>
    <col min="12811" max="12811" width="18.5703125" style="1084" customWidth="1"/>
    <col min="12812" max="12812" width="19.7109375" style="1084" customWidth="1"/>
    <col min="12813" max="12813" width="16" style="1084" customWidth="1"/>
    <col min="12814" max="12814" width="20.5703125" style="1084" customWidth="1"/>
    <col min="12815" max="12815" width="16.85546875" style="1084" customWidth="1"/>
    <col min="12816" max="12816" width="23.7109375" style="1084" customWidth="1"/>
    <col min="12817" max="12817" width="27.140625" style="1084" bestFit="1" customWidth="1"/>
    <col min="12818" max="12818" width="25.7109375" style="1084" bestFit="1" customWidth="1"/>
    <col min="12819" max="12819" width="19.42578125" style="1084" bestFit="1" customWidth="1"/>
    <col min="12820" max="12820" width="10.85546875" style="1084"/>
    <col min="12821" max="12821" width="16.42578125" style="1084" bestFit="1" customWidth="1"/>
    <col min="12822" max="12822" width="10.85546875" style="1084"/>
    <col min="12823" max="12823" width="14.42578125" style="1084" bestFit="1" customWidth="1"/>
    <col min="12824" max="12825" width="10.85546875" style="1084"/>
    <col min="12826" max="12826" width="14.28515625" style="1084" bestFit="1" customWidth="1"/>
    <col min="12827" max="13054" width="10.85546875" style="1084"/>
    <col min="13055" max="13055" width="12.28515625" style="1084" customWidth="1"/>
    <col min="13056" max="13056" width="78.7109375" style="1084" customWidth="1"/>
    <col min="13057" max="13057" width="20.28515625" style="1084" customWidth="1"/>
    <col min="13058" max="13058" width="13.42578125" style="1084" customWidth="1"/>
    <col min="13059" max="13059" width="17.140625" style="1084" customWidth="1"/>
    <col min="13060" max="13060" width="22" style="1084" customWidth="1"/>
    <col min="13061" max="13061" width="17.85546875" style="1084" customWidth="1"/>
    <col min="13062" max="13062" width="21.28515625" style="1084" customWidth="1"/>
    <col min="13063" max="13063" width="16.5703125" style="1084" customWidth="1"/>
    <col min="13064" max="13064" width="20.28515625" style="1084" customWidth="1"/>
    <col min="13065" max="13065" width="17.28515625" style="1084" customWidth="1"/>
    <col min="13066" max="13066" width="19.42578125" style="1084" customWidth="1"/>
    <col min="13067" max="13067" width="18.5703125" style="1084" customWidth="1"/>
    <col min="13068" max="13068" width="19.7109375" style="1084" customWidth="1"/>
    <col min="13069" max="13069" width="16" style="1084" customWidth="1"/>
    <col min="13070" max="13070" width="20.5703125" style="1084" customWidth="1"/>
    <col min="13071" max="13071" width="16.85546875" style="1084" customWidth="1"/>
    <col min="13072" max="13072" width="23.7109375" style="1084" customWidth="1"/>
    <col min="13073" max="13073" width="27.140625" style="1084" bestFit="1" customWidth="1"/>
    <col min="13074" max="13074" width="25.7109375" style="1084" bestFit="1" customWidth="1"/>
    <col min="13075" max="13075" width="19.42578125" style="1084" bestFit="1" customWidth="1"/>
    <col min="13076" max="13076" width="10.85546875" style="1084"/>
    <col min="13077" max="13077" width="16.42578125" style="1084" bestFit="1" customWidth="1"/>
    <col min="13078" max="13078" width="10.85546875" style="1084"/>
    <col min="13079" max="13079" width="14.42578125" style="1084" bestFit="1" customWidth="1"/>
    <col min="13080" max="13081" width="10.85546875" style="1084"/>
    <col min="13082" max="13082" width="14.28515625" style="1084" bestFit="1" customWidth="1"/>
    <col min="13083" max="13310" width="10.85546875" style="1084"/>
    <col min="13311" max="13311" width="12.28515625" style="1084" customWidth="1"/>
    <col min="13312" max="13312" width="78.7109375" style="1084" customWidth="1"/>
    <col min="13313" max="13313" width="20.28515625" style="1084" customWidth="1"/>
    <col min="13314" max="13314" width="13.42578125" style="1084" customWidth="1"/>
    <col min="13315" max="13315" width="17.140625" style="1084" customWidth="1"/>
    <col min="13316" max="13316" width="22" style="1084" customWidth="1"/>
    <col min="13317" max="13317" width="17.85546875" style="1084" customWidth="1"/>
    <col min="13318" max="13318" width="21.28515625" style="1084" customWidth="1"/>
    <col min="13319" max="13319" width="16.5703125" style="1084" customWidth="1"/>
    <col min="13320" max="13320" width="20.28515625" style="1084" customWidth="1"/>
    <col min="13321" max="13321" width="17.28515625" style="1084" customWidth="1"/>
    <col min="13322" max="13322" width="19.42578125" style="1084" customWidth="1"/>
    <col min="13323" max="13323" width="18.5703125" style="1084" customWidth="1"/>
    <col min="13324" max="13324" width="19.7109375" style="1084" customWidth="1"/>
    <col min="13325" max="13325" width="16" style="1084" customWidth="1"/>
    <col min="13326" max="13326" width="20.5703125" style="1084" customWidth="1"/>
    <col min="13327" max="13327" width="16.85546875" style="1084" customWidth="1"/>
    <col min="13328" max="13328" width="23.7109375" style="1084" customWidth="1"/>
    <col min="13329" max="13329" width="27.140625" style="1084" bestFit="1" customWidth="1"/>
    <col min="13330" max="13330" width="25.7109375" style="1084" bestFit="1" customWidth="1"/>
    <col min="13331" max="13331" width="19.42578125" style="1084" bestFit="1" customWidth="1"/>
    <col min="13332" max="13332" width="10.85546875" style="1084"/>
    <col min="13333" max="13333" width="16.42578125" style="1084" bestFit="1" customWidth="1"/>
    <col min="13334" max="13334" width="10.85546875" style="1084"/>
    <col min="13335" max="13335" width="14.42578125" style="1084" bestFit="1" customWidth="1"/>
    <col min="13336" max="13337" width="10.85546875" style="1084"/>
    <col min="13338" max="13338" width="14.28515625" style="1084" bestFit="1" customWidth="1"/>
    <col min="13339" max="13566" width="10.85546875" style="1084"/>
    <col min="13567" max="13567" width="12.28515625" style="1084" customWidth="1"/>
    <col min="13568" max="13568" width="78.7109375" style="1084" customWidth="1"/>
    <col min="13569" max="13569" width="20.28515625" style="1084" customWidth="1"/>
    <col min="13570" max="13570" width="13.42578125" style="1084" customWidth="1"/>
    <col min="13571" max="13571" width="17.140625" style="1084" customWidth="1"/>
    <col min="13572" max="13572" width="22" style="1084" customWidth="1"/>
    <col min="13573" max="13573" width="17.85546875" style="1084" customWidth="1"/>
    <col min="13574" max="13574" width="21.28515625" style="1084" customWidth="1"/>
    <col min="13575" max="13575" width="16.5703125" style="1084" customWidth="1"/>
    <col min="13576" max="13576" width="20.28515625" style="1084" customWidth="1"/>
    <col min="13577" max="13577" width="17.28515625" style="1084" customWidth="1"/>
    <col min="13578" max="13578" width="19.42578125" style="1084" customWidth="1"/>
    <col min="13579" max="13579" width="18.5703125" style="1084" customWidth="1"/>
    <col min="13580" max="13580" width="19.7109375" style="1084" customWidth="1"/>
    <col min="13581" max="13581" width="16" style="1084" customWidth="1"/>
    <col min="13582" max="13582" width="20.5703125" style="1084" customWidth="1"/>
    <col min="13583" max="13583" width="16.85546875" style="1084" customWidth="1"/>
    <col min="13584" max="13584" width="23.7109375" style="1084" customWidth="1"/>
    <col min="13585" max="13585" width="27.140625" style="1084" bestFit="1" customWidth="1"/>
    <col min="13586" max="13586" width="25.7109375" style="1084" bestFit="1" customWidth="1"/>
    <col min="13587" max="13587" width="19.42578125" style="1084" bestFit="1" customWidth="1"/>
    <col min="13588" max="13588" width="10.85546875" style="1084"/>
    <col min="13589" max="13589" width="16.42578125" style="1084" bestFit="1" customWidth="1"/>
    <col min="13590" max="13590" width="10.85546875" style="1084"/>
    <col min="13591" max="13591" width="14.42578125" style="1084" bestFit="1" customWidth="1"/>
    <col min="13592" max="13593" width="10.85546875" style="1084"/>
    <col min="13594" max="13594" width="14.28515625" style="1084" bestFit="1" customWidth="1"/>
    <col min="13595" max="13822" width="10.85546875" style="1084"/>
    <col min="13823" max="13823" width="12.28515625" style="1084" customWidth="1"/>
    <col min="13824" max="13824" width="78.7109375" style="1084" customWidth="1"/>
    <col min="13825" max="13825" width="20.28515625" style="1084" customWidth="1"/>
    <col min="13826" max="13826" width="13.42578125" style="1084" customWidth="1"/>
    <col min="13827" max="13827" width="17.140625" style="1084" customWidth="1"/>
    <col min="13828" max="13828" width="22" style="1084" customWidth="1"/>
    <col min="13829" max="13829" width="17.85546875" style="1084" customWidth="1"/>
    <col min="13830" max="13830" width="21.28515625" style="1084" customWidth="1"/>
    <col min="13831" max="13831" width="16.5703125" style="1084" customWidth="1"/>
    <col min="13832" max="13832" width="20.28515625" style="1084" customWidth="1"/>
    <col min="13833" max="13833" width="17.28515625" style="1084" customWidth="1"/>
    <col min="13834" max="13834" width="19.42578125" style="1084" customWidth="1"/>
    <col min="13835" max="13835" width="18.5703125" style="1084" customWidth="1"/>
    <col min="13836" max="13836" width="19.7109375" style="1084" customWidth="1"/>
    <col min="13837" max="13837" width="16" style="1084" customWidth="1"/>
    <col min="13838" max="13838" width="20.5703125" style="1084" customWidth="1"/>
    <col min="13839" max="13839" width="16.85546875" style="1084" customWidth="1"/>
    <col min="13840" max="13840" width="23.7109375" style="1084" customWidth="1"/>
    <col min="13841" max="13841" width="27.140625" style="1084" bestFit="1" customWidth="1"/>
    <col min="13842" max="13842" width="25.7109375" style="1084" bestFit="1" customWidth="1"/>
    <col min="13843" max="13843" width="19.42578125" style="1084" bestFit="1" customWidth="1"/>
    <col min="13844" max="13844" width="10.85546875" style="1084"/>
    <col min="13845" max="13845" width="16.42578125" style="1084" bestFit="1" customWidth="1"/>
    <col min="13846" max="13846" width="10.85546875" style="1084"/>
    <col min="13847" max="13847" width="14.42578125" style="1084" bestFit="1" customWidth="1"/>
    <col min="13848" max="13849" width="10.85546875" style="1084"/>
    <col min="13850" max="13850" width="14.28515625" style="1084" bestFit="1" customWidth="1"/>
    <col min="13851" max="14078" width="10.85546875" style="1084"/>
    <col min="14079" max="14079" width="12.28515625" style="1084" customWidth="1"/>
    <col min="14080" max="14080" width="78.7109375" style="1084" customWidth="1"/>
    <col min="14081" max="14081" width="20.28515625" style="1084" customWidth="1"/>
    <col min="14082" max="14082" width="13.42578125" style="1084" customWidth="1"/>
    <col min="14083" max="14083" width="17.140625" style="1084" customWidth="1"/>
    <col min="14084" max="14084" width="22" style="1084" customWidth="1"/>
    <col min="14085" max="14085" width="17.85546875" style="1084" customWidth="1"/>
    <col min="14086" max="14086" width="21.28515625" style="1084" customWidth="1"/>
    <col min="14087" max="14087" width="16.5703125" style="1084" customWidth="1"/>
    <col min="14088" max="14088" width="20.28515625" style="1084" customWidth="1"/>
    <col min="14089" max="14089" width="17.28515625" style="1084" customWidth="1"/>
    <col min="14090" max="14090" width="19.42578125" style="1084" customWidth="1"/>
    <col min="14091" max="14091" width="18.5703125" style="1084" customWidth="1"/>
    <col min="14092" max="14092" width="19.7109375" style="1084" customWidth="1"/>
    <col min="14093" max="14093" width="16" style="1084" customWidth="1"/>
    <col min="14094" max="14094" width="20.5703125" style="1084" customWidth="1"/>
    <col min="14095" max="14095" width="16.85546875" style="1084" customWidth="1"/>
    <col min="14096" max="14096" width="23.7109375" style="1084" customWidth="1"/>
    <col min="14097" max="14097" width="27.140625" style="1084" bestFit="1" customWidth="1"/>
    <col min="14098" max="14098" width="25.7109375" style="1084" bestFit="1" customWidth="1"/>
    <col min="14099" max="14099" width="19.42578125" style="1084" bestFit="1" customWidth="1"/>
    <col min="14100" max="14100" width="10.85546875" style="1084"/>
    <col min="14101" max="14101" width="16.42578125" style="1084" bestFit="1" customWidth="1"/>
    <col min="14102" max="14102" width="10.85546875" style="1084"/>
    <col min="14103" max="14103" width="14.42578125" style="1084" bestFit="1" customWidth="1"/>
    <col min="14104" max="14105" width="10.85546875" style="1084"/>
    <col min="14106" max="14106" width="14.28515625" style="1084" bestFit="1" customWidth="1"/>
    <col min="14107" max="14334" width="10.85546875" style="1084"/>
    <col min="14335" max="14335" width="12.28515625" style="1084" customWidth="1"/>
    <col min="14336" max="14336" width="78.7109375" style="1084" customWidth="1"/>
    <col min="14337" max="14337" width="20.28515625" style="1084" customWidth="1"/>
    <col min="14338" max="14338" width="13.42578125" style="1084" customWidth="1"/>
    <col min="14339" max="14339" width="17.140625" style="1084" customWidth="1"/>
    <col min="14340" max="14340" width="22" style="1084" customWidth="1"/>
    <col min="14341" max="14341" width="17.85546875" style="1084" customWidth="1"/>
    <col min="14342" max="14342" width="21.28515625" style="1084" customWidth="1"/>
    <col min="14343" max="14343" width="16.5703125" style="1084" customWidth="1"/>
    <col min="14344" max="14344" width="20.28515625" style="1084" customWidth="1"/>
    <col min="14345" max="14345" width="17.28515625" style="1084" customWidth="1"/>
    <col min="14346" max="14346" width="19.42578125" style="1084" customWidth="1"/>
    <col min="14347" max="14347" width="18.5703125" style="1084" customWidth="1"/>
    <col min="14348" max="14348" width="19.7109375" style="1084" customWidth="1"/>
    <col min="14349" max="14349" width="16" style="1084" customWidth="1"/>
    <col min="14350" max="14350" width="20.5703125" style="1084" customWidth="1"/>
    <col min="14351" max="14351" width="16.85546875" style="1084" customWidth="1"/>
    <col min="14352" max="14352" width="23.7109375" style="1084" customWidth="1"/>
    <col min="14353" max="14353" width="27.140625" style="1084" bestFit="1" customWidth="1"/>
    <col min="14354" max="14354" width="25.7109375" style="1084" bestFit="1" customWidth="1"/>
    <col min="14355" max="14355" width="19.42578125" style="1084" bestFit="1" customWidth="1"/>
    <col min="14356" max="14356" width="10.85546875" style="1084"/>
    <col min="14357" max="14357" width="16.42578125" style="1084" bestFit="1" customWidth="1"/>
    <col min="14358" max="14358" width="10.85546875" style="1084"/>
    <col min="14359" max="14359" width="14.42578125" style="1084" bestFit="1" customWidth="1"/>
    <col min="14360" max="14361" width="10.85546875" style="1084"/>
    <col min="14362" max="14362" width="14.28515625" style="1084" bestFit="1" customWidth="1"/>
    <col min="14363" max="14590" width="10.85546875" style="1084"/>
    <col min="14591" max="14591" width="12.28515625" style="1084" customWidth="1"/>
    <col min="14592" max="14592" width="78.7109375" style="1084" customWidth="1"/>
    <col min="14593" max="14593" width="20.28515625" style="1084" customWidth="1"/>
    <col min="14594" max="14594" width="13.42578125" style="1084" customWidth="1"/>
    <col min="14595" max="14595" width="17.140625" style="1084" customWidth="1"/>
    <col min="14596" max="14596" width="22" style="1084" customWidth="1"/>
    <col min="14597" max="14597" width="17.85546875" style="1084" customWidth="1"/>
    <col min="14598" max="14598" width="21.28515625" style="1084" customWidth="1"/>
    <col min="14599" max="14599" width="16.5703125" style="1084" customWidth="1"/>
    <col min="14600" max="14600" width="20.28515625" style="1084" customWidth="1"/>
    <col min="14601" max="14601" width="17.28515625" style="1084" customWidth="1"/>
    <col min="14602" max="14602" width="19.42578125" style="1084" customWidth="1"/>
    <col min="14603" max="14603" width="18.5703125" style="1084" customWidth="1"/>
    <col min="14604" max="14604" width="19.7109375" style="1084" customWidth="1"/>
    <col min="14605" max="14605" width="16" style="1084" customWidth="1"/>
    <col min="14606" max="14606" width="20.5703125" style="1084" customWidth="1"/>
    <col min="14607" max="14607" width="16.85546875" style="1084" customWidth="1"/>
    <col min="14608" max="14608" width="23.7109375" style="1084" customWidth="1"/>
    <col min="14609" max="14609" width="27.140625" style="1084" bestFit="1" customWidth="1"/>
    <col min="14610" max="14610" width="25.7109375" style="1084" bestFit="1" customWidth="1"/>
    <col min="14611" max="14611" width="19.42578125" style="1084" bestFit="1" customWidth="1"/>
    <col min="14612" max="14612" width="10.85546875" style="1084"/>
    <col min="14613" max="14613" width="16.42578125" style="1084" bestFit="1" customWidth="1"/>
    <col min="14614" max="14614" width="10.85546875" style="1084"/>
    <col min="14615" max="14615" width="14.42578125" style="1084" bestFit="1" customWidth="1"/>
    <col min="14616" max="14617" width="10.85546875" style="1084"/>
    <col min="14618" max="14618" width="14.28515625" style="1084" bestFit="1" customWidth="1"/>
    <col min="14619" max="14846" width="10.85546875" style="1084"/>
    <col min="14847" max="14847" width="12.28515625" style="1084" customWidth="1"/>
    <col min="14848" max="14848" width="78.7109375" style="1084" customWidth="1"/>
    <col min="14849" max="14849" width="20.28515625" style="1084" customWidth="1"/>
    <col min="14850" max="14850" width="13.42578125" style="1084" customWidth="1"/>
    <col min="14851" max="14851" width="17.140625" style="1084" customWidth="1"/>
    <col min="14852" max="14852" width="22" style="1084" customWidth="1"/>
    <col min="14853" max="14853" width="17.85546875" style="1084" customWidth="1"/>
    <col min="14854" max="14854" width="21.28515625" style="1084" customWidth="1"/>
    <col min="14855" max="14855" width="16.5703125" style="1084" customWidth="1"/>
    <col min="14856" max="14856" width="20.28515625" style="1084" customWidth="1"/>
    <col min="14857" max="14857" width="17.28515625" style="1084" customWidth="1"/>
    <col min="14858" max="14858" width="19.42578125" style="1084" customWidth="1"/>
    <col min="14859" max="14859" width="18.5703125" style="1084" customWidth="1"/>
    <col min="14860" max="14860" width="19.7109375" style="1084" customWidth="1"/>
    <col min="14861" max="14861" width="16" style="1084" customWidth="1"/>
    <col min="14862" max="14862" width="20.5703125" style="1084" customWidth="1"/>
    <col min="14863" max="14863" width="16.85546875" style="1084" customWidth="1"/>
    <col min="14864" max="14864" width="23.7109375" style="1084" customWidth="1"/>
    <col min="14865" max="14865" width="27.140625" style="1084" bestFit="1" customWidth="1"/>
    <col min="14866" max="14866" width="25.7109375" style="1084" bestFit="1" customWidth="1"/>
    <col min="14867" max="14867" width="19.42578125" style="1084" bestFit="1" customWidth="1"/>
    <col min="14868" max="14868" width="10.85546875" style="1084"/>
    <col min="14869" max="14869" width="16.42578125" style="1084" bestFit="1" customWidth="1"/>
    <col min="14870" max="14870" width="10.85546875" style="1084"/>
    <col min="14871" max="14871" width="14.42578125" style="1084" bestFit="1" customWidth="1"/>
    <col min="14872" max="14873" width="10.85546875" style="1084"/>
    <col min="14874" max="14874" width="14.28515625" style="1084" bestFit="1" customWidth="1"/>
    <col min="14875" max="15102" width="10.85546875" style="1084"/>
    <col min="15103" max="15103" width="12.28515625" style="1084" customWidth="1"/>
    <col min="15104" max="15104" width="78.7109375" style="1084" customWidth="1"/>
    <col min="15105" max="15105" width="20.28515625" style="1084" customWidth="1"/>
    <col min="15106" max="15106" width="13.42578125" style="1084" customWidth="1"/>
    <col min="15107" max="15107" width="17.140625" style="1084" customWidth="1"/>
    <col min="15108" max="15108" width="22" style="1084" customWidth="1"/>
    <col min="15109" max="15109" width="17.85546875" style="1084" customWidth="1"/>
    <col min="15110" max="15110" width="21.28515625" style="1084" customWidth="1"/>
    <col min="15111" max="15111" width="16.5703125" style="1084" customWidth="1"/>
    <col min="15112" max="15112" width="20.28515625" style="1084" customWidth="1"/>
    <col min="15113" max="15113" width="17.28515625" style="1084" customWidth="1"/>
    <col min="15114" max="15114" width="19.42578125" style="1084" customWidth="1"/>
    <col min="15115" max="15115" width="18.5703125" style="1084" customWidth="1"/>
    <col min="15116" max="15116" width="19.7109375" style="1084" customWidth="1"/>
    <col min="15117" max="15117" width="16" style="1084" customWidth="1"/>
    <col min="15118" max="15118" width="20.5703125" style="1084" customWidth="1"/>
    <col min="15119" max="15119" width="16.85546875" style="1084" customWidth="1"/>
    <col min="15120" max="15120" width="23.7109375" style="1084" customWidth="1"/>
    <col min="15121" max="15121" width="27.140625" style="1084" bestFit="1" customWidth="1"/>
    <col min="15122" max="15122" width="25.7109375" style="1084" bestFit="1" customWidth="1"/>
    <col min="15123" max="15123" width="19.42578125" style="1084" bestFit="1" customWidth="1"/>
    <col min="15124" max="15124" width="10.85546875" style="1084"/>
    <col min="15125" max="15125" width="16.42578125" style="1084" bestFit="1" customWidth="1"/>
    <col min="15126" max="15126" width="10.85546875" style="1084"/>
    <col min="15127" max="15127" width="14.42578125" style="1084" bestFit="1" customWidth="1"/>
    <col min="15128" max="15129" width="10.85546875" style="1084"/>
    <col min="15130" max="15130" width="14.28515625" style="1084" bestFit="1" customWidth="1"/>
    <col min="15131" max="15358" width="10.85546875" style="1084"/>
    <col min="15359" max="15359" width="12.28515625" style="1084" customWidth="1"/>
    <col min="15360" max="15360" width="78.7109375" style="1084" customWidth="1"/>
    <col min="15361" max="15361" width="20.28515625" style="1084" customWidth="1"/>
    <col min="15362" max="15362" width="13.42578125" style="1084" customWidth="1"/>
    <col min="15363" max="15363" width="17.140625" style="1084" customWidth="1"/>
    <col min="15364" max="15364" width="22" style="1084" customWidth="1"/>
    <col min="15365" max="15365" width="17.85546875" style="1084" customWidth="1"/>
    <col min="15366" max="15366" width="21.28515625" style="1084" customWidth="1"/>
    <col min="15367" max="15367" width="16.5703125" style="1084" customWidth="1"/>
    <col min="15368" max="15368" width="20.28515625" style="1084" customWidth="1"/>
    <col min="15369" max="15369" width="17.28515625" style="1084" customWidth="1"/>
    <col min="15370" max="15370" width="19.42578125" style="1084" customWidth="1"/>
    <col min="15371" max="15371" width="18.5703125" style="1084" customWidth="1"/>
    <col min="15372" max="15372" width="19.7109375" style="1084" customWidth="1"/>
    <col min="15373" max="15373" width="16" style="1084" customWidth="1"/>
    <col min="15374" max="15374" width="20.5703125" style="1084" customWidth="1"/>
    <col min="15375" max="15375" width="16.85546875" style="1084" customWidth="1"/>
    <col min="15376" max="15376" width="23.7109375" style="1084" customWidth="1"/>
    <col min="15377" max="15377" width="27.140625" style="1084" bestFit="1" customWidth="1"/>
    <col min="15378" max="15378" width="25.7109375" style="1084" bestFit="1" customWidth="1"/>
    <col min="15379" max="15379" width="19.42578125" style="1084" bestFit="1" customWidth="1"/>
    <col min="15380" max="15380" width="10.85546875" style="1084"/>
    <col min="15381" max="15381" width="16.42578125" style="1084" bestFit="1" customWidth="1"/>
    <col min="15382" max="15382" width="10.85546875" style="1084"/>
    <col min="15383" max="15383" width="14.42578125" style="1084" bestFit="1" customWidth="1"/>
    <col min="15384" max="15385" width="10.85546875" style="1084"/>
    <col min="15386" max="15386" width="14.28515625" style="1084" bestFit="1" customWidth="1"/>
    <col min="15387" max="15614" width="10.85546875" style="1084"/>
    <col min="15615" max="15615" width="12.28515625" style="1084" customWidth="1"/>
    <col min="15616" max="15616" width="78.7109375" style="1084" customWidth="1"/>
    <col min="15617" max="15617" width="20.28515625" style="1084" customWidth="1"/>
    <col min="15618" max="15618" width="13.42578125" style="1084" customWidth="1"/>
    <col min="15619" max="15619" width="17.140625" style="1084" customWidth="1"/>
    <col min="15620" max="15620" width="22" style="1084" customWidth="1"/>
    <col min="15621" max="15621" width="17.85546875" style="1084" customWidth="1"/>
    <col min="15622" max="15622" width="21.28515625" style="1084" customWidth="1"/>
    <col min="15623" max="15623" width="16.5703125" style="1084" customWidth="1"/>
    <col min="15624" max="15624" width="20.28515625" style="1084" customWidth="1"/>
    <col min="15625" max="15625" width="17.28515625" style="1084" customWidth="1"/>
    <col min="15626" max="15626" width="19.42578125" style="1084" customWidth="1"/>
    <col min="15627" max="15627" width="18.5703125" style="1084" customWidth="1"/>
    <col min="15628" max="15628" width="19.7109375" style="1084" customWidth="1"/>
    <col min="15629" max="15629" width="16" style="1084" customWidth="1"/>
    <col min="15630" max="15630" width="20.5703125" style="1084" customWidth="1"/>
    <col min="15631" max="15631" width="16.85546875" style="1084" customWidth="1"/>
    <col min="15632" max="15632" width="23.7109375" style="1084" customWidth="1"/>
    <col min="15633" max="15633" width="27.140625" style="1084" bestFit="1" customWidth="1"/>
    <col min="15634" max="15634" width="25.7109375" style="1084" bestFit="1" customWidth="1"/>
    <col min="15635" max="15635" width="19.42578125" style="1084" bestFit="1" customWidth="1"/>
    <col min="15636" max="15636" width="10.85546875" style="1084"/>
    <col min="15637" max="15637" width="16.42578125" style="1084" bestFit="1" customWidth="1"/>
    <col min="15638" max="15638" width="10.85546875" style="1084"/>
    <col min="15639" max="15639" width="14.42578125" style="1084" bestFit="1" customWidth="1"/>
    <col min="15640" max="15641" width="10.85546875" style="1084"/>
    <col min="15642" max="15642" width="14.28515625" style="1084" bestFit="1" customWidth="1"/>
    <col min="15643" max="15870" width="10.85546875" style="1084"/>
    <col min="15871" max="15871" width="12.28515625" style="1084" customWidth="1"/>
    <col min="15872" max="15872" width="78.7109375" style="1084" customWidth="1"/>
    <col min="15873" max="15873" width="20.28515625" style="1084" customWidth="1"/>
    <col min="15874" max="15874" width="13.42578125" style="1084" customWidth="1"/>
    <col min="15875" max="15875" width="17.140625" style="1084" customWidth="1"/>
    <col min="15876" max="15876" width="22" style="1084" customWidth="1"/>
    <col min="15877" max="15877" width="17.85546875" style="1084" customWidth="1"/>
    <col min="15878" max="15878" width="21.28515625" style="1084" customWidth="1"/>
    <col min="15879" max="15879" width="16.5703125" style="1084" customWidth="1"/>
    <col min="15880" max="15880" width="20.28515625" style="1084" customWidth="1"/>
    <col min="15881" max="15881" width="17.28515625" style="1084" customWidth="1"/>
    <col min="15882" max="15882" width="19.42578125" style="1084" customWidth="1"/>
    <col min="15883" max="15883" width="18.5703125" style="1084" customWidth="1"/>
    <col min="15884" max="15884" width="19.7109375" style="1084" customWidth="1"/>
    <col min="15885" max="15885" width="16" style="1084" customWidth="1"/>
    <col min="15886" max="15886" width="20.5703125" style="1084" customWidth="1"/>
    <col min="15887" max="15887" width="16.85546875" style="1084" customWidth="1"/>
    <col min="15888" max="15888" width="23.7109375" style="1084" customWidth="1"/>
    <col min="15889" max="15889" width="27.140625" style="1084" bestFit="1" customWidth="1"/>
    <col min="15890" max="15890" width="25.7109375" style="1084" bestFit="1" customWidth="1"/>
    <col min="15891" max="15891" width="19.42578125" style="1084" bestFit="1" customWidth="1"/>
    <col min="15892" max="15892" width="10.85546875" style="1084"/>
    <col min="15893" max="15893" width="16.42578125" style="1084" bestFit="1" customWidth="1"/>
    <col min="15894" max="15894" width="10.85546875" style="1084"/>
    <col min="15895" max="15895" width="14.42578125" style="1084" bestFit="1" customWidth="1"/>
    <col min="15896" max="15897" width="10.85546875" style="1084"/>
    <col min="15898" max="15898" width="14.28515625" style="1084" bestFit="1" customWidth="1"/>
    <col min="15899" max="16126" width="10.85546875" style="1084"/>
    <col min="16127" max="16127" width="12.28515625" style="1084" customWidth="1"/>
    <col min="16128" max="16128" width="78.7109375" style="1084" customWidth="1"/>
    <col min="16129" max="16129" width="20.28515625" style="1084" customWidth="1"/>
    <col min="16130" max="16130" width="13.42578125" style="1084" customWidth="1"/>
    <col min="16131" max="16131" width="17.140625" style="1084" customWidth="1"/>
    <col min="16132" max="16132" width="22" style="1084" customWidth="1"/>
    <col min="16133" max="16133" width="17.85546875" style="1084" customWidth="1"/>
    <col min="16134" max="16134" width="21.28515625" style="1084" customWidth="1"/>
    <col min="16135" max="16135" width="16.5703125" style="1084" customWidth="1"/>
    <col min="16136" max="16136" width="20.28515625" style="1084" customWidth="1"/>
    <col min="16137" max="16137" width="17.28515625" style="1084" customWidth="1"/>
    <col min="16138" max="16138" width="19.42578125" style="1084" customWidth="1"/>
    <col min="16139" max="16139" width="18.5703125" style="1084" customWidth="1"/>
    <col min="16140" max="16140" width="19.7109375" style="1084" customWidth="1"/>
    <col min="16141" max="16141" width="16" style="1084" customWidth="1"/>
    <col min="16142" max="16142" width="20.5703125" style="1084" customWidth="1"/>
    <col min="16143" max="16143" width="16.85546875" style="1084" customWidth="1"/>
    <col min="16144" max="16144" width="23.7109375" style="1084" customWidth="1"/>
    <col min="16145" max="16145" width="27.140625" style="1084" bestFit="1" customWidth="1"/>
    <col min="16146" max="16146" width="25.7109375" style="1084" bestFit="1" customWidth="1"/>
    <col min="16147" max="16147" width="19.42578125" style="1084" bestFit="1" customWidth="1"/>
    <col min="16148" max="16148" width="10.85546875" style="1084"/>
    <col min="16149" max="16149" width="16.42578125" style="1084" bestFit="1" customWidth="1"/>
    <col min="16150" max="16150" width="10.85546875" style="1084"/>
    <col min="16151" max="16151" width="14.42578125" style="1084" bestFit="1" customWidth="1"/>
    <col min="16152" max="16153" width="10.85546875" style="1084"/>
    <col min="16154" max="16154" width="14.28515625" style="1084" bestFit="1" customWidth="1"/>
    <col min="16155" max="16384" width="10.85546875" style="1084"/>
  </cols>
  <sheetData>
    <row r="1" spans="1:18" ht="72.75" customHeight="1">
      <c r="A1" s="1974" t="str">
        <f>'INS- Detail '!A2:I2</f>
        <v>Name of work: Providing Special Repair works for 5 Nos INS, 8 Nos SI, 24 Nos PC/HC Quarters  at Church Hill Ooty in the Nilgiri District</v>
      </c>
      <c r="B1" s="1975"/>
      <c r="C1" s="1975"/>
      <c r="D1" s="1975"/>
      <c r="E1" s="1975"/>
      <c r="F1" s="1975"/>
      <c r="G1" s="1975"/>
      <c r="H1" s="1975"/>
      <c r="I1" s="1975"/>
      <c r="J1" s="1975"/>
      <c r="K1" s="1975"/>
      <c r="L1" s="1975"/>
      <c r="M1" s="1975"/>
      <c r="N1" s="1975"/>
      <c r="O1" s="1975"/>
      <c r="P1" s="1976"/>
    </row>
    <row r="2" spans="1:18" ht="72.75" customHeight="1">
      <c r="A2" s="1974" t="s">
        <v>5268</v>
      </c>
      <c r="B2" s="1975"/>
      <c r="C2" s="1975"/>
      <c r="D2" s="1975"/>
      <c r="E2" s="1975"/>
      <c r="F2" s="1975"/>
      <c r="G2" s="1975"/>
      <c r="H2" s="1975"/>
      <c r="I2" s="1975"/>
      <c r="J2" s="1975"/>
      <c r="K2" s="1975"/>
      <c r="L2" s="1975"/>
      <c r="M2" s="1975"/>
      <c r="N2" s="1975"/>
      <c r="O2" s="1975"/>
      <c r="P2" s="1976"/>
    </row>
    <row r="3" spans="1:18" s="1085" customFormat="1" ht="55.9" customHeight="1">
      <c r="A3" s="1973" t="s">
        <v>3613</v>
      </c>
      <c r="B3" s="1973" t="s">
        <v>3546</v>
      </c>
      <c r="C3" s="1973" t="s">
        <v>217</v>
      </c>
      <c r="D3" s="1973" t="s">
        <v>10</v>
      </c>
      <c r="E3" s="1973" t="s">
        <v>3765</v>
      </c>
      <c r="F3" s="1973"/>
      <c r="G3" s="1973" t="s">
        <v>3197</v>
      </c>
      <c r="H3" s="1973"/>
      <c r="I3" s="1973" t="s">
        <v>5325</v>
      </c>
      <c r="J3" s="1973"/>
      <c r="K3" s="1973" t="s">
        <v>3676</v>
      </c>
      <c r="L3" s="1973"/>
      <c r="M3" s="1973" t="s">
        <v>3767</v>
      </c>
      <c r="N3" s="1973"/>
      <c r="O3" s="1973" t="s">
        <v>3615</v>
      </c>
      <c r="P3" s="1973"/>
      <c r="R3" s="1086"/>
    </row>
    <row r="4" spans="1:18" s="1085" customFormat="1" ht="31.9" customHeight="1">
      <c r="A4" s="1973"/>
      <c r="B4" s="1973"/>
      <c r="C4" s="1973"/>
      <c r="D4" s="1973"/>
      <c r="E4" s="1087" t="s">
        <v>3</v>
      </c>
      <c r="F4" s="1332" t="s">
        <v>218</v>
      </c>
      <c r="G4" s="1087" t="s">
        <v>3</v>
      </c>
      <c r="H4" s="1332" t="s">
        <v>218</v>
      </c>
      <c r="I4" s="1087" t="s">
        <v>3</v>
      </c>
      <c r="J4" s="1332" t="s">
        <v>218</v>
      </c>
      <c r="K4" s="1087" t="s">
        <v>3</v>
      </c>
      <c r="L4" s="1332" t="s">
        <v>218</v>
      </c>
      <c r="M4" s="1087" t="s">
        <v>3</v>
      </c>
      <c r="N4" s="1332" t="s">
        <v>218</v>
      </c>
      <c r="O4" s="1332" t="s">
        <v>3</v>
      </c>
      <c r="P4" s="1332" t="s">
        <v>218</v>
      </c>
      <c r="Q4" s="1086"/>
      <c r="R4" s="1086"/>
    </row>
    <row r="5" spans="1:18" s="1085" customFormat="1" ht="39.75" customHeight="1">
      <c r="A5" s="1332"/>
      <c r="B5" s="1257"/>
      <c r="C5" s="1332"/>
      <c r="D5" s="1332"/>
      <c r="E5" s="1332"/>
      <c r="F5" s="1332"/>
      <c r="G5" s="1332"/>
      <c r="H5" s="1332"/>
      <c r="I5" s="1089"/>
      <c r="J5" s="1332"/>
      <c r="K5" s="1332"/>
      <c r="L5" s="1332"/>
      <c r="M5" s="1332"/>
      <c r="N5" s="1332"/>
      <c r="O5" s="1332"/>
      <c r="P5" s="1332"/>
      <c r="Q5" s="1086"/>
      <c r="R5" s="1086"/>
    </row>
    <row r="6" spans="1:18" ht="50.25" customHeight="1">
      <c r="A6" s="1090">
        <v>1.1000000000000001</v>
      </c>
      <c r="B6" s="933" t="s">
        <v>3768</v>
      </c>
      <c r="C6" s="1091"/>
      <c r="D6" s="940" t="s">
        <v>150</v>
      </c>
      <c r="E6" s="940"/>
      <c r="F6" s="940"/>
      <c r="G6" s="1092"/>
      <c r="H6" s="1092"/>
      <c r="I6" s="1093"/>
      <c r="J6" s="1092"/>
      <c r="K6" s="1092"/>
      <c r="L6" s="1092"/>
      <c r="M6" s="1092"/>
      <c r="N6" s="1092"/>
      <c r="O6" s="1095" t="s">
        <v>249</v>
      </c>
      <c r="P6" s="1095" t="s">
        <v>2400</v>
      </c>
    </row>
    <row r="7" spans="1:18" ht="36" customHeight="1">
      <c r="A7" s="1090"/>
      <c r="B7" s="933" t="s">
        <v>3769</v>
      </c>
      <c r="C7" s="1092" t="e">
        <f>ROUND(#REF!,2)</f>
        <v>#REF!</v>
      </c>
      <c r="D7" s="940" t="s">
        <v>3770</v>
      </c>
      <c r="E7" s="1096">
        <f>'Ins Abs'!Q7</f>
        <v>13.95</v>
      </c>
      <c r="F7" s="1097" t="e">
        <f>C7*E7</f>
        <v>#REF!</v>
      </c>
      <c r="G7" s="1096">
        <f>'SI Abs '!Q7</f>
        <v>18</v>
      </c>
      <c r="H7" s="1097">
        <f>'SI Abs '!R7</f>
        <v>5665.38</v>
      </c>
      <c r="I7" s="1096">
        <f>'PC Abs'!Q7</f>
        <v>19.549999999999997</v>
      </c>
      <c r="J7" s="1097">
        <f>'PC Abs'!R7</f>
        <v>6153.2321666666658</v>
      </c>
      <c r="K7" s="1096"/>
      <c r="L7" s="1097">
        <f>I7*K7</f>
        <v>0</v>
      </c>
      <c r="M7" s="1096"/>
      <c r="N7" s="1096"/>
      <c r="O7" s="1098">
        <f>E7+G7+I7+K7</f>
        <v>51.5</v>
      </c>
      <c r="P7" s="1096" t="e">
        <f>O7*C7</f>
        <v>#REF!</v>
      </c>
      <c r="Q7" s="1099"/>
      <c r="R7" s="1099"/>
    </row>
    <row r="8" spans="1:18" s="1105" customFormat="1" ht="48.6" customHeight="1">
      <c r="A8" s="1100"/>
      <c r="B8" s="1258" t="s">
        <v>3771</v>
      </c>
      <c r="C8" s="1102" t="e">
        <f>ROUND(#REF!,2)</f>
        <v>#REF!</v>
      </c>
      <c r="D8" s="1101" t="s">
        <v>3770</v>
      </c>
      <c r="E8" s="1103"/>
      <c r="F8" s="1097" t="e">
        <f t="shared" ref="F8:L72" si="0">C8*E8</f>
        <v>#REF!</v>
      </c>
      <c r="G8" s="1103"/>
      <c r="H8" s="1097" t="e">
        <f t="shared" ref="H8:H72" si="1">C8*G8</f>
        <v>#REF!</v>
      </c>
      <c r="I8" s="1103"/>
      <c r="J8" s="1097">
        <f t="shared" si="0"/>
        <v>0</v>
      </c>
      <c r="K8" s="1096"/>
      <c r="L8" s="1097">
        <f t="shared" si="0"/>
        <v>0</v>
      </c>
      <c r="M8" s="1103"/>
      <c r="N8" s="1096"/>
      <c r="O8" s="1098" t="s">
        <v>2400</v>
      </c>
      <c r="P8" s="1096"/>
      <c r="Q8" s="1104"/>
      <c r="R8" s="1104"/>
    </row>
    <row r="9" spans="1:18" s="1108" customFormat="1" ht="46.5">
      <c r="A9" s="1090">
        <v>1.2</v>
      </c>
      <c r="B9" s="933" t="s">
        <v>3772</v>
      </c>
      <c r="C9" s="1106"/>
      <c r="D9" s="943"/>
      <c r="E9" s="1103"/>
      <c r="F9" s="1097">
        <f t="shared" si="0"/>
        <v>0</v>
      </c>
      <c r="G9" s="1103"/>
      <c r="H9" s="1097">
        <f t="shared" si="1"/>
        <v>0</v>
      </c>
      <c r="I9" s="1103"/>
      <c r="J9" s="1097">
        <f t="shared" si="0"/>
        <v>0</v>
      </c>
      <c r="K9" s="1096"/>
      <c r="L9" s="1097">
        <f t="shared" si="0"/>
        <v>0</v>
      </c>
      <c r="M9" s="1103"/>
      <c r="N9" s="1096"/>
      <c r="O9" s="1098" t="s">
        <v>2400</v>
      </c>
      <c r="P9" s="1096"/>
      <c r="Q9" s="1107"/>
      <c r="R9" s="1104"/>
    </row>
    <row r="10" spans="1:18" s="1108" customFormat="1" ht="25.5" customHeight="1">
      <c r="A10" s="1090"/>
      <c r="B10" s="933" t="s">
        <v>3769</v>
      </c>
      <c r="C10" s="1106" t="e">
        <f>ROUND(#REF!,2)</f>
        <v>#REF!</v>
      </c>
      <c r="D10" s="943" t="s">
        <v>3770</v>
      </c>
      <c r="E10" s="1103"/>
      <c r="F10" s="1097" t="e">
        <f t="shared" si="0"/>
        <v>#REF!</v>
      </c>
      <c r="G10" s="1103"/>
      <c r="H10" s="1097" t="e">
        <f t="shared" si="1"/>
        <v>#REF!</v>
      </c>
      <c r="I10" s="1103"/>
      <c r="J10" s="1097">
        <f t="shared" si="0"/>
        <v>0</v>
      </c>
      <c r="K10" s="1096"/>
      <c r="L10" s="1097">
        <f t="shared" si="0"/>
        <v>0</v>
      </c>
      <c r="M10" s="1103"/>
      <c r="N10" s="1096"/>
      <c r="O10" s="1098" t="s">
        <v>2400</v>
      </c>
      <c r="P10" s="1096"/>
      <c r="Q10" s="1107"/>
      <c r="R10" s="1104"/>
    </row>
    <row r="11" spans="1:18" s="1108" customFormat="1" ht="25.5" customHeight="1">
      <c r="A11" s="1109"/>
      <c r="B11" s="1259" t="s">
        <v>3771</v>
      </c>
      <c r="C11" s="1111" t="e">
        <f>ROUND(#REF!,2)</f>
        <v>#REF!</v>
      </c>
      <c r="D11" s="1112" t="s">
        <v>3770</v>
      </c>
      <c r="E11" s="1113"/>
      <c r="F11" s="1097" t="e">
        <f t="shared" si="0"/>
        <v>#REF!</v>
      </c>
      <c r="G11" s="1113"/>
      <c r="H11" s="1097" t="e">
        <f t="shared" si="1"/>
        <v>#REF!</v>
      </c>
      <c r="I11" s="1113"/>
      <c r="J11" s="1097">
        <f t="shared" si="0"/>
        <v>0</v>
      </c>
      <c r="K11" s="1114"/>
      <c r="L11" s="1097">
        <f t="shared" si="0"/>
        <v>0</v>
      </c>
      <c r="M11" s="1113"/>
      <c r="N11" s="1096"/>
      <c r="O11" s="1098" t="s">
        <v>2400</v>
      </c>
      <c r="P11" s="1096"/>
      <c r="Q11" s="1107"/>
      <c r="R11" s="1104"/>
    </row>
    <row r="12" spans="1:18" s="1105" customFormat="1" ht="60" customHeight="1">
      <c r="A12" s="1115">
        <v>1.3</v>
      </c>
      <c r="B12" s="1260" t="s">
        <v>3773</v>
      </c>
      <c r="C12" s="1117"/>
      <c r="D12" s="1118" t="s">
        <v>150</v>
      </c>
      <c r="E12" s="1103"/>
      <c r="F12" s="1097">
        <f t="shared" si="0"/>
        <v>0</v>
      </c>
      <c r="G12" s="1103"/>
      <c r="H12" s="1097">
        <f t="shared" si="1"/>
        <v>0</v>
      </c>
      <c r="I12" s="1103"/>
      <c r="J12" s="1097">
        <f t="shared" si="0"/>
        <v>0</v>
      </c>
      <c r="K12" s="1096"/>
      <c r="L12" s="1097">
        <f t="shared" si="0"/>
        <v>0</v>
      </c>
      <c r="M12" s="1103"/>
      <c r="N12" s="1096"/>
      <c r="O12" s="1098" t="s">
        <v>2400</v>
      </c>
      <c r="P12" s="1096"/>
      <c r="Q12" s="1104"/>
      <c r="R12" s="1104"/>
    </row>
    <row r="13" spans="1:18" s="1105" customFormat="1" ht="41.25" customHeight="1">
      <c r="A13" s="1115"/>
      <c r="B13" s="1260" t="s">
        <v>3769</v>
      </c>
      <c r="C13" s="1117" t="e">
        <f>ROUND(#REF!,2)</f>
        <v>#REF!</v>
      </c>
      <c r="D13" s="1118" t="s">
        <v>3770</v>
      </c>
      <c r="E13" s="1103"/>
      <c r="F13" s="1097" t="e">
        <f t="shared" si="0"/>
        <v>#REF!</v>
      </c>
      <c r="G13" s="1103"/>
      <c r="H13" s="1097" t="e">
        <f t="shared" si="1"/>
        <v>#REF!</v>
      </c>
      <c r="I13" s="1103"/>
      <c r="J13" s="1097">
        <f t="shared" si="0"/>
        <v>0</v>
      </c>
      <c r="K13" s="1096"/>
      <c r="L13" s="1097">
        <f t="shared" si="0"/>
        <v>0</v>
      </c>
      <c r="M13" s="1103"/>
      <c r="N13" s="1096"/>
      <c r="O13" s="1098" t="s">
        <v>2400</v>
      </c>
      <c r="P13" s="1096"/>
      <c r="Q13" s="1104"/>
      <c r="R13" s="1104"/>
    </row>
    <row r="14" spans="1:18" s="1108" customFormat="1" ht="25.5" customHeight="1">
      <c r="A14" s="1119"/>
      <c r="B14" s="935" t="s">
        <v>3771</v>
      </c>
      <c r="C14" s="1120" t="e">
        <f>ROUND(#REF!,2)</f>
        <v>#REF!</v>
      </c>
      <c r="D14" s="1121" t="s">
        <v>3770</v>
      </c>
      <c r="E14" s="1103"/>
      <c r="F14" s="1097" t="e">
        <f t="shared" si="0"/>
        <v>#REF!</v>
      </c>
      <c r="G14" s="1103"/>
      <c r="H14" s="1097" t="e">
        <f t="shared" si="1"/>
        <v>#REF!</v>
      </c>
      <c r="I14" s="1103"/>
      <c r="J14" s="1097">
        <f t="shared" si="0"/>
        <v>0</v>
      </c>
      <c r="K14" s="1096"/>
      <c r="L14" s="1097">
        <f t="shared" si="0"/>
        <v>0</v>
      </c>
      <c r="M14" s="1103"/>
      <c r="N14" s="1096"/>
      <c r="O14" s="1098" t="s">
        <v>2400</v>
      </c>
      <c r="P14" s="1096"/>
      <c r="Q14" s="1107"/>
      <c r="R14" s="1104"/>
    </row>
    <row r="15" spans="1:18" s="1108" customFormat="1" ht="46.5" customHeight="1">
      <c r="A15" s="1090">
        <v>1.4</v>
      </c>
      <c r="B15" s="933" t="s">
        <v>3774</v>
      </c>
      <c r="C15" s="1106"/>
      <c r="D15" s="943"/>
      <c r="E15" s="1103"/>
      <c r="F15" s="1097">
        <f t="shared" si="0"/>
        <v>0</v>
      </c>
      <c r="G15" s="1103"/>
      <c r="H15" s="1097">
        <f t="shared" si="1"/>
        <v>0</v>
      </c>
      <c r="I15" s="1103"/>
      <c r="J15" s="1097">
        <f t="shared" si="0"/>
        <v>0</v>
      </c>
      <c r="K15" s="1096"/>
      <c r="L15" s="1097">
        <f t="shared" si="0"/>
        <v>0</v>
      </c>
      <c r="M15" s="1103"/>
      <c r="N15" s="1096"/>
      <c r="O15" s="1098" t="s">
        <v>2400</v>
      </c>
      <c r="P15" s="1096"/>
      <c r="Q15" s="1107"/>
      <c r="R15" s="1104"/>
    </row>
    <row r="16" spans="1:18" s="1108" customFormat="1" ht="25.5" customHeight="1">
      <c r="A16" s="1090"/>
      <c r="B16" s="933" t="s">
        <v>3769</v>
      </c>
      <c r="C16" s="1106" t="e">
        <f>ROUND(#REF!,2)</f>
        <v>#REF!</v>
      </c>
      <c r="D16" s="943" t="s">
        <v>3770</v>
      </c>
      <c r="E16" s="1103"/>
      <c r="F16" s="1097" t="e">
        <f t="shared" si="0"/>
        <v>#REF!</v>
      </c>
      <c r="G16" s="1103"/>
      <c r="H16" s="1097" t="e">
        <f t="shared" si="1"/>
        <v>#REF!</v>
      </c>
      <c r="I16" s="1103"/>
      <c r="J16" s="1097">
        <f t="shared" si="0"/>
        <v>0</v>
      </c>
      <c r="K16" s="1096"/>
      <c r="L16" s="1097">
        <f t="shared" si="0"/>
        <v>0</v>
      </c>
      <c r="M16" s="1103"/>
      <c r="N16" s="1096"/>
      <c r="O16" s="1098" t="s">
        <v>2400</v>
      </c>
      <c r="P16" s="1096"/>
      <c r="Q16" s="1107"/>
      <c r="R16" s="1104"/>
    </row>
    <row r="17" spans="1:19" s="1108" customFormat="1" ht="25.5" customHeight="1">
      <c r="A17" s="1109"/>
      <c r="B17" s="1259" t="s">
        <v>3771</v>
      </c>
      <c r="C17" s="1111" t="e">
        <f>ROUND(#REF!,2)</f>
        <v>#REF!</v>
      </c>
      <c r="D17" s="1112" t="s">
        <v>3770</v>
      </c>
      <c r="E17" s="1113"/>
      <c r="F17" s="1097" t="e">
        <f t="shared" si="0"/>
        <v>#REF!</v>
      </c>
      <c r="G17" s="1113"/>
      <c r="H17" s="1097" t="e">
        <f t="shared" si="1"/>
        <v>#REF!</v>
      </c>
      <c r="I17" s="1113"/>
      <c r="J17" s="1097">
        <f t="shared" si="0"/>
        <v>0</v>
      </c>
      <c r="K17" s="1114"/>
      <c r="L17" s="1097">
        <f t="shared" si="0"/>
        <v>0</v>
      </c>
      <c r="M17" s="1113"/>
      <c r="N17" s="1096"/>
      <c r="O17" s="1098" t="s">
        <v>2400</v>
      </c>
      <c r="P17" s="1096"/>
      <c r="Q17" s="1107"/>
      <c r="R17" s="1104"/>
    </row>
    <row r="18" spans="1:19" ht="56.25" customHeight="1">
      <c r="A18" s="1090">
        <v>1.5</v>
      </c>
      <c r="B18" s="933" t="s">
        <v>3775</v>
      </c>
      <c r="C18" s="1092"/>
      <c r="D18" s="940" t="s">
        <v>150</v>
      </c>
      <c r="E18" s="1096"/>
      <c r="F18" s="1097">
        <f t="shared" si="0"/>
        <v>0</v>
      </c>
      <c r="G18" s="1096"/>
      <c r="H18" s="1097">
        <f t="shared" si="1"/>
        <v>0</v>
      </c>
      <c r="I18" s="1096"/>
      <c r="J18" s="1097">
        <f t="shared" si="0"/>
        <v>0</v>
      </c>
      <c r="K18" s="1096"/>
      <c r="L18" s="1097">
        <f t="shared" si="0"/>
        <v>0</v>
      </c>
      <c r="M18" s="1096"/>
      <c r="N18" s="1096"/>
      <c r="O18" s="1098" t="s">
        <v>2400</v>
      </c>
      <c r="P18" s="1096"/>
      <c r="Q18" s="1122"/>
      <c r="R18" s="1099"/>
      <c r="S18" s="1123"/>
    </row>
    <row r="19" spans="1:19" ht="49.5" customHeight="1">
      <c r="A19" s="1090"/>
      <c r="B19" s="933" t="s">
        <v>3769</v>
      </c>
      <c r="C19" s="1092" t="e">
        <f>ROUND(#REF!,2)</f>
        <v>#REF!</v>
      </c>
      <c r="D19" s="940" t="s">
        <v>3770</v>
      </c>
      <c r="E19" s="1096"/>
      <c r="F19" s="1097" t="e">
        <f t="shared" si="0"/>
        <v>#REF!</v>
      </c>
      <c r="G19" s="1096"/>
      <c r="H19" s="1097" t="e">
        <f t="shared" si="1"/>
        <v>#REF!</v>
      </c>
      <c r="I19" s="1096"/>
      <c r="J19" s="1097">
        <f t="shared" si="0"/>
        <v>0</v>
      </c>
      <c r="K19" s="1096"/>
      <c r="L19" s="1097">
        <f t="shared" si="0"/>
        <v>0</v>
      </c>
      <c r="M19" s="1096"/>
      <c r="N19" s="1096"/>
      <c r="O19" s="1098" t="s">
        <v>2400</v>
      </c>
      <c r="P19" s="1096"/>
      <c r="Q19" s="1099"/>
      <c r="R19" s="1099"/>
    </row>
    <row r="20" spans="1:19" ht="33" customHeight="1">
      <c r="A20" s="1124"/>
      <c r="B20" s="1261" t="s">
        <v>3771</v>
      </c>
      <c r="C20" s="1092" t="e">
        <f>ROUND(#REF!,2)</f>
        <v>#REF!</v>
      </c>
      <c r="D20" s="940" t="s">
        <v>3770</v>
      </c>
      <c r="E20" s="1096"/>
      <c r="F20" s="1097" t="e">
        <f t="shared" si="0"/>
        <v>#REF!</v>
      </c>
      <c r="G20" s="1096"/>
      <c r="H20" s="1097" t="e">
        <f t="shared" si="1"/>
        <v>#REF!</v>
      </c>
      <c r="I20" s="1096"/>
      <c r="J20" s="1097">
        <f t="shared" si="0"/>
        <v>0</v>
      </c>
      <c r="K20" s="1096"/>
      <c r="L20" s="1097">
        <f t="shared" si="0"/>
        <v>0</v>
      </c>
      <c r="M20" s="1096"/>
      <c r="N20" s="1096"/>
      <c r="O20" s="1098" t="s">
        <v>2400</v>
      </c>
      <c r="P20" s="1096"/>
      <c r="Q20" s="1099"/>
      <c r="R20" s="1099"/>
    </row>
    <row r="21" spans="1:19" s="1108" customFormat="1" ht="25.5" customHeight="1">
      <c r="A21" s="1090"/>
      <c r="B21" s="933" t="s">
        <v>3776</v>
      </c>
      <c r="C21" s="1106" t="e">
        <f>ROUND(#REF!,2)</f>
        <v>#REF!</v>
      </c>
      <c r="D21" s="943" t="s">
        <v>3770</v>
      </c>
      <c r="E21" s="1103"/>
      <c r="F21" s="1097" t="e">
        <f t="shared" si="0"/>
        <v>#REF!</v>
      </c>
      <c r="G21" s="1103"/>
      <c r="H21" s="1097" t="e">
        <f t="shared" si="1"/>
        <v>#REF!</v>
      </c>
      <c r="I21" s="1103"/>
      <c r="J21" s="1097">
        <f t="shared" si="0"/>
        <v>0</v>
      </c>
      <c r="K21" s="1096"/>
      <c r="L21" s="1097">
        <f t="shared" si="0"/>
        <v>0</v>
      </c>
      <c r="M21" s="1103"/>
      <c r="N21" s="1096"/>
      <c r="O21" s="1098" t="s">
        <v>2400</v>
      </c>
      <c r="P21" s="1096"/>
      <c r="Q21" s="1107"/>
      <c r="R21" s="1104"/>
    </row>
    <row r="22" spans="1:19" s="1108" customFormat="1" ht="25.5" customHeight="1">
      <c r="A22" s="1109"/>
      <c r="B22" s="1259" t="s">
        <v>3777</v>
      </c>
      <c r="C22" s="1111" t="e">
        <f>ROUND(#REF!,2)</f>
        <v>#REF!</v>
      </c>
      <c r="D22" s="1112" t="s">
        <v>3770</v>
      </c>
      <c r="E22" s="1113"/>
      <c r="F22" s="1097" t="e">
        <f t="shared" si="0"/>
        <v>#REF!</v>
      </c>
      <c r="G22" s="1113"/>
      <c r="H22" s="1097" t="e">
        <f t="shared" si="1"/>
        <v>#REF!</v>
      </c>
      <c r="I22" s="1113"/>
      <c r="J22" s="1097">
        <f t="shared" si="0"/>
        <v>0</v>
      </c>
      <c r="K22" s="1114"/>
      <c r="L22" s="1097">
        <f t="shared" si="0"/>
        <v>0</v>
      </c>
      <c r="M22" s="1113"/>
      <c r="N22" s="1096"/>
      <c r="O22" s="1098" t="s">
        <v>2400</v>
      </c>
      <c r="P22" s="1096"/>
      <c r="Q22" s="1107"/>
      <c r="R22" s="1104"/>
    </row>
    <row r="23" spans="1:19" s="1108" customFormat="1" ht="51" customHeight="1">
      <c r="A23" s="1090">
        <v>1.6</v>
      </c>
      <c r="B23" s="933" t="s">
        <v>3778</v>
      </c>
      <c r="C23" s="1092"/>
      <c r="D23" s="940"/>
      <c r="E23" s="1096">
        <f>'Ins Abs'!Q10</f>
        <v>0</v>
      </c>
      <c r="F23" s="1097">
        <f t="shared" si="0"/>
        <v>0</v>
      </c>
      <c r="G23" s="1096">
        <f>'SI Abs '!Q10</f>
        <v>0</v>
      </c>
      <c r="H23" s="1097">
        <f>'SI Abs '!R10</f>
        <v>0</v>
      </c>
      <c r="I23" s="1096">
        <f>'PC Abs'!Q10</f>
        <v>0</v>
      </c>
      <c r="J23" s="1097">
        <f>'PC Abs'!R10</f>
        <v>0</v>
      </c>
      <c r="K23" s="1096"/>
      <c r="L23" s="1097">
        <f t="shared" si="0"/>
        <v>0</v>
      </c>
      <c r="M23" s="1103"/>
      <c r="N23" s="1096"/>
      <c r="O23" s="1098" t="s">
        <v>2400</v>
      </c>
      <c r="P23" s="1095" t="s">
        <v>2400</v>
      </c>
      <c r="Q23" s="1107"/>
      <c r="R23" s="1104"/>
    </row>
    <row r="24" spans="1:19" s="1108" customFormat="1" ht="43.5" customHeight="1">
      <c r="A24" s="1090"/>
      <c r="B24" s="933" t="s">
        <v>3769</v>
      </c>
      <c r="C24" s="1092" t="e">
        <f>ROUND(#REF!,2)</f>
        <v>#REF!</v>
      </c>
      <c r="D24" s="940" t="s">
        <v>3770</v>
      </c>
      <c r="E24" s="1096">
        <f>'Ins Abs'!Q11</f>
        <v>9.6</v>
      </c>
      <c r="F24" s="1097" t="e">
        <f t="shared" si="0"/>
        <v>#REF!</v>
      </c>
      <c r="G24" s="1096">
        <f>'SI Abs '!Q11</f>
        <v>10.8</v>
      </c>
      <c r="H24" s="1097">
        <f>'SI Abs '!R11</f>
        <v>2409.75</v>
      </c>
      <c r="I24" s="1096">
        <f>'PC Abs'!Q11</f>
        <v>13.7</v>
      </c>
      <c r="J24" s="1097">
        <f>'PC Abs'!R11</f>
        <v>3056.8125</v>
      </c>
      <c r="K24" s="1096" t="e">
        <f>#REF!</f>
        <v>#REF!</v>
      </c>
      <c r="L24" s="1097" t="e">
        <f>K24*C24</f>
        <v>#REF!</v>
      </c>
      <c r="M24" s="1103"/>
      <c r="N24" s="1096"/>
      <c r="O24" s="1098" t="e">
        <f t="shared" ref="O24" si="2">E24+G24+I24+K24</f>
        <v>#REF!</v>
      </c>
      <c r="P24" s="1096" t="e">
        <f>O24*C24</f>
        <v>#REF!</v>
      </c>
      <c r="Q24" s="1107"/>
      <c r="R24" s="1104"/>
    </row>
    <row r="25" spans="1:19" s="1108" customFormat="1" ht="25.5" customHeight="1">
      <c r="A25" s="1119"/>
      <c r="B25" s="935" t="s">
        <v>3771</v>
      </c>
      <c r="C25" s="1120" t="e">
        <f>ROUND(#REF!,2)</f>
        <v>#REF!</v>
      </c>
      <c r="D25" s="1121" t="s">
        <v>3770</v>
      </c>
      <c r="E25" s="1103"/>
      <c r="F25" s="1097" t="e">
        <f t="shared" si="0"/>
        <v>#REF!</v>
      </c>
      <c r="G25" s="1103"/>
      <c r="H25" s="1097" t="e">
        <f t="shared" si="1"/>
        <v>#REF!</v>
      </c>
      <c r="I25" s="1103"/>
      <c r="J25" s="1097" t="e">
        <f t="shared" ref="J25:J89" si="3">I25*C25</f>
        <v>#REF!</v>
      </c>
      <c r="K25" s="1096"/>
      <c r="L25" s="1097" t="e">
        <f t="shared" ref="L25:L89" si="4">K25*C25</f>
        <v>#REF!</v>
      </c>
      <c r="M25" s="1103"/>
      <c r="N25" s="1096"/>
      <c r="O25" s="1098"/>
      <c r="P25" s="1096"/>
      <c r="Q25" s="1107"/>
      <c r="R25" s="1104"/>
    </row>
    <row r="26" spans="1:19" s="1108" customFormat="1" ht="46.5" customHeight="1">
      <c r="A26" s="1090">
        <v>1.7</v>
      </c>
      <c r="B26" s="933" t="s">
        <v>3779</v>
      </c>
      <c r="C26" s="1106"/>
      <c r="D26" s="943" t="s">
        <v>150</v>
      </c>
      <c r="E26" s="1103"/>
      <c r="F26" s="1097">
        <f t="shared" si="0"/>
        <v>0</v>
      </c>
      <c r="G26" s="1103"/>
      <c r="H26" s="1097">
        <f t="shared" si="1"/>
        <v>0</v>
      </c>
      <c r="I26" s="1103"/>
      <c r="J26" s="1097">
        <f t="shared" si="3"/>
        <v>0</v>
      </c>
      <c r="K26" s="1096"/>
      <c r="L26" s="1097">
        <f t="shared" si="4"/>
        <v>0</v>
      </c>
      <c r="M26" s="1103"/>
      <c r="N26" s="1096"/>
      <c r="O26" s="1098"/>
      <c r="P26" s="1096"/>
      <c r="Q26" s="1107"/>
      <c r="R26" s="1104"/>
    </row>
    <row r="27" spans="1:19" s="1108" customFormat="1" ht="25.5" customHeight="1">
      <c r="A27" s="1090"/>
      <c r="B27" s="933" t="s">
        <v>3769</v>
      </c>
      <c r="C27" s="1106" t="e">
        <f>ROUND(#REF!,2)</f>
        <v>#REF!</v>
      </c>
      <c r="D27" s="943" t="s">
        <v>3770</v>
      </c>
      <c r="E27" s="1103"/>
      <c r="F27" s="1097" t="e">
        <f t="shared" si="0"/>
        <v>#REF!</v>
      </c>
      <c r="G27" s="1103"/>
      <c r="H27" s="1097" t="e">
        <f t="shared" si="1"/>
        <v>#REF!</v>
      </c>
      <c r="I27" s="1103"/>
      <c r="J27" s="1097" t="e">
        <f t="shared" si="3"/>
        <v>#REF!</v>
      </c>
      <c r="K27" s="1096"/>
      <c r="L27" s="1097" t="e">
        <f t="shared" si="4"/>
        <v>#REF!</v>
      </c>
      <c r="M27" s="1103"/>
      <c r="N27" s="1096"/>
      <c r="O27" s="1098"/>
      <c r="P27" s="1096"/>
      <c r="Q27" s="1107"/>
      <c r="R27" s="1104"/>
    </row>
    <row r="28" spans="1:19" s="1108" customFormat="1" ht="25.5" customHeight="1">
      <c r="A28" s="1109"/>
      <c r="B28" s="1259" t="s">
        <v>3771</v>
      </c>
      <c r="C28" s="1111" t="e">
        <f>ROUND(#REF!,2)</f>
        <v>#REF!</v>
      </c>
      <c r="D28" s="1112" t="s">
        <v>3770</v>
      </c>
      <c r="E28" s="1113"/>
      <c r="F28" s="1097" t="e">
        <f t="shared" si="0"/>
        <v>#REF!</v>
      </c>
      <c r="G28" s="1113"/>
      <c r="H28" s="1097" t="e">
        <f t="shared" si="1"/>
        <v>#REF!</v>
      </c>
      <c r="I28" s="1113"/>
      <c r="J28" s="1097" t="e">
        <f t="shared" si="3"/>
        <v>#REF!</v>
      </c>
      <c r="K28" s="1114"/>
      <c r="L28" s="1097" t="e">
        <f t="shared" si="4"/>
        <v>#REF!</v>
      </c>
      <c r="M28" s="1113"/>
      <c r="N28" s="1096"/>
      <c r="O28" s="1098"/>
      <c r="P28" s="1096"/>
      <c r="Q28" s="1107"/>
      <c r="R28" s="1104"/>
    </row>
    <row r="29" spans="1:19" s="1108" customFormat="1" ht="59.45" customHeight="1">
      <c r="A29" s="1090">
        <v>1.8</v>
      </c>
      <c r="B29" s="933" t="s">
        <v>3780</v>
      </c>
      <c r="C29" s="1092"/>
      <c r="D29" s="940" t="s">
        <v>150</v>
      </c>
      <c r="E29" s="1103"/>
      <c r="F29" s="1097">
        <f t="shared" si="0"/>
        <v>0</v>
      </c>
      <c r="G29" s="1103"/>
      <c r="H29" s="1097">
        <f t="shared" si="1"/>
        <v>0</v>
      </c>
      <c r="I29" s="1103"/>
      <c r="J29" s="1097">
        <f t="shared" si="3"/>
        <v>0</v>
      </c>
      <c r="K29" s="1096"/>
      <c r="L29" s="1097">
        <f t="shared" si="4"/>
        <v>0</v>
      </c>
      <c r="M29" s="1103"/>
      <c r="N29" s="1096"/>
      <c r="O29" s="1098"/>
      <c r="P29" s="1096"/>
      <c r="Q29" s="1107"/>
      <c r="R29" s="1104"/>
    </row>
    <row r="30" spans="1:19" s="1126" customFormat="1" ht="43.15" customHeight="1">
      <c r="A30" s="1090"/>
      <c r="B30" s="933" t="s">
        <v>3769</v>
      </c>
      <c r="C30" s="1092" t="e">
        <f>ROUND(#REF!,2)</f>
        <v>#REF!</v>
      </c>
      <c r="D30" s="940" t="s">
        <v>3770</v>
      </c>
      <c r="E30" s="1103"/>
      <c r="F30" s="1097" t="e">
        <f t="shared" si="0"/>
        <v>#REF!</v>
      </c>
      <c r="G30" s="1103"/>
      <c r="H30" s="1097" t="e">
        <f t="shared" si="1"/>
        <v>#REF!</v>
      </c>
      <c r="I30" s="1103"/>
      <c r="J30" s="1097" t="e">
        <f t="shared" si="3"/>
        <v>#REF!</v>
      </c>
      <c r="K30" s="1096"/>
      <c r="L30" s="1097" t="e">
        <f t="shared" si="4"/>
        <v>#REF!</v>
      </c>
      <c r="M30" s="1103"/>
      <c r="N30" s="1096"/>
      <c r="O30" s="1098"/>
      <c r="P30" s="1096"/>
      <c r="Q30" s="1125"/>
      <c r="R30" s="1104"/>
    </row>
    <row r="31" spans="1:19" s="1108" customFormat="1" ht="43.15" customHeight="1">
      <c r="A31" s="1090"/>
      <c r="B31" s="933" t="s">
        <v>3771</v>
      </c>
      <c r="C31" s="1106" t="e">
        <f>ROUND(#REF!,2)</f>
        <v>#REF!</v>
      </c>
      <c r="D31" s="943" t="s">
        <v>3770</v>
      </c>
      <c r="E31" s="1103"/>
      <c r="F31" s="1097" t="e">
        <f t="shared" si="0"/>
        <v>#REF!</v>
      </c>
      <c r="G31" s="1103"/>
      <c r="H31" s="1097" t="e">
        <f t="shared" si="1"/>
        <v>#REF!</v>
      </c>
      <c r="I31" s="1103"/>
      <c r="J31" s="1097" t="e">
        <f t="shared" si="3"/>
        <v>#REF!</v>
      </c>
      <c r="K31" s="1096"/>
      <c r="L31" s="1097" t="e">
        <f t="shared" si="4"/>
        <v>#REF!</v>
      </c>
      <c r="M31" s="1103"/>
      <c r="N31" s="1096"/>
      <c r="O31" s="1098"/>
      <c r="P31" s="1096"/>
      <c r="Q31" s="1107"/>
      <c r="R31" s="1104"/>
    </row>
    <row r="32" spans="1:19" s="1108" customFormat="1" ht="25.5" customHeight="1">
      <c r="A32" s="1090">
        <v>1.9</v>
      </c>
      <c r="B32" s="933" t="s">
        <v>3781</v>
      </c>
      <c r="C32" s="1106"/>
      <c r="D32" s="943"/>
      <c r="E32" s="1103"/>
      <c r="F32" s="1097">
        <f t="shared" si="0"/>
        <v>0</v>
      </c>
      <c r="G32" s="1103"/>
      <c r="H32" s="1097">
        <f t="shared" si="1"/>
        <v>0</v>
      </c>
      <c r="I32" s="1103"/>
      <c r="J32" s="1097">
        <f t="shared" si="3"/>
        <v>0</v>
      </c>
      <c r="K32" s="1096"/>
      <c r="L32" s="1097">
        <f t="shared" si="4"/>
        <v>0</v>
      </c>
      <c r="M32" s="1103"/>
      <c r="N32" s="1096"/>
      <c r="O32" s="1098"/>
      <c r="P32" s="1096"/>
      <c r="Q32" s="1107"/>
      <c r="R32" s="1104"/>
    </row>
    <row r="33" spans="1:18" s="1108" customFormat="1" ht="26.25" customHeight="1">
      <c r="A33" s="1090"/>
      <c r="B33" s="933" t="s">
        <v>3782</v>
      </c>
      <c r="C33" s="1106"/>
      <c r="D33" s="943" t="s">
        <v>303</v>
      </c>
      <c r="E33" s="1103"/>
      <c r="F33" s="1097">
        <f t="shared" si="0"/>
        <v>0</v>
      </c>
      <c r="G33" s="1103"/>
      <c r="H33" s="1097">
        <f t="shared" si="1"/>
        <v>0</v>
      </c>
      <c r="I33" s="1103"/>
      <c r="J33" s="1097">
        <f t="shared" si="3"/>
        <v>0</v>
      </c>
      <c r="K33" s="1096"/>
      <c r="L33" s="1097">
        <f t="shared" si="4"/>
        <v>0</v>
      </c>
      <c r="M33" s="1103"/>
      <c r="N33" s="1096"/>
      <c r="O33" s="1098"/>
      <c r="P33" s="1096"/>
      <c r="Q33" s="1107"/>
      <c r="R33" s="1104"/>
    </row>
    <row r="34" spans="1:18" s="1108" customFormat="1" ht="25.5" customHeight="1">
      <c r="A34" s="1090"/>
      <c r="B34" s="933" t="s">
        <v>3783</v>
      </c>
      <c r="C34" s="1106"/>
      <c r="D34" s="943" t="s">
        <v>303</v>
      </c>
      <c r="E34" s="1103"/>
      <c r="F34" s="1097">
        <f t="shared" si="0"/>
        <v>0</v>
      </c>
      <c r="G34" s="1103"/>
      <c r="H34" s="1097">
        <f t="shared" si="1"/>
        <v>0</v>
      </c>
      <c r="I34" s="1103"/>
      <c r="J34" s="1097">
        <f t="shared" si="3"/>
        <v>0</v>
      </c>
      <c r="K34" s="1096"/>
      <c r="L34" s="1097">
        <f t="shared" si="4"/>
        <v>0</v>
      </c>
      <c r="M34" s="1103"/>
      <c r="N34" s="1096"/>
      <c r="O34" s="1098"/>
      <c r="P34" s="1096"/>
      <c r="Q34" s="1107"/>
      <c r="R34" s="1104"/>
    </row>
    <row r="35" spans="1:18" s="1108" customFormat="1" ht="25.5" customHeight="1">
      <c r="A35" s="1090"/>
      <c r="B35" s="933" t="s">
        <v>3784</v>
      </c>
      <c r="C35" s="1106"/>
      <c r="D35" s="943" t="s">
        <v>303</v>
      </c>
      <c r="E35" s="1103"/>
      <c r="F35" s="1097">
        <f t="shared" si="0"/>
        <v>0</v>
      </c>
      <c r="G35" s="1103"/>
      <c r="H35" s="1097">
        <f t="shared" si="1"/>
        <v>0</v>
      </c>
      <c r="I35" s="1103"/>
      <c r="J35" s="1097">
        <f t="shared" si="3"/>
        <v>0</v>
      </c>
      <c r="K35" s="1096"/>
      <c r="L35" s="1097">
        <f t="shared" si="4"/>
        <v>0</v>
      </c>
      <c r="M35" s="1103"/>
      <c r="N35" s="1096"/>
      <c r="O35" s="1098"/>
      <c r="P35" s="1096"/>
      <c r="Q35" s="1107"/>
      <c r="R35" s="1104"/>
    </row>
    <row r="36" spans="1:18" s="1108" customFormat="1" ht="25.5" customHeight="1">
      <c r="A36" s="1090"/>
      <c r="B36" s="933" t="s">
        <v>3785</v>
      </c>
      <c r="C36" s="1106"/>
      <c r="D36" s="943" t="s">
        <v>303</v>
      </c>
      <c r="E36" s="1103"/>
      <c r="F36" s="1097">
        <f t="shared" si="0"/>
        <v>0</v>
      </c>
      <c r="G36" s="1103"/>
      <c r="H36" s="1097">
        <f t="shared" si="1"/>
        <v>0</v>
      </c>
      <c r="I36" s="1103"/>
      <c r="J36" s="1097">
        <f t="shared" si="3"/>
        <v>0</v>
      </c>
      <c r="K36" s="1096"/>
      <c r="L36" s="1097">
        <f t="shared" si="4"/>
        <v>0</v>
      </c>
      <c r="M36" s="1103"/>
      <c r="N36" s="1096"/>
      <c r="O36" s="1098"/>
      <c r="P36" s="1096"/>
      <c r="Q36" s="1107"/>
      <c r="R36" s="1104"/>
    </row>
    <row r="37" spans="1:18" s="1108" customFormat="1" ht="25.5" customHeight="1">
      <c r="A37" s="1090"/>
      <c r="B37" s="933" t="s">
        <v>3786</v>
      </c>
      <c r="C37" s="1106"/>
      <c r="D37" s="943" t="s">
        <v>303</v>
      </c>
      <c r="E37" s="1103"/>
      <c r="F37" s="1097">
        <f t="shared" si="0"/>
        <v>0</v>
      </c>
      <c r="G37" s="1103"/>
      <c r="H37" s="1097">
        <f t="shared" si="1"/>
        <v>0</v>
      </c>
      <c r="I37" s="1103"/>
      <c r="J37" s="1097">
        <f t="shared" si="3"/>
        <v>0</v>
      </c>
      <c r="K37" s="1096"/>
      <c r="L37" s="1097">
        <f t="shared" si="4"/>
        <v>0</v>
      </c>
      <c r="M37" s="1103"/>
      <c r="N37" s="1096"/>
      <c r="O37" s="1098"/>
      <c r="P37" s="1096"/>
      <c r="Q37" s="1107"/>
      <c r="R37" s="1104"/>
    </row>
    <row r="38" spans="1:18" s="1108" customFormat="1" ht="18.75" customHeight="1">
      <c r="A38" s="1090"/>
      <c r="B38" s="933" t="s">
        <v>3787</v>
      </c>
      <c r="C38" s="1106"/>
      <c r="D38" s="943" t="s">
        <v>303</v>
      </c>
      <c r="E38" s="1103"/>
      <c r="F38" s="1097">
        <f t="shared" si="0"/>
        <v>0</v>
      </c>
      <c r="G38" s="1103"/>
      <c r="H38" s="1097">
        <f t="shared" si="1"/>
        <v>0</v>
      </c>
      <c r="I38" s="1103"/>
      <c r="J38" s="1097">
        <f t="shared" si="3"/>
        <v>0</v>
      </c>
      <c r="K38" s="1096"/>
      <c r="L38" s="1097">
        <f t="shared" si="4"/>
        <v>0</v>
      </c>
      <c r="M38" s="1103"/>
      <c r="N38" s="1096"/>
      <c r="O38" s="1098"/>
      <c r="P38" s="1096"/>
      <c r="Q38" s="1107"/>
      <c r="R38" s="1104"/>
    </row>
    <row r="39" spans="1:18" s="1108" customFormat="1" ht="18.75" customHeight="1">
      <c r="A39" s="1090"/>
      <c r="B39" s="933" t="s">
        <v>5326</v>
      </c>
      <c r="C39" s="1106">
        <v>215.88</v>
      </c>
      <c r="D39" s="943" t="s">
        <v>3770</v>
      </c>
      <c r="E39" s="1103"/>
      <c r="F39" s="1097"/>
      <c r="G39" s="1103"/>
      <c r="H39" s="1097"/>
      <c r="I39" s="1103"/>
      <c r="J39" s="1097"/>
      <c r="K39" s="1096" t="e">
        <f>#REF!</f>
        <v>#REF!</v>
      </c>
      <c r="L39" s="1097"/>
      <c r="M39" s="1103"/>
      <c r="N39" s="1096"/>
      <c r="O39" s="1098"/>
      <c r="P39" s="1096"/>
      <c r="Q39" s="1107"/>
      <c r="R39" s="1104"/>
    </row>
    <row r="40" spans="1:18" s="1127" customFormat="1" ht="43.15" customHeight="1">
      <c r="A40" s="1090">
        <v>2.1</v>
      </c>
      <c r="B40" s="933" t="s">
        <v>908</v>
      </c>
      <c r="C40" s="1092" t="e">
        <f>ROUND(#REF!,2)</f>
        <v>#REF!</v>
      </c>
      <c r="D40" s="940" t="s">
        <v>3770</v>
      </c>
      <c r="E40" s="1096">
        <f>'Ins Abs'!Q12</f>
        <v>5.1581250000000001</v>
      </c>
      <c r="F40" s="1097" t="e">
        <f>C40*E40</f>
        <v>#REF!</v>
      </c>
      <c r="G40" s="1096">
        <f>'SI Abs '!Q13</f>
        <v>7.0950000000000006</v>
      </c>
      <c r="H40" s="1097">
        <f>'SI Abs '!R13</f>
        <v>16396.048350000001</v>
      </c>
      <c r="I40" s="1096">
        <f>'PC Abs'!Q12</f>
        <v>5.5533749999999991</v>
      </c>
      <c r="J40" s="1097">
        <f>'PC Abs'!R12</f>
        <v>12833.460888749996</v>
      </c>
      <c r="K40" s="1096" t="e">
        <f>#REF!</f>
        <v>#REF!</v>
      </c>
      <c r="L40" s="1097" t="e">
        <f t="shared" si="4"/>
        <v>#REF!</v>
      </c>
      <c r="M40" s="1096"/>
      <c r="N40" s="1096"/>
      <c r="O40" s="1098" t="e">
        <f>E40+G40+I40+K40</f>
        <v>#REF!</v>
      </c>
      <c r="P40" s="1096" t="e">
        <f>O40*C40</f>
        <v>#REF!</v>
      </c>
      <c r="Q40" s="1099"/>
      <c r="R40" s="1099"/>
    </row>
    <row r="41" spans="1:18" s="1108" customFormat="1" ht="24" customHeight="1">
      <c r="A41" s="1119">
        <v>2.2000000000000002</v>
      </c>
      <c r="B41" s="935" t="s">
        <v>3788</v>
      </c>
      <c r="C41" s="1120" t="e">
        <f>ROUND(#REF!,2)</f>
        <v>#REF!</v>
      </c>
      <c r="D41" s="1121" t="s">
        <v>3770</v>
      </c>
      <c r="E41" s="1103"/>
      <c r="F41" s="1097" t="e">
        <f t="shared" si="0"/>
        <v>#REF!</v>
      </c>
      <c r="G41" s="1103"/>
      <c r="H41" s="1097" t="e">
        <f t="shared" si="1"/>
        <v>#REF!</v>
      </c>
      <c r="I41" s="1103"/>
      <c r="J41" s="1097" t="e">
        <f t="shared" si="3"/>
        <v>#REF!</v>
      </c>
      <c r="K41" s="1096"/>
      <c r="L41" s="1097" t="e">
        <f t="shared" si="4"/>
        <v>#REF!</v>
      </c>
      <c r="M41" s="1103"/>
      <c r="N41" s="1096"/>
      <c r="O41" s="1098"/>
      <c r="P41" s="1096"/>
      <c r="Q41" s="1107"/>
      <c r="R41" s="1104"/>
    </row>
    <row r="42" spans="1:18" s="1105" customFormat="1" ht="46.5" customHeight="1">
      <c r="A42" s="1115">
        <v>2.2999999999999998</v>
      </c>
      <c r="B42" s="1260" t="s">
        <v>3789</v>
      </c>
      <c r="C42" s="1128" t="e">
        <f>ROUND(#REF!,2)</f>
        <v>#REF!</v>
      </c>
      <c r="D42" s="1116" t="s">
        <v>3770</v>
      </c>
      <c r="E42" s="1103"/>
      <c r="F42" s="1097" t="e">
        <f t="shared" si="0"/>
        <v>#REF!</v>
      </c>
      <c r="G42" s="1103"/>
      <c r="H42" s="1097" t="e">
        <f t="shared" si="1"/>
        <v>#REF!</v>
      </c>
      <c r="I42" s="1103"/>
      <c r="J42" s="1097" t="e">
        <f t="shared" si="3"/>
        <v>#REF!</v>
      </c>
      <c r="K42" s="1096"/>
      <c r="L42" s="1097" t="e">
        <f t="shared" si="4"/>
        <v>#REF!</v>
      </c>
      <c r="M42" s="1103"/>
      <c r="N42" s="1096"/>
      <c r="O42" s="1098"/>
      <c r="P42" s="1096"/>
      <c r="Q42" s="1104"/>
      <c r="R42" s="1104"/>
    </row>
    <row r="43" spans="1:18" s="1105" customFormat="1" ht="46.5" customHeight="1">
      <c r="A43" s="1115">
        <v>2.4</v>
      </c>
      <c r="B43" s="1260" t="s">
        <v>3790</v>
      </c>
      <c r="C43" s="1128" t="e">
        <f>ROUND(#REF!,2)</f>
        <v>#REF!</v>
      </c>
      <c r="D43" s="1116" t="s">
        <v>3770</v>
      </c>
      <c r="E43" s="1103"/>
      <c r="F43" s="1097" t="e">
        <f t="shared" si="0"/>
        <v>#REF!</v>
      </c>
      <c r="G43" s="1103"/>
      <c r="H43" s="1097" t="e">
        <f t="shared" si="1"/>
        <v>#REF!</v>
      </c>
      <c r="I43" s="1103"/>
      <c r="J43" s="1097" t="e">
        <f t="shared" si="3"/>
        <v>#REF!</v>
      </c>
      <c r="K43" s="1096"/>
      <c r="L43" s="1097" t="e">
        <f t="shared" si="4"/>
        <v>#REF!</v>
      </c>
      <c r="M43" s="1103"/>
      <c r="N43" s="1096"/>
      <c r="O43" s="1098"/>
      <c r="P43" s="1096"/>
      <c r="Q43" s="1104"/>
      <c r="R43" s="1104"/>
    </row>
    <row r="44" spans="1:18" s="1108" customFormat="1" ht="22.5" customHeight="1">
      <c r="A44" s="1090">
        <v>2.5</v>
      </c>
      <c r="B44" s="933" t="s">
        <v>3791</v>
      </c>
      <c r="C44" s="1106" t="e">
        <f>ROUND(#REF!,2)</f>
        <v>#REF!</v>
      </c>
      <c r="D44" s="943" t="s">
        <v>3770</v>
      </c>
      <c r="E44" s="1103"/>
      <c r="F44" s="1097" t="e">
        <f t="shared" si="0"/>
        <v>#REF!</v>
      </c>
      <c r="G44" s="1103"/>
      <c r="H44" s="1097" t="e">
        <f t="shared" si="1"/>
        <v>#REF!</v>
      </c>
      <c r="I44" s="1103"/>
      <c r="J44" s="1097" t="e">
        <f t="shared" si="3"/>
        <v>#REF!</v>
      </c>
      <c r="K44" s="1096"/>
      <c r="L44" s="1097" t="e">
        <f t="shared" si="4"/>
        <v>#REF!</v>
      </c>
      <c r="M44" s="1103"/>
      <c r="N44" s="1096"/>
      <c r="O44" s="1098"/>
      <c r="P44" s="1096"/>
      <c r="Q44" s="1107"/>
      <c r="R44" s="1104"/>
    </row>
    <row r="45" spans="1:18" s="1108" customFormat="1" ht="48" customHeight="1">
      <c r="A45" s="1090">
        <v>2.6</v>
      </c>
      <c r="B45" s="933" t="s">
        <v>3792</v>
      </c>
      <c r="C45" s="1092" t="e">
        <f>ROUND(#REF!,2)</f>
        <v>#REF!</v>
      </c>
      <c r="D45" s="940" t="s">
        <v>3770</v>
      </c>
      <c r="E45" s="1103"/>
      <c r="F45" s="1097" t="e">
        <f t="shared" si="0"/>
        <v>#REF!</v>
      </c>
      <c r="G45" s="1103"/>
      <c r="H45" s="1097" t="e">
        <f t="shared" si="1"/>
        <v>#REF!</v>
      </c>
      <c r="I45" s="1103"/>
      <c r="J45" s="1097" t="e">
        <f t="shared" si="3"/>
        <v>#REF!</v>
      </c>
      <c r="K45" s="1096"/>
      <c r="L45" s="1097" t="e">
        <f t="shared" si="4"/>
        <v>#REF!</v>
      </c>
      <c r="M45" s="1103"/>
      <c r="N45" s="1096"/>
      <c r="O45" s="1098"/>
      <c r="P45" s="1096"/>
      <c r="Q45" s="1107"/>
      <c r="R45" s="1104"/>
    </row>
    <row r="46" spans="1:18" s="1108" customFormat="1" ht="48" customHeight="1">
      <c r="A46" s="1090">
        <v>2.7</v>
      </c>
      <c r="B46" s="933" t="s">
        <v>3793</v>
      </c>
      <c r="C46" s="1092" t="e">
        <f>ROUND(#REF!,2)</f>
        <v>#REF!</v>
      </c>
      <c r="D46" s="940" t="s">
        <v>3770</v>
      </c>
      <c r="E46" s="1103"/>
      <c r="F46" s="1097" t="e">
        <f t="shared" si="0"/>
        <v>#REF!</v>
      </c>
      <c r="G46" s="1103"/>
      <c r="H46" s="1097" t="e">
        <f t="shared" si="1"/>
        <v>#REF!</v>
      </c>
      <c r="I46" s="1103"/>
      <c r="J46" s="1097" t="e">
        <f t="shared" si="3"/>
        <v>#REF!</v>
      </c>
      <c r="K46" s="1096"/>
      <c r="L46" s="1097" t="e">
        <f t="shared" si="4"/>
        <v>#REF!</v>
      </c>
      <c r="M46" s="1103"/>
      <c r="N46" s="1096"/>
      <c r="O46" s="1098"/>
      <c r="P46" s="1096"/>
      <c r="Q46" s="1107"/>
      <c r="R46" s="1104"/>
    </row>
    <row r="47" spans="1:18" s="1127" customFormat="1" ht="48" customHeight="1">
      <c r="A47" s="1090">
        <v>3.1</v>
      </c>
      <c r="B47" s="933" t="s">
        <v>3794</v>
      </c>
      <c r="C47" s="1092" t="e">
        <f>ROUND(#REF!,2)</f>
        <v>#REF!</v>
      </c>
      <c r="D47" s="940" t="s">
        <v>3770</v>
      </c>
      <c r="E47" s="1096">
        <f>'Ins Abs'!Q13</f>
        <v>14.925000000000001</v>
      </c>
      <c r="F47" s="1097" t="e">
        <f t="shared" si="0"/>
        <v>#REF!</v>
      </c>
      <c r="G47" s="1096">
        <f>'SI Abs '!Q14</f>
        <v>31.1</v>
      </c>
      <c r="H47" s="1097">
        <f>'SI Abs '!R14</f>
        <v>200809.49670000005</v>
      </c>
      <c r="I47" s="1096">
        <f>'PC Abs'!Q13</f>
        <v>21.744999999999997</v>
      </c>
      <c r="J47" s="1097">
        <f>'PC Abs'!R13</f>
        <v>140405.22526500002</v>
      </c>
      <c r="K47" s="1096" t="e">
        <f>#REF!</f>
        <v>#REF!</v>
      </c>
      <c r="L47" s="1097" t="e">
        <f t="shared" si="4"/>
        <v>#REF!</v>
      </c>
      <c r="M47" s="1096"/>
      <c r="N47" s="1096"/>
      <c r="O47" s="1098" t="e">
        <f t="shared" ref="O47:O48" si="5">E47+G47+I47+K47</f>
        <v>#REF!</v>
      </c>
      <c r="P47" s="1096" t="e">
        <f>O47*C47</f>
        <v>#REF!</v>
      </c>
      <c r="Q47" s="1099"/>
      <c r="R47" s="1099"/>
    </row>
    <row r="48" spans="1:18" ht="60" customHeight="1">
      <c r="A48" s="1090">
        <v>3.2</v>
      </c>
      <c r="B48" s="933" t="s">
        <v>3795</v>
      </c>
      <c r="C48" s="1092" t="e">
        <f>ROUND(#REF!,2)</f>
        <v>#REF!</v>
      </c>
      <c r="D48" s="940" t="s">
        <v>3770</v>
      </c>
      <c r="E48" s="1096">
        <f>'Ins Abs'!Q14</f>
        <v>6.48</v>
      </c>
      <c r="F48" s="1097" t="e">
        <f t="shared" si="0"/>
        <v>#REF!</v>
      </c>
      <c r="G48" s="1096">
        <f>'SI Abs '!Q15</f>
        <v>22.54</v>
      </c>
      <c r="H48" s="1097">
        <f>'SI Abs '!R15</f>
        <v>180382.50341999996</v>
      </c>
      <c r="I48" s="1096">
        <f>'PC Abs'!Q14</f>
        <v>11.052999999999999</v>
      </c>
      <c r="J48" s="1097">
        <f>'PC Abs'!R14</f>
        <v>88454.649968999991</v>
      </c>
      <c r="K48" s="1096"/>
      <c r="L48" s="1097" t="e">
        <f t="shared" si="4"/>
        <v>#REF!</v>
      </c>
      <c r="M48" s="1096"/>
      <c r="N48" s="1096"/>
      <c r="O48" s="1098">
        <f t="shared" si="5"/>
        <v>40.073</v>
      </c>
      <c r="P48" s="1096" t="e">
        <f>O48*C48</f>
        <v>#REF!</v>
      </c>
      <c r="Q48" s="1099"/>
      <c r="R48" s="1099"/>
    </row>
    <row r="49" spans="1:18" s="1108" customFormat="1" ht="56.25" customHeight="1">
      <c r="A49" s="1090">
        <v>3.3</v>
      </c>
      <c r="B49" s="933" t="s">
        <v>3796</v>
      </c>
      <c r="C49" s="1092" t="e">
        <f>ROUND(#REF!,2)</f>
        <v>#REF!</v>
      </c>
      <c r="D49" s="940" t="s">
        <v>3770</v>
      </c>
      <c r="E49" s="1103"/>
      <c r="F49" s="1097" t="e">
        <f t="shared" si="0"/>
        <v>#REF!</v>
      </c>
      <c r="G49" s="1103"/>
      <c r="H49" s="1097" t="e">
        <f t="shared" si="1"/>
        <v>#REF!</v>
      </c>
      <c r="I49" s="1103"/>
      <c r="J49" s="1097" t="e">
        <f t="shared" si="3"/>
        <v>#REF!</v>
      </c>
      <c r="K49" s="1096"/>
      <c r="L49" s="1097" t="e">
        <f t="shared" si="4"/>
        <v>#REF!</v>
      </c>
      <c r="M49" s="1103"/>
      <c r="N49" s="1096"/>
      <c r="O49" s="1098"/>
      <c r="P49" s="1096"/>
      <c r="Q49" s="1107"/>
      <c r="R49" s="1104"/>
    </row>
    <row r="50" spans="1:18" s="1108" customFormat="1" ht="46.5" customHeight="1">
      <c r="A50" s="1090">
        <v>3.4</v>
      </c>
      <c r="B50" s="933" t="s">
        <v>3797</v>
      </c>
      <c r="C50" s="1106"/>
      <c r="D50" s="943" t="s">
        <v>3798</v>
      </c>
      <c r="E50" s="1103"/>
      <c r="F50" s="1097">
        <f t="shared" si="0"/>
        <v>0</v>
      </c>
      <c r="G50" s="1103"/>
      <c r="H50" s="1097">
        <f t="shared" si="1"/>
        <v>0</v>
      </c>
      <c r="I50" s="1103"/>
      <c r="J50" s="1097">
        <f t="shared" si="3"/>
        <v>0</v>
      </c>
      <c r="K50" s="1096"/>
      <c r="L50" s="1097">
        <f t="shared" si="4"/>
        <v>0</v>
      </c>
      <c r="M50" s="1103"/>
      <c r="N50" s="1096"/>
      <c r="O50" s="1098"/>
      <c r="P50" s="1096"/>
      <c r="Q50" s="1107"/>
      <c r="R50" s="1104"/>
    </row>
    <row r="51" spans="1:18" s="1108" customFormat="1" ht="25.5" customHeight="1">
      <c r="A51" s="1090">
        <v>3.5</v>
      </c>
      <c r="B51" s="933" t="s">
        <v>3799</v>
      </c>
      <c r="C51" s="1106"/>
      <c r="D51" s="943" t="s">
        <v>3798</v>
      </c>
      <c r="E51" s="1103"/>
      <c r="F51" s="1097">
        <f t="shared" si="0"/>
        <v>0</v>
      </c>
      <c r="G51" s="1103"/>
      <c r="H51" s="1097">
        <f t="shared" si="1"/>
        <v>0</v>
      </c>
      <c r="I51" s="1103"/>
      <c r="J51" s="1097">
        <f t="shared" si="3"/>
        <v>0</v>
      </c>
      <c r="K51" s="1096"/>
      <c r="L51" s="1097">
        <f t="shared" si="4"/>
        <v>0</v>
      </c>
      <c r="M51" s="1103"/>
      <c r="N51" s="1096"/>
      <c r="O51" s="1098"/>
      <c r="P51" s="1096"/>
      <c r="Q51" s="1107"/>
      <c r="R51" s="1104"/>
    </row>
    <row r="52" spans="1:18" s="1108" customFormat="1" ht="93" customHeight="1">
      <c r="A52" s="1090">
        <v>3.6</v>
      </c>
      <c r="B52" s="933" t="s">
        <v>3800</v>
      </c>
      <c r="C52" s="1106" t="e">
        <f>ROUND(#REF!,2)</f>
        <v>#REF!</v>
      </c>
      <c r="D52" s="943" t="s">
        <v>3798</v>
      </c>
      <c r="E52" s="1103"/>
      <c r="F52" s="1097" t="e">
        <f t="shared" si="0"/>
        <v>#REF!</v>
      </c>
      <c r="G52" s="1103"/>
      <c r="H52" s="1097" t="e">
        <f t="shared" si="1"/>
        <v>#REF!</v>
      </c>
      <c r="I52" s="1103"/>
      <c r="J52" s="1097" t="e">
        <f t="shared" si="3"/>
        <v>#REF!</v>
      </c>
      <c r="K52" s="1096"/>
      <c r="L52" s="1097" t="e">
        <f t="shared" si="4"/>
        <v>#REF!</v>
      </c>
      <c r="M52" s="1103"/>
      <c r="N52" s="1096"/>
      <c r="O52" s="1098"/>
      <c r="P52" s="1096"/>
      <c r="Q52" s="1107"/>
      <c r="R52" s="1104"/>
    </row>
    <row r="53" spans="1:18" s="1108" customFormat="1" ht="46.5" customHeight="1">
      <c r="A53" s="1090">
        <v>3.7</v>
      </c>
      <c r="B53" s="933" t="s">
        <v>3801</v>
      </c>
      <c r="C53" s="1106" t="e">
        <f>ROUND(#REF!,2)</f>
        <v>#REF!</v>
      </c>
      <c r="D53" s="943" t="s">
        <v>3798</v>
      </c>
      <c r="E53" s="1103"/>
      <c r="F53" s="1097" t="e">
        <f t="shared" si="0"/>
        <v>#REF!</v>
      </c>
      <c r="G53" s="1103"/>
      <c r="H53" s="1097" t="e">
        <f t="shared" si="1"/>
        <v>#REF!</v>
      </c>
      <c r="I53" s="1103"/>
      <c r="J53" s="1097" t="e">
        <f t="shared" si="3"/>
        <v>#REF!</v>
      </c>
      <c r="K53" s="1096"/>
      <c r="L53" s="1097" t="e">
        <f t="shared" si="4"/>
        <v>#REF!</v>
      </c>
      <c r="M53" s="1103"/>
      <c r="N53" s="1096"/>
      <c r="O53" s="1098"/>
      <c r="P53" s="1096"/>
      <c r="Q53" s="1107"/>
      <c r="R53" s="1104"/>
    </row>
    <row r="54" spans="1:18" s="1108" customFormat="1" ht="44.45" customHeight="1">
      <c r="A54" s="1090">
        <v>4.0999999999999996</v>
      </c>
      <c r="B54" s="1262" t="s">
        <v>3802</v>
      </c>
      <c r="C54" s="1106" t="e">
        <f>ROUND(#REF!,2)</f>
        <v>#REF!</v>
      </c>
      <c r="D54" s="943" t="s">
        <v>3770</v>
      </c>
      <c r="E54" s="1103"/>
      <c r="F54" s="1097" t="e">
        <f t="shared" si="0"/>
        <v>#REF!</v>
      </c>
      <c r="G54" s="1103"/>
      <c r="H54" s="1097" t="e">
        <f t="shared" si="1"/>
        <v>#REF!</v>
      </c>
      <c r="I54" s="1103"/>
      <c r="J54" s="1097" t="e">
        <f t="shared" si="3"/>
        <v>#REF!</v>
      </c>
      <c r="K54" s="1096"/>
      <c r="L54" s="1097" t="e">
        <f t="shared" si="4"/>
        <v>#REF!</v>
      </c>
      <c r="M54" s="1103"/>
      <c r="N54" s="1096"/>
      <c r="O54" s="1098"/>
      <c r="P54" s="1096"/>
      <c r="Q54" s="1107"/>
      <c r="R54" s="1104"/>
    </row>
    <row r="55" spans="1:18" s="1108" customFormat="1" ht="44.45" customHeight="1">
      <c r="A55" s="1090">
        <v>4.2</v>
      </c>
      <c r="B55" s="1262" t="s">
        <v>3803</v>
      </c>
      <c r="C55" s="1106" t="e">
        <f>#REF!</f>
        <v>#REF!</v>
      </c>
      <c r="D55" s="943" t="s">
        <v>3770</v>
      </c>
      <c r="E55" s="1103"/>
      <c r="F55" s="1097" t="e">
        <f t="shared" si="0"/>
        <v>#REF!</v>
      </c>
      <c r="G55" s="1103"/>
      <c r="H55" s="1097" t="e">
        <f t="shared" si="1"/>
        <v>#REF!</v>
      </c>
      <c r="I55" s="1103"/>
      <c r="J55" s="1097" t="e">
        <f t="shared" si="3"/>
        <v>#REF!</v>
      </c>
      <c r="K55" s="1096"/>
      <c r="L55" s="1097" t="e">
        <f t="shared" si="4"/>
        <v>#REF!</v>
      </c>
      <c r="M55" s="1103"/>
      <c r="N55" s="1096"/>
      <c r="O55" s="1098"/>
      <c r="P55" s="1096"/>
      <c r="Q55" s="1107"/>
      <c r="R55" s="1104"/>
    </row>
    <row r="56" spans="1:18" s="1105" customFormat="1" ht="71.25" customHeight="1">
      <c r="A56" s="1115">
        <v>5</v>
      </c>
      <c r="B56" s="1260" t="s">
        <v>3804</v>
      </c>
      <c r="C56" s="1128" t="e">
        <f>ROUND(#REF!,2)</f>
        <v>#REF!</v>
      </c>
      <c r="D56" s="1116" t="s">
        <v>3770</v>
      </c>
      <c r="E56" s="1103"/>
      <c r="F56" s="1097" t="e">
        <f t="shared" si="0"/>
        <v>#REF!</v>
      </c>
      <c r="G56" s="1103"/>
      <c r="H56" s="1097" t="e">
        <f t="shared" si="1"/>
        <v>#REF!</v>
      </c>
      <c r="I56" s="1103"/>
      <c r="J56" s="1097" t="e">
        <f t="shared" si="3"/>
        <v>#REF!</v>
      </c>
      <c r="K56" s="1096"/>
      <c r="L56" s="1097" t="e">
        <f t="shared" si="4"/>
        <v>#REF!</v>
      </c>
      <c r="M56" s="1103"/>
      <c r="N56" s="1096"/>
      <c r="O56" s="1098"/>
      <c r="P56" s="1096"/>
      <c r="Q56" s="1104"/>
      <c r="R56" s="1104"/>
    </row>
    <row r="57" spans="1:18" s="1108" customFormat="1" ht="69.75" customHeight="1">
      <c r="A57" s="1090">
        <v>6.1</v>
      </c>
      <c r="B57" s="1262" t="s">
        <v>3805</v>
      </c>
      <c r="C57" s="1106" t="e">
        <f>#REF!</f>
        <v>#REF!</v>
      </c>
      <c r="D57" s="943" t="s">
        <v>3770</v>
      </c>
      <c r="E57" s="1103"/>
      <c r="F57" s="1097" t="e">
        <f t="shared" si="0"/>
        <v>#REF!</v>
      </c>
      <c r="G57" s="1103"/>
      <c r="H57" s="1097" t="e">
        <f t="shared" si="1"/>
        <v>#REF!</v>
      </c>
      <c r="I57" s="1103"/>
      <c r="J57" s="1097" t="e">
        <f t="shared" si="3"/>
        <v>#REF!</v>
      </c>
      <c r="K57" s="1096"/>
      <c r="L57" s="1097" t="e">
        <f t="shared" si="4"/>
        <v>#REF!</v>
      </c>
      <c r="M57" s="1103"/>
      <c r="N57" s="1096"/>
      <c r="O57" s="1098"/>
      <c r="P57" s="1096"/>
      <c r="Q57" s="1107"/>
      <c r="R57" s="1104"/>
    </row>
    <row r="58" spans="1:18" s="1108" customFormat="1" ht="69" customHeight="1">
      <c r="A58" s="1090">
        <v>6.2</v>
      </c>
      <c r="B58" s="1262" t="s">
        <v>3806</v>
      </c>
      <c r="C58" s="1092" t="e">
        <f>ROUND(#REF!,2)</f>
        <v>#REF!</v>
      </c>
      <c r="D58" s="940" t="s">
        <v>3770</v>
      </c>
      <c r="E58" s="1096">
        <f>'Ins Abs'!Q15</f>
        <v>4.9494999999999996</v>
      </c>
      <c r="F58" s="1097" t="e">
        <f>C58*E58</f>
        <v>#REF!</v>
      </c>
      <c r="G58" s="1096">
        <f>'SI Abs '!Q16</f>
        <v>4.3499999999999996</v>
      </c>
      <c r="H58" s="1097">
        <f>'SI Abs '!R16</f>
        <v>37688.574572691825</v>
      </c>
      <c r="I58" s="1096">
        <f>'PC Abs'!Q15</f>
        <v>8.0500000000000007</v>
      </c>
      <c r="J58" s="1097">
        <f>'PC Abs'!R15</f>
        <v>69745.523059809013</v>
      </c>
      <c r="K58" s="1096"/>
      <c r="L58" s="1097" t="e">
        <f t="shared" si="4"/>
        <v>#REF!</v>
      </c>
      <c r="M58" s="1096"/>
      <c r="N58" s="1096"/>
      <c r="O58" s="1098">
        <f>E58+G58+I58+K58</f>
        <v>17.349499999999999</v>
      </c>
      <c r="P58" s="1096" t="e">
        <f>O58*C58</f>
        <v>#REF!</v>
      </c>
      <c r="Q58" s="1107"/>
      <c r="R58" s="1099"/>
    </row>
    <row r="59" spans="1:18" s="1108" customFormat="1" ht="69.75" customHeight="1">
      <c r="A59" s="1090">
        <v>6.3</v>
      </c>
      <c r="B59" s="1262" t="s">
        <v>3807</v>
      </c>
      <c r="C59" s="1106"/>
      <c r="D59" s="943" t="s">
        <v>3770</v>
      </c>
      <c r="E59" s="1103"/>
      <c r="F59" s="1097">
        <f t="shared" si="0"/>
        <v>0</v>
      </c>
      <c r="G59" s="1103"/>
      <c r="H59" s="1097">
        <f t="shared" si="1"/>
        <v>0</v>
      </c>
      <c r="I59" s="1103"/>
      <c r="J59" s="1097">
        <f t="shared" si="3"/>
        <v>0</v>
      </c>
      <c r="K59" s="1096"/>
      <c r="L59" s="1097">
        <f t="shared" si="4"/>
        <v>0</v>
      </c>
      <c r="M59" s="1103"/>
      <c r="N59" s="1096"/>
      <c r="O59" s="1098"/>
      <c r="P59" s="1096"/>
      <c r="Q59" s="1107"/>
      <c r="R59" s="1104"/>
    </row>
    <row r="60" spans="1:18" s="1108" customFormat="1" ht="69" customHeight="1">
      <c r="A60" s="1090">
        <v>6.4</v>
      </c>
      <c r="B60" s="1262" t="s">
        <v>3808</v>
      </c>
      <c r="C60" s="1106"/>
      <c r="D60" s="943" t="s">
        <v>3770</v>
      </c>
      <c r="E60" s="1103"/>
      <c r="F60" s="1097">
        <f t="shared" si="0"/>
        <v>0</v>
      </c>
      <c r="G60" s="1103"/>
      <c r="H60" s="1097">
        <f t="shared" si="1"/>
        <v>0</v>
      </c>
      <c r="I60" s="1103"/>
      <c r="J60" s="1097">
        <f t="shared" si="3"/>
        <v>0</v>
      </c>
      <c r="K60" s="1096"/>
      <c r="L60" s="1097">
        <f t="shared" si="4"/>
        <v>0</v>
      </c>
      <c r="M60" s="1103"/>
      <c r="N60" s="1096"/>
      <c r="O60" s="1098"/>
      <c r="P60" s="1096"/>
      <c r="Q60" s="1107"/>
      <c r="R60" s="1104"/>
    </row>
    <row r="61" spans="1:18" s="1105" customFormat="1" ht="80.25" customHeight="1">
      <c r="A61" s="1129">
        <v>6.5</v>
      </c>
      <c r="B61" s="1263" t="s">
        <v>3809</v>
      </c>
      <c r="C61" s="1117" t="e">
        <f>#REF!</f>
        <v>#REF!</v>
      </c>
      <c r="D61" s="1118" t="s">
        <v>3770</v>
      </c>
      <c r="E61" s="1103"/>
      <c r="F61" s="1097" t="e">
        <f t="shared" si="0"/>
        <v>#REF!</v>
      </c>
      <c r="G61" s="1103"/>
      <c r="H61" s="1097" t="e">
        <f t="shared" si="1"/>
        <v>#REF!</v>
      </c>
      <c r="I61" s="1103"/>
      <c r="J61" s="1097" t="e">
        <f t="shared" si="3"/>
        <v>#REF!</v>
      </c>
      <c r="K61" s="1096"/>
      <c r="L61" s="1097" t="e">
        <f t="shared" si="4"/>
        <v>#REF!</v>
      </c>
      <c r="M61" s="1103"/>
      <c r="N61" s="1096"/>
      <c r="O61" s="1098"/>
      <c r="P61" s="1096"/>
      <c r="Q61" s="1104"/>
      <c r="R61" s="1104"/>
    </row>
    <row r="62" spans="1:18" s="1108" customFormat="1" ht="69.75" customHeight="1">
      <c r="A62" s="1119">
        <v>6.6</v>
      </c>
      <c r="B62" s="1264" t="s">
        <v>3810</v>
      </c>
      <c r="C62" s="1120"/>
      <c r="D62" s="1121" t="s">
        <v>3770</v>
      </c>
      <c r="E62" s="1103"/>
      <c r="F62" s="1097">
        <f t="shared" si="0"/>
        <v>0</v>
      </c>
      <c r="G62" s="1103"/>
      <c r="H62" s="1097">
        <f t="shared" si="1"/>
        <v>0</v>
      </c>
      <c r="I62" s="1103"/>
      <c r="J62" s="1097">
        <f t="shared" si="3"/>
        <v>0</v>
      </c>
      <c r="K62" s="1096"/>
      <c r="L62" s="1097">
        <f t="shared" si="4"/>
        <v>0</v>
      </c>
      <c r="M62" s="1103"/>
      <c r="N62" s="1096"/>
      <c r="O62" s="1098"/>
      <c r="P62" s="1096"/>
      <c r="Q62" s="1107"/>
      <c r="R62" s="1104"/>
    </row>
    <row r="63" spans="1:18" s="1108" customFormat="1" ht="46.5" customHeight="1">
      <c r="A63" s="1090">
        <v>7.1</v>
      </c>
      <c r="B63" s="1262" t="s">
        <v>3811</v>
      </c>
      <c r="C63" s="1106"/>
      <c r="D63" s="943" t="s">
        <v>3798</v>
      </c>
      <c r="E63" s="1103"/>
      <c r="F63" s="1097">
        <f t="shared" si="0"/>
        <v>0</v>
      </c>
      <c r="G63" s="1103"/>
      <c r="H63" s="1097">
        <f t="shared" si="1"/>
        <v>0</v>
      </c>
      <c r="I63" s="1103"/>
      <c r="J63" s="1097">
        <f t="shared" si="3"/>
        <v>0</v>
      </c>
      <c r="K63" s="1096"/>
      <c r="L63" s="1097">
        <f t="shared" si="4"/>
        <v>0</v>
      </c>
      <c r="M63" s="1103"/>
      <c r="N63" s="1096"/>
      <c r="O63" s="1098"/>
      <c r="P63" s="1096"/>
      <c r="Q63" s="1107"/>
      <c r="R63" s="1104"/>
    </row>
    <row r="64" spans="1:18" s="1108" customFormat="1" ht="72" customHeight="1">
      <c r="A64" s="1090">
        <v>7.2</v>
      </c>
      <c r="B64" s="933" t="s">
        <v>3812</v>
      </c>
      <c r="C64" s="1106" t="e">
        <f>ROUND(#REF!,2)</f>
        <v>#REF!</v>
      </c>
      <c r="D64" s="943" t="s">
        <v>3798</v>
      </c>
      <c r="E64" s="1096"/>
      <c r="F64" s="1097" t="e">
        <f t="shared" si="0"/>
        <v>#REF!</v>
      </c>
      <c r="G64" s="1096"/>
      <c r="H64" s="1097" t="e">
        <f t="shared" si="1"/>
        <v>#REF!</v>
      </c>
      <c r="I64" s="1096"/>
      <c r="J64" s="1097" t="e">
        <f t="shared" si="3"/>
        <v>#REF!</v>
      </c>
      <c r="K64" s="1096"/>
      <c r="L64" s="1097" t="e">
        <f t="shared" si="4"/>
        <v>#REF!</v>
      </c>
      <c r="M64" s="1096"/>
      <c r="N64" s="1096"/>
      <c r="O64" s="1098"/>
      <c r="P64" s="1096"/>
      <c r="Q64" s="1107"/>
      <c r="R64" s="1099"/>
    </row>
    <row r="65" spans="1:18" s="1108" customFormat="1" ht="46.5" customHeight="1">
      <c r="A65" s="1119">
        <v>7.3</v>
      </c>
      <c r="B65" s="1264" t="s">
        <v>3813</v>
      </c>
      <c r="C65" s="1120" t="e">
        <f>ROUND(#REF!,2)</f>
        <v>#REF!</v>
      </c>
      <c r="D65" s="1121" t="s">
        <v>3798</v>
      </c>
      <c r="E65" s="1103"/>
      <c r="F65" s="1097" t="e">
        <f t="shared" si="0"/>
        <v>#REF!</v>
      </c>
      <c r="G65" s="1103"/>
      <c r="H65" s="1097" t="e">
        <f t="shared" si="1"/>
        <v>#REF!</v>
      </c>
      <c r="I65" s="1103"/>
      <c r="J65" s="1097" t="e">
        <f t="shared" si="3"/>
        <v>#REF!</v>
      </c>
      <c r="K65" s="1096"/>
      <c r="L65" s="1097" t="e">
        <f t="shared" si="4"/>
        <v>#REF!</v>
      </c>
      <c r="M65" s="1103"/>
      <c r="N65" s="1096"/>
      <c r="O65" s="1098"/>
      <c r="P65" s="1096"/>
      <c r="Q65" s="1107"/>
      <c r="R65" s="1104"/>
    </row>
    <row r="66" spans="1:18" s="1126" customFormat="1" ht="25.5" customHeight="1">
      <c r="A66" s="1090">
        <v>8.1</v>
      </c>
      <c r="B66" s="1262" t="s">
        <v>3814</v>
      </c>
      <c r="C66" s="1106"/>
      <c r="D66" s="943"/>
      <c r="E66" s="1103"/>
      <c r="F66" s="1097">
        <f t="shared" si="0"/>
        <v>0</v>
      </c>
      <c r="G66" s="1103"/>
      <c r="H66" s="1097">
        <f t="shared" si="1"/>
        <v>0</v>
      </c>
      <c r="I66" s="1103"/>
      <c r="J66" s="1097">
        <f t="shared" si="3"/>
        <v>0</v>
      </c>
      <c r="K66" s="1096"/>
      <c r="L66" s="1097">
        <f t="shared" si="4"/>
        <v>0</v>
      </c>
      <c r="M66" s="1103"/>
      <c r="N66" s="1096"/>
      <c r="O66" s="1098"/>
      <c r="P66" s="1096"/>
      <c r="Q66" s="1125"/>
      <c r="R66" s="1104"/>
    </row>
    <row r="67" spans="1:18" s="1126" customFormat="1" ht="25.5" customHeight="1">
      <c r="A67" s="1090"/>
      <c r="B67" s="933" t="s">
        <v>3815</v>
      </c>
      <c r="C67" s="1106" t="e">
        <f>ROUND(#REF!,2)</f>
        <v>#REF!</v>
      </c>
      <c r="D67" s="943" t="s">
        <v>3770</v>
      </c>
      <c r="E67" s="1103"/>
      <c r="F67" s="1097" t="e">
        <f t="shared" si="0"/>
        <v>#REF!</v>
      </c>
      <c r="G67" s="1103"/>
      <c r="H67" s="1097" t="e">
        <f t="shared" si="1"/>
        <v>#REF!</v>
      </c>
      <c r="I67" s="1103"/>
      <c r="J67" s="1097" t="e">
        <f t="shared" si="3"/>
        <v>#REF!</v>
      </c>
      <c r="K67" s="1096"/>
      <c r="L67" s="1097" t="e">
        <f t="shared" si="4"/>
        <v>#REF!</v>
      </c>
      <c r="M67" s="1103"/>
      <c r="N67" s="1096"/>
      <c r="O67" s="1098"/>
      <c r="P67" s="1096"/>
      <c r="Q67" s="1125"/>
      <c r="R67" s="1104"/>
    </row>
    <row r="68" spans="1:18" s="1126" customFormat="1" ht="25.5" customHeight="1">
      <c r="A68" s="1090"/>
      <c r="B68" s="933" t="s">
        <v>3816</v>
      </c>
      <c r="C68" s="1106" t="e">
        <f>ROUND(#REF!,2)</f>
        <v>#REF!</v>
      </c>
      <c r="D68" s="943" t="s">
        <v>3770</v>
      </c>
      <c r="E68" s="1103"/>
      <c r="F68" s="1097" t="e">
        <f t="shared" si="0"/>
        <v>#REF!</v>
      </c>
      <c r="G68" s="1103"/>
      <c r="H68" s="1097" t="e">
        <f t="shared" si="1"/>
        <v>#REF!</v>
      </c>
      <c r="I68" s="1103"/>
      <c r="J68" s="1097" t="e">
        <f t="shared" si="3"/>
        <v>#REF!</v>
      </c>
      <c r="K68" s="1096"/>
      <c r="L68" s="1097" t="e">
        <f t="shared" si="4"/>
        <v>#REF!</v>
      </c>
      <c r="M68" s="1103"/>
      <c r="N68" s="1096"/>
      <c r="O68" s="1098"/>
      <c r="P68" s="1096"/>
      <c r="Q68" s="1125"/>
      <c r="R68" s="1104"/>
    </row>
    <row r="69" spans="1:18" s="1126" customFormat="1" ht="25.5" customHeight="1">
      <c r="A69" s="1090"/>
      <c r="B69" s="933" t="s">
        <v>3817</v>
      </c>
      <c r="C69" s="1106" t="e">
        <f>ROUND(#REF!,2)</f>
        <v>#REF!</v>
      </c>
      <c r="D69" s="943" t="s">
        <v>3770</v>
      </c>
      <c r="E69" s="1103"/>
      <c r="F69" s="1097" t="e">
        <f t="shared" si="0"/>
        <v>#REF!</v>
      </c>
      <c r="G69" s="1103"/>
      <c r="H69" s="1097" t="e">
        <f t="shared" si="1"/>
        <v>#REF!</v>
      </c>
      <c r="I69" s="1103"/>
      <c r="J69" s="1097" t="e">
        <f t="shared" si="3"/>
        <v>#REF!</v>
      </c>
      <c r="K69" s="1096"/>
      <c r="L69" s="1097" t="e">
        <f t="shared" si="4"/>
        <v>#REF!</v>
      </c>
      <c r="M69" s="1103"/>
      <c r="N69" s="1096"/>
      <c r="O69" s="1098"/>
      <c r="P69" s="1096"/>
      <c r="Q69" s="1125"/>
      <c r="R69" s="1104"/>
    </row>
    <row r="70" spans="1:18" s="1126" customFormat="1" ht="25.5" customHeight="1">
      <c r="A70" s="1090"/>
      <c r="B70" s="933" t="s">
        <v>3818</v>
      </c>
      <c r="C70" s="1106" t="e">
        <f>ROUND(#REF!,2)</f>
        <v>#REF!</v>
      </c>
      <c r="D70" s="943" t="s">
        <v>3770</v>
      </c>
      <c r="E70" s="1103"/>
      <c r="F70" s="1097" t="e">
        <f t="shared" si="0"/>
        <v>#REF!</v>
      </c>
      <c r="G70" s="1103"/>
      <c r="H70" s="1097" t="e">
        <f t="shared" si="1"/>
        <v>#REF!</v>
      </c>
      <c r="I70" s="1103"/>
      <c r="J70" s="1097" t="e">
        <f t="shared" si="3"/>
        <v>#REF!</v>
      </c>
      <c r="K70" s="1096"/>
      <c r="L70" s="1097" t="e">
        <f t="shared" si="4"/>
        <v>#REF!</v>
      </c>
      <c r="M70" s="1103"/>
      <c r="N70" s="1096"/>
      <c r="O70" s="1098"/>
      <c r="P70" s="1096"/>
      <c r="Q70" s="1125"/>
      <c r="R70" s="1104"/>
    </row>
    <row r="71" spans="1:18" s="1126" customFormat="1" ht="25.5" customHeight="1">
      <c r="A71" s="1130"/>
      <c r="B71" s="933" t="s">
        <v>3819</v>
      </c>
      <c r="C71" s="1106" t="e">
        <f>ROUND(#REF!,2)</f>
        <v>#REF!</v>
      </c>
      <c r="D71" s="943" t="s">
        <v>3770</v>
      </c>
      <c r="E71" s="1103"/>
      <c r="F71" s="1097" t="e">
        <f t="shared" si="0"/>
        <v>#REF!</v>
      </c>
      <c r="G71" s="1103"/>
      <c r="H71" s="1097" t="e">
        <f t="shared" si="1"/>
        <v>#REF!</v>
      </c>
      <c r="I71" s="1103"/>
      <c r="J71" s="1097" t="e">
        <f t="shared" si="3"/>
        <v>#REF!</v>
      </c>
      <c r="K71" s="1096"/>
      <c r="L71" s="1097" t="e">
        <f t="shared" si="4"/>
        <v>#REF!</v>
      </c>
      <c r="M71" s="1103"/>
      <c r="N71" s="1096"/>
      <c r="O71" s="1098"/>
      <c r="P71" s="1096"/>
      <c r="Q71" s="1125"/>
      <c r="R71" s="1104"/>
    </row>
    <row r="72" spans="1:18" s="1108" customFormat="1" ht="25.5" customHeight="1">
      <c r="A72" s="1090">
        <v>8.1999999999999993</v>
      </c>
      <c r="B72" s="1262" t="s">
        <v>3820</v>
      </c>
      <c r="C72" s="1106"/>
      <c r="D72" s="943"/>
      <c r="E72" s="1103"/>
      <c r="F72" s="1097">
        <f t="shared" si="0"/>
        <v>0</v>
      </c>
      <c r="G72" s="1103"/>
      <c r="H72" s="1097">
        <f t="shared" si="1"/>
        <v>0</v>
      </c>
      <c r="I72" s="1103"/>
      <c r="J72" s="1097">
        <f t="shared" si="3"/>
        <v>0</v>
      </c>
      <c r="K72" s="1096"/>
      <c r="L72" s="1097">
        <f t="shared" si="4"/>
        <v>0</v>
      </c>
      <c r="M72" s="1103"/>
      <c r="N72" s="1096"/>
      <c r="O72" s="1098"/>
      <c r="P72" s="1096"/>
      <c r="Q72" s="1107"/>
      <c r="R72" s="1104"/>
    </row>
    <row r="73" spans="1:18" s="1108" customFormat="1" ht="25.5" customHeight="1">
      <c r="A73" s="940"/>
      <c r="B73" s="933" t="s">
        <v>3815</v>
      </c>
      <c r="C73" s="1106" t="e">
        <f>ROUND(#REF!,2)</f>
        <v>#REF!</v>
      </c>
      <c r="D73" s="943" t="s">
        <v>3770</v>
      </c>
      <c r="E73" s="1103"/>
      <c r="F73" s="1097" t="e">
        <f t="shared" ref="F73:F136" si="6">C73*E73</f>
        <v>#REF!</v>
      </c>
      <c r="G73" s="1103"/>
      <c r="H73" s="1097" t="e">
        <f t="shared" ref="H73:H136" si="7">C73*G73</f>
        <v>#REF!</v>
      </c>
      <c r="I73" s="1103"/>
      <c r="J73" s="1097" t="e">
        <f t="shared" si="3"/>
        <v>#REF!</v>
      </c>
      <c r="K73" s="1096"/>
      <c r="L73" s="1097" t="e">
        <f t="shared" si="4"/>
        <v>#REF!</v>
      </c>
      <c r="M73" s="1103"/>
      <c r="N73" s="1096"/>
      <c r="O73" s="1098"/>
      <c r="P73" s="1096"/>
      <c r="Q73" s="1107"/>
      <c r="R73" s="1104"/>
    </row>
    <row r="74" spans="1:18" s="1108" customFormat="1" ht="25.5" customHeight="1">
      <c r="A74" s="940"/>
      <c r="B74" s="933" t="s">
        <v>3816</v>
      </c>
      <c r="C74" s="1106" t="e">
        <f>ROUND(#REF!,2)</f>
        <v>#REF!</v>
      </c>
      <c r="D74" s="943" t="s">
        <v>3770</v>
      </c>
      <c r="E74" s="1103"/>
      <c r="F74" s="1097" t="e">
        <f t="shared" si="6"/>
        <v>#REF!</v>
      </c>
      <c r="G74" s="1103"/>
      <c r="H74" s="1097" t="e">
        <f t="shared" si="7"/>
        <v>#REF!</v>
      </c>
      <c r="I74" s="1103"/>
      <c r="J74" s="1097" t="e">
        <f t="shared" si="3"/>
        <v>#REF!</v>
      </c>
      <c r="K74" s="1096"/>
      <c r="L74" s="1097" t="e">
        <f t="shared" si="4"/>
        <v>#REF!</v>
      </c>
      <c r="M74" s="1103"/>
      <c r="N74" s="1096"/>
      <c r="O74" s="1098"/>
      <c r="P74" s="1096"/>
      <c r="Q74" s="1107"/>
      <c r="R74" s="1104"/>
    </row>
    <row r="75" spans="1:18" s="1108" customFormat="1" ht="25.5" customHeight="1">
      <c r="A75" s="940"/>
      <c r="B75" s="933" t="s">
        <v>3817</v>
      </c>
      <c r="C75" s="1106" t="e">
        <f>ROUND(#REF!,2)</f>
        <v>#REF!</v>
      </c>
      <c r="D75" s="943" t="s">
        <v>3770</v>
      </c>
      <c r="E75" s="1103"/>
      <c r="F75" s="1097" t="e">
        <f t="shared" si="6"/>
        <v>#REF!</v>
      </c>
      <c r="G75" s="1103"/>
      <c r="H75" s="1097" t="e">
        <f t="shared" si="7"/>
        <v>#REF!</v>
      </c>
      <c r="I75" s="1103"/>
      <c r="J75" s="1097" t="e">
        <f t="shared" si="3"/>
        <v>#REF!</v>
      </c>
      <c r="K75" s="1096"/>
      <c r="L75" s="1097" t="e">
        <f t="shared" si="4"/>
        <v>#REF!</v>
      </c>
      <c r="M75" s="1103"/>
      <c r="N75" s="1096"/>
      <c r="O75" s="1098"/>
      <c r="P75" s="1096"/>
      <c r="Q75" s="1107"/>
      <c r="R75" s="1104"/>
    </row>
    <row r="76" spans="1:18" s="1108" customFormat="1" ht="25.5" customHeight="1">
      <c r="A76" s="940"/>
      <c r="B76" s="933" t="s">
        <v>3818</v>
      </c>
      <c r="C76" s="1106" t="e">
        <f>ROUND(#REF!,2)</f>
        <v>#REF!</v>
      </c>
      <c r="D76" s="943" t="s">
        <v>3770</v>
      </c>
      <c r="E76" s="1103"/>
      <c r="F76" s="1097" t="e">
        <f t="shared" si="6"/>
        <v>#REF!</v>
      </c>
      <c r="G76" s="1103"/>
      <c r="H76" s="1097" t="e">
        <f t="shared" si="7"/>
        <v>#REF!</v>
      </c>
      <c r="I76" s="1103"/>
      <c r="J76" s="1097" t="e">
        <f t="shared" si="3"/>
        <v>#REF!</v>
      </c>
      <c r="K76" s="1096"/>
      <c r="L76" s="1097" t="e">
        <f t="shared" si="4"/>
        <v>#REF!</v>
      </c>
      <c r="M76" s="1103"/>
      <c r="N76" s="1096"/>
      <c r="O76" s="1098"/>
      <c r="P76" s="1096"/>
      <c r="Q76" s="1107"/>
      <c r="R76" s="1104"/>
    </row>
    <row r="77" spans="1:18" s="1108" customFormat="1" ht="25.5" customHeight="1">
      <c r="A77" s="1090"/>
      <c r="B77" s="933" t="s">
        <v>3819</v>
      </c>
      <c r="C77" s="1106" t="e">
        <f>ROUND(#REF!,2)</f>
        <v>#REF!</v>
      </c>
      <c r="D77" s="943" t="s">
        <v>3770</v>
      </c>
      <c r="E77" s="1103"/>
      <c r="F77" s="1097" t="e">
        <f t="shared" si="6"/>
        <v>#REF!</v>
      </c>
      <c r="G77" s="1103"/>
      <c r="H77" s="1097" t="e">
        <f t="shared" si="7"/>
        <v>#REF!</v>
      </c>
      <c r="I77" s="1103"/>
      <c r="J77" s="1097" t="e">
        <f t="shared" si="3"/>
        <v>#REF!</v>
      </c>
      <c r="K77" s="1096"/>
      <c r="L77" s="1097" t="e">
        <f t="shared" si="4"/>
        <v>#REF!</v>
      </c>
      <c r="M77" s="1103"/>
      <c r="N77" s="1096"/>
      <c r="O77" s="1098"/>
      <c r="P77" s="1096"/>
      <c r="Q77" s="1107"/>
      <c r="R77" s="1104"/>
    </row>
    <row r="78" spans="1:18" s="1108" customFormat="1" ht="25.5" customHeight="1">
      <c r="A78" s="1090"/>
      <c r="B78" s="933" t="s">
        <v>3821</v>
      </c>
      <c r="C78" s="1106" t="e">
        <f>ROUND(#REF!,2)</f>
        <v>#REF!</v>
      </c>
      <c r="D78" s="943" t="s">
        <v>3770</v>
      </c>
      <c r="E78" s="1103"/>
      <c r="F78" s="1097" t="e">
        <f t="shared" si="6"/>
        <v>#REF!</v>
      </c>
      <c r="G78" s="1103"/>
      <c r="H78" s="1097" t="e">
        <f t="shared" si="7"/>
        <v>#REF!</v>
      </c>
      <c r="I78" s="1103"/>
      <c r="J78" s="1097" t="e">
        <f t="shared" si="3"/>
        <v>#REF!</v>
      </c>
      <c r="K78" s="1096"/>
      <c r="L78" s="1097" t="e">
        <f t="shared" si="4"/>
        <v>#REF!</v>
      </c>
      <c r="M78" s="1103"/>
      <c r="N78" s="1096"/>
      <c r="O78" s="1098"/>
      <c r="P78" s="1096"/>
      <c r="Q78" s="1107"/>
      <c r="R78" s="1104"/>
    </row>
    <row r="79" spans="1:18" s="1108" customFormat="1" ht="25.5" customHeight="1">
      <c r="A79" s="1090"/>
      <c r="B79" s="933" t="s">
        <v>3822</v>
      </c>
      <c r="C79" s="1106" t="e">
        <f>ROUND(#REF!,2)</f>
        <v>#REF!</v>
      </c>
      <c r="D79" s="943" t="s">
        <v>3770</v>
      </c>
      <c r="E79" s="1103"/>
      <c r="F79" s="1097" t="e">
        <f t="shared" si="6"/>
        <v>#REF!</v>
      </c>
      <c r="G79" s="1103"/>
      <c r="H79" s="1097" t="e">
        <f t="shared" si="7"/>
        <v>#REF!</v>
      </c>
      <c r="I79" s="1103"/>
      <c r="J79" s="1097" t="e">
        <f t="shared" si="3"/>
        <v>#REF!</v>
      </c>
      <c r="K79" s="1096"/>
      <c r="L79" s="1097" t="e">
        <f t="shared" si="4"/>
        <v>#REF!</v>
      </c>
      <c r="M79" s="1103"/>
      <c r="N79" s="1096"/>
      <c r="O79" s="1098"/>
      <c r="P79" s="1096"/>
      <c r="Q79" s="1107"/>
      <c r="R79" s="1104"/>
    </row>
    <row r="80" spans="1:18" s="1108" customFormat="1" ht="25.5" customHeight="1">
      <c r="A80" s="1090"/>
      <c r="B80" s="933" t="s">
        <v>3823</v>
      </c>
      <c r="C80" s="1106" t="e">
        <f>ROUND(#REF!,2)</f>
        <v>#REF!</v>
      </c>
      <c r="D80" s="943" t="s">
        <v>3770</v>
      </c>
      <c r="E80" s="1103"/>
      <c r="F80" s="1097" t="e">
        <f t="shared" si="6"/>
        <v>#REF!</v>
      </c>
      <c r="G80" s="1103"/>
      <c r="H80" s="1097" t="e">
        <f t="shared" si="7"/>
        <v>#REF!</v>
      </c>
      <c r="I80" s="1103"/>
      <c r="J80" s="1097" t="e">
        <f t="shared" si="3"/>
        <v>#REF!</v>
      </c>
      <c r="K80" s="1096"/>
      <c r="L80" s="1097" t="e">
        <f t="shared" si="4"/>
        <v>#REF!</v>
      </c>
      <c r="M80" s="1103"/>
      <c r="N80" s="1096"/>
      <c r="O80" s="1098"/>
      <c r="P80" s="1096"/>
      <c r="Q80" s="1107"/>
      <c r="R80" s="1104"/>
    </row>
    <row r="81" spans="1:18" s="1108" customFormat="1" ht="25.5" customHeight="1">
      <c r="A81" s="1090"/>
      <c r="B81" s="933" t="s">
        <v>3824</v>
      </c>
      <c r="C81" s="1106" t="e">
        <f>ROUND(#REF!,2)</f>
        <v>#REF!</v>
      </c>
      <c r="D81" s="943" t="s">
        <v>3770</v>
      </c>
      <c r="E81" s="1103"/>
      <c r="F81" s="1097" t="e">
        <f t="shared" si="6"/>
        <v>#REF!</v>
      </c>
      <c r="G81" s="1103"/>
      <c r="H81" s="1097" t="e">
        <f t="shared" si="7"/>
        <v>#REF!</v>
      </c>
      <c r="I81" s="1103"/>
      <c r="J81" s="1097" t="e">
        <f t="shared" si="3"/>
        <v>#REF!</v>
      </c>
      <c r="K81" s="1096"/>
      <c r="L81" s="1097" t="e">
        <f t="shared" si="4"/>
        <v>#REF!</v>
      </c>
      <c r="M81" s="1103"/>
      <c r="N81" s="1096"/>
      <c r="O81" s="1098"/>
      <c r="P81" s="1096"/>
      <c r="Q81" s="1107"/>
      <c r="R81" s="1104"/>
    </row>
    <row r="82" spans="1:18" s="1108" customFormat="1" ht="25.5" customHeight="1">
      <c r="A82" s="1090"/>
      <c r="B82" s="933" t="s">
        <v>3825</v>
      </c>
      <c r="C82" s="1106" t="e">
        <f>ROUND(#REF!,2)</f>
        <v>#REF!</v>
      </c>
      <c r="D82" s="943" t="s">
        <v>3770</v>
      </c>
      <c r="E82" s="1103"/>
      <c r="F82" s="1097" t="e">
        <f t="shared" si="6"/>
        <v>#REF!</v>
      </c>
      <c r="G82" s="1103"/>
      <c r="H82" s="1097" t="e">
        <f t="shared" si="7"/>
        <v>#REF!</v>
      </c>
      <c r="I82" s="1103"/>
      <c r="J82" s="1097" t="e">
        <f t="shared" si="3"/>
        <v>#REF!</v>
      </c>
      <c r="K82" s="1096"/>
      <c r="L82" s="1097" t="e">
        <f t="shared" si="4"/>
        <v>#REF!</v>
      </c>
      <c r="M82" s="1103"/>
      <c r="N82" s="1096"/>
      <c r="O82" s="1098"/>
      <c r="P82" s="1096"/>
      <c r="Q82" s="1107"/>
      <c r="R82" s="1104"/>
    </row>
    <row r="83" spans="1:18" s="1108" customFormat="1" ht="25.5" customHeight="1">
      <c r="A83" s="1090"/>
      <c r="B83" s="933" t="s">
        <v>3826</v>
      </c>
      <c r="C83" s="1106" t="e">
        <f>ROUND(#REF!,2)</f>
        <v>#REF!</v>
      </c>
      <c r="D83" s="943" t="s">
        <v>3770</v>
      </c>
      <c r="E83" s="1103"/>
      <c r="F83" s="1097" t="e">
        <f t="shared" si="6"/>
        <v>#REF!</v>
      </c>
      <c r="G83" s="1103"/>
      <c r="H83" s="1097" t="e">
        <f t="shared" si="7"/>
        <v>#REF!</v>
      </c>
      <c r="I83" s="1103"/>
      <c r="J83" s="1097" t="e">
        <f t="shared" si="3"/>
        <v>#REF!</v>
      </c>
      <c r="K83" s="1096"/>
      <c r="L83" s="1097" t="e">
        <f t="shared" si="4"/>
        <v>#REF!</v>
      </c>
      <c r="M83" s="1103"/>
      <c r="N83" s="1096"/>
      <c r="O83" s="1098"/>
      <c r="P83" s="1096"/>
      <c r="Q83" s="1107"/>
      <c r="R83" s="1104"/>
    </row>
    <row r="84" spans="1:18" s="1108" customFormat="1" ht="25.5" customHeight="1">
      <c r="A84" s="1090"/>
      <c r="B84" s="933" t="s">
        <v>3827</v>
      </c>
      <c r="C84" s="1106" t="e">
        <f>ROUND(#REF!,2)</f>
        <v>#REF!</v>
      </c>
      <c r="D84" s="943" t="s">
        <v>3770</v>
      </c>
      <c r="E84" s="1103"/>
      <c r="F84" s="1097" t="e">
        <f t="shared" si="6"/>
        <v>#REF!</v>
      </c>
      <c r="G84" s="1103"/>
      <c r="H84" s="1097" t="e">
        <f t="shared" si="7"/>
        <v>#REF!</v>
      </c>
      <c r="I84" s="1103"/>
      <c r="J84" s="1097" t="e">
        <f t="shared" si="3"/>
        <v>#REF!</v>
      </c>
      <c r="K84" s="1096"/>
      <c r="L84" s="1097" t="e">
        <f t="shared" si="4"/>
        <v>#REF!</v>
      </c>
      <c r="M84" s="1103"/>
      <c r="N84" s="1096"/>
      <c r="O84" s="1098"/>
      <c r="P84" s="1096"/>
      <c r="Q84" s="1107"/>
      <c r="R84" s="1104"/>
    </row>
    <row r="85" spans="1:18" s="1108" customFormat="1" ht="25.5" customHeight="1">
      <c r="A85" s="1090"/>
      <c r="B85" s="933" t="s">
        <v>3828</v>
      </c>
      <c r="C85" s="1106" t="e">
        <f>ROUND(#REF!,2)</f>
        <v>#REF!</v>
      </c>
      <c r="D85" s="943" t="s">
        <v>3770</v>
      </c>
      <c r="E85" s="1103"/>
      <c r="F85" s="1097" t="e">
        <f t="shared" si="6"/>
        <v>#REF!</v>
      </c>
      <c r="G85" s="1103"/>
      <c r="H85" s="1097" t="e">
        <f t="shared" si="7"/>
        <v>#REF!</v>
      </c>
      <c r="I85" s="1103"/>
      <c r="J85" s="1097" t="e">
        <f t="shared" si="3"/>
        <v>#REF!</v>
      </c>
      <c r="K85" s="1096"/>
      <c r="L85" s="1097" t="e">
        <f t="shared" si="4"/>
        <v>#REF!</v>
      </c>
      <c r="M85" s="1103"/>
      <c r="N85" s="1096"/>
      <c r="O85" s="1098"/>
      <c r="P85" s="1096"/>
      <c r="Q85" s="1107"/>
      <c r="R85" s="1104"/>
    </row>
    <row r="86" spans="1:18" s="1108" customFormat="1" ht="46.5" customHeight="1">
      <c r="A86" s="1090">
        <v>9.1</v>
      </c>
      <c r="B86" s="933" t="s">
        <v>3829</v>
      </c>
      <c r="C86" s="1106"/>
      <c r="D86" s="943"/>
      <c r="E86" s="1103"/>
      <c r="F86" s="1097">
        <f t="shared" si="6"/>
        <v>0</v>
      </c>
      <c r="G86" s="1103"/>
      <c r="H86" s="1097">
        <f t="shared" si="7"/>
        <v>0</v>
      </c>
      <c r="I86" s="1103"/>
      <c r="J86" s="1097">
        <f t="shared" si="3"/>
        <v>0</v>
      </c>
      <c r="K86" s="1096"/>
      <c r="L86" s="1097">
        <f t="shared" si="4"/>
        <v>0</v>
      </c>
      <c r="M86" s="1103"/>
      <c r="N86" s="1096"/>
      <c r="O86" s="1098"/>
      <c r="P86" s="1096"/>
      <c r="Q86" s="1107"/>
      <c r="R86" s="1104"/>
    </row>
    <row r="87" spans="1:18" s="1108" customFormat="1" ht="25.5" customHeight="1">
      <c r="A87" s="1090"/>
      <c r="B87" s="933" t="s">
        <v>2683</v>
      </c>
      <c r="C87" s="1106" t="e">
        <f>#REF!</f>
        <v>#REF!</v>
      </c>
      <c r="D87" s="943" t="s">
        <v>3770</v>
      </c>
      <c r="E87" s="1103"/>
      <c r="F87" s="1097" t="e">
        <f t="shared" si="6"/>
        <v>#REF!</v>
      </c>
      <c r="G87" s="1103"/>
      <c r="H87" s="1097" t="e">
        <f t="shared" si="7"/>
        <v>#REF!</v>
      </c>
      <c r="I87" s="1103"/>
      <c r="J87" s="1097" t="e">
        <f t="shared" si="3"/>
        <v>#REF!</v>
      </c>
      <c r="K87" s="1096"/>
      <c r="L87" s="1097" t="e">
        <f t="shared" si="4"/>
        <v>#REF!</v>
      </c>
      <c r="M87" s="1103"/>
      <c r="N87" s="1096"/>
      <c r="O87" s="1098"/>
      <c r="P87" s="1096"/>
      <c r="Q87" s="1107"/>
      <c r="R87" s="1104"/>
    </row>
    <row r="88" spans="1:18" s="1108" customFormat="1" ht="25.5" customHeight="1">
      <c r="A88" s="1090"/>
      <c r="B88" s="933" t="s">
        <v>2689</v>
      </c>
      <c r="C88" s="1106" t="e">
        <f>#REF!</f>
        <v>#REF!</v>
      </c>
      <c r="D88" s="943" t="s">
        <v>3770</v>
      </c>
      <c r="E88" s="1103"/>
      <c r="F88" s="1097" t="e">
        <f t="shared" si="6"/>
        <v>#REF!</v>
      </c>
      <c r="G88" s="1103"/>
      <c r="H88" s="1097" t="e">
        <f t="shared" si="7"/>
        <v>#REF!</v>
      </c>
      <c r="I88" s="1103"/>
      <c r="J88" s="1097" t="e">
        <f t="shared" si="3"/>
        <v>#REF!</v>
      </c>
      <c r="K88" s="1096"/>
      <c r="L88" s="1097" t="e">
        <f t="shared" si="4"/>
        <v>#REF!</v>
      </c>
      <c r="M88" s="1103"/>
      <c r="N88" s="1096"/>
      <c r="O88" s="1098"/>
      <c r="P88" s="1096"/>
      <c r="Q88" s="1107"/>
      <c r="R88" s="1104"/>
    </row>
    <row r="89" spans="1:18" s="1108" customFormat="1" ht="25.5" customHeight="1">
      <c r="A89" s="1090"/>
      <c r="B89" s="933" t="s">
        <v>3830</v>
      </c>
      <c r="C89" s="1106" t="e">
        <f>#REF!</f>
        <v>#REF!</v>
      </c>
      <c r="D89" s="943" t="s">
        <v>3770</v>
      </c>
      <c r="E89" s="1103"/>
      <c r="F89" s="1097" t="e">
        <f t="shared" si="6"/>
        <v>#REF!</v>
      </c>
      <c r="G89" s="1103"/>
      <c r="H89" s="1097" t="e">
        <f t="shared" si="7"/>
        <v>#REF!</v>
      </c>
      <c r="I89" s="1103"/>
      <c r="J89" s="1097" t="e">
        <f t="shared" si="3"/>
        <v>#REF!</v>
      </c>
      <c r="K89" s="1096"/>
      <c r="L89" s="1097" t="e">
        <f t="shared" si="4"/>
        <v>#REF!</v>
      </c>
      <c r="M89" s="1103"/>
      <c r="N89" s="1096"/>
      <c r="O89" s="1098"/>
      <c r="P89" s="1096"/>
      <c r="Q89" s="1107"/>
      <c r="R89" s="1104"/>
    </row>
    <row r="90" spans="1:18" s="1108" customFormat="1" ht="25.5" customHeight="1">
      <c r="A90" s="1090"/>
      <c r="B90" s="933" t="s">
        <v>3831</v>
      </c>
      <c r="C90" s="1106" t="e">
        <f>#REF!</f>
        <v>#REF!</v>
      </c>
      <c r="D90" s="943" t="s">
        <v>3770</v>
      </c>
      <c r="E90" s="1103"/>
      <c r="F90" s="1097" t="e">
        <f t="shared" si="6"/>
        <v>#REF!</v>
      </c>
      <c r="G90" s="1103"/>
      <c r="H90" s="1097" t="e">
        <f t="shared" si="7"/>
        <v>#REF!</v>
      </c>
      <c r="I90" s="1103"/>
      <c r="J90" s="1097" t="e">
        <f t="shared" ref="J90:J153" si="8">I90*C90</f>
        <v>#REF!</v>
      </c>
      <c r="K90" s="1096"/>
      <c r="L90" s="1097" t="e">
        <f t="shared" ref="L90:L153" si="9">K90*C90</f>
        <v>#REF!</v>
      </c>
      <c r="M90" s="1103"/>
      <c r="N90" s="1096"/>
      <c r="O90" s="1098"/>
      <c r="P90" s="1096"/>
      <c r="Q90" s="1107"/>
      <c r="R90" s="1104"/>
    </row>
    <row r="91" spans="1:18" s="1108" customFormat="1" ht="25.5" customHeight="1">
      <c r="A91" s="1109"/>
      <c r="B91" s="1259" t="s">
        <v>3832</v>
      </c>
      <c r="C91" s="1111" t="e">
        <f>#REF!</f>
        <v>#REF!</v>
      </c>
      <c r="D91" s="1112" t="s">
        <v>3770</v>
      </c>
      <c r="E91" s="1113"/>
      <c r="F91" s="1097" t="e">
        <f t="shared" si="6"/>
        <v>#REF!</v>
      </c>
      <c r="G91" s="1113"/>
      <c r="H91" s="1097" t="e">
        <f t="shared" si="7"/>
        <v>#REF!</v>
      </c>
      <c r="I91" s="1113"/>
      <c r="J91" s="1097" t="e">
        <f t="shared" si="8"/>
        <v>#REF!</v>
      </c>
      <c r="K91" s="1114"/>
      <c r="L91" s="1097" t="e">
        <f t="shared" si="9"/>
        <v>#REF!</v>
      </c>
      <c r="M91" s="1113"/>
      <c r="N91" s="1096"/>
      <c r="O91" s="1098"/>
      <c r="P91" s="1096"/>
      <c r="Q91" s="1107"/>
      <c r="R91" s="1104"/>
    </row>
    <row r="92" spans="1:18" s="1108" customFormat="1" ht="62.45" customHeight="1">
      <c r="A92" s="1090">
        <v>9.1999999999999993</v>
      </c>
      <c r="B92" s="1262" t="s">
        <v>3833</v>
      </c>
      <c r="C92" s="1092"/>
      <c r="D92" s="940"/>
      <c r="E92" s="1096">
        <f>'Ins Abs'!Q16</f>
        <v>0</v>
      </c>
      <c r="F92" s="1097">
        <f t="shared" si="6"/>
        <v>0</v>
      </c>
      <c r="G92" s="1096">
        <f>'SI Abs '!Q17</f>
        <v>0</v>
      </c>
      <c r="H92" s="1097">
        <f>'SI Abs '!R17</f>
        <v>0</v>
      </c>
      <c r="I92" s="1096">
        <f>'PC Abs'!Q16</f>
        <v>0</v>
      </c>
      <c r="J92" s="1097">
        <f>'PC Abs'!R16</f>
        <v>0</v>
      </c>
      <c r="K92" s="1096"/>
      <c r="L92" s="1097">
        <f t="shared" si="9"/>
        <v>0</v>
      </c>
      <c r="M92" s="1096"/>
      <c r="N92" s="1096"/>
      <c r="O92" s="1098"/>
      <c r="P92" s="1095"/>
      <c r="Q92" s="1107"/>
      <c r="R92" s="1099"/>
    </row>
    <row r="93" spans="1:18" s="1108" customFormat="1" ht="43.9" customHeight="1">
      <c r="A93" s="1090"/>
      <c r="B93" s="933" t="s">
        <v>3834</v>
      </c>
      <c r="C93" s="1092" t="e">
        <f>ROUND(#REF!,2)</f>
        <v>#REF!</v>
      </c>
      <c r="D93" s="940" t="s">
        <v>3770</v>
      </c>
      <c r="E93" s="1096">
        <f>'Ins Abs'!Q17</f>
        <v>1.0827232142857144</v>
      </c>
      <c r="F93" s="1097" t="e">
        <f t="shared" si="6"/>
        <v>#REF!</v>
      </c>
      <c r="G93" s="1096">
        <f>'SI Abs '!Q18</f>
        <v>1.7</v>
      </c>
      <c r="H93" s="1097">
        <f>'SI Abs '!R18</f>
        <v>14783.662299525367</v>
      </c>
      <c r="I93" s="1096">
        <f>'PC Abs'!Q17</f>
        <v>0.84766964285714308</v>
      </c>
      <c r="J93" s="1097">
        <f>'PC Abs'!R17</f>
        <v>7371.5657303289881</v>
      </c>
      <c r="K93" s="1096"/>
      <c r="L93" s="1097" t="e">
        <f t="shared" si="9"/>
        <v>#REF!</v>
      </c>
      <c r="M93" s="1096"/>
      <c r="N93" s="1096"/>
      <c r="O93" s="1098">
        <f t="shared" ref="O93" si="10">E93+G93+I93+K93</f>
        <v>3.6303928571428576</v>
      </c>
      <c r="P93" s="1096" t="e">
        <f>O93*C93</f>
        <v>#REF!</v>
      </c>
      <c r="Q93" s="1107"/>
      <c r="R93" s="1099"/>
    </row>
    <row r="94" spans="1:18" s="1108" customFormat="1" ht="43.9" customHeight="1">
      <c r="A94" s="1090"/>
      <c r="B94" s="933" t="s">
        <v>2689</v>
      </c>
      <c r="C94" s="1092" t="e">
        <f>ROUND(#REF!,2)</f>
        <v>#REF!</v>
      </c>
      <c r="D94" s="940" t="s">
        <v>3770</v>
      </c>
      <c r="E94" s="1096"/>
      <c r="F94" s="1097" t="e">
        <f t="shared" si="6"/>
        <v>#REF!</v>
      </c>
      <c r="G94" s="1096"/>
      <c r="H94" s="1097" t="e">
        <f t="shared" si="7"/>
        <v>#REF!</v>
      </c>
      <c r="I94" s="1096"/>
      <c r="J94" s="1097" t="e">
        <f t="shared" si="8"/>
        <v>#REF!</v>
      </c>
      <c r="K94" s="1096"/>
      <c r="L94" s="1097" t="e">
        <f t="shared" si="9"/>
        <v>#REF!</v>
      </c>
      <c r="M94" s="1096"/>
      <c r="N94" s="1096"/>
      <c r="O94" s="1098"/>
      <c r="P94" s="1096"/>
      <c r="Q94" s="1107"/>
      <c r="R94" s="1099"/>
    </row>
    <row r="95" spans="1:18" s="1108" customFormat="1" ht="42.6" customHeight="1">
      <c r="A95" s="1090"/>
      <c r="B95" s="933" t="s">
        <v>3830</v>
      </c>
      <c r="C95" s="1092" t="e">
        <f>ROUND(#REF!,2)</f>
        <v>#REF!</v>
      </c>
      <c r="D95" s="940" t="s">
        <v>3770</v>
      </c>
      <c r="E95" s="1096"/>
      <c r="F95" s="1097" t="e">
        <f t="shared" si="6"/>
        <v>#REF!</v>
      </c>
      <c r="G95" s="1096"/>
      <c r="H95" s="1097" t="e">
        <f t="shared" si="7"/>
        <v>#REF!</v>
      </c>
      <c r="I95" s="1096"/>
      <c r="J95" s="1097" t="e">
        <f t="shared" si="8"/>
        <v>#REF!</v>
      </c>
      <c r="K95" s="1096"/>
      <c r="L95" s="1097" t="e">
        <f t="shared" si="9"/>
        <v>#REF!</v>
      </c>
      <c r="M95" s="1096"/>
      <c r="N95" s="1096"/>
      <c r="O95" s="1098"/>
      <c r="P95" s="1096"/>
      <c r="Q95" s="1107"/>
      <c r="R95" s="1099"/>
    </row>
    <row r="96" spans="1:18" s="1108" customFormat="1" ht="43.9" customHeight="1">
      <c r="A96" s="1090"/>
      <c r="B96" s="933" t="s">
        <v>3831</v>
      </c>
      <c r="C96" s="1092" t="e">
        <f>ROUND(#REF!,2)</f>
        <v>#REF!</v>
      </c>
      <c r="D96" s="940" t="s">
        <v>3770</v>
      </c>
      <c r="E96" s="1103"/>
      <c r="F96" s="1097" t="e">
        <f t="shared" si="6"/>
        <v>#REF!</v>
      </c>
      <c r="G96" s="1103"/>
      <c r="H96" s="1097" t="e">
        <f t="shared" si="7"/>
        <v>#REF!</v>
      </c>
      <c r="I96" s="1103"/>
      <c r="J96" s="1097" t="e">
        <f t="shared" si="8"/>
        <v>#REF!</v>
      </c>
      <c r="K96" s="1096"/>
      <c r="L96" s="1097" t="e">
        <f t="shared" si="9"/>
        <v>#REF!</v>
      </c>
      <c r="M96" s="1103"/>
      <c r="N96" s="1096"/>
      <c r="O96" s="1098"/>
      <c r="P96" s="1096"/>
      <c r="Q96" s="1107"/>
      <c r="R96" s="1104"/>
    </row>
    <row r="97" spans="1:18" s="1108" customFormat="1" ht="42" customHeight="1">
      <c r="A97" s="1090"/>
      <c r="B97" s="933" t="s">
        <v>3832</v>
      </c>
      <c r="C97" s="1106" t="e">
        <f>ROUND(#REF!,2)</f>
        <v>#REF!</v>
      </c>
      <c r="D97" s="943" t="s">
        <v>3770</v>
      </c>
      <c r="E97" s="1103"/>
      <c r="F97" s="1097" t="e">
        <f t="shared" si="6"/>
        <v>#REF!</v>
      </c>
      <c r="G97" s="1103"/>
      <c r="H97" s="1097" t="e">
        <f t="shared" si="7"/>
        <v>#REF!</v>
      </c>
      <c r="I97" s="1103"/>
      <c r="J97" s="1097" t="e">
        <f t="shared" si="8"/>
        <v>#REF!</v>
      </c>
      <c r="K97" s="1096"/>
      <c r="L97" s="1097" t="e">
        <f t="shared" si="9"/>
        <v>#REF!</v>
      </c>
      <c r="M97" s="1103"/>
      <c r="N97" s="1096"/>
      <c r="O97" s="1098"/>
      <c r="P97" s="1096"/>
      <c r="Q97" s="1107"/>
      <c r="R97" s="1104"/>
    </row>
    <row r="98" spans="1:18" s="1108" customFormat="1" ht="25.5" customHeight="1">
      <c r="A98" s="1090"/>
      <c r="B98" s="933" t="s">
        <v>3821</v>
      </c>
      <c r="C98" s="1106" t="e">
        <f>ROUND(#REF!,2)</f>
        <v>#REF!</v>
      </c>
      <c r="D98" s="943" t="s">
        <v>3770</v>
      </c>
      <c r="E98" s="1103"/>
      <c r="F98" s="1097" t="e">
        <f t="shared" si="6"/>
        <v>#REF!</v>
      </c>
      <c r="G98" s="1103"/>
      <c r="H98" s="1097" t="e">
        <f t="shared" si="7"/>
        <v>#REF!</v>
      </c>
      <c r="I98" s="1103"/>
      <c r="J98" s="1097" t="e">
        <f t="shared" si="8"/>
        <v>#REF!</v>
      </c>
      <c r="K98" s="1096"/>
      <c r="L98" s="1097" t="e">
        <f t="shared" si="9"/>
        <v>#REF!</v>
      </c>
      <c r="M98" s="1103"/>
      <c r="N98" s="1096"/>
      <c r="O98" s="1098"/>
      <c r="P98" s="1096"/>
      <c r="Q98" s="1107"/>
      <c r="R98" s="1104"/>
    </row>
    <row r="99" spans="1:18" s="1108" customFormat="1" ht="25.5" customHeight="1">
      <c r="A99" s="1090"/>
      <c r="B99" s="933" t="s">
        <v>3822</v>
      </c>
      <c r="C99" s="1106" t="e">
        <f>ROUND(#REF!,2)</f>
        <v>#REF!</v>
      </c>
      <c r="D99" s="943" t="s">
        <v>3770</v>
      </c>
      <c r="E99" s="1103"/>
      <c r="F99" s="1097" t="e">
        <f t="shared" si="6"/>
        <v>#REF!</v>
      </c>
      <c r="G99" s="1103"/>
      <c r="H99" s="1097" t="e">
        <f t="shared" si="7"/>
        <v>#REF!</v>
      </c>
      <c r="I99" s="1103"/>
      <c r="J99" s="1097" t="e">
        <f t="shared" si="8"/>
        <v>#REF!</v>
      </c>
      <c r="K99" s="1096"/>
      <c r="L99" s="1097" t="e">
        <f t="shared" si="9"/>
        <v>#REF!</v>
      </c>
      <c r="M99" s="1103"/>
      <c r="N99" s="1096"/>
      <c r="O99" s="1098"/>
      <c r="P99" s="1096"/>
      <c r="Q99" s="1107"/>
      <c r="R99" s="1104"/>
    </row>
    <row r="100" spans="1:18" s="1108" customFormat="1" ht="25.5" customHeight="1">
      <c r="A100" s="1090"/>
      <c r="B100" s="933" t="s">
        <v>3823</v>
      </c>
      <c r="C100" s="1106" t="e">
        <f>ROUND(#REF!,2)</f>
        <v>#REF!</v>
      </c>
      <c r="D100" s="943" t="s">
        <v>3770</v>
      </c>
      <c r="E100" s="1103"/>
      <c r="F100" s="1097" t="e">
        <f t="shared" si="6"/>
        <v>#REF!</v>
      </c>
      <c r="G100" s="1103"/>
      <c r="H100" s="1097" t="e">
        <f t="shared" si="7"/>
        <v>#REF!</v>
      </c>
      <c r="I100" s="1103"/>
      <c r="J100" s="1097" t="e">
        <f t="shared" si="8"/>
        <v>#REF!</v>
      </c>
      <c r="K100" s="1096"/>
      <c r="L100" s="1097" t="e">
        <f t="shared" si="9"/>
        <v>#REF!</v>
      </c>
      <c r="M100" s="1103"/>
      <c r="N100" s="1096"/>
      <c r="O100" s="1098"/>
      <c r="P100" s="1096"/>
      <c r="Q100" s="1107"/>
      <c r="R100" s="1104"/>
    </row>
    <row r="101" spans="1:18" s="1108" customFormat="1" ht="25.5" customHeight="1">
      <c r="A101" s="1090"/>
      <c r="B101" s="933" t="s">
        <v>3824</v>
      </c>
      <c r="C101" s="1106" t="e">
        <f>ROUND(#REF!,2)</f>
        <v>#REF!</v>
      </c>
      <c r="D101" s="943" t="s">
        <v>3770</v>
      </c>
      <c r="E101" s="1103"/>
      <c r="F101" s="1097" t="e">
        <f t="shared" si="6"/>
        <v>#REF!</v>
      </c>
      <c r="G101" s="1103"/>
      <c r="H101" s="1097" t="e">
        <f t="shared" si="7"/>
        <v>#REF!</v>
      </c>
      <c r="I101" s="1103"/>
      <c r="J101" s="1097" t="e">
        <f t="shared" si="8"/>
        <v>#REF!</v>
      </c>
      <c r="K101" s="1096"/>
      <c r="L101" s="1097" t="e">
        <f t="shared" si="9"/>
        <v>#REF!</v>
      </c>
      <c r="M101" s="1103"/>
      <c r="N101" s="1096"/>
      <c r="O101" s="1098"/>
      <c r="P101" s="1096"/>
      <c r="Q101" s="1107"/>
      <c r="R101" s="1104"/>
    </row>
    <row r="102" spans="1:18" s="1108" customFormat="1" ht="25.5" customHeight="1">
      <c r="A102" s="1090"/>
      <c r="B102" s="933" t="s">
        <v>3825</v>
      </c>
      <c r="C102" s="1106" t="e">
        <f>ROUND(#REF!,2)</f>
        <v>#REF!</v>
      </c>
      <c r="D102" s="943" t="s">
        <v>3770</v>
      </c>
      <c r="E102" s="1103"/>
      <c r="F102" s="1097" t="e">
        <f t="shared" si="6"/>
        <v>#REF!</v>
      </c>
      <c r="G102" s="1103"/>
      <c r="H102" s="1097" t="e">
        <f t="shared" si="7"/>
        <v>#REF!</v>
      </c>
      <c r="I102" s="1103"/>
      <c r="J102" s="1097" t="e">
        <f t="shared" si="8"/>
        <v>#REF!</v>
      </c>
      <c r="K102" s="1096"/>
      <c r="L102" s="1097" t="e">
        <f t="shared" si="9"/>
        <v>#REF!</v>
      </c>
      <c r="M102" s="1103"/>
      <c r="N102" s="1096"/>
      <c r="O102" s="1098"/>
      <c r="P102" s="1096"/>
      <c r="Q102" s="1107"/>
      <c r="R102" s="1104"/>
    </row>
    <row r="103" spans="1:18" s="1108" customFormat="1" ht="25.5" customHeight="1">
      <c r="A103" s="1090"/>
      <c r="B103" s="933" t="s">
        <v>3826</v>
      </c>
      <c r="C103" s="1106" t="e">
        <f>ROUND(#REF!,2)</f>
        <v>#REF!</v>
      </c>
      <c r="D103" s="943" t="s">
        <v>3770</v>
      </c>
      <c r="E103" s="1103"/>
      <c r="F103" s="1097" t="e">
        <f t="shared" si="6"/>
        <v>#REF!</v>
      </c>
      <c r="G103" s="1103"/>
      <c r="H103" s="1097" t="e">
        <f t="shared" si="7"/>
        <v>#REF!</v>
      </c>
      <c r="I103" s="1103"/>
      <c r="J103" s="1097" t="e">
        <f t="shared" si="8"/>
        <v>#REF!</v>
      </c>
      <c r="K103" s="1096"/>
      <c r="L103" s="1097" t="e">
        <f t="shared" si="9"/>
        <v>#REF!</v>
      </c>
      <c r="M103" s="1103"/>
      <c r="N103" s="1096"/>
      <c r="O103" s="1098"/>
      <c r="P103" s="1096"/>
      <c r="Q103" s="1107"/>
      <c r="R103" s="1104"/>
    </row>
    <row r="104" spans="1:18" s="1108" customFormat="1" ht="25.5" customHeight="1">
      <c r="A104" s="1090"/>
      <c r="B104" s="933" t="s">
        <v>3827</v>
      </c>
      <c r="C104" s="1106" t="e">
        <f>ROUND(#REF!,2)</f>
        <v>#REF!</v>
      </c>
      <c r="D104" s="943" t="s">
        <v>3770</v>
      </c>
      <c r="E104" s="1103"/>
      <c r="F104" s="1097" t="e">
        <f t="shared" si="6"/>
        <v>#REF!</v>
      </c>
      <c r="G104" s="1103"/>
      <c r="H104" s="1097" t="e">
        <f t="shared" si="7"/>
        <v>#REF!</v>
      </c>
      <c r="I104" s="1103"/>
      <c r="J104" s="1097" t="e">
        <f t="shared" si="8"/>
        <v>#REF!</v>
      </c>
      <c r="K104" s="1096"/>
      <c r="L104" s="1097" t="e">
        <f t="shared" si="9"/>
        <v>#REF!</v>
      </c>
      <c r="M104" s="1103"/>
      <c r="N104" s="1096"/>
      <c r="O104" s="1098"/>
      <c r="P104" s="1096"/>
      <c r="Q104" s="1107"/>
      <c r="R104" s="1104"/>
    </row>
    <row r="105" spans="1:18" s="1108" customFormat="1" ht="25.5" customHeight="1">
      <c r="A105" s="1090"/>
      <c r="B105" s="933" t="s">
        <v>3828</v>
      </c>
      <c r="C105" s="1106" t="e">
        <f>ROUND(#REF!,2)</f>
        <v>#REF!</v>
      </c>
      <c r="D105" s="943" t="s">
        <v>3770</v>
      </c>
      <c r="E105" s="1103"/>
      <c r="F105" s="1097" t="e">
        <f t="shared" si="6"/>
        <v>#REF!</v>
      </c>
      <c r="G105" s="1103"/>
      <c r="H105" s="1097" t="e">
        <f t="shared" si="7"/>
        <v>#REF!</v>
      </c>
      <c r="I105" s="1103"/>
      <c r="J105" s="1097" t="e">
        <f t="shared" si="8"/>
        <v>#REF!</v>
      </c>
      <c r="K105" s="1096"/>
      <c r="L105" s="1097" t="e">
        <f t="shared" si="9"/>
        <v>#REF!</v>
      </c>
      <c r="M105" s="1103"/>
      <c r="N105" s="1096"/>
      <c r="O105" s="1098"/>
      <c r="P105" s="1096"/>
      <c r="Q105" s="1107"/>
      <c r="R105" s="1104"/>
    </row>
    <row r="106" spans="1:18" s="1108" customFormat="1" ht="25.5" customHeight="1">
      <c r="A106" s="1090"/>
      <c r="B106" s="933" t="s">
        <v>3835</v>
      </c>
      <c r="C106" s="1106" t="e">
        <f>ROUND(#REF!,2)</f>
        <v>#REF!</v>
      </c>
      <c r="D106" s="943" t="s">
        <v>3770</v>
      </c>
      <c r="E106" s="1103"/>
      <c r="F106" s="1097" t="e">
        <f t="shared" si="6"/>
        <v>#REF!</v>
      </c>
      <c r="G106" s="1103"/>
      <c r="H106" s="1097" t="e">
        <f t="shared" si="7"/>
        <v>#REF!</v>
      </c>
      <c r="I106" s="1103"/>
      <c r="J106" s="1097" t="e">
        <f t="shared" si="8"/>
        <v>#REF!</v>
      </c>
      <c r="K106" s="1096"/>
      <c r="L106" s="1097" t="e">
        <f t="shared" si="9"/>
        <v>#REF!</v>
      </c>
      <c r="M106" s="1103"/>
      <c r="N106" s="1096"/>
      <c r="O106" s="1098"/>
      <c r="P106" s="1096"/>
      <c r="Q106" s="1107"/>
      <c r="R106" s="1104"/>
    </row>
    <row r="107" spans="1:18" s="1108" customFormat="1" ht="46.5" customHeight="1">
      <c r="A107" s="1090">
        <v>9.3000000000000007</v>
      </c>
      <c r="B107" s="933" t="s">
        <v>3836</v>
      </c>
      <c r="C107" s="1106"/>
      <c r="D107" s="943"/>
      <c r="E107" s="1103"/>
      <c r="F107" s="1097">
        <f t="shared" si="6"/>
        <v>0</v>
      </c>
      <c r="G107" s="1103"/>
      <c r="H107" s="1097">
        <f t="shared" si="7"/>
        <v>0</v>
      </c>
      <c r="I107" s="1103"/>
      <c r="J107" s="1097">
        <f t="shared" si="8"/>
        <v>0</v>
      </c>
      <c r="K107" s="1096"/>
      <c r="L107" s="1097">
        <f t="shared" si="9"/>
        <v>0</v>
      </c>
      <c r="M107" s="1103"/>
      <c r="N107" s="1096"/>
      <c r="O107" s="1098"/>
      <c r="P107" s="1096"/>
      <c r="Q107" s="1107"/>
      <c r="R107" s="1104"/>
    </row>
    <row r="108" spans="1:18" s="1108" customFormat="1" ht="25.5" customHeight="1">
      <c r="A108" s="1090"/>
      <c r="B108" s="933" t="s">
        <v>2683</v>
      </c>
      <c r="C108" s="1106"/>
      <c r="D108" s="943" t="s">
        <v>3770</v>
      </c>
      <c r="E108" s="1103"/>
      <c r="F108" s="1097">
        <f t="shared" si="6"/>
        <v>0</v>
      </c>
      <c r="G108" s="1103"/>
      <c r="H108" s="1097">
        <f t="shared" si="7"/>
        <v>0</v>
      </c>
      <c r="I108" s="1103"/>
      <c r="J108" s="1097">
        <f t="shared" si="8"/>
        <v>0</v>
      </c>
      <c r="K108" s="1096"/>
      <c r="L108" s="1097">
        <f t="shared" si="9"/>
        <v>0</v>
      </c>
      <c r="M108" s="1103"/>
      <c r="N108" s="1096"/>
      <c r="O108" s="1098"/>
      <c r="P108" s="1096"/>
      <c r="Q108" s="1107"/>
      <c r="R108" s="1104"/>
    </row>
    <row r="109" spans="1:18" s="1108" customFormat="1" ht="25.5" customHeight="1">
      <c r="A109" s="1090"/>
      <c r="B109" s="933" t="s">
        <v>2689</v>
      </c>
      <c r="C109" s="1106"/>
      <c r="D109" s="943" t="s">
        <v>3770</v>
      </c>
      <c r="E109" s="1103"/>
      <c r="F109" s="1097">
        <f t="shared" si="6"/>
        <v>0</v>
      </c>
      <c r="G109" s="1103"/>
      <c r="H109" s="1097">
        <f t="shared" si="7"/>
        <v>0</v>
      </c>
      <c r="I109" s="1103"/>
      <c r="J109" s="1097">
        <f t="shared" si="8"/>
        <v>0</v>
      </c>
      <c r="K109" s="1096"/>
      <c r="L109" s="1097">
        <f t="shared" si="9"/>
        <v>0</v>
      </c>
      <c r="M109" s="1103"/>
      <c r="N109" s="1096"/>
      <c r="O109" s="1098"/>
      <c r="P109" s="1096"/>
      <c r="Q109" s="1107"/>
      <c r="R109" s="1104"/>
    </row>
    <row r="110" spans="1:18" s="1108" customFormat="1" ht="25.5" customHeight="1">
      <c r="A110" s="1090"/>
      <c r="B110" s="933" t="s">
        <v>3830</v>
      </c>
      <c r="C110" s="1106"/>
      <c r="D110" s="943" t="s">
        <v>3770</v>
      </c>
      <c r="E110" s="1103"/>
      <c r="F110" s="1097">
        <f t="shared" si="6"/>
        <v>0</v>
      </c>
      <c r="G110" s="1103"/>
      <c r="H110" s="1097">
        <f t="shared" si="7"/>
        <v>0</v>
      </c>
      <c r="I110" s="1103"/>
      <c r="J110" s="1097">
        <f t="shared" si="8"/>
        <v>0</v>
      </c>
      <c r="K110" s="1096"/>
      <c r="L110" s="1097">
        <f t="shared" si="9"/>
        <v>0</v>
      </c>
      <c r="M110" s="1103"/>
      <c r="N110" s="1096"/>
      <c r="O110" s="1098"/>
      <c r="P110" s="1096"/>
      <c r="Q110" s="1107"/>
      <c r="R110" s="1104"/>
    </row>
    <row r="111" spans="1:18" s="1108" customFormat="1" ht="25.5" customHeight="1">
      <c r="A111" s="1090"/>
      <c r="B111" s="933" t="s">
        <v>3831</v>
      </c>
      <c r="C111" s="1106"/>
      <c r="D111" s="943" t="s">
        <v>3770</v>
      </c>
      <c r="E111" s="1103"/>
      <c r="F111" s="1097">
        <f t="shared" si="6"/>
        <v>0</v>
      </c>
      <c r="G111" s="1103"/>
      <c r="H111" s="1097">
        <f t="shared" si="7"/>
        <v>0</v>
      </c>
      <c r="I111" s="1103"/>
      <c r="J111" s="1097">
        <f t="shared" si="8"/>
        <v>0</v>
      </c>
      <c r="K111" s="1096"/>
      <c r="L111" s="1097">
        <f t="shared" si="9"/>
        <v>0</v>
      </c>
      <c r="M111" s="1103"/>
      <c r="N111" s="1096"/>
      <c r="O111" s="1098"/>
      <c r="P111" s="1096"/>
      <c r="Q111" s="1107"/>
      <c r="R111" s="1104"/>
    </row>
    <row r="112" spans="1:18" s="1108" customFormat="1" ht="25.5" customHeight="1">
      <c r="A112" s="1131"/>
      <c r="B112" s="933" t="s">
        <v>3832</v>
      </c>
      <c r="C112" s="1106"/>
      <c r="D112" s="943" t="s">
        <v>3770</v>
      </c>
      <c r="E112" s="1103"/>
      <c r="F112" s="1097">
        <f t="shared" si="6"/>
        <v>0</v>
      </c>
      <c r="G112" s="1103"/>
      <c r="H112" s="1097">
        <f t="shared" si="7"/>
        <v>0</v>
      </c>
      <c r="I112" s="1103"/>
      <c r="J112" s="1097">
        <f t="shared" si="8"/>
        <v>0</v>
      </c>
      <c r="K112" s="1096"/>
      <c r="L112" s="1097">
        <f t="shared" si="9"/>
        <v>0</v>
      </c>
      <c r="M112" s="1103"/>
      <c r="N112" s="1096"/>
      <c r="O112" s="1098"/>
      <c r="P112" s="1096"/>
      <c r="Q112" s="1107"/>
      <c r="R112" s="1104"/>
    </row>
    <row r="113" spans="1:19" s="1108" customFormat="1" ht="46.5" customHeight="1">
      <c r="A113" s="1090">
        <v>9.4</v>
      </c>
      <c r="B113" s="933" t="s">
        <v>3837</v>
      </c>
      <c r="C113" s="1106"/>
      <c r="D113" s="943"/>
      <c r="E113" s="1103"/>
      <c r="F113" s="1097">
        <f t="shared" si="6"/>
        <v>0</v>
      </c>
      <c r="G113" s="1103"/>
      <c r="H113" s="1097">
        <f t="shared" si="7"/>
        <v>0</v>
      </c>
      <c r="I113" s="1103"/>
      <c r="J113" s="1097">
        <f t="shared" si="8"/>
        <v>0</v>
      </c>
      <c r="K113" s="1096"/>
      <c r="L113" s="1097">
        <f t="shared" si="9"/>
        <v>0</v>
      </c>
      <c r="M113" s="1103"/>
      <c r="N113" s="1096"/>
      <c r="O113" s="1098"/>
      <c r="P113" s="1096"/>
      <c r="Q113" s="1107"/>
      <c r="R113" s="1104"/>
    </row>
    <row r="114" spans="1:19" s="1108" customFormat="1" ht="25.5" customHeight="1">
      <c r="A114" s="1090"/>
      <c r="B114" s="933" t="s">
        <v>2683</v>
      </c>
      <c r="C114" s="1106"/>
      <c r="D114" s="943" t="s">
        <v>3770</v>
      </c>
      <c r="E114" s="1103"/>
      <c r="F114" s="1097">
        <f t="shared" si="6"/>
        <v>0</v>
      </c>
      <c r="G114" s="1103"/>
      <c r="H114" s="1097">
        <f t="shared" si="7"/>
        <v>0</v>
      </c>
      <c r="I114" s="1103"/>
      <c r="J114" s="1097">
        <f t="shared" si="8"/>
        <v>0</v>
      </c>
      <c r="K114" s="1096"/>
      <c r="L114" s="1097">
        <f t="shared" si="9"/>
        <v>0</v>
      </c>
      <c r="M114" s="1103"/>
      <c r="N114" s="1096"/>
      <c r="O114" s="1098"/>
      <c r="P114" s="1096"/>
      <c r="Q114" s="1107"/>
      <c r="R114" s="1104"/>
    </row>
    <row r="115" spans="1:19" s="1108" customFormat="1" ht="25.5" customHeight="1">
      <c r="A115" s="1090"/>
      <c r="B115" s="933" t="s">
        <v>2689</v>
      </c>
      <c r="C115" s="1106"/>
      <c r="D115" s="943" t="s">
        <v>3770</v>
      </c>
      <c r="E115" s="1103"/>
      <c r="F115" s="1097">
        <f t="shared" si="6"/>
        <v>0</v>
      </c>
      <c r="G115" s="1103"/>
      <c r="H115" s="1097">
        <f t="shared" si="7"/>
        <v>0</v>
      </c>
      <c r="I115" s="1103"/>
      <c r="J115" s="1097">
        <f t="shared" si="8"/>
        <v>0</v>
      </c>
      <c r="K115" s="1096"/>
      <c r="L115" s="1097">
        <f t="shared" si="9"/>
        <v>0</v>
      </c>
      <c r="M115" s="1103"/>
      <c r="N115" s="1096"/>
      <c r="O115" s="1098"/>
      <c r="P115" s="1096"/>
      <c r="Q115" s="1107"/>
      <c r="R115" s="1104"/>
    </row>
    <row r="116" spans="1:19" s="1108" customFormat="1" ht="25.5" customHeight="1">
      <c r="A116" s="1090"/>
      <c r="B116" s="933" t="s">
        <v>3830</v>
      </c>
      <c r="C116" s="1106"/>
      <c r="D116" s="943" t="s">
        <v>3770</v>
      </c>
      <c r="E116" s="1103"/>
      <c r="F116" s="1097">
        <f t="shared" si="6"/>
        <v>0</v>
      </c>
      <c r="G116" s="1103"/>
      <c r="H116" s="1097">
        <f t="shared" si="7"/>
        <v>0</v>
      </c>
      <c r="I116" s="1103"/>
      <c r="J116" s="1097">
        <f t="shared" si="8"/>
        <v>0</v>
      </c>
      <c r="K116" s="1096"/>
      <c r="L116" s="1097">
        <f t="shared" si="9"/>
        <v>0</v>
      </c>
      <c r="M116" s="1103"/>
      <c r="N116" s="1096"/>
      <c r="O116" s="1098"/>
      <c r="P116" s="1096"/>
      <c r="Q116" s="1107"/>
      <c r="R116" s="1104"/>
    </row>
    <row r="117" spans="1:19" s="1108" customFormat="1" ht="25.5" customHeight="1">
      <c r="A117" s="1090"/>
      <c r="B117" s="933" t="s">
        <v>3831</v>
      </c>
      <c r="C117" s="1106"/>
      <c r="D117" s="943" t="s">
        <v>3770</v>
      </c>
      <c r="E117" s="1103"/>
      <c r="F117" s="1097">
        <f t="shared" si="6"/>
        <v>0</v>
      </c>
      <c r="G117" s="1103"/>
      <c r="H117" s="1097">
        <f t="shared" si="7"/>
        <v>0</v>
      </c>
      <c r="I117" s="1103"/>
      <c r="J117" s="1097">
        <f t="shared" si="8"/>
        <v>0</v>
      </c>
      <c r="K117" s="1096"/>
      <c r="L117" s="1097">
        <f t="shared" si="9"/>
        <v>0</v>
      </c>
      <c r="M117" s="1103"/>
      <c r="N117" s="1096"/>
      <c r="O117" s="1098"/>
      <c r="P117" s="1096"/>
      <c r="Q117" s="1107"/>
      <c r="R117" s="1104"/>
    </row>
    <row r="118" spans="1:19" s="1108" customFormat="1" ht="12" customHeight="1">
      <c r="A118" s="1131"/>
      <c r="B118" s="933" t="s">
        <v>3832</v>
      </c>
      <c r="C118" s="1106"/>
      <c r="D118" s="943" t="s">
        <v>3770</v>
      </c>
      <c r="E118" s="1103"/>
      <c r="F118" s="1097">
        <f t="shared" si="6"/>
        <v>0</v>
      </c>
      <c r="G118" s="1103"/>
      <c r="H118" s="1097">
        <f t="shared" si="7"/>
        <v>0</v>
      </c>
      <c r="I118" s="1103"/>
      <c r="J118" s="1097">
        <f t="shared" si="8"/>
        <v>0</v>
      </c>
      <c r="K118" s="1096"/>
      <c r="L118" s="1097">
        <f t="shared" si="9"/>
        <v>0</v>
      </c>
      <c r="M118" s="1103"/>
      <c r="N118" s="1096"/>
      <c r="O118" s="1098"/>
      <c r="P118" s="1096"/>
      <c r="Q118" s="1107"/>
      <c r="R118" s="1104"/>
    </row>
    <row r="119" spans="1:19" s="1105" customFormat="1" ht="84.75" customHeight="1">
      <c r="A119" s="1129">
        <v>9.5</v>
      </c>
      <c r="B119" s="1263" t="s">
        <v>3838</v>
      </c>
      <c r="C119" s="1117"/>
      <c r="D119" s="1118"/>
      <c r="E119" s="1103"/>
      <c r="F119" s="1097">
        <f t="shared" si="6"/>
        <v>0</v>
      </c>
      <c r="G119" s="1103"/>
      <c r="H119" s="1097">
        <f t="shared" si="7"/>
        <v>0</v>
      </c>
      <c r="I119" s="1103"/>
      <c r="J119" s="1097">
        <f t="shared" si="8"/>
        <v>0</v>
      </c>
      <c r="K119" s="1096"/>
      <c r="L119" s="1097">
        <f t="shared" si="9"/>
        <v>0</v>
      </c>
      <c r="M119" s="1103"/>
      <c r="N119" s="1096"/>
      <c r="O119" s="1098"/>
      <c r="P119" s="1096"/>
      <c r="Q119" s="1132"/>
      <c r="R119" s="1104"/>
      <c r="S119" s="1133"/>
    </row>
    <row r="120" spans="1:19" s="1105" customFormat="1" ht="45.75" customHeight="1">
      <c r="A120" s="1129"/>
      <c r="B120" s="1265" t="s">
        <v>2683</v>
      </c>
      <c r="C120" s="1117" t="e">
        <f>ROUND(#REF!,2)</f>
        <v>#REF!</v>
      </c>
      <c r="D120" s="1118" t="s">
        <v>3770</v>
      </c>
      <c r="E120" s="1103"/>
      <c r="F120" s="1097" t="e">
        <f t="shared" si="6"/>
        <v>#REF!</v>
      </c>
      <c r="G120" s="1103"/>
      <c r="H120" s="1097" t="e">
        <f t="shared" si="7"/>
        <v>#REF!</v>
      </c>
      <c r="I120" s="1103"/>
      <c r="J120" s="1097" t="e">
        <f t="shared" si="8"/>
        <v>#REF!</v>
      </c>
      <c r="K120" s="1096"/>
      <c r="L120" s="1097" t="e">
        <f t="shared" si="9"/>
        <v>#REF!</v>
      </c>
      <c r="M120" s="1103"/>
      <c r="N120" s="1096"/>
      <c r="O120" s="1098"/>
      <c r="P120" s="1096"/>
      <c r="Q120" s="1104"/>
      <c r="R120" s="1104"/>
    </row>
    <row r="121" spans="1:19" s="1105" customFormat="1" ht="45.75" customHeight="1">
      <c r="A121" s="1129"/>
      <c r="B121" s="1265" t="s">
        <v>2689</v>
      </c>
      <c r="C121" s="1117" t="e">
        <f>ROUND(#REF!,2)</f>
        <v>#REF!</v>
      </c>
      <c r="D121" s="1118" t="s">
        <v>3770</v>
      </c>
      <c r="E121" s="1103"/>
      <c r="F121" s="1097" t="e">
        <f t="shared" si="6"/>
        <v>#REF!</v>
      </c>
      <c r="G121" s="1103"/>
      <c r="H121" s="1097" t="e">
        <f t="shared" si="7"/>
        <v>#REF!</v>
      </c>
      <c r="I121" s="1103"/>
      <c r="J121" s="1097" t="e">
        <f t="shared" si="8"/>
        <v>#REF!</v>
      </c>
      <c r="K121" s="1096"/>
      <c r="L121" s="1097" t="e">
        <f t="shared" si="9"/>
        <v>#REF!</v>
      </c>
      <c r="M121" s="1103"/>
      <c r="N121" s="1096"/>
      <c r="O121" s="1098"/>
      <c r="P121" s="1096"/>
      <c r="Q121" s="1104"/>
      <c r="R121" s="1104"/>
    </row>
    <row r="122" spans="1:19" s="1105" customFormat="1" ht="45.75" customHeight="1">
      <c r="A122" s="1134"/>
      <c r="B122" s="1266" t="s">
        <v>3830</v>
      </c>
      <c r="C122" s="1135" t="e">
        <f>ROUND(#REF!,2)</f>
        <v>#REF!</v>
      </c>
      <c r="D122" s="936" t="s">
        <v>3770</v>
      </c>
      <c r="E122" s="1103"/>
      <c r="F122" s="1097" t="e">
        <f t="shared" si="6"/>
        <v>#REF!</v>
      </c>
      <c r="G122" s="1103"/>
      <c r="H122" s="1097" t="e">
        <f t="shared" si="7"/>
        <v>#REF!</v>
      </c>
      <c r="I122" s="1103"/>
      <c r="J122" s="1097" t="e">
        <f t="shared" si="8"/>
        <v>#REF!</v>
      </c>
      <c r="K122" s="1096"/>
      <c r="L122" s="1097" t="e">
        <f t="shared" si="9"/>
        <v>#REF!</v>
      </c>
      <c r="M122" s="1103"/>
      <c r="N122" s="1096"/>
      <c r="O122" s="1098"/>
      <c r="P122" s="1096"/>
      <c r="Q122" s="1104"/>
      <c r="R122" s="1104"/>
    </row>
    <row r="123" spans="1:19" s="1105" customFormat="1" ht="45.75" customHeight="1">
      <c r="A123" s="1129"/>
      <c r="B123" s="1265" t="s">
        <v>3831</v>
      </c>
      <c r="C123" s="1117" t="e">
        <f>ROUND(#REF!,2)</f>
        <v>#REF!</v>
      </c>
      <c r="D123" s="1118" t="s">
        <v>3770</v>
      </c>
      <c r="E123" s="1103"/>
      <c r="F123" s="1097" t="e">
        <f t="shared" si="6"/>
        <v>#REF!</v>
      </c>
      <c r="G123" s="1103"/>
      <c r="H123" s="1097" t="e">
        <f t="shared" si="7"/>
        <v>#REF!</v>
      </c>
      <c r="I123" s="1103"/>
      <c r="J123" s="1097" t="e">
        <f t="shared" si="8"/>
        <v>#REF!</v>
      </c>
      <c r="K123" s="1096"/>
      <c r="L123" s="1097" t="e">
        <f t="shared" si="9"/>
        <v>#REF!</v>
      </c>
      <c r="M123" s="1103"/>
      <c r="N123" s="1096"/>
      <c r="O123" s="1098"/>
      <c r="P123" s="1096"/>
      <c r="Q123" s="1104"/>
      <c r="R123" s="1104"/>
    </row>
    <row r="124" spans="1:19" s="1105" customFormat="1" ht="49.5" customHeight="1">
      <c r="A124" s="1136"/>
      <c r="B124" s="1265" t="s">
        <v>3832</v>
      </c>
      <c r="C124" s="1117" t="e">
        <f>ROUND(#REF!,2)</f>
        <v>#REF!</v>
      </c>
      <c r="D124" s="1118" t="s">
        <v>3770</v>
      </c>
      <c r="E124" s="1103"/>
      <c r="F124" s="1097" t="e">
        <f t="shared" si="6"/>
        <v>#REF!</v>
      </c>
      <c r="G124" s="1103"/>
      <c r="H124" s="1097" t="e">
        <f t="shared" si="7"/>
        <v>#REF!</v>
      </c>
      <c r="I124" s="1103"/>
      <c r="J124" s="1097" t="e">
        <f t="shared" si="8"/>
        <v>#REF!</v>
      </c>
      <c r="K124" s="1096"/>
      <c r="L124" s="1097" t="e">
        <f t="shared" si="9"/>
        <v>#REF!</v>
      </c>
      <c r="M124" s="1103"/>
      <c r="N124" s="1096"/>
      <c r="O124" s="1098"/>
      <c r="P124" s="1096"/>
      <c r="Q124" s="1104"/>
      <c r="R124" s="1104"/>
    </row>
    <row r="125" spans="1:19" s="1108" customFormat="1" ht="69.75" customHeight="1">
      <c r="A125" s="1090">
        <v>9.6</v>
      </c>
      <c r="B125" s="933" t="s">
        <v>3839</v>
      </c>
      <c r="C125" s="1106"/>
      <c r="D125" s="943"/>
      <c r="E125" s="1103"/>
      <c r="F125" s="1097">
        <f t="shared" si="6"/>
        <v>0</v>
      </c>
      <c r="G125" s="1103"/>
      <c r="H125" s="1097">
        <f t="shared" si="7"/>
        <v>0</v>
      </c>
      <c r="I125" s="1103"/>
      <c r="J125" s="1097">
        <f t="shared" si="8"/>
        <v>0</v>
      </c>
      <c r="K125" s="1096"/>
      <c r="L125" s="1097">
        <f t="shared" si="9"/>
        <v>0</v>
      </c>
      <c r="M125" s="1103"/>
      <c r="N125" s="1096"/>
      <c r="O125" s="1098"/>
      <c r="P125" s="1096"/>
      <c r="Q125" s="1107"/>
      <c r="R125" s="1104"/>
    </row>
    <row r="126" spans="1:19" s="1108" customFormat="1" ht="25.5" customHeight="1">
      <c r="A126" s="1090"/>
      <c r="B126" s="933" t="s">
        <v>2683</v>
      </c>
      <c r="C126" s="1106"/>
      <c r="D126" s="943" t="s">
        <v>3770</v>
      </c>
      <c r="E126" s="1103"/>
      <c r="F126" s="1097">
        <f t="shared" si="6"/>
        <v>0</v>
      </c>
      <c r="G126" s="1103"/>
      <c r="H126" s="1097">
        <f t="shared" si="7"/>
        <v>0</v>
      </c>
      <c r="I126" s="1103"/>
      <c r="J126" s="1097">
        <f t="shared" si="8"/>
        <v>0</v>
      </c>
      <c r="K126" s="1096"/>
      <c r="L126" s="1097">
        <f t="shared" si="9"/>
        <v>0</v>
      </c>
      <c r="M126" s="1103"/>
      <c r="N126" s="1096"/>
      <c r="O126" s="1098"/>
      <c r="P126" s="1096"/>
      <c r="Q126" s="1107"/>
      <c r="R126" s="1104"/>
    </row>
    <row r="127" spans="1:19" s="1108" customFormat="1" ht="25.5" customHeight="1">
      <c r="A127" s="1090"/>
      <c r="B127" s="933" t="s">
        <v>2689</v>
      </c>
      <c r="C127" s="1106"/>
      <c r="D127" s="943" t="s">
        <v>3770</v>
      </c>
      <c r="E127" s="1103"/>
      <c r="F127" s="1097">
        <f t="shared" si="6"/>
        <v>0</v>
      </c>
      <c r="G127" s="1103"/>
      <c r="H127" s="1097">
        <f t="shared" si="7"/>
        <v>0</v>
      </c>
      <c r="I127" s="1103"/>
      <c r="J127" s="1097">
        <f t="shared" si="8"/>
        <v>0</v>
      </c>
      <c r="K127" s="1096"/>
      <c r="L127" s="1097">
        <f t="shared" si="9"/>
        <v>0</v>
      </c>
      <c r="M127" s="1103"/>
      <c r="N127" s="1096"/>
      <c r="O127" s="1098"/>
      <c r="P127" s="1096"/>
      <c r="Q127" s="1107"/>
      <c r="R127" s="1104"/>
    </row>
    <row r="128" spans="1:19" s="1108" customFormat="1" ht="25.5" customHeight="1">
      <c r="A128" s="1090"/>
      <c r="B128" s="933" t="s">
        <v>3830</v>
      </c>
      <c r="C128" s="1106"/>
      <c r="D128" s="943" t="s">
        <v>3770</v>
      </c>
      <c r="E128" s="1103"/>
      <c r="F128" s="1097">
        <f t="shared" si="6"/>
        <v>0</v>
      </c>
      <c r="G128" s="1103"/>
      <c r="H128" s="1097">
        <f t="shared" si="7"/>
        <v>0</v>
      </c>
      <c r="I128" s="1103"/>
      <c r="J128" s="1097">
        <f t="shared" si="8"/>
        <v>0</v>
      </c>
      <c r="K128" s="1096"/>
      <c r="L128" s="1097">
        <f t="shared" si="9"/>
        <v>0</v>
      </c>
      <c r="M128" s="1103"/>
      <c r="N128" s="1096"/>
      <c r="O128" s="1098"/>
      <c r="P128" s="1096"/>
      <c r="Q128" s="1107"/>
      <c r="R128" s="1104"/>
    </row>
    <row r="129" spans="1:18" s="1108" customFormat="1" ht="25.5" customHeight="1">
      <c r="A129" s="1090"/>
      <c r="B129" s="933" t="s">
        <v>3831</v>
      </c>
      <c r="C129" s="1106"/>
      <c r="D129" s="943" t="s">
        <v>3770</v>
      </c>
      <c r="E129" s="1103"/>
      <c r="F129" s="1097">
        <f t="shared" si="6"/>
        <v>0</v>
      </c>
      <c r="G129" s="1103"/>
      <c r="H129" s="1097">
        <f t="shared" si="7"/>
        <v>0</v>
      </c>
      <c r="I129" s="1103"/>
      <c r="J129" s="1097">
        <f t="shared" si="8"/>
        <v>0</v>
      </c>
      <c r="K129" s="1096"/>
      <c r="L129" s="1097">
        <f t="shared" si="9"/>
        <v>0</v>
      </c>
      <c r="M129" s="1103"/>
      <c r="N129" s="1096"/>
      <c r="O129" s="1098"/>
      <c r="P129" s="1096"/>
      <c r="Q129" s="1107"/>
      <c r="R129" s="1104"/>
    </row>
    <row r="130" spans="1:18" s="1108" customFormat="1" ht="25.5" customHeight="1">
      <c r="A130" s="1131"/>
      <c r="B130" s="933" t="s">
        <v>3832</v>
      </c>
      <c r="C130" s="1106"/>
      <c r="D130" s="943" t="s">
        <v>3770</v>
      </c>
      <c r="E130" s="1103"/>
      <c r="F130" s="1097">
        <f t="shared" si="6"/>
        <v>0</v>
      </c>
      <c r="G130" s="1103"/>
      <c r="H130" s="1097">
        <f t="shared" si="7"/>
        <v>0</v>
      </c>
      <c r="I130" s="1103"/>
      <c r="J130" s="1097">
        <f t="shared" si="8"/>
        <v>0</v>
      </c>
      <c r="K130" s="1096"/>
      <c r="L130" s="1097">
        <f t="shared" si="9"/>
        <v>0</v>
      </c>
      <c r="M130" s="1103"/>
      <c r="N130" s="1096"/>
      <c r="O130" s="1098"/>
      <c r="P130" s="1096"/>
      <c r="Q130" s="1107"/>
      <c r="R130" s="1104"/>
    </row>
    <row r="131" spans="1:18" s="1108" customFormat="1" ht="69.75" customHeight="1">
      <c r="A131" s="1090">
        <v>10.1</v>
      </c>
      <c r="B131" s="1262" t="s">
        <v>3840</v>
      </c>
      <c r="C131" s="1106"/>
      <c r="D131" s="943"/>
      <c r="E131" s="1103"/>
      <c r="F131" s="1097">
        <f t="shared" si="6"/>
        <v>0</v>
      </c>
      <c r="G131" s="1103"/>
      <c r="H131" s="1097">
        <f t="shared" si="7"/>
        <v>0</v>
      </c>
      <c r="I131" s="1103"/>
      <c r="J131" s="1097">
        <f t="shared" si="8"/>
        <v>0</v>
      </c>
      <c r="K131" s="1096"/>
      <c r="L131" s="1097">
        <f t="shared" si="9"/>
        <v>0</v>
      </c>
      <c r="M131" s="1103"/>
      <c r="N131" s="1096"/>
      <c r="O131" s="1098"/>
      <c r="P131" s="1096"/>
      <c r="Q131" s="1107"/>
      <c r="R131" s="1104"/>
    </row>
    <row r="132" spans="1:18" s="1108" customFormat="1" ht="25.5" customHeight="1">
      <c r="A132" s="1090"/>
      <c r="B132" s="933" t="s">
        <v>3841</v>
      </c>
      <c r="C132" s="1106" t="e">
        <f>ROUND(#REF!,2)</f>
        <v>#REF!</v>
      </c>
      <c r="D132" s="943" t="s">
        <v>3798</v>
      </c>
      <c r="E132" s="1103"/>
      <c r="F132" s="1097" t="e">
        <f t="shared" si="6"/>
        <v>#REF!</v>
      </c>
      <c r="G132" s="1103"/>
      <c r="H132" s="1097" t="e">
        <f t="shared" si="7"/>
        <v>#REF!</v>
      </c>
      <c r="I132" s="1103"/>
      <c r="J132" s="1097" t="e">
        <f t="shared" si="8"/>
        <v>#REF!</v>
      </c>
      <c r="K132" s="1096"/>
      <c r="L132" s="1097" t="e">
        <f t="shared" si="9"/>
        <v>#REF!</v>
      </c>
      <c r="M132" s="1103"/>
      <c r="N132" s="1096"/>
      <c r="O132" s="1098"/>
      <c r="P132" s="1096"/>
      <c r="Q132" s="1107"/>
      <c r="R132" s="1104"/>
    </row>
    <row r="133" spans="1:18" s="1108" customFormat="1" ht="25.5" customHeight="1">
      <c r="A133" s="1090"/>
      <c r="B133" s="933" t="s">
        <v>3842</v>
      </c>
      <c r="C133" s="1106" t="e">
        <f>ROUND(#REF!,2)</f>
        <v>#REF!</v>
      </c>
      <c r="D133" s="943" t="s">
        <v>3798</v>
      </c>
      <c r="E133" s="1103"/>
      <c r="F133" s="1097" t="e">
        <f t="shared" si="6"/>
        <v>#REF!</v>
      </c>
      <c r="G133" s="1103"/>
      <c r="H133" s="1097" t="e">
        <f t="shared" si="7"/>
        <v>#REF!</v>
      </c>
      <c r="I133" s="1103"/>
      <c r="J133" s="1097" t="e">
        <f t="shared" si="8"/>
        <v>#REF!</v>
      </c>
      <c r="K133" s="1096"/>
      <c r="L133" s="1097" t="e">
        <f t="shared" si="9"/>
        <v>#REF!</v>
      </c>
      <c r="M133" s="1103"/>
      <c r="N133" s="1096"/>
      <c r="O133" s="1098"/>
      <c r="P133" s="1096"/>
      <c r="Q133" s="1107"/>
      <c r="R133" s="1104"/>
    </row>
    <row r="134" spans="1:18" s="1108" customFormat="1" ht="25.5" customHeight="1">
      <c r="A134" s="1090"/>
      <c r="B134" s="933" t="s">
        <v>3843</v>
      </c>
      <c r="C134" s="1106" t="e">
        <f>ROUND(#REF!,2)</f>
        <v>#REF!</v>
      </c>
      <c r="D134" s="943" t="s">
        <v>3798</v>
      </c>
      <c r="E134" s="1103"/>
      <c r="F134" s="1097" t="e">
        <f t="shared" si="6"/>
        <v>#REF!</v>
      </c>
      <c r="G134" s="1103"/>
      <c r="H134" s="1097" t="e">
        <f t="shared" si="7"/>
        <v>#REF!</v>
      </c>
      <c r="I134" s="1103"/>
      <c r="J134" s="1097" t="e">
        <f t="shared" si="8"/>
        <v>#REF!</v>
      </c>
      <c r="K134" s="1096"/>
      <c r="L134" s="1097" t="e">
        <f t="shared" si="9"/>
        <v>#REF!</v>
      </c>
      <c r="M134" s="1103"/>
      <c r="N134" s="1096"/>
      <c r="O134" s="1098"/>
      <c r="P134" s="1096"/>
      <c r="Q134" s="1107"/>
      <c r="R134" s="1104"/>
    </row>
    <row r="135" spans="1:18" s="1108" customFormat="1" ht="25.5" customHeight="1">
      <c r="A135" s="1090"/>
      <c r="B135" s="933" t="s">
        <v>3844</v>
      </c>
      <c r="C135" s="1106" t="e">
        <f>ROUND(#REF!,2)</f>
        <v>#REF!</v>
      </c>
      <c r="D135" s="943" t="s">
        <v>3798</v>
      </c>
      <c r="E135" s="1103"/>
      <c r="F135" s="1097" t="e">
        <f t="shared" si="6"/>
        <v>#REF!</v>
      </c>
      <c r="G135" s="1103"/>
      <c r="H135" s="1097" t="e">
        <f t="shared" si="7"/>
        <v>#REF!</v>
      </c>
      <c r="I135" s="1103"/>
      <c r="J135" s="1097" t="e">
        <f t="shared" si="8"/>
        <v>#REF!</v>
      </c>
      <c r="K135" s="1096"/>
      <c r="L135" s="1097" t="e">
        <f t="shared" si="9"/>
        <v>#REF!</v>
      </c>
      <c r="M135" s="1103"/>
      <c r="N135" s="1096"/>
      <c r="O135" s="1098"/>
      <c r="P135" s="1096"/>
      <c r="Q135" s="1107"/>
      <c r="R135" s="1104"/>
    </row>
    <row r="136" spans="1:18" s="1108" customFormat="1" ht="25.5" customHeight="1">
      <c r="A136" s="1090"/>
      <c r="B136" s="933" t="s">
        <v>3845</v>
      </c>
      <c r="C136" s="1106" t="e">
        <f>ROUND(#REF!,2)</f>
        <v>#REF!</v>
      </c>
      <c r="D136" s="943" t="s">
        <v>3798</v>
      </c>
      <c r="E136" s="1103"/>
      <c r="F136" s="1097" t="e">
        <f t="shared" si="6"/>
        <v>#REF!</v>
      </c>
      <c r="G136" s="1103"/>
      <c r="H136" s="1097" t="e">
        <f t="shared" si="7"/>
        <v>#REF!</v>
      </c>
      <c r="I136" s="1103"/>
      <c r="J136" s="1097" t="e">
        <f t="shared" si="8"/>
        <v>#REF!</v>
      </c>
      <c r="K136" s="1096"/>
      <c r="L136" s="1097" t="e">
        <f t="shared" si="9"/>
        <v>#REF!</v>
      </c>
      <c r="M136" s="1103"/>
      <c r="N136" s="1096"/>
      <c r="O136" s="1098"/>
      <c r="P136" s="1096"/>
      <c r="Q136" s="1107"/>
      <c r="R136" s="1104"/>
    </row>
    <row r="137" spans="1:18" s="1108" customFormat="1" ht="25.5" customHeight="1">
      <c r="A137" s="1137"/>
      <c r="B137" s="1259" t="s">
        <v>3846</v>
      </c>
      <c r="C137" s="1111" t="e">
        <f>ROUND(#REF!,2)</f>
        <v>#REF!</v>
      </c>
      <c r="D137" s="1112" t="s">
        <v>3798</v>
      </c>
      <c r="E137" s="1113"/>
      <c r="F137" s="1097" t="e">
        <f t="shared" ref="F137:F200" si="11">C137*E137</f>
        <v>#REF!</v>
      </c>
      <c r="G137" s="1113"/>
      <c r="H137" s="1097" t="e">
        <f t="shared" ref="H137:H200" si="12">C137*G137</f>
        <v>#REF!</v>
      </c>
      <c r="I137" s="1113"/>
      <c r="J137" s="1097" t="e">
        <f t="shared" si="8"/>
        <v>#REF!</v>
      </c>
      <c r="K137" s="1114"/>
      <c r="L137" s="1097" t="e">
        <f t="shared" si="9"/>
        <v>#REF!</v>
      </c>
      <c r="M137" s="1113"/>
      <c r="N137" s="1096"/>
      <c r="O137" s="1098"/>
      <c r="P137" s="1096"/>
      <c r="Q137" s="1107"/>
      <c r="R137" s="1104"/>
    </row>
    <row r="138" spans="1:18" s="1108" customFormat="1" ht="77.25" customHeight="1">
      <c r="A138" s="1090">
        <v>10.199999999999999</v>
      </c>
      <c r="B138" s="1262" t="s">
        <v>3847</v>
      </c>
      <c r="C138" s="1092"/>
      <c r="D138" s="940"/>
      <c r="E138" s="1096">
        <f>'Ins Abs'!Q18</f>
        <v>0</v>
      </c>
      <c r="F138" s="1097">
        <f t="shared" si="11"/>
        <v>0</v>
      </c>
      <c r="G138" s="1096">
        <f>'SI Abs '!Q19</f>
        <v>0</v>
      </c>
      <c r="H138" s="1097">
        <f>'SI Abs '!R19</f>
        <v>0</v>
      </c>
      <c r="I138" s="1096">
        <f>'PC Abs'!Q18</f>
        <v>0</v>
      </c>
      <c r="J138" s="1097">
        <f>'PC Abs'!R18</f>
        <v>0</v>
      </c>
      <c r="K138" s="1096"/>
      <c r="L138" s="1097">
        <f t="shared" si="9"/>
        <v>0</v>
      </c>
      <c r="M138" s="1096"/>
      <c r="N138" s="1096"/>
      <c r="O138" s="1098"/>
      <c r="P138" s="1095"/>
      <c r="Q138" s="1107"/>
      <c r="R138" s="1099"/>
    </row>
    <row r="139" spans="1:18" s="1108" customFormat="1" ht="46.15" customHeight="1">
      <c r="A139" s="1090"/>
      <c r="B139" s="933" t="s">
        <v>3841</v>
      </c>
      <c r="C139" s="1092" t="e">
        <f>ROUND(#REF!,2)</f>
        <v>#REF!</v>
      </c>
      <c r="D139" s="940" t="s">
        <v>3798</v>
      </c>
      <c r="E139" s="1096">
        <f>'Ins Abs'!Q19</f>
        <v>76.119464285714287</v>
      </c>
      <c r="F139" s="1097" t="e">
        <f t="shared" si="11"/>
        <v>#REF!</v>
      </c>
      <c r="G139" s="1096">
        <f>'SI Abs '!Q20</f>
        <v>107.99714285714288</v>
      </c>
      <c r="H139" s="1097">
        <f>'SI Abs '!R20</f>
        <v>118536.04036626779</v>
      </c>
      <c r="I139" s="1096">
        <f>'PC Abs'!Q19</f>
        <v>71.798392857142858</v>
      </c>
      <c r="J139" s="1097">
        <f>'PC Abs'!R19</f>
        <v>78804.836579846102</v>
      </c>
      <c r="K139" s="1096" t="e">
        <f>#REF!</f>
        <v>#REF!</v>
      </c>
      <c r="L139" s="1097" t="e">
        <f t="shared" si="9"/>
        <v>#REF!</v>
      </c>
      <c r="M139" s="1096"/>
      <c r="N139" s="1096"/>
      <c r="O139" s="1098" t="e">
        <f t="shared" ref="O139" si="13">E139+G139+I139+K139</f>
        <v>#REF!</v>
      </c>
      <c r="P139" s="1096" t="e">
        <f>O139*C139</f>
        <v>#REF!</v>
      </c>
      <c r="Q139" s="1107"/>
      <c r="R139" s="1099"/>
    </row>
    <row r="140" spans="1:18" s="1108" customFormat="1" ht="36.75" customHeight="1">
      <c r="A140" s="1090"/>
      <c r="B140" s="933" t="s">
        <v>3848</v>
      </c>
      <c r="C140" s="1092" t="e">
        <f>ROUND(#REF!,2)</f>
        <v>#REF!</v>
      </c>
      <c r="D140" s="940" t="s">
        <v>3798</v>
      </c>
      <c r="E140" s="1096"/>
      <c r="F140" s="1097" t="e">
        <f t="shared" si="11"/>
        <v>#REF!</v>
      </c>
      <c r="G140" s="1096"/>
      <c r="H140" s="1097" t="e">
        <f t="shared" si="12"/>
        <v>#REF!</v>
      </c>
      <c r="I140" s="1096"/>
      <c r="J140" s="1097" t="e">
        <f t="shared" si="8"/>
        <v>#REF!</v>
      </c>
      <c r="K140" s="1096"/>
      <c r="L140" s="1097" t="e">
        <f t="shared" si="9"/>
        <v>#REF!</v>
      </c>
      <c r="M140" s="1096"/>
      <c r="N140" s="1096"/>
      <c r="O140" s="1098"/>
      <c r="P140" s="1096"/>
      <c r="Q140" s="1107"/>
      <c r="R140" s="1099"/>
    </row>
    <row r="141" spans="1:18" s="1108" customFormat="1" ht="40.5" customHeight="1">
      <c r="A141" s="1090"/>
      <c r="B141" s="933" t="s">
        <v>3843</v>
      </c>
      <c r="C141" s="1092" t="e">
        <f>ROUND(#REF!,2)</f>
        <v>#REF!</v>
      </c>
      <c r="D141" s="940" t="s">
        <v>3798</v>
      </c>
      <c r="E141" s="1096"/>
      <c r="F141" s="1097" t="e">
        <f t="shared" si="11"/>
        <v>#REF!</v>
      </c>
      <c r="G141" s="1096"/>
      <c r="H141" s="1097" t="e">
        <f t="shared" si="12"/>
        <v>#REF!</v>
      </c>
      <c r="I141" s="1096"/>
      <c r="J141" s="1097" t="e">
        <f t="shared" si="8"/>
        <v>#REF!</v>
      </c>
      <c r="K141" s="1096"/>
      <c r="L141" s="1097" t="e">
        <f t="shared" si="9"/>
        <v>#REF!</v>
      </c>
      <c r="M141" s="1096"/>
      <c r="N141" s="1096"/>
      <c r="O141" s="1098"/>
      <c r="P141" s="1096"/>
      <c r="Q141" s="1107"/>
      <c r="R141" s="1099"/>
    </row>
    <row r="142" spans="1:18" s="1108" customFormat="1" ht="48.75" customHeight="1">
      <c r="A142" s="1090"/>
      <c r="B142" s="933" t="s">
        <v>3844</v>
      </c>
      <c r="C142" s="1092" t="e">
        <f>ROUND(#REF!,2)</f>
        <v>#REF!</v>
      </c>
      <c r="D142" s="943" t="s">
        <v>3798</v>
      </c>
      <c r="E142" s="1096"/>
      <c r="F142" s="1097" t="e">
        <f t="shared" si="11"/>
        <v>#REF!</v>
      </c>
      <c r="G142" s="1103"/>
      <c r="H142" s="1097" t="e">
        <f t="shared" si="12"/>
        <v>#REF!</v>
      </c>
      <c r="I142" s="1103"/>
      <c r="J142" s="1097" t="e">
        <f t="shared" si="8"/>
        <v>#REF!</v>
      </c>
      <c r="K142" s="1096"/>
      <c r="L142" s="1097" t="e">
        <f t="shared" si="9"/>
        <v>#REF!</v>
      </c>
      <c r="M142" s="1103"/>
      <c r="N142" s="1096"/>
      <c r="O142" s="1098"/>
      <c r="P142" s="1096"/>
      <c r="Q142" s="1107"/>
      <c r="R142" s="1104"/>
    </row>
    <row r="143" spans="1:18" s="1108" customFormat="1" ht="49.5" customHeight="1">
      <c r="A143" s="1090"/>
      <c r="B143" s="933" t="s">
        <v>3845</v>
      </c>
      <c r="C143" s="1106" t="e">
        <f>ROUND(#REF!,2)</f>
        <v>#REF!</v>
      </c>
      <c r="D143" s="943" t="s">
        <v>3798</v>
      </c>
      <c r="E143" s="1103"/>
      <c r="F143" s="1097" t="e">
        <f t="shared" si="11"/>
        <v>#REF!</v>
      </c>
      <c r="G143" s="1103"/>
      <c r="H143" s="1097" t="e">
        <f t="shared" si="12"/>
        <v>#REF!</v>
      </c>
      <c r="I143" s="1103"/>
      <c r="J143" s="1097" t="e">
        <f t="shared" si="8"/>
        <v>#REF!</v>
      </c>
      <c r="K143" s="1096"/>
      <c r="L143" s="1097" t="e">
        <f t="shared" si="9"/>
        <v>#REF!</v>
      </c>
      <c r="M143" s="1103"/>
      <c r="N143" s="1096"/>
      <c r="O143" s="1098"/>
      <c r="P143" s="1096"/>
      <c r="Q143" s="1107"/>
      <c r="R143" s="1104"/>
    </row>
    <row r="144" spans="1:18" s="1108" customFormat="1" ht="25.5" customHeight="1">
      <c r="A144" s="1131"/>
      <c r="B144" s="933" t="s">
        <v>3846</v>
      </c>
      <c r="C144" s="1106" t="e">
        <f>ROUND(#REF!,2)</f>
        <v>#REF!</v>
      </c>
      <c r="D144" s="943" t="s">
        <v>3798</v>
      </c>
      <c r="E144" s="1103"/>
      <c r="F144" s="1097" t="e">
        <f t="shared" si="11"/>
        <v>#REF!</v>
      </c>
      <c r="G144" s="1103"/>
      <c r="H144" s="1097" t="e">
        <f t="shared" si="12"/>
        <v>#REF!</v>
      </c>
      <c r="I144" s="1103"/>
      <c r="J144" s="1097" t="e">
        <f t="shared" si="8"/>
        <v>#REF!</v>
      </c>
      <c r="K144" s="1096"/>
      <c r="L144" s="1097" t="e">
        <f t="shared" si="9"/>
        <v>#REF!</v>
      </c>
      <c r="M144" s="1103"/>
      <c r="N144" s="1096"/>
      <c r="O144" s="1098"/>
      <c r="P144" s="1096"/>
      <c r="Q144" s="1107"/>
      <c r="R144" s="1104"/>
    </row>
    <row r="145" spans="1:18" s="1108" customFormat="1" ht="25.5" customHeight="1">
      <c r="A145" s="1131"/>
      <c r="B145" s="933" t="s">
        <v>3821</v>
      </c>
      <c r="C145" s="1106" t="e">
        <f>ROUND(#REF!,2)</f>
        <v>#REF!</v>
      </c>
      <c r="D145" s="943" t="s">
        <v>3798</v>
      </c>
      <c r="E145" s="1103"/>
      <c r="F145" s="1097" t="e">
        <f t="shared" si="11"/>
        <v>#REF!</v>
      </c>
      <c r="G145" s="1103"/>
      <c r="H145" s="1097" t="e">
        <f t="shared" si="12"/>
        <v>#REF!</v>
      </c>
      <c r="I145" s="1103"/>
      <c r="J145" s="1097" t="e">
        <f t="shared" si="8"/>
        <v>#REF!</v>
      </c>
      <c r="K145" s="1096"/>
      <c r="L145" s="1097" t="e">
        <f t="shared" si="9"/>
        <v>#REF!</v>
      </c>
      <c r="M145" s="1103"/>
      <c r="N145" s="1096"/>
      <c r="O145" s="1098"/>
      <c r="P145" s="1096"/>
      <c r="Q145" s="1107"/>
      <c r="R145" s="1104"/>
    </row>
    <row r="146" spans="1:18" s="1108" customFormat="1" ht="25.5" customHeight="1">
      <c r="A146" s="1131"/>
      <c r="B146" s="933" t="s">
        <v>3822</v>
      </c>
      <c r="C146" s="1106" t="e">
        <f>ROUND(#REF!,2)</f>
        <v>#REF!</v>
      </c>
      <c r="D146" s="943" t="s">
        <v>3798</v>
      </c>
      <c r="E146" s="1103"/>
      <c r="F146" s="1097" t="e">
        <f t="shared" si="11"/>
        <v>#REF!</v>
      </c>
      <c r="G146" s="1103"/>
      <c r="H146" s="1097" t="e">
        <f t="shared" si="12"/>
        <v>#REF!</v>
      </c>
      <c r="I146" s="1103"/>
      <c r="J146" s="1097" t="e">
        <f t="shared" si="8"/>
        <v>#REF!</v>
      </c>
      <c r="K146" s="1096"/>
      <c r="L146" s="1097" t="e">
        <f t="shared" si="9"/>
        <v>#REF!</v>
      </c>
      <c r="M146" s="1103"/>
      <c r="N146" s="1096"/>
      <c r="O146" s="1098"/>
      <c r="P146" s="1096"/>
      <c r="Q146" s="1107"/>
      <c r="R146" s="1104"/>
    </row>
    <row r="147" spans="1:18" s="1108" customFormat="1" ht="25.5" customHeight="1">
      <c r="A147" s="1131"/>
      <c r="B147" s="933" t="s">
        <v>3823</v>
      </c>
      <c r="C147" s="1106" t="e">
        <f>ROUND(#REF!,2)</f>
        <v>#REF!</v>
      </c>
      <c r="D147" s="943" t="s">
        <v>3798</v>
      </c>
      <c r="E147" s="1103"/>
      <c r="F147" s="1097" t="e">
        <f t="shared" si="11"/>
        <v>#REF!</v>
      </c>
      <c r="G147" s="1103"/>
      <c r="H147" s="1097" t="e">
        <f t="shared" si="12"/>
        <v>#REF!</v>
      </c>
      <c r="I147" s="1103"/>
      <c r="J147" s="1097" t="e">
        <f t="shared" si="8"/>
        <v>#REF!</v>
      </c>
      <c r="K147" s="1096"/>
      <c r="L147" s="1097" t="e">
        <f t="shared" si="9"/>
        <v>#REF!</v>
      </c>
      <c r="M147" s="1103"/>
      <c r="N147" s="1096"/>
      <c r="O147" s="1098"/>
      <c r="P147" s="1096"/>
      <c r="Q147" s="1107"/>
      <c r="R147" s="1104"/>
    </row>
    <row r="148" spans="1:18" s="1108" customFormat="1" ht="25.5" customHeight="1">
      <c r="A148" s="1131"/>
      <c r="B148" s="933" t="s">
        <v>3824</v>
      </c>
      <c r="C148" s="1106" t="e">
        <f>ROUND(#REF!,2)</f>
        <v>#REF!</v>
      </c>
      <c r="D148" s="943" t="s">
        <v>3798</v>
      </c>
      <c r="E148" s="1103"/>
      <c r="F148" s="1097" t="e">
        <f t="shared" si="11"/>
        <v>#REF!</v>
      </c>
      <c r="G148" s="1103"/>
      <c r="H148" s="1097" t="e">
        <f t="shared" si="12"/>
        <v>#REF!</v>
      </c>
      <c r="I148" s="1103"/>
      <c r="J148" s="1097" t="e">
        <f t="shared" si="8"/>
        <v>#REF!</v>
      </c>
      <c r="K148" s="1096"/>
      <c r="L148" s="1097" t="e">
        <f t="shared" si="9"/>
        <v>#REF!</v>
      </c>
      <c r="M148" s="1103"/>
      <c r="N148" s="1096"/>
      <c r="O148" s="1098"/>
      <c r="P148" s="1096"/>
      <c r="Q148" s="1107"/>
      <c r="R148" s="1104"/>
    </row>
    <row r="149" spans="1:18" s="1108" customFormat="1" ht="25.5" customHeight="1">
      <c r="A149" s="1131"/>
      <c r="B149" s="933" t="s">
        <v>3825</v>
      </c>
      <c r="C149" s="1106" t="e">
        <f>ROUND(#REF!,2)</f>
        <v>#REF!</v>
      </c>
      <c r="D149" s="943" t="s">
        <v>3798</v>
      </c>
      <c r="E149" s="1103"/>
      <c r="F149" s="1097" t="e">
        <f t="shared" si="11"/>
        <v>#REF!</v>
      </c>
      <c r="G149" s="1103"/>
      <c r="H149" s="1097" t="e">
        <f t="shared" si="12"/>
        <v>#REF!</v>
      </c>
      <c r="I149" s="1103"/>
      <c r="J149" s="1097" t="e">
        <f t="shared" si="8"/>
        <v>#REF!</v>
      </c>
      <c r="K149" s="1096"/>
      <c r="L149" s="1097" t="e">
        <f t="shared" si="9"/>
        <v>#REF!</v>
      </c>
      <c r="M149" s="1103"/>
      <c r="N149" s="1096"/>
      <c r="O149" s="1098"/>
      <c r="P149" s="1096"/>
      <c r="Q149" s="1107"/>
      <c r="R149" s="1104"/>
    </row>
    <row r="150" spans="1:18" s="1108" customFormat="1" ht="26.25" customHeight="1">
      <c r="A150" s="1131"/>
      <c r="B150" s="933" t="s">
        <v>3826</v>
      </c>
      <c r="C150" s="1106" t="e">
        <f>ROUND(#REF!,2)</f>
        <v>#REF!</v>
      </c>
      <c r="D150" s="943" t="s">
        <v>3798</v>
      </c>
      <c r="E150" s="1103"/>
      <c r="F150" s="1097" t="e">
        <f t="shared" si="11"/>
        <v>#REF!</v>
      </c>
      <c r="G150" s="1103"/>
      <c r="H150" s="1097" t="e">
        <f t="shared" si="12"/>
        <v>#REF!</v>
      </c>
      <c r="I150" s="1103"/>
      <c r="J150" s="1097" t="e">
        <f t="shared" si="8"/>
        <v>#REF!</v>
      </c>
      <c r="K150" s="1096"/>
      <c r="L150" s="1097" t="e">
        <f t="shared" si="9"/>
        <v>#REF!</v>
      </c>
      <c r="M150" s="1103"/>
      <c r="N150" s="1096"/>
      <c r="O150" s="1098"/>
      <c r="P150" s="1096"/>
      <c r="Q150" s="1107"/>
      <c r="R150" s="1104"/>
    </row>
    <row r="151" spans="1:18" s="1108" customFormat="1" ht="25.5" customHeight="1">
      <c r="A151" s="1131"/>
      <c r="B151" s="933" t="s">
        <v>3827</v>
      </c>
      <c r="C151" s="1106" t="e">
        <f>ROUND(#REF!,2)</f>
        <v>#REF!</v>
      </c>
      <c r="D151" s="943" t="s">
        <v>3798</v>
      </c>
      <c r="E151" s="1103"/>
      <c r="F151" s="1097" t="e">
        <f t="shared" si="11"/>
        <v>#REF!</v>
      </c>
      <c r="G151" s="1103"/>
      <c r="H151" s="1097" t="e">
        <f t="shared" si="12"/>
        <v>#REF!</v>
      </c>
      <c r="I151" s="1103"/>
      <c r="J151" s="1097" t="e">
        <f t="shared" si="8"/>
        <v>#REF!</v>
      </c>
      <c r="K151" s="1096"/>
      <c r="L151" s="1097" t="e">
        <f t="shared" si="9"/>
        <v>#REF!</v>
      </c>
      <c r="M151" s="1103"/>
      <c r="N151" s="1096"/>
      <c r="O151" s="1098"/>
      <c r="P151" s="1096"/>
      <c r="Q151" s="1107"/>
      <c r="R151" s="1104"/>
    </row>
    <row r="152" spans="1:18" s="1108" customFormat="1" ht="25.5" customHeight="1">
      <c r="A152" s="1131"/>
      <c r="B152" s="933" t="s">
        <v>3828</v>
      </c>
      <c r="C152" s="1106" t="e">
        <f>#REF!</f>
        <v>#REF!</v>
      </c>
      <c r="D152" s="943" t="s">
        <v>3798</v>
      </c>
      <c r="E152" s="1103"/>
      <c r="F152" s="1097" t="e">
        <f t="shared" si="11"/>
        <v>#REF!</v>
      </c>
      <c r="G152" s="1103"/>
      <c r="H152" s="1097" t="e">
        <f t="shared" si="12"/>
        <v>#REF!</v>
      </c>
      <c r="I152" s="1103"/>
      <c r="J152" s="1097" t="e">
        <f t="shared" si="8"/>
        <v>#REF!</v>
      </c>
      <c r="K152" s="1096"/>
      <c r="L152" s="1097" t="e">
        <f t="shared" si="9"/>
        <v>#REF!</v>
      </c>
      <c r="M152" s="1103"/>
      <c r="N152" s="1096"/>
      <c r="O152" s="1098"/>
      <c r="P152" s="1096"/>
      <c r="Q152" s="1107"/>
      <c r="R152" s="1104"/>
    </row>
    <row r="153" spans="1:18" s="1108" customFormat="1" ht="25.5" customHeight="1">
      <c r="A153" s="1131"/>
      <c r="B153" s="933" t="s">
        <v>3835</v>
      </c>
      <c r="C153" s="1106" t="e">
        <f>#REF!</f>
        <v>#REF!</v>
      </c>
      <c r="D153" s="943" t="s">
        <v>3798</v>
      </c>
      <c r="E153" s="1103"/>
      <c r="F153" s="1097" t="e">
        <f t="shared" si="11"/>
        <v>#REF!</v>
      </c>
      <c r="G153" s="1103"/>
      <c r="H153" s="1097" t="e">
        <f t="shared" si="12"/>
        <v>#REF!</v>
      </c>
      <c r="I153" s="1103"/>
      <c r="J153" s="1097" t="e">
        <f t="shared" si="8"/>
        <v>#REF!</v>
      </c>
      <c r="K153" s="1096"/>
      <c r="L153" s="1097" t="e">
        <f t="shared" si="9"/>
        <v>#REF!</v>
      </c>
      <c r="M153" s="1103"/>
      <c r="N153" s="1096"/>
      <c r="O153" s="1098"/>
      <c r="P153" s="1096"/>
      <c r="Q153" s="1107"/>
      <c r="R153" s="1104"/>
    </row>
    <row r="154" spans="1:18" s="1108" customFormat="1" ht="69.75" customHeight="1">
      <c r="A154" s="1090">
        <v>10.3</v>
      </c>
      <c r="B154" s="1262" t="s">
        <v>3849</v>
      </c>
      <c r="C154" s="1106"/>
      <c r="D154" s="943"/>
      <c r="E154" s="1103"/>
      <c r="F154" s="1097">
        <f t="shared" si="11"/>
        <v>0</v>
      </c>
      <c r="G154" s="1103"/>
      <c r="H154" s="1097">
        <f t="shared" si="12"/>
        <v>0</v>
      </c>
      <c r="I154" s="1103"/>
      <c r="J154" s="1097">
        <f t="shared" ref="J154:J217" si="14">I154*C154</f>
        <v>0</v>
      </c>
      <c r="K154" s="1096"/>
      <c r="L154" s="1097">
        <f t="shared" ref="L154:L217" si="15">K154*C154</f>
        <v>0</v>
      </c>
      <c r="M154" s="1103"/>
      <c r="N154" s="1096"/>
      <c r="O154" s="1098"/>
      <c r="P154" s="1096"/>
      <c r="Q154" s="1107"/>
      <c r="R154" s="1104"/>
    </row>
    <row r="155" spans="1:18" s="1108" customFormat="1" ht="25.5" customHeight="1">
      <c r="A155" s="1090"/>
      <c r="B155" s="933" t="s">
        <v>3841</v>
      </c>
      <c r="C155" s="1106"/>
      <c r="D155" s="943" t="s">
        <v>3798</v>
      </c>
      <c r="E155" s="1103"/>
      <c r="F155" s="1097">
        <f t="shared" si="11"/>
        <v>0</v>
      </c>
      <c r="G155" s="1103"/>
      <c r="H155" s="1097">
        <f t="shared" si="12"/>
        <v>0</v>
      </c>
      <c r="I155" s="1103"/>
      <c r="J155" s="1097">
        <f t="shared" si="14"/>
        <v>0</v>
      </c>
      <c r="K155" s="1096"/>
      <c r="L155" s="1097">
        <f t="shared" si="15"/>
        <v>0</v>
      </c>
      <c r="M155" s="1103"/>
      <c r="N155" s="1096"/>
      <c r="O155" s="1098"/>
      <c r="P155" s="1096"/>
      <c r="Q155" s="1107"/>
      <c r="R155" s="1104"/>
    </row>
    <row r="156" spans="1:18" s="1108" customFormat="1" ht="25.5" customHeight="1">
      <c r="A156" s="1090"/>
      <c r="B156" s="933" t="s">
        <v>3842</v>
      </c>
      <c r="C156" s="1106"/>
      <c r="D156" s="943" t="s">
        <v>3798</v>
      </c>
      <c r="E156" s="1103"/>
      <c r="F156" s="1097">
        <f t="shared" si="11"/>
        <v>0</v>
      </c>
      <c r="G156" s="1103"/>
      <c r="H156" s="1097">
        <f t="shared" si="12"/>
        <v>0</v>
      </c>
      <c r="I156" s="1103"/>
      <c r="J156" s="1097">
        <f t="shared" si="14"/>
        <v>0</v>
      </c>
      <c r="K156" s="1096"/>
      <c r="L156" s="1097">
        <f t="shared" si="15"/>
        <v>0</v>
      </c>
      <c r="M156" s="1103"/>
      <c r="N156" s="1096"/>
      <c r="O156" s="1098"/>
      <c r="P156" s="1096"/>
      <c r="Q156" s="1107"/>
      <c r="R156" s="1104"/>
    </row>
    <row r="157" spans="1:18" s="1108" customFormat="1" ht="25.5" customHeight="1">
      <c r="A157" s="1090"/>
      <c r="B157" s="933" t="s">
        <v>3843</v>
      </c>
      <c r="C157" s="1106"/>
      <c r="D157" s="943" t="s">
        <v>3798</v>
      </c>
      <c r="E157" s="1103"/>
      <c r="F157" s="1097">
        <f t="shared" si="11"/>
        <v>0</v>
      </c>
      <c r="G157" s="1103"/>
      <c r="H157" s="1097">
        <f t="shared" si="12"/>
        <v>0</v>
      </c>
      <c r="I157" s="1103"/>
      <c r="J157" s="1097">
        <f t="shared" si="14"/>
        <v>0</v>
      </c>
      <c r="K157" s="1096"/>
      <c r="L157" s="1097">
        <f t="shared" si="15"/>
        <v>0</v>
      </c>
      <c r="M157" s="1103"/>
      <c r="N157" s="1096"/>
      <c r="O157" s="1098"/>
      <c r="P157" s="1096"/>
      <c r="Q157" s="1107"/>
      <c r="R157" s="1104"/>
    </row>
    <row r="158" spans="1:18" s="1108" customFormat="1" ht="25.5" customHeight="1">
      <c r="A158" s="1090"/>
      <c r="B158" s="933" t="s">
        <v>3844</v>
      </c>
      <c r="C158" s="1106"/>
      <c r="D158" s="943" t="s">
        <v>3798</v>
      </c>
      <c r="E158" s="1103"/>
      <c r="F158" s="1097">
        <f t="shared" si="11"/>
        <v>0</v>
      </c>
      <c r="G158" s="1103"/>
      <c r="H158" s="1097">
        <f t="shared" si="12"/>
        <v>0</v>
      </c>
      <c r="I158" s="1103"/>
      <c r="J158" s="1097">
        <f t="shared" si="14"/>
        <v>0</v>
      </c>
      <c r="K158" s="1096"/>
      <c r="L158" s="1097">
        <f t="shared" si="15"/>
        <v>0</v>
      </c>
      <c r="M158" s="1103"/>
      <c r="N158" s="1096"/>
      <c r="O158" s="1098"/>
      <c r="P158" s="1096"/>
      <c r="Q158" s="1107"/>
      <c r="R158" s="1104"/>
    </row>
    <row r="159" spans="1:18" s="1108" customFormat="1" ht="25.5" customHeight="1">
      <c r="A159" s="1090"/>
      <c r="B159" s="933" t="s">
        <v>3845</v>
      </c>
      <c r="C159" s="1106"/>
      <c r="D159" s="943" t="s">
        <v>3798</v>
      </c>
      <c r="E159" s="1103"/>
      <c r="F159" s="1097">
        <f t="shared" si="11"/>
        <v>0</v>
      </c>
      <c r="G159" s="1103"/>
      <c r="H159" s="1097">
        <f t="shared" si="12"/>
        <v>0</v>
      </c>
      <c r="I159" s="1103"/>
      <c r="J159" s="1097">
        <f t="shared" si="14"/>
        <v>0</v>
      </c>
      <c r="K159" s="1096"/>
      <c r="L159" s="1097">
        <f t="shared" si="15"/>
        <v>0</v>
      </c>
      <c r="M159" s="1103"/>
      <c r="N159" s="1096"/>
      <c r="O159" s="1098"/>
      <c r="P159" s="1096"/>
      <c r="Q159" s="1107"/>
      <c r="R159" s="1104"/>
    </row>
    <row r="160" spans="1:18" s="1108" customFormat="1" ht="25.5" customHeight="1">
      <c r="A160" s="1131"/>
      <c r="B160" s="933" t="s">
        <v>3846</v>
      </c>
      <c r="C160" s="1106"/>
      <c r="D160" s="943" t="s">
        <v>3798</v>
      </c>
      <c r="E160" s="1103"/>
      <c r="F160" s="1097">
        <f t="shared" si="11"/>
        <v>0</v>
      </c>
      <c r="G160" s="1103"/>
      <c r="H160" s="1097">
        <f t="shared" si="12"/>
        <v>0</v>
      </c>
      <c r="I160" s="1103"/>
      <c r="J160" s="1097">
        <f t="shared" si="14"/>
        <v>0</v>
      </c>
      <c r="K160" s="1096"/>
      <c r="L160" s="1097">
        <f t="shared" si="15"/>
        <v>0</v>
      </c>
      <c r="M160" s="1103"/>
      <c r="N160" s="1096"/>
      <c r="O160" s="1098"/>
      <c r="P160" s="1096"/>
      <c r="Q160" s="1107"/>
      <c r="R160" s="1104"/>
    </row>
    <row r="161" spans="1:19" s="1108" customFormat="1" ht="69.75" customHeight="1">
      <c r="A161" s="1090">
        <v>10.4</v>
      </c>
      <c r="B161" s="1262" t="s">
        <v>3850</v>
      </c>
      <c r="C161" s="1106"/>
      <c r="D161" s="943"/>
      <c r="E161" s="1103"/>
      <c r="F161" s="1097">
        <f t="shared" si="11"/>
        <v>0</v>
      </c>
      <c r="G161" s="1103"/>
      <c r="H161" s="1097">
        <f t="shared" si="12"/>
        <v>0</v>
      </c>
      <c r="I161" s="1103"/>
      <c r="J161" s="1097">
        <f t="shared" si="14"/>
        <v>0</v>
      </c>
      <c r="K161" s="1096"/>
      <c r="L161" s="1097">
        <f t="shared" si="15"/>
        <v>0</v>
      </c>
      <c r="M161" s="1103"/>
      <c r="N161" s="1096"/>
      <c r="O161" s="1098"/>
      <c r="P161" s="1096"/>
      <c r="Q161" s="1107"/>
      <c r="R161" s="1104"/>
    </row>
    <row r="162" spans="1:19" s="1108" customFormat="1" ht="25.5" customHeight="1">
      <c r="A162" s="1090"/>
      <c r="B162" s="933" t="s">
        <v>3841</v>
      </c>
      <c r="C162" s="1106"/>
      <c r="D162" s="943" t="s">
        <v>3798</v>
      </c>
      <c r="E162" s="1103"/>
      <c r="F162" s="1097">
        <f t="shared" si="11"/>
        <v>0</v>
      </c>
      <c r="G162" s="1103"/>
      <c r="H162" s="1097">
        <f t="shared" si="12"/>
        <v>0</v>
      </c>
      <c r="I162" s="1103"/>
      <c r="J162" s="1097">
        <f t="shared" si="14"/>
        <v>0</v>
      </c>
      <c r="K162" s="1096"/>
      <c r="L162" s="1097">
        <f t="shared" si="15"/>
        <v>0</v>
      </c>
      <c r="M162" s="1103"/>
      <c r="N162" s="1096"/>
      <c r="O162" s="1098"/>
      <c r="P162" s="1096"/>
      <c r="Q162" s="1107"/>
      <c r="R162" s="1104"/>
    </row>
    <row r="163" spans="1:19" s="1108" customFormat="1" ht="25.5" customHeight="1">
      <c r="A163" s="1090"/>
      <c r="B163" s="933" t="s">
        <v>3842</v>
      </c>
      <c r="C163" s="1106"/>
      <c r="D163" s="943" t="s">
        <v>3798</v>
      </c>
      <c r="E163" s="1103"/>
      <c r="F163" s="1097">
        <f t="shared" si="11"/>
        <v>0</v>
      </c>
      <c r="G163" s="1103"/>
      <c r="H163" s="1097">
        <f t="shared" si="12"/>
        <v>0</v>
      </c>
      <c r="I163" s="1103"/>
      <c r="J163" s="1097">
        <f t="shared" si="14"/>
        <v>0</v>
      </c>
      <c r="K163" s="1096"/>
      <c r="L163" s="1097">
        <f t="shared" si="15"/>
        <v>0</v>
      </c>
      <c r="M163" s="1103"/>
      <c r="N163" s="1096"/>
      <c r="O163" s="1098"/>
      <c r="P163" s="1096"/>
      <c r="Q163" s="1107"/>
      <c r="R163" s="1104"/>
    </row>
    <row r="164" spans="1:19" s="1108" customFormat="1" ht="25.5" customHeight="1">
      <c r="A164" s="1090"/>
      <c r="B164" s="933" t="s">
        <v>3843</v>
      </c>
      <c r="C164" s="1106"/>
      <c r="D164" s="943" t="s">
        <v>3798</v>
      </c>
      <c r="E164" s="1103"/>
      <c r="F164" s="1097">
        <f t="shared" si="11"/>
        <v>0</v>
      </c>
      <c r="G164" s="1103"/>
      <c r="H164" s="1097">
        <f t="shared" si="12"/>
        <v>0</v>
      </c>
      <c r="I164" s="1103"/>
      <c r="J164" s="1097">
        <f t="shared" si="14"/>
        <v>0</v>
      </c>
      <c r="K164" s="1096"/>
      <c r="L164" s="1097">
        <f t="shared" si="15"/>
        <v>0</v>
      </c>
      <c r="M164" s="1103"/>
      <c r="N164" s="1096"/>
      <c r="O164" s="1098"/>
      <c r="P164" s="1096"/>
      <c r="Q164" s="1107"/>
      <c r="R164" s="1104"/>
    </row>
    <row r="165" spans="1:19" s="1108" customFormat="1" ht="25.5" customHeight="1">
      <c r="A165" s="1090"/>
      <c r="B165" s="933" t="s">
        <v>3844</v>
      </c>
      <c r="C165" s="1106"/>
      <c r="D165" s="943" t="s">
        <v>3798</v>
      </c>
      <c r="E165" s="1103"/>
      <c r="F165" s="1097">
        <f t="shared" si="11"/>
        <v>0</v>
      </c>
      <c r="G165" s="1103"/>
      <c r="H165" s="1097">
        <f t="shared" si="12"/>
        <v>0</v>
      </c>
      <c r="I165" s="1103"/>
      <c r="J165" s="1097">
        <f t="shared" si="14"/>
        <v>0</v>
      </c>
      <c r="K165" s="1096"/>
      <c r="L165" s="1097">
        <f t="shared" si="15"/>
        <v>0</v>
      </c>
      <c r="M165" s="1103"/>
      <c r="N165" s="1096"/>
      <c r="O165" s="1098"/>
      <c r="P165" s="1096"/>
      <c r="Q165" s="1107"/>
      <c r="R165" s="1104"/>
    </row>
    <row r="166" spans="1:19" s="1108" customFormat="1" ht="25.5" customHeight="1">
      <c r="A166" s="1090"/>
      <c r="B166" s="933" t="s">
        <v>3845</v>
      </c>
      <c r="C166" s="1106"/>
      <c r="D166" s="943" t="s">
        <v>3798</v>
      </c>
      <c r="E166" s="1103"/>
      <c r="F166" s="1097">
        <f t="shared" si="11"/>
        <v>0</v>
      </c>
      <c r="G166" s="1103"/>
      <c r="H166" s="1097">
        <f t="shared" si="12"/>
        <v>0</v>
      </c>
      <c r="I166" s="1103"/>
      <c r="J166" s="1097">
        <f t="shared" si="14"/>
        <v>0</v>
      </c>
      <c r="K166" s="1096"/>
      <c r="L166" s="1097">
        <f t="shared" si="15"/>
        <v>0</v>
      </c>
      <c r="M166" s="1103"/>
      <c r="N166" s="1096"/>
      <c r="O166" s="1098"/>
      <c r="P166" s="1096"/>
      <c r="Q166" s="1107"/>
      <c r="R166" s="1104"/>
    </row>
    <row r="167" spans="1:19" s="1108" customFormat="1" ht="25.5" customHeight="1">
      <c r="A167" s="1131"/>
      <c r="B167" s="933" t="s">
        <v>3846</v>
      </c>
      <c r="C167" s="1106"/>
      <c r="D167" s="943" t="s">
        <v>3798</v>
      </c>
      <c r="E167" s="1103"/>
      <c r="F167" s="1097">
        <f t="shared" si="11"/>
        <v>0</v>
      </c>
      <c r="G167" s="1103"/>
      <c r="H167" s="1097">
        <f t="shared" si="12"/>
        <v>0</v>
      </c>
      <c r="I167" s="1103"/>
      <c r="J167" s="1097">
        <f t="shared" si="14"/>
        <v>0</v>
      </c>
      <c r="K167" s="1096"/>
      <c r="L167" s="1097">
        <f t="shared" si="15"/>
        <v>0</v>
      </c>
      <c r="M167" s="1103"/>
      <c r="N167" s="1096"/>
      <c r="O167" s="1098"/>
      <c r="P167" s="1096"/>
      <c r="Q167" s="1107"/>
      <c r="R167" s="1104"/>
    </row>
    <row r="168" spans="1:19" s="1105" customFormat="1" ht="84.75" customHeight="1">
      <c r="A168" s="1129">
        <v>10.5</v>
      </c>
      <c r="B168" s="1263" t="s">
        <v>3851</v>
      </c>
      <c r="C168" s="1117"/>
      <c r="D168" s="1118"/>
      <c r="E168" s="1103"/>
      <c r="F168" s="1097">
        <f t="shared" si="11"/>
        <v>0</v>
      </c>
      <c r="G168" s="1103"/>
      <c r="H168" s="1097">
        <f t="shared" si="12"/>
        <v>0</v>
      </c>
      <c r="I168" s="1103"/>
      <c r="J168" s="1097">
        <f t="shared" si="14"/>
        <v>0</v>
      </c>
      <c r="K168" s="1096"/>
      <c r="L168" s="1097">
        <f t="shared" si="15"/>
        <v>0</v>
      </c>
      <c r="M168" s="1103"/>
      <c r="N168" s="1096"/>
      <c r="O168" s="1098"/>
      <c r="P168" s="1096"/>
      <c r="Q168" s="1132"/>
      <c r="R168" s="1104"/>
      <c r="S168" s="1133"/>
    </row>
    <row r="169" spans="1:19" s="1105" customFormat="1" ht="49.5" customHeight="1">
      <c r="A169" s="1129"/>
      <c r="B169" s="1265" t="s">
        <v>3841</v>
      </c>
      <c r="C169" s="1117" t="e">
        <f>ROUND(#REF!,2)</f>
        <v>#REF!</v>
      </c>
      <c r="D169" s="1118" t="s">
        <v>3798</v>
      </c>
      <c r="E169" s="1103"/>
      <c r="F169" s="1097" t="e">
        <f t="shared" si="11"/>
        <v>#REF!</v>
      </c>
      <c r="G169" s="1103"/>
      <c r="H169" s="1097" t="e">
        <f t="shared" si="12"/>
        <v>#REF!</v>
      </c>
      <c r="I169" s="1103"/>
      <c r="J169" s="1097" t="e">
        <f t="shared" si="14"/>
        <v>#REF!</v>
      </c>
      <c r="K169" s="1096"/>
      <c r="L169" s="1097" t="e">
        <f t="shared" si="15"/>
        <v>#REF!</v>
      </c>
      <c r="M169" s="1103"/>
      <c r="N169" s="1096"/>
      <c r="O169" s="1098"/>
      <c r="P169" s="1096"/>
      <c r="Q169" s="1104"/>
      <c r="R169" s="1104"/>
    </row>
    <row r="170" spans="1:19" s="1105" customFormat="1" ht="49.5" customHeight="1">
      <c r="A170" s="1129"/>
      <c r="B170" s="1265" t="s">
        <v>3842</v>
      </c>
      <c r="C170" s="1117" t="e">
        <f>ROUND(#REF!,2)</f>
        <v>#REF!</v>
      </c>
      <c r="D170" s="1118" t="s">
        <v>3798</v>
      </c>
      <c r="E170" s="1103"/>
      <c r="F170" s="1097" t="e">
        <f t="shared" si="11"/>
        <v>#REF!</v>
      </c>
      <c r="G170" s="1103"/>
      <c r="H170" s="1097" t="e">
        <f t="shared" si="12"/>
        <v>#REF!</v>
      </c>
      <c r="I170" s="1103"/>
      <c r="J170" s="1097" t="e">
        <f t="shared" si="14"/>
        <v>#REF!</v>
      </c>
      <c r="K170" s="1096"/>
      <c r="L170" s="1097" t="e">
        <f t="shared" si="15"/>
        <v>#REF!</v>
      </c>
      <c r="M170" s="1103"/>
      <c r="N170" s="1096"/>
      <c r="O170" s="1098"/>
      <c r="P170" s="1096"/>
      <c r="Q170" s="1104"/>
      <c r="R170" s="1104"/>
    </row>
    <row r="171" spans="1:19" s="1105" customFormat="1" ht="49.5" customHeight="1">
      <c r="A171" s="1129"/>
      <c r="B171" s="1265" t="s">
        <v>3843</v>
      </c>
      <c r="C171" s="1117" t="e">
        <f>ROUND(#REF!,2)</f>
        <v>#REF!</v>
      </c>
      <c r="D171" s="1118" t="s">
        <v>3798</v>
      </c>
      <c r="E171" s="1103"/>
      <c r="F171" s="1097" t="e">
        <f t="shared" si="11"/>
        <v>#REF!</v>
      </c>
      <c r="G171" s="1103"/>
      <c r="H171" s="1097" t="e">
        <f t="shared" si="12"/>
        <v>#REF!</v>
      </c>
      <c r="I171" s="1103"/>
      <c r="J171" s="1097" t="e">
        <f t="shared" si="14"/>
        <v>#REF!</v>
      </c>
      <c r="K171" s="1096"/>
      <c r="L171" s="1097" t="e">
        <f t="shared" si="15"/>
        <v>#REF!</v>
      </c>
      <c r="M171" s="1103"/>
      <c r="N171" s="1096"/>
      <c r="O171" s="1098"/>
      <c r="P171" s="1096"/>
      <c r="Q171" s="1104"/>
      <c r="R171" s="1104"/>
    </row>
    <row r="172" spans="1:19" s="1105" customFormat="1" ht="43.5" customHeight="1">
      <c r="A172" s="1134"/>
      <c r="B172" s="1266" t="s">
        <v>3844</v>
      </c>
      <c r="C172" s="1135" t="e">
        <f>ROUND(#REF!,2)</f>
        <v>#REF!</v>
      </c>
      <c r="D172" s="936" t="s">
        <v>3798</v>
      </c>
      <c r="E172" s="1103"/>
      <c r="F172" s="1097" t="e">
        <f t="shared" si="11"/>
        <v>#REF!</v>
      </c>
      <c r="G172" s="1103"/>
      <c r="H172" s="1097" t="e">
        <f t="shared" si="12"/>
        <v>#REF!</v>
      </c>
      <c r="I172" s="1103"/>
      <c r="J172" s="1097" t="e">
        <f t="shared" si="14"/>
        <v>#REF!</v>
      </c>
      <c r="K172" s="1096"/>
      <c r="L172" s="1097" t="e">
        <f t="shared" si="15"/>
        <v>#REF!</v>
      </c>
      <c r="M172" s="1103"/>
      <c r="N172" s="1096"/>
      <c r="O172" s="1098"/>
      <c r="P172" s="1096"/>
      <c r="Q172" s="1104"/>
      <c r="R172" s="1104"/>
    </row>
    <row r="173" spans="1:19" s="1105" customFormat="1" ht="43.5" customHeight="1">
      <c r="A173" s="1129"/>
      <c r="B173" s="1265" t="s">
        <v>3845</v>
      </c>
      <c r="C173" s="1117" t="e">
        <f>ROUND(#REF!,2)</f>
        <v>#REF!</v>
      </c>
      <c r="D173" s="1118" t="s">
        <v>3798</v>
      </c>
      <c r="E173" s="1103"/>
      <c r="F173" s="1097" t="e">
        <f t="shared" si="11"/>
        <v>#REF!</v>
      </c>
      <c r="G173" s="1103"/>
      <c r="H173" s="1097" t="e">
        <f t="shared" si="12"/>
        <v>#REF!</v>
      </c>
      <c r="I173" s="1103"/>
      <c r="J173" s="1097" t="e">
        <f t="shared" si="14"/>
        <v>#REF!</v>
      </c>
      <c r="K173" s="1096"/>
      <c r="L173" s="1097" t="e">
        <f t="shared" si="15"/>
        <v>#REF!</v>
      </c>
      <c r="M173" s="1103"/>
      <c r="N173" s="1096"/>
      <c r="O173" s="1098"/>
      <c r="P173" s="1096"/>
      <c r="Q173" s="1104"/>
      <c r="R173" s="1104"/>
    </row>
    <row r="174" spans="1:19" s="1108" customFormat="1" ht="36" customHeight="1">
      <c r="A174" s="1130"/>
      <c r="B174" s="933" t="s">
        <v>3846</v>
      </c>
      <c r="C174" s="1106" t="e">
        <f>ROUND(#REF!,2)</f>
        <v>#REF!</v>
      </c>
      <c r="D174" s="943" t="s">
        <v>3798</v>
      </c>
      <c r="E174" s="1103"/>
      <c r="F174" s="1097" t="e">
        <f t="shared" si="11"/>
        <v>#REF!</v>
      </c>
      <c r="G174" s="1103"/>
      <c r="H174" s="1097" t="e">
        <f t="shared" si="12"/>
        <v>#REF!</v>
      </c>
      <c r="I174" s="1103"/>
      <c r="J174" s="1097" t="e">
        <f t="shared" si="14"/>
        <v>#REF!</v>
      </c>
      <c r="K174" s="1096"/>
      <c r="L174" s="1097" t="e">
        <f t="shared" si="15"/>
        <v>#REF!</v>
      </c>
      <c r="M174" s="1103"/>
      <c r="N174" s="1096"/>
      <c r="O174" s="1098"/>
      <c r="P174" s="1096"/>
      <c r="Q174" s="1107"/>
      <c r="R174" s="1104"/>
    </row>
    <row r="175" spans="1:19" s="1108" customFormat="1" ht="69.75" customHeight="1">
      <c r="A175" s="1090">
        <v>10.6</v>
      </c>
      <c r="B175" s="1262" t="s">
        <v>3852</v>
      </c>
      <c r="C175" s="1106"/>
      <c r="D175" s="943"/>
      <c r="E175" s="1103"/>
      <c r="F175" s="1097">
        <f t="shared" si="11"/>
        <v>0</v>
      </c>
      <c r="G175" s="1103"/>
      <c r="H175" s="1097">
        <f t="shared" si="12"/>
        <v>0</v>
      </c>
      <c r="I175" s="1103"/>
      <c r="J175" s="1097">
        <f t="shared" si="14"/>
        <v>0</v>
      </c>
      <c r="K175" s="1096"/>
      <c r="L175" s="1097">
        <f t="shared" si="15"/>
        <v>0</v>
      </c>
      <c r="M175" s="1103"/>
      <c r="N175" s="1096"/>
      <c r="O175" s="1098"/>
      <c r="P175" s="1096"/>
      <c r="Q175" s="1107"/>
      <c r="R175" s="1104"/>
    </row>
    <row r="176" spans="1:19" s="1108" customFormat="1" ht="25.5" customHeight="1">
      <c r="A176" s="1090"/>
      <c r="B176" s="933" t="s">
        <v>3841</v>
      </c>
      <c r="C176" s="1106"/>
      <c r="D176" s="943" t="s">
        <v>3798</v>
      </c>
      <c r="E176" s="1103"/>
      <c r="F176" s="1097">
        <f t="shared" si="11"/>
        <v>0</v>
      </c>
      <c r="G176" s="1103"/>
      <c r="H176" s="1097">
        <f t="shared" si="12"/>
        <v>0</v>
      </c>
      <c r="I176" s="1103"/>
      <c r="J176" s="1097">
        <f t="shared" si="14"/>
        <v>0</v>
      </c>
      <c r="K176" s="1096"/>
      <c r="L176" s="1097">
        <f t="shared" si="15"/>
        <v>0</v>
      </c>
      <c r="M176" s="1103"/>
      <c r="N176" s="1096"/>
      <c r="O176" s="1098"/>
      <c r="P176" s="1096"/>
      <c r="Q176" s="1107"/>
      <c r="R176" s="1104"/>
    </row>
    <row r="177" spans="1:18" s="1108" customFormat="1" ht="25.5" customHeight="1">
      <c r="A177" s="1090"/>
      <c r="B177" s="933" t="s">
        <v>3842</v>
      </c>
      <c r="C177" s="1106"/>
      <c r="D177" s="943" t="s">
        <v>3798</v>
      </c>
      <c r="E177" s="1103"/>
      <c r="F177" s="1097">
        <f t="shared" si="11"/>
        <v>0</v>
      </c>
      <c r="G177" s="1103"/>
      <c r="H177" s="1097">
        <f t="shared" si="12"/>
        <v>0</v>
      </c>
      <c r="I177" s="1103"/>
      <c r="J177" s="1097">
        <f t="shared" si="14"/>
        <v>0</v>
      </c>
      <c r="K177" s="1096"/>
      <c r="L177" s="1097">
        <f t="shared" si="15"/>
        <v>0</v>
      </c>
      <c r="M177" s="1103"/>
      <c r="N177" s="1096"/>
      <c r="O177" s="1098"/>
      <c r="P177" s="1096"/>
      <c r="Q177" s="1107"/>
      <c r="R177" s="1104"/>
    </row>
    <row r="178" spans="1:18" s="1108" customFormat="1" ht="25.5" customHeight="1">
      <c r="A178" s="1090"/>
      <c r="B178" s="933" t="s">
        <v>3843</v>
      </c>
      <c r="C178" s="1106"/>
      <c r="D178" s="943" t="s">
        <v>3798</v>
      </c>
      <c r="E178" s="1103"/>
      <c r="F178" s="1097">
        <f t="shared" si="11"/>
        <v>0</v>
      </c>
      <c r="G178" s="1103"/>
      <c r="H178" s="1097">
        <f t="shared" si="12"/>
        <v>0</v>
      </c>
      <c r="I178" s="1103"/>
      <c r="J178" s="1097">
        <f t="shared" si="14"/>
        <v>0</v>
      </c>
      <c r="K178" s="1096"/>
      <c r="L178" s="1097">
        <f t="shared" si="15"/>
        <v>0</v>
      </c>
      <c r="M178" s="1103"/>
      <c r="N178" s="1096"/>
      <c r="O178" s="1098"/>
      <c r="P178" s="1096"/>
      <c r="Q178" s="1107"/>
      <c r="R178" s="1104"/>
    </row>
    <row r="179" spans="1:18" s="1108" customFormat="1" ht="26.25" customHeight="1">
      <c r="A179" s="1090"/>
      <c r="B179" s="933" t="s">
        <v>3844</v>
      </c>
      <c r="C179" s="1106"/>
      <c r="D179" s="943" t="s">
        <v>3798</v>
      </c>
      <c r="E179" s="1103"/>
      <c r="F179" s="1097">
        <f t="shared" si="11"/>
        <v>0</v>
      </c>
      <c r="G179" s="1103"/>
      <c r="H179" s="1097">
        <f t="shared" si="12"/>
        <v>0</v>
      </c>
      <c r="I179" s="1103"/>
      <c r="J179" s="1097">
        <f t="shared" si="14"/>
        <v>0</v>
      </c>
      <c r="K179" s="1096"/>
      <c r="L179" s="1097">
        <f t="shared" si="15"/>
        <v>0</v>
      </c>
      <c r="M179" s="1103"/>
      <c r="N179" s="1096"/>
      <c r="O179" s="1098"/>
      <c r="P179" s="1096"/>
      <c r="Q179" s="1107"/>
      <c r="R179" s="1104"/>
    </row>
    <row r="180" spans="1:18" s="1108" customFormat="1" ht="25.5" customHeight="1">
      <c r="A180" s="1090"/>
      <c r="B180" s="933" t="s">
        <v>3845</v>
      </c>
      <c r="C180" s="1106"/>
      <c r="D180" s="943" t="s">
        <v>3798</v>
      </c>
      <c r="E180" s="1103"/>
      <c r="F180" s="1097">
        <f t="shared" si="11"/>
        <v>0</v>
      </c>
      <c r="G180" s="1103"/>
      <c r="H180" s="1097">
        <f t="shared" si="12"/>
        <v>0</v>
      </c>
      <c r="I180" s="1103"/>
      <c r="J180" s="1097">
        <f t="shared" si="14"/>
        <v>0</v>
      </c>
      <c r="K180" s="1096"/>
      <c r="L180" s="1097">
        <f t="shared" si="15"/>
        <v>0</v>
      </c>
      <c r="M180" s="1103"/>
      <c r="N180" s="1096"/>
      <c r="O180" s="1098"/>
      <c r="P180" s="1096"/>
      <c r="Q180" s="1107"/>
      <c r="R180" s="1104"/>
    </row>
    <row r="181" spans="1:18" s="1108" customFormat="1" ht="25.5" customHeight="1">
      <c r="A181" s="1131"/>
      <c r="B181" s="933" t="s">
        <v>3846</v>
      </c>
      <c r="C181" s="1106"/>
      <c r="D181" s="943" t="s">
        <v>3798</v>
      </c>
      <c r="E181" s="1103"/>
      <c r="F181" s="1097">
        <f t="shared" si="11"/>
        <v>0</v>
      </c>
      <c r="G181" s="1103"/>
      <c r="H181" s="1097">
        <f t="shared" si="12"/>
        <v>0</v>
      </c>
      <c r="I181" s="1103"/>
      <c r="J181" s="1097">
        <f t="shared" si="14"/>
        <v>0</v>
      </c>
      <c r="K181" s="1096"/>
      <c r="L181" s="1097">
        <f t="shared" si="15"/>
        <v>0</v>
      </c>
      <c r="M181" s="1103"/>
      <c r="N181" s="1096"/>
      <c r="O181" s="1098"/>
      <c r="P181" s="1096"/>
      <c r="Q181" s="1107"/>
      <c r="R181" s="1104"/>
    </row>
    <row r="182" spans="1:18" s="1108" customFormat="1" ht="69.75" customHeight="1">
      <c r="A182" s="1090">
        <v>11.1</v>
      </c>
      <c r="B182" s="1262" t="s">
        <v>3853</v>
      </c>
      <c r="C182" s="1106"/>
      <c r="D182" s="943"/>
      <c r="E182" s="1103"/>
      <c r="F182" s="1097">
        <f t="shared" si="11"/>
        <v>0</v>
      </c>
      <c r="G182" s="1103"/>
      <c r="H182" s="1097">
        <f t="shared" si="12"/>
        <v>0</v>
      </c>
      <c r="I182" s="1103"/>
      <c r="J182" s="1097">
        <f t="shared" si="14"/>
        <v>0</v>
      </c>
      <c r="K182" s="1096"/>
      <c r="L182" s="1097">
        <f t="shared" si="15"/>
        <v>0</v>
      </c>
      <c r="M182" s="1103"/>
      <c r="N182" s="1096"/>
      <c r="O182" s="1098"/>
      <c r="P182" s="1096"/>
      <c r="Q182" s="1107"/>
      <c r="R182" s="1104"/>
    </row>
    <row r="183" spans="1:18" s="1108" customFormat="1" ht="25.5" customHeight="1">
      <c r="A183" s="1090"/>
      <c r="B183" s="933" t="s">
        <v>2683</v>
      </c>
      <c r="C183" s="1106" t="e">
        <f>ROUND(#REF!,2)</f>
        <v>#REF!</v>
      </c>
      <c r="D183" s="943" t="s">
        <v>3798</v>
      </c>
      <c r="E183" s="1103"/>
      <c r="F183" s="1097" t="e">
        <f t="shared" si="11"/>
        <v>#REF!</v>
      </c>
      <c r="G183" s="1103"/>
      <c r="H183" s="1097" t="e">
        <f t="shared" si="12"/>
        <v>#REF!</v>
      </c>
      <c r="I183" s="1103"/>
      <c r="J183" s="1097" t="e">
        <f t="shared" si="14"/>
        <v>#REF!</v>
      </c>
      <c r="K183" s="1096"/>
      <c r="L183" s="1097" t="e">
        <f t="shared" si="15"/>
        <v>#REF!</v>
      </c>
      <c r="M183" s="1103"/>
      <c r="N183" s="1096"/>
      <c r="O183" s="1098"/>
      <c r="P183" s="1096"/>
      <c r="Q183" s="1107"/>
      <c r="R183" s="1104"/>
    </row>
    <row r="184" spans="1:18" s="1108" customFormat="1" ht="25.5" customHeight="1">
      <c r="A184" s="1090"/>
      <c r="B184" s="933" t="s">
        <v>2689</v>
      </c>
      <c r="C184" s="1106" t="e">
        <f>ROUND(#REF!,2)</f>
        <v>#REF!</v>
      </c>
      <c r="D184" s="943" t="s">
        <v>3798</v>
      </c>
      <c r="E184" s="1103"/>
      <c r="F184" s="1097" t="e">
        <f t="shared" si="11"/>
        <v>#REF!</v>
      </c>
      <c r="G184" s="1103"/>
      <c r="H184" s="1097" t="e">
        <f t="shared" si="12"/>
        <v>#REF!</v>
      </c>
      <c r="I184" s="1103"/>
      <c r="J184" s="1097" t="e">
        <f t="shared" si="14"/>
        <v>#REF!</v>
      </c>
      <c r="K184" s="1096"/>
      <c r="L184" s="1097" t="e">
        <f t="shared" si="15"/>
        <v>#REF!</v>
      </c>
      <c r="M184" s="1103"/>
      <c r="N184" s="1096"/>
      <c r="O184" s="1098"/>
      <c r="P184" s="1096"/>
      <c r="Q184" s="1107"/>
      <c r="R184" s="1104"/>
    </row>
    <row r="185" spans="1:18" s="1108" customFormat="1" ht="25.5" customHeight="1">
      <c r="A185" s="1090"/>
      <c r="B185" s="933" t="s">
        <v>3830</v>
      </c>
      <c r="C185" s="1106" t="e">
        <f>ROUND(#REF!,2)</f>
        <v>#REF!</v>
      </c>
      <c r="D185" s="943" t="s">
        <v>3798</v>
      </c>
      <c r="E185" s="1103"/>
      <c r="F185" s="1097" t="e">
        <f t="shared" si="11"/>
        <v>#REF!</v>
      </c>
      <c r="G185" s="1103"/>
      <c r="H185" s="1097" t="e">
        <f t="shared" si="12"/>
        <v>#REF!</v>
      </c>
      <c r="I185" s="1103"/>
      <c r="J185" s="1097" t="e">
        <f t="shared" si="14"/>
        <v>#REF!</v>
      </c>
      <c r="K185" s="1096"/>
      <c r="L185" s="1097" t="e">
        <f t="shared" si="15"/>
        <v>#REF!</v>
      </c>
      <c r="M185" s="1103"/>
      <c r="N185" s="1096"/>
      <c r="O185" s="1098"/>
      <c r="P185" s="1096"/>
      <c r="Q185" s="1107"/>
      <c r="R185" s="1104"/>
    </row>
    <row r="186" spans="1:18" s="1108" customFormat="1" ht="25.5" customHeight="1">
      <c r="A186" s="1090"/>
      <c r="B186" s="933" t="s">
        <v>3831</v>
      </c>
      <c r="C186" s="1106" t="e">
        <f>ROUND(#REF!,2)</f>
        <v>#REF!</v>
      </c>
      <c r="D186" s="943" t="s">
        <v>3798</v>
      </c>
      <c r="E186" s="1103"/>
      <c r="F186" s="1097" t="e">
        <f t="shared" si="11"/>
        <v>#REF!</v>
      </c>
      <c r="G186" s="1103"/>
      <c r="H186" s="1097" t="e">
        <f t="shared" si="12"/>
        <v>#REF!</v>
      </c>
      <c r="I186" s="1103"/>
      <c r="J186" s="1097" t="e">
        <f t="shared" si="14"/>
        <v>#REF!</v>
      </c>
      <c r="K186" s="1096"/>
      <c r="L186" s="1097" t="e">
        <f t="shared" si="15"/>
        <v>#REF!</v>
      </c>
      <c r="M186" s="1103"/>
      <c r="N186" s="1096"/>
      <c r="O186" s="1098"/>
      <c r="P186" s="1096"/>
      <c r="Q186" s="1107"/>
      <c r="R186" s="1104"/>
    </row>
    <row r="187" spans="1:18" s="1108" customFormat="1" ht="25.5" customHeight="1">
      <c r="A187" s="1137"/>
      <c r="B187" s="1259" t="s">
        <v>3832</v>
      </c>
      <c r="C187" s="1111" t="e">
        <f>ROUND(#REF!,2)</f>
        <v>#REF!</v>
      </c>
      <c r="D187" s="1112" t="s">
        <v>3798</v>
      </c>
      <c r="E187" s="1113"/>
      <c r="F187" s="1097" t="e">
        <f t="shared" si="11"/>
        <v>#REF!</v>
      </c>
      <c r="G187" s="1113"/>
      <c r="H187" s="1097" t="e">
        <f t="shared" si="12"/>
        <v>#REF!</v>
      </c>
      <c r="I187" s="1113"/>
      <c r="J187" s="1097" t="e">
        <f t="shared" si="14"/>
        <v>#REF!</v>
      </c>
      <c r="K187" s="1114"/>
      <c r="L187" s="1097" t="e">
        <f t="shared" si="15"/>
        <v>#REF!</v>
      </c>
      <c r="M187" s="1113"/>
      <c r="N187" s="1096"/>
      <c r="O187" s="1098"/>
      <c r="P187" s="1096"/>
      <c r="Q187" s="1107"/>
      <c r="R187" s="1104"/>
    </row>
    <row r="188" spans="1:18" s="1108" customFormat="1" ht="74.25" customHeight="1">
      <c r="A188" s="1090">
        <v>11.2</v>
      </c>
      <c r="B188" s="1262" t="s">
        <v>3854</v>
      </c>
      <c r="C188" s="1092"/>
      <c r="D188" s="940"/>
      <c r="E188" s="1096"/>
      <c r="F188" s="1097">
        <f t="shared" si="11"/>
        <v>0</v>
      </c>
      <c r="G188" s="1096"/>
      <c r="H188" s="1097">
        <f t="shared" si="12"/>
        <v>0</v>
      </c>
      <c r="I188" s="1096"/>
      <c r="J188" s="1097">
        <f t="shared" si="14"/>
        <v>0</v>
      </c>
      <c r="K188" s="1096"/>
      <c r="L188" s="1097">
        <f t="shared" si="15"/>
        <v>0</v>
      </c>
      <c r="M188" s="1096"/>
      <c r="N188" s="1096"/>
      <c r="O188" s="1098"/>
      <c r="P188" s="1096"/>
      <c r="Q188" s="1107"/>
      <c r="R188" s="1099"/>
    </row>
    <row r="189" spans="1:18" s="1108" customFormat="1" ht="41.25" customHeight="1">
      <c r="A189" s="1090"/>
      <c r="B189" s="933" t="s">
        <v>2683</v>
      </c>
      <c r="C189" s="1092" t="e">
        <f>ROUND(#REF!,2)</f>
        <v>#REF!</v>
      </c>
      <c r="D189" s="940" t="s">
        <v>3798</v>
      </c>
      <c r="E189" s="1096"/>
      <c r="F189" s="1097" t="e">
        <f t="shared" si="11"/>
        <v>#REF!</v>
      </c>
      <c r="G189" s="1096"/>
      <c r="H189" s="1097" t="e">
        <f t="shared" si="12"/>
        <v>#REF!</v>
      </c>
      <c r="I189" s="1096"/>
      <c r="J189" s="1097" t="e">
        <f t="shared" si="14"/>
        <v>#REF!</v>
      </c>
      <c r="K189" s="1096"/>
      <c r="L189" s="1097" t="e">
        <f t="shared" si="15"/>
        <v>#REF!</v>
      </c>
      <c r="M189" s="1096"/>
      <c r="N189" s="1096"/>
      <c r="O189" s="1098"/>
      <c r="P189" s="1096"/>
      <c r="Q189" s="1107"/>
      <c r="R189" s="1099"/>
    </row>
    <row r="190" spans="1:18" s="1108" customFormat="1" ht="41.25" customHeight="1">
      <c r="A190" s="1090"/>
      <c r="B190" s="933" t="s">
        <v>2689</v>
      </c>
      <c r="C190" s="1092" t="e">
        <f>ROUND(#REF!,2)</f>
        <v>#REF!</v>
      </c>
      <c r="D190" s="940" t="s">
        <v>3798</v>
      </c>
      <c r="E190" s="1096"/>
      <c r="F190" s="1097" t="e">
        <f t="shared" si="11"/>
        <v>#REF!</v>
      </c>
      <c r="G190" s="1096"/>
      <c r="H190" s="1097" t="e">
        <f t="shared" si="12"/>
        <v>#REF!</v>
      </c>
      <c r="I190" s="1096"/>
      <c r="J190" s="1097" t="e">
        <f t="shared" si="14"/>
        <v>#REF!</v>
      </c>
      <c r="K190" s="1096"/>
      <c r="L190" s="1097" t="e">
        <f t="shared" si="15"/>
        <v>#REF!</v>
      </c>
      <c r="M190" s="1096"/>
      <c r="N190" s="1096"/>
      <c r="O190" s="1098"/>
      <c r="P190" s="1096"/>
      <c r="Q190" s="1107"/>
      <c r="R190" s="1099"/>
    </row>
    <row r="191" spans="1:18" s="1108" customFormat="1" ht="41.25" customHeight="1">
      <c r="A191" s="1090"/>
      <c r="B191" s="933" t="s">
        <v>3830</v>
      </c>
      <c r="C191" s="1106" t="e">
        <f>ROUND(#REF!,2)</f>
        <v>#REF!</v>
      </c>
      <c r="D191" s="943" t="s">
        <v>3798</v>
      </c>
      <c r="E191" s="1103"/>
      <c r="F191" s="1097" t="e">
        <f t="shared" si="11"/>
        <v>#REF!</v>
      </c>
      <c r="G191" s="1103"/>
      <c r="H191" s="1097" t="e">
        <f t="shared" si="12"/>
        <v>#REF!</v>
      </c>
      <c r="I191" s="1103"/>
      <c r="J191" s="1097" t="e">
        <f t="shared" si="14"/>
        <v>#REF!</v>
      </c>
      <c r="K191" s="1096"/>
      <c r="L191" s="1097" t="e">
        <f t="shared" si="15"/>
        <v>#REF!</v>
      </c>
      <c r="M191" s="1103"/>
      <c r="N191" s="1096"/>
      <c r="O191" s="1098"/>
      <c r="P191" s="1096"/>
      <c r="Q191" s="1107"/>
      <c r="R191" s="1104"/>
    </row>
    <row r="192" spans="1:18" s="1108" customFormat="1" ht="41.25" customHeight="1">
      <c r="A192" s="1090"/>
      <c r="B192" s="933" t="s">
        <v>3831</v>
      </c>
      <c r="C192" s="1106" t="e">
        <f>ROUND(#REF!,2)</f>
        <v>#REF!</v>
      </c>
      <c r="D192" s="943" t="s">
        <v>3798</v>
      </c>
      <c r="E192" s="1103"/>
      <c r="F192" s="1097" t="e">
        <f t="shared" si="11"/>
        <v>#REF!</v>
      </c>
      <c r="G192" s="1103"/>
      <c r="H192" s="1097" t="e">
        <f t="shared" si="12"/>
        <v>#REF!</v>
      </c>
      <c r="I192" s="1103"/>
      <c r="J192" s="1097" t="e">
        <f t="shared" si="14"/>
        <v>#REF!</v>
      </c>
      <c r="K192" s="1096"/>
      <c r="L192" s="1097" t="e">
        <f t="shared" si="15"/>
        <v>#REF!</v>
      </c>
      <c r="M192" s="1103"/>
      <c r="N192" s="1096"/>
      <c r="O192" s="1098"/>
      <c r="P192" s="1096"/>
      <c r="Q192" s="1107"/>
      <c r="R192" s="1104"/>
    </row>
    <row r="193" spans="1:19" s="1108" customFormat="1" ht="41.25" customHeight="1">
      <c r="A193" s="1131"/>
      <c r="B193" s="933" t="s">
        <v>3832</v>
      </c>
      <c r="C193" s="1106" t="e">
        <f>ROUND(#REF!,2)</f>
        <v>#REF!</v>
      </c>
      <c r="D193" s="943" t="s">
        <v>3798</v>
      </c>
      <c r="E193" s="1103"/>
      <c r="F193" s="1097" t="e">
        <f t="shared" si="11"/>
        <v>#REF!</v>
      </c>
      <c r="G193" s="1103"/>
      <c r="H193" s="1097" t="e">
        <f t="shared" si="12"/>
        <v>#REF!</v>
      </c>
      <c r="I193" s="1103"/>
      <c r="J193" s="1097" t="e">
        <f t="shared" si="14"/>
        <v>#REF!</v>
      </c>
      <c r="K193" s="1096"/>
      <c r="L193" s="1097" t="e">
        <f t="shared" si="15"/>
        <v>#REF!</v>
      </c>
      <c r="M193" s="1103"/>
      <c r="N193" s="1096"/>
      <c r="O193" s="1098"/>
      <c r="P193" s="1096"/>
      <c r="Q193" s="1107"/>
      <c r="R193" s="1104"/>
    </row>
    <row r="194" spans="1:19" s="1108" customFormat="1" ht="69.75" customHeight="1">
      <c r="A194" s="1090">
        <v>11.3</v>
      </c>
      <c r="B194" s="1262" t="s">
        <v>3855</v>
      </c>
      <c r="C194" s="1106"/>
      <c r="D194" s="943"/>
      <c r="E194" s="1103"/>
      <c r="F194" s="1097">
        <f t="shared" si="11"/>
        <v>0</v>
      </c>
      <c r="G194" s="1103"/>
      <c r="H194" s="1097">
        <f t="shared" si="12"/>
        <v>0</v>
      </c>
      <c r="I194" s="1103"/>
      <c r="J194" s="1097">
        <f t="shared" si="14"/>
        <v>0</v>
      </c>
      <c r="K194" s="1096"/>
      <c r="L194" s="1097">
        <f t="shared" si="15"/>
        <v>0</v>
      </c>
      <c r="M194" s="1103"/>
      <c r="N194" s="1096"/>
      <c r="O194" s="1098"/>
      <c r="P194" s="1096"/>
      <c r="Q194" s="1107"/>
      <c r="R194" s="1104"/>
    </row>
    <row r="195" spans="1:19" s="1108" customFormat="1" ht="25.5" customHeight="1">
      <c r="A195" s="1090"/>
      <c r="B195" s="933" t="s">
        <v>2683</v>
      </c>
      <c r="C195" s="1106"/>
      <c r="D195" s="943" t="s">
        <v>3798</v>
      </c>
      <c r="E195" s="1103"/>
      <c r="F195" s="1097">
        <f t="shared" si="11"/>
        <v>0</v>
      </c>
      <c r="G195" s="1103"/>
      <c r="H195" s="1097">
        <f t="shared" si="12"/>
        <v>0</v>
      </c>
      <c r="I195" s="1103"/>
      <c r="J195" s="1097">
        <f t="shared" si="14"/>
        <v>0</v>
      </c>
      <c r="K195" s="1096"/>
      <c r="L195" s="1097">
        <f t="shared" si="15"/>
        <v>0</v>
      </c>
      <c r="M195" s="1103"/>
      <c r="N195" s="1096"/>
      <c r="O195" s="1098"/>
      <c r="P195" s="1096"/>
      <c r="Q195" s="1107"/>
      <c r="R195" s="1104"/>
    </row>
    <row r="196" spans="1:19" s="1108" customFormat="1" ht="25.5" customHeight="1">
      <c r="A196" s="1090"/>
      <c r="B196" s="933" t="s">
        <v>2689</v>
      </c>
      <c r="C196" s="1106"/>
      <c r="D196" s="943" t="s">
        <v>3798</v>
      </c>
      <c r="E196" s="1103"/>
      <c r="F196" s="1097">
        <f t="shared" si="11"/>
        <v>0</v>
      </c>
      <c r="G196" s="1103"/>
      <c r="H196" s="1097">
        <f t="shared" si="12"/>
        <v>0</v>
      </c>
      <c r="I196" s="1103"/>
      <c r="J196" s="1097">
        <f t="shared" si="14"/>
        <v>0</v>
      </c>
      <c r="K196" s="1096"/>
      <c r="L196" s="1097">
        <f t="shared" si="15"/>
        <v>0</v>
      </c>
      <c r="M196" s="1103"/>
      <c r="N196" s="1096"/>
      <c r="O196" s="1098"/>
      <c r="P196" s="1096"/>
      <c r="Q196" s="1107"/>
      <c r="R196" s="1104"/>
    </row>
    <row r="197" spans="1:19" s="1108" customFormat="1" ht="25.5" customHeight="1">
      <c r="A197" s="1090"/>
      <c r="B197" s="933" t="s">
        <v>3830</v>
      </c>
      <c r="C197" s="1106"/>
      <c r="D197" s="943" t="s">
        <v>3798</v>
      </c>
      <c r="E197" s="1103"/>
      <c r="F197" s="1097">
        <f t="shared" si="11"/>
        <v>0</v>
      </c>
      <c r="G197" s="1103"/>
      <c r="H197" s="1097">
        <f t="shared" si="12"/>
        <v>0</v>
      </c>
      <c r="I197" s="1103"/>
      <c r="J197" s="1097">
        <f t="shared" si="14"/>
        <v>0</v>
      </c>
      <c r="K197" s="1096"/>
      <c r="L197" s="1097">
        <f t="shared" si="15"/>
        <v>0</v>
      </c>
      <c r="M197" s="1103"/>
      <c r="N197" s="1096"/>
      <c r="O197" s="1098"/>
      <c r="P197" s="1096"/>
      <c r="Q197" s="1107"/>
      <c r="R197" s="1104"/>
    </row>
    <row r="198" spans="1:19" s="1108" customFormat="1" ht="25.5" customHeight="1">
      <c r="A198" s="1090"/>
      <c r="B198" s="933" t="s">
        <v>3831</v>
      </c>
      <c r="C198" s="1106"/>
      <c r="D198" s="943" t="s">
        <v>3798</v>
      </c>
      <c r="E198" s="1103"/>
      <c r="F198" s="1097">
        <f t="shared" si="11"/>
        <v>0</v>
      </c>
      <c r="G198" s="1103"/>
      <c r="H198" s="1097">
        <f t="shared" si="12"/>
        <v>0</v>
      </c>
      <c r="I198" s="1103"/>
      <c r="J198" s="1097">
        <f t="shared" si="14"/>
        <v>0</v>
      </c>
      <c r="K198" s="1096"/>
      <c r="L198" s="1097">
        <f t="shared" si="15"/>
        <v>0</v>
      </c>
      <c r="M198" s="1103"/>
      <c r="N198" s="1096"/>
      <c r="O198" s="1098"/>
      <c r="P198" s="1096"/>
      <c r="Q198" s="1107"/>
      <c r="R198" s="1104"/>
    </row>
    <row r="199" spans="1:19" s="1108" customFormat="1" ht="25.5" customHeight="1">
      <c r="A199" s="1131"/>
      <c r="B199" s="933" t="s">
        <v>3832</v>
      </c>
      <c r="C199" s="1106"/>
      <c r="D199" s="943" t="s">
        <v>3798</v>
      </c>
      <c r="E199" s="1103"/>
      <c r="F199" s="1097">
        <f t="shared" si="11"/>
        <v>0</v>
      </c>
      <c r="G199" s="1103"/>
      <c r="H199" s="1097">
        <f t="shared" si="12"/>
        <v>0</v>
      </c>
      <c r="I199" s="1103"/>
      <c r="J199" s="1097">
        <f t="shared" si="14"/>
        <v>0</v>
      </c>
      <c r="K199" s="1096"/>
      <c r="L199" s="1097">
        <f t="shared" si="15"/>
        <v>0</v>
      </c>
      <c r="M199" s="1103"/>
      <c r="N199" s="1096"/>
      <c r="O199" s="1098"/>
      <c r="P199" s="1096"/>
      <c r="Q199" s="1107"/>
      <c r="R199" s="1104"/>
    </row>
    <row r="200" spans="1:19" s="1108" customFormat="1" ht="69.75" customHeight="1">
      <c r="A200" s="1090">
        <v>11.4</v>
      </c>
      <c r="B200" s="1262" t="s">
        <v>3856</v>
      </c>
      <c r="C200" s="1106"/>
      <c r="D200" s="943"/>
      <c r="E200" s="1103"/>
      <c r="F200" s="1097">
        <f t="shared" si="11"/>
        <v>0</v>
      </c>
      <c r="G200" s="1103"/>
      <c r="H200" s="1097">
        <f t="shared" si="12"/>
        <v>0</v>
      </c>
      <c r="I200" s="1103"/>
      <c r="J200" s="1097">
        <f t="shared" si="14"/>
        <v>0</v>
      </c>
      <c r="K200" s="1096"/>
      <c r="L200" s="1097">
        <f t="shared" si="15"/>
        <v>0</v>
      </c>
      <c r="M200" s="1103"/>
      <c r="N200" s="1096"/>
      <c r="O200" s="1098"/>
      <c r="P200" s="1096"/>
      <c r="Q200" s="1107"/>
      <c r="R200" s="1104"/>
    </row>
    <row r="201" spans="1:19" s="1108" customFormat="1" ht="25.5" customHeight="1">
      <c r="A201" s="940"/>
      <c r="B201" s="933" t="s">
        <v>2683</v>
      </c>
      <c r="C201" s="1106"/>
      <c r="D201" s="943" t="s">
        <v>3798</v>
      </c>
      <c r="E201" s="1103"/>
      <c r="F201" s="1097">
        <f t="shared" ref="F201:F264" si="16">C201*E201</f>
        <v>0</v>
      </c>
      <c r="G201" s="1103"/>
      <c r="H201" s="1097">
        <f t="shared" ref="H201:H264" si="17">C201*G201</f>
        <v>0</v>
      </c>
      <c r="I201" s="1103"/>
      <c r="J201" s="1097">
        <f t="shared" si="14"/>
        <v>0</v>
      </c>
      <c r="K201" s="1096"/>
      <c r="L201" s="1097">
        <f t="shared" si="15"/>
        <v>0</v>
      </c>
      <c r="M201" s="1103"/>
      <c r="N201" s="1096"/>
      <c r="O201" s="1098"/>
      <c r="P201" s="1096"/>
      <c r="Q201" s="1107"/>
      <c r="R201" s="1104"/>
    </row>
    <row r="202" spans="1:19" s="1108" customFormat="1" ht="25.5" customHeight="1">
      <c r="A202" s="940"/>
      <c r="B202" s="933" t="s">
        <v>2689</v>
      </c>
      <c r="C202" s="1106"/>
      <c r="D202" s="943" t="s">
        <v>3798</v>
      </c>
      <c r="E202" s="1103"/>
      <c r="F202" s="1097">
        <f t="shared" si="16"/>
        <v>0</v>
      </c>
      <c r="G202" s="1103"/>
      <c r="H202" s="1097">
        <f t="shared" si="17"/>
        <v>0</v>
      </c>
      <c r="I202" s="1103"/>
      <c r="J202" s="1097">
        <f t="shared" si="14"/>
        <v>0</v>
      </c>
      <c r="K202" s="1096"/>
      <c r="L202" s="1097">
        <f t="shared" si="15"/>
        <v>0</v>
      </c>
      <c r="M202" s="1103"/>
      <c r="N202" s="1096"/>
      <c r="O202" s="1098"/>
      <c r="P202" s="1096"/>
      <c r="Q202" s="1107"/>
      <c r="R202" s="1104"/>
    </row>
    <row r="203" spans="1:19" s="1108" customFormat="1" ht="25.5" customHeight="1">
      <c r="A203" s="940"/>
      <c r="B203" s="933" t="s">
        <v>3830</v>
      </c>
      <c r="C203" s="1106"/>
      <c r="D203" s="943" t="s">
        <v>3798</v>
      </c>
      <c r="E203" s="1103"/>
      <c r="F203" s="1097">
        <f t="shared" si="16"/>
        <v>0</v>
      </c>
      <c r="G203" s="1103"/>
      <c r="H203" s="1097">
        <f t="shared" si="17"/>
        <v>0</v>
      </c>
      <c r="I203" s="1103"/>
      <c r="J203" s="1097">
        <f t="shared" si="14"/>
        <v>0</v>
      </c>
      <c r="K203" s="1096"/>
      <c r="L203" s="1097">
        <f t="shared" si="15"/>
        <v>0</v>
      </c>
      <c r="M203" s="1103"/>
      <c r="N203" s="1096"/>
      <c r="O203" s="1098"/>
      <c r="P203" s="1096"/>
      <c r="Q203" s="1107"/>
      <c r="R203" s="1104"/>
    </row>
    <row r="204" spans="1:19" s="1108" customFormat="1" ht="25.5" customHeight="1">
      <c r="A204" s="940"/>
      <c r="B204" s="933" t="s">
        <v>3831</v>
      </c>
      <c r="C204" s="1106"/>
      <c r="D204" s="943" t="s">
        <v>3798</v>
      </c>
      <c r="E204" s="1103"/>
      <c r="F204" s="1097">
        <f t="shared" si="16"/>
        <v>0</v>
      </c>
      <c r="G204" s="1103"/>
      <c r="H204" s="1097">
        <f t="shared" si="17"/>
        <v>0</v>
      </c>
      <c r="I204" s="1103"/>
      <c r="J204" s="1097">
        <f t="shared" si="14"/>
        <v>0</v>
      </c>
      <c r="K204" s="1096"/>
      <c r="L204" s="1097">
        <f t="shared" si="15"/>
        <v>0</v>
      </c>
      <c r="M204" s="1103"/>
      <c r="N204" s="1096"/>
      <c r="O204" s="1098"/>
      <c r="P204" s="1096"/>
      <c r="Q204" s="1107"/>
      <c r="R204" s="1104"/>
    </row>
    <row r="205" spans="1:19" s="1108" customFormat="1" ht="25.5" customHeight="1">
      <c r="A205" s="1138"/>
      <c r="B205" s="933" t="s">
        <v>3832</v>
      </c>
      <c r="C205" s="1106"/>
      <c r="D205" s="943" t="s">
        <v>3798</v>
      </c>
      <c r="E205" s="1103"/>
      <c r="F205" s="1097">
        <f t="shared" si="16"/>
        <v>0</v>
      </c>
      <c r="G205" s="1103"/>
      <c r="H205" s="1097">
        <f t="shared" si="17"/>
        <v>0</v>
      </c>
      <c r="I205" s="1103"/>
      <c r="J205" s="1097">
        <f t="shared" si="14"/>
        <v>0</v>
      </c>
      <c r="K205" s="1096"/>
      <c r="L205" s="1097">
        <f t="shared" si="15"/>
        <v>0</v>
      </c>
      <c r="M205" s="1103"/>
      <c r="N205" s="1096"/>
      <c r="O205" s="1098"/>
      <c r="P205" s="1096"/>
      <c r="Q205" s="1107"/>
      <c r="R205" s="1104"/>
    </row>
    <row r="206" spans="1:19" s="1105" customFormat="1" ht="87.75" customHeight="1">
      <c r="A206" s="1139">
        <v>11.5</v>
      </c>
      <c r="B206" s="1263" t="s">
        <v>3857</v>
      </c>
      <c r="C206" s="1117"/>
      <c r="D206" s="1118"/>
      <c r="E206" s="1103"/>
      <c r="F206" s="1097">
        <f t="shared" si="16"/>
        <v>0</v>
      </c>
      <c r="G206" s="1103"/>
      <c r="H206" s="1097">
        <f t="shared" si="17"/>
        <v>0</v>
      </c>
      <c r="I206" s="1103"/>
      <c r="J206" s="1097">
        <f t="shared" si="14"/>
        <v>0</v>
      </c>
      <c r="K206" s="1096"/>
      <c r="L206" s="1097">
        <f t="shared" si="15"/>
        <v>0</v>
      </c>
      <c r="M206" s="1103"/>
      <c r="N206" s="1096"/>
      <c r="O206" s="1098"/>
      <c r="P206" s="1096"/>
      <c r="Q206" s="1132"/>
      <c r="R206" s="1104"/>
      <c r="S206" s="1133"/>
    </row>
    <row r="207" spans="1:19" s="1105" customFormat="1" ht="48.75" customHeight="1">
      <c r="A207" s="1140"/>
      <c r="B207" s="1266" t="s">
        <v>2683</v>
      </c>
      <c r="C207" s="1135" t="e">
        <f>ROUND(#REF!,2)</f>
        <v>#REF!</v>
      </c>
      <c r="D207" s="936" t="s">
        <v>3798</v>
      </c>
      <c r="E207" s="1103"/>
      <c r="F207" s="1097" t="e">
        <f t="shared" si="16"/>
        <v>#REF!</v>
      </c>
      <c r="G207" s="1103"/>
      <c r="H207" s="1097" t="e">
        <f t="shared" si="17"/>
        <v>#REF!</v>
      </c>
      <c r="I207" s="1103"/>
      <c r="J207" s="1097" t="e">
        <f t="shared" si="14"/>
        <v>#REF!</v>
      </c>
      <c r="K207" s="1096"/>
      <c r="L207" s="1097" t="e">
        <f t="shared" si="15"/>
        <v>#REF!</v>
      </c>
      <c r="M207" s="1103"/>
      <c r="N207" s="1096"/>
      <c r="O207" s="1098"/>
      <c r="P207" s="1096"/>
      <c r="Q207" s="1104"/>
      <c r="R207" s="1104"/>
    </row>
    <row r="208" spans="1:19" s="1105" customFormat="1" ht="42" customHeight="1">
      <c r="A208" s="1139"/>
      <c r="B208" s="1265" t="s">
        <v>2689</v>
      </c>
      <c r="C208" s="1117" t="e">
        <f>ROUND(#REF!,2)</f>
        <v>#REF!</v>
      </c>
      <c r="D208" s="1118" t="s">
        <v>3798</v>
      </c>
      <c r="E208" s="1103"/>
      <c r="F208" s="1097" t="e">
        <f t="shared" si="16"/>
        <v>#REF!</v>
      </c>
      <c r="G208" s="1103"/>
      <c r="H208" s="1097" t="e">
        <f t="shared" si="17"/>
        <v>#REF!</v>
      </c>
      <c r="I208" s="1103"/>
      <c r="J208" s="1097" t="e">
        <f t="shared" si="14"/>
        <v>#REF!</v>
      </c>
      <c r="K208" s="1096"/>
      <c r="L208" s="1097" t="e">
        <f t="shared" si="15"/>
        <v>#REF!</v>
      </c>
      <c r="M208" s="1103"/>
      <c r="N208" s="1096"/>
      <c r="O208" s="1098"/>
      <c r="P208" s="1096"/>
      <c r="Q208" s="1104"/>
      <c r="R208" s="1104"/>
    </row>
    <row r="209" spans="1:19" s="1105" customFormat="1" ht="42" customHeight="1">
      <c r="A209" s="1140"/>
      <c r="B209" s="1266" t="s">
        <v>3830</v>
      </c>
      <c r="C209" s="1135" t="e">
        <f>ROUND(#REF!,2)</f>
        <v>#REF!</v>
      </c>
      <c r="D209" s="936" t="s">
        <v>3798</v>
      </c>
      <c r="E209" s="1103"/>
      <c r="F209" s="1097" t="e">
        <f t="shared" si="16"/>
        <v>#REF!</v>
      </c>
      <c r="G209" s="1103"/>
      <c r="H209" s="1097" t="e">
        <f t="shared" si="17"/>
        <v>#REF!</v>
      </c>
      <c r="I209" s="1103"/>
      <c r="J209" s="1097" t="e">
        <f t="shared" si="14"/>
        <v>#REF!</v>
      </c>
      <c r="K209" s="1096"/>
      <c r="L209" s="1097" t="e">
        <f t="shared" si="15"/>
        <v>#REF!</v>
      </c>
      <c r="M209" s="1103"/>
      <c r="N209" s="1096"/>
      <c r="O209" s="1098"/>
      <c r="P209" s="1096"/>
      <c r="Q209" s="1104"/>
      <c r="R209" s="1104"/>
    </row>
    <row r="210" spans="1:19" s="1105" customFormat="1" ht="42" customHeight="1">
      <c r="A210" s="1139"/>
      <c r="B210" s="1265" t="s">
        <v>3831</v>
      </c>
      <c r="C210" s="1117" t="e">
        <f>ROUND(#REF!,2)</f>
        <v>#REF!</v>
      </c>
      <c r="D210" s="1118" t="s">
        <v>3798</v>
      </c>
      <c r="E210" s="1103"/>
      <c r="F210" s="1097" t="e">
        <f t="shared" si="16"/>
        <v>#REF!</v>
      </c>
      <c r="G210" s="1103"/>
      <c r="H210" s="1097" t="e">
        <f t="shared" si="17"/>
        <v>#REF!</v>
      </c>
      <c r="I210" s="1103"/>
      <c r="J210" s="1097" t="e">
        <f t="shared" si="14"/>
        <v>#REF!</v>
      </c>
      <c r="K210" s="1096"/>
      <c r="L210" s="1097" t="e">
        <f t="shared" si="15"/>
        <v>#REF!</v>
      </c>
      <c r="M210" s="1103"/>
      <c r="N210" s="1096"/>
      <c r="O210" s="1098"/>
      <c r="P210" s="1096"/>
      <c r="Q210" s="1104"/>
      <c r="R210" s="1104"/>
    </row>
    <row r="211" spans="1:19" s="1108" customFormat="1" ht="25.5" customHeight="1">
      <c r="A211" s="1141"/>
      <c r="B211" s="933" t="s">
        <v>3832</v>
      </c>
      <c r="C211" s="1106" t="e">
        <f>ROUND(#REF!,2)</f>
        <v>#REF!</v>
      </c>
      <c r="D211" s="943" t="s">
        <v>3798</v>
      </c>
      <c r="E211" s="1103"/>
      <c r="F211" s="1097" t="e">
        <f t="shared" si="16"/>
        <v>#REF!</v>
      </c>
      <c r="G211" s="1103"/>
      <c r="H211" s="1097" t="e">
        <f t="shared" si="17"/>
        <v>#REF!</v>
      </c>
      <c r="I211" s="1103"/>
      <c r="J211" s="1097" t="e">
        <f t="shared" si="14"/>
        <v>#REF!</v>
      </c>
      <c r="K211" s="1096"/>
      <c r="L211" s="1097" t="e">
        <f t="shared" si="15"/>
        <v>#REF!</v>
      </c>
      <c r="M211" s="1103"/>
      <c r="N211" s="1096"/>
      <c r="O211" s="1098"/>
      <c r="P211" s="1096"/>
      <c r="Q211" s="1107"/>
      <c r="R211" s="1104"/>
    </row>
    <row r="212" spans="1:19" s="1108" customFormat="1" ht="69.75" customHeight="1">
      <c r="A212" s="1142">
        <v>11.6</v>
      </c>
      <c r="B212" s="1262" t="s">
        <v>3858</v>
      </c>
      <c r="C212" s="1106"/>
      <c r="D212" s="943"/>
      <c r="E212" s="1103"/>
      <c r="F212" s="1097">
        <f t="shared" si="16"/>
        <v>0</v>
      </c>
      <c r="G212" s="1103"/>
      <c r="H212" s="1097">
        <f t="shared" si="17"/>
        <v>0</v>
      </c>
      <c r="I212" s="1103"/>
      <c r="J212" s="1097">
        <f t="shared" si="14"/>
        <v>0</v>
      </c>
      <c r="K212" s="1096"/>
      <c r="L212" s="1097">
        <f t="shared" si="15"/>
        <v>0</v>
      </c>
      <c r="M212" s="1103"/>
      <c r="N212" s="1096"/>
      <c r="O212" s="1098"/>
      <c r="P212" s="1096"/>
      <c r="Q212" s="1107"/>
      <c r="R212" s="1104"/>
    </row>
    <row r="213" spans="1:19" s="1108" customFormat="1" ht="25.5" customHeight="1">
      <c r="A213" s="1142"/>
      <c r="B213" s="933" t="s">
        <v>2683</v>
      </c>
      <c r="C213" s="1106"/>
      <c r="D213" s="943" t="s">
        <v>3798</v>
      </c>
      <c r="E213" s="1103"/>
      <c r="F213" s="1097">
        <f t="shared" si="16"/>
        <v>0</v>
      </c>
      <c r="G213" s="1103"/>
      <c r="H213" s="1097">
        <f t="shared" si="17"/>
        <v>0</v>
      </c>
      <c r="I213" s="1103"/>
      <c r="J213" s="1097">
        <f t="shared" si="14"/>
        <v>0</v>
      </c>
      <c r="K213" s="1096"/>
      <c r="L213" s="1097">
        <f t="shared" si="15"/>
        <v>0</v>
      </c>
      <c r="M213" s="1103"/>
      <c r="N213" s="1096"/>
      <c r="O213" s="1098"/>
      <c r="P213" s="1096"/>
      <c r="Q213" s="1107"/>
      <c r="R213" s="1104"/>
    </row>
    <row r="214" spans="1:19" s="1108" customFormat="1" ht="25.5" customHeight="1">
      <c r="A214" s="1142"/>
      <c r="B214" s="933" t="s">
        <v>2689</v>
      </c>
      <c r="C214" s="1106"/>
      <c r="D214" s="943" t="s">
        <v>3798</v>
      </c>
      <c r="E214" s="1103"/>
      <c r="F214" s="1097">
        <f t="shared" si="16"/>
        <v>0</v>
      </c>
      <c r="G214" s="1103"/>
      <c r="H214" s="1097">
        <f t="shared" si="17"/>
        <v>0</v>
      </c>
      <c r="I214" s="1103"/>
      <c r="J214" s="1097">
        <f t="shared" si="14"/>
        <v>0</v>
      </c>
      <c r="K214" s="1096"/>
      <c r="L214" s="1097">
        <f t="shared" si="15"/>
        <v>0</v>
      </c>
      <c r="M214" s="1103"/>
      <c r="N214" s="1096"/>
      <c r="O214" s="1098"/>
      <c r="P214" s="1096"/>
      <c r="Q214" s="1107"/>
      <c r="R214" s="1104"/>
    </row>
    <row r="215" spans="1:19" s="1108" customFormat="1" ht="25.5" customHeight="1">
      <c r="A215" s="1142"/>
      <c r="B215" s="933" t="s">
        <v>3830</v>
      </c>
      <c r="C215" s="1106"/>
      <c r="D215" s="943" t="s">
        <v>3798</v>
      </c>
      <c r="E215" s="1103"/>
      <c r="F215" s="1097">
        <f t="shared" si="16"/>
        <v>0</v>
      </c>
      <c r="G215" s="1103"/>
      <c r="H215" s="1097">
        <f t="shared" si="17"/>
        <v>0</v>
      </c>
      <c r="I215" s="1103"/>
      <c r="J215" s="1097">
        <f t="shared" si="14"/>
        <v>0</v>
      </c>
      <c r="K215" s="1096"/>
      <c r="L215" s="1097">
        <f t="shared" si="15"/>
        <v>0</v>
      </c>
      <c r="M215" s="1103"/>
      <c r="N215" s="1096"/>
      <c r="O215" s="1098"/>
      <c r="P215" s="1096"/>
      <c r="Q215" s="1107"/>
      <c r="R215" s="1104"/>
    </row>
    <row r="216" spans="1:19" s="1108" customFormat="1" ht="25.5" customHeight="1">
      <c r="A216" s="1142"/>
      <c r="B216" s="933" t="s">
        <v>3831</v>
      </c>
      <c r="C216" s="1106"/>
      <c r="D216" s="943" t="s">
        <v>3798</v>
      </c>
      <c r="E216" s="1103"/>
      <c r="F216" s="1097">
        <f t="shared" si="16"/>
        <v>0</v>
      </c>
      <c r="G216" s="1103"/>
      <c r="H216" s="1097">
        <f t="shared" si="17"/>
        <v>0</v>
      </c>
      <c r="I216" s="1103"/>
      <c r="J216" s="1097">
        <f t="shared" si="14"/>
        <v>0</v>
      </c>
      <c r="K216" s="1096"/>
      <c r="L216" s="1097">
        <f t="shared" si="15"/>
        <v>0</v>
      </c>
      <c r="M216" s="1103"/>
      <c r="N216" s="1096"/>
      <c r="O216" s="1098"/>
      <c r="P216" s="1096"/>
      <c r="Q216" s="1107"/>
      <c r="R216" s="1104"/>
    </row>
    <row r="217" spans="1:19" s="1108" customFormat="1" ht="43.15" customHeight="1">
      <c r="A217" s="1143"/>
      <c r="B217" s="1259" t="s">
        <v>3832</v>
      </c>
      <c r="C217" s="1111"/>
      <c r="D217" s="1112" t="s">
        <v>3798</v>
      </c>
      <c r="E217" s="1113"/>
      <c r="F217" s="1097">
        <f t="shared" si="16"/>
        <v>0</v>
      </c>
      <c r="G217" s="1113"/>
      <c r="H217" s="1097">
        <f t="shared" si="17"/>
        <v>0</v>
      </c>
      <c r="I217" s="1113"/>
      <c r="J217" s="1097">
        <f t="shared" si="14"/>
        <v>0</v>
      </c>
      <c r="K217" s="1114"/>
      <c r="L217" s="1097">
        <f t="shared" si="15"/>
        <v>0</v>
      </c>
      <c r="M217" s="1113"/>
      <c r="N217" s="1096"/>
      <c r="O217" s="1098"/>
      <c r="P217" s="1096"/>
      <c r="Q217" s="1107"/>
      <c r="R217" s="1104"/>
    </row>
    <row r="218" spans="1:19" ht="57.75" customHeight="1">
      <c r="A218" s="1090">
        <v>12.1</v>
      </c>
      <c r="B218" s="1262" t="s">
        <v>3859</v>
      </c>
      <c r="C218" s="1092"/>
      <c r="D218" s="942"/>
      <c r="E218" s="1096"/>
      <c r="F218" s="1097">
        <f t="shared" si="16"/>
        <v>0</v>
      </c>
      <c r="G218" s="1096"/>
      <c r="H218" s="1097">
        <f t="shared" si="17"/>
        <v>0</v>
      </c>
      <c r="I218" s="1096"/>
      <c r="J218" s="1097">
        <f t="shared" ref="J218:J281" si="18">I218*C218</f>
        <v>0</v>
      </c>
      <c r="K218" s="1096"/>
      <c r="L218" s="1097">
        <f t="shared" ref="L218:L281" si="19">K218*C218</f>
        <v>0</v>
      </c>
      <c r="M218" s="1096"/>
      <c r="N218" s="1096"/>
      <c r="O218" s="1098"/>
      <c r="P218" s="1096"/>
      <c r="Q218" s="1122"/>
      <c r="R218" s="1099"/>
      <c r="S218" s="1106"/>
    </row>
    <row r="219" spans="1:19" s="1127" customFormat="1" ht="34.5" customHeight="1">
      <c r="A219" s="940"/>
      <c r="B219" s="933" t="s">
        <v>2683</v>
      </c>
      <c r="C219" s="1092" t="e">
        <f>ROUND(#REF!,2)</f>
        <v>#REF!</v>
      </c>
      <c r="D219" s="940" t="s">
        <v>3798</v>
      </c>
      <c r="E219" s="1096"/>
      <c r="F219" s="1097" t="e">
        <f t="shared" si="16"/>
        <v>#REF!</v>
      </c>
      <c r="G219" s="1096"/>
      <c r="H219" s="1097" t="e">
        <f t="shared" si="17"/>
        <v>#REF!</v>
      </c>
      <c r="I219" s="1096"/>
      <c r="J219" s="1097" t="e">
        <f t="shared" si="18"/>
        <v>#REF!</v>
      </c>
      <c r="K219" s="1096"/>
      <c r="L219" s="1097" t="e">
        <f t="shared" si="19"/>
        <v>#REF!</v>
      </c>
      <c r="M219" s="1096"/>
      <c r="N219" s="1096"/>
      <c r="O219" s="1098"/>
      <c r="P219" s="1096"/>
      <c r="Q219" s="1099"/>
      <c r="R219" s="1099"/>
    </row>
    <row r="220" spans="1:19" s="1127" customFormat="1" ht="43.5" customHeight="1">
      <c r="A220" s="940"/>
      <c r="B220" s="933" t="s">
        <v>2689</v>
      </c>
      <c r="C220" s="1092" t="e">
        <f>ROUND(#REF!,2)</f>
        <v>#REF!</v>
      </c>
      <c r="D220" s="940" t="s">
        <v>3798</v>
      </c>
      <c r="E220" s="1096"/>
      <c r="F220" s="1097" t="e">
        <f t="shared" si="16"/>
        <v>#REF!</v>
      </c>
      <c r="G220" s="1096"/>
      <c r="H220" s="1097" t="e">
        <f t="shared" si="17"/>
        <v>#REF!</v>
      </c>
      <c r="I220" s="1096"/>
      <c r="J220" s="1097" t="e">
        <f t="shared" si="18"/>
        <v>#REF!</v>
      </c>
      <c r="K220" s="1096"/>
      <c r="L220" s="1097" t="e">
        <f t="shared" si="19"/>
        <v>#REF!</v>
      </c>
      <c r="M220" s="1096"/>
      <c r="N220" s="1096"/>
      <c r="O220" s="1098"/>
      <c r="P220" s="1096"/>
      <c r="Q220" s="1099"/>
      <c r="R220" s="1099"/>
    </row>
    <row r="221" spans="1:19" s="1144" customFormat="1" ht="43.5" customHeight="1">
      <c r="A221" s="1118"/>
      <c r="B221" s="1265" t="s">
        <v>3830</v>
      </c>
      <c r="C221" s="1117" t="e">
        <f>ROUND(#REF!,2)</f>
        <v>#REF!</v>
      </c>
      <c r="D221" s="1118" t="s">
        <v>3798</v>
      </c>
      <c r="E221" s="1103"/>
      <c r="F221" s="1097" t="e">
        <f t="shared" si="16"/>
        <v>#REF!</v>
      </c>
      <c r="G221" s="1103"/>
      <c r="H221" s="1097" t="e">
        <f t="shared" si="17"/>
        <v>#REF!</v>
      </c>
      <c r="I221" s="1103"/>
      <c r="J221" s="1097" t="e">
        <f t="shared" si="18"/>
        <v>#REF!</v>
      </c>
      <c r="K221" s="1096"/>
      <c r="L221" s="1097" t="e">
        <f t="shared" si="19"/>
        <v>#REF!</v>
      </c>
      <c r="M221" s="1103"/>
      <c r="N221" s="1096"/>
      <c r="O221" s="1098"/>
      <c r="P221" s="1096"/>
      <c r="Q221" s="1104"/>
      <c r="R221" s="1104"/>
    </row>
    <row r="222" spans="1:19" s="1144" customFormat="1" ht="43.5" customHeight="1">
      <c r="A222" s="1118"/>
      <c r="B222" s="1265" t="s">
        <v>3831</v>
      </c>
      <c r="C222" s="1117" t="e">
        <f>ROUND(#REF!,2)</f>
        <v>#REF!</v>
      </c>
      <c r="D222" s="1118" t="s">
        <v>3798</v>
      </c>
      <c r="E222" s="1103"/>
      <c r="F222" s="1097" t="e">
        <f t="shared" si="16"/>
        <v>#REF!</v>
      </c>
      <c r="G222" s="1103"/>
      <c r="H222" s="1097" t="e">
        <f t="shared" si="17"/>
        <v>#REF!</v>
      </c>
      <c r="I222" s="1103"/>
      <c r="J222" s="1097" t="e">
        <f t="shared" si="18"/>
        <v>#REF!</v>
      </c>
      <c r="K222" s="1096"/>
      <c r="L222" s="1097" t="e">
        <f t="shared" si="19"/>
        <v>#REF!</v>
      </c>
      <c r="M222" s="1103"/>
      <c r="N222" s="1096"/>
      <c r="O222" s="1098"/>
      <c r="P222" s="1096"/>
      <c r="Q222" s="1104"/>
      <c r="R222" s="1104"/>
    </row>
    <row r="223" spans="1:19" s="1108" customFormat="1" ht="43.5" customHeight="1">
      <c r="A223" s="1138"/>
      <c r="B223" s="933" t="s">
        <v>3832</v>
      </c>
      <c r="C223" s="1092" t="e">
        <f>ROUND(#REF!,2)</f>
        <v>#REF!</v>
      </c>
      <c r="D223" s="940" t="s">
        <v>3798</v>
      </c>
      <c r="E223" s="1103"/>
      <c r="F223" s="1097" t="e">
        <f t="shared" si="16"/>
        <v>#REF!</v>
      </c>
      <c r="G223" s="1103"/>
      <c r="H223" s="1097" t="e">
        <f t="shared" si="17"/>
        <v>#REF!</v>
      </c>
      <c r="I223" s="1103"/>
      <c r="J223" s="1097" t="e">
        <f t="shared" si="18"/>
        <v>#REF!</v>
      </c>
      <c r="K223" s="1096"/>
      <c r="L223" s="1097" t="e">
        <f t="shared" si="19"/>
        <v>#REF!</v>
      </c>
      <c r="M223" s="1103"/>
      <c r="N223" s="1096"/>
      <c r="O223" s="1098"/>
      <c r="P223" s="1096"/>
      <c r="Q223" s="1107"/>
      <c r="R223" s="1104"/>
    </row>
    <row r="224" spans="1:19" s="1108" customFormat="1" ht="69.75" customHeight="1">
      <c r="A224" s="1090">
        <v>12.2</v>
      </c>
      <c r="B224" s="933" t="s">
        <v>3860</v>
      </c>
      <c r="C224" s="1106"/>
      <c r="D224" s="1145"/>
      <c r="E224" s="1103"/>
      <c r="F224" s="1097">
        <f t="shared" si="16"/>
        <v>0</v>
      </c>
      <c r="G224" s="1103"/>
      <c r="H224" s="1097">
        <f t="shared" si="17"/>
        <v>0</v>
      </c>
      <c r="I224" s="1103"/>
      <c r="J224" s="1097">
        <f t="shared" si="18"/>
        <v>0</v>
      </c>
      <c r="K224" s="1096"/>
      <c r="L224" s="1097">
        <f t="shared" si="19"/>
        <v>0</v>
      </c>
      <c r="M224" s="1103"/>
      <c r="N224" s="1096"/>
      <c r="O224" s="1098"/>
      <c r="P224" s="1096"/>
      <c r="Q224" s="1107"/>
      <c r="R224" s="1104"/>
    </row>
    <row r="225" spans="1:18" s="1108" customFormat="1" ht="25.5" customHeight="1">
      <c r="A225" s="940"/>
      <c r="B225" s="933" t="s">
        <v>2683</v>
      </c>
      <c r="C225" s="1106"/>
      <c r="D225" s="943" t="s">
        <v>3798</v>
      </c>
      <c r="E225" s="1103"/>
      <c r="F225" s="1097">
        <f t="shared" si="16"/>
        <v>0</v>
      </c>
      <c r="G225" s="1103"/>
      <c r="H225" s="1097">
        <f t="shared" si="17"/>
        <v>0</v>
      </c>
      <c r="I225" s="1103"/>
      <c r="J225" s="1097">
        <f t="shared" si="18"/>
        <v>0</v>
      </c>
      <c r="K225" s="1096"/>
      <c r="L225" s="1097">
        <f t="shared" si="19"/>
        <v>0</v>
      </c>
      <c r="M225" s="1103"/>
      <c r="N225" s="1096"/>
      <c r="O225" s="1098"/>
      <c r="P225" s="1096"/>
      <c r="Q225" s="1107"/>
      <c r="R225" s="1104"/>
    </row>
    <row r="226" spans="1:18" s="1108" customFormat="1" ht="25.5" customHeight="1">
      <c r="A226" s="940"/>
      <c r="B226" s="933" t="s">
        <v>2689</v>
      </c>
      <c r="C226" s="1106"/>
      <c r="D226" s="943" t="s">
        <v>3798</v>
      </c>
      <c r="E226" s="1103"/>
      <c r="F226" s="1097">
        <f t="shared" si="16"/>
        <v>0</v>
      </c>
      <c r="G226" s="1103"/>
      <c r="H226" s="1097">
        <f t="shared" si="17"/>
        <v>0</v>
      </c>
      <c r="I226" s="1103"/>
      <c r="J226" s="1097">
        <f t="shared" si="18"/>
        <v>0</v>
      </c>
      <c r="K226" s="1096"/>
      <c r="L226" s="1097">
        <f t="shared" si="19"/>
        <v>0</v>
      </c>
      <c r="M226" s="1103"/>
      <c r="N226" s="1096"/>
      <c r="O226" s="1098"/>
      <c r="P226" s="1096"/>
      <c r="Q226" s="1107"/>
      <c r="R226" s="1104"/>
    </row>
    <row r="227" spans="1:18" s="1108" customFormat="1" ht="25.5" customHeight="1">
      <c r="A227" s="940"/>
      <c r="B227" s="933" t="s">
        <v>3830</v>
      </c>
      <c r="C227" s="1106"/>
      <c r="D227" s="943" t="s">
        <v>3798</v>
      </c>
      <c r="E227" s="1103"/>
      <c r="F227" s="1097">
        <f t="shared" si="16"/>
        <v>0</v>
      </c>
      <c r="G227" s="1103"/>
      <c r="H227" s="1097">
        <f t="shared" si="17"/>
        <v>0</v>
      </c>
      <c r="I227" s="1103"/>
      <c r="J227" s="1097">
        <f t="shared" si="18"/>
        <v>0</v>
      </c>
      <c r="K227" s="1096"/>
      <c r="L227" s="1097">
        <f t="shared" si="19"/>
        <v>0</v>
      </c>
      <c r="M227" s="1103"/>
      <c r="N227" s="1096"/>
      <c r="O227" s="1098"/>
      <c r="P227" s="1096"/>
      <c r="Q227" s="1107"/>
      <c r="R227" s="1104"/>
    </row>
    <row r="228" spans="1:18" s="1108" customFormat="1" ht="25.5" customHeight="1">
      <c r="A228" s="940"/>
      <c r="B228" s="933" t="s">
        <v>3831</v>
      </c>
      <c r="C228" s="1106"/>
      <c r="D228" s="943" t="s">
        <v>3798</v>
      </c>
      <c r="E228" s="1103"/>
      <c r="F228" s="1097">
        <f t="shared" si="16"/>
        <v>0</v>
      </c>
      <c r="G228" s="1103"/>
      <c r="H228" s="1097">
        <f t="shared" si="17"/>
        <v>0</v>
      </c>
      <c r="I228" s="1103"/>
      <c r="J228" s="1097">
        <f t="shared" si="18"/>
        <v>0</v>
      </c>
      <c r="K228" s="1096"/>
      <c r="L228" s="1097">
        <f t="shared" si="19"/>
        <v>0</v>
      </c>
      <c r="M228" s="1103"/>
      <c r="N228" s="1096"/>
      <c r="O228" s="1098"/>
      <c r="P228" s="1096"/>
      <c r="Q228" s="1107"/>
      <c r="R228" s="1104"/>
    </row>
    <row r="229" spans="1:18" s="1108" customFormat="1" ht="25.5" customHeight="1">
      <c r="A229" s="1138"/>
      <c r="B229" s="933" t="s">
        <v>3832</v>
      </c>
      <c r="C229" s="1106"/>
      <c r="D229" s="943" t="s">
        <v>3798</v>
      </c>
      <c r="E229" s="1103"/>
      <c r="F229" s="1097">
        <f t="shared" si="16"/>
        <v>0</v>
      </c>
      <c r="G229" s="1103"/>
      <c r="H229" s="1097">
        <f t="shared" si="17"/>
        <v>0</v>
      </c>
      <c r="I229" s="1103"/>
      <c r="J229" s="1097">
        <f t="shared" si="18"/>
        <v>0</v>
      </c>
      <c r="K229" s="1096"/>
      <c r="L229" s="1097">
        <f t="shared" si="19"/>
        <v>0</v>
      </c>
      <c r="M229" s="1103"/>
      <c r="N229" s="1096"/>
      <c r="O229" s="1098"/>
      <c r="P229" s="1096"/>
      <c r="Q229" s="1107"/>
      <c r="R229" s="1104"/>
    </row>
    <row r="230" spans="1:18" s="1108" customFormat="1" ht="25.5" customHeight="1">
      <c r="A230" s="1138"/>
      <c r="B230" s="933"/>
      <c r="C230" s="1106"/>
      <c r="D230" s="943"/>
      <c r="E230" s="1103"/>
      <c r="F230" s="1097">
        <f t="shared" si="16"/>
        <v>0</v>
      </c>
      <c r="G230" s="1103"/>
      <c r="H230" s="1097">
        <f t="shared" si="17"/>
        <v>0</v>
      </c>
      <c r="I230" s="1103"/>
      <c r="J230" s="1097">
        <f t="shared" si="18"/>
        <v>0</v>
      </c>
      <c r="K230" s="1096"/>
      <c r="L230" s="1097">
        <f t="shared" si="19"/>
        <v>0</v>
      </c>
      <c r="M230" s="1103"/>
      <c r="N230" s="1096"/>
      <c r="O230" s="1098"/>
      <c r="P230" s="1096"/>
      <c r="Q230" s="1107"/>
      <c r="R230" s="1104"/>
    </row>
    <row r="231" spans="1:18" s="1147" customFormat="1" ht="46.5" customHeight="1">
      <c r="A231" s="1146">
        <v>13.1</v>
      </c>
      <c r="B231" s="1267" t="s">
        <v>3861</v>
      </c>
      <c r="C231" s="1096" t="e">
        <f>ROUND(#REF!,2)</f>
        <v>#REF!</v>
      </c>
      <c r="D231" s="1097" t="s">
        <v>3770</v>
      </c>
      <c r="E231" s="1096">
        <f>'Ins Abs'!Q20</f>
        <v>17.298125000000002</v>
      </c>
      <c r="F231" s="1097" t="e">
        <f>C231*E231</f>
        <v>#REF!</v>
      </c>
      <c r="G231" s="1096">
        <f>'SI Abs '!Q21</f>
        <v>27.645</v>
      </c>
      <c r="H231" s="1097">
        <f>'SI Abs '!R21</f>
        <v>1430.0758500000002</v>
      </c>
      <c r="I231" s="1096">
        <f>'PC Abs'!Q20</f>
        <v>13.151374999999998</v>
      </c>
      <c r="J231" s="1097">
        <f>'PC Abs'!R20</f>
        <v>680.32062874999997</v>
      </c>
      <c r="K231" s="1096" t="e">
        <f>#REF!</f>
        <v>#REF!</v>
      </c>
      <c r="L231" s="1097" t="e">
        <f t="shared" si="19"/>
        <v>#REF!</v>
      </c>
      <c r="M231" s="1096"/>
      <c r="N231" s="1096"/>
      <c r="O231" s="1098" t="e">
        <f>E231+G231+I231+K231</f>
        <v>#REF!</v>
      </c>
      <c r="P231" s="1096" t="e">
        <f>O231*C231</f>
        <v>#REF!</v>
      </c>
      <c r="Q231" s="1099"/>
      <c r="R231" s="1099"/>
    </row>
    <row r="232" spans="1:18" s="1108" customFormat="1" ht="69.599999999999994" customHeight="1">
      <c r="A232" s="1148">
        <v>13.2</v>
      </c>
      <c r="B232" s="1268" t="s">
        <v>3862</v>
      </c>
      <c r="C232" s="1149"/>
      <c r="D232" s="1150" t="s">
        <v>3770</v>
      </c>
      <c r="E232" s="1103"/>
      <c r="F232" s="1097">
        <f t="shared" si="16"/>
        <v>0</v>
      </c>
      <c r="G232" s="1103"/>
      <c r="H232" s="1097">
        <f t="shared" si="17"/>
        <v>0</v>
      </c>
      <c r="I232" s="1103"/>
      <c r="J232" s="1097">
        <f t="shared" si="18"/>
        <v>0</v>
      </c>
      <c r="K232" s="1096"/>
      <c r="L232" s="1097">
        <f t="shared" si="19"/>
        <v>0</v>
      </c>
      <c r="M232" s="1103"/>
      <c r="N232" s="1096"/>
      <c r="O232" s="1098"/>
      <c r="P232" s="1096">
        <f>O232*C232</f>
        <v>0</v>
      </c>
      <c r="Q232" s="1107"/>
      <c r="R232" s="1104"/>
    </row>
    <row r="233" spans="1:18" s="1126" customFormat="1" ht="60.75" customHeight="1">
      <c r="A233" s="1097" t="s">
        <v>1156</v>
      </c>
      <c r="B233" s="1269" t="s">
        <v>3863</v>
      </c>
      <c r="C233" s="1152"/>
      <c r="D233" s="1122"/>
      <c r="E233" s="1103"/>
      <c r="F233" s="1097">
        <f t="shared" si="16"/>
        <v>0</v>
      </c>
      <c r="G233" s="1103"/>
      <c r="H233" s="1097">
        <f t="shared" si="17"/>
        <v>0</v>
      </c>
      <c r="I233" s="1103"/>
      <c r="J233" s="1097">
        <f t="shared" si="18"/>
        <v>0</v>
      </c>
      <c r="K233" s="1096"/>
      <c r="L233" s="1097">
        <f t="shared" si="19"/>
        <v>0</v>
      </c>
      <c r="M233" s="1103"/>
      <c r="N233" s="1096"/>
      <c r="O233" s="1098"/>
      <c r="P233" s="1096"/>
      <c r="Q233" s="1125"/>
      <c r="R233" s="1104"/>
    </row>
    <row r="234" spans="1:18" s="1126" customFormat="1" ht="50.25" customHeight="1">
      <c r="A234" s="1097"/>
      <c r="B234" s="1267" t="s">
        <v>3815</v>
      </c>
      <c r="C234" s="1152" t="e">
        <f>ROUND(#REF!,2)</f>
        <v>#REF!</v>
      </c>
      <c r="D234" s="1122" t="s">
        <v>3798</v>
      </c>
      <c r="E234" s="1103"/>
      <c r="F234" s="1097" t="e">
        <f t="shared" si="16"/>
        <v>#REF!</v>
      </c>
      <c r="G234" s="1103"/>
      <c r="H234" s="1097" t="e">
        <f t="shared" si="17"/>
        <v>#REF!</v>
      </c>
      <c r="I234" s="1103"/>
      <c r="J234" s="1097" t="e">
        <f t="shared" si="18"/>
        <v>#REF!</v>
      </c>
      <c r="K234" s="1096"/>
      <c r="L234" s="1097" t="e">
        <f t="shared" si="19"/>
        <v>#REF!</v>
      </c>
      <c r="M234" s="1103"/>
      <c r="N234" s="1096"/>
      <c r="O234" s="1098"/>
      <c r="P234" s="1096"/>
      <c r="Q234" s="1125"/>
      <c r="R234" s="1104"/>
    </row>
    <row r="235" spans="1:18" s="1126" customFormat="1" ht="50.25" customHeight="1">
      <c r="A235" s="940"/>
      <c r="B235" s="933" t="s">
        <v>3816</v>
      </c>
      <c r="C235" s="1106" t="e">
        <f>ROUND(#REF!,2)</f>
        <v>#REF!</v>
      </c>
      <c r="D235" s="943" t="s">
        <v>3798</v>
      </c>
      <c r="E235" s="1103"/>
      <c r="F235" s="1097" t="e">
        <f t="shared" si="16"/>
        <v>#REF!</v>
      </c>
      <c r="G235" s="1103"/>
      <c r="H235" s="1097" t="e">
        <f t="shared" si="17"/>
        <v>#REF!</v>
      </c>
      <c r="I235" s="1103"/>
      <c r="J235" s="1097" t="e">
        <f t="shared" si="18"/>
        <v>#REF!</v>
      </c>
      <c r="K235" s="1096"/>
      <c r="L235" s="1097" t="e">
        <f t="shared" si="19"/>
        <v>#REF!</v>
      </c>
      <c r="M235" s="1103"/>
      <c r="N235" s="1096"/>
      <c r="O235" s="1098"/>
      <c r="P235" s="1096"/>
      <c r="Q235" s="1125"/>
      <c r="R235" s="1104"/>
    </row>
    <row r="236" spans="1:18" s="1126" customFormat="1" ht="50.25" customHeight="1">
      <c r="A236" s="940"/>
      <c r="B236" s="933" t="s">
        <v>3817</v>
      </c>
      <c r="C236" s="1106" t="e">
        <f>ROUND(#REF!,2)</f>
        <v>#REF!</v>
      </c>
      <c r="D236" s="943" t="s">
        <v>3798</v>
      </c>
      <c r="E236" s="1103"/>
      <c r="F236" s="1097" t="e">
        <f t="shared" si="16"/>
        <v>#REF!</v>
      </c>
      <c r="G236" s="1103"/>
      <c r="H236" s="1097" t="e">
        <f t="shared" si="17"/>
        <v>#REF!</v>
      </c>
      <c r="I236" s="1103"/>
      <c r="J236" s="1097" t="e">
        <f t="shared" si="18"/>
        <v>#REF!</v>
      </c>
      <c r="K236" s="1096"/>
      <c r="L236" s="1097" t="e">
        <f t="shared" si="19"/>
        <v>#REF!</v>
      </c>
      <c r="M236" s="1103"/>
      <c r="N236" s="1096"/>
      <c r="O236" s="1098"/>
      <c r="P236" s="1096"/>
      <c r="Q236" s="1125"/>
      <c r="R236" s="1104"/>
    </row>
    <row r="237" spans="1:18" s="1126" customFormat="1" ht="50.25" customHeight="1">
      <c r="A237" s="940"/>
      <c r="B237" s="933" t="s">
        <v>3818</v>
      </c>
      <c r="C237" s="1106" t="e">
        <f>ROUND(#REF!,2)</f>
        <v>#REF!</v>
      </c>
      <c r="D237" s="943" t="s">
        <v>3798</v>
      </c>
      <c r="E237" s="1103"/>
      <c r="F237" s="1097" t="e">
        <f t="shared" si="16"/>
        <v>#REF!</v>
      </c>
      <c r="G237" s="1103"/>
      <c r="H237" s="1097" t="e">
        <f t="shared" si="17"/>
        <v>#REF!</v>
      </c>
      <c r="I237" s="1103"/>
      <c r="J237" s="1097" t="e">
        <f t="shared" si="18"/>
        <v>#REF!</v>
      </c>
      <c r="K237" s="1096"/>
      <c r="L237" s="1097" t="e">
        <f t="shared" si="19"/>
        <v>#REF!</v>
      </c>
      <c r="M237" s="1103"/>
      <c r="N237" s="1096"/>
      <c r="O237" s="1098"/>
      <c r="P237" s="1096"/>
      <c r="Q237" s="1125"/>
      <c r="R237" s="1104"/>
    </row>
    <row r="238" spans="1:18" s="1108" customFormat="1" ht="41.25" customHeight="1">
      <c r="A238" s="1138"/>
      <c r="B238" s="933" t="s">
        <v>3819</v>
      </c>
      <c r="C238" s="1106" t="e">
        <f>ROUND(#REF!,2)</f>
        <v>#REF!</v>
      </c>
      <c r="D238" s="943" t="s">
        <v>3798</v>
      </c>
      <c r="E238" s="1103"/>
      <c r="F238" s="1097" t="e">
        <f t="shared" si="16"/>
        <v>#REF!</v>
      </c>
      <c r="G238" s="1103"/>
      <c r="H238" s="1097" t="e">
        <f t="shared" si="17"/>
        <v>#REF!</v>
      </c>
      <c r="I238" s="1103"/>
      <c r="J238" s="1097" t="e">
        <f t="shared" si="18"/>
        <v>#REF!</v>
      </c>
      <c r="K238" s="1096"/>
      <c r="L238" s="1097" t="e">
        <f t="shared" si="19"/>
        <v>#REF!</v>
      </c>
      <c r="M238" s="1103"/>
      <c r="N238" s="1096"/>
      <c r="O238" s="1098"/>
      <c r="P238" s="1096"/>
      <c r="Q238" s="1107"/>
      <c r="R238" s="1104"/>
    </row>
    <row r="239" spans="1:18" s="1108" customFormat="1" ht="41.25" customHeight="1">
      <c r="A239" s="1138"/>
      <c r="B239" s="933" t="s">
        <v>3821</v>
      </c>
      <c r="C239" s="1106" t="e">
        <f>ROUND(#REF!,2)</f>
        <v>#REF!</v>
      </c>
      <c r="D239" s="943" t="s">
        <v>3798</v>
      </c>
      <c r="E239" s="1103"/>
      <c r="F239" s="1097" t="e">
        <f t="shared" si="16"/>
        <v>#REF!</v>
      </c>
      <c r="G239" s="1103"/>
      <c r="H239" s="1097" t="e">
        <f t="shared" si="17"/>
        <v>#REF!</v>
      </c>
      <c r="I239" s="1103"/>
      <c r="J239" s="1097" t="e">
        <f t="shared" si="18"/>
        <v>#REF!</v>
      </c>
      <c r="K239" s="1096"/>
      <c r="L239" s="1097" t="e">
        <f t="shared" si="19"/>
        <v>#REF!</v>
      </c>
      <c r="M239" s="1103"/>
      <c r="N239" s="1096"/>
      <c r="O239" s="1098"/>
      <c r="P239" s="1096"/>
      <c r="Q239" s="1107"/>
      <c r="R239" s="1104"/>
    </row>
    <row r="240" spans="1:18" s="1108" customFormat="1" ht="41.25" customHeight="1">
      <c r="A240" s="1138"/>
      <c r="B240" s="933" t="s">
        <v>3822</v>
      </c>
      <c r="C240" s="1106" t="e">
        <f>ROUND(#REF!,2)</f>
        <v>#REF!</v>
      </c>
      <c r="D240" s="943" t="s">
        <v>3798</v>
      </c>
      <c r="E240" s="1103"/>
      <c r="F240" s="1097" t="e">
        <f t="shared" si="16"/>
        <v>#REF!</v>
      </c>
      <c r="G240" s="1103"/>
      <c r="H240" s="1097" t="e">
        <f t="shared" si="17"/>
        <v>#REF!</v>
      </c>
      <c r="I240" s="1103"/>
      <c r="J240" s="1097" t="e">
        <f t="shared" si="18"/>
        <v>#REF!</v>
      </c>
      <c r="K240" s="1096"/>
      <c r="L240" s="1097" t="e">
        <f t="shared" si="19"/>
        <v>#REF!</v>
      </c>
      <c r="M240" s="1103"/>
      <c r="N240" s="1096"/>
      <c r="O240" s="1098"/>
      <c r="P240" s="1096"/>
      <c r="Q240" s="1107"/>
      <c r="R240" s="1104"/>
    </row>
    <row r="241" spans="1:18" s="1108" customFormat="1" ht="41.25" customHeight="1">
      <c r="A241" s="1138"/>
      <c r="B241" s="933" t="s">
        <v>3823</v>
      </c>
      <c r="C241" s="1106" t="e">
        <f>ROUND(#REF!,2)</f>
        <v>#REF!</v>
      </c>
      <c r="D241" s="943" t="s">
        <v>3798</v>
      </c>
      <c r="E241" s="1103"/>
      <c r="F241" s="1097" t="e">
        <f t="shared" si="16"/>
        <v>#REF!</v>
      </c>
      <c r="G241" s="1103"/>
      <c r="H241" s="1097" t="e">
        <f t="shared" si="17"/>
        <v>#REF!</v>
      </c>
      <c r="I241" s="1103"/>
      <c r="J241" s="1097" t="e">
        <f t="shared" si="18"/>
        <v>#REF!</v>
      </c>
      <c r="K241" s="1096"/>
      <c r="L241" s="1097" t="e">
        <f t="shared" si="19"/>
        <v>#REF!</v>
      </c>
      <c r="M241" s="1103"/>
      <c r="N241" s="1096"/>
      <c r="O241" s="1098"/>
      <c r="P241" s="1096"/>
      <c r="Q241" s="1107"/>
      <c r="R241" s="1104"/>
    </row>
    <row r="242" spans="1:18" s="1108" customFormat="1" ht="41.25" customHeight="1">
      <c r="A242" s="1138"/>
      <c r="B242" s="933" t="s">
        <v>3824</v>
      </c>
      <c r="C242" s="1106" t="e">
        <f>ROUND(#REF!,2)</f>
        <v>#REF!</v>
      </c>
      <c r="D242" s="943" t="s">
        <v>3798</v>
      </c>
      <c r="E242" s="1103"/>
      <c r="F242" s="1097" t="e">
        <f t="shared" si="16"/>
        <v>#REF!</v>
      </c>
      <c r="G242" s="1103"/>
      <c r="H242" s="1097" t="e">
        <f t="shared" si="17"/>
        <v>#REF!</v>
      </c>
      <c r="I242" s="1103"/>
      <c r="J242" s="1097" t="e">
        <f t="shared" si="18"/>
        <v>#REF!</v>
      </c>
      <c r="K242" s="1096"/>
      <c r="L242" s="1097" t="e">
        <f t="shared" si="19"/>
        <v>#REF!</v>
      </c>
      <c r="M242" s="1103"/>
      <c r="N242" s="1096"/>
      <c r="O242" s="1098"/>
      <c r="P242" s="1096"/>
      <c r="Q242" s="1107"/>
      <c r="R242" s="1104"/>
    </row>
    <row r="243" spans="1:18" s="1108" customFormat="1" ht="41.25" customHeight="1">
      <c r="A243" s="1138"/>
      <c r="B243" s="933" t="s">
        <v>3825</v>
      </c>
      <c r="C243" s="1106" t="e">
        <f>ROUND(#REF!,2)</f>
        <v>#REF!</v>
      </c>
      <c r="D243" s="943" t="s">
        <v>3798</v>
      </c>
      <c r="E243" s="1103"/>
      <c r="F243" s="1097" t="e">
        <f t="shared" si="16"/>
        <v>#REF!</v>
      </c>
      <c r="G243" s="1103"/>
      <c r="H243" s="1097" t="e">
        <f t="shared" si="17"/>
        <v>#REF!</v>
      </c>
      <c r="I243" s="1103"/>
      <c r="J243" s="1097" t="e">
        <f t="shared" si="18"/>
        <v>#REF!</v>
      </c>
      <c r="K243" s="1096"/>
      <c r="L243" s="1097" t="e">
        <f t="shared" si="19"/>
        <v>#REF!</v>
      </c>
      <c r="M243" s="1103"/>
      <c r="N243" s="1096"/>
      <c r="O243" s="1098"/>
      <c r="P243" s="1096"/>
      <c r="Q243" s="1107"/>
      <c r="R243" s="1104"/>
    </row>
    <row r="244" spans="1:18" s="1108" customFormat="1" ht="41.25" customHeight="1">
      <c r="A244" s="1138"/>
      <c r="B244" s="933" t="s">
        <v>3826</v>
      </c>
      <c r="C244" s="1106" t="e">
        <f>ROUND(#REF!,2)</f>
        <v>#REF!</v>
      </c>
      <c r="D244" s="943" t="s">
        <v>3798</v>
      </c>
      <c r="E244" s="1103"/>
      <c r="F244" s="1097" t="e">
        <f t="shared" si="16"/>
        <v>#REF!</v>
      </c>
      <c r="G244" s="1103"/>
      <c r="H244" s="1097" t="e">
        <f t="shared" si="17"/>
        <v>#REF!</v>
      </c>
      <c r="I244" s="1103"/>
      <c r="J244" s="1097" t="e">
        <f t="shared" si="18"/>
        <v>#REF!</v>
      </c>
      <c r="K244" s="1096"/>
      <c r="L244" s="1097" t="e">
        <f t="shared" si="19"/>
        <v>#REF!</v>
      </c>
      <c r="M244" s="1103"/>
      <c r="N244" s="1096"/>
      <c r="O244" s="1098"/>
      <c r="P244" s="1096"/>
      <c r="Q244" s="1107"/>
      <c r="R244" s="1104"/>
    </row>
    <row r="245" spans="1:18" s="1108" customFormat="1" ht="41.25" customHeight="1">
      <c r="A245" s="1138"/>
      <c r="B245" s="933" t="s">
        <v>3827</v>
      </c>
      <c r="C245" s="1106" t="e">
        <f>ROUND(#REF!,2)</f>
        <v>#REF!</v>
      </c>
      <c r="D245" s="943" t="s">
        <v>3798</v>
      </c>
      <c r="E245" s="1103"/>
      <c r="F245" s="1097" t="e">
        <f t="shared" si="16"/>
        <v>#REF!</v>
      </c>
      <c r="G245" s="1103"/>
      <c r="H245" s="1097" t="e">
        <f t="shared" si="17"/>
        <v>#REF!</v>
      </c>
      <c r="I245" s="1103"/>
      <c r="J245" s="1097" t="e">
        <f t="shared" si="18"/>
        <v>#REF!</v>
      </c>
      <c r="K245" s="1096"/>
      <c r="L245" s="1097" t="e">
        <f t="shared" si="19"/>
        <v>#REF!</v>
      </c>
      <c r="M245" s="1103"/>
      <c r="N245" s="1096"/>
      <c r="O245" s="1098"/>
      <c r="P245" s="1096"/>
      <c r="Q245" s="1107"/>
      <c r="R245" s="1104"/>
    </row>
    <row r="246" spans="1:18" s="1126" customFormat="1" ht="60.75" customHeight="1">
      <c r="A246" s="940" t="s">
        <v>547</v>
      </c>
      <c r="B246" s="1262" t="s">
        <v>3864</v>
      </c>
      <c r="C246" s="1106"/>
      <c r="D246" s="943"/>
      <c r="E246" s="1103"/>
      <c r="F246" s="1097">
        <f t="shared" si="16"/>
        <v>0</v>
      </c>
      <c r="G246" s="1103"/>
      <c r="H246" s="1097">
        <f t="shared" si="17"/>
        <v>0</v>
      </c>
      <c r="I246" s="1103"/>
      <c r="J246" s="1097">
        <f t="shared" si="18"/>
        <v>0</v>
      </c>
      <c r="K246" s="1096"/>
      <c r="L246" s="1097">
        <f t="shared" si="19"/>
        <v>0</v>
      </c>
      <c r="M246" s="1103"/>
      <c r="N246" s="1096"/>
      <c r="O246" s="1098"/>
      <c r="P246" s="1096"/>
      <c r="Q246" s="1125"/>
      <c r="R246" s="1104"/>
    </row>
    <row r="247" spans="1:18" s="1126" customFormat="1" ht="48.6" customHeight="1">
      <c r="A247" s="940"/>
      <c r="B247" s="933" t="s">
        <v>3865</v>
      </c>
      <c r="C247" s="1106" t="e">
        <f>ROUND(#REF!,2)</f>
        <v>#REF!</v>
      </c>
      <c r="D247" s="943" t="s">
        <v>3798</v>
      </c>
      <c r="E247" s="1103"/>
      <c r="F247" s="1097" t="e">
        <f t="shared" si="16"/>
        <v>#REF!</v>
      </c>
      <c r="G247" s="1103"/>
      <c r="H247" s="1097" t="e">
        <f t="shared" si="17"/>
        <v>#REF!</v>
      </c>
      <c r="I247" s="1103"/>
      <c r="J247" s="1097" t="e">
        <f t="shared" si="18"/>
        <v>#REF!</v>
      </c>
      <c r="K247" s="1096"/>
      <c r="L247" s="1097" t="e">
        <f t="shared" si="19"/>
        <v>#REF!</v>
      </c>
      <c r="M247" s="1103"/>
      <c r="N247" s="1096"/>
      <c r="O247" s="1098"/>
      <c r="P247" s="1096"/>
      <c r="Q247" s="1125"/>
      <c r="R247" s="1104"/>
    </row>
    <row r="248" spans="1:18" s="1126" customFormat="1" ht="50.25" customHeight="1">
      <c r="A248" s="940"/>
      <c r="B248" s="933" t="s">
        <v>3866</v>
      </c>
      <c r="C248" s="1106" t="e">
        <f>ROUND(#REF!,2)</f>
        <v>#REF!</v>
      </c>
      <c r="D248" s="943" t="s">
        <v>3798</v>
      </c>
      <c r="E248" s="1103"/>
      <c r="F248" s="1097" t="e">
        <f t="shared" si="16"/>
        <v>#REF!</v>
      </c>
      <c r="G248" s="1103"/>
      <c r="H248" s="1097" t="e">
        <f t="shared" si="17"/>
        <v>#REF!</v>
      </c>
      <c r="I248" s="1103"/>
      <c r="J248" s="1097" t="e">
        <f t="shared" si="18"/>
        <v>#REF!</v>
      </c>
      <c r="K248" s="1096"/>
      <c r="L248" s="1097" t="e">
        <f t="shared" si="19"/>
        <v>#REF!</v>
      </c>
      <c r="M248" s="1103"/>
      <c r="N248" s="1096"/>
      <c r="O248" s="1098"/>
      <c r="P248" s="1096"/>
      <c r="Q248" s="1125"/>
      <c r="R248" s="1104"/>
    </row>
    <row r="249" spans="1:18" s="1126" customFormat="1" ht="50.25" customHeight="1">
      <c r="A249" s="940"/>
      <c r="B249" s="933" t="s">
        <v>3867</v>
      </c>
      <c r="C249" s="1106" t="e">
        <f>ROUND(#REF!,2)</f>
        <v>#REF!</v>
      </c>
      <c r="D249" s="943" t="s">
        <v>3798</v>
      </c>
      <c r="E249" s="1103"/>
      <c r="F249" s="1097" t="e">
        <f t="shared" si="16"/>
        <v>#REF!</v>
      </c>
      <c r="G249" s="1103"/>
      <c r="H249" s="1097" t="e">
        <f t="shared" si="17"/>
        <v>#REF!</v>
      </c>
      <c r="I249" s="1103"/>
      <c r="J249" s="1097" t="e">
        <f t="shared" si="18"/>
        <v>#REF!</v>
      </c>
      <c r="K249" s="1096"/>
      <c r="L249" s="1097" t="e">
        <f t="shared" si="19"/>
        <v>#REF!</v>
      </c>
      <c r="M249" s="1103"/>
      <c r="N249" s="1096"/>
      <c r="O249" s="1098"/>
      <c r="P249" s="1096"/>
      <c r="Q249" s="1125"/>
      <c r="R249" s="1104"/>
    </row>
    <row r="250" spans="1:18" s="1126" customFormat="1" ht="50.25" customHeight="1">
      <c r="A250" s="940"/>
      <c r="B250" s="933" t="s">
        <v>3868</v>
      </c>
      <c r="C250" s="1106" t="e">
        <f>ROUND(#REF!,2)</f>
        <v>#REF!</v>
      </c>
      <c r="D250" s="943" t="s">
        <v>3798</v>
      </c>
      <c r="E250" s="1103"/>
      <c r="F250" s="1097" t="e">
        <f t="shared" si="16"/>
        <v>#REF!</v>
      </c>
      <c r="G250" s="1103"/>
      <c r="H250" s="1097" t="e">
        <f t="shared" si="17"/>
        <v>#REF!</v>
      </c>
      <c r="I250" s="1103"/>
      <c r="J250" s="1097" t="e">
        <f t="shared" si="18"/>
        <v>#REF!</v>
      </c>
      <c r="K250" s="1096"/>
      <c r="L250" s="1097" t="e">
        <f t="shared" si="19"/>
        <v>#REF!</v>
      </c>
      <c r="M250" s="1103"/>
      <c r="N250" s="1096"/>
      <c r="O250" s="1098"/>
      <c r="P250" s="1096"/>
      <c r="Q250" s="1125"/>
      <c r="R250" s="1104"/>
    </row>
    <row r="251" spans="1:18" s="1126" customFormat="1" ht="50.25" customHeight="1">
      <c r="A251" s="940"/>
      <c r="B251" s="933" t="s">
        <v>3869</v>
      </c>
      <c r="C251" s="1106" t="e">
        <f>ROUND(#REF!,2)</f>
        <v>#REF!</v>
      </c>
      <c r="D251" s="943" t="s">
        <v>3798</v>
      </c>
      <c r="E251" s="1103"/>
      <c r="F251" s="1097" t="e">
        <f t="shared" si="16"/>
        <v>#REF!</v>
      </c>
      <c r="G251" s="1103"/>
      <c r="H251" s="1097" t="e">
        <f t="shared" si="17"/>
        <v>#REF!</v>
      </c>
      <c r="I251" s="1103"/>
      <c r="J251" s="1097" t="e">
        <f t="shared" si="18"/>
        <v>#REF!</v>
      </c>
      <c r="K251" s="1096"/>
      <c r="L251" s="1097" t="e">
        <f t="shared" si="19"/>
        <v>#REF!</v>
      </c>
      <c r="M251" s="1103"/>
      <c r="N251" s="1096"/>
      <c r="O251" s="1098"/>
      <c r="P251" s="1096"/>
      <c r="Q251" s="1125"/>
      <c r="R251" s="1104"/>
    </row>
    <row r="252" spans="1:18" s="1108" customFormat="1" ht="41.25" customHeight="1">
      <c r="A252" s="1138"/>
      <c r="B252" s="933" t="s">
        <v>3870</v>
      </c>
      <c r="C252" s="1106" t="e">
        <f>ROUND(#REF!,2)</f>
        <v>#REF!</v>
      </c>
      <c r="D252" s="943" t="s">
        <v>3798</v>
      </c>
      <c r="E252" s="1103"/>
      <c r="F252" s="1097" t="e">
        <f t="shared" si="16"/>
        <v>#REF!</v>
      </c>
      <c r="G252" s="1103"/>
      <c r="H252" s="1097" t="e">
        <f t="shared" si="17"/>
        <v>#REF!</v>
      </c>
      <c r="I252" s="1103"/>
      <c r="J252" s="1097" t="e">
        <f t="shared" si="18"/>
        <v>#REF!</v>
      </c>
      <c r="K252" s="1096"/>
      <c r="L252" s="1097" t="e">
        <f t="shared" si="19"/>
        <v>#REF!</v>
      </c>
      <c r="M252" s="1103"/>
      <c r="N252" s="1096"/>
      <c r="O252" s="1098"/>
      <c r="P252" s="1096"/>
      <c r="Q252" s="1107"/>
      <c r="R252" s="1104"/>
    </row>
    <row r="253" spans="1:18" s="1108" customFormat="1" ht="25.5" customHeight="1">
      <c r="A253" s="1090">
        <v>15.1</v>
      </c>
      <c r="B253" s="1262" t="s">
        <v>3871</v>
      </c>
      <c r="C253" s="1106"/>
      <c r="D253" s="943"/>
      <c r="E253" s="1103"/>
      <c r="F253" s="1097">
        <f t="shared" si="16"/>
        <v>0</v>
      </c>
      <c r="G253" s="1103"/>
      <c r="H253" s="1097">
        <f t="shared" si="17"/>
        <v>0</v>
      </c>
      <c r="I253" s="1103"/>
      <c r="J253" s="1097">
        <f t="shared" si="18"/>
        <v>0</v>
      </c>
      <c r="K253" s="1096"/>
      <c r="L253" s="1097">
        <f t="shared" si="19"/>
        <v>0</v>
      </c>
      <c r="M253" s="1103"/>
      <c r="N253" s="1096"/>
      <c r="O253" s="1098"/>
      <c r="P253" s="1096"/>
      <c r="Q253" s="1107"/>
      <c r="R253" s="1104"/>
    </row>
    <row r="254" spans="1:18" s="1108" customFormat="1" ht="25.5" customHeight="1">
      <c r="A254" s="1090"/>
      <c r="B254" s="933" t="s">
        <v>3815</v>
      </c>
      <c r="C254" s="1106" t="e">
        <f>ROUND(#REF!,2)</f>
        <v>#REF!</v>
      </c>
      <c r="D254" s="943" t="s">
        <v>3798</v>
      </c>
      <c r="E254" s="1103"/>
      <c r="F254" s="1097" t="e">
        <f t="shared" si="16"/>
        <v>#REF!</v>
      </c>
      <c r="G254" s="1103"/>
      <c r="H254" s="1097" t="e">
        <f t="shared" si="17"/>
        <v>#REF!</v>
      </c>
      <c r="I254" s="1103"/>
      <c r="J254" s="1097" t="e">
        <f t="shared" si="18"/>
        <v>#REF!</v>
      </c>
      <c r="K254" s="1096"/>
      <c r="L254" s="1097" t="e">
        <f t="shared" si="19"/>
        <v>#REF!</v>
      </c>
      <c r="M254" s="1103"/>
      <c r="N254" s="1096"/>
      <c r="O254" s="1098"/>
      <c r="P254" s="1096"/>
      <c r="Q254" s="1107"/>
      <c r="R254" s="1104"/>
    </row>
    <row r="255" spans="1:18" s="1108" customFormat="1" ht="25.5" customHeight="1">
      <c r="A255" s="1090"/>
      <c r="B255" s="933" t="s">
        <v>3816</v>
      </c>
      <c r="C255" s="1106" t="e">
        <f>ROUND(#REF!,2)</f>
        <v>#REF!</v>
      </c>
      <c r="D255" s="943" t="s">
        <v>3798</v>
      </c>
      <c r="E255" s="1103"/>
      <c r="F255" s="1097" t="e">
        <f t="shared" si="16"/>
        <v>#REF!</v>
      </c>
      <c r="G255" s="1103"/>
      <c r="H255" s="1097" t="e">
        <f t="shared" si="17"/>
        <v>#REF!</v>
      </c>
      <c r="I255" s="1103"/>
      <c r="J255" s="1097" t="e">
        <f t="shared" si="18"/>
        <v>#REF!</v>
      </c>
      <c r="K255" s="1096"/>
      <c r="L255" s="1097" t="e">
        <f t="shared" si="19"/>
        <v>#REF!</v>
      </c>
      <c r="M255" s="1103"/>
      <c r="N255" s="1096"/>
      <c r="O255" s="1098"/>
      <c r="P255" s="1096"/>
      <c r="Q255" s="1107"/>
      <c r="R255" s="1104"/>
    </row>
    <row r="256" spans="1:18" s="1108" customFormat="1" ht="25.5" customHeight="1">
      <c r="A256" s="1090"/>
      <c r="B256" s="933" t="s">
        <v>3817</v>
      </c>
      <c r="C256" s="1106" t="e">
        <f>ROUND(#REF!,2)</f>
        <v>#REF!</v>
      </c>
      <c r="D256" s="943" t="s">
        <v>3798</v>
      </c>
      <c r="E256" s="1103"/>
      <c r="F256" s="1097" t="e">
        <f t="shared" si="16"/>
        <v>#REF!</v>
      </c>
      <c r="G256" s="1103"/>
      <c r="H256" s="1097" t="e">
        <f t="shared" si="17"/>
        <v>#REF!</v>
      </c>
      <c r="I256" s="1103"/>
      <c r="J256" s="1097" t="e">
        <f t="shared" si="18"/>
        <v>#REF!</v>
      </c>
      <c r="K256" s="1096"/>
      <c r="L256" s="1097" t="e">
        <f t="shared" si="19"/>
        <v>#REF!</v>
      </c>
      <c r="M256" s="1103"/>
      <c r="N256" s="1096"/>
      <c r="O256" s="1098"/>
      <c r="P256" s="1096"/>
      <c r="Q256" s="1107"/>
      <c r="R256" s="1104"/>
    </row>
    <row r="257" spans="1:18" s="1108" customFormat="1" ht="25.5" customHeight="1">
      <c r="A257" s="1090"/>
      <c r="B257" s="933" t="s">
        <v>3818</v>
      </c>
      <c r="C257" s="1106" t="e">
        <f>ROUND(#REF!,2)</f>
        <v>#REF!</v>
      </c>
      <c r="D257" s="943" t="s">
        <v>3798</v>
      </c>
      <c r="E257" s="1103"/>
      <c r="F257" s="1097" t="e">
        <f t="shared" si="16"/>
        <v>#REF!</v>
      </c>
      <c r="G257" s="1103"/>
      <c r="H257" s="1097" t="e">
        <f t="shared" si="17"/>
        <v>#REF!</v>
      </c>
      <c r="I257" s="1103"/>
      <c r="J257" s="1097" t="e">
        <f t="shared" si="18"/>
        <v>#REF!</v>
      </c>
      <c r="K257" s="1096"/>
      <c r="L257" s="1097" t="e">
        <f t="shared" si="19"/>
        <v>#REF!</v>
      </c>
      <c r="M257" s="1103"/>
      <c r="N257" s="1096"/>
      <c r="O257" s="1098"/>
      <c r="P257" s="1096"/>
      <c r="Q257" s="1107"/>
      <c r="R257" s="1104"/>
    </row>
    <row r="258" spans="1:18" s="1108" customFormat="1" ht="25.5" customHeight="1">
      <c r="A258" s="1131"/>
      <c r="B258" s="933" t="s">
        <v>3819</v>
      </c>
      <c r="C258" s="1106" t="e">
        <f>ROUND(#REF!,2)</f>
        <v>#REF!</v>
      </c>
      <c r="D258" s="943" t="s">
        <v>3798</v>
      </c>
      <c r="E258" s="1103"/>
      <c r="F258" s="1097" t="e">
        <f t="shared" si="16"/>
        <v>#REF!</v>
      </c>
      <c r="G258" s="1103"/>
      <c r="H258" s="1097" t="e">
        <f t="shared" si="17"/>
        <v>#REF!</v>
      </c>
      <c r="I258" s="1103"/>
      <c r="J258" s="1097" t="e">
        <f t="shared" si="18"/>
        <v>#REF!</v>
      </c>
      <c r="K258" s="1096"/>
      <c r="L258" s="1097" t="e">
        <f t="shared" si="19"/>
        <v>#REF!</v>
      </c>
      <c r="M258" s="1103"/>
      <c r="N258" s="1096"/>
      <c r="O258" s="1098"/>
      <c r="P258" s="1096"/>
      <c r="Q258" s="1107"/>
      <c r="R258" s="1104"/>
    </row>
    <row r="259" spans="1:18" s="1108" customFormat="1" ht="25.5" customHeight="1">
      <c r="A259" s="1090">
        <v>15.2</v>
      </c>
      <c r="B259" s="1262" t="s">
        <v>3872</v>
      </c>
      <c r="C259" s="1106"/>
      <c r="D259" s="943"/>
      <c r="E259" s="1103"/>
      <c r="F259" s="1097">
        <f t="shared" si="16"/>
        <v>0</v>
      </c>
      <c r="G259" s="1103"/>
      <c r="H259" s="1097">
        <f t="shared" si="17"/>
        <v>0</v>
      </c>
      <c r="I259" s="1103"/>
      <c r="J259" s="1097">
        <f t="shared" si="18"/>
        <v>0</v>
      </c>
      <c r="K259" s="1096"/>
      <c r="L259" s="1097">
        <f t="shared" si="19"/>
        <v>0</v>
      </c>
      <c r="M259" s="1103"/>
      <c r="N259" s="1096"/>
      <c r="O259" s="1098"/>
      <c r="P259" s="1096"/>
      <c r="Q259" s="1107"/>
      <c r="R259" s="1104"/>
    </row>
    <row r="260" spans="1:18" s="1108" customFormat="1" ht="25.5" customHeight="1">
      <c r="A260" s="940"/>
      <c r="B260" s="933" t="s">
        <v>3815</v>
      </c>
      <c r="C260" s="1106" t="e">
        <f>ROUND(#REF!,2)</f>
        <v>#REF!</v>
      </c>
      <c r="D260" s="943" t="s">
        <v>3798</v>
      </c>
      <c r="E260" s="1103"/>
      <c r="F260" s="1097" t="e">
        <f t="shared" si="16"/>
        <v>#REF!</v>
      </c>
      <c r="G260" s="1103"/>
      <c r="H260" s="1097" t="e">
        <f t="shared" si="17"/>
        <v>#REF!</v>
      </c>
      <c r="I260" s="1103"/>
      <c r="J260" s="1097" t="e">
        <f t="shared" si="18"/>
        <v>#REF!</v>
      </c>
      <c r="K260" s="1096"/>
      <c r="L260" s="1097" t="e">
        <f t="shared" si="19"/>
        <v>#REF!</v>
      </c>
      <c r="M260" s="1103"/>
      <c r="N260" s="1096"/>
      <c r="O260" s="1098"/>
      <c r="P260" s="1096"/>
      <c r="Q260" s="1107"/>
      <c r="R260" s="1104"/>
    </row>
    <row r="261" spans="1:18" s="1108" customFormat="1" ht="25.5" customHeight="1">
      <c r="A261" s="940"/>
      <c r="B261" s="933" t="s">
        <v>3816</v>
      </c>
      <c r="C261" s="1106" t="e">
        <f>ROUND(#REF!,2)</f>
        <v>#REF!</v>
      </c>
      <c r="D261" s="943" t="s">
        <v>3798</v>
      </c>
      <c r="E261" s="1103"/>
      <c r="F261" s="1097" t="e">
        <f t="shared" si="16"/>
        <v>#REF!</v>
      </c>
      <c r="G261" s="1103"/>
      <c r="H261" s="1097" t="e">
        <f t="shared" si="17"/>
        <v>#REF!</v>
      </c>
      <c r="I261" s="1103"/>
      <c r="J261" s="1097" t="e">
        <f t="shared" si="18"/>
        <v>#REF!</v>
      </c>
      <c r="K261" s="1096"/>
      <c r="L261" s="1097" t="e">
        <f t="shared" si="19"/>
        <v>#REF!</v>
      </c>
      <c r="M261" s="1103"/>
      <c r="N261" s="1096"/>
      <c r="O261" s="1098"/>
      <c r="P261" s="1096"/>
      <c r="Q261" s="1107"/>
      <c r="R261" s="1104"/>
    </row>
    <row r="262" spans="1:18" s="1108" customFormat="1" ht="25.5" customHeight="1">
      <c r="A262" s="940"/>
      <c r="B262" s="933" t="s">
        <v>3817</v>
      </c>
      <c r="C262" s="1106" t="e">
        <f>ROUND(#REF!,2)</f>
        <v>#REF!</v>
      </c>
      <c r="D262" s="943" t="s">
        <v>3798</v>
      </c>
      <c r="E262" s="1103"/>
      <c r="F262" s="1097" t="e">
        <f t="shared" si="16"/>
        <v>#REF!</v>
      </c>
      <c r="G262" s="1103"/>
      <c r="H262" s="1097" t="e">
        <f t="shared" si="17"/>
        <v>#REF!</v>
      </c>
      <c r="I262" s="1103"/>
      <c r="J262" s="1097" t="e">
        <f t="shared" si="18"/>
        <v>#REF!</v>
      </c>
      <c r="K262" s="1096"/>
      <c r="L262" s="1097" t="e">
        <f t="shared" si="19"/>
        <v>#REF!</v>
      </c>
      <c r="M262" s="1103"/>
      <c r="N262" s="1096"/>
      <c r="O262" s="1098"/>
      <c r="P262" s="1096"/>
      <c r="Q262" s="1107"/>
      <c r="R262" s="1104"/>
    </row>
    <row r="263" spans="1:18" s="1108" customFormat="1" ht="25.5" customHeight="1">
      <c r="A263" s="940"/>
      <c r="B263" s="933" t="s">
        <v>3818</v>
      </c>
      <c r="C263" s="1106" t="e">
        <f>ROUND(#REF!,2)</f>
        <v>#REF!</v>
      </c>
      <c r="D263" s="943" t="s">
        <v>3798</v>
      </c>
      <c r="E263" s="1103"/>
      <c r="F263" s="1097" t="e">
        <f t="shared" si="16"/>
        <v>#REF!</v>
      </c>
      <c r="G263" s="1103"/>
      <c r="H263" s="1097" t="e">
        <f t="shared" si="17"/>
        <v>#REF!</v>
      </c>
      <c r="I263" s="1103"/>
      <c r="J263" s="1097" t="e">
        <f t="shared" si="18"/>
        <v>#REF!</v>
      </c>
      <c r="K263" s="1096"/>
      <c r="L263" s="1097" t="e">
        <f t="shared" si="19"/>
        <v>#REF!</v>
      </c>
      <c r="M263" s="1103"/>
      <c r="N263" s="1096"/>
      <c r="O263" s="1098"/>
      <c r="P263" s="1096"/>
      <c r="Q263" s="1107"/>
      <c r="R263" s="1104"/>
    </row>
    <row r="264" spans="1:18" s="1108" customFormat="1" ht="25.5" customHeight="1">
      <c r="A264" s="1138"/>
      <c r="B264" s="933" t="s">
        <v>3819</v>
      </c>
      <c r="C264" s="1106" t="e">
        <f>ROUND(#REF!,2)</f>
        <v>#REF!</v>
      </c>
      <c r="D264" s="943" t="s">
        <v>3798</v>
      </c>
      <c r="E264" s="1103"/>
      <c r="F264" s="1097" t="e">
        <f t="shared" si="16"/>
        <v>#REF!</v>
      </c>
      <c r="G264" s="1103"/>
      <c r="H264" s="1097" t="e">
        <f t="shared" si="17"/>
        <v>#REF!</v>
      </c>
      <c r="I264" s="1103"/>
      <c r="J264" s="1097" t="e">
        <f t="shared" si="18"/>
        <v>#REF!</v>
      </c>
      <c r="K264" s="1096"/>
      <c r="L264" s="1097" t="e">
        <f t="shared" si="19"/>
        <v>#REF!</v>
      </c>
      <c r="M264" s="1103"/>
      <c r="N264" s="1096"/>
      <c r="O264" s="1098"/>
      <c r="P264" s="1096"/>
      <c r="Q264" s="1107"/>
      <c r="R264" s="1104"/>
    </row>
    <row r="265" spans="1:18" s="1126" customFormat="1" ht="50.25" customHeight="1">
      <c r="A265" s="1090">
        <v>16.100000000000001</v>
      </c>
      <c r="B265" s="933" t="s">
        <v>3873</v>
      </c>
      <c r="C265" s="1106"/>
      <c r="D265" s="943"/>
      <c r="E265" s="1103"/>
      <c r="F265" s="1097">
        <f t="shared" ref="F265:F328" si="20">C265*E265</f>
        <v>0</v>
      </c>
      <c r="G265" s="1103"/>
      <c r="H265" s="1097">
        <f t="shared" ref="H265:H328" si="21">C265*G265</f>
        <v>0</v>
      </c>
      <c r="I265" s="1103"/>
      <c r="J265" s="1097">
        <f t="shared" si="18"/>
        <v>0</v>
      </c>
      <c r="K265" s="1096"/>
      <c r="L265" s="1097">
        <f t="shared" si="19"/>
        <v>0</v>
      </c>
      <c r="M265" s="1103"/>
      <c r="N265" s="1096"/>
      <c r="O265" s="1098"/>
      <c r="P265" s="1096"/>
      <c r="Q265" s="1125"/>
      <c r="R265" s="1104"/>
    </row>
    <row r="266" spans="1:18" s="1126" customFormat="1" ht="50.25" customHeight="1">
      <c r="A266" s="1090"/>
      <c r="B266" s="933" t="s">
        <v>2683</v>
      </c>
      <c r="C266" s="1106" t="e">
        <f>#REF!</f>
        <v>#REF!</v>
      </c>
      <c r="D266" s="943" t="s">
        <v>3798</v>
      </c>
      <c r="E266" s="1103"/>
      <c r="F266" s="1097" t="e">
        <f t="shared" si="20"/>
        <v>#REF!</v>
      </c>
      <c r="G266" s="1103"/>
      <c r="H266" s="1097" t="e">
        <f t="shared" si="21"/>
        <v>#REF!</v>
      </c>
      <c r="I266" s="1103"/>
      <c r="J266" s="1097" t="e">
        <f t="shared" si="18"/>
        <v>#REF!</v>
      </c>
      <c r="K266" s="1096"/>
      <c r="L266" s="1097" t="e">
        <f t="shared" si="19"/>
        <v>#REF!</v>
      </c>
      <c r="M266" s="1103"/>
      <c r="N266" s="1096"/>
      <c r="O266" s="1098"/>
      <c r="P266" s="1096"/>
      <c r="Q266" s="1125"/>
      <c r="R266" s="1104"/>
    </row>
    <row r="267" spans="1:18" s="1126" customFormat="1" ht="50.25" customHeight="1">
      <c r="A267" s="1090"/>
      <c r="B267" s="933" t="s">
        <v>3816</v>
      </c>
      <c r="C267" s="1106" t="e">
        <f>ROUND(#REF!,2)</f>
        <v>#REF!</v>
      </c>
      <c r="D267" s="943" t="s">
        <v>3798</v>
      </c>
      <c r="E267" s="1103"/>
      <c r="F267" s="1097" t="e">
        <f t="shared" si="20"/>
        <v>#REF!</v>
      </c>
      <c r="G267" s="1103"/>
      <c r="H267" s="1097" t="e">
        <f t="shared" si="21"/>
        <v>#REF!</v>
      </c>
      <c r="I267" s="1103"/>
      <c r="J267" s="1097" t="e">
        <f t="shared" si="18"/>
        <v>#REF!</v>
      </c>
      <c r="K267" s="1096"/>
      <c r="L267" s="1097" t="e">
        <f t="shared" si="19"/>
        <v>#REF!</v>
      </c>
      <c r="M267" s="1103"/>
      <c r="N267" s="1096"/>
      <c r="O267" s="1098"/>
      <c r="P267" s="1096"/>
      <c r="Q267" s="1125"/>
      <c r="R267" s="1104"/>
    </row>
    <row r="268" spans="1:18" s="1126" customFormat="1" ht="50.25" customHeight="1">
      <c r="A268" s="1090"/>
      <c r="B268" s="933" t="s">
        <v>3817</v>
      </c>
      <c r="C268" s="1106" t="e">
        <f>ROUND(#REF!,2)</f>
        <v>#REF!</v>
      </c>
      <c r="D268" s="943" t="s">
        <v>3798</v>
      </c>
      <c r="E268" s="1103"/>
      <c r="F268" s="1097" t="e">
        <f t="shared" si="20"/>
        <v>#REF!</v>
      </c>
      <c r="G268" s="1103"/>
      <c r="H268" s="1097" t="e">
        <f t="shared" si="21"/>
        <v>#REF!</v>
      </c>
      <c r="I268" s="1103"/>
      <c r="J268" s="1097" t="e">
        <f t="shared" si="18"/>
        <v>#REF!</v>
      </c>
      <c r="K268" s="1096"/>
      <c r="L268" s="1097" t="e">
        <f t="shared" si="19"/>
        <v>#REF!</v>
      </c>
      <c r="M268" s="1103"/>
      <c r="N268" s="1096"/>
      <c r="O268" s="1098"/>
      <c r="P268" s="1096"/>
      <c r="Q268" s="1125"/>
      <c r="R268" s="1104"/>
    </row>
    <row r="269" spans="1:18" s="1126" customFormat="1" ht="50.25" customHeight="1">
      <c r="A269" s="1090"/>
      <c r="B269" s="933" t="s">
        <v>3818</v>
      </c>
      <c r="C269" s="1106" t="e">
        <f>ROUND(#REF!,2)</f>
        <v>#REF!</v>
      </c>
      <c r="D269" s="943" t="s">
        <v>3798</v>
      </c>
      <c r="E269" s="1103"/>
      <c r="F269" s="1097" t="e">
        <f t="shared" si="20"/>
        <v>#REF!</v>
      </c>
      <c r="G269" s="1103"/>
      <c r="H269" s="1097" t="e">
        <f t="shared" si="21"/>
        <v>#REF!</v>
      </c>
      <c r="I269" s="1103"/>
      <c r="J269" s="1097" t="e">
        <f t="shared" si="18"/>
        <v>#REF!</v>
      </c>
      <c r="K269" s="1096"/>
      <c r="L269" s="1097" t="e">
        <f t="shared" si="19"/>
        <v>#REF!</v>
      </c>
      <c r="M269" s="1103"/>
      <c r="N269" s="1096"/>
      <c r="O269" s="1098"/>
      <c r="P269" s="1096"/>
      <c r="Q269" s="1125"/>
      <c r="R269" s="1104"/>
    </row>
    <row r="270" spans="1:18" s="1126" customFormat="1" ht="50.25" customHeight="1">
      <c r="A270" s="1130"/>
      <c r="B270" s="933" t="s">
        <v>3819</v>
      </c>
      <c r="C270" s="1106" t="e">
        <f>ROUND(#REF!,2)</f>
        <v>#REF!</v>
      </c>
      <c r="D270" s="943" t="s">
        <v>3798</v>
      </c>
      <c r="E270" s="1103"/>
      <c r="F270" s="1097" t="e">
        <f t="shared" si="20"/>
        <v>#REF!</v>
      </c>
      <c r="G270" s="1103"/>
      <c r="H270" s="1097" t="e">
        <f t="shared" si="21"/>
        <v>#REF!</v>
      </c>
      <c r="I270" s="1103"/>
      <c r="J270" s="1097" t="e">
        <f t="shared" si="18"/>
        <v>#REF!</v>
      </c>
      <c r="K270" s="1096"/>
      <c r="L270" s="1097" t="e">
        <f t="shared" si="19"/>
        <v>#REF!</v>
      </c>
      <c r="M270" s="1103"/>
      <c r="N270" s="1096"/>
      <c r="O270" s="1098"/>
      <c r="P270" s="1096"/>
      <c r="Q270" s="1125"/>
      <c r="R270" s="1104"/>
    </row>
    <row r="271" spans="1:18" s="1108" customFormat="1" ht="46.5" customHeight="1">
      <c r="A271" s="1090">
        <v>16.2</v>
      </c>
      <c r="B271" s="933" t="s">
        <v>3874</v>
      </c>
      <c r="C271" s="1106"/>
      <c r="D271" s="943"/>
      <c r="E271" s="1103"/>
      <c r="F271" s="1097">
        <f t="shared" si="20"/>
        <v>0</v>
      </c>
      <c r="G271" s="1103"/>
      <c r="H271" s="1097">
        <f t="shared" si="21"/>
        <v>0</v>
      </c>
      <c r="I271" s="1103"/>
      <c r="J271" s="1097">
        <f t="shared" si="18"/>
        <v>0</v>
      </c>
      <c r="K271" s="1096"/>
      <c r="L271" s="1097">
        <f t="shared" si="19"/>
        <v>0</v>
      </c>
      <c r="M271" s="1103"/>
      <c r="N271" s="1096"/>
      <c r="O271" s="1098"/>
      <c r="P271" s="1096"/>
      <c r="Q271" s="1107"/>
      <c r="R271" s="1104"/>
    </row>
    <row r="272" spans="1:18" s="1108" customFormat="1" ht="25.5" customHeight="1">
      <c r="A272" s="940"/>
      <c r="B272" s="933" t="s">
        <v>2683</v>
      </c>
      <c r="C272" s="1106" t="e">
        <f>ROUND(#REF!,2)</f>
        <v>#REF!</v>
      </c>
      <c r="D272" s="943" t="s">
        <v>3798</v>
      </c>
      <c r="E272" s="1103"/>
      <c r="F272" s="1097" t="e">
        <f t="shared" si="20"/>
        <v>#REF!</v>
      </c>
      <c r="G272" s="1103"/>
      <c r="H272" s="1097" t="e">
        <f t="shared" si="21"/>
        <v>#REF!</v>
      </c>
      <c r="I272" s="1103"/>
      <c r="J272" s="1097" t="e">
        <f t="shared" si="18"/>
        <v>#REF!</v>
      </c>
      <c r="K272" s="1096"/>
      <c r="L272" s="1097" t="e">
        <f t="shared" si="19"/>
        <v>#REF!</v>
      </c>
      <c r="M272" s="1103"/>
      <c r="N272" s="1096"/>
      <c r="O272" s="1098"/>
      <c r="P272" s="1096"/>
      <c r="Q272" s="1107"/>
      <c r="R272" s="1104"/>
    </row>
    <row r="273" spans="1:18" s="1108" customFormat="1" ht="25.5" customHeight="1">
      <c r="A273" s="940"/>
      <c r="B273" s="933" t="s">
        <v>2689</v>
      </c>
      <c r="C273" s="1106" t="e">
        <f>ROUND(#REF!,2)</f>
        <v>#REF!</v>
      </c>
      <c r="D273" s="943" t="s">
        <v>3798</v>
      </c>
      <c r="E273" s="1103"/>
      <c r="F273" s="1097" t="e">
        <f t="shared" si="20"/>
        <v>#REF!</v>
      </c>
      <c r="G273" s="1103"/>
      <c r="H273" s="1097" t="e">
        <f t="shared" si="21"/>
        <v>#REF!</v>
      </c>
      <c r="I273" s="1103"/>
      <c r="J273" s="1097" t="e">
        <f t="shared" si="18"/>
        <v>#REF!</v>
      </c>
      <c r="K273" s="1096"/>
      <c r="L273" s="1097" t="e">
        <f t="shared" si="19"/>
        <v>#REF!</v>
      </c>
      <c r="M273" s="1103"/>
      <c r="N273" s="1096"/>
      <c r="O273" s="1098"/>
      <c r="P273" s="1096"/>
      <c r="Q273" s="1107"/>
      <c r="R273" s="1104"/>
    </row>
    <row r="274" spans="1:18" s="1108" customFormat="1" ht="25.5" customHeight="1">
      <c r="A274" s="940"/>
      <c r="B274" s="933" t="s">
        <v>3830</v>
      </c>
      <c r="C274" s="1106" t="e">
        <f>ROUND(#REF!,2)</f>
        <v>#REF!</v>
      </c>
      <c r="D274" s="943" t="s">
        <v>3798</v>
      </c>
      <c r="E274" s="1103"/>
      <c r="F274" s="1097" t="e">
        <f t="shared" si="20"/>
        <v>#REF!</v>
      </c>
      <c r="G274" s="1103"/>
      <c r="H274" s="1097" t="e">
        <f t="shared" si="21"/>
        <v>#REF!</v>
      </c>
      <c r="I274" s="1103"/>
      <c r="J274" s="1097" t="e">
        <f t="shared" si="18"/>
        <v>#REF!</v>
      </c>
      <c r="K274" s="1096"/>
      <c r="L274" s="1097" t="e">
        <f t="shared" si="19"/>
        <v>#REF!</v>
      </c>
      <c r="M274" s="1103"/>
      <c r="N274" s="1096"/>
      <c r="O274" s="1098"/>
      <c r="P274" s="1096"/>
      <c r="Q274" s="1107"/>
      <c r="R274" s="1104"/>
    </row>
    <row r="275" spans="1:18" s="1108" customFormat="1" ht="25.5" customHeight="1">
      <c r="A275" s="940"/>
      <c r="B275" s="933" t="s">
        <v>3831</v>
      </c>
      <c r="C275" s="1106" t="e">
        <f>ROUND(#REF!,2)</f>
        <v>#REF!</v>
      </c>
      <c r="D275" s="943" t="s">
        <v>3798</v>
      </c>
      <c r="E275" s="1103"/>
      <c r="F275" s="1097" t="e">
        <f t="shared" si="20"/>
        <v>#REF!</v>
      </c>
      <c r="G275" s="1103"/>
      <c r="H275" s="1097" t="e">
        <f t="shared" si="21"/>
        <v>#REF!</v>
      </c>
      <c r="I275" s="1103"/>
      <c r="J275" s="1097" t="e">
        <f t="shared" si="18"/>
        <v>#REF!</v>
      </c>
      <c r="K275" s="1096"/>
      <c r="L275" s="1097" t="e">
        <f t="shared" si="19"/>
        <v>#REF!</v>
      </c>
      <c r="M275" s="1103"/>
      <c r="N275" s="1096"/>
      <c r="O275" s="1098"/>
      <c r="P275" s="1096"/>
      <c r="Q275" s="1107"/>
      <c r="R275" s="1104"/>
    </row>
    <row r="276" spans="1:18" s="1108" customFormat="1" ht="25.5" customHeight="1">
      <c r="A276" s="1138"/>
      <c r="B276" s="933" t="s">
        <v>3832</v>
      </c>
      <c r="C276" s="1106" t="e">
        <f>ROUND(#REF!,2)</f>
        <v>#REF!</v>
      </c>
      <c r="D276" s="943" t="s">
        <v>3798</v>
      </c>
      <c r="E276" s="1103"/>
      <c r="F276" s="1097" t="e">
        <f t="shared" si="20"/>
        <v>#REF!</v>
      </c>
      <c r="G276" s="1103"/>
      <c r="H276" s="1097" t="e">
        <f t="shared" si="21"/>
        <v>#REF!</v>
      </c>
      <c r="I276" s="1103"/>
      <c r="J276" s="1097" t="e">
        <f t="shared" si="18"/>
        <v>#REF!</v>
      </c>
      <c r="K276" s="1096"/>
      <c r="L276" s="1097" t="e">
        <f t="shared" si="19"/>
        <v>#REF!</v>
      </c>
      <c r="M276" s="1103"/>
      <c r="N276" s="1096"/>
      <c r="O276" s="1098"/>
      <c r="P276" s="1096"/>
      <c r="Q276" s="1107"/>
      <c r="R276" s="1104"/>
    </row>
    <row r="277" spans="1:18" s="1108" customFormat="1" ht="46.5" customHeight="1">
      <c r="A277" s="1090">
        <v>16.3</v>
      </c>
      <c r="B277" s="933" t="s">
        <v>3875</v>
      </c>
      <c r="C277" s="1106"/>
      <c r="D277" s="943"/>
      <c r="E277" s="1103"/>
      <c r="F277" s="1097">
        <f t="shared" si="20"/>
        <v>0</v>
      </c>
      <c r="G277" s="1103"/>
      <c r="H277" s="1097">
        <f t="shared" si="21"/>
        <v>0</v>
      </c>
      <c r="I277" s="1103"/>
      <c r="J277" s="1097">
        <f t="shared" si="18"/>
        <v>0</v>
      </c>
      <c r="K277" s="1096"/>
      <c r="L277" s="1097">
        <f t="shared" si="19"/>
        <v>0</v>
      </c>
      <c r="M277" s="1103"/>
      <c r="N277" s="1096"/>
      <c r="O277" s="1098"/>
      <c r="P277" s="1096"/>
      <c r="Q277" s="1107"/>
      <c r="R277" s="1104"/>
    </row>
    <row r="278" spans="1:18" s="1108" customFormat="1" ht="25.5" customHeight="1">
      <c r="A278" s="1090"/>
      <c r="B278" s="933" t="s">
        <v>2683</v>
      </c>
      <c r="C278" s="1106" t="e">
        <f>ROUND(#REF!,2)</f>
        <v>#REF!</v>
      </c>
      <c r="D278" s="943" t="s">
        <v>3798</v>
      </c>
      <c r="E278" s="1103"/>
      <c r="F278" s="1097" t="e">
        <f t="shared" si="20"/>
        <v>#REF!</v>
      </c>
      <c r="G278" s="1103"/>
      <c r="H278" s="1097" t="e">
        <f t="shared" si="21"/>
        <v>#REF!</v>
      </c>
      <c r="I278" s="1103"/>
      <c r="J278" s="1097" t="e">
        <f t="shared" si="18"/>
        <v>#REF!</v>
      </c>
      <c r="K278" s="1096"/>
      <c r="L278" s="1097" t="e">
        <f t="shared" si="19"/>
        <v>#REF!</v>
      </c>
      <c r="M278" s="1103"/>
      <c r="N278" s="1096"/>
      <c r="O278" s="1098"/>
      <c r="P278" s="1096"/>
      <c r="Q278" s="1107"/>
      <c r="R278" s="1104"/>
    </row>
    <row r="279" spans="1:18" s="1108" customFormat="1" ht="25.5" customHeight="1">
      <c r="A279" s="1090"/>
      <c r="B279" s="933" t="s">
        <v>2689</v>
      </c>
      <c r="C279" s="1106" t="e">
        <f>ROUND(#REF!,2)</f>
        <v>#REF!</v>
      </c>
      <c r="D279" s="943" t="s">
        <v>3798</v>
      </c>
      <c r="E279" s="1103"/>
      <c r="F279" s="1097" t="e">
        <f t="shared" si="20"/>
        <v>#REF!</v>
      </c>
      <c r="G279" s="1103"/>
      <c r="H279" s="1097" t="e">
        <f t="shared" si="21"/>
        <v>#REF!</v>
      </c>
      <c r="I279" s="1103"/>
      <c r="J279" s="1097" t="e">
        <f t="shared" si="18"/>
        <v>#REF!</v>
      </c>
      <c r="K279" s="1096"/>
      <c r="L279" s="1097" t="e">
        <f t="shared" si="19"/>
        <v>#REF!</v>
      </c>
      <c r="M279" s="1103"/>
      <c r="N279" s="1096"/>
      <c r="O279" s="1098"/>
      <c r="P279" s="1096"/>
      <c r="Q279" s="1107"/>
      <c r="R279" s="1104"/>
    </row>
    <row r="280" spans="1:18" s="1108" customFormat="1" ht="25.5" customHeight="1">
      <c r="A280" s="1090"/>
      <c r="B280" s="933" t="s">
        <v>3830</v>
      </c>
      <c r="C280" s="1106" t="e">
        <f>ROUND(#REF!,2)</f>
        <v>#REF!</v>
      </c>
      <c r="D280" s="943" t="s">
        <v>3798</v>
      </c>
      <c r="E280" s="1103"/>
      <c r="F280" s="1097" t="e">
        <f t="shared" si="20"/>
        <v>#REF!</v>
      </c>
      <c r="G280" s="1103"/>
      <c r="H280" s="1097" t="e">
        <f t="shared" si="21"/>
        <v>#REF!</v>
      </c>
      <c r="I280" s="1103"/>
      <c r="J280" s="1097" t="e">
        <f t="shared" si="18"/>
        <v>#REF!</v>
      </c>
      <c r="K280" s="1096"/>
      <c r="L280" s="1097" t="e">
        <f t="shared" si="19"/>
        <v>#REF!</v>
      </c>
      <c r="M280" s="1103"/>
      <c r="N280" s="1096"/>
      <c r="O280" s="1098"/>
      <c r="P280" s="1096"/>
      <c r="Q280" s="1107"/>
      <c r="R280" s="1104"/>
    </row>
    <row r="281" spans="1:18" s="1108" customFormat="1" ht="25.5" customHeight="1">
      <c r="A281" s="940"/>
      <c r="B281" s="933" t="s">
        <v>3831</v>
      </c>
      <c r="C281" s="1106" t="e">
        <f>ROUND(#REF!,2)</f>
        <v>#REF!</v>
      </c>
      <c r="D281" s="943" t="s">
        <v>3798</v>
      </c>
      <c r="E281" s="1103"/>
      <c r="F281" s="1097" t="e">
        <f t="shared" si="20"/>
        <v>#REF!</v>
      </c>
      <c r="G281" s="1103"/>
      <c r="H281" s="1097" t="e">
        <f t="shared" si="21"/>
        <v>#REF!</v>
      </c>
      <c r="I281" s="1103"/>
      <c r="J281" s="1097" t="e">
        <f t="shared" si="18"/>
        <v>#REF!</v>
      </c>
      <c r="K281" s="1096"/>
      <c r="L281" s="1097" t="e">
        <f t="shared" si="19"/>
        <v>#REF!</v>
      </c>
      <c r="M281" s="1103"/>
      <c r="N281" s="1096"/>
      <c r="O281" s="1098"/>
      <c r="P281" s="1096"/>
      <c r="Q281" s="1107"/>
      <c r="R281" s="1104"/>
    </row>
    <row r="282" spans="1:18" s="1108" customFormat="1" ht="25.5" customHeight="1">
      <c r="A282" s="1138"/>
      <c r="B282" s="933" t="s">
        <v>3832</v>
      </c>
      <c r="C282" s="1106" t="e">
        <f>ROUND(#REF!,2)</f>
        <v>#REF!</v>
      </c>
      <c r="D282" s="943" t="s">
        <v>3798</v>
      </c>
      <c r="E282" s="1103"/>
      <c r="F282" s="1097" t="e">
        <f t="shared" si="20"/>
        <v>#REF!</v>
      </c>
      <c r="G282" s="1103"/>
      <c r="H282" s="1097" t="e">
        <f t="shared" si="21"/>
        <v>#REF!</v>
      </c>
      <c r="I282" s="1103"/>
      <c r="J282" s="1097" t="e">
        <f t="shared" ref="J282:J345" si="22">I282*C282</f>
        <v>#REF!</v>
      </c>
      <c r="K282" s="1096"/>
      <c r="L282" s="1097" t="e">
        <f t="shared" ref="L282:L345" si="23">K282*C282</f>
        <v>#REF!</v>
      </c>
      <c r="M282" s="1103"/>
      <c r="N282" s="1096"/>
      <c r="O282" s="1098"/>
      <c r="P282" s="1096"/>
      <c r="Q282" s="1107"/>
      <c r="R282" s="1104"/>
    </row>
    <row r="283" spans="1:18" s="1108" customFormat="1" ht="25.5" customHeight="1">
      <c r="A283" s="1090">
        <v>17</v>
      </c>
      <c r="B283" s="933" t="s">
        <v>3876</v>
      </c>
      <c r="C283" s="1106"/>
      <c r="D283" s="943" t="s">
        <v>3798</v>
      </c>
      <c r="E283" s="1103"/>
      <c r="F283" s="1097">
        <f t="shared" si="20"/>
        <v>0</v>
      </c>
      <c r="G283" s="1103"/>
      <c r="H283" s="1097">
        <f t="shared" si="21"/>
        <v>0</v>
      </c>
      <c r="I283" s="1103"/>
      <c r="J283" s="1097">
        <f t="shared" si="22"/>
        <v>0</v>
      </c>
      <c r="K283" s="1096"/>
      <c r="L283" s="1097">
        <f t="shared" si="23"/>
        <v>0</v>
      </c>
      <c r="M283" s="1103"/>
      <c r="N283" s="1096"/>
      <c r="O283" s="1098"/>
      <c r="P283" s="1096"/>
      <c r="Q283" s="1107"/>
      <c r="R283" s="1104"/>
    </row>
    <row r="284" spans="1:18" s="1108" customFormat="1" ht="25.5" customHeight="1">
      <c r="A284" s="1090">
        <v>18</v>
      </c>
      <c r="B284" s="933" t="s">
        <v>3877</v>
      </c>
      <c r="C284" s="1106"/>
      <c r="D284" s="943" t="s">
        <v>3798</v>
      </c>
      <c r="E284" s="1103"/>
      <c r="F284" s="1097">
        <f t="shared" si="20"/>
        <v>0</v>
      </c>
      <c r="G284" s="1103"/>
      <c r="H284" s="1097">
        <f t="shared" si="21"/>
        <v>0</v>
      </c>
      <c r="I284" s="1103"/>
      <c r="J284" s="1097">
        <f t="shared" si="22"/>
        <v>0</v>
      </c>
      <c r="K284" s="1096"/>
      <c r="L284" s="1097">
        <f t="shared" si="23"/>
        <v>0</v>
      </c>
      <c r="M284" s="1103"/>
      <c r="N284" s="1096"/>
      <c r="O284" s="1098"/>
      <c r="P284" s="1096"/>
      <c r="Q284" s="1107"/>
      <c r="R284" s="1104"/>
    </row>
    <row r="285" spans="1:18" s="1108" customFormat="1" ht="25.5" customHeight="1">
      <c r="A285" s="1090">
        <v>19</v>
      </c>
      <c r="B285" s="933" t="s">
        <v>3878</v>
      </c>
      <c r="C285" s="1106"/>
      <c r="D285" s="943" t="s">
        <v>3798</v>
      </c>
      <c r="E285" s="1103"/>
      <c r="F285" s="1097">
        <f t="shared" si="20"/>
        <v>0</v>
      </c>
      <c r="G285" s="1103"/>
      <c r="H285" s="1097">
        <f t="shared" si="21"/>
        <v>0</v>
      </c>
      <c r="I285" s="1103"/>
      <c r="J285" s="1097">
        <f t="shared" si="22"/>
        <v>0</v>
      </c>
      <c r="K285" s="1096"/>
      <c r="L285" s="1097">
        <f t="shared" si="23"/>
        <v>0</v>
      </c>
      <c r="M285" s="1103"/>
      <c r="N285" s="1096"/>
      <c r="O285" s="1098"/>
      <c r="P285" s="1096"/>
      <c r="Q285" s="1107"/>
      <c r="R285" s="1104"/>
    </row>
    <row r="286" spans="1:18" s="1108" customFormat="1" ht="25.5" customHeight="1">
      <c r="A286" s="1090">
        <v>20</v>
      </c>
      <c r="B286" s="933" t="s">
        <v>3879</v>
      </c>
      <c r="C286" s="1106"/>
      <c r="D286" s="943" t="s">
        <v>3798</v>
      </c>
      <c r="E286" s="1103"/>
      <c r="F286" s="1097">
        <f t="shared" si="20"/>
        <v>0</v>
      </c>
      <c r="G286" s="1103"/>
      <c r="H286" s="1097">
        <f t="shared" si="21"/>
        <v>0</v>
      </c>
      <c r="I286" s="1103"/>
      <c r="J286" s="1097">
        <f t="shared" si="22"/>
        <v>0</v>
      </c>
      <c r="K286" s="1096"/>
      <c r="L286" s="1097">
        <f t="shared" si="23"/>
        <v>0</v>
      </c>
      <c r="M286" s="1103"/>
      <c r="N286" s="1096"/>
      <c r="O286" s="1098"/>
      <c r="P286" s="1096"/>
      <c r="Q286" s="1107"/>
      <c r="R286" s="1104"/>
    </row>
    <row r="287" spans="1:18" s="1108" customFormat="1" ht="25.5" customHeight="1">
      <c r="A287" s="1090">
        <v>21.1</v>
      </c>
      <c r="B287" s="1262" t="s">
        <v>3880</v>
      </c>
      <c r="C287" s="1106"/>
      <c r="D287" s="943"/>
      <c r="E287" s="1103"/>
      <c r="F287" s="1097">
        <f t="shared" si="20"/>
        <v>0</v>
      </c>
      <c r="G287" s="1103"/>
      <c r="H287" s="1097">
        <f t="shared" si="21"/>
        <v>0</v>
      </c>
      <c r="I287" s="1103"/>
      <c r="J287" s="1097">
        <f t="shared" si="22"/>
        <v>0</v>
      </c>
      <c r="K287" s="1096"/>
      <c r="L287" s="1097">
        <f t="shared" si="23"/>
        <v>0</v>
      </c>
      <c r="M287" s="1103"/>
      <c r="N287" s="1096"/>
      <c r="O287" s="1098"/>
      <c r="P287" s="1096"/>
      <c r="Q287" s="1107"/>
      <c r="R287" s="1104"/>
    </row>
    <row r="288" spans="1:18" s="1108" customFormat="1" ht="25.5" customHeight="1">
      <c r="A288" s="1090"/>
      <c r="B288" s="933" t="s">
        <v>3881</v>
      </c>
      <c r="C288" s="1106" t="e">
        <f>ROUND(#REF!,2)</f>
        <v>#REF!</v>
      </c>
      <c r="D288" s="943" t="s">
        <v>340</v>
      </c>
      <c r="E288" s="1103"/>
      <c r="F288" s="1097" t="e">
        <f t="shared" si="20"/>
        <v>#REF!</v>
      </c>
      <c r="G288" s="1103"/>
      <c r="H288" s="1097" t="e">
        <f t="shared" si="21"/>
        <v>#REF!</v>
      </c>
      <c r="I288" s="1103"/>
      <c r="J288" s="1097" t="e">
        <f t="shared" si="22"/>
        <v>#REF!</v>
      </c>
      <c r="K288" s="1096"/>
      <c r="L288" s="1097" t="e">
        <f t="shared" si="23"/>
        <v>#REF!</v>
      </c>
      <c r="M288" s="1103"/>
      <c r="N288" s="1096"/>
      <c r="O288" s="1098"/>
      <c r="P288" s="1096"/>
      <c r="Q288" s="1107"/>
      <c r="R288" s="1104"/>
    </row>
    <row r="289" spans="1:19" s="1108" customFormat="1" ht="25.5" customHeight="1">
      <c r="A289" s="1090"/>
      <c r="B289" s="933" t="s">
        <v>3882</v>
      </c>
      <c r="C289" s="1106" t="e">
        <f>ROUND(#REF!,2)</f>
        <v>#REF!</v>
      </c>
      <c r="D289" s="943" t="s">
        <v>340</v>
      </c>
      <c r="E289" s="1103"/>
      <c r="F289" s="1097" t="e">
        <f t="shared" si="20"/>
        <v>#REF!</v>
      </c>
      <c r="G289" s="1103"/>
      <c r="H289" s="1097" t="e">
        <f t="shared" si="21"/>
        <v>#REF!</v>
      </c>
      <c r="I289" s="1103"/>
      <c r="J289" s="1097" t="e">
        <f t="shared" si="22"/>
        <v>#REF!</v>
      </c>
      <c r="K289" s="1096"/>
      <c r="L289" s="1097" t="e">
        <f t="shared" si="23"/>
        <v>#REF!</v>
      </c>
      <c r="M289" s="1103"/>
      <c r="N289" s="1096"/>
      <c r="O289" s="1098"/>
      <c r="P289" s="1096"/>
      <c r="Q289" s="1107"/>
      <c r="R289" s="1104"/>
    </row>
    <row r="290" spans="1:19" s="1108" customFormat="1" ht="25.5" customHeight="1">
      <c r="A290" s="1137"/>
      <c r="B290" s="1259" t="s">
        <v>3883</v>
      </c>
      <c r="C290" s="1111" t="e">
        <f>ROUND(#REF!,2)</f>
        <v>#REF!</v>
      </c>
      <c r="D290" s="1112" t="s">
        <v>340</v>
      </c>
      <c r="E290" s="1113"/>
      <c r="F290" s="1097" t="e">
        <f t="shared" si="20"/>
        <v>#REF!</v>
      </c>
      <c r="G290" s="1113"/>
      <c r="H290" s="1097" t="e">
        <f t="shared" si="21"/>
        <v>#REF!</v>
      </c>
      <c r="I290" s="1113"/>
      <c r="J290" s="1097" t="e">
        <f t="shared" si="22"/>
        <v>#REF!</v>
      </c>
      <c r="K290" s="1114"/>
      <c r="L290" s="1097" t="e">
        <f t="shared" si="23"/>
        <v>#REF!</v>
      </c>
      <c r="M290" s="1113"/>
      <c r="N290" s="1096"/>
      <c r="O290" s="1098"/>
      <c r="P290" s="1096"/>
      <c r="Q290" s="1107"/>
      <c r="R290" s="1104"/>
    </row>
    <row r="291" spans="1:19" ht="46.5" customHeight="1">
      <c r="A291" s="1090">
        <v>21.2</v>
      </c>
      <c r="B291" s="1262" t="s">
        <v>3884</v>
      </c>
      <c r="C291" s="1092"/>
      <c r="D291" s="940"/>
      <c r="E291" s="1096"/>
      <c r="F291" s="1097">
        <f t="shared" si="20"/>
        <v>0</v>
      </c>
      <c r="G291" s="1096"/>
      <c r="H291" s="1097">
        <f t="shared" si="21"/>
        <v>0</v>
      </c>
      <c r="I291" s="1096"/>
      <c r="J291" s="1097">
        <f t="shared" si="22"/>
        <v>0</v>
      </c>
      <c r="K291" s="1096"/>
      <c r="L291" s="1097">
        <f t="shared" si="23"/>
        <v>0</v>
      </c>
      <c r="M291" s="1096"/>
      <c r="N291" s="1096"/>
      <c r="O291" s="1098"/>
      <c r="P291" s="1096"/>
      <c r="Q291" s="1122"/>
      <c r="R291" s="1099"/>
      <c r="S291" s="1123"/>
    </row>
    <row r="292" spans="1:19" ht="46.5" customHeight="1">
      <c r="A292" s="1090"/>
      <c r="B292" s="933" t="s">
        <v>3885</v>
      </c>
      <c r="C292" s="1092" t="e">
        <f>ROUND(#REF!,2)</f>
        <v>#REF!</v>
      </c>
      <c r="D292" s="940" t="s">
        <v>3770</v>
      </c>
      <c r="E292" s="1098"/>
      <c r="F292" s="1097" t="e">
        <f t="shared" si="20"/>
        <v>#REF!</v>
      </c>
      <c r="G292" s="1098"/>
      <c r="H292" s="1097" t="e">
        <f t="shared" si="21"/>
        <v>#REF!</v>
      </c>
      <c r="I292" s="1098"/>
      <c r="J292" s="1097" t="e">
        <f t="shared" si="22"/>
        <v>#REF!</v>
      </c>
      <c r="K292" s="1096"/>
      <c r="L292" s="1097" t="e">
        <f t="shared" si="23"/>
        <v>#REF!</v>
      </c>
      <c r="M292" s="1096"/>
      <c r="N292" s="1096"/>
      <c r="O292" s="1098"/>
      <c r="P292" s="1096"/>
      <c r="Q292" s="1099"/>
      <c r="R292" s="1099"/>
    </row>
    <row r="293" spans="1:19" ht="46.5" customHeight="1">
      <c r="A293" s="1130"/>
      <c r="B293" s="933" t="s">
        <v>3886</v>
      </c>
      <c r="C293" s="1092" t="e">
        <f>ROUND(#REF!,2)</f>
        <v>#REF!</v>
      </c>
      <c r="D293" s="940" t="s">
        <v>3770</v>
      </c>
      <c r="E293" s="1098"/>
      <c r="F293" s="1097" t="e">
        <f t="shared" si="20"/>
        <v>#REF!</v>
      </c>
      <c r="G293" s="1096"/>
      <c r="H293" s="1097" t="e">
        <f t="shared" si="21"/>
        <v>#REF!</v>
      </c>
      <c r="I293" s="1098"/>
      <c r="J293" s="1097" t="e">
        <f t="shared" si="22"/>
        <v>#REF!</v>
      </c>
      <c r="K293" s="1096"/>
      <c r="L293" s="1097" t="e">
        <f t="shared" si="23"/>
        <v>#REF!</v>
      </c>
      <c r="M293" s="1096"/>
      <c r="N293" s="1096"/>
      <c r="O293" s="1098"/>
      <c r="P293" s="1096"/>
      <c r="Q293" s="1099"/>
      <c r="R293" s="1099"/>
    </row>
    <row r="294" spans="1:19" s="1108" customFormat="1" ht="37.5" customHeight="1">
      <c r="A294" s="1119">
        <v>21.3</v>
      </c>
      <c r="B294" s="935" t="s">
        <v>3887</v>
      </c>
      <c r="C294" s="1120" t="e">
        <f>ROUND(#REF!,2)</f>
        <v>#REF!</v>
      </c>
      <c r="D294" s="1121" t="s">
        <v>3798</v>
      </c>
      <c r="E294" s="1103"/>
      <c r="F294" s="1097" t="e">
        <f t="shared" si="20"/>
        <v>#REF!</v>
      </c>
      <c r="G294" s="1103"/>
      <c r="H294" s="1097" t="e">
        <f t="shared" si="21"/>
        <v>#REF!</v>
      </c>
      <c r="I294" s="1103"/>
      <c r="J294" s="1097" t="e">
        <f t="shared" si="22"/>
        <v>#REF!</v>
      </c>
      <c r="K294" s="1096"/>
      <c r="L294" s="1097" t="e">
        <f t="shared" si="23"/>
        <v>#REF!</v>
      </c>
      <c r="M294" s="1103"/>
      <c r="N294" s="1096"/>
      <c r="O294" s="1098"/>
      <c r="P294" s="1096"/>
      <c r="Q294" s="1107"/>
      <c r="R294" s="1104"/>
    </row>
    <row r="295" spans="1:19" s="1108" customFormat="1" ht="25.5" customHeight="1">
      <c r="A295" s="1090">
        <v>22.1</v>
      </c>
      <c r="B295" s="933" t="s">
        <v>3888</v>
      </c>
      <c r="C295" s="1106"/>
      <c r="D295" s="943"/>
      <c r="E295" s="1103"/>
      <c r="F295" s="1097">
        <f t="shared" si="20"/>
        <v>0</v>
      </c>
      <c r="G295" s="1103"/>
      <c r="H295" s="1097">
        <f t="shared" si="21"/>
        <v>0</v>
      </c>
      <c r="I295" s="1103"/>
      <c r="J295" s="1097">
        <f t="shared" si="22"/>
        <v>0</v>
      </c>
      <c r="K295" s="1096"/>
      <c r="L295" s="1097">
        <f t="shared" si="23"/>
        <v>0</v>
      </c>
      <c r="M295" s="1103"/>
      <c r="N295" s="1096"/>
      <c r="O295" s="1098"/>
      <c r="P295" s="1096"/>
      <c r="Q295" s="1107"/>
      <c r="R295" s="1104"/>
    </row>
    <row r="296" spans="1:19" s="1108" customFormat="1" ht="25.5" customHeight="1">
      <c r="A296" s="940"/>
      <c r="B296" s="933" t="s">
        <v>3889</v>
      </c>
      <c r="C296" s="1106" t="e">
        <f>ROUND(#REF!,2)</f>
        <v>#REF!</v>
      </c>
      <c r="D296" s="943" t="s">
        <v>3798</v>
      </c>
      <c r="E296" s="1103"/>
      <c r="F296" s="1097" t="e">
        <f t="shared" si="20"/>
        <v>#REF!</v>
      </c>
      <c r="G296" s="1103"/>
      <c r="H296" s="1097" t="e">
        <f t="shared" si="21"/>
        <v>#REF!</v>
      </c>
      <c r="I296" s="1103"/>
      <c r="J296" s="1097" t="e">
        <f t="shared" si="22"/>
        <v>#REF!</v>
      </c>
      <c r="K296" s="1096"/>
      <c r="L296" s="1097" t="e">
        <f t="shared" si="23"/>
        <v>#REF!</v>
      </c>
      <c r="M296" s="1103"/>
      <c r="N296" s="1096"/>
      <c r="O296" s="1098"/>
      <c r="P296" s="1096"/>
      <c r="Q296" s="1107"/>
      <c r="R296" s="1104"/>
    </row>
    <row r="297" spans="1:19" s="1108" customFormat="1" ht="25.5" customHeight="1">
      <c r="A297" s="940"/>
      <c r="B297" s="933" t="s">
        <v>3890</v>
      </c>
      <c r="C297" s="1106" t="e">
        <f>ROUND(#REF!,2)</f>
        <v>#REF!</v>
      </c>
      <c r="D297" s="943" t="s">
        <v>3798</v>
      </c>
      <c r="E297" s="1103"/>
      <c r="F297" s="1097" t="e">
        <f t="shared" si="20"/>
        <v>#REF!</v>
      </c>
      <c r="G297" s="1103"/>
      <c r="H297" s="1097" t="e">
        <f t="shared" si="21"/>
        <v>#REF!</v>
      </c>
      <c r="I297" s="1103"/>
      <c r="J297" s="1097" t="e">
        <f t="shared" si="22"/>
        <v>#REF!</v>
      </c>
      <c r="K297" s="1096"/>
      <c r="L297" s="1097" t="e">
        <f t="shared" si="23"/>
        <v>#REF!</v>
      </c>
      <c r="M297" s="1103"/>
      <c r="N297" s="1096"/>
      <c r="O297" s="1098"/>
      <c r="P297" s="1096"/>
      <c r="Q297" s="1107"/>
      <c r="R297" s="1104"/>
    </row>
    <row r="298" spans="1:19" s="1108" customFormat="1" ht="25.5" customHeight="1">
      <c r="A298" s="1138"/>
      <c r="B298" s="933" t="s">
        <v>3891</v>
      </c>
      <c r="C298" s="1106" t="e">
        <f>ROUND(#REF!,2)</f>
        <v>#REF!</v>
      </c>
      <c r="D298" s="943" t="s">
        <v>3798</v>
      </c>
      <c r="E298" s="1103"/>
      <c r="F298" s="1097" t="e">
        <f t="shared" si="20"/>
        <v>#REF!</v>
      </c>
      <c r="G298" s="1103"/>
      <c r="H298" s="1097" t="e">
        <f t="shared" si="21"/>
        <v>#REF!</v>
      </c>
      <c r="I298" s="1103"/>
      <c r="J298" s="1097" t="e">
        <f t="shared" si="22"/>
        <v>#REF!</v>
      </c>
      <c r="K298" s="1096"/>
      <c r="L298" s="1097" t="e">
        <f t="shared" si="23"/>
        <v>#REF!</v>
      </c>
      <c r="M298" s="1103"/>
      <c r="N298" s="1096"/>
      <c r="O298" s="1098"/>
      <c r="P298" s="1096"/>
      <c r="Q298" s="1107"/>
      <c r="R298" s="1104"/>
    </row>
    <row r="299" spans="1:19" s="1108" customFormat="1" ht="25.5" customHeight="1">
      <c r="A299" s="1138"/>
      <c r="B299" s="933" t="s">
        <v>3892</v>
      </c>
      <c r="C299" s="1106" t="e">
        <f>#REF!</f>
        <v>#REF!</v>
      </c>
      <c r="D299" s="943" t="s">
        <v>3798</v>
      </c>
      <c r="E299" s="1103"/>
      <c r="F299" s="1097" t="e">
        <f t="shared" si="20"/>
        <v>#REF!</v>
      </c>
      <c r="G299" s="1103"/>
      <c r="H299" s="1097" t="e">
        <f t="shared" si="21"/>
        <v>#REF!</v>
      </c>
      <c r="I299" s="1103"/>
      <c r="J299" s="1097" t="e">
        <f t="shared" si="22"/>
        <v>#REF!</v>
      </c>
      <c r="K299" s="1096"/>
      <c r="L299" s="1097" t="e">
        <f t="shared" si="23"/>
        <v>#REF!</v>
      </c>
      <c r="M299" s="1103"/>
      <c r="N299" s="1096"/>
      <c r="O299" s="1098"/>
      <c r="P299" s="1096"/>
      <c r="Q299" s="1107"/>
      <c r="R299" s="1104"/>
    </row>
    <row r="300" spans="1:19" s="1108" customFormat="1" ht="25.5" customHeight="1">
      <c r="A300" s="1090">
        <v>22.2</v>
      </c>
      <c r="B300" s="1262" t="s">
        <v>3893</v>
      </c>
      <c r="C300" s="1106"/>
      <c r="D300" s="943"/>
      <c r="E300" s="1096">
        <f>'Ins Abs'!Q21</f>
        <v>0</v>
      </c>
      <c r="F300" s="1097">
        <f t="shared" si="20"/>
        <v>0</v>
      </c>
      <c r="G300" s="1096">
        <f>'SI Abs '!Q22</f>
        <v>0</v>
      </c>
      <c r="H300" s="1097">
        <f>'SI Abs '!R22</f>
        <v>0</v>
      </c>
      <c r="I300" s="1096">
        <f>'PC Abs'!Q21</f>
        <v>0</v>
      </c>
      <c r="J300" s="1097">
        <f>'PC Abs'!R21</f>
        <v>0</v>
      </c>
      <c r="K300" s="1096"/>
      <c r="L300" s="1097">
        <f t="shared" si="23"/>
        <v>0</v>
      </c>
      <c r="M300" s="1103"/>
      <c r="N300" s="1096"/>
      <c r="O300" s="1098"/>
      <c r="P300" s="1095"/>
      <c r="Q300" s="1107"/>
      <c r="R300" s="1104"/>
    </row>
    <row r="301" spans="1:19" s="1108" customFormat="1" ht="25.5" customHeight="1">
      <c r="A301" s="940"/>
      <c r="B301" s="933" t="s">
        <v>3894</v>
      </c>
      <c r="C301" s="1106" t="e">
        <f>ROUND(#REF!,2)</f>
        <v>#REF!</v>
      </c>
      <c r="D301" s="943" t="s">
        <v>3798</v>
      </c>
      <c r="E301" s="1096">
        <f>'Ins Abs'!Q22</f>
        <v>11.2</v>
      </c>
      <c r="F301" s="1097" t="e">
        <f t="shared" si="20"/>
        <v>#REF!</v>
      </c>
      <c r="G301" s="1096">
        <f>'SI Abs '!Q23</f>
        <v>7.6</v>
      </c>
      <c r="H301" s="1097">
        <f>'SI Abs '!R23</f>
        <v>30916.967882501049</v>
      </c>
      <c r="I301" s="1096">
        <f>'PC Abs'!Q22</f>
        <v>18</v>
      </c>
      <c r="J301" s="1097">
        <f>'PC Abs'!R22</f>
        <v>73224.39761644986</v>
      </c>
      <c r="K301" s="1096"/>
      <c r="L301" s="1097" t="e">
        <f t="shared" si="23"/>
        <v>#REF!</v>
      </c>
      <c r="M301" s="1103"/>
      <c r="N301" s="1096"/>
      <c r="O301" s="1098">
        <f t="shared" ref="O301" si="24">E301+G301+I301+K301</f>
        <v>36.799999999999997</v>
      </c>
      <c r="P301" s="1096" t="e">
        <f>O301*C301</f>
        <v>#REF!</v>
      </c>
      <c r="Q301" s="1107"/>
      <c r="R301" s="1104"/>
    </row>
    <row r="302" spans="1:19" s="1108" customFormat="1" ht="25.5" customHeight="1">
      <c r="A302" s="940"/>
      <c r="B302" s="933" t="s">
        <v>3895</v>
      </c>
      <c r="C302" s="1106"/>
      <c r="D302" s="943" t="s">
        <v>3798</v>
      </c>
      <c r="E302" s="1103"/>
      <c r="F302" s="1097">
        <f t="shared" si="20"/>
        <v>0</v>
      </c>
      <c r="G302" s="1103"/>
      <c r="H302" s="1097">
        <f t="shared" si="21"/>
        <v>0</v>
      </c>
      <c r="I302" s="1103"/>
      <c r="J302" s="1097">
        <f t="shared" si="22"/>
        <v>0</v>
      </c>
      <c r="K302" s="1096"/>
      <c r="L302" s="1097">
        <f t="shared" si="23"/>
        <v>0</v>
      </c>
      <c r="M302" s="1103"/>
      <c r="N302" s="1096"/>
      <c r="O302" s="1098"/>
      <c r="P302" s="1096"/>
      <c r="Q302" s="1107"/>
      <c r="R302" s="1104"/>
    </row>
    <row r="303" spans="1:19" s="1108" customFormat="1" ht="25.5" customHeight="1">
      <c r="A303" s="940"/>
      <c r="B303" s="933" t="s">
        <v>3896</v>
      </c>
      <c r="C303" s="1106" t="e">
        <f>ROUND(#REF!,2)</f>
        <v>#REF!</v>
      </c>
      <c r="D303" s="943" t="s">
        <v>3798</v>
      </c>
      <c r="E303" s="1103"/>
      <c r="F303" s="1097" t="e">
        <f t="shared" si="20"/>
        <v>#REF!</v>
      </c>
      <c r="G303" s="1103"/>
      <c r="H303" s="1097" t="e">
        <f t="shared" si="21"/>
        <v>#REF!</v>
      </c>
      <c r="I303" s="1103"/>
      <c r="J303" s="1097" t="e">
        <f t="shared" si="22"/>
        <v>#REF!</v>
      </c>
      <c r="K303" s="1096"/>
      <c r="L303" s="1097" t="e">
        <f t="shared" si="23"/>
        <v>#REF!</v>
      </c>
      <c r="M303" s="1103"/>
      <c r="N303" s="1096"/>
      <c r="O303" s="1098"/>
      <c r="P303" s="1096"/>
      <c r="Q303" s="1107"/>
      <c r="R303" s="1104"/>
    </row>
    <row r="304" spans="1:19" s="1108" customFormat="1" ht="25.5" customHeight="1">
      <c r="A304" s="1138"/>
      <c r="B304" s="933" t="s">
        <v>3897</v>
      </c>
      <c r="C304" s="1106" t="e">
        <f>ROUND(#REF!,2)</f>
        <v>#REF!</v>
      </c>
      <c r="D304" s="943" t="s">
        <v>3798</v>
      </c>
      <c r="E304" s="1103"/>
      <c r="F304" s="1097" t="e">
        <f t="shared" si="20"/>
        <v>#REF!</v>
      </c>
      <c r="G304" s="1103"/>
      <c r="H304" s="1097" t="e">
        <f t="shared" si="21"/>
        <v>#REF!</v>
      </c>
      <c r="I304" s="1103"/>
      <c r="J304" s="1097" t="e">
        <f t="shared" si="22"/>
        <v>#REF!</v>
      </c>
      <c r="K304" s="1096"/>
      <c r="L304" s="1097" t="e">
        <f t="shared" si="23"/>
        <v>#REF!</v>
      </c>
      <c r="M304" s="1103"/>
      <c r="N304" s="1096"/>
      <c r="O304" s="1098"/>
      <c r="P304" s="1096"/>
      <c r="Q304" s="1107"/>
      <c r="R304" s="1104"/>
    </row>
    <row r="305" spans="1:18" s="1108" customFormat="1" ht="37.5" customHeight="1">
      <c r="A305" s="1090">
        <v>22.3</v>
      </c>
      <c r="B305" s="933" t="s">
        <v>3898</v>
      </c>
      <c r="C305" s="1106"/>
      <c r="D305" s="943" t="s">
        <v>3798</v>
      </c>
      <c r="E305" s="1103"/>
      <c r="F305" s="1097">
        <f t="shared" si="20"/>
        <v>0</v>
      </c>
      <c r="G305" s="1103"/>
      <c r="H305" s="1097">
        <f t="shared" si="21"/>
        <v>0</v>
      </c>
      <c r="I305" s="1103"/>
      <c r="J305" s="1097">
        <f t="shared" si="22"/>
        <v>0</v>
      </c>
      <c r="K305" s="1096"/>
      <c r="L305" s="1097">
        <f t="shared" si="23"/>
        <v>0</v>
      </c>
      <c r="M305" s="1103"/>
      <c r="N305" s="1096"/>
      <c r="O305" s="1098"/>
      <c r="P305" s="1096"/>
      <c r="Q305" s="1107"/>
      <c r="R305" s="1104"/>
    </row>
    <row r="306" spans="1:18" s="1108" customFormat="1" ht="43.5" customHeight="1">
      <c r="A306" s="1090">
        <v>23.1</v>
      </c>
      <c r="B306" s="933" t="s">
        <v>3899</v>
      </c>
      <c r="C306" s="1106"/>
      <c r="D306" s="943" t="s">
        <v>3798</v>
      </c>
      <c r="E306" s="1103"/>
      <c r="F306" s="1097">
        <f t="shared" si="20"/>
        <v>0</v>
      </c>
      <c r="G306" s="1103"/>
      <c r="H306" s="1097">
        <f t="shared" si="21"/>
        <v>0</v>
      </c>
      <c r="I306" s="1103"/>
      <c r="J306" s="1097">
        <f t="shared" si="22"/>
        <v>0</v>
      </c>
      <c r="K306" s="1096"/>
      <c r="L306" s="1097">
        <f t="shared" si="23"/>
        <v>0</v>
      </c>
      <c r="M306" s="1103"/>
      <c r="N306" s="1096"/>
      <c r="O306" s="1098"/>
      <c r="P306" s="1096"/>
      <c r="Q306" s="1107"/>
      <c r="R306" s="1104"/>
    </row>
    <row r="307" spans="1:18" s="1108" customFormat="1" ht="25.5" customHeight="1">
      <c r="A307" s="1138"/>
      <c r="B307" s="933" t="s">
        <v>3881</v>
      </c>
      <c r="C307" s="1106" t="e">
        <f>ROUND(#REF!,2)</f>
        <v>#REF!</v>
      </c>
      <c r="D307" s="943" t="s">
        <v>3798</v>
      </c>
      <c r="E307" s="1103"/>
      <c r="F307" s="1097" t="e">
        <f t="shared" si="20"/>
        <v>#REF!</v>
      </c>
      <c r="G307" s="1103"/>
      <c r="H307" s="1097" t="e">
        <f t="shared" si="21"/>
        <v>#REF!</v>
      </c>
      <c r="I307" s="1103"/>
      <c r="J307" s="1097" t="e">
        <f t="shared" si="22"/>
        <v>#REF!</v>
      </c>
      <c r="K307" s="1096"/>
      <c r="L307" s="1097" t="e">
        <f t="shared" si="23"/>
        <v>#REF!</v>
      </c>
      <c r="M307" s="1103"/>
      <c r="N307" s="1096"/>
      <c r="O307" s="1098"/>
      <c r="P307" s="1096"/>
      <c r="Q307" s="1107"/>
      <c r="R307" s="1104"/>
    </row>
    <row r="308" spans="1:18" s="1108" customFormat="1" ht="43.5" customHeight="1">
      <c r="A308" s="1090">
        <v>23.2</v>
      </c>
      <c r="B308" s="933" t="s">
        <v>3900</v>
      </c>
      <c r="C308" s="1106" t="e">
        <f>ROUND(#REF!,2)</f>
        <v>#REF!</v>
      </c>
      <c r="D308" s="943" t="s">
        <v>3798</v>
      </c>
      <c r="E308" s="1103"/>
      <c r="F308" s="1097" t="e">
        <f t="shared" si="20"/>
        <v>#REF!</v>
      </c>
      <c r="G308" s="1103"/>
      <c r="H308" s="1097" t="e">
        <f t="shared" si="21"/>
        <v>#REF!</v>
      </c>
      <c r="I308" s="1103"/>
      <c r="J308" s="1097" t="e">
        <f t="shared" si="22"/>
        <v>#REF!</v>
      </c>
      <c r="K308" s="1096"/>
      <c r="L308" s="1097" t="e">
        <f t="shared" si="23"/>
        <v>#REF!</v>
      </c>
      <c r="M308" s="1103"/>
      <c r="N308" s="1096"/>
      <c r="O308" s="1098"/>
      <c r="P308" s="1096"/>
      <c r="Q308" s="1107"/>
      <c r="R308" s="1104"/>
    </row>
    <row r="309" spans="1:18" s="1127" customFormat="1" ht="51" customHeight="1">
      <c r="A309" s="1090">
        <v>23.3</v>
      </c>
      <c r="B309" s="933" t="s">
        <v>3901</v>
      </c>
      <c r="C309" s="1092" t="e">
        <f>#REF!</f>
        <v>#REF!</v>
      </c>
      <c r="D309" s="940" t="s">
        <v>340</v>
      </c>
      <c r="E309" s="1096"/>
      <c r="F309" s="1097" t="e">
        <f t="shared" si="20"/>
        <v>#REF!</v>
      </c>
      <c r="G309" s="1096"/>
      <c r="H309" s="1097" t="e">
        <f t="shared" si="21"/>
        <v>#REF!</v>
      </c>
      <c r="I309" s="1096"/>
      <c r="J309" s="1097" t="e">
        <f t="shared" si="22"/>
        <v>#REF!</v>
      </c>
      <c r="K309" s="1096"/>
      <c r="L309" s="1097" t="e">
        <f t="shared" si="23"/>
        <v>#REF!</v>
      </c>
      <c r="M309" s="1096"/>
      <c r="N309" s="1096"/>
      <c r="O309" s="1098"/>
      <c r="P309" s="1096"/>
      <c r="Q309" s="1099"/>
      <c r="R309" s="1099"/>
    </row>
    <row r="310" spans="1:18" s="1108" customFormat="1" ht="46.5" customHeight="1">
      <c r="A310" s="1119">
        <v>23.4</v>
      </c>
      <c r="B310" s="935" t="s">
        <v>3902</v>
      </c>
      <c r="C310" s="1120"/>
      <c r="D310" s="1121"/>
      <c r="E310" s="1103"/>
      <c r="F310" s="1097">
        <f t="shared" si="20"/>
        <v>0</v>
      </c>
      <c r="G310" s="1103"/>
      <c r="H310" s="1097">
        <f t="shared" si="21"/>
        <v>0</v>
      </c>
      <c r="I310" s="1103"/>
      <c r="J310" s="1097">
        <f t="shared" si="22"/>
        <v>0</v>
      </c>
      <c r="K310" s="1096"/>
      <c r="L310" s="1097">
        <f t="shared" si="23"/>
        <v>0</v>
      </c>
      <c r="M310" s="1103"/>
      <c r="N310" s="1096"/>
      <c r="O310" s="1098"/>
      <c r="P310" s="1096"/>
      <c r="Q310" s="1107"/>
      <c r="R310" s="1104"/>
    </row>
    <row r="311" spans="1:18" s="1108" customFormat="1" ht="33" customHeight="1">
      <c r="A311" s="940"/>
      <c r="B311" s="933" t="s">
        <v>3903</v>
      </c>
      <c r="C311" s="1106" t="e">
        <f>#REF!</f>
        <v>#REF!</v>
      </c>
      <c r="D311" s="943" t="s">
        <v>340</v>
      </c>
      <c r="E311" s="1103"/>
      <c r="F311" s="1097" t="e">
        <f t="shared" si="20"/>
        <v>#REF!</v>
      </c>
      <c r="G311" s="1103"/>
      <c r="H311" s="1097" t="e">
        <f t="shared" si="21"/>
        <v>#REF!</v>
      </c>
      <c r="I311" s="1103"/>
      <c r="J311" s="1097" t="e">
        <f t="shared" si="22"/>
        <v>#REF!</v>
      </c>
      <c r="K311" s="1096"/>
      <c r="L311" s="1097" t="e">
        <f t="shared" si="23"/>
        <v>#REF!</v>
      </c>
      <c r="M311" s="1103"/>
      <c r="N311" s="1096"/>
      <c r="O311" s="1098"/>
      <c r="P311" s="1096"/>
      <c r="Q311" s="1107"/>
      <c r="R311" s="1104"/>
    </row>
    <row r="312" spans="1:18" s="1108" customFormat="1" ht="33" customHeight="1">
      <c r="A312" s="940"/>
      <c r="B312" s="933" t="s">
        <v>3904</v>
      </c>
      <c r="C312" s="1106" t="e">
        <f>#REF!</f>
        <v>#REF!</v>
      </c>
      <c r="D312" s="943" t="s">
        <v>340</v>
      </c>
      <c r="E312" s="1103"/>
      <c r="F312" s="1097" t="e">
        <f t="shared" si="20"/>
        <v>#REF!</v>
      </c>
      <c r="G312" s="1103"/>
      <c r="H312" s="1097" t="e">
        <f t="shared" si="21"/>
        <v>#REF!</v>
      </c>
      <c r="I312" s="1103"/>
      <c r="J312" s="1097" t="e">
        <f t="shared" si="22"/>
        <v>#REF!</v>
      </c>
      <c r="K312" s="1096"/>
      <c r="L312" s="1097" t="e">
        <f t="shared" si="23"/>
        <v>#REF!</v>
      </c>
      <c r="M312" s="1103"/>
      <c r="N312" s="1096"/>
      <c r="O312" s="1098"/>
      <c r="P312" s="1096"/>
      <c r="Q312" s="1107"/>
      <c r="R312" s="1104"/>
    </row>
    <row r="313" spans="1:18" s="1108" customFormat="1" ht="33" customHeight="1">
      <c r="A313" s="940"/>
      <c r="B313" s="933" t="s">
        <v>3905</v>
      </c>
      <c r="C313" s="1106" t="e">
        <f>#REF!</f>
        <v>#REF!</v>
      </c>
      <c r="D313" s="943" t="s">
        <v>340</v>
      </c>
      <c r="E313" s="1103"/>
      <c r="F313" s="1097" t="e">
        <f t="shared" si="20"/>
        <v>#REF!</v>
      </c>
      <c r="G313" s="1103"/>
      <c r="H313" s="1097" t="e">
        <f t="shared" si="21"/>
        <v>#REF!</v>
      </c>
      <c r="I313" s="1103"/>
      <c r="J313" s="1097" t="e">
        <f t="shared" si="22"/>
        <v>#REF!</v>
      </c>
      <c r="K313" s="1096"/>
      <c r="L313" s="1097" t="e">
        <f t="shared" si="23"/>
        <v>#REF!</v>
      </c>
      <c r="M313" s="1103"/>
      <c r="N313" s="1096"/>
      <c r="O313" s="1098"/>
      <c r="P313" s="1096"/>
      <c r="Q313" s="1107"/>
      <c r="R313" s="1104"/>
    </row>
    <row r="314" spans="1:18" s="1108" customFormat="1" ht="33" customHeight="1">
      <c r="A314" s="940"/>
      <c r="B314" s="933" t="s">
        <v>3906</v>
      </c>
      <c r="C314" s="1106" t="e">
        <f>#REF!</f>
        <v>#REF!</v>
      </c>
      <c r="D314" s="943" t="s">
        <v>340</v>
      </c>
      <c r="E314" s="1103"/>
      <c r="F314" s="1097" t="e">
        <f t="shared" si="20"/>
        <v>#REF!</v>
      </c>
      <c r="G314" s="1103"/>
      <c r="H314" s="1097" t="e">
        <f t="shared" si="21"/>
        <v>#REF!</v>
      </c>
      <c r="I314" s="1103"/>
      <c r="J314" s="1097" t="e">
        <f t="shared" si="22"/>
        <v>#REF!</v>
      </c>
      <c r="K314" s="1096"/>
      <c r="L314" s="1097" t="e">
        <f t="shared" si="23"/>
        <v>#REF!</v>
      </c>
      <c r="M314" s="1103"/>
      <c r="N314" s="1096"/>
      <c r="O314" s="1098"/>
      <c r="P314" s="1096"/>
      <c r="Q314" s="1107"/>
      <c r="R314" s="1104"/>
    </row>
    <row r="315" spans="1:18" s="1108" customFormat="1" ht="33" customHeight="1">
      <c r="A315" s="940"/>
      <c r="B315" s="933" t="s">
        <v>3907</v>
      </c>
      <c r="C315" s="1106" t="e">
        <f>#REF!</f>
        <v>#REF!</v>
      </c>
      <c r="D315" s="943" t="s">
        <v>340</v>
      </c>
      <c r="E315" s="1103"/>
      <c r="F315" s="1097" t="e">
        <f t="shared" si="20"/>
        <v>#REF!</v>
      </c>
      <c r="G315" s="1103"/>
      <c r="H315" s="1097" t="e">
        <f t="shared" si="21"/>
        <v>#REF!</v>
      </c>
      <c r="I315" s="1103"/>
      <c r="J315" s="1097" t="e">
        <f t="shared" si="22"/>
        <v>#REF!</v>
      </c>
      <c r="K315" s="1096"/>
      <c r="L315" s="1097" t="e">
        <f t="shared" si="23"/>
        <v>#REF!</v>
      </c>
      <c r="M315" s="1103"/>
      <c r="N315" s="1096"/>
      <c r="O315" s="1098"/>
      <c r="P315" s="1096"/>
      <c r="Q315" s="1107"/>
      <c r="R315" s="1104"/>
    </row>
    <row r="316" spans="1:18" s="1108" customFormat="1" ht="33" customHeight="1">
      <c r="A316" s="940"/>
      <c r="B316" s="933" t="s">
        <v>3908</v>
      </c>
      <c r="C316" s="1106" t="e">
        <f>#REF!</f>
        <v>#REF!</v>
      </c>
      <c r="D316" s="943" t="s">
        <v>340</v>
      </c>
      <c r="E316" s="1103"/>
      <c r="F316" s="1097" t="e">
        <f t="shared" si="20"/>
        <v>#REF!</v>
      </c>
      <c r="G316" s="1103"/>
      <c r="H316" s="1097" t="e">
        <f t="shared" si="21"/>
        <v>#REF!</v>
      </c>
      <c r="I316" s="1103"/>
      <c r="J316" s="1097" t="e">
        <f t="shared" si="22"/>
        <v>#REF!</v>
      </c>
      <c r="K316" s="1096"/>
      <c r="L316" s="1097" t="e">
        <f t="shared" si="23"/>
        <v>#REF!</v>
      </c>
      <c r="M316" s="1103"/>
      <c r="N316" s="1096"/>
      <c r="O316" s="1098"/>
      <c r="P316" s="1096"/>
      <c r="Q316" s="1107"/>
      <c r="R316" s="1104"/>
    </row>
    <row r="317" spans="1:18" s="1108" customFormat="1" ht="33" customHeight="1">
      <c r="A317" s="940"/>
      <c r="B317" s="933" t="s">
        <v>3909</v>
      </c>
      <c r="C317" s="1106" t="e">
        <f>#REF!</f>
        <v>#REF!</v>
      </c>
      <c r="D317" s="943" t="s">
        <v>340</v>
      </c>
      <c r="E317" s="1103"/>
      <c r="F317" s="1097" t="e">
        <f t="shared" si="20"/>
        <v>#REF!</v>
      </c>
      <c r="G317" s="1103"/>
      <c r="H317" s="1097" t="e">
        <f t="shared" si="21"/>
        <v>#REF!</v>
      </c>
      <c r="I317" s="1103"/>
      <c r="J317" s="1097" t="e">
        <f t="shared" si="22"/>
        <v>#REF!</v>
      </c>
      <c r="K317" s="1096"/>
      <c r="L317" s="1097" t="e">
        <f t="shared" si="23"/>
        <v>#REF!</v>
      </c>
      <c r="M317" s="1103"/>
      <c r="N317" s="1096"/>
      <c r="O317" s="1098"/>
      <c r="P317" s="1096"/>
      <c r="Q317" s="1107"/>
      <c r="R317" s="1104"/>
    </row>
    <row r="318" spans="1:18" s="1108" customFormat="1" ht="33" customHeight="1">
      <c r="A318" s="940"/>
      <c r="B318" s="933" t="s">
        <v>3910</v>
      </c>
      <c r="C318" s="1106" t="e">
        <f>#REF!</f>
        <v>#REF!</v>
      </c>
      <c r="D318" s="943" t="s">
        <v>340</v>
      </c>
      <c r="E318" s="1103"/>
      <c r="F318" s="1097" t="e">
        <f t="shared" si="20"/>
        <v>#REF!</v>
      </c>
      <c r="G318" s="1103"/>
      <c r="H318" s="1097" t="e">
        <f t="shared" si="21"/>
        <v>#REF!</v>
      </c>
      <c r="I318" s="1103"/>
      <c r="J318" s="1097" t="e">
        <f t="shared" si="22"/>
        <v>#REF!</v>
      </c>
      <c r="K318" s="1096"/>
      <c r="L318" s="1097" t="e">
        <f t="shared" si="23"/>
        <v>#REF!</v>
      </c>
      <c r="M318" s="1103"/>
      <c r="N318" s="1096"/>
      <c r="O318" s="1098"/>
      <c r="P318" s="1096"/>
      <c r="Q318" s="1107"/>
      <c r="R318" s="1104"/>
    </row>
    <row r="319" spans="1:18" s="1108" customFormat="1" ht="33" customHeight="1">
      <c r="A319" s="940"/>
      <c r="B319" s="933" t="s">
        <v>3911</v>
      </c>
      <c r="C319" s="1106" t="e">
        <f>#REF!</f>
        <v>#REF!</v>
      </c>
      <c r="D319" s="943" t="s">
        <v>340</v>
      </c>
      <c r="E319" s="1103"/>
      <c r="F319" s="1097" t="e">
        <f t="shared" si="20"/>
        <v>#REF!</v>
      </c>
      <c r="G319" s="1103"/>
      <c r="H319" s="1097" t="e">
        <f t="shared" si="21"/>
        <v>#REF!</v>
      </c>
      <c r="I319" s="1103"/>
      <c r="J319" s="1097" t="e">
        <f t="shared" si="22"/>
        <v>#REF!</v>
      </c>
      <c r="K319" s="1096"/>
      <c r="L319" s="1097" t="e">
        <f t="shared" si="23"/>
        <v>#REF!</v>
      </c>
      <c r="M319" s="1103"/>
      <c r="N319" s="1096"/>
      <c r="O319" s="1098"/>
      <c r="P319" s="1096"/>
      <c r="Q319" s="1107"/>
      <c r="R319" s="1104"/>
    </row>
    <row r="320" spans="1:18" s="1108" customFormat="1" ht="33" customHeight="1">
      <c r="A320" s="940"/>
      <c r="B320" s="933" t="s">
        <v>3912</v>
      </c>
      <c r="C320" s="1106" t="e">
        <f>#REF!</f>
        <v>#REF!</v>
      </c>
      <c r="D320" s="943" t="s">
        <v>340</v>
      </c>
      <c r="E320" s="1103"/>
      <c r="F320" s="1097" t="e">
        <f t="shared" si="20"/>
        <v>#REF!</v>
      </c>
      <c r="G320" s="1103"/>
      <c r="H320" s="1097" t="e">
        <f t="shared" si="21"/>
        <v>#REF!</v>
      </c>
      <c r="I320" s="1103"/>
      <c r="J320" s="1097" t="e">
        <f t="shared" si="22"/>
        <v>#REF!</v>
      </c>
      <c r="K320" s="1096"/>
      <c r="L320" s="1097" t="e">
        <f t="shared" si="23"/>
        <v>#REF!</v>
      </c>
      <c r="M320" s="1103"/>
      <c r="N320" s="1096"/>
      <c r="O320" s="1098"/>
      <c r="P320" s="1096"/>
      <c r="Q320" s="1107"/>
      <c r="R320" s="1104"/>
    </row>
    <row r="321" spans="1:18" s="1108" customFormat="1" ht="33" customHeight="1">
      <c r="A321" s="940"/>
      <c r="B321" s="933" t="s">
        <v>3913</v>
      </c>
      <c r="C321" s="1106" t="e">
        <f>#REF!</f>
        <v>#REF!</v>
      </c>
      <c r="D321" s="943" t="s">
        <v>340</v>
      </c>
      <c r="E321" s="1103"/>
      <c r="F321" s="1097" t="e">
        <f t="shared" si="20"/>
        <v>#REF!</v>
      </c>
      <c r="G321" s="1103"/>
      <c r="H321" s="1097" t="e">
        <f t="shared" si="21"/>
        <v>#REF!</v>
      </c>
      <c r="I321" s="1103"/>
      <c r="J321" s="1097" t="e">
        <f t="shared" si="22"/>
        <v>#REF!</v>
      </c>
      <c r="K321" s="1096"/>
      <c r="L321" s="1097" t="e">
        <f t="shared" si="23"/>
        <v>#REF!</v>
      </c>
      <c r="M321" s="1103"/>
      <c r="N321" s="1096"/>
      <c r="O321" s="1098"/>
      <c r="P321" s="1096"/>
      <c r="Q321" s="1107"/>
      <c r="R321" s="1104"/>
    </row>
    <row r="322" spans="1:18" s="1108" customFormat="1" ht="18" customHeight="1">
      <c r="A322" s="1138"/>
      <c r="B322" s="933" t="s">
        <v>3914</v>
      </c>
      <c r="C322" s="1106" t="e">
        <f>#REF!</f>
        <v>#REF!</v>
      </c>
      <c r="D322" s="943" t="s">
        <v>340</v>
      </c>
      <c r="E322" s="1103"/>
      <c r="F322" s="1097" t="e">
        <f t="shared" si="20"/>
        <v>#REF!</v>
      </c>
      <c r="G322" s="1103"/>
      <c r="H322" s="1097" t="e">
        <f t="shared" si="21"/>
        <v>#REF!</v>
      </c>
      <c r="I322" s="1103"/>
      <c r="J322" s="1097" t="e">
        <f t="shared" si="22"/>
        <v>#REF!</v>
      </c>
      <c r="K322" s="1096"/>
      <c r="L322" s="1097" t="e">
        <f t="shared" si="23"/>
        <v>#REF!</v>
      </c>
      <c r="M322" s="1103"/>
      <c r="N322" s="1096"/>
      <c r="O322" s="1098"/>
      <c r="P322" s="1096"/>
      <c r="Q322" s="1107"/>
      <c r="R322" s="1104"/>
    </row>
    <row r="323" spans="1:18" s="1105" customFormat="1" ht="56.25" customHeight="1">
      <c r="A323" s="1129">
        <v>24</v>
      </c>
      <c r="B323" s="1265" t="s">
        <v>3915</v>
      </c>
      <c r="C323" s="1117" t="e">
        <f>#REF!</f>
        <v>#REF!</v>
      </c>
      <c r="D323" s="1118" t="s">
        <v>1472</v>
      </c>
      <c r="E323" s="1103"/>
      <c r="F323" s="1097" t="e">
        <f t="shared" si="20"/>
        <v>#REF!</v>
      </c>
      <c r="G323" s="1103"/>
      <c r="H323" s="1097" t="e">
        <f t="shared" si="21"/>
        <v>#REF!</v>
      </c>
      <c r="I323" s="1103"/>
      <c r="J323" s="1097" t="e">
        <f t="shared" si="22"/>
        <v>#REF!</v>
      </c>
      <c r="K323" s="1096"/>
      <c r="L323" s="1097" t="e">
        <f t="shared" si="23"/>
        <v>#REF!</v>
      </c>
      <c r="M323" s="1103"/>
      <c r="N323" s="1096"/>
      <c r="O323" s="1098"/>
      <c r="P323" s="1096"/>
      <c r="Q323" s="1104"/>
      <c r="R323" s="1104"/>
    </row>
    <row r="324" spans="1:18" ht="45.75" customHeight="1">
      <c r="A324" s="1090">
        <v>25</v>
      </c>
      <c r="B324" s="933" t="s">
        <v>3916</v>
      </c>
      <c r="C324" s="1092" t="e">
        <f>ROUND(#REF!,2)</f>
        <v>#REF!</v>
      </c>
      <c r="D324" s="940" t="s">
        <v>340</v>
      </c>
      <c r="E324" s="1096"/>
      <c r="F324" s="1097" t="e">
        <f t="shared" si="20"/>
        <v>#REF!</v>
      </c>
      <c r="G324" s="1096"/>
      <c r="H324" s="1097" t="e">
        <f t="shared" si="21"/>
        <v>#REF!</v>
      </c>
      <c r="I324" s="1096"/>
      <c r="J324" s="1097" t="e">
        <f t="shared" si="22"/>
        <v>#REF!</v>
      </c>
      <c r="K324" s="1096"/>
      <c r="L324" s="1097" t="e">
        <f t="shared" si="23"/>
        <v>#REF!</v>
      </c>
      <c r="M324" s="1096"/>
      <c r="N324" s="1096"/>
      <c r="O324" s="1098"/>
      <c r="P324" s="1096"/>
      <c r="Q324" s="1099"/>
      <c r="R324" s="1099"/>
    </row>
    <row r="325" spans="1:18" ht="45.75" customHeight="1">
      <c r="A325" s="1090">
        <v>26</v>
      </c>
      <c r="B325" s="933" t="s">
        <v>3917</v>
      </c>
      <c r="C325" s="1092" t="e">
        <f>ROUND(#REF!,2)</f>
        <v>#REF!</v>
      </c>
      <c r="D325" s="940" t="s">
        <v>3770</v>
      </c>
      <c r="E325" s="1096"/>
      <c r="F325" s="1097" t="e">
        <f t="shared" si="20"/>
        <v>#REF!</v>
      </c>
      <c r="G325" s="1096"/>
      <c r="H325" s="1097" t="e">
        <f t="shared" si="21"/>
        <v>#REF!</v>
      </c>
      <c r="I325" s="1096"/>
      <c r="J325" s="1097" t="e">
        <f t="shared" si="22"/>
        <v>#REF!</v>
      </c>
      <c r="K325" s="1096"/>
      <c r="L325" s="1097" t="e">
        <f t="shared" si="23"/>
        <v>#REF!</v>
      </c>
      <c r="M325" s="1096"/>
      <c r="N325" s="1096"/>
      <c r="O325" s="1098"/>
      <c r="P325" s="1096"/>
      <c r="Q325" s="1099"/>
      <c r="R325" s="1099"/>
    </row>
    <row r="326" spans="1:18" s="1108" customFormat="1" ht="39.950000000000003" customHeight="1">
      <c r="A326" s="1119">
        <v>27.1</v>
      </c>
      <c r="B326" s="935" t="s">
        <v>3918</v>
      </c>
      <c r="C326" s="1120" t="e">
        <f>ROUND(#REF!,2)</f>
        <v>#REF!</v>
      </c>
      <c r="D326" s="1121" t="s">
        <v>3770</v>
      </c>
      <c r="E326" s="1103"/>
      <c r="F326" s="1097" t="e">
        <f t="shared" si="20"/>
        <v>#REF!</v>
      </c>
      <c r="G326" s="1103"/>
      <c r="H326" s="1097" t="e">
        <f t="shared" si="21"/>
        <v>#REF!</v>
      </c>
      <c r="I326" s="1103"/>
      <c r="J326" s="1097" t="e">
        <f t="shared" si="22"/>
        <v>#REF!</v>
      </c>
      <c r="K326" s="1096"/>
      <c r="L326" s="1097" t="e">
        <f t="shared" si="23"/>
        <v>#REF!</v>
      </c>
      <c r="M326" s="1103"/>
      <c r="N326" s="1096"/>
      <c r="O326" s="1098"/>
      <c r="P326" s="1096"/>
      <c r="Q326" s="1107"/>
      <c r="R326" s="1104"/>
    </row>
    <row r="327" spans="1:18" s="1108" customFormat="1" ht="45.75" customHeight="1">
      <c r="A327" s="1090">
        <v>27.2</v>
      </c>
      <c r="B327" s="933" t="s">
        <v>3919</v>
      </c>
      <c r="C327" s="1106" t="e">
        <f>ROUND(#REF!,2)</f>
        <v>#REF!</v>
      </c>
      <c r="D327" s="943" t="s">
        <v>3770</v>
      </c>
      <c r="E327" s="1103"/>
      <c r="F327" s="1097" t="e">
        <f t="shared" si="20"/>
        <v>#REF!</v>
      </c>
      <c r="G327" s="1103"/>
      <c r="H327" s="1097" t="e">
        <f t="shared" si="21"/>
        <v>#REF!</v>
      </c>
      <c r="I327" s="1103"/>
      <c r="J327" s="1097" t="e">
        <f t="shared" si="22"/>
        <v>#REF!</v>
      </c>
      <c r="K327" s="1096"/>
      <c r="L327" s="1097" t="e">
        <f t="shared" si="23"/>
        <v>#REF!</v>
      </c>
      <c r="M327" s="1103"/>
      <c r="N327" s="1096"/>
      <c r="O327" s="1098"/>
      <c r="P327" s="1096"/>
      <c r="Q327" s="1107"/>
      <c r="R327" s="1104"/>
    </row>
    <row r="328" spans="1:18" s="1108" customFormat="1" ht="39.950000000000003" customHeight="1">
      <c r="A328" s="1090">
        <v>27.3</v>
      </c>
      <c r="B328" s="933" t="s">
        <v>3920</v>
      </c>
      <c r="C328" s="1106"/>
      <c r="D328" s="943" t="s">
        <v>3770</v>
      </c>
      <c r="E328" s="1103"/>
      <c r="F328" s="1097">
        <f t="shared" si="20"/>
        <v>0</v>
      </c>
      <c r="G328" s="1103"/>
      <c r="H328" s="1097">
        <f t="shared" si="21"/>
        <v>0</v>
      </c>
      <c r="I328" s="1103"/>
      <c r="J328" s="1097">
        <f t="shared" si="22"/>
        <v>0</v>
      </c>
      <c r="K328" s="1096"/>
      <c r="L328" s="1097">
        <f t="shared" si="23"/>
        <v>0</v>
      </c>
      <c r="M328" s="1103"/>
      <c r="N328" s="1096"/>
      <c r="O328" s="1098"/>
      <c r="P328" s="1096"/>
      <c r="Q328" s="1107"/>
      <c r="R328" s="1104"/>
    </row>
    <row r="329" spans="1:18" s="1108" customFormat="1" ht="39.950000000000003" customHeight="1">
      <c r="A329" s="1090">
        <v>27.4</v>
      </c>
      <c r="B329" s="933" t="s">
        <v>3921</v>
      </c>
      <c r="C329" s="1106"/>
      <c r="D329" s="943" t="s">
        <v>3770</v>
      </c>
      <c r="E329" s="1103"/>
      <c r="F329" s="1097">
        <f t="shared" ref="F329:F392" si="25">C329*E329</f>
        <v>0</v>
      </c>
      <c r="G329" s="1103"/>
      <c r="H329" s="1097">
        <f t="shared" ref="H329:H390" si="26">C329*G329</f>
        <v>0</v>
      </c>
      <c r="I329" s="1103"/>
      <c r="J329" s="1097">
        <f t="shared" si="22"/>
        <v>0</v>
      </c>
      <c r="K329" s="1096"/>
      <c r="L329" s="1097">
        <f t="shared" si="23"/>
        <v>0</v>
      </c>
      <c r="M329" s="1103"/>
      <c r="N329" s="1096"/>
      <c r="O329" s="1098"/>
      <c r="P329" s="1096"/>
      <c r="Q329" s="1107"/>
      <c r="R329" s="1104"/>
    </row>
    <row r="330" spans="1:18" s="1108" customFormat="1" ht="39.950000000000003" customHeight="1">
      <c r="A330" s="1090">
        <v>27.5</v>
      </c>
      <c r="B330" s="933" t="s">
        <v>3922</v>
      </c>
      <c r="C330" s="1106" t="e">
        <f>ROUND(#REF!,2)</f>
        <v>#REF!</v>
      </c>
      <c r="D330" s="943" t="s">
        <v>3770</v>
      </c>
      <c r="E330" s="1103"/>
      <c r="F330" s="1097" t="e">
        <f t="shared" si="25"/>
        <v>#REF!</v>
      </c>
      <c r="G330" s="1103"/>
      <c r="H330" s="1097" t="e">
        <f t="shared" si="26"/>
        <v>#REF!</v>
      </c>
      <c r="I330" s="1103"/>
      <c r="J330" s="1097" t="e">
        <f t="shared" si="22"/>
        <v>#REF!</v>
      </c>
      <c r="K330" s="1096"/>
      <c r="L330" s="1097" t="e">
        <f t="shared" si="23"/>
        <v>#REF!</v>
      </c>
      <c r="M330" s="1103"/>
      <c r="N330" s="1096"/>
      <c r="O330" s="1098"/>
      <c r="P330" s="1096"/>
      <c r="Q330" s="1107"/>
      <c r="R330" s="1104"/>
    </row>
    <row r="331" spans="1:18" s="1108" customFormat="1" ht="39.950000000000003" customHeight="1">
      <c r="A331" s="1090">
        <v>27.6</v>
      </c>
      <c r="B331" s="933" t="s">
        <v>3923</v>
      </c>
      <c r="C331" s="1106"/>
      <c r="D331" s="943" t="s">
        <v>3770</v>
      </c>
      <c r="E331" s="1103"/>
      <c r="F331" s="1097">
        <f t="shared" si="25"/>
        <v>0</v>
      </c>
      <c r="G331" s="1103"/>
      <c r="H331" s="1097">
        <f t="shared" si="26"/>
        <v>0</v>
      </c>
      <c r="I331" s="1103"/>
      <c r="J331" s="1097">
        <f t="shared" si="22"/>
        <v>0</v>
      </c>
      <c r="K331" s="1096"/>
      <c r="L331" s="1097">
        <f t="shared" si="23"/>
        <v>0</v>
      </c>
      <c r="M331" s="1103"/>
      <c r="N331" s="1096"/>
      <c r="O331" s="1098"/>
      <c r="P331" s="1096"/>
      <c r="Q331" s="1107"/>
      <c r="R331" s="1104"/>
    </row>
    <row r="332" spans="1:18" s="1108" customFormat="1" ht="67.900000000000006" customHeight="1">
      <c r="A332" s="1090"/>
      <c r="B332" s="933" t="str">
        <f>'INS- Detail '!B145</f>
        <v>Chipping of concrete and rougheing of surface including cost of materials and labours etc.., completed                                   PWD SOR 2021-22 p-22 item No.38A</v>
      </c>
      <c r="C332" s="1106">
        <v>44.38</v>
      </c>
      <c r="D332" s="940" t="s">
        <v>3798</v>
      </c>
      <c r="E332" s="1096">
        <f>'Ins Abs'!Q24</f>
        <v>84.3</v>
      </c>
      <c r="F332" s="1097">
        <f t="shared" si="25"/>
        <v>3741.2339999999999</v>
      </c>
      <c r="G332" s="1096">
        <f>'SI Abs '!Q25</f>
        <v>196.45</v>
      </c>
      <c r="H332" s="1097">
        <f>'SI Abs '!R25</f>
        <v>9584.7955000000002</v>
      </c>
      <c r="I332" s="1096">
        <f>'PC Abs'!Q24</f>
        <v>160.5</v>
      </c>
      <c r="J332" s="1097">
        <f>'PC Abs'!R24</f>
        <v>7830.7950000000001</v>
      </c>
      <c r="K332" s="1096"/>
      <c r="L332" s="1097">
        <f t="shared" si="23"/>
        <v>0</v>
      </c>
      <c r="M332" s="1103"/>
      <c r="N332" s="1096"/>
      <c r="O332" s="1098">
        <f t="shared" ref="O332:O333" si="27">E332+G332+I332+K332</f>
        <v>441.25</v>
      </c>
      <c r="P332" s="1096">
        <f>O332*C332</f>
        <v>19582.675000000003</v>
      </c>
      <c r="Q332" s="1107"/>
      <c r="R332" s="1104"/>
    </row>
    <row r="333" spans="1:18" ht="45.75" customHeight="1">
      <c r="A333" s="1090">
        <v>28</v>
      </c>
      <c r="B333" s="1262" t="s">
        <v>3924</v>
      </c>
      <c r="C333" s="1092" t="e">
        <f>ROUND(#REF!,2)</f>
        <v>#REF!</v>
      </c>
      <c r="D333" s="940" t="s">
        <v>3798</v>
      </c>
      <c r="E333" s="1096">
        <f>'Ins Abs'!Q25</f>
        <v>95.800000000000011</v>
      </c>
      <c r="F333" s="1097" t="e">
        <f t="shared" si="25"/>
        <v>#REF!</v>
      </c>
      <c r="G333" s="1096">
        <f>'SI Abs '!Q26</f>
        <v>188.4</v>
      </c>
      <c r="H333" s="1097">
        <f>'SI Abs '!R26</f>
        <v>125029.36152000002</v>
      </c>
      <c r="I333" s="1096">
        <f>'PC Abs'!Q25</f>
        <v>139.70000000000002</v>
      </c>
      <c r="J333" s="1097">
        <f>'PC Abs'!R25</f>
        <v>92710.200660000017</v>
      </c>
      <c r="K333" s="1096"/>
      <c r="L333" s="1097" t="e">
        <f t="shared" si="23"/>
        <v>#REF!</v>
      </c>
      <c r="M333" s="1096"/>
      <c r="N333" s="1096"/>
      <c r="O333" s="1098">
        <f t="shared" si="27"/>
        <v>423.90000000000009</v>
      </c>
      <c r="P333" s="1096" t="e">
        <f>O333*C333</f>
        <v>#REF!</v>
      </c>
      <c r="Q333" s="1099"/>
      <c r="R333" s="1099"/>
    </row>
    <row r="334" spans="1:18" s="1108" customFormat="1" ht="25.5" customHeight="1">
      <c r="A334" s="1119">
        <v>29.1</v>
      </c>
      <c r="B334" s="1264" t="s">
        <v>3925</v>
      </c>
      <c r="C334" s="1120"/>
      <c r="D334" s="1121" t="s">
        <v>3798</v>
      </c>
      <c r="E334" s="1103"/>
      <c r="F334" s="1097">
        <f t="shared" si="25"/>
        <v>0</v>
      </c>
      <c r="G334" s="1103"/>
      <c r="H334" s="1097">
        <f t="shared" si="26"/>
        <v>0</v>
      </c>
      <c r="I334" s="1103"/>
      <c r="J334" s="1097">
        <f t="shared" si="22"/>
        <v>0</v>
      </c>
      <c r="K334" s="1096"/>
      <c r="L334" s="1097">
        <f t="shared" si="23"/>
        <v>0</v>
      </c>
      <c r="M334" s="1103"/>
      <c r="N334" s="1096"/>
      <c r="O334" s="1098"/>
      <c r="P334" s="1096"/>
      <c r="Q334" s="1107"/>
      <c r="R334" s="1104"/>
    </row>
    <row r="335" spans="1:18" s="1108" customFormat="1" ht="25.5" customHeight="1">
      <c r="A335" s="1090">
        <v>29.2</v>
      </c>
      <c r="B335" s="1262" t="s">
        <v>3926</v>
      </c>
      <c r="C335" s="1106" t="e">
        <f>ROUND(#REF!,2)</f>
        <v>#REF!</v>
      </c>
      <c r="D335" s="943" t="s">
        <v>3798</v>
      </c>
      <c r="E335" s="1103"/>
      <c r="F335" s="1097" t="e">
        <f t="shared" si="25"/>
        <v>#REF!</v>
      </c>
      <c r="G335" s="1103"/>
      <c r="H335" s="1097" t="e">
        <f t="shared" si="26"/>
        <v>#REF!</v>
      </c>
      <c r="I335" s="1103"/>
      <c r="J335" s="1097" t="e">
        <f t="shared" si="22"/>
        <v>#REF!</v>
      </c>
      <c r="K335" s="1096"/>
      <c r="L335" s="1097" t="e">
        <f t="shared" si="23"/>
        <v>#REF!</v>
      </c>
      <c r="M335" s="1103"/>
      <c r="N335" s="1096"/>
      <c r="O335" s="1098"/>
      <c r="P335" s="1096"/>
      <c r="Q335" s="1107"/>
      <c r="R335" s="1104"/>
    </row>
    <row r="336" spans="1:18" s="1108" customFormat="1" ht="25.5" customHeight="1">
      <c r="A336" s="1090">
        <v>29.3</v>
      </c>
      <c r="B336" s="933" t="s">
        <v>3927</v>
      </c>
      <c r="C336" s="1106" t="e">
        <f>ROUND(#REF!,2)</f>
        <v>#REF!</v>
      </c>
      <c r="D336" s="943" t="s">
        <v>3798</v>
      </c>
      <c r="E336" s="1103"/>
      <c r="F336" s="1097" t="e">
        <f t="shared" si="25"/>
        <v>#REF!</v>
      </c>
      <c r="G336" s="1103"/>
      <c r="H336" s="1097" t="e">
        <f t="shared" si="26"/>
        <v>#REF!</v>
      </c>
      <c r="I336" s="1103"/>
      <c r="J336" s="1097" t="e">
        <f t="shared" si="22"/>
        <v>#REF!</v>
      </c>
      <c r="K336" s="1096"/>
      <c r="L336" s="1097" t="e">
        <f t="shared" si="23"/>
        <v>#REF!</v>
      </c>
      <c r="M336" s="1103"/>
      <c r="N336" s="1096"/>
      <c r="O336" s="1098"/>
      <c r="P336" s="1096"/>
      <c r="Q336" s="1107"/>
      <c r="R336" s="1104"/>
    </row>
    <row r="337" spans="1:26" s="1108" customFormat="1" ht="25.5" customHeight="1">
      <c r="A337" s="1090">
        <v>29.4</v>
      </c>
      <c r="B337" s="933" t="s">
        <v>3928</v>
      </c>
      <c r="C337" s="1106" t="e">
        <f>ROUND(#REF!,2)</f>
        <v>#REF!</v>
      </c>
      <c r="D337" s="943" t="s">
        <v>3798</v>
      </c>
      <c r="E337" s="1103"/>
      <c r="F337" s="1097" t="e">
        <f t="shared" si="25"/>
        <v>#REF!</v>
      </c>
      <c r="G337" s="1103"/>
      <c r="H337" s="1097" t="e">
        <f t="shared" si="26"/>
        <v>#REF!</v>
      </c>
      <c r="I337" s="1103"/>
      <c r="J337" s="1097" t="e">
        <f t="shared" si="22"/>
        <v>#REF!</v>
      </c>
      <c r="K337" s="1096"/>
      <c r="L337" s="1097" t="e">
        <f t="shared" si="23"/>
        <v>#REF!</v>
      </c>
      <c r="M337" s="1103"/>
      <c r="N337" s="1096"/>
      <c r="O337" s="1098"/>
      <c r="P337" s="1096"/>
      <c r="Q337" s="1107"/>
      <c r="R337" s="1104"/>
    </row>
    <row r="338" spans="1:26" s="1108" customFormat="1" ht="25.5" customHeight="1">
      <c r="A338" s="1090">
        <v>29.5</v>
      </c>
      <c r="B338" s="933" t="s">
        <v>3929</v>
      </c>
      <c r="C338" s="1106" t="e">
        <f>C336</f>
        <v>#REF!</v>
      </c>
      <c r="D338" s="943" t="s">
        <v>3798</v>
      </c>
      <c r="E338" s="1103"/>
      <c r="F338" s="1097" t="e">
        <f t="shared" si="25"/>
        <v>#REF!</v>
      </c>
      <c r="G338" s="1103"/>
      <c r="H338" s="1097" t="e">
        <f t="shared" si="26"/>
        <v>#REF!</v>
      </c>
      <c r="I338" s="1103"/>
      <c r="J338" s="1097" t="e">
        <f t="shared" si="22"/>
        <v>#REF!</v>
      </c>
      <c r="K338" s="1096"/>
      <c r="L338" s="1097" t="e">
        <f t="shared" si="23"/>
        <v>#REF!</v>
      </c>
      <c r="M338" s="1103"/>
      <c r="N338" s="1096"/>
      <c r="O338" s="1098"/>
      <c r="P338" s="1096"/>
      <c r="Q338" s="1107"/>
      <c r="R338" s="1104"/>
    </row>
    <row r="339" spans="1:26" ht="45.75" customHeight="1">
      <c r="A339" s="1090">
        <v>30</v>
      </c>
      <c r="B339" s="933" t="s">
        <v>3930</v>
      </c>
      <c r="C339" s="1092" t="e">
        <f>ROUND(#REF!,2)</f>
        <v>#REF!</v>
      </c>
      <c r="D339" s="940" t="s">
        <v>3798</v>
      </c>
      <c r="E339" s="1096"/>
      <c r="F339" s="1097" t="e">
        <f t="shared" si="25"/>
        <v>#REF!</v>
      </c>
      <c r="G339" s="1096"/>
      <c r="H339" s="1097" t="e">
        <f t="shared" si="26"/>
        <v>#REF!</v>
      </c>
      <c r="I339" s="1096"/>
      <c r="J339" s="1097" t="e">
        <f t="shared" si="22"/>
        <v>#REF!</v>
      </c>
      <c r="K339" s="1096"/>
      <c r="L339" s="1097" t="e">
        <f t="shared" si="23"/>
        <v>#REF!</v>
      </c>
      <c r="M339" s="1096"/>
      <c r="N339" s="1096"/>
      <c r="O339" s="1098"/>
      <c r="P339" s="1096"/>
      <c r="Q339" s="1099"/>
      <c r="R339" s="1099"/>
      <c r="Z339" s="1084">
        <f>146-34.2</f>
        <v>111.8</v>
      </c>
    </row>
    <row r="340" spans="1:26" ht="45.75" customHeight="1">
      <c r="A340" s="1090">
        <v>31</v>
      </c>
      <c r="B340" s="933" t="s">
        <v>3931</v>
      </c>
      <c r="C340" s="1092" t="e">
        <f>ROUND(#REF!,2)</f>
        <v>#REF!</v>
      </c>
      <c r="D340" s="940" t="s">
        <v>3770</v>
      </c>
      <c r="E340" s="1096"/>
      <c r="F340" s="1097" t="e">
        <f t="shared" si="25"/>
        <v>#REF!</v>
      </c>
      <c r="G340" s="1096"/>
      <c r="H340" s="1097" t="e">
        <f t="shared" si="26"/>
        <v>#REF!</v>
      </c>
      <c r="I340" s="1096"/>
      <c r="J340" s="1097" t="e">
        <f t="shared" si="22"/>
        <v>#REF!</v>
      </c>
      <c r="K340" s="1096"/>
      <c r="L340" s="1097" t="e">
        <f t="shared" si="23"/>
        <v>#REF!</v>
      </c>
      <c r="M340" s="1096"/>
      <c r="N340" s="1096"/>
      <c r="O340" s="1098"/>
      <c r="P340" s="1096"/>
      <c r="Q340" s="1099"/>
      <c r="R340" s="1099"/>
    </row>
    <row r="341" spans="1:26" ht="45.75" customHeight="1">
      <c r="A341" s="1119"/>
      <c r="B341" s="935" t="str">
        <f>'INS- Detail '!B85</f>
        <v>Dismantling and clearing away the Pressed tiles etc.,</v>
      </c>
      <c r="C341" s="1153">
        <v>36.1</v>
      </c>
      <c r="D341" s="1069" t="s">
        <v>3798</v>
      </c>
      <c r="E341" s="1096">
        <f>'Ins Abs'!Q26</f>
        <v>87.25</v>
      </c>
      <c r="F341" s="1097">
        <f>C341*E341</f>
        <v>3149.7249999999999</v>
      </c>
      <c r="G341" s="1096">
        <f>'SI Abs '!Q27</f>
        <v>110.8</v>
      </c>
      <c r="H341" s="1097">
        <f>'SI Abs '!R27</f>
        <v>3412.64</v>
      </c>
      <c r="I341" s="1096">
        <f>'PC Abs'!Q26</f>
        <v>171.3</v>
      </c>
      <c r="J341" s="1097">
        <f>'PC Abs'!R26</f>
        <v>5276.0400000000009</v>
      </c>
      <c r="K341" s="1096"/>
      <c r="L341" s="1097">
        <f t="shared" si="23"/>
        <v>0</v>
      </c>
      <c r="M341" s="1096"/>
      <c r="N341" s="1096"/>
      <c r="O341" s="1098">
        <f>E341+G341+I341+K341</f>
        <v>369.35</v>
      </c>
      <c r="P341" s="1096">
        <f>O341*C341</f>
        <v>13333.535000000002</v>
      </c>
      <c r="Q341" s="1099"/>
      <c r="R341" s="1099"/>
    </row>
    <row r="342" spans="1:26" s="1108" customFormat="1" ht="46.5" customHeight="1">
      <c r="A342" s="1119">
        <v>32</v>
      </c>
      <c r="B342" s="935" t="s">
        <v>3932</v>
      </c>
      <c r="C342" s="1120"/>
      <c r="D342" s="1121" t="s">
        <v>3798</v>
      </c>
      <c r="E342" s="1103"/>
      <c r="F342" s="1097">
        <f t="shared" si="25"/>
        <v>0</v>
      </c>
      <c r="G342" s="1103"/>
      <c r="H342" s="1097">
        <f t="shared" si="26"/>
        <v>0</v>
      </c>
      <c r="I342" s="1103"/>
      <c r="J342" s="1097">
        <f t="shared" si="22"/>
        <v>0</v>
      </c>
      <c r="K342" s="1096"/>
      <c r="L342" s="1097">
        <f t="shared" si="23"/>
        <v>0</v>
      </c>
      <c r="M342" s="1103"/>
      <c r="N342" s="1096"/>
      <c r="O342" s="1098"/>
      <c r="P342" s="1096"/>
      <c r="Q342" s="1107"/>
      <c r="R342" s="1104"/>
    </row>
    <row r="343" spans="1:26" s="1108" customFormat="1" ht="46.5" customHeight="1">
      <c r="A343" s="1090">
        <v>32.1</v>
      </c>
      <c r="B343" s="933" t="s">
        <v>3933</v>
      </c>
      <c r="C343" s="1106" t="e">
        <f>ROUND(#REF!,2)</f>
        <v>#REF!</v>
      </c>
      <c r="D343" s="943" t="s">
        <v>3798</v>
      </c>
      <c r="E343" s="1096">
        <f>'Ins Abs'!Q27</f>
        <v>87.25</v>
      </c>
      <c r="F343" s="1097" t="e">
        <f t="shared" si="25"/>
        <v>#REF!</v>
      </c>
      <c r="G343" s="1096">
        <f>'SI Abs '!Q28</f>
        <v>110.8</v>
      </c>
      <c r="H343" s="1097">
        <f>'SI Abs '!R28</f>
        <v>162372.41399999999</v>
      </c>
      <c r="I343" s="1096">
        <f>'PC Abs'!Q27</f>
        <v>171.3</v>
      </c>
      <c r="J343" s="1097">
        <f>'PC Abs'!R27</f>
        <v>251032.44150000002</v>
      </c>
      <c r="K343" s="1096"/>
      <c r="L343" s="1097" t="e">
        <f t="shared" si="23"/>
        <v>#REF!</v>
      </c>
      <c r="M343" s="1103"/>
      <c r="N343" s="1096"/>
      <c r="O343" s="1098">
        <f t="shared" ref="O343:O344" si="28">E343+G343+I343+K343</f>
        <v>369.35</v>
      </c>
      <c r="P343" s="1096" t="e">
        <f>O343*C343</f>
        <v>#REF!</v>
      </c>
      <c r="Q343" s="1107"/>
      <c r="R343" s="1104"/>
    </row>
    <row r="344" spans="1:26" s="1108" customFormat="1" ht="46.5" customHeight="1">
      <c r="A344" s="1090"/>
      <c r="B344" s="933" t="str">
        <f>'INS- Detail '!B103</f>
        <v>Providing Polymer Coating (Water Proof Coating ) for over roof pressed tiles  area.</v>
      </c>
      <c r="C344" s="1106">
        <v>378.8</v>
      </c>
      <c r="D344" s="943" t="s">
        <v>3798</v>
      </c>
      <c r="E344" s="1096">
        <f>'Ins Abs'!Q28</f>
        <v>174.5</v>
      </c>
      <c r="F344" s="1097">
        <f t="shared" si="25"/>
        <v>66100.600000000006</v>
      </c>
      <c r="G344" s="1096">
        <f>'SI Abs '!Q29</f>
        <v>181.25</v>
      </c>
      <c r="H344" s="1097">
        <f>'SI Abs '!R29</f>
        <v>83483.75</v>
      </c>
      <c r="I344" s="1096">
        <f>'PC Abs'!Q28</f>
        <v>342.6</v>
      </c>
      <c r="J344" s="1097">
        <f>'PC Abs'!R28</f>
        <v>157801.56000000003</v>
      </c>
      <c r="K344" s="1096"/>
      <c r="L344" s="1097">
        <f t="shared" si="23"/>
        <v>0</v>
      </c>
      <c r="M344" s="1103"/>
      <c r="N344" s="1096"/>
      <c r="O344" s="1098">
        <f t="shared" si="28"/>
        <v>698.35</v>
      </c>
      <c r="P344" s="1096">
        <f>O344*C344</f>
        <v>264534.98000000004</v>
      </c>
      <c r="Q344" s="1107"/>
      <c r="R344" s="1104"/>
    </row>
    <row r="345" spans="1:26" s="1108" customFormat="1" ht="46.5" customHeight="1">
      <c r="A345" s="1090">
        <v>32.200000000000003</v>
      </c>
      <c r="B345" s="933" t="s">
        <v>3934</v>
      </c>
      <c r="C345" s="1106"/>
      <c r="D345" s="943" t="s">
        <v>3798</v>
      </c>
      <c r="E345" s="1103"/>
      <c r="F345" s="1097">
        <f t="shared" si="25"/>
        <v>0</v>
      </c>
      <c r="G345" s="1103"/>
      <c r="H345" s="1097">
        <f t="shared" si="26"/>
        <v>0</v>
      </c>
      <c r="I345" s="1103"/>
      <c r="J345" s="1097">
        <f t="shared" si="22"/>
        <v>0</v>
      </c>
      <c r="K345" s="1096"/>
      <c r="L345" s="1097">
        <f t="shared" si="23"/>
        <v>0</v>
      </c>
      <c r="M345" s="1103"/>
      <c r="N345" s="1096"/>
      <c r="O345" s="1098"/>
      <c r="P345" s="1096"/>
      <c r="Q345" s="1107"/>
      <c r="R345" s="1104"/>
    </row>
    <row r="346" spans="1:26" s="1108" customFormat="1" ht="46.5" customHeight="1">
      <c r="A346" s="1090"/>
      <c r="B346" s="933" t="str">
        <f>'INS- Detail '!B25</f>
        <v>Clean removel of the old cement plastering both inside and outside from the existing walls of brick masonry without damageing the existing structure and surroundings and clearing the debries away from the site including all cost etc.,</v>
      </c>
      <c r="C346" s="1106">
        <v>9.31</v>
      </c>
      <c r="D346" s="943" t="s">
        <v>3798</v>
      </c>
      <c r="E346" s="1096">
        <f>'Ins Abs'!Q29</f>
        <v>75.349999999999994</v>
      </c>
      <c r="F346" s="1097">
        <f t="shared" si="25"/>
        <v>701.50850000000003</v>
      </c>
      <c r="G346" s="1096">
        <f>'SI Abs '!Q30</f>
        <v>32.200000000000003</v>
      </c>
      <c r="H346" s="1097">
        <f>'SI Abs '!R30</f>
        <v>437.27600000000007</v>
      </c>
      <c r="I346" s="1096">
        <f>'PC Abs'!Q29</f>
        <v>45.1</v>
      </c>
      <c r="J346" s="1097">
        <f>'PC Abs'!R29</f>
        <v>612.45799999999997</v>
      </c>
      <c r="K346" s="1096"/>
      <c r="L346" s="1097">
        <f t="shared" ref="L346:L409" si="29">K346*C346</f>
        <v>0</v>
      </c>
      <c r="M346" s="1103"/>
      <c r="N346" s="1096"/>
      <c r="O346" s="1098">
        <f t="shared" ref="O346:O350" si="30">E346+G346+I346+K346</f>
        <v>152.65</v>
      </c>
      <c r="P346" s="1096">
        <f>O346*C346</f>
        <v>1421.1715000000002</v>
      </c>
      <c r="Q346" s="1107"/>
      <c r="R346" s="1104"/>
    </row>
    <row r="347" spans="1:26" ht="45.75" customHeight="1">
      <c r="A347" s="1090">
        <v>33</v>
      </c>
      <c r="B347" s="933" t="s">
        <v>3935</v>
      </c>
      <c r="C347" s="1092" t="e">
        <f>ROUND(#REF!,2)</f>
        <v>#REF!</v>
      </c>
      <c r="D347" s="940" t="s">
        <v>3798</v>
      </c>
      <c r="E347" s="1096">
        <f>'Ins Abs'!Q30</f>
        <v>125.25</v>
      </c>
      <c r="F347" s="1097" t="e">
        <f t="shared" si="25"/>
        <v>#REF!</v>
      </c>
      <c r="G347" s="1096">
        <f>'SI Abs '!Q31</f>
        <v>147.94999999999999</v>
      </c>
      <c r="H347" s="1097">
        <f>'SI Abs '!R31</f>
        <v>48217.242325999992</v>
      </c>
      <c r="I347" s="1096">
        <f>'PC Abs'!Q30</f>
        <v>152.35000000000002</v>
      </c>
      <c r="J347" s="1097">
        <f>'PC Abs'!R30</f>
        <v>49651.212358000004</v>
      </c>
      <c r="K347" s="1096" t="e">
        <f>#REF!</f>
        <v>#REF!</v>
      </c>
      <c r="L347" s="1097" t="e">
        <f t="shared" si="29"/>
        <v>#REF!</v>
      </c>
      <c r="M347" s="1096"/>
      <c r="N347" s="1096"/>
      <c r="O347" s="1098" t="e">
        <f t="shared" si="30"/>
        <v>#REF!</v>
      </c>
      <c r="P347" s="1096" t="e">
        <f>O347*C347</f>
        <v>#REF!</v>
      </c>
      <c r="Q347" s="1099"/>
      <c r="R347" s="1099"/>
    </row>
    <row r="348" spans="1:26" ht="47.25" customHeight="1">
      <c r="A348" s="1090">
        <v>34</v>
      </c>
      <c r="B348" s="933" t="s">
        <v>3936</v>
      </c>
      <c r="C348" s="1092" t="e">
        <f>ROUND(#REF!,2)</f>
        <v>#REF!</v>
      </c>
      <c r="D348" s="940" t="s">
        <v>3798</v>
      </c>
      <c r="E348" s="1096">
        <f>'Ins Abs'!Q31</f>
        <v>60</v>
      </c>
      <c r="F348" s="1097" t="e">
        <f t="shared" si="25"/>
        <v>#REF!</v>
      </c>
      <c r="G348" s="1096">
        <f>'SI Abs '!Q32</f>
        <v>120</v>
      </c>
      <c r="H348" s="1097">
        <f>'SI Abs '!R32</f>
        <v>39838.871999999996</v>
      </c>
      <c r="I348" s="1096">
        <f>'PC Abs'!Q31</f>
        <v>160.80000000000001</v>
      </c>
      <c r="J348" s="1097">
        <f>'PC Abs'!R31</f>
        <v>53384.088479999999</v>
      </c>
      <c r="K348" s="1096"/>
      <c r="L348" s="1097" t="e">
        <f t="shared" si="29"/>
        <v>#REF!</v>
      </c>
      <c r="M348" s="1096"/>
      <c r="N348" s="1096"/>
      <c r="O348" s="1098">
        <f t="shared" si="30"/>
        <v>340.8</v>
      </c>
      <c r="P348" s="1096" t="e">
        <f>O348*C348</f>
        <v>#REF!</v>
      </c>
      <c r="Q348" s="1099"/>
      <c r="R348" s="1099"/>
    </row>
    <row r="349" spans="1:26" ht="57.75" customHeight="1">
      <c r="A349" s="1090">
        <v>35</v>
      </c>
      <c r="B349" s="933" t="s">
        <v>3937</v>
      </c>
      <c r="C349" s="1092" t="e">
        <f>ROUND(#REF!,2)</f>
        <v>#REF!</v>
      </c>
      <c r="D349" s="940" t="s">
        <v>3798</v>
      </c>
      <c r="E349" s="1096">
        <f>'Ins Abs'!Q32</f>
        <v>75.349999999999994</v>
      </c>
      <c r="F349" s="1097" t="e">
        <f t="shared" si="25"/>
        <v>#REF!</v>
      </c>
      <c r="G349" s="1096">
        <f>'SI Abs '!Q33</f>
        <v>32.200000000000003</v>
      </c>
      <c r="H349" s="1097">
        <f>'SI Abs '!R33</f>
        <v>12003.355</v>
      </c>
      <c r="I349" s="1096">
        <f>'PC Abs'!Q32</f>
        <v>45.1</v>
      </c>
      <c r="J349" s="1097">
        <f>'PC Abs'!R32</f>
        <v>16812.1525</v>
      </c>
      <c r="K349" s="1096"/>
      <c r="L349" s="1097" t="e">
        <f t="shared" si="29"/>
        <v>#REF!</v>
      </c>
      <c r="M349" s="1096"/>
      <c r="N349" s="1096"/>
      <c r="O349" s="1098">
        <f t="shared" si="30"/>
        <v>152.65</v>
      </c>
      <c r="P349" s="1096" t="e">
        <f>O349*C349</f>
        <v>#REF!</v>
      </c>
      <c r="Q349" s="1099"/>
      <c r="R349" s="1099"/>
    </row>
    <row r="350" spans="1:26" ht="43.5" customHeight="1">
      <c r="A350" s="1090"/>
      <c r="B350" s="1270" t="s">
        <v>4544</v>
      </c>
      <c r="C350" s="1085">
        <v>40.32</v>
      </c>
      <c r="D350" s="940" t="s">
        <v>3798</v>
      </c>
      <c r="E350" s="1096">
        <f>'Ins Abs'!Q33</f>
        <v>288</v>
      </c>
      <c r="F350" s="1097">
        <f t="shared" si="25"/>
        <v>11612.16</v>
      </c>
      <c r="G350" s="1096">
        <f>'SI Abs '!Q34</f>
        <v>246</v>
      </c>
      <c r="H350" s="1097">
        <f>'SI Abs '!R34</f>
        <v>10887.1482</v>
      </c>
      <c r="I350" s="1096">
        <f>'PC Abs'!Q33</f>
        <v>756</v>
      </c>
      <c r="J350" s="1097">
        <f>'PC Abs'!R33</f>
        <v>33458.065200000005</v>
      </c>
      <c r="K350" s="1096"/>
      <c r="L350" s="1097">
        <f t="shared" si="29"/>
        <v>0</v>
      </c>
      <c r="M350" s="1096"/>
      <c r="N350" s="1096"/>
      <c r="O350" s="1098">
        <f t="shared" si="30"/>
        <v>1290</v>
      </c>
      <c r="P350" s="1096">
        <f>O350*C350</f>
        <v>52012.800000000003</v>
      </c>
      <c r="Q350" s="1099"/>
      <c r="R350" s="1099"/>
    </row>
    <row r="351" spans="1:26" ht="68.25" customHeight="1">
      <c r="A351" s="1119"/>
      <c r="B351" s="935" t="s">
        <v>3938</v>
      </c>
      <c r="C351" s="1153">
        <v>919.31</v>
      </c>
      <c r="D351" s="1069" t="s">
        <v>3798</v>
      </c>
      <c r="E351" s="1096"/>
      <c r="F351" s="1097">
        <f t="shared" si="25"/>
        <v>0</v>
      </c>
      <c r="G351" s="1096"/>
      <c r="H351" s="1097">
        <f t="shared" si="26"/>
        <v>0</v>
      </c>
      <c r="I351" s="1096"/>
      <c r="J351" s="1097">
        <f t="shared" ref="J351:J409" si="31">I351*C351</f>
        <v>0</v>
      </c>
      <c r="K351" s="1096"/>
      <c r="L351" s="1097">
        <f t="shared" si="29"/>
        <v>0</v>
      </c>
      <c r="M351" s="1096"/>
      <c r="N351" s="1096"/>
      <c r="O351" s="1098"/>
      <c r="P351" s="1096"/>
      <c r="Q351" s="1099"/>
      <c r="R351" s="1099"/>
    </row>
    <row r="352" spans="1:26" ht="68.25" customHeight="1">
      <c r="A352" s="1119"/>
      <c r="B352" s="935" t="s">
        <v>3939</v>
      </c>
      <c r="C352" s="1153">
        <v>636.53</v>
      </c>
      <c r="D352" s="1069" t="s">
        <v>154</v>
      </c>
      <c r="E352" s="1096"/>
      <c r="F352" s="1097">
        <f t="shared" si="25"/>
        <v>0</v>
      </c>
      <c r="G352" s="1096"/>
      <c r="H352" s="1097">
        <f t="shared" si="26"/>
        <v>0</v>
      </c>
      <c r="I352" s="1096"/>
      <c r="J352" s="1097">
        <f t="shared" si="31"/>
        <v>0</v>
      </c>
      <c r="K352" s="1096"/>
      <c r="L352" s="1097">
        <f t="shared" si="29"/>
        <v>0</v>
      </c>
      <c r="M352" s="1096"/>
      <c r="N352" s="1096"/>
      <c r="O352" s="1098"/>
      <c r="P352" s="1096"/>
      <c r="Q352" s="1099"/>
      <c r="R352" s="1099"/>
    </row>
    <row r="353" spans="1:18" ht="48" customHeight="1">
      <c r="A353" s="1119"/>
      <c r="B353" s="935" t="s">
        <v>3940</v>
      </c>
      <c r="C353" s="1153">
        <v>47.78</v>
      </c>
      <c r="D353" s="1069" t="s">
        <v>3798</v>
      </c>
      <c r="E353" s="1096"/>
      <c r="F353" s="1097">
        <f t="shared" si="25"/>
        <v>0</v>
      </c>
      <c r="G353" s="1096"/>
      <c r="H353" s="1097">
        <f t="shared" si="26"/>
        <v>0</v>
      </c>
      <c r="I353" s="1096"/>
      <c r="J353" s="1097">
        <f t="shared" si="31"/>
        <v>0</v>
      </c>
      <c r="K353" s="1096"/>
      <c r="L353" s="1097">
        <f t="shared" si="29"/>
        <v>0</v>
      </c>
      <c r="M353" s="1096"/>
      <c r="N353" s="1096"/>
      <c r="O353" s="1098"/>
      <c r="P353" s="1096"/>
      <c r="Q353" s="1099"/>
      <c r="R353" s="1099"/>
    </row>
    <row r="354" spans="1:18" s="1108" customFormat="1" ht="25.5" customHeight="1">
      <c r="A354" s="1119">
        <v>37.200000000000003</v>
      </c>
      <c r="B354" s="935" t="s">
        <v>3941</v>
      </c>
      <c r="C354" s="1120"/>
      <c r="D354" s="1121" t="s">
        <v>3798</v>
      </c>
      <c r="E354" s="1103"/>
      <c r="F354" s="1097">
        <f t="shared" si="25"/>
        <v>0</v>
      </c>
      <c r="G354" s="1103"/>
      <c r="H354" s="1097">
        <f t="shared" si="26"/>
        <v>0</v>
      </c>
      <c r="I354" s="1103"/>
      <c r="J354" s="1097">
        <f t="shared" si="31"/>
        <v>0</v>
      </c>
      <c r="K354" s="1096"/>
      <c r="L354" s="1097">
        <f t="shared" si="29"/>
        <v>0</v>
      </c>
      <c r="M354" s="1103"/>
      <c r="N354" s="1096"/>
      <c r="O354" s="1098"/>
      <c r="P354" s="1096"/>
      <c r="Q354" s="1107"/>
      <c r="R354" s="1104"/>
    </row>
    <row r="355" spans="1:18" s="1108" customFormat="1" ht="25.5" customHeight="1">
      <c r="A355" s="1090">
        <v>38.1</v>
      </c>
      <c r="B355" s="933" t="s">
        <v>3942</v>
      </c>
      <c r="C355" s="1106" t="e">
        <f>ROUND(#REF!,2)</f>
        <v>#REF!</v>
      </c>
      <c r="D355" s="943" t="s">
        <v>3798</v>
      </c>
      <c r="E355" s="1103"/>
      <c r="F355" s="1097" t="e">
        <f t="shared" si="25"/>
        <v>#REF!</v>
      </c>
      <c r="G355" s="1103"/>
      <c r="H355" s="1097" t="e">
        <f t="shared" si="26"/>
        <v>#REF!</v>
      </c>
      <c r="I355" s="1103"/>
      <c r="J355" s="1097" t="e">
        <f t="shared" si="31"/>
        <v>#REF!</v>
      </c>
      <c r="K355" s="1096"/>
      <c r="L355" s="1097" t="e">
        <f t="shared" si="29"/>
        <v>#REF!</v>
      </c>
      <c r="M355" s="1103"/>
      <c r="N355" s="1096"/>
      <c r="O355" s="1098"/>
      <c r="P355" s="1096"/>
      <c r="Q355" s="1107"/>
      <c r="R355" s="1104"/>
    </row>
    <row r="356" spans="1:18" s="1108" customFormat="1" ht="26.25" customHeight="1">
      <c r="A356" s="1090">
        <v>38.200000000000003</v>
      </c>
      <c r="B356" s="933" t="s">
        <v>2024</v>
      </c>
      <c r="C356" s="1106" t="e">
        <f>ROUND(#REF!,2)</f>
        <v>#REF!</v>
      </c>
      <c r="D356" s="943" t="s">
        <v>3798</v>
      </c>
      <c r="E356" s="1103"/>
      <c r="F356" s="1097" t="e">
        <f t="shared" si="25"/>
        <v>#REF!</v>
      </c>
      <c r="G356" s="1103"/>
      <c r="H356" s="1097" t="e">
        <f t="shared" si="26"/>
        <v>#REF!</v>
      </c>
      <c r="I356" s="1103"/>
      <c r="J356" s="1097" t="e">
        <f t="shared" si="31"/>
        <v>#REF!</v>
      </c>
      <c r="K356" s="1096"/>
      <c r="L356" s="1097" t="e">
        <f t="shared" si="29"/>
        <v>#REF!</v>
      </c>
      <c r="M356" s="1103"/>
      <c r="N356" s="1096"/>
      <c r="O356" s="1098"/>
      <c r="P356" s="1096"/>
      <c r="Q356" s="1107"/>
      <c r="R356" s="1104"/>
    </row>
    <row r="357" spans="1:18" ht="43.5" customHeight="1">
      <c r="A357" s="1090">
        <v>39</v>
      </c>
      <c r="B357" s="933" t="s">
        <v>3943</v>
      </c>
      <c r="C357" s="1092" t="e">
        <f>#REF!</f>
        <v>#REF!</v>
      </c>
      <c r="D357" s="940" t="s">
        <v>1472</v>
      </c>
      <c r="E357" s="1096"/>
      <c r="F357" s="1097" t="e">
        <f t="shared" si="25"/>
        <v>#REF!</v>
      </c>
      <c r="G357" s="1096"/>
      <c r="H357" s="1097" t="e">
        <f t="shared" si="26"/>
        <v>#REF!</v>
      </c>
      <c r="I357" s="1096"/>
      <c r="J357" s="1097" t="e">
        <f t="shared" si="31"/>
        <v>#REF!</v>
      </c>
      <c r="K357" s="1096"/>
      <c r="L357" s="1097" t="e">
        <f t="shared" si="29"/>
        <v>#REF!</v>
      </c>
      <c r="M357" s="1096"/>
      <c r="N357" s="1096"/>
      <c r="O357" s="1098"/>
      <c r="P357" s="1096"/>
      <c r="Q357" s="1099"/>
      <c r="R357" s="1099"/>
    </row>
    <row r="358" spans="1:18" ht="43.5" customHeight="1">
      <c r="A358" s="1090">
        <v>40</v>
      </c>
      <c r="B358" s="933" t="s">
        <v>3944</v>
      </c>
      <c r="C358" s="1092" t="e">
        <f>ROUND(#REF!,2)</f>
        <v>#REF!</v>
      </c>
      <c r="D358" s="940" t="s">
        <v>3798</v>
      </c>
      <c r="E358" s="1096">
        <f>'Ins Abs'!Q34</f>
        <v>17.650000000000006</v>
      </c>
      <c r="F358" s="1097" t="e">
        <f>C358*E358</f>
        <v>#REF!</v>
      </c>
      <c r="G358" s="1096">
        <f>'SI Abs '!Q35</f>
        <v>6.1500000000000012</v>
      </c>
      <c r="H358" s="1097">
        <f>'SI Abs '!R35</f>
        <v>1742.9438250000001</v>
      </c>
      <c r="I358" s="1096">
        <f>'PC Abs'!Q34</f>
        <v>16.354000000000003</v>
      </c>
      <c r="J358" s="1097">
        <f>'PC Abs'!R34</f>
        <v>4634.8135469999997</v>
      </c>
      <c r="K358" s="1096"/>
      <c r="L358" s="1097" t="e">
        <f t="shared" si="29"/>
        <v>#REF!</v>
      </c>
      <c r="M358" s="1096"/>
      <c r="N358" s="1096"/>
      <c r="O358" s="1098">
        <f>E358+G358+I358+K358</f>
        <v>40.154000000000011</v>
      </c>
      <c r="P358" s="1096" t="e">
        <f>O358*C358</f>
        <v>#REF!</v>
      </c>
      <c r="Q358" s="1099"/>
      <c r="R358" s="1099"/>
    </row>
    <row r="359" spans="1:18" ht="49.9" customHeight="1">
      <c r="A359" s="1090">
        <v>41</v>
      </c>
      <c r="B359" s="933" t="s">
        <v>3945</v>
      </c>
      <c r="C359" s="1092" t="e">
        <f>ROUND(#REF!,2)</f>
        <v>#REF!</v>
      </c>
      <c r="D359" s="940" t="s">
        <v>3798</v>
      </c>
      <c r="E359" s="1096"/>
      <c r="F359" s="1097" t="e">
        <f t="shared" si="25"/>
        <v>#REF!</v>
      </c>
      <c r="G359" s="1096"/>
      <c r="H359" s="1097" t="e">
        <f t="shared" si="26"/>
        <v>#REF!</v>
      </c>
      <c r="I359" s="1096"/>
      <c r="J359" s="1097" t="e">
        <f t="shared" si="31"/>
        <v>#REF!</v>
      </c>
      <c r="K359" s="1096"/>
      <c r="L359" s="1097" t="e">
        <f t="shared" si="29"/>
        <v>#REF!</v>
      </c>
      <c r="M359" s="1096"/>
      <c r="N359" s="1096"/>
      <c r="O359" s="1098"/>
      <c r="P359" s="1096"/>
      <c r="Q359" s="1099"/>
      <c r="R359" s="1099"/>
    </row>
    <row r="360" spans="1:18" ht="50.25" customHeight="1">
      <c r="A360" s="1119"/>
      <c r="B360" s="935" t="s">
        <v>5289</v>
      </c>
      <c r="C360" s="1153">
        <v>159.80259999999998</v>
      </c>
      <c r="D360" s="940" t="s">
        <v>3798</v>
      </c>
      <c r="E360" s="1096" t="e">
        <f>'Ins Abs'!#REF!</f>
        <v>#REF!</v>
      </c>
      <c r="F360" s="1097" t="e">
        <f>C360*E360</f>
        <v>#REF!</v>
      </c>
      <c r="G360" s="1096">
        <f>'SI Abs '!Q36</f>
        <v>0</v>
      </c>
      <c r="H360" s="1097">
        <f>'SI Abs '!R36</f>
        <v>0</v>
      </c>
      <c r="I360" s="1096" t="e">
        <f>'PC Abs'!#REF!</f>
        <v>#REF!</v>
      </c>
      <c r="J360" s="1097" t="e">
        <f>'PC Abs'!#REF!</f>
        <v>#REF!</v>
      </c>
      <c r="K360" s="1096"/>
      <c r="L360" s="1097">
        <f t="shared" si="29"/>
        <v>0</v>
      </c>
      <c r="M360" s="1096"/>
      <c r="N360" s="1096"/>
      <c r="O360" s="1098" t="e">
        <f>E360+G360+I360+K360</f>
        <v>#REF!</v>
      </c>
      <c r="P360" s="1096" t="e">
        <f>O360*C360</f>
        <v>#REF!</v>
      </c>
      <c r="Q360" s="1099"/>
      <c r="R360" s="1099"/>
    </row>
    <row r="361" spans="1:18" ht="50.25" customHeight="1">
      <c r="A361" s="1119"/>
      <c r="B361" s="935" t="s">
        <v>4552</v>
      </c>
      <c r="C361" s="1153">
        <v>111.1348</v>
      </c>
      <c r="D361" s="940" t="s">
        <v>3798</v>
      </c>
      <c r="E361" s="1096"/>
      <c r="F361" s="1097">
        <f t="shared" si="25"/>
        <v>0</v>
      </c>
      <c r="G361" s="1096"/>
      <c r="H361" s="1097">
        <f t="shared" si="26"/>
        <v>0</v>
      </c>
      <c r="I361" s="1096"/>
      <c r="J361" s="1097">
        <f t="shared" si="31"/>
        <v>0</v>
      </c>
      <c r="K361" s="1096"/>
      <c r="L361" s="1097">
        <f t="shared" si="29"/>
        <v>0</v>
      </c>
      <c r="M361" s="1096"/>
      <c r="N361" s="1096"/>
      <c r="O361" s="1098"/>
      <c r="P361" s="1096"/>
      <c r="Q361" s="1099"/>
      <c r="R361" s="1099"/>
    </row>
    <row r="362" spans="1:18" ht="50.25" customHeight="1">
      <c r="A362" s="1119"/>
      <c r="B362" s="935" t="s">
        <v>5290</v>
      </c>
      <c r="C362" s="1153">
        <v>180.67420000000001</v>
      </c>
      <c r="D362" s="940" t="s">
        <v>3798</v>
      </c>
      <c r="E362" s="1096">
        <f>'Ins Abs'!Q35</f>
        <v>203.2</v>
      </c>
      <c r="F362" s="1097">
        <f>C362*E362</f>
        <v>36712.997439999999</v>
      </c>
      <c r="G362" s="1096">
        <f>'SI Abs '!Q38</f>
        <v>383.1</v>
      </c>
      <c r="H362" s="1097">
        <f>'SI Abs '!R38</f>
        <v>74244.32028</v>
      </c>
      <c r="I362" s="1096">
        <f>'PC Abs'!Q35</f>
        <v>1014</v>
      </c>
      <c r="J362" s="1097">
        <f>'PC Abs'!R35</f>
        <v>196511.98319999996</v>
      </c>
      <c r="K362" s="1096"/>
      <c r="L362" s="1097">
        <f t="shared" si="29"/>
        <v>0</v>
      </c>
      <c r="M362" s="1096"/>
      <c r="N362" s="1096"/>
      <c r="O362" s="1098">
        <f>E362+G362+I362+K362</f>
        <v>1600.3</v>
      </c>
      <c r="P362" s="1096">
        <f>O362*C362</f>
        <v>289132.92226000002</v>
      </c>
      <c r="Q362" s="1099"/>
      <c r="R362" s="1099"/>
    </row>
    <row r="363" spans="1:18" s="1108" customFormat="1" ht="46.5" customHeight="1">
      <c r="A363" s="1119">
        <v>42</v>
      </c>
      <c r="B363" s="935" t="s">
        <v>3946</v>
      </c>
      <c r="C363" s="1120"/>
      <c r="D363" s="1121"/>
      <c r="E363" s="1103"/>
      <c r="F363" s="1097">
        <f t="shared" si="25"/>
        <v>0</v>
      </c>
      <c r="G363" s="1103"/>
      <c r="H363" s="1097">
        <f t="shared" si="26"/>
        <v>0</v>
      </c>
      <c r="I363" s="1103"/>
      <c r="J363" s="1097">
        <f t="shared" si="31"/>
        <v>0</v>
      </c>
      <c r="K363" s="1096"/>
      <c r="L363" s="1097">
        <f t="shared" si="29"/>
        <v>0</v>
      </c>
      <c r="M363" s="1103"/>
      <c r="N363" s="1096"/>
      <c r="O363" s="1098"/>
      <c r="P363" s="1096"/>
      <c r="Q363" s="1107"/>
      <c r="R363" s="1104"/>
    </row>
    <row r="364" spans="1:18" s="1108" customFormat="1" ht="25.5" customHeight="1">
      <c r="A364" s="940"/>
      <c r="B364" s="933" t="s">
        <v>3947</v>
      </c>
      <c r="C364" s="1106" t="e">
        <f>ROUND(#REF!,2)</f>
        <v>#REF!</v>
      </c>
      <c r="D364" s="943" t="s">
        <v>277</v>
      </c>
      <c r="E364" s="1103"/>
      <c r="F364" s="1097" t="e">
        <f t="shared" si="25"/>
        <v>#REF!</v>
      </c>
      <c r="G364" s="1103"/>
      <c r="H364" s="1097" t="e">
        <f t="shared" si="26"/>
        <v>#REF!</v>
      </c>
      <c r="I364" s="1103"/>
      <c r="J364" s="1097" t="e">
        <f t="shared" si="31"/>
        <v>#REF!</v>
      </c>
      <c r="K364" s="1096"/>
      <c r="L364" s="1097" t="e">
        <f t="shared" si="29"/>
        <v>#REF!</v>
      </c>
      <c r="M364" s="1103"/>
      <c r="N364" s="1096"/>
      <c r="O364" s="1098"/>
      <c r="P364" s="1096"/>
      <c r="Q364" s="1107"/>
      <c r="R364" s="1104"/>
    </row>
    <row r="365" spans="1:18" s="1108" customFormat="1" ht="25.5" customHeight="1">
      <c r="A365" s="1138"/>
      <c r="B365" s="933" t="s">
        <v>3948</v>
      </c>
      <c r="C365" s="1106" t="e">
        <f>ROUND(#REF!,2)</f>
        <v>#REF!</v>
      </c>
      <c r="D365" s="943" t="s">
        <v>277</v>
      </c>
      <c r="E365" s="1103"/>
      <c r="F365" s="1097" t="e">
        <f t="shared" si="25"/>
        <v>#REF!</v>
      </c>
      <c r="G365" s="1103"/>
      <c r="H365" s="1097" t="e">
        <f t="shared" si="26"/>
        <v>#REF!</v>
      </c>
      <c r="I365" s="1103"/>
      <c r="J365" s="1097" t="e">
        <f t="shared" si="31"/>
        <v>#REF!</v>
      </c>
      <c r="K365" s="1096"/>
      <c r="L365" s="1097" t="e">
        <f t="shared" si="29"/>
        <v>#REF!</v>
      </c>
      <c r="M365" s="1103"/>
      <c r="N365" s="1096"/>
      <c r="O365" s="1098"/>
      <c r="P365" s="1096"/>
      <c r="Q365" s="1107"/>
      <c r="R365" s="1104"/>
    </row>
    <row r="366" spans="1:18" s="1108" customFormat="1" ht="46.5" customHeight="1">
      <c r="A366" s="1090">
        <v>43</v>
      </c>
      <c r="B366" s="933" t="s">
        <v>3949</v>
      </c>
      <c r="C366" s="1106"/>
      <c r="D366" s="943"/>
      <c r="E366" s="1096" t="e">
        <f>'Ins Abs'!#REF!</f>
        <v>#REF!</v>
      </c>
      <c r="F366" s="1097" t="e">
        <f t="shared" si="25"/>
        <v>#REF!</v>
      </c>
      <c r="G366" s="1096" t="e">
        <f>'SI Abs '!#REF!</f>
        <v>#REF!</v>
      </c>
      <c r="H366" s="1097" t="e">
        <f>'SI Abs '!#REF!</f>
        <v>#REF!</v>
      </c>
      <c r="I366" s="1096" t="e">
        <f>'PC Abs'!#REF!</f>
        <v>#REF!</v>
      </c>
      <c r="J366" s="1097" t="e">
        <f>'PC Abs'!#REF!</f>
        <v>#REF!</v>
      </c>
      <c r="K366" s="1096"/>
      <c r="L366" s="1097">
        <f t="shared" si="29"/>
        <v>0</v>
      </c>
      <c r="M366" s="1103"/>
      <c r="N366" s="1096"/>
      <c r="O366" s="1098" t="e">
        <f t="shared" ref="O366:O384" si="32">E366+G366+I366+K366</f>
        <v>#REF!</v>
      </c>
      <c r="P366" s="1095" t="s">
        <v>2400</v>
      </c>
      <c r="Q366" s="1107"/>
      <c r="R366" s="1104"/>
    </row>
    <row r="367" spans="1:18" s="1108" customFormat="1" ht="25.5" customHeight="1">
      <c r="A367" s="940"/>
      <c r="B367" s="933" t="s">
        <v>3947</v>
      </c>
      <c r="C367" s="1106" t="e">
        <f>ROUND(#REF!,2)</f>
        <v>#REF!</v>
      </c>
      <c r="D367" s="943" t="s">
        <v>277</v>
      </c>
      <c r="E367" s="1096" t="e">
        <f>'Ins Abs'!#REF!</f>
        <v>#REF!</v>
      </c>
      <c r="F367" s="1097" t="e">
        <f t="shared" si="25"/>
        <v>#REF!</v>
      </c>
      <c r="G367" s="1096" t="e">
        <f>'SI Abs '!#REF!</f>
        <v>#REF!</v>
      </c>
      <c r="H367" s="1097" t="e">
        <f>'SI Abs '!#REF!</f>
        <v>#REF!</v>
      </c>
      <c r="I367" s="1096" t="e">
        <f>'PC Abs'!#REF!</f>
        <v>#REF!</v>
      </c>
      <c r="J367" s="1097" t="e">
        <f>'PC Abs'!#REF!</f>
        <v>#REF!</v>
      </c>
      <c r="K367" s="1096"/>
      <c r="L367" s="1097" t="e">
        <f t="shared" si="29"/>
        <v>#REF!</v>
      </c>
      <c r="M367" s="1103"/>
      <c r="N367" s="1096"/>
      <c r="O367" s="1098" t="e">
        <f t="shared" si="32"/>
        <v>#REF!</v>
      </c>
      <c r="P367" s="1095" t="s">
        <v>2400</v>
      </c>
      <c r="Q367" s="1107"/>
      <c r="R367" s="1104"/>
    </row>
    <row r="368" spans="1:18" s="1108" customFormat="1" ht="25.5" customHeight="1">
      <c r="A368" s="1138"/>
      <c r="B368" s="933" t="s">
        <v>3948</v>
      </c>
      <c r="C368" s="1106" t="e">
        <f>ROUND(#REF!,2)</f>
        <v>#REF!</v>
      </c>
      <c r="D368" s="943" t="s">
        <v>277</v>
      </c>
      <c r="E368" s="1096" t="e">
        <f>'Ins Abs'!#REF!</f>
        <v>#REF!</v>
      </c>
      <c r="F368" s="1097" t="e">
        <f t="shared" si="25"/>
        <v>#REF!</v>
      </c>
      <c r="G368" s="1096" t="e">
        <f>'SI Abs '!#REF!</f>
        <v>#REF!</v>
      </c>
      <c r="H368" s="1097" t="e">
        <f>'SI Abs '!#REF!</f>
        <v>#REF!</v>
      </c>
      <c r="I368" s="1096" t="e">
        <f>'PC Abs'!#REF!</f>
        <v>#REF!</v>
      </c>
      <c r="J368" s="1097" t="e">
        <f>'PC Abs'!#REF!</f>
        <v>#REF!</v>
      </c>
      <c r="K368" s="1096"/>
      <c r="L368" s="1097" t="e">
        <f t="shared" si="29"/>
        <v>#REF!</v>
      </c>
      <c r="M368" s="1103"/>
      <c r="N368" s="1096"/>
      <c r="O368" s="1098" t="e">
        <f t="shared" si="32"/>
        <v>#REF!</v>
      </c>
      <c r="P368" s="1095" t="s">
        <v>2400</v>
      </c>
      <c r="Q368" s="1107"/>
      <c r="R368" s="1104"/>
    </row>
    <row r="369" spans="1:19" s="1108" customFormat="1" ht="25.5" customHeight="1">
      <c r="A369" s="1090">
        <v>44.1</v>
      </c>
      <c r="B369" s="933" t="s">
        <v>3950</v>
      </c>
      <c r="C369" s="1106" t="e">
        <f>ROUND(#REF!,2)</f>
        <v>#REF!</v>
      </c>
      <c r="D369" s="943" t="s">
        <v>303</v>
      </c>
      <c r="E369" s="1096" t="e">
        <f>'Ins Abs'!#REF!</f>
        <v>#REF!</v>
      </c>
      <c r="F369" s="1097" t="e">
        <f t="shared" si="25"/>
        <v>#REF!</v>
      </c>
      <c r="G369" s="1096">
        <f>'SI Abs '!Q39</f>
        <v>120</v>
      </c>
      <c r="H369" s="1097">
        <f>'SI Abs '!R39</f>
        <v>46840.799999999996</v>
      </c>
      <c r="I369" s="1096">
        <f>'PC Abs'!Q36</f>
        <v>144</v>
      </c>
      <c r="J369" s="1097">
        <f>'PC Abs'!R36</f>
        <v>56208.959999999999</v>
      </c>
      <c r="K369" s="1096"/>
      <c r="L369" s="1097" t="e">
        <f t="shared" si="29"/>
        <v>#REF!</v>
      </c>
      <c r="M369" s="1103"/>
      <c r="N369" s="1096"/>
      <c r="O369" s="1098" t="e">
        <f t="shared" si="32"/>
        <v>#REF!</v>
      </c>
      <c r="P369" s="1095" t="s">
        <v>2400</v>
      </c>
      <c r="Q369" s="1107"/>
      <c r="R369" s="1104"/>
    </row>
    <row r="370" spans="1:19" s="1108" customFormat="1" ht="46.5" customHeight="1">
      <c r="A370" s="1090">
        <v>44.2</v>
      </c>
      <c r="B370" s="933" t="s">
        <v>3951</v>
      </c>
      <c r="C370" s="1106"/>
      <c r="D370" s="943" t="s">
        <v>340</v>
      </c>
      <c r="E370" s="1096" t="e">
        <f>'Ins Abs'!#REF!</f>
        <v>#REF!</v>
      </c>
      <c r="F370" s="1097" t="e">
        <f t="shared" si="25"/>
        <v>#REF!</v>
      </c>
      <c r="G370" s="1096" t="e">
        <f>'SI Abs '!#REF!</f>
        <v>#REF!</v>
      </c>
      <c r="H370" s="1097" t="e">
        <f>'SI Abs '!#REF!</f>
        <v>#REF!</v>
      </c>
      <c r="I370" s="1096" t="e">
        <f>'PC Abs'!#REF!</f>
        <v>#REF!</v>
      </c>
      <c r="J370" s="1097" t="e">
        <f>'PC Abs'!#REF!</f>
        <v>#REF!</v>
      </c>
      <c r="K370" s="1096"/>
      <c r="L370" s="1097">
        <f t="shared" si="29"/>
        <v>0</v>
      </c>
      <c r="M370" s="1103"/>
      <c r="N370" s="1096"/>
      <c r="O370" s="1098" t="e">
        <f t="shared" si="32"/>
        <v>#REF!</v>
      </c>
      <c r="P370" s="1095" t="s">
        <v>2400</v>
      </c>
      <c r="Q370" s="1107"/>
      <c r="R370" s="1104"/>
    </row>
    <row r="371" spans="1:19" s="1105" customFormat="1" ht="40.5" customHeight="1">
      <c r="A371" s="1115">
        <v>45</v>
      </c>
      <c r="B371" s="1271" t="s">
        <v>3952</v>
      </c>
      <c r="C371" s="1128" t="e">
        <f>ROUND(#REF!,2)</f>
        <v>#REF!</v>
      </c>
      <c r="D371" s="1116" t="s">
        <v>3798</v>
      </c>
      <c r="E371" s="1096" t="e">
        <f>'Ins Abs'!#REF!</f>
        <v>#REF!</v>
      </c>
      <c r="F371" s="1097" t="e">
        <f t="shared" si="25"/>
        <v>#REF!</v>
      </c>
      <c r="G371" s="1096" t="e">
        <f>'SI Abs '!#REF!</f>
        <v>#REF!</v>
      </c>
      <c r="H371" s="1097" t="e">
        <f>'SI Abs '!#REF!</f>
        <v>#REF!</v>
      </c>
      <c r="I371" s="1096" t="e">
        <f>'PC Abs'!#REF!</f>
        <v>#REF!</v>
      </c>
      <c r="J371" s="1097" t="e">
        <f>'PC Abs'!#REF!</f>
        <v>#REF!</v>
      </c>
      <c r="K371" s="1096"/>
      <c r="L371" s="1097" t="e">
        <f t="shared" si="29"/>
        <v>#REF!</v>
      </c>
      <c r="M371" s="1103"/>
      <c r="N371" s="1096"/>
      <c r="O371" s="1098" t="e">
        <f t="shared" si="32"/>
        <v>#REF!</v>
      </c>
      <c r="P371" s="1095" t="s">
        <v>2400</v>
      </c>
      <c r="Q371" s="1104"/>
      <c r="R371" s="1104"/>
    </row>
    <row r="372" spans="1:19" ht="45.75" customHeight="1">
      <c r="A372" s="1090">
        <v>46</v>
      </c>
      <c r="B372" s="933" t="s">
        <v>3953</v>
      </c>
      <c r="C372" s="1092" t="e">
        <f>ROUND(#REF!,2)</f>
        <v>#REF!</v>
      </c>
      <c r="D372" s="940" t="s">
        <v>303</v>
      </c>
      <c r="E372" s="1096" t="e">
        <f>'Ins Abs'!#REF!</f>
        <v>#REF!</v>
      </c>
      <c r="F372" s="1097" t="e">
        <f t="shared" si="25"/>
        <v>#REF!</v>
      </c>
      <c r="G372" s="1096" t="e">
        <f>'SI Abs '!#REF!</f>
        <v>#REF!</v>
      </c>
      <c r="H372" s="1097" t="e">
        <f>'SI Abs '!#REF!</f>
        <v>#REF!</v>
      </c>
      <c r="I372" s="1096" t="e">
        <f>'PC Abs'!#REF!</f>
        <v>#REF!</v>
      </c>
      <c r="J372" s="1097" t="e">
        <f>'PC Abs'!#REF!</f>
        <v>#REF!</v>
      </c>
      <c r="K372" s="1096"/>
      <c r="L372" s="1097" t="e">
        <f t="shared" si="29"/>
        <v>#REF!</v>
      </c>
      <c r="M372" s="1096"/>
      <c r="N372" s="1096"/>
      <c r="O372" s="1098" t="e">
        <f t="shared" si="32"/>
        <v>#REF!</v>
      </c>
      <c r="P372" s="1095" t="s">
        <v>2400</v>
      </c>
      <c r="Q372" s="1099"/>
      <c r="R372" s="1099"/>
    </row>
    <row r="373" spans="1:19" ht="45.75" customHeight="1">
      <c r="A373" s="1090">
        <v>47</v>
      </c>
      <c r="B373" s="933" t="s">
        <v>3954</v>
      </c>
      <c r="C373" s="1092" t="e">
        <f>ROUND(#REF!,2)</f>
        <v>#REF!</v>
      </c>
      <c r="D373" s="940" t="s">
        <v>340</v>
      </c>
      <c r="E373" s="1096" t="e">
        <f>'Ins Abs'!#REF!</f>
        <v>#REF!</v>
      </c>
      <c r="F373" s="1097" t="e">
        <f t="shared" si="25"/>
        <v>#REF!</v>
      </c>
      <c r="G373" s="1096" t="e">
        <f>'SI Abs '!#REF!</f>
        <v>#REF!</v>
      </c>
      <c r="H373" s="1097" t="e">
        <f>'SI Abs '!#REF!</f>
        <v>#REF!</v>
      </c>
      <c r="I373" s="1096" t="e">
        <f>'PC Abs'!#REF!</f>
        <v>#REF!</v>
      </c>
      <c r="J373" s="1097" t="e">
        <f>'PC Abs'!#REF!</f>
        <v>#REF!</v>
      </c>
      <c r="K373" s="1096"/>
      <c r="L373" s="1097" t="e">
        <f t="shared" si="29"/>
        <v>#REF!</v>
      </c>
      <c r="M373" s="1096"/>
      <c r="N373" s="1096"/>
      <c r="O373" s="1098" t="e">
        <f t="shared" si="32"/>
        <v>#REF!</v>
      </c>
      <c r="P373" s="1095" t="s">
        <v>2400</v>
      </c>
      <c r="Q373" s="1099"/>
      <c r="R373" s="1099"/>
    </row>
    <row r="374" spans="1:19" ht="45.75" customHeight="1">
      <c r="A374" s="1090">
        <v>48</v>
      </c>
      <c r="B374" s="933" t="s">
        <v>3955</v>
      </c>
      <c r="C374" s="1092" t="e">
        <f>ROUND(#REF!,2)</f>
        <v>#REF!</v>
      </c>
      <c r="D374" s="940" t="s">
        <v>340</v>
      </c>
      <c r="E374" s="1096" t="e">
        <f>'Ins Abs'!#REF!</f>
        <v>#REF!</v>
      </c>
      <c r="F374" s="1097" t="e">
        <f t="shared" si="25"/>
        <v>#REF!</v>
      </c>
      <c r="G374" s="1096" t="e">
        <f>'SI Abs '!#REF!</f>
        <v>#REF!</v>
      </c>
      <c r="H374" s="1097" t="e">
        <f>'SI Abs '!#REF!</f>
        <v>#REF!</v>
      </c>
      <c r="I374" s="1096" t="e">
        <f>'PC Abs'!#REF!</f>
        <v>#REF!</v>
      </c>
      <c r="J374" s="1097" t="e">
        <f>'PC Abs'!#REF!</f>
        <v>#REF!</v>
      </c>
      <c r="K374" s="1096"/>
      <c r="L374" s="1097" t="e">
        <f t="shared" si="29"/>
        <v>#REF!</v>
      </c>
      <c r="M374" s="1096"/>
      <c r="N374" s="1096"/>
      <c r="O374" s="1098" t="e">
        <f t="shared" si="32"/>
        <v>#REF!</v>
      </c>
      <c r="P374" s="1095" t="s">
        <v>2400</v>
      </c>
      <c r="Q374" s="1099"/>
      <c r="R374" s="1099"/>
    </row>
    <row r="375" spans="1:19" ht="45.75" customHeight="1">
      <c r="A375" s="1090">
        <v>49</v>
      </c>
      <c r="B375" s="933" t="s">
        <v>3956</v>
      </c>
      <c r="C375" s="1092" t="e">
        <f>ROUND(#REF!,2)</f>
        <v>#REF!</v>
      </c>
      <c r="D375" s="940" t="s">
        <v>340</v>
      </c>
      <c r="E375" s="1096" t="e">
        <f>'Ins Abs'!#REF!</f>
        <v>#REF!</v>
      </c>
      <c r="F375" s="1097" t="e">
        <f t="shared" si="25"/>
        <v>#REF!</v>
      </c>
      <c r="G375" s="1096" t="e">
        <f>'SI Abs '!#REF!</f>
        <v>#REF!</v>
      </c>
      <c r="H375" s="1097" t="e">
        <f>'SI Abs '!#REF!</f>
        <v>#REF!</v>
      </c>
      <c r="I375" s="1096" t="e">
        <f>'PC Abs'!#REF!</f>
        <v>#REF!</v>
      </c>
      <c r="J375" s="1097" t="e">
        <f>'PC Abs'!#REF!</f>
        <v>#REF!</v>
      </c>
      <c r="K375" s="1096"/>
      <c r="L375" s="1097" t="e">
        <f t="shared" si="29"/>
        <v>#REF!</v>
      </c>
      <c r="M375" s="1096"/>
      <c r="N375" s="1096"/>
      <c r="O375" s="1098" t="e">
        <f t="shared" si="32"/>
        <v>#REF!</v>
      </c>
      <c r="P375" s="1095" t="s">
        <v>2400</v>
      </c>
      <c r="Q375" s="1099"/>
      <c r="R375" s="1099"/>
    </row>
    <row r="376" spans="1:19" s="1108" customFormat="1" ht="50.25" customHeight="1">
      <c r="A376" s="1119">
        <v>50.1</v>
      </c>
      <c r="B376" s="935" t="s">
        <v>3957</v>
      </c>
      <c r="C376" s="1120"/>
      <c r="D376" s="1121" t="s">
        <v>3798</v>
      </c>
      <c r="E376" s="1096" t="e">
        <f>'Ins Abs'!#REF!</f>
        <v>#REF!</v>
      </c>
      <c r="F376" s="1097" t="e">
        <f t="shared" si="25"/>
        <v>#REF!</v>
      </c>
      <c r="G376" s="1096" t="e">
        <f>'SI Abs '!#REF!</f>
        <v>#REF!</v>
      </c>
      <c r="H376" s="1097" t="e">
        <f>'SI Abs '!#REF!</f>
        <v>#REF!</v>
      </c>
      <c r="I376" s="1096" t="e">
        <f>'PC Abs'!#REF!</f>
        <v>#REF!</v>
      </c>
      <c r="J376" s="1097" t="e">
        <f>'PC Abs'!#REF!</f>
        <v>#REF!</v>
      </c>
      <c r="K376" s="1096"/>
      <c r="L376" s="1097">
        <f t="shared" si="29"/>
        <v>0</v>
      </c>
      <c r="M376" s="1103"/>
      <c r="N376" s="1096"/>
      <c r="O376" s="1098" t="e">
        <f t="shared" si="32"/>
        <v>#REF!</v>
      </c>
      <c r="P376" s="1095" t="s">
        <v>2400</v>
      </c>
      <c r="Q376" s="1107"/>
      <c r="R376" s="1104"/>
    </row>
    <row r="377" spans="1:19" ht="65.25" customHeight="1">
      <c r="A377" s="1124">
        <v>50.2</v>
      </c>
      <c r="B377" s="933" t="s">
        <v>127</v>
      </c>
      <c r="C377" s="1106" t="e">
        <f>ROUND(#REF!,2)</f>
        <v>#REF!</v>
      </c>
      <c r="D377" s="943" t="s">
        <v>303</v>
      </c>
      <c r="E377" s="1096" t="e">
        <f>'Ins Abs'!#REF!</f>
        <v>#REF!</v>
      </c>
      <c r="F377" s="1097" t="e">
        <f t="shared" si="25"/>
        <v>#REF!</v>
      </c>
      <c r="G377" s="1096" t="e">
        <f>'SI Abs '!#REF!</f>
        <v>#REF!</v>
      </c>
      <c r="H377" s="1097" t="e">
        <f>'SI Abs '!#REF!</f>
        <v>#REF!</v>
      </c>
      <c r="I377" s="1096" t="e">
        <f>'PC Abs'!#REF!</f>
        <v>#REF!</v>
      </c>
      <c r="J377" s="1097" t="e">
        <f>'PC Abs'!#REF!</f>
        <v>#REF!</v>
      </c>
      <c r="K377" s="1096"/>
      <c r="L377" s="1097" t="e">
        <f t="shared" si="29"/>
        <v>#REF!</v>
      </c>
      <c r="M377" s="1096"/>
      <c r="N377" s="1096"/>
      <c r="O377" s="1098" t="e">
        <f t="shared" si="32"/>
        <v>#REF!</v>
      </c>
      <c r="P377" s="1095" t="s">
        <v>2400</v>
      </c>
      <c r="Q377" s="1099"/>
      <c r="R377" s="1099"/>
    </row>
    <row r="378" spans="1:19" ht="49.5" customHeight="1">
      <c r="A378" s="1090">
        <v>50.3</v>
      </c>
      <c r="B378" s="933" t="s">
        <v>3958</v>
      </c>
      <c r="C378" s="1092" t="e">
        <f>ROUND(#REF!,2)</f>
        <v>#REF!</v>
      </c>
      <c r="D378" s="940" t="s">
        <v>340</v>
      </c>
      <c r="E378" s="1096" t="e">
        <f>'Ins Abs'!#REF!</f>
        <v>#REF!</v>
      </c>
      <c r="F378" s="1097" t="e">
        <f t="shared" si="25"/>
        <v>#REF!</v>
      </c>
      <c r="G378" s="1096" t="e">
        <f>'SI Abs '!#REF!</f>
        <v>#REF!</v>
      </c>
      <c r="H378" s="1097" t="e">
        <f>'SI Abs '!#REF!</f>
        <v>#REF!</v>
      </c>
      <c r="I378" s="1096" t="e">
        <f>'PC Abs'!#REF!</f>
        <v>#REF!</v>
      </c>
      <c r="J378" s="1097" t="e">
        <f>'PC Abs'!#REF!</f>
        <v>#REF!</v>
      </c>
      <c r="K378" s="1096"/>
      <c r="L378" s="1097" t="e">
        <f t="shared" si="29"/>
        <v>#REF!</v>
      </c>
      <c r="M378" s="1096"/>
      <c r="N378" s="1096"/>
      <c r="O378" s="1098" t="e">
        <f t="shared" si="32"/>
        <v>#REF!</v>
      </c>
      <c r="P378" s="1095" t="s">
        <v>2400</v>
      </c>
      <c r="Q378" s="1099"/>
      <c r="R378" s="1099"/>
    </row>
    <row r="379" spans="1:19" ht="43.5" customHeight="1">
      <c r="A379" s="1090">
        <v>50.4</v>
      </c>
      <c r="B379" s="933" t="s">
        <v>3959</v>
      </c>
      <c r="C379" s="1092" t="e">
        <f>ROUND(#REF!,2)</f>
        <v>#REF!</v>
      </c>
      <c r="D379" s="940" t="s">
        <v>340</v>
      </c>
      <c r="E379" s="1096" t="e">
        <f>'Ins Abs'!#REF!</f>
        <v>#REF!</v>
      </c>
      <c r="F379" s="1097" t="e">
        <f t="shared" si="25"/>
        <v>#REF!</v>
      </c>
      <c r="G379" s="1096" t="e">
        <f>'SI Abs '!#REF!</f>
        <v>#REF!</v>
      </c>
      <c r="H379" s="1097" t="e">
        <f>'SI Abs '!#REF!</f>
        <v>#REF!</v>
      </c>
      <c r="I379" s="1096" t="e">
        <f>'PC Abs'!#REF!</f>
        <v>#REF!</v>
      </c>
      <c r="J379" s="1097" t="e">
        <f>'PC Abs'!#REF!</f>
        <v>#REF!</v>
      </c>
      <c r="K379" s="1096"/>
      <c r="L379" s="1097" t="e">
        <f t="shared" si="29"/>
        <v>#REF!</v>
      </c>
      <c r="M379" s="1096"/>
      <c r="N379" s="1096"/>
      <c r="O379" s="1098" t="e">
        <f t="shared" si="32"/>
        <v>#REF!</v>
      </c>
      <c r="P379" s="1095" t="s">
        <v>2400</v>
      </c>
      <c r="Q379" s="1099"/>
      <c r="R379" s="1099"/>
    </row>
    <row r="380" spans="1:19" ht="62.25" customHeight="1">
      <c r="A380" s="1090">
        <v>50.5</v>
      </c>
      <c r="B380" s="933" t="s">
        <v>3960</v>
      </c>
      <c r="C380" s="1092" t="e">
        <f>ROUND(#REF!,2)</f>
        <v>#REF!</v>
      </c>
      <c r="D380" s="940" t="s">
        <v>340</v>
      </c>
      <c r="E380" s="1096" t="e">
        <f>'Ins Abs'!#REF!</f>
        <v>#REF!</v>
      </c>
      <c r="F380" s="1097" t="e">
        <f t="shared" si="25"/>
        <v>#REF!</v>
      </c>
      <c r="G380" s="1096" t="e">
        <f>'SI Abs '!#REF!</f>
        <v>#REF!</v>
      </c>
      <c r="H380" s="1097" t="e">
        <f>'SI Abs '!#REF!</f>
        <v>#REF!</v>
      </c>
      <c r="I380" s="1096" t="e">
        <f>'PC Abs'!#REF!</f>
        <v>#REF!</v>
      </c>
      <c r="J380" s="1097" t="e">
        <f>'PC Abs'!#REF!</f>
        <v>#REF!</v>
      </c>
      <c r="K380" s="1096"/>
      <c r="L380" s="1097" t="e">
        <f t="shared" si="29"/>
        <v>#REF!</v>
      </c>
      <c r="M380" s="1096"/>
      <c r="N380" s="1096"/>
      <c r="O380" s="1098" t="e">
        <f t="shared" si="32"/>
        <v>#REF!</v>
      </c>
      <c r="P380" s="1095" t="s">
        <v>2400</v>
      </c>
      <c r="Q380" s="1099"/>
      <c r="R380" s="1099"/>
    </row>
    <row r="381" spans="1:19" s="1108" customFormat="1" ht="53.25" customHeight="1">
      <c r="A381" s="1154">
        <v>51</v>
      </c>
      <c r="B381" s="1272" t="s">
        <v>3961</v>
      </c>
      <c r="C381" s="1155" t="e">
        <f>ROUND(#REF!,2)</f>
        <v>#REF!</v>
      </c>
      <c r="D381" s="1156" t="s">
        <v>340</v>
      </c>
      <c r="E381" s="1096">
        <f>'Ins Abs'!Q36</f>
        <v>5</v>
      </c>
      <c r="F381" s="1097" t="e">
        <f t="shared" si="25"/>
        <v>#REF!</v>
      </c>
      <c r="G381" s="1096">
        <f>'SI Abs '!Q40</f>
        <v>8</v>
      </c>
      <c r="H381" s="1097">
        <f>'SI Abs '!R40</f>
        <v>56280.000000000007</v>
      </c>
      <c r="I381" s="1096">
        <f>'PC Abs'!Q37</f>
        <v>24</v>
      </c>
      <c r="J381" s="1097">
        <f>'PC Abs'!R37</f>
        <v>168840.00000000003</v>
      </c>
      <c r="K381" s="1114"/>
      <c r="L381" s="1097" t="e">
        <f t="shared" si="29"/>
        <v>#REF!</v>
      </c>
      <c r="M381" s="1113"/>
      <c r="N381" s="1096"/>
      <c r="O381" s="1098">
        <f t="shared" si="32"/>
        <v>37</v>
      </c>
      <c r="P381" s="1096" t="e">
        <f>O381*C381</f>
        <v>#REF!</v>
      </c>
      <c r="Q381" s="1107"/>
      <c r="R381" s="1104"/>
    </row>
    <row r="382" spans="1:19" s="1144" customFormat="1" ht="46.9" customHeight="1">
      <c r="A382" s="1129">
        <v>52</v>
      </c>
      <c r="B382" s="1263" t="s">
        <v>3962</v>
      </c>
      <c r="C382" s="1117"/>
      <c r="D382" s="1118"/>
      <c r="E382" s="1096">
        <f>'Ins Abs'!Q37</f>
        <v>0</v>
      </c>
      <c r="F382" s="1097">
        <f t="shared" si="25"/>
        <v>0</v>
      </c>
      <c r="G382" s="1096">
        <f>'SI Abs '!Q41</f>
        <v>0</v>
      </c>
      <c r="H382" s="1097">
        <f>'SI Abs '!R41</f>
        <v>0</v>
      </c>
      <c r="I382" s="1096" t="e">
        <f>'PC Abs'!#REF!</f>
        <v>#REF!</v>
      </c>
      <c r="J382" s="1097" t="e">
        <f>'PC Abs'!#REF!</f>
        <v>#REF!</v>
      </c>
      <c r="K382" s="1096"/>
      <c r="L382" s="1097">
        <f t="shared" si="29"/>
        <v>0</v>
      </c>
      <c r="M382" s="1103"/>
      <c r="N382" s="1096"/>
      <c r="O382" s="1098" t="e">
        <f t="shared" si="32"/>
        <v>#REF!</v>
      </c>
      <c r="P382" s="1095" t="s">
        <v>2400</v>
      </c>
      <c r="Q382" s="1132"/>
      <c r="R382" s="1104"/>
      <c r="S382" s="1133"/>
    </row>
    <row r="383" spans="1:19" s="1144" customFormat="1" ht="46.9" customHeight="1">
      <c r="A383" s="1118"/>
      <c r="B383" s="1265" t="s">
        <v>3963</v>
      </c>
      <c r="C383" s="1117" t="e">
        <f>ROUND(#REF!,2)</f>
        <v>#REF!</v>
      </c>
      <c r="D383" s="1118" t="s">
        <v>303</v>
      </c>
      <c r="E383" s="1096">
        <f>'Ins Abs'!Q38</f>
        <v>30</v>
      </c>
      <c r="F383" s="1097" t="e">
        <f t="shared" si="25"/>
        <v>#REF!</v>
      </c>
      <c r="G383" s="1096">
        <f>'SI Abs '!Q42</f>
        <v>72</v>
      </c>
      <c r="H383" s="1097">
        <f>'SI Abs '!R42</f>
        <v>22121.423999999999</v>
      </c>
      <c r="I383" s="1096">
        <f>'PC Abs'!Q38</f>
        <v>50</v>
      </c>
      <c r="J383" s="1097">
        <f>'PC Abs'!R38</f>
        <v>15362.099999999999</v>
      </c>
      <c r="K383" s="1096"/>
      <c r="L383" s="1097" t="e">
        <f t="shared" si="29"/>
        <v>#REF!</v>
      </c>
      <c r="M383" s="1103"/>
      <c r="N383" s="1096"/>
      <c r="O383" s="1098">
        <f t="shared" si="32"/>
        <v>152</v>
      </c>
      <c r="P383" s="1096" t="e">
        <f>O383*C383</f>
        <v>#REF!</v>
      </c>
      <c r="Q383" s="1104"/>
      <c r="R383" s="1104"/>
    </row>
    <row r="384" spans="1:19" s="1144" customFormat="1" ht="46.9" customHeight="1">
      <c r="A384" s="1118"/>
      <c r="B384" s="1265" t="s">
        <v>3964</v>
      </c>
      <c r="C384" s="1117" t="e">
        <f>ROUND(#REF!,2)</f>
        <v>#REF!</v>
      </c>
      <c r="D384" s="1118" t="s">
        <v>303</v>
      </c>
      <c r="E384" s="1096">
        <f>'Ins Abs'!Q39</f>
        <v>90</v>
      </c>
      <c r="F384" s="1097" t="e">
        <f t="shared" si="25"/>
        <v>#REF!</v>
      </c>
      <c r="G384" s="1096">
        <f>'SI Abs '!Q43</f>
        <v>120</v>
      </c>
      <c r="H384" s="1097">
        <f>'SI Abs '!R43</f>
        <v>34756</v>
      </c>
      <c r="I384" s="1096">
        <f>'PC Abs'!Q39</f>
        <v>300</v>
      </c>
      <c r="J384" s="1097">
        <f>'PC Abs'!R39</f>
        <v>86890</v>
      </c>
      <c r="K384" s="1096"/>
      <c r="L384" s="1097" t="e">
        <f t="shared" si="29"/>
        <v>#REF!</v>
      </c>
      <c r="M384" s="1103"/>
      <c r="N384" s="1096"/>
      <c r="O384" s="1098">
        <f t="shared" si="32"/>
        <v>510</v>
      </c>
      <c r="P384" s="1096" t="e">
        <f>O384*C384</f>
        <v>#REF!</v>
      </c>
      <c r="Q384" s="1104"/>
      <c r="R384" s="1104"/>
    </row>
    <row r="385" spans="1:18" s="1108" customFormat="1">
      <c r="A385" s="1138"/>
      <c r="B385" s="933" t="s">
        <v>3965</v>
      </c>
      <c r="C385" s="1092" t="e">
        <f>ROUND(#REF!,2)</f>
        <v>#REF!</v>
      </c>
      <c r="D385" s="940" t="s">
        <v>303</v>
      </c>
      <c r="E385" s="1103"/>
      <c r="F385" s="1097" t="e">
        <f t="shared" si="25"/>
        <v>#REF!</v>
      </c>
      <c r="G385" s="1103"/>
      <c r="H385" s="1097" t="e">
        <f t="shared" si="26"/>
        <v>#REF!</v>
      </c>
      <c r="I385" s="1103"/>
      <c r="J385" s="1097" t="e">
        <f t="shared" si="31"/>
        <v>#REF!</v>
      </c>
      <c r="K385" s="1096"/>
      <c r="L385" s="1097" t="e">
        <f t="shared" si="29"/>
        <v>#REF!</v>
      </c>
      <c r="M385" s="1103"/>
      <c r="N385" s="1096"/>
      <c r="O385" s="1098"/>
      <c r="P385" s="1096"/>
      <c r="Q385" s="1107"/>
      <c r="R385" s="1104"/>
    </row>
    <row r="386" spans="1:18" ht="46.5">
      <c r="A386" s="1090">
        <v>52.1</v>
      </c>
      <c r="B386" s="933" t="s">
        <v>3966</v>
      </c>
      <c r="C386" s="1092" t="e">
        <f>ROUND(#REF!,2)</f>
        <v>#REF!</v>
      </c>
      <c r="D386" s="940" t="s">
        <v>303</v>
      </c>
      <c r="E386" s="1096"/>
      <c r="F386" s="1097" t="e">
        <f t="shared" si="25"/>
        <v>#REF!</v>
      </c>
      <c r="G386" s="1096"/>
      <c r="H386" s="1097" t="e">
        <f t="shared" si="26"/>
        <v>#REF!</v>
      </c>
      <c r="I386" s="1096"/>
      <c r="J386" s="1097" t="e">
        <f t="shared" si="31"/>
        <v>#REF!</v>
      </c>
      <c r="K386" s="1096"/>
      <c r="L386" s="1097" t="e">
        <f t="shared" si="29"/>
        <v>#REF!</v>
      </c>
      <c r="M386" s="1096"/>
      <c r="N386" s="1096"/>
      <c r="O386" s="1098"/>
      <c r="P386" s="1096"/>
      <c r="Q386" s="1099"/>
      <c r="R386" s="1099"/>
    </row>
    <row r="387" spans="1:18" s="1108" customFormat="1">
      <c r="A387" s="1119">
        <v>53.1</v>
      </c>
      <c r="B387" s="935" t="s">
        <v>3967</v>
      </c>
      <c r="C387" s="1120" t="e">
        <f>ROUND(#REF!,2)</f>
        <v>#REF!</v>
      </c>
      <c r="D387" s="1121" t="s">
        <v>340</v>
      </c>
      <c r="E387" s="1096">
        <f>'Ins Abs'!Q40</f>
        <v>5</v>
      </c>
      <c r="F387" s="1097" t="e">
        <f>C387*E387</f>
        <v>#REF!</v>
      </c>
      <c r="G387" s="1096">
        <f>'SI Abs '!Q44</f>
        <v>8</v>
      </c>
      <c r="H387" s="1097">
        <f>'SI Abs '!R44</f>
        <v>30852.959999999999</v>
      </c>
      <c r="I387" s="1096">
        <f>'PC Abs'!Q40</f>
        <v>24</v>
      </c>
      <c r="J387" s="1097">
        <f>'PC Abs'!R40</f>
        <v>92558.88</v>
      </c>
      <c r="K387" s="1096"/>
      <c r="L387" s="1097" t="e">
        <f t="shared" si="29"/>
        <v>#REF!</v>
      </c>
      <c r="M387" s="1103"/>
      <c r="N387" s="1096"/>
      <c r="O387" s="1098">
        <f>E387+G387+I387+K387</f>
        <v>37</v>
      </c>
      <c r="P387" s="1096" t="e">
        <f>O387*C387</f>
        <v>#REF!</v>
      </c>
      <c r="Q387" s="1107"/>
      <c r="R387" s="1104"/>
    </row>
    <row r="388" spans="1:18" s="1108" customFormat="1" ht="46.5">
      <c r="A388" s="1090">
        <v>53.2</v>
      </c>
      <c r="B388" s="933" t="s">
        <v>3968</v>
      </c>
      <c r="C388" s="1106"/>
      <c r="D388" s="943" t="s">
        <v>340</v>
      </c>
      <c r="E388" s="1103"/>
      <c r="F388" s="1097">
        <f t="shared" si="25"/>
        <v>0</v>
      </c>
      <c r="G388" s="1103"/>
      <c r="H388" s="1097">
        <f t="shared" si="26"/>
        <v>0</v>
      </c>
      <c r="I388" s="1103"/>
      <c r="J388" s="1097">
        <f t="shared" si="31"/>
        <v>0</v>
      </c>
      <c r="K388" s="1096"/>
      <c r="L388" s="1097">
        <f t="shared" si="29"/>
        <v>0</v>
      </c>
      <c r="M388" s="1103"/>
      <c r="N388" s="1096"/>
      <c r="O388" s="1098"/>
      <c r="P388" s="1096"/>
      <c r="Q388" s="1107"/>
      <c r="R388" s="1104"/>
    </row>
    <row r="389" spans="1:18" ht="46.9" customHeight="1">
      <c r="A389" s="1090">
        <v>53.3</v>
      </c>
      <c r="B389" s="933" t="s">
        <v>3969</v>
      </c>
      <c r="C389" s="1092" t="e">
        <f>ROUND(#REF!,2)</f>
        <v>#REF!</v>
      </c>
      <c r="D389" s="940" t="s">
        <v>340</v>
      </c>
      <c r="E389" s="1096"/>
      <c r="F389" s="1097" t="e">
        <f t="shared" si="25"/>
        <v>#REF!</v>
      </c>
      <c r="G389" s="1096"/>
      <c r="H389" s="1097" t="e">
        <f t="shared" si="26"/>
        <v>#REF!</v>
      </c>
      <c r="I389" s="1096"/>
      <c r="J389" s="1097" t="e">
        <f t="shared" si="31"/>
        <v>#REF!</v>
      </c>
      <c r="K389" s="1096"/>
      <c r="L389" s="1097" t="e">
        <f t="shared" si="29"/>
        <v>#REF!</v>
      </c>
      <c r="M389" s="1096"/>
      <c r="N389" s="1096"/>
      <c r="O389" s="1098"/>
      <c r="P389" s="1096"/>
      <c r="Q389" s="1099"/>
      <c r="R389" s="1099"/>
    </row>
    <row r="390" spans="1:18" s="1108" customFormat="1" ht="25.5" customHeight="1">
      <c r="A390" s="1157">
        <v>54</v>
      </c>
      <c r="B390" s="935" t="s">
        <v>3970</v>
      </c>
      <c r="C390" s="1120" t="e">
        <f>ROUND(#REF!,2)</f>
        <v>#REF!</v>
      </c>
      <c r="D390" s="1121" t="s">
        <v>340</v>
      </c>
      <c r="E390" s="1103"/>
      <c r="F390" s="1097" t="e">
        <f t="shared" si="25"/>
        <v>#REF!</v>
      </c>
      <c r="G390" s="1103"/>
      <c r="H390" s="1097" t="e">
        <f t="shared" si="26"/>
        <v>#REF!</v>
      </c>
      <c r="I390" s="1103"/>
      <c r="J390" s="1097" t="e">
        <f t="shared" si="31"/>
        <v>#REF!</v>
      </c>
      <c r="K390" s="1096"/>
      <c r="L390" s="1097" t="e">
        <f t="shared" si="29"/>
        <v>#REF!</v>
      </c>
      <c r="M390" s="1103"/>
      <c r="N390" s="1096"/>
      <c r="O390" s="1098"/>
      <c r="P390" s="1096"/>
      <c r="Q390" s="1107"/>
      <c r="R390" s="1104"/>
    </row>
    <row r="391" spans="1:18" s="1108" customFormat="1" ht="36.75" customHeight="1">
      <c r="A391" s="1090">
        <v>54.1</v>
      </c>
      <c r="B391" s="933" t="s">
        <v>3971</v>
      </c>
      <c r="C391" s="1106" t="e">
        <f>ROUND(#REF!,2)</f>
        <v>#REF!</v>
      </c>
      <c r="D391" s="943" t="s">
        <v>340</v>
      </c>
      <c r="E391" s="1096">
        <f>'Ins Abs'!Q41</f>
        <v>20</v>
      </c>
      <c r="F391" s="1097" t="e">
        <f t="shared" si="25"/>
        <v>#REF!</v>
      </c>
      <c r="G391" s="1096">
        <f>'SI Abs '!Q45</f>
        <v>24</v>
      </c>
      <c r="H391" s="1097">
        <f>'SI Abs '!R45</f>
        <v>12912</v>
      </c>
      <c r="I391" s="1096">
        <f>'PC Abs'!Q41</f>
        <v>54</v>
      </c>
      <c r="J391" s="1097">
        <f>'PC Abs'!R41</f>
        <v>29052</v>
      </c>
      <c r="K391" s="1096"/>
      <c r="L391" s="1097" t="e">
        <f t="shared" si="29"/>
        <v>#REF!</v>
      </c>
      <c r="M391" s="1103"/>
      <c r="N391" s="1096"/>
      <c r="O391" s="1098">
        <f t="shared" ref="O391:O392" si="33">E391+G391+I391+K391</f>
        <v>98</v>
      </c>
      <c r="P391" s="1096" t="e">
        <f>O391*C391</f>
        <v>#REF!</v>
      </c>
      <c r="Q391" s="1107"/>
      <c r="R391" s="1104"/>
    </row>
    <row r="392" spans="1:18" s="1108" customFormat="1" ht="36.75" customHeight="1">
      <c r="A392" s="1090">
        <v>54.2</v>
      </c>
      <c r="B392" s="933" t="s">
        <v>3972</v>
      </c>
      <c r="C392" s="1106" t="e">
        <f>ROUND(#REF!,2)</f>
        <v>#REF!</v>
      </c>
      <c r="D392" s="943" t="s">
        <v>340</v>
      </c>
      <c r="E392" s="1096">
        <f>'Ins Abs'!Q42</f>
        <v>8</v>
      </c>
      <c r="F392" s="1097" t="e">
        <f t="shared" si="25"/>
        <v>#REF!</v>
      </c>
      <c r="G392" s="1096">
        <f>'SI Abs '!Q46</f>
        <v>13</v>
      </c>
      <c r="H392" s="1097">
        <f>'SI Abs '!R46</f>
        <v>6370</v>
      </c>
      <c r="I392" s="1096">
        <f>'PC Abs'!Q42</f>
        <v>24</v>
      </c>
      <c r="J392" s="1097">
        <f>'PC Abs'!R42</f>
        <v>11760</v>
      </c>
      <c r="K392" s="1096"/>
      <c r="L392" s="1097" t="e">
        <f t="shared" si="29"/>
        <v>#REF!</v>
      </c>
      <c r="M392" s="1103"/>
      <c r="N392" s="1096"/>
      <c r="O392" s="1098">
        <f t="shared" si="33"/>
        <v>45</v>
      </c>
      <c r="P392" s="1096" t="e">
        <f>O392*C392</f>
        <v>#REF!</v>
      </c>
      <c r="Q392" s="1107"/>
      <c r="R392" s="1104"/>
    </row>
    <row r="393" spans="1:18" s="1108" customFormat="1" ht="25.5" customHeight="1">
      <c r="A393" s="1090">
        <v>55.1</v>
      </c>
      <c r="B393" s="933" t="s">
        <v>3973</v>
      </c>
      <c r="C393" s="1106" t="e">
        <f>#REF!</f>
        <v>#REF!</v>
      </c>
      <c r="D393" s="943" t="s">
        <v>340</v>
      </c>
      <c r="E393" s="1103"/>
      <c r="F393" s="1097" t="e">
        <f t="shared" ref="F393:F456" si="34">C393*E393</f>
        <v>#REF!</v>
      </c>
      <c r="G393" s="1103"/>
      <c r="H393" s="1097" t="e">
        <f t="shared" ref="H393:H456" si="35">C393*G393</f>
        <v>#REF!</v>
      </c>
      <c r="I393" s="1103"/>
      <c r="J393" s="1097" t="e">
        <f t="shared" si="31"/>
        <v>#REF!</v>
      </c>
      <c r="K393" s="1096"/>
      <c r="L393" s="1097" t="e">
        <f t="shared" si="29"/>
        <v>#REF!</v>
      </c>
      <c r="M393" s="1103"/>
      <c r="N393" s="1096"/>
      <c r="O393" s="1098"/>
      <c r="P393" s="1096"/>
      <c r="Q393" s="1107"/>
      <c r="R393" s="1104"/>
    </row>
    <row r="394" spans="1:18" s="1108" customFormat="1" ht="45.75" customHeight="1">
      <c r="A394" s="1090">
        <v>55.2</v>
      </c>
      <c r="B394" s="933" t="s">
        <v>3974</v>
      </c>
      <c r="C394" s="1106" t="e">
        <f>#REF!</f>
        <v>#REF!</v>
      </c>
      <c r="D394" s="943" t="s">
        <v>340</v>
      </c>
      <c r="E394" s="1096"/>
      <c r="F394" s="1097" t="e">
        <f t="shared" si="34"/>
        <v>#REF!</v>
      </c>
      <c r="G394" s="1096"/>
      <c r="H394" s="1097" t="e">
        <f t="shared" si="35"/>
        <v>#REF!</v>
      </c>
      <c r="I394" s="1096"/>
      <c r="J394" s="1097" t="e">
        <f t="shared" si="31"/>
        <v>#REF!</v>
      </c>
      <c r="K394" s="1096"/>
      <c r="L394" s="1097" t="e">
        <f t="shared" si="29"/>
        <v>#REF!</v>
      </c>
      <c r="M394" s="1096"/>
      <c r="N394" s="1096"/>
      <c r="O394" s="1098"/>
      <c r="P394" s="1096"/>
      <c r="Q394" s="1107"/>
      <c r="R394" s="1099"/>
    </row>
    <row r="395" spans="1:18" s="1108" customFormat="1" ht="25.5" customHeight="1">
      <c r="A395" s="1090">
        <v>56.1</v>
      </c>
      <c r="B395" s="933" t="s">
        <v>3975</v>
      </c>
      <c r="C395" s="1106" t="e">
        <f>ROUND(#REF!,2)</f>
        <v>#REF!</v>
      </c>
      <c r="D395" s="943" t="s">
        <v>340</v>
      </c>
      <c r="E395" s="1103"/>
      <c r="F395" s="1097" t="e">
        <f t="shared" si="34"/>
        <v>#REF!</v>
      </c>
      <c r="G395" s="1103"/>
      <c r="H395" s="1097" t="e">
        <f t="shared" si="35"/>
        <v>#REF!</v>
      </c>
      <c r="I395" s="1103"/>
      <c r="J395" s="1097" t="e">
        <f t="shared" si="31"/>
        <v>#REF!</v>
      </c>
      <c r="K395" s="1096"/>
      <c r="L395" s="1097" t="e">
        <f t="shared" si="29"/>
        <v>#REF!</v>
      </c>
      <c r="M395" s="1103"/>
      <c r="N395" s="1096"/>
      <c r="O395" s="1098"/>
      <c r="P395" s="1096"/>
      <c r="Q395" s="1107"/>
      <c r="R395" s="1104"/>
    </row>
    <row r="396" spans="1:18" s="1108" customFormat="1" ht="25.5" customHeight="1">
      <c r="A396" s="1090">
        <v>56.2</v>
      </c>
      <c r="B396" s="933" t="s">
        <v>3976</v>
      </c>
      <c r="C396" s="1106" t="e">
        <f>ROUND(#REF!,2)</f>
        <v>#REF!</v>
      </c>
      <c r="D396" s="943" t="s">
        <v>340</v>
      </c>
      <c r="E396" s="1103"/>
      <c r="F396" s="1097" t="e">
        <f t="shared" si="34"/>
        <v>#REF!</v>
      </c>
      <c r="G396" s="1103"/>
      <c r="H396" s="1097" t="e">
        <f t="shared" si="35"/>
        <v>#REF!</v>
      </c>
      <c r="I396" s="1103"/>
      <c r="J396" s="1097" t="e">
        <f t="shared" si="31"/>
        <v>#REF!</v>
      </c>
      <c r="K396" s="1096"/>
      <c r="L396" s="1097" t="e">
        <f t="shared" si="29"/>
        <v>#REF!</v>
      </c>
      <c r="M396" s="1103"/>
      <c r="N396" s="1096"/>
      <c r="O396" s="1098"/>
      <c r="P396" s="1096"/>
      <c r="Q396" s="1107"/>
      <c r="R396" s="1104"/>
    </row>
    <row r="397" spans="1:18" s="1108" customFormat="1" ht="41.25" customHeight="1">
      <c r="A397" s="1158">
        <v>57</v>
      </c>
      <c r="B397" s="933" t="s">
        <v>3977</v>
      </c>
      <c r="C397" s="1106" t="e">
        <f>ROUND(#REF!,2)</f>
        <v>#REF!</v>
      </c>
      <c r="D397" s="943" t="s">
        <v>340</v>
      </c>
      <c r="E397" s="1103"/>
      <c r="F397" s="1097" t="e">
        <f t="shared" si="34"/>
        <v>#REF!</v>
      </c>
      <c r="G397" s="1103"/>
      <c r="H397" s="1097" t="e">
        <f t="shared" si="35"/>
        <v>#REF!</v>
      </c>
      <c r="I397" s="1103"/>
      <c r="J397" s="1097" t="e">
        <f t="shared" si="31"/>
        <v>#REF!</v>
      </c>
      <c r="K397" s="1096"/>
      <c r="L397" s="1097" t="e">
        <f t="shared" si="29"/>
        <v>#REF!</v>
      </c>
      <c r="M397" s="1103"/>
      <c r="N397" s="1096"/>
      <c r="O397" s="1098"/>
      <c r="P397" s="1096"/>
      <c r="Q397" s="1107"/>
      <c r="R397" s="1104"/>
    </row>
    <row r="398" spans="1:18" s="1108" customFormat="1" ht="45.75" customHeight="1">
      <c r="A398" s="1090">
        <v>57.1</v>
      </c>
      <c r="B398" s="933" t="s">
        <v>3978</v>
      </c>
      <c r="C398" s="1106" t="e">
        <f>ROUND(#REF!,2)</f>
        <v>#REF!</v>
      </c>
      <c r="D398" s="943" t="s">
        <v>340</v>
      </c>
      <c r="E398" s="1103"/>
      <c r="F398" s="1097" t="e">
        <f t="shared" si="34"/>
        <v>#REF!</v>
      </c>
      <c r="G398" s="1103"/>
      <c r="H398" s="1097" t="e">
        <f t="shared" si="35"/>
        <v>#REF!</v>
      </c>
      <c r="I398" s="1103"/>
      <c r="J398" s="1097" t="e">
        <f t="shared" si="31"/>
        <v>#REF!</v>
      </c>
      <c r="K398" s="1096"/>
      <c r="L398" s="1097" t="e">
        <f t="shared" si="29"/>
        <v>#REF!</v>
      </c>
      <c r="M398" s="1103"/>
      <c r="N398" s="1096"/>
      <c r="O398" s="1098"/>
      <c r="P398" s="1096"/>
      <c r="Q398" s="1107"/>
      <c r="R398" s="1104"/>
    </row>
    <row r="399" spans="1:18" s="1108" customFormat="1" ht="20.100000000000001" customHeight="1">
      <c r="A399" s="1090">
        <v>58.1</v>
      </c>
      <c r="B399" s="933" t="s">
        <v>3979</v>
      </c>
      <c r="C399" s="1106"/>
      <c r="D399" s="943"/>
      <c r="E399" s="1103"/>
      <c r="F399" s="1097">
        <f t="shared" si="34"/>
        <v>0</v>
      </c>
      <c r="G399" s="1103"/>
      <c r="H399" s="1097">
        <f t="shared" si="35"/>
        <v>0</v>
      </c>
      <c r="I399" s="1103"/>
      <c r="J399" s="1097">
        <f t="shared" si="31"/>
        <v>0</v>
      </c>
      <c r="K399" s="1096"/>
      <c r="L399" s="1097">
        <f t="shared" si="29"/>
        <v>0</v>
      </c>
      <c r="M399" s="1103"/>
      <c r="N399" s="1096"/>
      <c r="O399" s="1098"/>
      <c r="P399" s="1096"/>
      <c r="Q399" s="1107"/>
      <c r="R399" s="1104"/>
    </row>
    <row r="400" spans="1:18" s="1108" customFormat="1" ht="20.100000000000001" customHeight="1">
      <c r="A400" s="940"/>
      <c r="B400" s="933" t="s">
        <v>3980</v>
      </c>
      <c r="C400" s="1106" t="e">
        <f>ROUND(#REF!,2)</f>
        <v>#REF!</v>
      </c>
      <c r="D400" s="943" t="s">
        <v>303</v>
      </c>
      <c r="E400" s="1103"/>
      <c r="F400" s="1097" t="e">
        <f t="shared" si="34"/>
        <v>#REF!</v>
      </c>
      <c r="G400" s="1103"/>
      <c r="H400" s="1097" t="e">
        <f t="shared" si="35"/>
        <v>#REF!</v>
      </c>
      <c r="I400" s="1103"/>
      <c r="J400" s="1097" t="e">
        <f t="shared" si="31"/>
        <v>#REF!</v>
      </c>
      <c r="K400" s="1096"/>
      <c r="L400" s="1097" t="e">
        <f t="shared" si="29"/>
        <v>#REF!</v>
      </c>
      <c r="M400" s="1103"/>
      <c r="N400" s="1096"/>
      <c r="O400" s="1098"/>
      <c r="P400" s="1096"/>
      <c r="Q400" s="1107"/>
      <c r="R400" s="1104"/>
    </row>
    <row r="401" spans="1:18" s="1108" customFormat="1" ht="20.100000000000001" customHeight="1">
      <c r="A401" s="1138"/>
      <c r="B401" s="933" t="s">
        <v>3981</v>
      </c>
      <c r="C401" s="1106" t="e">
        <f>ROUND(#REF!,2)</f>
        <v>#REF!</v>
      </c>
      <c r="D401" s="943" t="s">
        <v>303</v>
      </c>
      <c r="E401" s="1103"/>
      <c r="F401" s="1097" t="e">
        <f t="shared" si="34"/>
        <v>#REF!</v>
      </c>
      <c r="G401" s="1103"/>
      <c r="H401" s="1097" t="e">
        <f t="shared" si="35"/>
        <v>#REF!</v>
      </c>
      <c r="I401" s="1103"/>
      <c r="J401" s="1097" t="e">
        <f t="shared" si="31"/>
        <v>#REF!</v>
      </c>
      <c r="K401" s="1096"/>
      <c r="L401" s="1097" t="e">
        <f t="shared" si="29"/>
        <v>#REF!</v>
      </c>
      <c r="M401" s="1103"/>
      <c r="N401" s="1096"/>
      <c r="O401" s="1098"/>
      <c r="P401" s="1096"/>
      <c r="Q401" s="1107"/>
      <c r="R401" s="1104"/>
    </row>
    <row r="402" spans="1:18" s="1108" customFormat="1" ht="20.100000000000001" customHeight="1">
      <c r="A402" s="1090">
        <v>58.2</v>
      </c>
      <c r="B402" s="933" t="s">
        <v>3982</v>
      </c>
      <c r="C402" s="1106" t="e">
        <f>ROUND(#REF!,2)</f>
        <v>#REF!</v>
      </c>
      <c r="D402" s="943" t="s">
        <v>340</v>
      </c>
      <c r="E402" s="1103"/>
      <c r="F402" s="1097" t="e">
        <f t="shared" si="34"/>
        <v>#REF!</v>
      </c>
      <c r="G402" s="1103"/>
      <c r="H402" s="1097" t="e">
        <f t="shared" si="35"/>
        <v>#REF!</v>
      </c>
      <c r="I402" s="1103"/>
      <c r="J402" s="1097" t="e">
        <f t="shared" si="31"/>
        <v>#REF!</v>
      </c>
      <c r="K402" s="1096"/>
      <c r="L402" s="1097" t="e">
        <f t="shared" si="29"/>
        <v>#REF!</v>
      </c>
      <c r="M402" s="1103"/>
      <c r="N402" s="1096"/>
      <c r="O402" s="1098"/>
      <c r="P402" s="1096"/>
      <c r="Q402" s="1107"/>
      <c r="R402" s="1104"/>
    </row>
    <row r="403" spans="1:18" s="1108" customFormat="1" ht="39.950000000000003" customHeight="1">
      <c r="A403" s="1090">
        <v>59.1</v>
      </c>
      <c r="B403" s="933" t="s">
        <v>3983</v>
      </c>
      <c r="C403" s="1106"/>
      <c r="D403" s="943" t="s">
        <v>340</v>
      </c>
      <c r="E403" s="1103"/>
      <c r="F403" s="1097">
        <f t="shared" si="34"/>
        <v>0</v>
      </c>
      <c r="G403" s="1103"/>
      <c r="H403" s="1097">
        <f t="shared" si="35"/>
        <v>0</v>
      </c>
      <c r="I403" s="1103"/>
      <c r="J403" s="1097">
        <f t="shared" si="31"/>
        <v>0</v>
      </c>
      <c r="K403" s="1096"/>
      <c r="L403" s="1097">
        <f t="shared" si="29"/>
        <v>0</v>
      </c>
      <c r="M403" s="1103"/>
      <c r="N403" s="1096"/>
      <c r="O403" s="1098"/>
      <c r="P403" s="1096"/>
      <c r="Q403" s="1107"/>
      <c r="R403" s="1104"/>
    </row>
    <row r="404" spans="1:18" s="1108" customFormat="1" ht="60.75" customHeight="1">
      <c r="A404" s="1090">
        <v>59.2</v>
      </c>
      <c r="B404" s="933" t="s">
        <v>3984</v>
      </c>
      <c r="C404" s="1092" t="e">
        <f>ROUND(#REF!,2)</f>
        <v>#REF!</v>
      </c>
      <c r="D404" s="940" t="s">
        <v>340</v>
      </c>
      <c r="E404" s="1096"/>
      <c r="F404" s="1097" t="e">
        <f t="shared" si="34"/>
        <v>#REF!</v>
      </c>
      <c r="G404" s="1096"/>
      <c r="H404" s="1097" t="e">
        <f t="shared" si="35"/>
        <v>#REF!</v>
      </c>
      <c r="I404" s="1096"/>
      <c r="J404" s="1097" t="e">
        <f t="shared" si="31"/>
        <v>#REF!</v>
      </c>
      <c r="K404" s="1096"/>
      <c r="L404" s="1097" t="e">
        <f t="shared" si="29"/>
        <v>#REF!</v>
      </c>
      <c r="M404" s="1096"/>
      <c r="N404" s="1096"/>
      <c r="O404" s="1098"/>
      <c r="P404" s="1096"/>
      <c r="Q404" s="1107"/>
      <c r="R404" s="1099"/>
    </row>
    <row r="405" spans="1:18" s="1108" customFormat="1" ht="39.950000000000003" customHeight="1">
      <c r="A405" s="1090">
        <v>59.3</v>
      </c>
      <c r="B405" s="933" t="s">
        <v>3985</v>
      </c>
      <c r="C405" s="1106"/>
      <c r="D405" s="943" t="s">
        <v>340</v>
      </c>
      <c r="E405" s="1103"/>
      <c r="F405" s="1097">
        <f t="shared" si="34"/>
        <v>0</v>
      </c>
      <c r="G405" s="1103"/>
      <c r="H405" s="1097">
        <f t="shared" si="35"/>
        <v>0</v>
      </c>
      <c r="I405" s="1103"/>
      <c r="J405" s="1097">
        <f t="shared" si="31"/>
        <v>0</v>
      </c>
      <c r="K405" s="1096"/>
      <c r="L405" s="1097">
        <f t="shared" si="29"/>
        <v>0</v>
      </c>
      <c r="M405" s="1103"/>
      <c r="N405" s="1096"/>
      <c r="O405" s="1098"/>
      <c r="P405" s="1096"/>
      <c r="Q405" s="1107"/>
      <c r="R405" s="1104"/>
    </row>
    <row r="406" spans="1:18" s="1108" customFormat="1" ht="59.25" customHeight="1">
      <c r="A406" s="1090">
        <v>59.4</v>
      </c>
      <c r="B406" s="933" t="s">
        <v>3986</v>
      </c>
      <c r="C406" s="1106"/>
      <c r="D406" s="943" t="s">
        <v>340</v>
      </c>
      <c r="E406" s="1103"/>
      <c r="F406" s="1097">
        <f t="shared" si="34"/>
        <v>0</v>
      </c>
      <c r="G406" s="1103"/>
      <c r="H406" s="1097">
        <f t="shared" si="35"/>
        <v>0</v>
      </c>
      <c r="I406" s="1103"/>
      <c r="J406" s="1097">
        <f t="shared" si="31"/>
        <v>0</v>
      </c>
      <c r="K406" s="1096"/>
      <c r="L406" s="1097">
        <f t="shared" si="29"/>
        <v>0</v>
      </c>
      <c r="M406" s="1103"/>
      <c r="N406" s="1096"/>
      <c r="O406" s="1098"/>
      <c r="P406" s="1096"/>
      <c r="Q406" s="1107"/>
      <c r="R406" s="1104"/>
    </row>
    <row r="407" spans="1:18" s="1105" customFormat="1" ht="67.5" customHeight="1">
      <c r="A407" s="1129">
        <v>59.5</v>
      </c>
      <c r="B407" s="1265" t="s">
        <v>3987</v>
      </c>
      <c r="C407" s="1117" t="e">
        <f>#REF!</f>
        <v>#REF!</v>
      </c>
      <c r="D407" s="1118" t="s">
        <v>340</v>
      </c>
      <c r="E407" s="1103"/>
      <c r="F407" s="1097" t="e">
        <f t="shared" si="34"/>
        <v>#REF!</v>
      </c>
      <c r="G407" s="1103"/>
      <c r="H407" s="1097" t="e">
        <f t="shared" si="35"/>
        <v>#REF!</v>
      </c>
      <c r="I407" s="1103"/>
      <c r="J407" s="1097" t="e">
        <f t="shared" si="31"/>
        <v>#REF!</v>
      </c>
      <c r="K407" s="1096"/>
      <c r="L407" s="1097" t="e">
        <f t="shared" si="29"/>
        <v>#REF!</v>
      </c>
      <c r="M407" s="1103"/>
      <c r="N407" s="1096"/>
      <c r="O407" s="1098"/>
      <c r="P407" s="1096"/>
      <c r="Q407" s="1104"/>
      <c r="R407" s="1104"/>
    </row>
    <row r="408" spans="1:18" s="1108" customFormat="1" ht="61.5" customHeight="1">
      <c r="A408" s="1119">
        <v>59.6</v>
      </c>
      <c r="B408" s="935" t="s">
        <v>3988</v>
      </c>
      <c r="C408" s="1120"/>
      <c r="D408" s="1121" t="s">
        <v>340</v>
      </c>
      <c r="E408" s="1103"/>
      <c r="F408" s="1097">
        <f t="shared" si="34"/>
        <v>0</v>
      </c>
      <c r="G408" s="1103"/>
      <c r="H408" s="1097">
        <f t="shared" si="35"/>
        <v>0</v>
      </c>
      <c r="I408" s="1103"/>
      <c r="J408" s="1097">
        <f t="shared" si="31"/>
        <v>0</v>
      </c>
      <c r="K408" s="1096"/>
      <c r="L408" s="1097">
        <f t="shared" si="29"/>
        <v>0</v>
      </c>
      <c r="M408" s="1103"/>
      <c r="N408" s="1096"/>
      <c r="O408" s="1098"/>
      <c r="P408" s="1096"/>
      <c r="Q408" s="1107"/>
      <c r="R408" s="1104"/>
    </row>
    <row r="409" spans="1:18" ht="54.75" customHeight="1">
      <c r="A409" s="1090">
        <v>60</v>
      </c>
      <c r="B409" s="933" t="s">
        <v>3989</v>
      </c>
      <c r="C409" s="1092" t="e">
        <f>ROUND(#REF!,2)</f>
        <v>#REF!</v>
      </c>
      <c r="D409" s="940" t="s">
        <v>340</v>
      </c>
      <c r="E409" s="1096"/>
      <c r="F409" s="1097" t="e">
        <f t="shared" si="34"/>
        <v>#REF!</v>
      </c>
      <c r="G409" s="1096"/>
      <c r="H409" s="1097" t="e">
        <f t="shared" si="35"/>
        <v>#REF!</v>
      </c>
      <c r="I409" s="1096"/>
      <c r="J409" s="1097" t="e">
        <f t="shared" si="31"/>
        <v>#REF!</v>
      </c>
      <c r="K409" s="1096"/>
      <c r="L409" s="1097" t="e">
        <f t="shared" si="29"/>
        <v>#REF!</v>
      </c>
      <c r="M409" s="1096"/>
      <c r="N409" s="1096"/>
      <c r="O409" s="1098"/>
      <c r="P409" s="1096"/>
      <c r="Q409" s="1099"/>
      <c r="R409" s="1099"/>
    </row>
    <row r="410" spans="1:18" s="1108" customFormat="1" ht="41.25" customHeight="1">
      <c r="A410" s="1119">
        <v>61.1</v>
      </c>
      <c r="B410" s="935" t="s">
        <v>3990</v>
      </c>
      <c r="C410" s="1120"/>
      <c r="D410" s="1121"/>
      <c r="E410" s="1103"/>
      <c r="F410" s="1097">
        <f t="shared" si="34"/>
        <v>0</v>
      </c>
      <c r="G410" s="1103"/>
      <c r="H410" s="1097">
        <f t="shared" si="35"/>
        <v>0</v>
      </c>
      <c r="I410" s="1103"/>
      <c r="J410" s="1097">
        <f t="shared" ref="J410:J473" si="36">I410*C410</f>
        <v>0</v>
      </c>
      <c r="K410" s="1096"/>
      <c r="L410" s="1097">
        <f t="shared" ref="L410:L473" si="37">K410*C410</f>
        <v>0</v>
      </c>
      <c r="M410" s="1103"/>
      <c r="N410" s="1096"/>
      <c r="O410" s="1098"/>
      <c r="P410" s="1096"/>
      <c r="Q410" s="1107"/>
      <c r="R410" s="1104"/>
    </row>
    <row r="411" spans="1:18" s="1108" customFormat="1" ht="41.25" customHeight="1">
      <c r="A411" s="940"/>
      <c r="B411" s="933" t="s">
        <v>3991</v>
      </c>
      <c r="C411" s="1106" t="e">
        <f>ROUND(#REF!,2)</f>
        <v>#REF!</v>
      </c>
      <c r="D411" s="943" t="s">
        <v>303</v>
      </c>
      <c r="E411" s="1103"/>
      <c r="F411" s="1097" t="e">
        <f t="shared" si="34"/>
        <v>#REF!</v>
      </c>
      <c r="G411" s="1103"/>
      <c r="H411" s="1097" t="e">
        <f t="shared" si="35"/>
        <v>#REF!</v>
      </c>
      <c r="I411" s="1103"/>
      <c r="J411" s="1097" t="e">
        <f t="shared" si="36"/>
        <v>#REF!</v>
      </c>
      <c r="K411" s="1096"/>
      <c r="L411" s="1097" t="e">
        <f t="shared" si="37"/>
        <v>#REF!</v>
      </c>
      <c r="M411" s="1103"/>
      <c r="N411" s="1096"/>
      <c r="O411" s="1098"/>
      <c r="P411" s="1096"/>
      <c r="Q411" s="1107"/>
      <c r="R411" s="1104"/>
    </row>
    <row r="412" spans="1:18" s="1108" customFormat="1" ht="41.25" customHeight="1">
      <c r="A412" s="1159"/>
      <c r="B412" s="1259" t="s">
        <v>3992</v>
      </c>
      <c r="C412" s="1111" t="e">
        <f>ROUND(#REF!,2)</f>
        <v>#REF!</v>
      </c>
      <c r="D412" s="1112" t="s">
        <v>303</v>
      </c>
      <c r="E412" s="1113"/>
      <c r="F412" s="1097" t="e">
        <f t="shared" si="34"/>
        <v>#REF!</v>
      </c>
      <c r="G412" s="1113"/>
      <c r="H412" s="1097" t="e">
        <f t="shared" si="35"/>
        <v>#REF!</v>
      </c>
      <c r="I412" s="1113"/>
      <c r="J412" s="1097" t="e">
        <f t="shared" si="36"/>
        <v>#REF!</v>
      </c>
      <c r="K412" s="1114"/>
      <c r="L412" s="1097" t="e">
        <f t="shared" si="37"/>
        <v>#REF!</v>
      </c>
      <c r="M412" s="1113"/>
      <c r="N412" s="1096"/>
      <c r="O412" s="1098"/>
      <c r="P412" s="1096"/>
      <c r="Q412" s="1107"/>
      <c r="R412" s="1104"/>
    </row>
    <row r="413" spans="1:18" s="1108" customFormat="1" ht="45.75" customHeight="1">
      <c r="A413" s="1090">
        <v>61.2</v>
      </c>
      <c r="B413" s="1262" t="s">
        <v>3993</v>
      </c>
      <c r="C413" s="1092"/>
      <c r="D413" s="940"/>
      <c r="E413" s="1103"/>
      <c r="F413" s="1097">
        <f t="shared" si="34"/>
        <v>0</v>
      </c>
      <c r="G413" s="1103"/>
      <c r="H413" s="1097">
        <f t="shared" si="35"/>
        <v>0</v>
      </c>
      <c r="I413" s="1103"/>
      <c r="J413" s="1097">
        <f t="shared" si="36"/>
        <v>0</v>
      </c>
      <c r="K413" s="1096"/>
      <c r="L413" s="1097">
        <f t="shared" si="37"/>
        <v>0</v>
      </c>
      <c r="M413" s="1103"/>
      <c r="N413" s="1096"/>
      <c r="O413" s="1098"/>
      <c r="P413" s="1096"/>
      <c r="Q413" s="1107"/>
      <c r="R413" s="1104"/>
    </row>
    <row r="414" spans="1:18" s="1108" customFormat="1" ht="45.75" customHeight="1">
      <c r="A414" s="940"/>
      <c r="B414" s="933" t="s">
        <v>3994</v>
      </c>
      <c r="C414" s="1092" t="e">
        <f>ROUND(#REF!,2)</f>
        <v>#REF!</v>
      </c>
      <c r="D414" s="940" t="s">
        <v>303</v>
      </c>
      <c r="E414" s="1103"/>
      <c r="F414" s="1097" t="e">
        <f t="shared" si="34"/>
        <v>#REF!</v>
      </c>
      <c r="G414" s="1103"/>
      <c r="H414" s="1097" t="e">
        <f t="shared" si="35"/>
        <v>#REF!</v>
      </c>
      <c r="I414" s="1103"/>
      <c r="J414" s="1097" t="e">
        <f t="shared" si="36"/>
        <v>#REF!</v>
      </c>
      <c r="K414" s="1096"/>
      <c r="L414" s="1097" t="e">
        <f t="shared" si="37"/>
        <v>#REF!</v>
      </c>
      <c r="M414" s="1103"/>
      <c r="N414" s="1096"/>
      <c r="O414" s="1098"/>
      <c r="P414" s="1096"/>
      <c r="Q414" s="1107"/>
      <c r="R414" s="1104"/>
    </row>
    <row r="415" spans="1:18" s="1108" customFormat="1" ht="55.5" customHeight="1">
      <c r="A415" s="1138"/>
      <c r="B415" s="933" t="s">
        <v>3995</v>
      </c>
      <c r="C415" s="1106" t="e">
        <f>ROUND(#REF!,2)</f>
        <v>#REF!</v>
      </c>
      <c r="D415" s="943" t="s">
        <v>303</v>
      </c>
      <c r="E415" s="1103"/>
      <c r="F415" s="1097" t="e">
        <f t="shared" si="34"/>
        <v>#REF!</v>
      </c>
      <c r="G415" s="1103"/>
      <c r="H415" s="1097" t="e">
        <f t="shared" si="35"/>
        <v>#REF!</v>
      </c>
      <c r="I415" s="1103"/>
      <c r="J415" s="1097" t="e">
        <f t="shared" si="36"/>
        <v>#REF!</v>
      </c>
      <c r="K415" s="1096"/>
      <c r="L415" s="1097" t="e">
        <f t="shared" si="37"/>
        <v>#REF!</v>
      </c>
      <c r="M415" s="1103"/>
      <c r="N415" s="1096"/>
      <c r="O415" s="1098"/>
      <c r="P415" s="1096"/>
      <c r="Q415" s="1107"/>
      <c r="R415" s="1104"/>
    </row>
    <row r="416" spans="1:18" s="1108" customFormat="1" ht="41.25" customHeight="1">
      <c r="A416" s="1090">
        <v>62.1</v>
      </c>
      <c r="B416" s="933" t="s">
        <v>3996</v>
      </c>
      <c r="C416" s="1106"/>
      <c r="D416" s="943"/>
      <c r="E416" s="1103"/>
      <c r="F416" s="1097">
        <f t="shared" si="34"/>
        <v>0</v>
      </c>
      <c r="G416" s="1103"/>
      <c r="H416" s="1097">
        <f t="shared" si="35"/>
        <v>0</v>
      </c>
      <c r="I416" s="1103"/>
      <c r="J416" s="1097">
        <f t="shared" si="36"/>
        <v>0</v>
      </c>
      <c r="K416" s="1096"/>
      <c r="L416" s="1097">
        <f t="shared" si="37"/>
        <v>0</v>
      </c>
      <c r="M416" s="1103"/>
      <c r="N416" s="1096"/>
      <c r="O416" s="1098"/>
      <c r="P416" s="1096"/>
      <c r="Q416" s="1107"/>
      <c r="R416" s="1104"/>
    </row>
    <row r="417" spans="1:19" s="1108" customFormat="1" ht="41.25" customHeight="1">
      <c r="A417" s="940"/>
      <c r="B417" s="933" t="s">
        <v>3994</v>
      </c>
      <c r="C417" s="1106" t="e">
        <f>ROUND(#REF!,2)</f>
        <v>#REF!</v>
      </c>
      <c r="D417" s="943" t="s">
        <v>340</v>
      </c>
      <c r="E417" s="1103"/>
      <c r="F417" s="1097" t="e">
        <f t="shared" si="34"/>
        <v>#REF!</v>
      </c>
      <c r="G417" s="1103"/>
      <c r="H417" s="1097" t="e">
        <f t="shared" si="35"/>
        <v>#REF!</v>
      </c>
      <c r="I417" s="1103"/>
      <c r="J417" s="1097" t="e">
        <f t="shared" si="36"/>
        <v>#REF!</v>
      </c>
      <c r="K417" s="1096"/>
      <c r="L417" s="1097" t="e">
        <f t="shared" si="37"/>
        <v>#REF!</v>
      </c>
      <c r="M417" s="1103"/>
      <c r="N417" s="1096"/>
      <c r="O417" s="1098"/>
      <c r="P417" s="1096"/>
      <c r="Q417" s="1107"/>
      <c r="R417" s="1104"/>
    </row>
    <row r="418" spans="1:19" s="1108" customFormat="1" ht="49.5" customHeight="1">
      <c r="A418" s="1138"/>
      <c r="B418" s="933" t="s">
        <v>3995</v>
      </c>
      <c r="C418" s="1106" t="e">
        <f>ROUND(#REF!,2)</f>
        <v>#REF!</v>
      </c>
      <c r="D418" s="943" t="s">
        <v>340</v>
      </c>
      <c r="E418" s="1103"/>
      <c r="F418" s="1097" t="e">
        <f t="shared" si="34"/>
        <v>#REF!</v>
      </c>
      <c r="G418" s="1103"/>
      <c r="H418" s="1097" t="e">
        <f t="shared" si="35"/>
        <v>#REF!</v>
      </c>
      <c r="I418" s="1103"/>
      <c r="J418" s="1097" t="e">
        <f t="shared" si="36"/>
        <v>#REF!</v>
      </c>
      <c r="K418" s="1096"/>
      <c r="L418" s="1097" t="e">
        <f t="shared" si="37"/>
        <v>#REF!</v>
      </c>
      <c r="M418" s="1103"/>
      <c r="N418" s="1096"/>
      <c r="O418" s="1098"/>
      <c r="P418" s="1096"/>
      <c r="Q418" s="1107"/>
      <c r="R418" s="1104"/>
    </row>
    <row r="419" spans="1:19" s="1108" customFormat="1" ht="41.25" customHeight="1">
      <c r="A419" s="1090">
        <v>62.2</v>
      </c>
      <c r="B419" s="1262" t="s">
        <v>3997</v>
      </c>
      <c r="C419" s="1092"/>
      <c r="D419" s="940"/>
      <c r="E419" s="1103"/>
      <c r="F419" s="1097">
        <f t="shared" si="34"/>
        <v>0</v>
      </c>
      <c r="G419" s="1103"/>
      <c r="H419" s="1097">
        <f t="shared" si="35"/>
        <v>0</v>
      </c>
      <c r="I419" s="1103"/>
      <c r="J419" s="1097">
        <f t="shared" si="36"/>
        <v>0</v>
      </c>
      <c r="K419" s="1096"/>
      <c r="L419" s="1097">
        <f t="shared" si="37"/>
        <v>0</v>
      </c>
      <c r="M419" s="1103"/>
      <c r="N419" s="1096"/>
      <c r="O419" s="1098"/>
      <c r="P419" s="1096"/>
      <c r="Q419" s="1107"/>
      <c r="R419" s="1104"/>
    </row>
    <row r="420" spans="1:19" s="1108" customFormat="1" ht="41.25" customHeight="1">
      <c r="A420" s="940"/>
      <c r="B420" s="933" t="s">
        <v>3994</v>
      </c>
      <c r="C420" s="1092" t="e">
        <f>ROUND(#REF!,2)</f>
        <v>#REF!</v>
      </c>
      <c r="D420" s="940" t="s">
        <v>340</v>
      </c>
      <c r="E420" s="1103"/>
      <c r="F420" s="1097" t="e">
        <f t="shared" si="34"/>
        <v>#REF!</v>
      </c>
      <c r="G420" s="1103"/>
      <c r="H420" s="1097" t="e">
        <f t="shared" si="35"/>
        <v>#REF!</v>
      </c>
      <c r="I420" s="1103"/>
      <c r="J420" s="1097" t="e">
        <f t="shared" si="36"/>
        <v>#REF!</v>
      </c>
      <c r="K420" s="1096"/>
      <c r="L420" s="1097" t="e">
        <f t="shared" si="37"/>
        <v>#REF!</v>
      </c>
      <c r="M420" s="1103"/>
      <c r="N420" s="1096"/>
      <c r="O420" s="1098"/>
      <c r="P420" s="1096"/>
      <c r="Q420" s="1107"/>
      <c r="R420" s="1104"/>
    </row>
    <row r="421" spans="1:19" s="1108" customFormat="1" ht="55.5" customHeight="1">
      <c r="A421" s="1138"/>
      <c r="B421" s="933" t="s">
        <v>3995</v>
      </c>
      <c r="C421" s="1106" t="e">
        <f>ROUND(#REF!,2)</f>
        <v>#REF!</v>
      </c>
      <c r="D421" s="943" t="s">
        <v>340</v>
      </c>
      <c r="E421" s="1103"/>
      <c r="F421" s="1097" t="e">
        <f t="shared" si="34"/>
        <v>#REF!</v>
      </c>
      <c r="G421" s="1103"/>
      <c r="H421" s="1097" t="e">
        <f t="shared" si="35"/>
        <v>#REF!</v>
      </c>
      <c r="I421" s="1103"/>
      <c r="J421" s="1097" t="e">
        <f t="shared" si="36"/>
        <v>#REF!</v>
      </c>
      <c r="K421" s="1096"/>
      <c r="L421" s="1097" t="e">
        <f t="shared" si="37"/>
        <v>#REF!</v>
      </c>
      <c r="M421" s="1103"/>
      <c r="N421" s="1096"/>
      <c r="O421" s="1098"/>
      <c r="P421" s="1096"/>
      <c r="Q421" s="1107"/>
      <c r="R421" s="1104"/>
    </row>
    <row r="422" spans="1:19" s="1108" customFormat="1" ht="20.100000000000001" customHeight="1">
      <c r="A422" s="1109">
        <v>63</v>
      </c>
      <c r="B422" s="1259" t="s">
        <v>3998</v>
      </c>
      <c r="C422" s="1111" t="e">
        <f>ROUND(#REF!,2)</f>
        <v>#REF!</v>
      </c>
      <c r="D422" s="1112" t="s">
        <v>340</v>
      </c>
      <c r="E422" s="1113"/>
      <c r="F422" s="1097" t="e">
        <f t="shared" si="34"/>
        <v>#REF!</v>
      </c>
      <c r="G422" s="1113"/>
      <c r="H422" s="1097" t="e">
        <f t="shared" si="35"/>
        <v>#REF!</v>
      </c>
      <c r="I422" s="1113"/>
      <c r="J422" s="1097" t="e">
        <f t="shared" si="36"/>
        <v>#REF!</v>
      </c>
      <c r="K422" s="1114"/>
      <c r="L422" s="1097" t="e">
        <f t="shared" si="37"/>
        <v>#REF!</v>
      </c>
      <c r="M422" s="1113"/>
      <c r="N422" s="1096"/>
      <c r="O422" s="1098"/>
      <c r="P422" s="1096"/>
      <c r="Q422" s="1107"/>
      <c r="R422" s="1104"/>
    </row>
    <row r="423" spans="1:19" ht="45.75" customHeight="1">
      <c r="A423" s="1090"/>
      <c r="B423" s="1262" t="s">
        <v>3999</v>
      </c>
      <c r="C423" s="1092"/>
      <c r="D423" s="940"/>
      <c r="E423" s="1096"/>
      <c r="F423" s="1097">
        <f t="shared" si="34"/>
        <v>0</v>
      </c>
      <c r="G423" s="1096"/>
      <c r="H423" s="1097">
        <f t="shared" si="35"/>
        <v>0</v>
      </c>
      <c r="I423" s="1096"/>
      <c r="J423" s="1097">
        <f t="shared" si="36"/>
        <v>0</v>
      </c>
      <c r="K423" s="1096"/>
      <c r="L423" s="1097">
        <f t="shared" si="37"/>
        <v>0</v>
      </c>
      <c r="M423" s="1096"/>
      <c r="N423" s="1096"/>
      <c r="O423" s="1098"/>
      <c r="P423" s="1096"/>
      <c r="Q423" s="1122"/>
      <c r="R423" s="1099"/>
      <c r="S423" s="1123"/>
    </row>
    <row r="424" spans="1:19" s="1108" customFormat="1" ht="20.100000000000001" customHeight="1">
      <c r="A424" s="1119">
        <v>64</v>
      </c>
      <c r="B424" s="935" t="s">
        <v>4000</v>
      </c>
      <c r="C424" s="1120" t="e">
        <f>#REF!</f>
        <v>#REF!</v>
      </c>
      <c r="D424" s="1121" t="s">
        <v>340</v>
      </c>
      <c r="E424" s="1160"/>
      <c r="F424" s="1097" t="e">
        <f t="shared" si="34"/>
        <v>#REF!</v>
      </c>
      <c r="G424" s="1160"/>
      <c r="H424" s="1097" t="e">
        <f t="shared" si="35"/>
        <v>#REF!</v>
      </c>
      <c r="I424" s="1160"/>
      <c r="J424" s="1097" t="e">
        <f t="shared" si="36"/>
        <v>#REF!</v>
      </c>
      <c r="K424" s="1161"/>
      <c r="L424" s="1097" t="e">
        <f t="shared" si="37"/>
        <v>#REF!</v>
      </c>
      <c r="M424" s="1160"/>
      <c r="N424" s="1096"/>
      <c r="O424" s="1098"/>
      <c r="P424" s="1096"/>
      <c r="Q424" s="1107"/>
      <c r="R424" s="1104"/>
    </row>
    <row r="425" spans="1:19" s="1108" customFormat="1" ht="30.75" customHeight="1">
      <c r="A425" s="940"/>
      <c r="B425" s="933" t="s">
        <v>4001</v>
      </c>
      <c r="C425" s="1106"/>
      <c r="D425" s="943" t="s">
        <v>340</v>
      </c>
      <c r="E425" s="1103"/>
      <c r="F425" s="1097">
        <f t="shared" si="34"/>
        <v>0</v>
      </c>
      <c r="G425" s="1103"/>
      <c r="H425" s="1097">
        <f t="shared" si="35"/>
        <v>0</v>
      </c>
      <c r="I425" s="1103"/>
      <c r="J425" s="1097">
        <f t="shared" si="36"/>
        <v>0</v>
      </c>
      <c r="K425" s="1096"/>
      <c r="L425" s="1097">
        <f t="shared" si="37"/>
        <v>0</v>
      </c>
      <c r="M425" s="1103"/>
      <c r="N425" s="1096"/>
      <c r="O425" s="1098"/>
      <c r="P425" s="1096"/>
      <c r="Q425" s="1107"/>
      <c r="R425" s="1104"/>
    </row>
    <row r="426" spans="1:19" s="1108" customFormat="1" ht="20.100000000000001" customHeight="1">
      <c r="A426" s="1138"/>
      <c r="B426" s="933" t="s">
        <v>4002</v>
      </c>
      <c r="C426" s="1106" t="e">
        <f>#REF!</f>
        <v>#REF!</v>
      </c>
      <c r="D426" s="943" t="s">
        <v>340</v>
      </c>
      <c r="E426" s="1103"/>
      <c r="F426" s="1097" t="e">
        <f t="shared" si="34"/>
        <v>#REF!</v>
      </c>
      <c r="G426" s="1103"/>
      <c r="H426" s="1097" t="e">
        <f t="shared" si="35"/>
        <v>#REF!</v>
      </c>
      <c r="I426" s="1103"/>
      <c r="J426" s="1097" t="e">
        <f t="shared" si="36"/>
        <v>#REF!</v>
      </c>
      <c r="K426" s="1096"/>
      <c r="L426" s="1097" t="e">
        <f t="shared" si="37"/>
        <v>#REF!</v>
      </c>
      <c r="M426" s="1103"/>
      <c r="N426" s="1096"/>
      <c r="O426" s="1098"/>
      <c r="P426" s="1096"/>
      <c r="Q426" s="1107"/>
      <c r="R426" s="1104"/>
    </row>
    <row r="427" spans="1:19" s="1108" customFormat="1" ht="20.100000000000001" customHeight="1">
      <c r="A427" s="1090">
        <v>65</v>
      </c>
      <c r="B427" s="933" t="s">
        <v>4003</v>
      </c>
      <c r="C427" s="1106" t="e">
        <f>#REF!</f>
        <v>#REF!</v>
      </c>
      <c r="D427" s="943" t="s">
        <v>340</v>
      </c>
      <c r="E427" s="1103"/>
      <c r="F427" s="1097" t="e">
        <f t="shared" si="34"/>
        <v>#REF!</v>
      </c>
      <c r="G427" s="1103"/>
      <c r="H427" s="1097" t="e">
        <f t="shared" si="35"/>
        <v>#REF!</v>
      </c>
      <c r="I427" s="1103"/>
      <c r="J427" s="1097" t="e">
        <f t="shared" si="36"/>
        <v>#REF!</v>
      </c>
      <c r="K427" s="1096"/>
      <c r="L427" s="1097" t="e">
        <f t="shared" si="37"/>
        <v>#REF!</v>
      </c>
      <c r="M427" s="1103"/>
      <c r="N427" s="1096"/>
      <c r="O427" s="1098"/>
      <c r="P427" s="1096"/>
      <c r="Q427" s="1107"/>
      <c r="R427" s="1104"/>
    </row>
    <row r="428" spans="1:19" s="1108" customFormat="1" ht="20.100000000000001" customHeight="1">
      <c r="A428" s="1090">
        <v>66</v>
      </c>
      <c r="B428" s="933" t="s">
        <v>4004</v>
      </c>
      <c r="C428" s="1106" t="e">
        <f>#REF!</f>
        <v>#REF!</v>
      </c>
      <c r="D428" s="943" t="s">
        <v>340</v>
      </c>
      <c r="E428" s="1103"/>
      <c r="F428" s="1097" t="e">
        <f t="shared" si="34"/>
        <v>#REF!</v>
      </c>
      <c r="G428" s="1103"/>
      <c r="H428" s="1097" t="e">
        <f t="shared" si="35"/>
        <v>#REF!</v>
      </c>
      <c r="I428" s="1103"/>
      <c r="J428" s="1097" t="e">
        <f t="shared" si="36"/>
        <v>#REF!</v>
      </c>
      <c r="K428" s="1096"/>
      <c r="L428" s="1097" t="e">
        <f t="shared" si="37"/>
        <v>#REF!</v>
      </c>
      <c r="M428" s="1103"/>
      <c r="N428" s="1096"/>
      <c r="O428" s="1098"/>
      <c r="P428" s="1096"/>
      <c r="Q428" s="1107"/>
      <c r="R428" s="1104"/>
    </row>
    <row r="429" spans="1:19" s="1108" customFormat="1" ht="20.100000000000001" customHeight="1">
      <c r="A429" s="1090">
        <v>67</v>
      </c>
      <c r="B429" s="933" t="s">
        <v>4005</v>
      </c>
      <c r="C429" s="1106" t="e">
        <f>#REF!</f>
        <v>#REF!</v>
      </c>
      <c r="D429" s="943" t="s">
        <v>340</v>
      </c>
      <c r="E429" s="1103"/>
      <c r="F429" s="1097" t="e">
        <f t="shared" si="34"/>
        <v>#REF!</v>
      </c>
      <c r="G429" s="1103"/>
      <c r="H429" s="1097" t="e">
        <f t="shared" si="35"/>
        <v>#REF!</v>
      </c>
      <c r="I429" s="1103"/>
      <c r="J429" s="1097" t="e">
        <f t="shared" si="36"/>
        <v>#REF!</v>
      </c>
      <c r="K429" s="1096"/>
      <c r="L429" s="1097" t="e">
        <f t="shared" si="37"/>
        <v>#REF!</v>
      </c>
      <c r="M429" s="1103"/>
      <c r="N429" s="1096"/>
      <c r="O429" s="1098"/>
      <c r="P429" s="1096"/>
      <c r="Q429" s="1107"/>
      <c r="R429" s="1104"/>
    </row>
    <row r="430" spans="1:19" s="1108" customFormat="1" ht="20.100000000000001" customHeight="1">
      <c r="A430" s="1090">
        <v>68</v>
      </c>
      <c r="B430" s="933" t="s">
        <v>4006</v>
      </c>
      <c r="C430" s="1106" t="e">
        <f>#REF!</f>
        <v>#REF!</v>
      </c>
      <c r="D430" s="943" t="s">
        <v>340</v>
      </c>
      <c r="E430" s="1103"/>
      <c r="F430" s="1097" t="e">
        <f t="shared" si="34"/>
        <v>#REF!</v>
      </c>
      <c r="G430" s="1103"/>
      <c r="H430" s="1097" t="e">
        <f t="shared" si="35"/>
        <v>#REF!</v>
      </c>
      <c r="I430" s="1103"/>
      <c r="J430" s="1097" t="e">
        <f t="shared" si="36"/>
        <v>#REF!</v>
      </c>
      <c r="K430" s="1096"/>
      <c r="L430" s="1097" t="e">
        <f t="shared" si="37"/>
        <v>#REF!</v>
      </c>
      <c r="M430" s="1103"/>
      <c r="N430" s="1096"/>
      <c r="O430" s="1098"/>
      <c r="P430" s="1096"/>
      <c r="Q430" s="1107"/>
      <c r="R430" s="1104"/>
    </row>
    <row r="431" spans="1:19" s="1105" customFormat="1" ht="45.75" customHeight="1">
      <c r="A431" s="1129">
        <v>69</v>
      </c>
      <c r="B431" s="1265" t="s">
        <v>4007</v>
      </c>
      <c r="C431" s="1117" t="e">
        <f>#REF!</f>
        <v>#REF!</v>
      </c>
      <c r="D431" s="1118" t="s">
        <v>340</v>
      </c>
      <c r="E431" s="1096">
        <f>'Ins Abs'!Q43</f>
        <v>25</v>
      </c>
      <c r="F431" s="1097" t="e">
        <f>C431*E431</f>
        <v>#REF!</v>
      </c>
      <c r="G431" s="1096">
        <f>'SI Abs '!Q47</f>
        <v>34</v>
      </c>
      <c r="H431" s="1097">
        <f>'SI Abs '!R47</f>
        <v>5099.83</v>
      </c>
      <c r="I431" s="1096" t="e">
        <f>'PC Abs'!#REF!</f>
        <v>#REF!</v>
      </c>
      <c r="J431" s="1097" t="e">
        <f>'PC Abs'!#REF!</f>
        <v>#REF!</v>
      </c>
      <c r="K431" s="1096"/>
      <c r="L431" s="1097" t="e">
        <f t="shared" si="37"/>
        <v>#REF!</v>
      </c>
      <c r="M431" s="1103"/>
      <c r="N431" s="1096"/>
      <c r="O431" s="1098" t="e">
        <f>E431+G431+I431+K431</f>
        <v>#REF!</v>
      </c>
      <c r="P431" s="1096" t="e">
        <f>O431*C431</f>
        <v>#REF!</v>
      </c>
      <c r="Q431" s="1104"/>
      <c r="R431" s="1104"/>
    </row>
    <row r="432" spans="1:19" s="1108" customFormat="1" ht="29.25" customHeight="1">
      <c r="A432" s="1119">
        <v>70.099999999999994</v>
      </c>
      <c r="B432" s="935" t="s">
        <v>4008</v>
      </c>
      <c r="C432" s="1120" t="e">
        <f>#REF!</f>
        <v>#REF!</v>
      </c>
      <c r="D432" s="1121" t="s">
        <v>340</v>
      </c>
      <c r="F432" s="1097" t="e">
        <f t="shared" si="34"/>
        <v>#REF!</v>
      </c>
      <c r="G432" s="1103"/>
      <c r="H432" s="1097" t="e">
        <f t="shared" si="35"/>
        <v>#REF!</v>
      </c>
      <c r="I432" s="1103"/>
      <c r="J432" s="1097" t="e">
        <f t="shared" si="36"/>
        <v>#REF!</v>
      </c>
      <c r="K432" s="1096"/>
      <c r="L432" s="1097" t="e">
        <f t="shared" si="37"/>
        <v>#REF!</v>
      </c>
      <c r="M432" s="1103"/>
      <c r="N432" s="1096"/>
      <c r="O432" s="1098"/>
      <c r="P432" s="1096"/>
      <c r="Q432" s="1107"/>
      <c r="R432" s="1104"/>
    </row>
    <row r="433" spans="1:18" s="1108" customFormat="1" ht="34.9" customHeight="1">
      <c r="A433" s="1090">
        <v>70.2</v>
      </c>
      <c r="B433" s="933" t="s">
        <v>4009</v>
      </c>
      <c r="C433" s="1106"/>
      <c r="D433" s="943" t="s">
        <v>340</v>
      </c>
      <c r="F433" s="1097">
        <f t="shared" si="34"/>
        <v>0</v>
      </c>
      <c r="G433" s="1103"/>
      <c r="H433" s="1097">
        <f t="shared" si="35"/>
        <v>0</v>
      </c>
      <c r="I433" s="1103"/>
      <c r="J433" s="1097">
        <f t="shared" si="36"/>
        <v>0</v>
      </c>
      <c r="K433" s="1096"/>
      <c r="L433" s="1097">
        <f t="shared" si="37"/>
        <v>0</v>
      </c>
      <c r="M433" s="1103"/>
      <c r="N433" s="1096"/>
      <c r="O433" s="1098"/>
      <c r="P433" s="1096"/>
      <c r="Q433" s="1107"/>
      <c r="R433" s="1104"/>
    </row>
    <row r="434" spans="1:18" s="1108" customFormat="1" ht="20.100000000000001" customHeight="1">
      <c r="A434" s="1090">
        <v>70.3</v>
      </c>
      <c r="B434" s="933" t="s">
        <v>4010</v>
      </c>
      <c r="C434" s="1106" t="e">
        <f>#REF!</f>
        <v>#REF!</v>
      </c>
      <c r="D434" s="943" t="s">
        <v>340</v>
      </c>
      <c r="F434" s="1097" t="e">
        <f t="shared" si="34"/>
        <v>#REF!</v>
      </c>
      <c r="G434" s="1103"/>
      <c r="H434" s="1097" t="e">
        <f t="shared" si="35"/>
        <v>#REF!</v>
      </c>
      <c r="I434" s="1103"/>
      <c r="J434" s="1097" t="e">
        <f t="shared" si="36"/>
        <v>#REF!</v>
      </c>
      <c r="K434" s="1096"/>
      <c r="L434" s="1097" t="e">
        <f t="shared" si="37"/>
        <v>#REF!</v>
      </c>
      <c r="M434" s="1103"/>
      <c r="N434" s="1096"/>
      <c r="O434" s="1098"/>
      <c r="P434" s="1096"/>
      <c r="Q434" s="1107"/>
      <c r="R434" s="1104"/>
    </row>
    <row r="435" spans="1:18" s="1108" customFormat="1" ht="20.100000000000001" customHeight="1">
      <c r="A435" s="1090">
        <v>70.400000000000006</v>
      </c>
      <c r="B435" s="933" t="s">
        <v>4011</v>
      </c>
      <c r="C435" s="1106" t="e">
        <f>#REF!</f>
        <v>#REF!</v>
      </c>
      <c r="D435" s="943" t="s">
        <v>340</v>
      </c>
      <c r="F435" s="1097" t="e">
        <f t="shared" si="34"/>
        <v>#REF!</v>
      </c>
      <c r="G435" s="1103"/>
      <c r="H435" s="1097" t="e">
        <f t="shared" si="35"/>
        <v>#REF!</v>
      </c>
      <c r="I435" s="1103"/>
      <c r="J435" s="1097" t="e">
        <f t="shared" si="36"/>
        <v>#REF!</v>
      </c>
      <c r="K435" s="1096"/>
      <c r="L435" s="1097" t="e">
        <f t="shared" si="37"/>
        <v>#REF!</v>
      </c>
      <c r="M435" s="1103"/>
      <c r="N435" s="1096"/>
      <c r="O435" s="1098"/>
      <c r="P435" s="1096"/>
      <c r="Q435" s="1107"/>
      <c r="R435" s="1104"/>
    </row>
    <row r="436" spans="1:18" s="1108" customFormat="1" ht="41.25" customHeight="1">
      <c r="A436" s="1090">
        <v>71</v>
      </c>
      <c r="B436" s="933" t="s">
        <v>4012</v>
      </c>
      <c r="C436" s="1106" t="e">
        <f>#REF!</f>
        <v>#REF!</v>
      </c>
      <c r="D436" s="943" t="s">
        <v>340</v>
      </c>
      <c r="F436" s="1097" t="e">
        <f t="shared" si="34"/>
        <v>#REF!</v>
      </c>
      <c r="G436" s="1103"/>
      <c r="H436" s="1097" t="e">
        <f t="shared" si="35"/>
        <v>#REF!</v>
      </c>
      <c r="I436" s="1103"/>
      <c r="J436" s="1097" t="e">
        <f t="shared" si="36"/>
        <v>#REF!</v>
      </c>
      <c r="K436" s="1096"/>
      <c r="L436" s="1097" t="e">
        <f t="shared" si="37"/>
        <v>#REF!</v>
      </c>
      <c r="M436" s="1103"/>
      <c r="N436" s="1096"/>
      <c r="O436" s="1098"/>
      <c r="P436" s="1096"/>
      <c r="Q436" s="1107"/>
      <c r="R436" s="1104"/>
    </row>
    <row r="437" spans="1:18" ht="60" customHeight="1">
      <c r="A437" s="1090">
        <v>72</v>
      </c>
      <c r="B437" s="933" t="s">
        <v>4013</v>
      </c>
      <c r="C437" s="1092" t="e">
        <f>#REF!</f>
        <v>#REF!</v>
      </c>
      <c r="D437" s="940" t="s">
        <v>340</v>
      </c>
      <c r="F437" s="1097" t="e">
        <f t="shared" si="34"/>
        <v>#REF!</v>
      </c>
      <c r="G437" s="1096"/>
      <c r="H437" s="1097" t="e">
        <f t="shared" si="35"/>
        <v>#REF!</v>
      </c>
      <c r="I437" s="1096"/>
      <c r="J437" s="1097" t="e">
        <f t="shared" si="36"/>
        <v>#REF!</v>
      </c>
      <c r="K437" s="1096"/>
      <c r="L437" s="1097" t="e">
        <f t="shared" si="37"/>
        <v>#REF!</v>
      </c>
      <c r="M437" s="1096"/>
      <c r="N437" s="1096"/>
      <c r="O437" s="1098"/>
      <c r="P437" s="1096"/>
      <c r="Q437" s="1099"/>
      <c r="R437" s="1099"/>
    </row>
    <row r="438" spans="1:18" ht="60" customHeight="1">
      <c r="A438" s="1069">
        <v>73.099999999999994</v>
      </c>
      <c r="B438" s="935" t="s">
        <v>4014</v>
      </c>
      <c r="C438" s="1153" t="e">
        <f>#REF!</f>
        <v>#REF!</v>
      </c>
      <c r="D438" s="1069" t="s">
        <v>340</v>
      </c>
      <c r="F438" s="1097" t="e">
        <f t="shared" si="34"/>
        <v>#REF!</v>
      </c>
      <c r="G438" s="1096"/>
      <c r="H438" s="1097" t="e">
        <f t="shared" si="35"/>
        <v>#REF!</v>
      </c>
      <c r="I438" s="1096"/>
      <c r="J438" s="1097" t="e">
        <f t="shared" si="36"/>
        <v>#REF!</v>
      </c>
      <c r="K438" s="1096"/>
      <c r="L438" s="1097" t="e">
        <f t="shared" si="37"/>
        <v>#REF!</v>
      </c>
      <c r="M438" s="1096"/>
      <c r="N438" s="1096"/>
      <c r="O438" s="1098"/>
      <c r="P438" s="1096"/>
      <c r="Q438" s="1099"/>
      <c r="R438" s="1099"/>
    </row>
    <row r="439" spans="1:18" s="1108" customFormat="1" ht="60" customHeight="1">
      <c r="A439" s="1090">
        <v>73.2</v>
      </c>
      <c r="B439" s="933" t="s">
        <v>4015</v>
      </c>
      <c r="C439" s="1092" t="e">
        <f>#REF!</f>
        <v>#REF!</v>
      </c>
      <c r="D439" s="940" t="s">
        <v>340</v>
      </c>
      <c r="F439" s="1097" t="e">
        <f t="shared" si="34"/>
        <v>#REF!</v>
      </c>
      <c r="G439" s="1096"/>
      <c r="H439" s="1097" t="e">
        <f t="shared" si="35"/>
        <v>#REF!</v>
      </c>
      <c r="I439" s="1096"/>
      <c r="J439" s="1097" t="e">
        <f t="shared" si="36"/>
        <v>#REF!</v>
      </c>
      <c r="K439" s="1096"/>
      <c r="L439" s="1097" t="e">
        <f t="shared" si="37"/>
        <v>#REF!</v>
      </c>
      <c r="M439" s="1096"/>
      <c r="N439" s="1096"/>
      <c r="O439" s="1098"/>
      <c r="P439" s="1096"/>
      <c r="Q439" s="1107"/>
      <c r="R439" s="1099"/>
    </row>
    <row r="440" spans="1:18" ht="49.9" customHeight="1">
      <c r="A440" s="1090">
        <v>74</v>
      </c>
      <c r="B440" s="933" t="s">
        <v>4016</v>
      </c>
      <c r="C440" s="1092" t="e">
        <f>#REF!</f>
        <v>#REF!</v>
      </c>
      <c r="D440" s="940" t="s">
        <v>340</v>
      </c>
      <c r="F440" s="1097" t="e">
        <f t="shared" si="34"/>
        <v>#REF!</v>
      </c>
      <c r="G440" s="1096"/>
      <c r="H440" s="1097" t="e">
        <f t="shared" si="35"/>
        <v>#REF!</v>
      </c>
      <c r="I440" s="1096"/>
      <c r="J440" s="1097" t="e">
        <f t="shared" si="36"/>
        <v>#REF!</v>
      </c>
      <c r="K440" s="1096"/>
      <c r="L440" s="1097" t="e">
        <f t="shared" si="37"/>
        <v>#REF!</v>
      </c>
      <c r="M440" s="1096"/>
      <c r="N440" s="1096"/>
      <c r="O440" s="1098"/>
      <c r="P440" s="1096"/>
      <c r="Q440" s="1099"/>
      <c r="R440" s="1099"/>
    </row>
    <row r="441" spans="1:18" s="1108" customFormat="1" ht="20.100000000000001" customHeight="1">
      <c r="A441" s="1119">
        <v>75</v>
      </c>
      <c r="B441" s="1264" t="s">
        <v>4017</v>
      </c>
      <c r="C441" s="1120"/>
      <c r="D441" s="1121"/>
      <c r="F441" s="1097">
        <f t="shared" si="34"/>
        <v>0</v>
      </c>
      <c r="G441" s="1103"/>
      <c r="H441" s="1097">
        <f t="shared" si="35"/>
        <v>0</v>
      </c>
      <c r="I441" s="1103"/>
      <c r="J441" s="1097">
        <f t="shared" si="36"/>
        <v>0</v>
      </c>
      <c r="K441" s="1096"/>
      <c r="L441" s="1097">
        <f t="shared" si="37"/>
        <v>0</v>
      </c>
      <c r="M441" s="1103"/>
      <c r="N441" s="1096"/>
      <c r="O441" s="1098"/>
      <c r="P441" s="1096"/>
      <c r="Q441" s="1107"/>
      <c r="R441" s="1104"/>
    </row>
    <row r="442" spans="1:18" s="1108" customFormat="1" ht="20.100000000000001" customHeight="1">
      <c r="A442" s="940"/>
      <c r="B442" s="933" t="s">
        <v>4018</v>
      </c>
      <c r="C442" s="1106"/>
      <c r="D442" s="943" t="s">
        <v>340</v>
      </c>
      <c r="F442" s="1097">
        <f t="shared" si="34"/>
        <v>0</v>
      </c>
      <c r="G442" s="1103"/>
      <c r="H442" s="1097">
        <f t="shared" si="35"/>
        <v>0</v>
      </c>
      <c r="I442" s="1103"/>
      <c r="J442" s="1097">
        <f t="shared" si="36"/>
        <v>0</v>
      </c>
      <c r="K442" s="1096"/>
      <c r="L442" s="1097">
        <f t="shared" si="37"/>
        <v>0</v>
      </c>
      <c r="M442" s="1103"/>
      <c r="N442" s="1096"/>
      <c r="O442" s="1098"/>
      <c r="P442" s="1096"/>
      <c r="Q442" s="1107"/>
      <c r="R442" s="1104"/>
    </row>
    <row r="443" spans="1:18" s="1108" customFormat="1" ht="20.100000000000001" customHeight="1">
      <c r="A443" s="1138"/>
      <c r="B443" s="933" t="s">
        <v>4019</v>
      </c>
      <c r="C443" s="1106"/>
      <c r="D443" s="943" t="s">
        <v>340</v>
      </c>
      <c r="F443" s="1097">
        <f t="shared" si="34"/>
        <v>0</v>
      </c>
      <c r="G443" s="1103"/>
      <c r="H443" s="1097">
        <f t="shared" si="35"/>
        <v>0</v>
      </c>
      <c r="I443" s="1103"/>
      <c r="J443" s="1097">
        <f t="shared" si="36"/>
        <v>0</v>
      </c>
      <c r="K443" s="1096"/>
      <c r="L443" s="1097">
        <f t="shared" si="37"/>
        <v>0</v>
      </c>
      <c r="M443" s="1103"/>
      <c r="N443" s="1096"/>
      <c r="O443" s="1098"/>
      <c r="P443" s="1096"/>
      <c r="Q443" s="1107"/>
      <c r="R443" s="1104"/>
    </row>
    <row r="444" spans="1:18" ht="49.9" customHeight="1">
      <c r="A444" s="1090">
        <v>76</v>
      </c>
      <c r="B444" s="933" t="s">
        <v>4020</v>
      </c>
      <c r="C444" s="1092" t="e">
        <f>#REF!</f>
        <v>#REF!</v>
      </c>
      <c r="D444" s="940" t="s">
        <v>303</v>
      </c>
      <c r="F444" s="1097" t="e">
        <f t="shared" si="34"/>
        <v>#REF!</v>
      </c>
      <c r="G444" s="1096"/>
      <c r="H444" s="1097" t="e">
        <f t="shared" si="35"/>
        <v>#REF!</v>
      </c>
      <c r="I444" s="1096"/>
      <c r="J444" s="1097" t="e">
        <f t="shared" si="36"/>
        <v>#REF!</v>
      </c>
      <c r="K444" s="1096"/>
      <c r="L444" s="1097" t="e">
        <f t="shared" si="37"/>
        <v>#REF!</v>
      </c>
      <c r="M444" s="1096"/>
      <c r="N444" s="1096"/>
      <c r="O444" s="1098"/>
      <c r="P444" s="1096"/>
      <c r="Q444" s="1099"/>
      <c r="R444" s="1099"/>
    </row>
    <row r="445" spans="1:18" s="1108" customFormat="1" ht="20.100000000000001" customHeight="1">
      <c r="A445" s="1119">
        <v>77</v>
      </c>
      <c r="B445" s="935" t="s">
        <v>4021</v>
      </c>
      <c r="C445" s="1120" t="e">
        <f>ROUND(#REF!,2)</f>
        <v>#REF!</v>
      </c>
      <c r="D445" s="1121" t="s">
        <v>303</v>
      </c>
      <c r="F445" s="1097" t="e">
        <f t="shared" si="34"/>
        <v>#REF!</v>
      </c>
      <c r="G445" s="1103"/>
      <c r="H445" s="1097" t="e">
        <f t="shared" si="35"/>
        <v>#REF!</v>
      </c>
      <c r="I445" s="1103"/>
      <c r="J445" s="1097" t="e">
        <f t="shared" si="36"/>
        <v>#REF!</v>
      </c>
      <c r="K445" s="1096"/>
      <c r="L445" s="1097" t="e">
        <f t="shared" si="37"/>
        <v>#REF!</v>
      </c>
      <c r="M445" s="1103"/>
      <c r="N445" s="1096"/>
      <c r="O445" s="1098"/>
      <c r="P445" s="1096"/>
      <c r="Q445" s="1107"/>
      <c r="R445" s="1104"/>
    </row>
    <row r="446" spans="1:18" s="1108" customFormat="1" ht="39.950000000000003" customHeight="1">
      <c r="A446" s="1090">
        <v>77.099999999999994</v>
      </c>
      <c r="B446" s="933" t="s">
        <v>4022</v>
      </c>
      <c r="C446" s="1106" t="e">
        <f>ROUND(#REF!,2)</f>
        <v>#REF!</v>
      </c>
      <c r="D446" s="943" t="s">
        <v>303</v>
      </c>
      <c r="F446" s="1097" t="e">
        <f t="shared" si="34"/>
        <v>#REF!</v>
      </c>
      <c r="G446" s="1103"/>
      <c r="H446" s="1097" t="e">
        <f t="shared" si="35"/>
        <v>#REF!</v>
      </c>
      <c r="I446" s="1103"/>
      <c r="J446" s="1097" t="e">
        <f t="shared" si="36"/>
        <v>#REF!</v>
      </c>
      <c r="K446" s="1096"/>
      <c r="L446" s="1097" t="e">
        <f t="shared" si="37"/>
        <v>#REF!</v>
      </c>
      <c r="M446" s="1103"/>
      <c r="N446" s="1096"/>
      <c r="O446" s="1098"/>
      <c r="P446" s="1096"/>
      <c r="Q446" s="1107"/>
      <c r="R446" s="1104"/>
    </row>
    <row r="447" spans="1:18" s="1108" customFormat="1" ht="50.25" customHeight="1">
      <c r="A447" s="1090">
        <v>77.2</v>
      </c>
      <c r="B447" s="933" t="s">
        <v>4023</v>
      </c>
      <c r="C447" s="1106" t="e">
        <f>#REF!</f>
        <v>#REF!</v>
      </c>
      <c r="D447" s="943" t="s">
        <v>340</v>
      </c>
      <c r="F447" s="1097" t="e">
        <f t="shared" si="34"/>
        <v>#REF!</v>
      </c>
      <c r="G447" s="1103"/>
      <c r="H447" s="1097" t="e">
        <f t="shared" si="35"/>
        <v>#REF!</v>
      </c>
      <c r="I447" s="1103"/>
      <c r="J447" s="1097" t="e">
        <f t="shared" si="36"/>
        <v>#REF!</v>
      </c>
      <c r="K447" s="1096"/>
      <c r="L447" s="1097" t="e">
        <f t="shared" si="37"/>
        <v>#REF!</v>
      </c>
      <c r="M447" s="1103"/>
      <c r="N447" s="1096"/>
      <c r="O447" s="1098"/>
      <c r="P447" s="1096"/>
      <c r="Q447" s="1107"/>
      <c r="R447" s="1104"/>
    </row>
    <row r="448" spans="1:18" ht="49.9" customHeight="1">
      <c r="A448" s="1090">
        <v>77.3</v>
      </c>
      <c r="B448" s="933" t="s">
        <v>4024</v>
      </c>
      <c r="C448" s="1092" t="e">
        <f>#REF!</f>
        <v>#REF!</v>
      </c>
      <c r="D448" s="940" t="s">
        <v>340</v>
      </c>
      <c r="F448" s="1097" t="e">
        <f t="shared" si="34"/>
        <v>#REF!</v>
      </c>
      <c r="G448" s="1096"/>
      <c r="H448" s="1097" t="e">
        <f t="shared" si="35"/>
        <v>#REF!</v>
      </c>
      <c r="I448" s="1096"/>
      <c r="J448" s="1097" t="e">
        <f t="shared" si="36"/>
        <v>#REF!</v>
      </c>
      <c r="K448" s="1096"/>
      <c r="L448" s="1097" t="e">
        <f t="shared" si="37"/>
        <v>#REF!</v>
      </c>
      <c r="M448" s="1096"/>
      <c r="N448" s="1096"/>
      <c r="O448" s="1098"/>
      <c r="P448" s="1096"/>
      <c r="Q448" s="1099"/>
      <c r="R448" s="1099"/>
    </row>
    <row r="449" spans="1:22" ht="49.9" customHeight="1">
      <c r="A449" s="1090">
        <v>77.400000000000006</v>
      </c>
      <c r="B449" s="933" t="s">
        <v>4025</v>
      </c>
      <c r="C449" s="1092" t="e">
        <f>#REF!</f>
        <v>#REF!</v>
      </c>
      <c r="D449" s="940" t="s">
        <v>303</v>
      </c>
      <c r="F449" s="1097" t="e">
        <f t="shared" si="34"/>
        <v>#REF!</v>
      </c>
      <c r="G449" s="1096"/>
      <c r="H449" s="1097" t="e">
        <f t="shared" si="35"/>
        <v>#REF!</v>
      </c>
      <c r="I449" s="1096"/>
      <c r="J449" s="1097" t="e">
        <f t="shared" si="36"/>
        <v>#REF!</v>
      </c>
      <c r="K449" s="1096"/>
      <c r="L449" s="1097" t="e">
        <f t="shared" si="37"/>
        <v>#REF!</v>
      </c>
      <c r="M449" s="1096"/>
      <c r="N449" s="1096"/>
      <c r="O449" s="1098"/>
      <c r="P449" s="1096"/>
      <c r="Q449" s="1099"/>
      <c r="R449" s="1099"/>
    </row>
    <row r="450" spans="1:22" ht="49.9" customHeight="1">
      <c r="A450" s="1090">
        <v>78</v>
      </c>
      <c r="B450" s="933" t="s">
        <v>4026</v>
      </c>
      <c r="C450" s="1092" t="e">
        <f>#REF!</f>
        <v>#REF!</v>
      </c>
      <c r="D450" s="940" t="s">
        <v>340</v>
      </c>
      <c r="F450" s="1097" t="e">
        <f t="shared" si="34"/>
        <v>#REF!</v>
      </c>
      <c r="G450" s="1096"/>
      <c r="H450" s="1097" t="e">
        <f t="shared" si="35"/>
        <v>#REF!</v>
      </c>
      <c r="I450" s="1096"/>
      <c r="J450" s="1097" t="e">
        <f t="shared" si="36"/>
        <v>#REF!</v>
      </c>
      <c r="K450" s="1096"/>
      <c r="L450" s="1097" t="e">
        <f t="shared" si="37"/>
        <v>#REF!</v>
      </c>
      <c r="M450" s="1096"/>
      <c r="N450" s="1096"/>
      <c r="O450" s="1098"/>
      <c r="P450" s="1096"/>
      <c r="Q450" s="1099"/>
      <c r="R450" s="1099"/>
    </row>
    <row r="451" spans="1:22" s="1108" customFormat="1" ht="25.5" customHeight="1">
      <c r="A451" s="1119">
        <v>78.099999999999994</v>
      </c>
      <c r="B451" s="935" t="s">
        <v>4027</v>
      </c>
      <c r="C451" s="1120"/>
      <c r="D451" s="1121" t="s">
        <v>340</v>
      </c>
      <c r="F451" s="1097">
        <f t="shared" si="34"/>
        <v>0</v>
      </c>
      <c r="G451" s="1103"/>
      <c r="H451" s="1097">
        <f t="shared" si="35"/>
        <v>0</v>
      </c>
      <c r="I451" s="1103"/>
      <c r="J451" s="1097">
        <f t="shared" si="36"/>
        <v>0</v>
      </c>
      <c r="K451" s="1096"/>
      <c r="L451" s="1097">
        <f t="shared" si="37"/>
        <v>0</v>
      </c>
      <c r="M451" s="1103"/>
      <c r="N451" s="1096"/>
      <c r="O451" s="1098"/>
      <c r="P451" s="1096"/>
      <c r="Q451" s="1107"/>
      <c r="R451" s="1104"/>
    </row>
    <row r="452" spans="1:22" s="1108" customFormat="1" ht="46.5" customHeight="1">
      <c r="A452" s="1090">
        <v>79.099999999999994</v>
      </c>
      <c r="B452" s="933" t="s">
        <v>4028</v>
      </c>
      <c r="C452" s="1106" t="e">
        <f>#REF!</f>
        <v>#REF!</v>
      </c>
      <c r="D452" s="943" t="s">
        <v>340</v>
      </c>
      <c r="F452" s="1097" t="e">
        <f t="shared" si="34"/>
        <v>#REF!</v>
      </c>
      <c r="G452" s="1103"/>
      <c r="H452" s="1097" t="e">
        <f t="shared" si="35"/>
        <v>#REF!</v>
      </c>
      <c r="I452" s="1103"/>
      <c r="J452" s="1097" t="e">
        <f t="shared" si="36"/>
        <v>#REF!</v>
      </c>
      <c r="K452" s="1096"/>
      <c r="L452" s="1097" t="e">
        <f t="shared" si="37"/>
        <v>#REF!</v>
      </c>
      <c r="M452" s="1103"/>
      <c r="N452" s="1096"/>
      <c r="O452" s="1098"/>
      <c r="P452" s="1096"/>
      <c r="Q452" s="1107"/>
      <c r="R452" s="1104"/>
    </row>
    <row r="453" spans="1:22" s="1108" customFormat="1" ht="33" customHeight="1">
      <c r="A453" s="1090">
        <v>79.2</v>
      </c>
      <c r="B453" s="933" t="s">
        <v>4029</v>
      </c>
      <c r="C453" s="1106" t="e">
        <f>#REF!</f>
        <v>#REF!</v>
      </c>
      <c r="D453" s="943" t="s">
        <v>340</v>
      </c>
      <c r="F453" s="1097" t="e">
        <f t="shared" si="34"/>
        <v>#REF!</v>
      </c>
      <c r="G453" s="1103"/>
      <c r="H453" s="1097" t="e">
        <f t="shared" si="35"/>
        <v>#REF!</v>
      </c>
      <c r="I453" s="1103"/>
      <c r="J453" s="1097" t="e">
        <f t="shared" si="36"/>
        <v>#REF!</v>
      </c>
      <c r="K453" s="1096"/>
      <c r="L453" s="1097" t="e">
        <f t="shared" si="37"/>
        <v>#REF!</v>
      </c>
      <c r="M453" s="1103"/>
      <c r="N453" s="1096"/>
      <c r="O453" s="1098"/>
      <c r="P453" s="1096"/>
      <c r="Q453" s="1107"/>
      <c r="R453" s="1104"/>
    </row>
    <row r="454" spans="1:22" s="1108" customFormat="1" ht="51.75" customHeight="1">
      <c r="A454" s="1090">
        <v>80</v>
      </c>
      <c r="B454" s="933" t="s">
        <v>4030</v>
      </c>
      <c r="C454" s="1106" t="e">
        <f>#REF!</f>
        <v>#REF!</v>
      </c>
      <c r="D454" s="943" t="s">
        <v>340</v>
      </c>
      <c r="F454" s="1097" t="e">
        <f t="shared" si="34"/>
        <v>#REF!</v>
      </c>
      <c r="G454" s="1103"/>
      <c r="H454" s="1097" t="e">
        <f t="shared" si="35"/>
        <v>#REF!</v>
      </c>
      <c r="I454" s="1103"/>
      <c r="J454" s="1097" t="e">
        <f t="shared" si="36"/>
        <v>#REF!</v>
      </c>
      <c r="K454" s="1096"/>
      <c r="L454" s="1097" t="e">
        <f t="shared" si="37"/>
        <v>#REF!</v>
      </c>
      <c r="M454" s="1103"/>
      <c r="N454" s="1096"/>
      <c r="O454" s="1098"/>
      <c r="P454" s="1096"/>
      <c r="Q454" s="1107"/>
      <c r="R454" s="1104"/>
    </row>
    <row r="455" spans="1:22" s="1108" customFormat="1" ht="39" customHeight="1">
      <c r="A455" s="1119">
        <v>82</v>
      </c>
      <c r="B455" s="935" t="s">
        <v>4031</v>
      </c>
      <c r="C455" s="1120" t="e">
        <f>ROUND(#REF!,2)</f>
        <v>#REF!</v>
      </c>
      <c r="D455" s="1121" t="s">
        <v>340</v>
      </c>
      <c r="E455" s="1103"/>
      <c r="F455" s="1097" t="e">
        <f t="shared" si="34"/>
        <v>#REF!</v>
      </c>
      <c r="G455" s="1103"/>
      <c r="H455" s="1097" t="e">
        <f t="shared" si="35"/>
        <v>#REF!</v>
      </c>
      <c r="I455" s="1103"/>
      <c r="J455" s="1097" t="e">
        <f t="shared" si="36"/>
        <v>#REF!</v>
      </c>
      <c r="K455" s="1096"/>
      <c r="L455" s="1097" t="e">
        <f t="shared" si="37"/>
        <v>#REF!</v>
      </c>
      <c r="M455" s="1103"/>
      <c r="N455" s="1096"/>
      <c r="O455" s="1098"/>
      <c r="P455" s="1096"/>
      <c r="Q455" s="1107"/>
      <c r="R455" s="1104"/>
    </row>
    <row r="456" spans="1:22" s="1108" customFormat="1" ht="40.5" customHeight="1">
      <c r="A456" s="1090">
        <v>83</v>
      </c>
      <c r="B456" s="933" t="s">
        <v>4032</v>
      </c>
      <c r="C456" s="1106" t="e">
        <f>#REF!</f>
        <v>#REF!</v>
      </c>
      <c r="D456" s="943" t="s">
        <v>303</v>
      </c>
      <c r="E456" s="1103"/>
      <c r="F456" s="1097" t="e">
        <f t="shared" si="34"/>
        <v>#REF!</v>
      </c>
      <c r="G456" s="1103"/>
      <c r="H456" s="1097" t="e">
        <f t="shared" si="35"/>
        <v>#REF!</v>
      </c>
      <c r="I456" s="1103"/>
      <c r="J456" s="1097" t="e">
        <f t="shared" si="36"/>
        <v>#REF!</v>
      </c>
      <c r="K456" s="1096"/>
      <c r="L456" s="1097" t="e">
        <f t="shared" si="37"/>
        <v>#REF!</v>
      </c>
      <c r="M456" s="1103"/>
      <c r="N456" s="1096"/>
      <c r="O456" s="1098"/>
      <c r="P456" s="1096"/>
      <c r="Q456" s="1107"/>
      <c r="R456" s="1104"/>
    </row>
    <row r="457" spans="1:22" s="1108" customFormat="1" ht="20.100000000000001" customHeight="1">
      <c r="A457" s="1090">
        <v>84</v>
      </c>
      <c r="B457" s="933" t="s">
        <v>4033</v>
      </c>
      <c r="C457" s="1106"/>
      <c r="D457" s="943" t="s">
        <v>303</v>
      </c>
      <c r="E457" s="1103"/>
      <c r="F457" s="1097">
        <f t="shared" ref="F457:F520" si="38">C457*E457</f>
        <v>0</v>
      </c>
      <c r="G457" s="1103"/>
      <c r="H457" s="1097">
        <f t="shared" ref="H457:H520" si="39">C457*G457</f>
        <v>0</v>
      </c>
      <c r="I457" s="1103"/>
      <c r="J457" s="1097">
        <f t="shared" si="36"/>
        <v>0</v>
      </c>
      <c r="K457" s="1096"/>
      <c r="L457" s="1097">
        <f t="shared" si="37"/>
        <v>0</v>
      </c>
      <c r="M457" s="1103"/>
      <c r="N457" s="1096"/>
      <c r="O457" s="1098"/>
      <c r="P457" s="1096"/>
      <c r="Q457" s="1107"/>
      <c r="R457" s="1104"/>
    </row>
    <row r="458" spans="1:22" s="1108" customFormat="1" ht="20.100000000000001" customHeight="1">
      <c r="A458" s="1090">
        <v>85</v>
      </c>
      <c r="B458" s="933" t="s">
        <v>4034</v>
      </c>
      <c r="C458" s="1106" t="e">
        <f>#REF!</f>
        <v>#REF!</v>
      </c>
      <c r="D458" s="943" t="s">
        <v>303</v>
      </c>
      <c r="E458" s="1103"/>
      <c r="F458" s="1097" t="e">
        <f t="shared" si="38"/>
        <v>#REF!</v>
      </c>
      <c r="G458" s="1103"/>
      <c r="H458" s="1097" t="e">
        <f t="shared" si="39"/>
        <v>#REF!</v>
      </c>
      <c r="I458" s="1103"/>
      <c r="J458" s="1097" t="e">
        <f t="shared" si="36"/>
        <v>#REF!</v>
      </c>
      <c r="K458" s="1096"/>
      <c r="L458" s="1097" t="e">
        <f t="shared" si="37"/>
        <v>#REF!</v>
      </c>
      <c r="M458" s="1103"/>
      <c r="N458" s="1096"/>
      <c r="O458" s="1098"/>
      <c r="P458" s="1096"/>
      <c r="Q458" s="1107"/>
      <c r="R458" s="1104"/>
    </row>
    <row r="459" spans="1:22" ht="49.9" customHeight="1">
      <c r="A459" s="1090">
        <v>86</v>
      </c>
      <c r="B459" s="933" t="s">
        <v>4035</v>
      </c>
      <c r="C459" s="1092">
        <v>34</v>
      </c>
      <c r="D459" s="940" t="s">
        <v>3798</v>
      </c>
      <c r="E459" s="1096"/>
      <c r="F459" s="1097">
        <f t="shared" si="38"/>
        <v>0</v>
      </c>
      <c r="G459" s="1096"/>
      <c r="H459" s="1097">
        <f t="shared" si="39"/>
        <v>0</v>
      </c>
      <c r="I459" s="1096"/>
      <c r="J459" s="1097">
        <f t="shared" si="36"/>
        <v>0</v>
      </c>
      <c r="K459" s="1096"/>
      <c r="L459" s="1097">
        <f t="shared" si="37"/>
        <v>0</v>
      </c>
      <c r="M459" s="1096"/>
      <c r="N459" s="1096"/>
      <c r="O459" s="1098"/>
      <c r="P459" s="1096"/>
      <c r="Q459" s="1099"/>
      <c r="R459" s="1099"/>
    </row>
    <row r="460" spans="1:22" s="1108" customFormat="1" ht="51.75" customHeight="1">
      <c r="A460" s="1119">
        <v>87</v>
      </c>
      <c r="B460" s="935" t="s">
        <v>4036</v>
      </c>
      <c r="C460" s="1120" t="e">
        <f>ROUND(#REF!,2)</f>
        <v>#REF!</v>
      </c>
      <c r="D460" s="1121" t="s">
        <v>340</v>
      </c>
      <c r="E460" s="1103"/>
      <c r="F460" s="1097" t="e">
        <f t="shared" si="38"/>
        <v>#REF!</v>
      </c>
      <c r="G460" s="1103"/>
      <c r="H460" s="1097" t="e">
        <f t="shared" si="39"/>
        <v>#REF!</v>
      </c>
      <c r="I460" s="1103"/>
      <c r="J460" s="1097" t="e">
        <f t="shared" si="36"/>
        <v>#REF!</v>
      </c>
      <c r="K460" s="1096"/>
      <c r="L460" s="1097" t="e">
        <f t="shared" si="37"/>
        <v>#REF!</v>
      </c>
      <c r="M460" s="1103"/>
      <c r="N460" s="1096"/>
      <c r="O460" s="1098"/>
      <c r="P460" s="1096"/>
      <c r="Q460" s="1107"/>
      <c r="R460" s="1104"/>
    </row>
    <row r="461" spans="1:22" s="1108" customFormat="1" ht="60.75" customHeight="1">
      <c r="A461" s="1090">
        <v>112</v>
      </c>
      <c r="B461" s="933" t="s">
        <v>4037</v>
      </c>
      <c r="C461" s="1106" t="e">
        <f>ROUND(#REF!,2)</f>
        <v>#REF!</v>
      </c>
      <c r="D461" s="943" t="s">
        <v>340</v>
      </c>
      <c r="E461" s="1096"/>
      <c r="F461" s="1097" t="e">
        <f t="shared" si="38"/>
        <v>#REF!</v>
      </c>
      <c r="G461" s="1096"/>
      <c r="H461" s="1097" t="e">
        <f t="shared" si="39"/>
        <v>#REF!</v>
      </c>
      <c r="I461" s="1096"/>
      <c r="J461" s="1097" t="e">
        <f t="shared" si="36"/>
        <v>#REF!</v>
      </c>
      <c r="K461" s="1096"/>
      <c r="L461" s="1097" t="e">
        <f t="shared" si="37"/>
        <v>#REF!</v>
      </c>
      <c r="M461" s="1096"/>
      <c r="N461" s="1096"/>
      <c r="O461" s="1098"/>
      <c r="P461" s="1096"/>
      <c r="Q461" s="1107"/>
      <c r="R461" s="1099"/>
    </row>
    <row r="462" spans="1:22" s="1108" customFormat="1" ht="69.75" customHeight="1">
      <c r="A462" s="1109">
        <v>238</v>
      </c>
      <c r="B462" s="1259" t="s">
        <v>4038</v>
      </c>
      <c r="C462" s="1111" t="e">
        <f>ROUND(#REF!,2)</f>
        <v>#REF!</v>
      </c>
      <c r="D462" s="1112" t="s">
        <v>277</v>
      </c>
      <c r="E462" s="1162"/>
      <c r="F462" s="1097" t="e">
        <f t="shared" si="38"/>
        <v>#REF!</v>
      </c>
      <c r="G462" s="1162"/>
      <c r="H462" s="1097" t="e">
        <f t="shared" si="39"/>
        <v>#REF!</v>
      </c>
      <c r="I462" s="1162"/>
      <c r="J462" s="1097" t="e">
        <f t="shared" si="36"/>
        <v>#REF!</v>
      </c>
      <c r="K462" s="1114"/>
      <c r="L462" s="1097" t="e">
        <f t="shared" si="37"/>
        <v>#REF!</v>
      </c>
      <c r="M462" s="1114"/>
      <c r="N462" s="1096"/>
      <c r="O462" s="1098"/>
      <c r="P462" s="1096"/>
      <c r="Q462" s="1107"/>
      <c r="R462" s="1099"/>
    </row>
    <row r="463" spans="1:22" ht="45.75" customHeight="1">
      <c r="A463" s="1090"/>
      <c r="B463" s="1273" t="s">
        <v>4039</v>
      </c>
      <c r="C463" s="1092"/>
      <c r="D463" s="940"/>
      <c r="E463" s="1096">
        <f>'Ins Abs'!Q44</f>
        <v>0</v>
      </c>
      <c r="F463" s="1097">
        <f>C463*E463</f>
        <v>0</v>
      </c>
      <c r="G463" s="1096">
        <f>'SI Abs '!Q49</f>
        <v>0</v>
      </c>
      <c r="H463" s="1097">
        <f>'SI Abs '!R49</f>
        <v>0</v>
      </c>
      <c r="I463" s="1096">
        <f>'PC Abs'!Q44</f>
        <v>0</v>
      </c>
      <c r="J463" s="1097">
        <f>'PC Abs'!R44</f>
        <v>0</v>
      </c>
      <c r="K463" s="1096"/>
      <c r="L463" s="1097">
        <f t="shared" si="37"/>
        <v>0</v>
      </c>
      <c r="M463" s="1096"/>
      <c r="N463" s="1096"/>
      <c r="O463" s="1098"/>
      <c r="P463" s="1095"/>
      <c r="Q463" s="1122"/>
      <c r="R463" s="1099"/>
      <c r="S463" s="1123"/>
    </row>
    <row r="464" spans="1:22" s="1144" customFormat="1" ht="75" customHeight="1">
      <c r="A464" s="1118" t="s">
        <v>1156</v>
      </c>
      <c r="B464" s="1263" t="s">
        <v>4040</v>
      </c>
      <c r="C464" s="1117"/>
      <c r="D464" s="1118"/>
      <c r="E464" s="1103"/>
      <c r="F464" s="1097">
        <f t="shared" si="38"/>
        <v>0</v>
      </c>
      <c r="G464" s="1103"/>
      <c r="H464" s="1097">
        <f t="shared" si="39"/>
        <v>0</v>
      </c>
      <c r="I464" s="1103"/>
      <c r="J464" s="1097">
        <f t="shared" si="36"/>
        <v>0</v>
      </c>
      <c r="K464" s="1096"/>
      <c r="L464" s="1097">
        <f t="shared" si="37"/>
        <v>0</v>
      </c>
      <c r="M464" s="1103"/>
      <c r="N464" s="1096"/>
      <c r="O464" s="1098"/>
      <c r="P464" s="1096"/>
      <c r="Q464" s="1132"/>
      <c r="R464" s="1104"/>
      <c r="S464" s="1133"/>
      <c r="T464" s="1163"/>
      <c r="U464" s="1163"/>
      <c r="V464" s="1163"/>
    </row>
    <row r="465" spans="1:22" s="1144" customFormat="1" ht="41.25" customHeight="1">
      <c r="A465" s="1118"/>
      <c r="B465" s="1265" t="s">
        <v>3815</v>
      </c>
      <c r="C465" s="1117" t="e">
        <f>#REF!</f>
        <v>#REF!</v>
      </c>
      <c r="D465" s="1118" t="s">
        <v>3798</v>
      </c>
      <c r="E465" s="1103"/>
      <c r="F465" s="1097" t="e">
        <f t="shared" si="38"/>
        <v>#REF!</v>
      </c>
      <c r="G465" s="1103"/>
      <c r="H465" s="1097" t="e">
        <f t="shared" si="39"/>
        <v>#REF!</v>
      </c>
      <c r="I465" s="1103"/>
      <c r="J465" s="1097" t="e">
        <f t="shared" si="36"/>
        <v>#REF!</v>
      </c>
      <c r="K465" s="1096"/>
      <c r="L465" s="1097" t="e">
        <f t="shared" si="37"/>
        <v>#REF!</v>
      </c>
      <c r="M465" s="1103"/>
      <c r="N465" s="1096"/>
      <c r="O465" s="1098"/>
      <c r="P465" s="1096"/>
      <c r="Q465" s="1104"/>
      <c r="R465" s="1104"/>
      <c r="S465" s="1163"/>
      <c r="T465" s="1163"/>
      <c r="U465" s="1163"/>
      <c r="V465" s="1163"/>
    </row>
    <row r="466" spans="1:22" s="1144" customFormat="1" ht="41.25" customHeight="1">
      <c r="A466" s="1118"/>
      <c r="B466" s="1265" t="s">
        <v>3816</v>
      </c>
      <c r="C466" s="1117" t="e">
        <f>#REF!</f>
        <v>#REF!</v>
      </c>
      <c r="D466" s="1118" t="s">
        <v>3798</v>
      </c>
      <c r="E466" s="1103"/>
      <c r="F466" s="1097" t="e">
        <f t="shared" si="38"/>
        <v>#REF!</v>
      </c>
      <c r="G466" s="1103"/>
      <c r="H466" s="1097" t="e">
        <f t="shared" si="39"/>
        <v>#REF!</v>
      </c>
      <c r="I466" s="1103"/>
      <c r="J466" s="1097" t="e">
        <f t="shared" si="36"/>
        <v>#REF!</v>
      </c>
      <c r="K466" s="1096"/>
      <c r="L466" s="1097" t="e">
        <f t="shared" si="37"/>
        <v>#REF!</v>
      </c>
      <c r="M466" s="1103"/>
      <c r="N466" s="1096"/>
      <c r="O466" s="1098"/>
      <c r="P466" s="1096"/>
      <c r="Q466" s="1104"/>
      <c r="R466" s="1104"/>
      <c r="S466" s="1163"/>
      <c r="T466" s="1163"/>
      <c r="U466" s="1163"/>
      <c r="V466" s="1163"/>
    </row>
    <row r="467" spans="1:22" s="1144" customFormat="1" ht="37.5" customHeight="1">
      <c r="A467" s="936"/>
      <c r="B467" s="1266" t="s">
        <v>3817</v>
      </c>
      <c r="C467" s="1135" t="e">
        <f>#REF!</f>
        <v>#REF!</v>
      </c>
      <c r="D467" s="936" t="s">
        <v>3798</v>
      </c>
      <c r="E467" s="1103"/>
      <c r="F467" s="1097" t="e">
        <f t="shared" si="38"/>
        <v>#REF!</v>
      </c>
      <c r="G467" s="1103"/>
      <c r="H467" s="1097" t="e">
        <f t="shared" si="39"/>
        <v>#REF!</v>
      </c>
      <c r="I467" s="1103"/>
      <c r="J467" s="1097" t="e">
        <f t="shared" si="36"/>
        <v>#REF!</v>
      </c>
      <c r="K467" s="1096"/>
      <c r="L467" s="1097" t="e">
        <f t="shared" si="37"/>
        <v>#REF!</v>
      </c>
      <c r="M467" s="1103"/>
      <c r="N467" s="1096"/>
      <c r="O467" s="1098"/>
      <c r="P467" s="1096"/>
      <c r="Q467" s="1104"/>
      <c r="R467" s="1104"/>
      <c r="S467" s="1163"/>
      <c r="T467" s="1163"/>
      <c r="U467" s="1163"/>
      <c r="V467" s="1163"/>
    </row>
    <row r="468" spans="1:22" s="1144" customFormat="1" ht="47.25" customHeight="1">
      <c r="A468" s="936"/>
      <c r="B468" s="1266" t="s">
        <v>3818</v>
      </c>
      <c r="C468" s="1117" t="e">
        <f>#REF!</f>
        <v>#REF!</v>
      </c>
      <c r="D468" s="936" t="s">
        <v>3798</v>
      </c>
      <c r="E468" s="1103"/>
      <c r="F468" s="1097" t="e">
        <f t="shared" si="38"/>
        <v>#REF!</v>
      </c>
      <c r="G468" s="1103"/>
      <c r="H468" s="1097" t="e">
        <f t="shared" si="39"/>
        <v>#REF!</v>
      </c>
      <c r="I468" s="1103"/>
      <c r="J468" s="1097" t="e">
        <f t="shared" si="36"/>
        <v>#REF!</v>
      </c>
      <c r="K468" s="1096"/>
      <c r="L468" s="1097" t="e">
        <f t="shared" si="37"/>
        <v>#REF!</v>
      </c>
      <c r="M468" s="1103"/>
      <c r="N468" s="1096"/>
      <c r="O468" s="1098"/>
      <c r="P468" s="1096"/>
      <c r="Q468" s="1104"/>
      <c r="R468" s="1104"/>
      <c r="S468" s="1163"/>
      <c r="T468" s="1163"/>
      <c r="U468" s="1163"/>
      <c r="V468" s="1163"/>
    </row>
    <row r="469" spans="1:22" s="1108" customFormat="1" ht="41.25" customHeight="1">
      <c r="A469" s="1159"/>
      <c r="B469" s="1259" t="s">
        <v>3819</v>
      </c>
      <c r="C469" s="1092" t="e">
        <f>#REF!</f>
        <v>#REF!</v>
      </c>
      <c r="D469" s="1110" t="s">
        <v>3798</v>
      </c>
      <c r="E469" s="1103"/>
      <c r="F469" s="1097" t="e">
        <f t="shared" si="38"/>
        <v>#REF!</v>
      </c>
      <c r="G469" s="1103"/>
      <c r="H469" s="1097" t="e">
        <f t="shared" si="39"/>
        <v>#REF!</v>
      </c>
      <c r="I469" s="1103"/>
      <c r="J469" s="1097" t="e">
        <f t="shared" si="36"/>
        <v>#REF!</v>
      </c>
      <c r="K469" s="1096"/>
      <c r="L469" s="1097" t="e">
        <f t="shared" si="37"/>
        <v>#REF!</v>
      </c>
      <c r="M469" s="1103"/>
      <c r="N469" s="1096"/>
      <c r="O469" s="1098"/>
      <c r="P469" s="1096"/>
      <c r="Q469" s="1107"/>
      <c r="R469" s="1104"/>
      <c r="S469" s="1164"/>
      <c r="T469" s="1164"/>
      <c r="U469" s="1164"/>
      <c r="V469" s="1164"/>
    </row>
    <row r="470" spans="1:22" s="1144" customFormat="1" ht="68.25" customHeight="1">
      <c r="A470" s="1118" t="s">
        <v>547</v>
      </c>
      <c r="B470" s="1274" t="s">
        <v>4041</v>
      </c>
      <c r="C470" s="1117"/>
      <c r="D470" s="1118"/>
      <c r="E470" s="1103"/>
      <c r="F470" s="1097">
        <f t="shared" si="38"/>
        <v>0</v>
      </c>
      <c r="G470" s="1103"/>
      <c r="H470" s="1097">
        <f t="shared" si="39"/>
        <v>0</v>
      </c>
      <c r="I470" s="1103"/>
      <c r="J470" s="1097">
        <f t="shared" si="36"/>
        <v>0</v>
      </c>
      <c r="K470" s="1096"/>
      <c r="L470" s="1097">
        <f t="shared" si="37"/>
        <v>0</v>
      </c>
      <c r="M470" s="1103"/>
      <c r="N470" s="1096"/>
      <c r="O470" s="1098"/>
      <c r="P470" s="1096"/>
      <c r="Q470" s="1104"/>
      <c r="R470" s="1104"/>
      <c r="S470" s="1163"/>
      <c r="T470" s="1163"/>
      <c r="U470" s="1163"/>
      <c r="V470" s="1163"/>
    </row>
    <row r="471" spans="1:22" s="1144" customFormat="1" ht="48.75" customHeight="1">
      <c r="A471" s="1118"/>
      <c r="B471" s="1265" t="s">
        <v>3865</v>
      </c>
      <c r="C471" s="1117" t="e">
        <f>#REF!</f>
        <v>#REF!</v>
      </c>
      <c r="D471" s="1118" t="s">
        <v>3798</v>
      </c>
      <c r="E471" s="1103"/>
      <c r="F471" s="1097" t="e">
        <f t="shared" si="38"/>
        <v>#REF!</v>
      </c>
      <c r="G471" s="1103"/>
      <c r="H471" s="1097" t="e">
        <f t="shared" si="39"/>
        <v>#REF!</v>
      </c>
      <c r="I471" s="1103"/>
      <c r="J471" s="1097" t="e">
        <f t="shared" si="36"/>
        <v>#REF!</v>
      </c>
      <c r="K471" s="1096"/>
      <c r="L471" s="1097" t="e">
        <f t="shared" si="37"/>
        <v>#REF!</v>
      </c>
      <c r="M471" s="1103"/>
      <c r="N471" s="1096"/>
      <c r="O471" s="1098"/>
      <c r="P471" s="1096"/>
      <c r="Q471" s="1104"/>
      <c r="R471" s="1104"/>
      <c r="S471" s="1163"/>
      <c r="T471" s="1163"/>
      <c r="U471" s="1163"/>
      <c r="V471" s="1163"/>
    </row>
    <row r="472" spans="1:22" s="1144" customFormat="1" ht="49.5" customHeight="1">
      <c r="A472" s="1118"/>
      <c r="B472" s="1265" t="s">
        <v>3866</v>
      </c>
      <c r="C472" s="1117" t="e">
        <f>#REF!</f>
        <v>#REF!</v>
      </c>
      <c r="D472" s="1118" t="s">
        <v>3798</v>
      </c>
      <c r="E472" s="1103"/>
      <c r="F472" s="1097" t="e">
        <f t="shared" si="38"/>
        <v>#REF!</v>
      </c>
      <c r="G472" s="1103"/>
      <c r="H472" s="1097" t="e">
        <f t="shared" si="39"/>
        <v>#REF!</v>
      </c>
      <c r="I472" s="1103"/>
      <c r="J472" s="1097" t="e">
        <f t="shared" si="36"/>
        <v>#REF!</v>
      </c>
      <c r="K472" s="1096"/>
      <c r="L472" s="1097" t="e">
        <f t="shared" si="37"/>
        <v>#REF!</v>
      </c>
      <c r="M472" s="1103"/>
      <c r="N472" s="1096"/>
      <c r="O472" s="1098"/>
      <c r="P472" s="1096"/>
      <c r="Q472" s="1104"/>
      <c r="R472" s="1104"/>
      <c r="S472" s="1163"/>
      <c r="T472" s="1163"/>
      <c r="U472" s="1163"/>
      <c r="V472" s="1163"/>
    </row>
    <row r="473" spans="1:22" s="1144" customFormat="1" ht="49.5" customHeight="1">
      <c r="A473" s="1118"/>
      <c r="B473" s="1265" t="s">
        <v>3867</v>
      </c>
      <c r="C473" s="1117" t="e">
        <f>#REF!</f>
        <v>#REF!</v>
      </c>
      <c r="D473" s="1118" t="s">
        <v>3798</v>
      </c>
      <c r="E473" s="1103"/>
      <c r="F473" s="1097" t="e">
        <f t="shared" si="38"/>
        <v>#REF!</v>
      </c>
      <c r="G473" s="1103"/>
      <c r="H473" s="1097" t="e">
        <f t="shared" si="39"/>
        <v>#REF!</v>
      </c>
      <c r="I473" s="1103"/>
      <c r="J473" s="1097" t="e">
        <f t="shared" si="36"/>
        <v>#REF!</v>
      </c>
      <c r="K473" s="1096"/>
      <c r="L473" s="1097" t="e">
        <f t="shared" si="37"/>
        <v>#REF!</v>
      </c>
      <c r="M473" s="1103"/>
      <c r="N473" s="1096"/>
      <c r="O473" s="1098"/>
      <c r="P473" s="1096"/>
      <c r="Q473" s="1104"/>
      <c r="R473" s="1104"/>
      <c r="S473" s="1163"/>
      <c r="T473" s="1163"/>
      <c r="U473" s="1163"/>
      <c r="V473" s="1163"/>
    </row>
    <row r="474" spans="1:22" s="1144" customFormat="1" ht="49.5" customHeight="1">
      <c r="A474" s="1118"/>
      <c r="B474" s="1265" t="s">
        <v>3868</v>
      </c>
      <c r="C474" s="1117" t="e">
        <f>#REF!</f>
        <v>#REF!</v>
      </c>
      <c r="D474" s="1118" t="s">
        <v>3798</v>
      </c>
      <c r="E474" s="1103"/>
      <c r="F474" s="1097" t="e">
        <f t="shared" si="38"/>
        <v>#REF!</v>
      </c>
      <c r="G474" s="1103"/>
      <c r="H474" s="1097" t="e">
        <f t="shared" si="39"/>
        <v>#REF!</v>
      </c>
      <c r="I474" s="1103"/>
      <c r="J474" s="1097" t="e">
        <f t="shared" ref="J474:J537" si="40">I474*C474</f>
        <v>#REF!</v>
      </c>
      <c r="K474" s="1096"/>
      <c r="L474" s="1097" t="e">
        <f t="shared" ref="L474:L537" si="41">K474*C474</f>
        <v>#REF!</v>
      </c>
      <c r="M474" s="1103"/>
      <c r="N474" s="1096"/>
      <c r="O474" s="1098"/>
      <c r="P474" s="1096"/>
      <c r="Q474" s="1104"/>
      <c r="R474" s="1104"/>
      <c r="S474" s="1163"/>
      <c r="T474" s="1163"/>
      <c r="U474" s="1163"/>
      <c r="V474" s="1163"/>
    </row>
    <row r="475" spans="1:22" s="1144" customFormat="1" ht="49.5" customHeight="1">
      <c r="A475" s="1118"/>
      <c r="B475" s="1265" t="s">
        <v>3869</v>
      </c>
      <c r="C475" s="1117" t="e">
        <f>#REF!</f>
        <v>#REF!</v>
      </c>
      <c r="D475" s="1118" t="s">
        <v>3798</v>
      </c>
      <c r="E475" s="1103"/>
      <c r="F475" s="1097" t="e">
        <f t="shared" si="38"/>
        <v>#REF!</v>
      </c>
      <c r="G475" s="1103"/>
      <c r="H475" s="1097" t="e">
        <f t="shared" si="39"/>
        <v>#REF!</v>
      </c>
      <c r="I475" s="1103"/>
      <c r="J475" s="1097" t="e">
        <f t="shared" si="40"/>
        <v>#REF!</v>
      </c>
      <c r="K475" s="1096"/>
      <c r="L475" s="1097" t="e">
        <f t="shared" si="41"/>
        <v>#REF!</v>
      </c>
      <c r="M475" s="1103"/>
      <c r="N475" s="1096"/>
      <c r="O475" s="1098"/>
      <c r="P475" s="1096"/>
      <c r="Q475" s="1104"/>
      <c r="R475" s="1104"/>
      <c r="S475" s="1163"/>
      <c r="T475" s="1163"/>
      <c r="U475" s="1163"/>
      <c r="V475" s="1163"/>
    </row>
    <row r="476" spans="1:22" s="1108" customFormat="1" ht="25.5" customHeight="1">
      <c r="A476" s="1126"/>
      <c r="B476" s="1275" t="s">
        <v>3870</v>
      </c>
      <c r="C476" s="1106" t="e">
        <f>#REF!</f>
        <v>#REF!</v>
      </c>
      <c r="D476" s="943" t="s">
        <v>3798</v>
      </c>
      <c r="E476" s="1103"/>
      <c r="F476" s="1097" t="e">
        <f t="shared" si="38"/>
        <v>#REF!</v>
      </c>
      <c r="G476" s="1103"/>
      <c r="H476" s="1097" t="e">
        <f t="shared" si="39"/>
        <v>#REF!</v>
      </c>
      <c r="I476" s="1103"/>
      <c r="J476" s="1097" t="e">
        <f t="shared" si="40"/>
        <v>#REF!</v>
      </c>
      <c r="K476" s="1096"/>
      <c r="L476" s="1097" t="e">
        <f t="shared" si="41"/>
        <v>#REF!</v>
      </c>
      <c r="M476" s="1103"/>
      <c r="N476" s="1096"/>
      <c r="O476" s="1098"/>
      <c r="P476" s="1096"/>
      <c r="Q476" s="1107"/>
      <c r="R476" s="1104"/>
      <c r="S476" s="1164"/>
      <c r="T476" s="1164"/>
      <c r="U476" s="1164"/>
      <c r="V476" s="1164"/>
    </row>
    <row r="477" spans="1:22" s="1108" customFormat="1" ht="43.5" customHeight="1">
      <c r="A477" s="1165" t="s">
        <v>1156</v>
      </c>
      <c r="B477" s="1276" t="s">
        <v>4042</v>
      </c>
      <c r="C477" s="1106"/>
      <c r="D477" s="943"/>
      <c r="E477" s="1103"/>
      <c r="F477" s="1097">
        <f t="shared" si="38"/>
        <v>0</v>
      </c>
      <c r="G477" s="1103"/>
      <c r="H477" s="1097">
        <f t="shared" si="39"/>
        <v>0</v>
      </c>
      <c r="I477" s="1103"/>
      <c r="J477" s="1097">
        <f t="shared" si="40"/>
        <v>0</v>
      </c>
      <c r="K477" s="1096"/>
      <c r="L477" s="1097">
        <f t="shared" si="41"/>
        <v>0</v>
      </c>
      <c r="M477" s="1103"/>
      <c r="N477" s="1096"/>
      <c r="O477" s="1098"/>
      <c r="P477" s="1096"/>
      <c r="Q477" s="1107"/>
      <c r="R477" s="1104"/>
      <c r="S477" s="1164"/>
      <c r="T477" s="1164"/>
      <c r="U477" s="1164"/>
      <c r="V477" s="1164"/>
    </row>
    <row r="478" spans="1:22" s="1108" customFormat="1" ht="25.5" customHeight="1">
      <c r="A478" s="1165"/>
      <c r="B478" s="1275" t="s">
        <v>3815</v>
      </c>
      <c r="C478" s="1106" t="e">
        <f>#REF!</f>
        <v>#REF!</v>
      </c>
      <c r="D478" s="943" t="s">
        <v>3798</v>
      </c>
      <c r="E478" s="1103"/>
      <c r="F478" s="1097" t="e">
        <f t="shared" si="38"/>
        <v>#REF!</v>
      </c>
      <c r="G478" s="1103"/>
      <c r="H478" s="1097" t="e">
        <f t="shared" si="39"/>
        <v>#REF!</v>
      </c>
      <c r="I478" s="1103"/>
      <c r="J478" s="1097" t="e">
        <f t="shared" si="40"/>
        <v>#REF!</v>
      </c>
      <c r="K478" s="1096"/>
      <c r="L478" s="1097" t="e">
        <f t="shared" si="41"/>
        <v>#REF!</v>
      </c>
      <c r="M478" s="1103"/>
      <c r="N478" s="1096"/>
      <c r="O478" s="1098"/>
      <c r="P478" s="1096"/>
      <c r="Q478" s="1107"/>
      <c r="R478" s="1104"/>
      <c r="S478" s="1164"/>
      <c r="T478" s="1164"/>
      <c r="U478" s="1164"/>
      <c r="V478" s="1164"/>
    </row>
    <row r="479" spans="1:22" s="1108" customFormat="1" ht="25.5" customHeight="1">
      <c r="A479" s="1165"/>
      <c r="B479" s="1275" t="s">
        <v>3816</v>
      </c>
      <c r="C479" s="1106" t="e">
        <f>#REF!</f>
        <v>#REF!</v>
      </c>
      <c r="D479" s="943" t="s">
        <v>3798</v>
      </c>
      <c r="E479" s="1103"/>
      <c r="F479" s="1097" t="e">
        <f t="shared" si="38"/>
        <v>#REF!</v>
      </c>
      <c r="G479" s="1103"/>
      <c r="H479" s="1097" t="e">
        <f t="shared" si="39"/>
        <v>#REF!</v>
      </c>
      <c r="I479" s="1103"/>
      <c r="J479" s="1097" t="e">
        <f t="shared" si="40"/>
        <v>#REF!</v>
      </c>
      <c r="K479" s="1096"/>
      <c r="L479" s="1097" t="e">
        <f t="shared" si="41"/>
        <v>#REF!</v>
      </c>
      <c r="M479" s="1103"/>
      <c r="N479" s="1096"/>
      <c r="O479" s="1098"/>
      <c r="P479" s="1096"/>
      <c r="Q479" s="1107"/>
      <c r="R479" s="1104"/>
      <c r="S479" s="1164"/>
      <c r="T479" s="1164"/>
      <c r="U479" s="1164"/>
      <c r="V479" s="1164"/>
    </row>
    <row r="480" spans="1:22" s="1108" customFormat="1" ht="25.5" customHeight="1">
      <c r="A480" s="1165"/>
      <c r="B480" s="1275" t="s">
        <v>3817</v>
      </c>
      <c r="C480" s="1106" t="e">
        <f>#REF!</f>
        <v>#REF!</v>
      </c>
      <c r="D480" s="943" t="s">
        <v>3798</v>
      </c>
      <c r="E480" s="1103"/>
      <c r="F480" s="1097" t="e">
        <f t="shared" si="38"/>
        <v>#REF!</v>
      </c>
      <c r="G480" s="1103"/>
      <c r="H480" s="1097" t="e">
        <f t="shared" si="39"/>
        <v>#REF!</v>
      </c>
      <c r="I480" s="1103"/>
      <c r="J480" s="1097" t="e">
        <f t="shared" si="40"/>
        <v>#REF!</v>
      </c>
      <c r="K480" s="1096"/>
      <c r="L480" s="1097" t="e">
        <f t="shared" si="41"/>
        <v>#REF!</v>
      </c>
      <c r="M480" s="1103"/>
      <c r="N480" s="1096"/>
      <c r="O480" s="1098"/>
      <c r="P480" s="1096"/>
      <c r="Q480" s="1107"/>
      <c r="R480" s="1104"/>
      <c r="S480" s="1164"/>
      <c r="T480" s="1164"/>
      <c r="U480" s="1164"/>
      <c r="V480" s="1164"/>
    </row>
    <row r="481" spans="1:22" s="1108" customFormat="1" ht="25.5" customHeight="1">
      <c r="A481" s="1166"/>
      <c r="B481" s="1277" t="s">
        <v>3818</v>
      </c>
      <c r="C481" s="1106" t="e">
        <f>#REF!</f>
        <v>#REF!</v>
      </c>
      <c r="D481" s="1121" t="s">
        <v>3798</v>
      </c>
      <c r="E481" s="1103"/>
      <c r="F481" s="1097" t="e">
        <f t="shared" si="38"/>
        <v>#REF!</v>
      </c>
      <c r="G481" s="1103"/>
      <c r="H481" s="1097" t="e">
        <f t="shared" si="39"/>
        <v>#REF!</v>
      </c>
      <c r="I481" s="1103"/>
      <c r="J481" s="1097" t="e">
        <f t="shared" si="40"/>
        <v>#REF!</v>
      </c>
      <c r="K481" s="1096"/>
      <c r="L481" s="1097" t="e">
        <f t="shared" si="41"/>
        <v>#REF!</v>
      </c>
      <c r="M481" s="1103"/>
      <c r="N481" s="1096"/>
      <c r="O481" s="1098"/>
      <c r="P481" s="1096"/>
      <c r="Q481" s="1107"/>
      <c r="R481" s="1104"/>
      <c r="S481" s="1164"/>
      <c r="T481" s="1164"/>
      <c r="U481" s="1164"/>
      <c r="V481" s="1164"/>
    </row>
    <row r="482" spans="1:22" s="1108" customFormat="1" ht="25.5" customHeight="1">
      <c r="A482" s="1167"/>
      <c r="B482" s="1278" t="s">
        <v>3819</v>
      </c>
      <c r="C482" s="1106" t="e">
        <f>#REF!</f>
        <v>#REF!</v>
      </c>
      <c r="D482" s="1112" t="s">
        <v>3798</v>
      </c>
      <c r="E482" s="1103"/>
      <c r="F482" s="1097" t="e">
        <f t="shared" si="38"/>
        <v>#REF!</v>
      </c>
      <c r="G482" s="1103"/>
      <c r="H482" s="1097" t="e">
        <f t="shared" si="39"/>
        <v>#REF!</v>
      </c>
      <c r="I482" s="1103"/>
      <c r="J482" s="1097" t="e">
        <f t="shared" si="40"/>
        <v>#REF!</v>
      </c>
      <c r="K482" s="1096"/>
      <c r="L482" s="1097" t="e">
        <f t="shared" si="41"/>
        <v>#REF!</v>
      </c>
      <c r="M482" s="1103"/>
      <c r="N482" s="1096"/>
      <c r="O482" s="1098"/>
      <c r="P482" s="1096"/>
      <c r="Q482" s="1107"/>
      <c r="R482" s="1104"/>
      <c r="S482" s="1164"/>
      <c r="T482" s="1164"/>
      <c r="U482" s="1164"/>
      <c r="V482" s="1164"/>
    </row>
    <row r="483" spans="1:22" s="1108" customFormat="1" ht="61.5" customHeight="1">
      <c r="A483" s="1165" t="s">
        <v>547</v>
      </c>
      <c r="B483" s="1276" t="s">
        <v>4043</v>
      </c>
      <c r="C483" s="1106"/>
      <c r="D483" s="943"/>
      <c r="E483" s="1103"/>
      <c r="F483" s="1097">
        <f t="shared" si="38"/>
        <v>0</v>
      </c>
      <c r="G483" s="1103"/>
      <c r="H483" s="1097">
        <f t="shared" si="39"/>
        <v>0</v>
      </c>
      <c r="I483" s="1103"/>
      <c r="J483" s="1097">
        <f t="shared" si="40"/>
        <v>0</v>
      </c>
      <c r="K483" s="1096"/>
      <c r="L483" s="1097">
        <f t="shared" si="41"/>
        <v>0</v>
      </c>
      <c r="M483" s="1103"/>
      <c r="N483" s="1096"/>
      <c r="O483" s="1098"/>
      <c r="P483" s="1096"/>
      <c r="Q483" s="1107"/>
      <c r="R483" s="1104"/>
      <c r="S483" s="1164"/>
      <c r="T483" s="1164"/>
      <c r="U483" s="1164"/>
      <c r="V483" s="1164"/>
    </row>
    <row r="484" spans="1:22" s="1108" customFormat="1" ht="39" customHeight="1">
      <c r="A484" s="1165"/>
      <c r="B484" s="1265" t="s">
        <v>3865</v>
      </c>
      <c r="C484" s="1092" t="e">
        <f>#REF!</f>
        <v>#REF!</v>
      </c>
      <c r="D484" s="940" t="s">
        <v>3798</v>
      </c>
      <c r="E484" s="1103"/>
      <c r="F484" s="1097" t="e">
        <f t="shared" si="38"/>
        <v>#REF!</v>
      </c>
      <c r="G484" s="1103"/>
      <c r="H484" s="1097" t="e">
        <f t="shared" si="39"/>
        <v>#REF!</v>
      </c>
      <c r="I484" s="1103"/>
      <c r="J484" s="1097" t="e">
        <f t="shared" si="40"/>
        <v>#REF!</v>
      </c>
      <c r="K484" s="1096"/>
      <c r="L484" s="1097" t="e">
        <f t="shared" si="41"/>
        <v>#REF!</v>
      </c>
      <c r="M484" s="1103"/>
      <c r="N484" s="1096"/>
      <c r="O484" s="1098"/>
      <c r="P484" s="1096"/>
      <c r="Q484" s="1107"/>
      <c r="R484" s="1104"/>
      <c r="S484" s="1164"/>
      <c r="T484" s="1164"/>
      <c r="U484" s="1164"/>
      <c r="V484" s="1164"/>
    </row>
    <row r="485" spans="1:22" s="1108" customFormat="1" ht="25.5" customHeight="1">
      <c r="A485" s="1165"/>
      <c r="B485" s="1275" t="s">
        <v>3866</v>
      </c>
      <c r="C485" s="1106" t="e">
        <f>#REF!</f>
        <v>#REF!</v>
      </c>
      <c r="D485" s="943" t="s">
        <v>3798</v>
      </c>
      <c r="E485" s="1103"/>
      <c r="F485" s="1097" t="e">
        <f t="shared" si="38"/>
        <v>#REF!</v>
      </c>
      <c r="G485" s="1103"/>
      <c r="H485" s="1097" t="e">
        <f t="shared" si="39"/>
        <v>#REF!</v>
      </c>
      <c r="I485" s="1103"/>
      <c r="J485" s="1097" t="e">
        <f t="shared" si="40"/>
        <v>#REF!</v>
      </c>
      <c r="K485" s="1096"/>
      <c r="L485" s="1097" t="e">
        <f t="shared" si="41"/>
        <v>#REF!</v>
      </c>
      <c r="M485" s="1103"/>
      <c r="N485" s="1096"/>
      <c r="O485" s="1098"/>
      <c r="P485" s="1096"/>
      <c r="Q485" s="1107"/>
      <c r="R485" s="1104"/>
      <c r="S485" s="1164"/>
      <c r="T485" s="1164"/>
      <c r="U485" s="1164"/>
      <c r="V485" s="1164"/>
    </row>
    <row r="486" spans="1:22" s="1108" customFormat="1" ht="25.5" customHeight="1">
      <c r="A486" s="1165"/>
      <c r="B486" s="1275" t="s">
        <v>3867</v>
      </c>
      <c r="C486" s="1106" t="e">
        <f>#REF!</f>
        <v>#REF!</v>
      </c>
      <c r="D486" s="943" t="s">
        <v>3798</v>
      </c>
      <c r="E486" s="1103"/>
      <c r="F486" s="1097" t="e">
        <f t="shared" si="38"/>
        <v>#REF!</v>
      </c>
      <c r="G486" s="1103"/>
      <c r="H486" s="1097" t="e">
        <f t="shared" si="39"/>
        <v>#REF!</v>
      </c>
      <c r="I486" s="1103"/>
      <c r="J486" s="1097" t="e">
        <f t="shared" si="40"/>
        <v>#REF!</v>
      </c>
      <c r="K486" s="1096"/>
      <c r="L486" s="1097" t="e">
        <f t="shared" si="41"/>
        <v>#REF!</v>
      </c>
      <c r="M486" s="1103"/>
      <c r="N486" s="1096"/>
      <c r="O486" s="1098"/>
      <c r="P486" s="1096"/>
      <c r="Q486" s="1107"/>
      <c r="R486" s="1104"/>
      <c r="S486" s="1164"/>
      <c r="T486" s="1164"/>
      <c r="U486" s="1164"/>
      <c r="V486" s="1164"/>
    </row>
    <row r="487" spans="1:22" s="1108" customFormat="1" ht="25.5" customHeight="1">
      <c r="A487" s="1166"/>
      <c r="B487" s="1277" t="s">
        <v>3868</v>
      </c>
      <c r="C487" s="1106" t="e">
        <f>#REF!</f>
        <v>#REF!</v>
      </c>
      <c r="D487" s="1121" t="s">
        <v>3798</v>
      </c>
      <c r="E487" s="1103"/>
      <c r="F487" s="1097" t="e">
        <f t="shared" si="38"/>
        <v>#REF!</v>
      </c>
      <c r="G487" s="1103"/>
      <c r="H487" s="1097" t="e">
        <f t="shared" si="39"/>
        <v>#REF!</v>
      </c>
      <c r="I487" s="1103"/>
      <c r="J487" s="1097" t="e">
        <f t="shared" si="40"/>
        <v>#REF!</v>
      </c>
      <c r="K487" s="1096"/>
      <c r="L487" s="1097" t="e">
        <f t="shared" si="41"/>
        <v>#REF!</v>
      </c>
      <c r="M487" s="1103"/>
      <c r="N487" s="1096"/>
      <c r="O487" s="1098"/>
      <c r="P487" s="1096"/>
      <c r="Q487" s="1107"/>
      <c r="R487" s="1104"/>
      <c r="S487" s="1164"/>
      <c r="T487" s="1164"/>
      <c r="U487" s="1164"/>
      <c r="V487" s="1164"/>
    </row>
    <row r="488" spans="1:22" s="1108" customFormat="1" ht="25.5" customHeight="1">
      <c r="A488" s="1165"/>
      <c r="B488" s="1275" t="s">
        <v>3869</v>
      </c>
      <c r="C488" s="1106" t="e">
        <f>#REF!</f>
        <v>#REF!</v>
      </c>
      <c r="D488" s="943" t="s">
        <v>3798</v>
      </c>
      <c r="E488" s="1103"/>
      <c r="F488" s="1097" t="e">
        <f t="shared" si="38"/>
        <v>#REF!</v>
      </c>
      <c r="G488" s="1103"/>
      <c r="H488" s="1097" t="e">
        <f t="shared" si="39"/>
        <v>#REF!</v>
      </c>
      <c r="I488" s="1103"/>
      <c r="J488" s="1097" t="e">
        <f t="shared" si="40"/>
        <v>#REF!</v>
      </c>
      <c r="K488" s="1096"/>
      <c r="L488" s="1097" t="e">
        <f t="shared" si="41"/>
        <v>#REF!</v>
      </c>
      <c r="M488" s="1103"/>
      <c r="N488" s="1096"/>
      <c r="O488" s="1098"/>
      <c r="P488" s="1096"/>
      <c r="Q488" s="1107"/>
      <c r="R488" s="1104"/>
      <c r="S488" s="1164"/>
      <c r="T488" s="1164"/>
      <c r="U488" s="1164"/>
      <c r="V488" s="1164"/>
    </row>
    <row r="489" spans="1:22" s="1108" customFormat="1" ht="25.5" customHeight="1">
      <c r="A489" s="1126"/>
      <c r="B489" s="1275" t="s">
        <v>3870</v>
      </c>
      <c r="C489" s="1106" t="e">
        <f>#REF!</f>
        <v>#REF!</v>
      </c>
      <c r="D489" s="943" t="s">
        <v>3798</v>
      </c>
      <c r="E489" s="1103"/>
      <c r="F489" s="1097" t="e">
        <f t="shared" si="38"/>
        <v>#REF!</v>
      </c>
      <c r="G489" s="1103"/>
      <c r="H489" s="1097" t="e">
        <f t="shared" si="39"/>
        <v>#REF!</v>
      </c>
      <c r="I489" s="1103"/>
      <c r="J489" s="1097" t="e">
        <f t="shared" si="40"/>
        <v>#REF!</v>
      </c>
      <c r="K489" s="1096"/>
      <c r="L489" s="1097" t="e">
        <f t="shared" si="41"/>
        <v>#REF!</v>
      </c>
      <c r="M489" s="1103"/>
      <c r="N489" s="1096"/>
      <c r="O489" s="1098"/>
      <c r="P489" s="1096"/>
      <c r="Q489" s="1107"/>
      <c r="R489" s="1104"/>
      <c r="S489" s="1164"/>
      <c r="T489" s="1164"/>
      <c r="U489" s="1164"/>
      <c r="V489" s="1164"/>
    </row>
    <row r="490" spans="1:22" s="1108" customFormat="1" ht="82.5" customHeight="1">
      <c r="A490" s="1126"/>
      <c r="B490" s="1279" t="s">
        <v>4044</v>
      </c>
      <c r="C490" s="1111"/>
      <c r="D490" s="1121"/>
      <c r="E490" s="1103"/>
      <c r="F490" s="1097">
        <f t="shared" si="38"/>
        <v>0</v>
      </c>
      <c r="G490" s="1103"/>
      <c r="H490" s="1097">
        <f t="shared" si="39"/>
        <v>0</v>
      </c>
      <c r="I490" s="1103"/>
      <c r="J490" s="1097">
        <f t="shared" si="40"/>
        <v>0</v>
      </c>
      <c r="K490" s="1096"/>
      <c r="L490" s="1097">
        <f t="shared" si="41"/>
        <v>0</v>
      </c>
      <c r="M490" s="1103"/>
      <c r="N490" s="1096"/>
      <c r="O490" s="1098"/>
      <c r="P490" s="1096"/>
      <c r="Q490" s="1107"/>
      <c r="R490" s="1104"/>
      <c r="S490" s="1164"/>
      <c r="T490" s="1164"/>
      <c r="U490" s="1164"/>
      <c r="V490" s="1164"/>
    </row>
    <row r="491" spans="1:22" s="1108" customFormat="1" ht="43.5" customHeight="1">
      <c r="A491" s="1126"/>
      <c r="B491" s="1280" t="s">
        <v>4045</v>
      </c>
      <c r="C491" s="1169" t="e">
        <f>#REF!</f>
        <v>#REF!</v>
      </c>
      <c r="D491" s="1168" t="s">
        <v>3798</v>
      </c>
      <c r="E491" s="1103"/>
      <c r="F491" s="1097" t="e">
        <f t="shared" si="38"/>
        <v>#REF!</v>
      </c>
      <c r="G491" s="1103"/>
      <c r="H491" s="1097" t="e">
        <f t="shared" si="39"/>
        <v>#REF!</v>
      </c>
      <c r="I491" s="1103"/>
      <c r="J491" s="1097" t="e">
        <f t="shared" si="40"/>
        <v>#REF!</v>
      </c>
      <c r="K491" s="1096"/>
      <c r="L491" s="1097" t="e">
        <f t="shared" si="41"/>
        <v>#REF!</v>
      </c>
      <c r="M491" s="1103"/>
      <c r="N491" s="1096"/>
      <c r="O491" s="1098"/>
      <c r="P491" s="1096"/>
      <c r="Q491" s="1107"/>
      <c r="R491" s="1104"/>
      <c r="S491" s="1164"/>
      <c r="T491" s="1164"/>
      <c r="U491" s="1164"/>
      <c r="V491" s="1164"/>
    </row>
    <row r="492" spans="1:22" s="1108" customFormat="1" ht="43.5" customHeight="1">
      <c r="A492" s="1126"/>
      <c r="B492" s="1281" t="s">
        <v>3816</v>
      </c>
      <c r="C492" s="1169" t="e">
        <f>#REF!</f>
        <v>#REF!</v>
      </c>
      <c r="D492" s="1170" t="s">
        <v>3798</v>
      </c>
      <c r="E492" s="1103"/>
      <c r="F492" s="1097" t="e">
        <f t="shared" si="38"/>
        <v>#REF!</v>
      </c>
      <c r="G492" s="1103"/>
      <c r="H492" s="1097" t="e">
        <f t="shared" si="39"/>
        <v>#REF!</v>
      </c>
      <c r="I492" s="1103"/>
      <c r="J492" s="1097" t="e">
        <f t="shared" si="40"/>
        <v>#REF!</v>
      </c>
      <c r="K492" s="1096"/>
      <c r="L492" s="1097" t="e">
        <f t="shared" si="41"/>
        <v>#REF!</v>
      </c>
      <c r="M492" s="1103"/>
      <c r="N492" s="1096"/>
      <c r="O492" s="1098"/>
      <c r="P492" s="1096"/>
      <c r="Q492" s="1107"/>
      <c r="R492" s="1104"/>
      <c r="S492" s="1164"/>
      <c r="T492" s="1164"/>
      <c r="U492" s="1164"/>
      <c r="V492" s="1164"/>
    </row>
    <row r="493" spans="1:22" s="1108" customFormat="1" ht="43.5" customHeight="1">
      <c r="A493" s="1126"/>
      <c r="B493" s="1275" t="s">
        <v>3817</v>
      </c>
      <c r="C493" s="1169" t="e">
        <f>#REF!</f>
        <v>#REF!</v>
      </c>
      <c r="D493" s="943" t="s">
        <v>3798</v>
      </c>
      <c r="E493" s="1103"/>
      <c r="F493" s="1097" t="e">
        <f t="shared" si="38"/>
        <v>#REF!</v>
      </c>
      <c r="G493" s="1103"/>
      <c r="H493" s="1097" t="e">
        <f t="shared" si="39"/>
        <v>#REF!</v>
      </c>
      <c r="I493" s="1103"/>
      <c r="J493" s="1097" t="e">
        <f t="shared" si="40"/>
        <v>#REF!</v>
      </c>
      <c r="K493" s="1096"/>
      <c r="L493" s="1097" t="e">
        <f t="shared" si="41"/>
        <v>#REF!</v>
      </c>
      <c r="M493" s="1103"/>
      <c r="N493" s="1096"/>
      <c r="O493" s="1098"/>
      <c r="P493" s="1096"/>
      <c r="Q493" s="1107"/>
      <c r="R493" s="1104"/>
      <c r="S493" s="1164"/>
      <c r="T493" s="1164"/>
      <c r="U493" s="1164"/>
      <c r="V493" s="1164"/>
    </row>
    <row r="494" spans="1:22" s="1108" customFormat="1" ht="43.5" customHeight="1">
      <c r="A494" s="1126"/>
      <c r="B494" s="1277" t="s">
        <v>3818</v>
      </c>
      <c r="C494" s="1169" t="e">
        <f>#REF!</f>
        <v>#REF!</v>
      </c>
      <c r="D494" s="1121" t="s">
        <v>3798</v>
      </c>
      <c r="E494" s="1103"/>
      <c r="F494" s="1097" t="e">
        <f t="shared" si="38"/>
        <v>#REF!</v>
      </c>
      <c r="G494" s="1103"/>
      <c r="H494" s="1097" t="e">
        <f t="shared" si="39"/>
        <v>#REF!</v>
      </c>
      <c r="I494" s="1103"/>
      <c r="J494" s="1097" t="e">
        <f t="shared" si="40"/>
        <v>#REF!</v>
      </c>
      <c r="K494" s="1096"/>
      <c r="L494" s="1097" t="e">
        <f t="shared" si="41"/>
        <v>#REF!</v>
      </c>
      <c r="M494" s="1103"/>
      <c r="N494" s="1096"/>
      <c r="O494" s="1098"/>
      <c r="P494" s="1096"/>
      <c r="Q494" s="1107"/>
      <c r="R494" s="1104"/>
      <c r="S494" s="1164"/>
      <c r="T494" s="1164"/>
      <c r="U494" s="1164"/>
      <c r="V494" s="1164"/>
    </row>
    <row r="495" spans="1:22" s="1108" customFormat="1" ht="45" customHeight="1">
      <c r="A495" s="1126"/>
      <c r="B495" s="1278" t="s">
        <v>3819</v>
      </c>
      <c r="C495" s="1169" t="e">
        <f>#REF!</f>
        <v>#REF!</v>
      </c>
      <c r="D495" s="1112" t="s">
        <v>3798</v>
      </c>
      <c r="E495" s="1103"/>
      <c r="F495" s="1097" t="e">
        <f t="shared" si="38"/>
        <v>#REF!</v>
      </c>
      <c r="G495" s="1103"/>
      <c r="H495" s="1097" t="e">
        <f t="shared" si="39"/>
        <v>#REF!</v>
      </c>
      <c r="I495" s="1103"/>
      <c r="J495" s="1097" t="e">
        <f t="shared" si="40"/>
        <v>#REF!</v>
      </c>
      <c r="K495" s="1096"/>
      <c r="L495" s="1097" t="e">
        <f t="shared" si="41"/>
        <v>#REF!</v>
      </c>
      <c r="M495" s="1103"/>
      <c r="N495" s="1096"/>
      <c r="O495" s="1098"/>
      <c r="P495" s="1096"/>
      <c r="Q495" s="1107"/>
      <c r="R495" s="1104"/>
      <c r="S495" s="1164"/>
      <c r="T495" s="1164"/>
      <c r="U495" s="1164"/>
      <c r="V495" s="1164"/>
    </row>
    <row r="496" spans="1:22" s="1144" customFormat="1" ht="90.75" customHeight="1">
      <c r="A496" s="1171"/>
      <c r="B496" s="1265" t="s">
        <v>4046</v>
      </c>
      <c r="C496" s="1117"/>
      <c r="D496" s="1118"/>
      <c r="E496" s="1103"/>
      <c r="F496" s="1097">
        <f t="shared" si="38"/>
        <v>0</v>
      </c>
      <c r="G496" s="1103"/>
      <c r="H496" s="1097">
        <f t="shared" si="39"/>
        <v>0</v>
      </c>
      <c r="I496" s="1103"/>
      <c r="J496" s="1097">
        <f t="shared" si="40"/>
        <v>0</v>
      </c>
      <c r="K496" s="1096"/>
      <c r="L496" s="1097">
        <f t="shared" si="41"/>
        <v>0</v>
      </c>
      <c r="M496" s="1103"/>
      <c r="N496" s="1096"/>
      <c r="O496" s="1098"/>
      <c r="P496" s="1096"/>
      <c r="Q496" s="1132"/>
      <c r="R496" s="1104"/>
      <c r="S496" s="1133"/>
      <c r="T496" s="1163"/>
      <c r="U496" s="1163"/>
      <c r="V496" s="1163"/>
    </row>
    <row r="497" spans="1:22" s="1144" customFormat="1" ht="48.75" customHeight="1">
      <c r="A497" s="1129"/>
      <c r="B497" s="1265" t="s">
        <v>2683</v>
      </c>
      <c r="C497" s="1117" t="e">
        <f>#REF!</f>
        <v>#REF!</v>
      </c>
      <c r="D497" s="1118" t="s">
        <v>3798</v>
      </c>
      <c r="E497" s="1103"/>
      <c r="F497" s="1097" t="e">
        <f t="shared" si="38"/>
        <v>#REF!</v>
      </c>
      <c r="G497" s="1103"/>
      <c r="H497" s="1097" t="e">
        <f t="shared" si="39"/>
        <v>#REF!</v>
      </c>
      <c r="I497" s="1103"/>
      <c r="J497" s="1097" t="e">
        <f t="shared" si="40"/>
        <v>#REF!</v>
      </c>
      <c r="K497" s="1096"/>
      <c r="L497" s="1097" t="e">
        <f t="shared" si="41"/>
        <v>#REF!</v>
      </c>
      <c r="M497" s="1103"/>
      <c r="N497" s="1096"/>
      <c r="O497" s="1098"/>
      <c r="P497" s="1096"/>
      <c r="Q497" s="1104"/>
      <c r="R497" s="1104"/>
      <c r="S497" s="1163"/>
      <c r="T497" s="1163"/>
      <c r="U497" s="1163"/>
      <c r="V497" s="1163"/>
    </row>
    <row r="498" spans="1:22" s="1144" customFormat="1" ht="48.75" customHeight="1">
      <c r="A498" s="1129"/>
      <c r="B498" s="1265" t="s">
        <v>3816</v>
      </c>
      <c r="C498" s="1117" t="e">
        <f>#REF!</f>
        <v>#REF!</v>
      </c>
      <c r="D498" s="1118" t="s">
        <v>3798</v>
      </c>
      <c r="E498" s="1103"/>
      <c r="F498" s="1097" t="e">
        <f t="shared" si="38"/>
        <v>#REF!</v>
      </c>
      <c r="G498" s="1103"/>
      <c r="H498" s="1097" t="e">
        <f t="shared" si="39"/>
        <v>#REF!</v>
      </c>
      <c r="I498" s="1103"/>
      <c r="J498" s="1097" t="e">
        <f t="shared" si="40"/>
        <v>#REF!</v>
      </c>
      <c r="K498" s="1096"/>
      <c r="L498" s="1097" t="e">
        <f t="shared" si="41"/>
        <v>#REF!</v>
      </c>
      <c r="M498" s="1103"/>
      <c r="N498" s="1096"/>
      <c r="O498" s="1098"/>
      <c r="P498" s="1096"/>
      <c r="Q498" s="1104"/>
      <c r="R498" s="1104"/>
      <c r="S498" s="1163"/>
      <c r="T498" s="1163"/>
      <c r="U498" s="1163"/>
      <c r="V498" s="1163"/>
    </row>
    <row r="499" spans="1:22" s="1144" customFormat="1" ht="48.75" customHeight="1">
      <c r="A499" s="1129"/>
      <c r="B499" s="1265" t="s">
        <v>3817</v>
      </c>
      <c r="C499" s="1117" t="e">
        <f>#REF!</f>
        <v>#REF!</v>
      </c>
      <c r="D499" s="1118" t="s">
        <v>3798</v>
      </c>
      <c r="E499" s="1103"/>
      <c r="F499" s="1097" t="e">
        <f t="shared" si="38"/>
        <v>#REF!</v>
      </c>
      <c r="G499" s="1103"/>
      <c r="H499" s="1097" t="e">
        <f t="shared" si="39"/>
        <v>#REF!</v>
      </c>
      <c r="I499" s="1103"/>
      <c r="J499" s="1097" t="e">
        <f t="shared" si="40"/>
        <v>#REF!</v>
      </c>
      <c r="K499" s="1096"/>
      <c r="L499" s="1097" t="e">
        <f t="shared" si="41"/>
        <v>#REF!</v>
      </c>
      <c r="M499" s="1103"/>
      <c r="N499" s="1096"/>
      <c r="O499" s="1098"/>
      <c r="P499" s="1096"/>
      <c r="Q499" s="1104"/>
      <c r="R499" s="1104"/>
      <c r="S499" s="1163"/>
      <c r="T499" s="1163"/>
      <c r="U499" s="1163"/>
      <c r="V499" s="1163"/>
    </row>
    <row r="500" spans="1:22" s="1144" customFormat="1" ht="69" customHeight="1">
      <c r="A500" s="1129"/>
      <c r="B500" s="1265" t="s">
        <v>3818</v>
      </c>
      <c r="C500" s="1117" t="e">
        <f>#REF!</f>
        <v>#REF!</v>
      </c>
      <c r="D500" s="1118" t="s">
        <v>3798</v>
      </c>
      <c r="E500" s="1103"/>
      <c r="F500" s="1097" t="e">
        <f t="shared" si="38"/>
        <v>#REF!</v>
      </c>
      <c r="G500" s="1103"/>
      <c r="H500" s="1097" t="e">
        <f t="shared" si="39"/>
        <v>#REF!</v>
      </c>
      <c r="I500" s="1103"/>
      <c r="J500" s="1097" t="e">
        <f t="shared" si="40"/>
        <v>#REF!</v>
      </c>
      <c r="K500" s="1096"/>
      <c r="L500" s="1097" t="e">
        <f t="shared" si="41"/>
        <v>#REF!</v>
      </c>
      <c r="M500" s="1103"/>
      <c r="N500" s="1096"/>
      <c r="O500" s="1098"/>
      <c r="P500" s="1096"/>
      <c r="Q500" s="1104"/>
      <c r="R500" s="1104"/>
      <c r="S500" s="1163"/>
      <c r="T500" s="1163"/>
      <c r="U500" s="1163"/>
      <c r="V500" s="1163"/>
    </row>
    <row r="501" spans="1:22" s="1144" customFormat="1" ht="44.25" customHeight="1">
      <c r="A501" s="1172"/>
      <c r="B501" s="1265" t="s">
        <v>3819</v>
      </c>
      <c r="C501" s="1117" t="e">
        <f>#REF!</f>
        <v>#REF!</v>
      </c>
      <c r="D501" s="1118" t="s">
        <v>3798</v>
      </c>
      <c r="E501" s="1103"/>
      <c r="F501" s="1097" t="e">
        <f t="shared" si="38"/>
        <v>#REF!</v>
      </c>
      <c r="G501" s="1103"/>
      <c r="H501" s="1097" t="e">
        <f t="shared" si="39"/>
        <v>#REF!</v>
      </c>
      <c r="I501" s="1103"/>
      <c r="J501" s="1097" t="e">
        <f t="shared" si="40"/>
        <v>#REF!</v>
      </c>
      <c r="K501" s="1096"/>
      <c r="L501" s="1097" t="e">
        <f t="shared" si="41"/>
        <v>#REF!</v>
      </c>
      <c r="M501" s="1103"/>
      <c r="N501" s="1096"/>
      <c r="O501" s="1098"/>
      <c r="P501" s="1096"/>
      <c r="Q501" s="1104"/>
      <c r="R501" s="1104"/>
      <c r="S501" s="1163"/>
      <c r="T501" s="1163"/>
      <c r="U501" s="1163"/>
      <c r="V501" s="1163"/>
    </row>
    <row r="502" spans="1:22" s="1176" customFormat="1" ht="25.5" customHeight="1">
      <c r="A502" s="1173"/>
      <c r="B502" s="1282" t="s">
        <v>3821</v>
      </c>
      <c r="C502" s="1111" t="e">
        <f>#REF!</f>
        <v>#REF!</v>
      </c>
      <c r="D502" s="1112" t="s">
        <v>3798</v>
      </c>
      <c r="E502" s="1113"/>
      <c r="F502" s="1097" t="e">
        <f t="shared" si="38"/>
        <v>#REF!</v>
      </c>
      <c r="G502" s="1113"/>
      <c r="H502" s="1097" t="e">
        <f t="shared" si="39"/>
        <v>#REF!</v>
      </c>
      <c r="I502" s="1113"/>
      <c r="J502" s="1097" t="e">
        <f t="shared" si="40"/>
        <v>#REF!</v>
      </c>
      <c r="K502" s="1114"/>
      <c r="L502" s="1097" t="e">
        <f t="shared" si="41"/>
        <v>#REF!</v>
      </c>
      <c r="M502" s="1113"/>
      <c r="N502" s="1096"/>
      <c r="O502" s="1098"/>
      <c r="P502" s="1096"/>
      <c r="Q502" s="1174"/>
      <c r="R502" s="1104"/>
      <c r="S502" s="1175"/>
      <c r="T502" s="1175"/>
      <c r="U502" s="1175"/>
      <c r="V502" s="1175"/>
    </row>
    <row r="503" spans="1:22" s="1105" customFormat="1" ht="66.75" customHeight="1">
      <c r="A503" s="1129">
        <v>4.0999999999999996</v>
      </c>
      <c r="B503" s="1274" t="s">
        <v>275</v>
      </c>
      <c r="C503" s="1117"/>
      <c r="D503" s="1118"/>
      <c r="E503" s="1103"/>
      <c r="F503" s="1097">
        <f t="shared" si="38"/>
        <v>0</v>
      </c>
      <c r="G503" s="1103"/>
      <c r="H503" s="1097">
        <f t="shared" si="39"/>
        <v>0</v>
      </c>
      <c r="I503" s="1103"/>
      <c r="J503" s="1097">
        <f t="shared" si="40"/>
        <v>0</v>
      </c>
      <c r="K503" s="1096"/>
      <c r="L503" s="1097">
        <f t="shared" si="41"/>
        <v>0</v>
      </c>
      <c r="M503" s="1103"/>
      <c r="N503" s="1096"/>
      <c r="O503" s="1098"/>
      <c r="P503" s="1096"/>
      <c r="Q503" s="1132"/>
      <c r="R503" s="1104"/>
      <c r="S503" s="1133"/>
    </row>
    <row r="504" spans="1:22" s="1105" customFormat="1" ht="50.25" customHeight="1">
      <c r="A504" s="1129"/>
      <c r="B504" s="1265" t="s">
        <v>3841</v>
      </c>
      <c r="C504" s="1117" t="e">
        <f>#REF!</f>
        <v>#REF!</v>
      </c>
      <c r="D504" s="1118" t="s">
        <v>313</v>
      </c>
      <c r="E504" s="1103"/>
      <c r="F504" s="1097" t="e">
        <f t="shared" si="38"/>
        <v>#REF!</v>
      </c>
      <c r="G504" s="1103"/>
      <c r="H504" s="1097" t="e">
        <f t="shared" si="39"/>
        <v>#REF!</v>
      </c>
      <c r="I504" s="1103"/>
      <c r="J504" s="1097" t="e">
        <f t="shared" si="40"/>
        <v>#REF!</v>
      </c>
      <c r="K504" s="1096"/>
      <c r="L504" s="1097" t="e">
        <f t="shared" si="41"/>
        <v>#REF!</v>
      </c>
      <c r="M504" s="1103"/>
      <c r="N504" s="1096"/>
      <c r="O504" s="1098"/>
      <c r="P504" s="1096"/>
      <c r="Q504" s="1104"/>
      <c r="R504" s="1104"/>
    </row>
    <row r="505" spans="1:22" s="1105" customFormat="1" ht="50.25" customHeight="1">
      <c r="A505" s="1129">
        <v>8.1</v>
      </c>
      <c r="B505" s="1265" t="s">
        <v>4047</v>
      </c>
      <c r="C505" s="1117" t="e">
        <f>#REF!</f>
        <v>#REF!</v>
      </c>
      <c r="D505" s="1118" t="s">
        <v>313</v>
      </c>
      <c r="E505" s="1103"/>
      <c r="F505" s="1097" t="e">
        <f t="shared" si="38"/>
        <v>#REF!</v>
      </c>
      <c r="G505" s="1103"/>
      <c r="H505" s="1097" t="e">
        <f t="shared" si="39"/>
        <v>#REF!</v>
      </c>
      <c r="I505" s="1103"/>
      <c r="J505" s="1097" t="e">
        <f t="shared" si="40"/>
        <v>#REF!</v>
      </c>
      <c r="K505" s="1096"/>
      <c r="L505" s="1097" t="e">
        <f t="shared" si="41"/>
        <v>#REF!</v>
      </c>
      <c r="M505" s="1103"/>
      <c r="N505" s="1096"/>
      <c r="O505" s="1098"/>
      <c r="P505" s="1096"/>
      <c r="Q505" s="1104"/>
      <c r="R505" s="1104"/>
    </row>
    <row r="506" spans="1:22" s="1105" customFormat="1" ht="50.25" customHeight="1">
      <c r="A506" s="1129"/>
      <c r="B506" s="1265" t="s">
        <v>3843</v>
      </c>
      <c r="C506" s="1117" t="e">
        <f>#REF!</f>
        <v>#REF!</v>
      </c>
      <c r="D506" s="1118" t="s">
        <v>313</v>
      </c>
      <c r="E506" s="1103"/>
      <c r="F506" s="1097" t="e">
        <f t="shared" si="38"/>
        <v>#REF!</v>
      </c>
      <c r="G506" s="1103"/>
      <c r="H506" s="1097" t="e">
        <f t="shared" si="39"/>
        <v>#REF!</v>
      </c>
      <c r="I506" s="1103"/>
      <c r="J506" s="1097" t="e">
        <f t="shared" si="40"/>
        <v>#REF!</v>
      </c>
      <c r="K506" s="1096"/>
      <c r="L506" s="1097" t="e">
        <f t="shared" si="41"/>
        <v>#REF!</v>
      </c>
      <c r="M506" s="1103"/>
      <c r="N506" s="1096"/>
      <c r="O506" s="1098"/>
      <c r="P506" s="1096"/>
      <c r="Q506" s="1104"/>
      <c r="R506" s="1104"/>
    </row>
    <row r="507" spans="1:22" s="1105" customFormat="1" ht="50.25" customHeight="1">
      <c r="A507" s="1129"/>
      <c r="B507" s="1265" t="s">
        <v>3844</v>
      </c>
      <c r="C507" s="1117" t="e">
        <f>#REF!</f>
        <v>#REF!</v>
      </c>
      <c r="D507" s="1118" t="s">
        <v>313</v>
      </c>
      <c r="E507" s="1103"/>
      <c r="F507" s="1097" t="e">
        <f t="shared" si="38"/>
        <v>#REF!</v>
      </c>
      <c r="G507" s="1103"/>
      <c r="H507" s="1097" t="e">
        <f t="shared" si="39"/>
        <v>#REF!</v>
      </c>
      <c r="I507" s="1103"/>
      <c r="J507" s="1097" t="e">
        <f t="shared" si="40"/>
        <v>#REF!</v>
      </c>
      <c r="K507" s="1096"/>
      <c r="L507" s="1097" t="e">
        <f t="shared" si="41"/>
        <v>#REF!</v>
      </c>
      <c r="M507" s="1103"/>
      <c r="N507" s="1096"/>
      <c r="O507" s="1098"/>
      <c r="P507" s="1096"/>
      <c r="Q507" s="1104"/>
      <c r="R507" s="1104"/>
    </row>
    <row r="508" spans="1:22" s="1105" customFormat="1" ht="50.25" customHeight="1">
      <c r="A508" s="1129"/>
      <c r="B508" s="1265" t="s">
        <v>3869</v>
      </c>
      <c r="C508" s="1117" t="e">
        <f>#REF!</f>
        <v>#REF!</v>
      </c>
      <c r="D508" s="1118" t="s">
        <v>313</v>
      </c>
      <c r="E508" s="1103"/>
      <c r="F508" s="1097" t="e">
        <f t="shared" si="38"/>
        <v>#REF!</v>
      </c>
      <c r="G508" s="1103"/>
      <c r="H508" s="1097" t="e">
        <f t="shared" si="39"/>
        <v>#REF!</v>
      </c>
      <c r="I508" s="1103"/>
      <c r="J508" s="1097" t="e">
        <f t="shared" si="40"/>
        <v>#REF!</v>
      </c>
      <c r="K508" s="1096"/>
      <c r="L508" s="1097" t="e">
        <f t="shared" si="41"/>
        <v>#REF!</v>
      </c>
      <c r="M508" s="1103"/>
      <c r="N508" s="1096"/>
      <c r="O508" s="1098"/>
      <c r="P508" s="1096"/>
      <c r="Q508" s="1104"/>
      <c r="R508" s="1104"/>
    </row>
    <row r="509" spans="1:22" s="1105" customFormat="1" ht="48.75" customHeight="1">
      <c r="A509" s="1134"/>
      <c r="B509" s="1266" t="s">
        <v>4048</v>
      </c>
      <c r="C509" s="1135" t="e">
        <f>#REF!</f>
        <v>#REF!</v>
      </c>
      <c r="D509" s="1118" t="s">
        <v>313</v>
      </c>
      <c r="E509" s="1103"/>
      <c r="F509" s="1097" t="e">
        <f t="shared" si="38"/>
        <v>#REF!</v>
      </c>
      <c r="G509" s="1103"/>
      <c r="H509" s="1097" t="e">
        <f t="shared" si="39"/>
        <v>#REF!</v>
      </c>
      <c r="I509" s="1103"/>
      <c r="J509" s="1097" t="e">
        <f t="shared" si="40"/>
        <v>#REF!</v>
      </c>
      <c r="K509" s="1096"/>
      <c r="L509" s="1097" t="e">
        <f t="shared" si="41"/>
        <v>#REF!</v>
      </c>
      <c r="M509" s="1103"/>
      <c r="N509" s="1096"/>
      <c r="O509" s="1098"/>
      <c r="P509" s="1096"/>
      <c r="Q509" s="1104"/>
      <c r="R509" s="1104"/>
    </row>
    <row r="510" spans="1:22" s="1108" customFormat="1" ht="51" customHeight="1">
      <c r="A510" s="1177" t="s">
        <v>4049</v>
      </c>
      <c r="B510" s="1283" t="s">
        <v>1349</v>
      </c>
      <c r="C510" s="1106"/>
      <c r="D510" s="943"/>
      <c r="E510" s="1096"/>
      <c r="F510" s="1097">
        <f t="shared" si="38"/>
        <v>0</v>
      </c>
      <c r="G510" s="1096"/>
      <c r="H510" s="1097">
        <f t="shared" si="39"/>
        <v>0</v>
      </c>
      <c r="I510" s="1096"/>
      <c r="J510" s="1097">
        <f t="shared" si="40"/>
        <v>0</v>
      </c>
      <c r="K510" s="1096"/>
      <c r="L510" s="1097">
        <f t="shared" si="41"/>
        <v>0</v>
      </c>
      <c r="M510" s="1096"/>
      <c r="N510" s="1096"/>
      <c r="O510" s="1098"/>
      <c r="P510" s="1096"/>
      <c r="Q510" s="1107"/>
      <c r="R510" s="1099"/>
    </row>
    <row r="511" spans="1:22" s="1108" customFormat="1" ht="38.25" customHeight="1">
      <c r="A511" s="1177"/>
      <c r="B511" s="1275" t="s">
        <v>3841</v>
      </c>
      <c r="C511" s="1106" t="e">
        <f>#REF!</f>
        <v>#REF!</v>
      </c>
      <c r="D511" s="943" t="s">
        <v>313</v>
      </c>
      <c r="E511" s="1096"/>
      <c r="F511" s="1097" t="e">
        <f t="shared" si="38"/>
        <v>#REF!</v>
      </c>
      <c r="G511" s="1096"/>
      <c r="H511" s="1097" t="e">
        <f t="shared" si="39"/>
        <v>#REF!</v>
      </c>
      <c r="I511" s="1096"/>
      <c r="J511" s="1097" t="e">
        <f t="shared" si="40"/>
        <v>#REF!</v>
      </c>
      <c r="K511" s="1096"/>
      <c r="L511" s="1097" t="e">
        <f t="shared" si="41"/>
        <v>#REF!</v>
      </c>
      <c r="M511" s="1096"/>
      <c r="N511" s="1096"/>
      <c r="O511" s="1098"/>
      <c r="P511" s="1096"/>
      <c r="Q511" s="1107"/>
      <c r="R511" s="1099"/>
    </row>
    <row r="512" spans="1:22" s="1108" customFormat="1" ht="38.25" customHeight="1">
      <c r="A512" s="1177"/>
      <c r="B512" s="1275" t="s">
        <v>3842</v>
      </c>
      <c r="C512" s="1106" t="e">
        <f>#REF!</f>
        <v>#REF!</v>
      </c>
      <c r="D512" s="943" t="s">
        <v>313</v>
      </c>
      <c r="E512" s="1096"/>
      <c r="F512" s="1097" t="e">
        <f t="shared" si="38"/>
        <v>#REF!</v>
      </c>
      <c r="G512" s="1096"/>
      <c r="H512" s="1097" t="e">
        <f t="shared" si="39"/>
        <v>#REF!</v>
      </c>
      <c r="I512" s="1096"/>
      <c r="J512" s="1097" t="e">
        <f t="shared" si="40"/>
        <v>#REF!</v>
      </c>
      <c r="K512" s="1096"/>
      <c r="L512" s="1097" t="e">
        <f t="shared" si="41"/>
        <v>#REF!</v>
      </c>
      <c r="M512" s="1096"/>
      <c r="N512" s="1096"/>
      <c r="O512" s="1098"/>
      <c r="P512" s="1096"/>
      <c r="Q512" s="1107"/>
      <c r="R512" s="1099"/>
    </row>
    <row r="513" spans="1:18" s="1108" customFormat="1" ht="38.25" customHeight="1">
      <c r="A513" s="1177"/>
      <c r="B513" s="1275" t="s">
        <v>3843</v>
      </c>
      <c r="C513" s="1106" t="e">
        <f>#REF!</f>
        <v>#REF!</v>
      </c>
      <c r="D513" s="943" t="s">
        <v>313</v>
      </c>
      <c r="E513" s="1096"/>
      <c r="F513" s="1097" t="e">
        <f t="shared" si="38"/>
        <v>#REF!</v>
      </c>
      <c r="G513" s="1096"/>
      <c r="H513" s="1097" t="e">
        <f t="shared" si="39"/>
        <v>#REF!</v>
      </c>
      <c r="I513" s="1096"/>
      <c r="J513" s="1097" t="e">
        <f t="shared" si="40"/>
        <v>#REF!</v>
      </c>
      <c r="K513" s="1096"/>
      <c r="L513" s="1097" t="e">
        <f t="shared" si="41"/>
        <v>#REF!</v>
      </c>
      <c r="M513" s="1096"/>
      <c r="N513" s="1096"/>
      <c r="O513" s="1098"/>
      <c r="P513" s="1096"/>
      <c r="Q513" s="1107"/>
      <c r="R513" s="1099"/>
    </row>
    <row r="514" spans="1:18" s="1108" customFormat="1" ht="44.25" customHeight="1">
      <c r="A514" s="1178"/>
      <c r="B514" s="1275" t="s">
        <v>3844</v>
      </c>
      <c r="C514" s="1120" t="e">
        <f>#REF!</f>
        <v>#REF!</v>
      </c>
      <c r="D514" s="943" t="s">
        <v>313</v>
      </c>
      <c r="E514" s="1096"/>
      <c r="F514" s="1097" t="e">
        <f t="shared" si="38"/>
        <v>#REF!</v>
      </c>
      <c r="G514" s="1096"/>
      <c r="H514" s="1097" t="e">
        <f t="shared" si="39"/>
        <v>#REF!</v>
      </c>
      <c r="I514" s="1096"/>
      <c r="J514" s="1097" t="e">
        <f t="shared" si="40"/>
        <v>#REF!</v>
      </c>
      <c r="K514" s="1096"/>
      <c r="L514" s="1097" t="e">
        <f t="shared" si="41"/>
        <v>#REF!</v>
      </c>
      <c r="M514" s="1096"/>
      <c r="N514" s="1096"/>
      <c r="O514" s="1098"/>
      <c r="P514" s="1096"/>
      <c r="Q514" s="1107"/>
      <c r="R514" s="1099"/>
    </row>
    <row r="515" spans="1:18" s="1108" customFormat="1" ht="50.25" customHeight="1">
      <c r="A515" s="1178"/>
      <c r="B515" s="1275" t="s">
        <v>3869</v>
      </c>
      <c r="C515" s="1120" t="e">
        <f>#REF!</f>
        <v>#REF!</v>
      </c>
      <c r="D515" s="943" t="s">
        <v>313</v>
      </c>
      <c r="E515" s="1103"/>
      <c r="F515" s="1097" t="e">
        <f t="shared" si="38"/>
        <v>#REF!</v>
      </c>
      <c r="G515" s="1103"/>
      <c r="H515" s="1097" t="e">
        <f t="shared" si="39"/>
        <v>#REF!</v>
      </c>
      <c r="I515" s="1103"/>
      <c r="J515" s="1097" t="e">
        <f t="shared" si="40"/>
        <v>#REF!</v>
      </c>
      <c r="K515" s="1096"/>
      <c r="L515" s="1097" t="e">
        <f t="shared" si="41"/>
        <v>#REF!</v>
      </c>
      <c r="M515" s="1103"/>
      <c r="N515" s="1096"/>
      <c r="O515" s="1098"/>
      <c r="P515" s="1096"/>
      <c r="Q515" s="1107"/>
      <c r="R515" s="1104"/>
    </row>
    <row r="516" spans="1:18" s="1108" customFormat="1" ht="60" customHeight="1">
      <c r="A516" s="1090"/>
      <c r="B516" s="1284" t="s">
        <v>4050</v>
      </c>
      <c r="C516" s="1106"/>
      <c r="D516" s="943"/>
      <c r="E516" s="1103"/>
      <c r="F516" s="1097">
        <f t="shared" si="38"/>
        <v>0</v>
      </c>
      <c r="G516" s="1103"/>
      <c r="H516" s="1097">
        <f t="shared" si="39"/>
        <v>0</v>
      </c>
      <c r="I516" s="1103"/>
      <c r="J516" s="1097">
        <f t="shared" si="40"/>
        <v>0</v>
      </c>
      <c r="K516" s="1096"/>
      <c r="L516" s="1097">
        <f t="shared" si="41"/>
        <v>0</v>
      </c>
      <c r="M516" s="1103"/>
      <c r="N516" s="1096"/>
      <c r="O516" s="1098"/>
      <c r="P516" s="1096"/>
      <c r="Q516" s="1107"/>
      <c r="R516" s="1104"/>
    </row>
    <row r="517" spans="1:18" s="1108" customFormat="1" ht="51" customHeight="1">
      <c r="A517" s="1090"/>
      <c r="B517" s="1285" t="s">
        <v>4051</v>
      </c>
      <c r="C517" s="1106" t="e">
        <f>#REF!</f>
        <v>#REF!</v>
      </c>
      <c r="D517" s="943" t="s">
        <v>313</v>
      </c>
      <c r="E517" s="1103"/>
      <c r="F517" s="1097" t="e">
        <f t="shared" si="38"/>
        <v>#REF!</v>
      </c>
      <c r="G517" s="1103"/>
      <c r="H517" s="1097" t="e">
        <f t="shared" si="39"/>
        <v>#REF!</v>
      </c>
      <c r="I517" s="1103"/>
      <c r="J517" s="1097" t="e">
        <f t="shared" si="40"/>
        <v>#REF!</v>
      </c>
      <c r="K517" s="1096"/>
      <c r="L517" s="1097" t="e">
        <f t="shared" si="41"/>
        <v>#REF!</v>
      </c>
      <c r="M517" s="1103"/>
      <c r="N517" s="1096"/>
      <c r="O517" s="1098"/>
      <c r="P517" s="1096"/>
      <c r="Q517" s="1107"/>
      <c r="R517" s="1104"/>
    </row>
    <row r="518" spans="1:18" s="1108" customFormat="1" ht="33" customHeight="1">
      <c r="A518" s="1090"/>
      <c r="B518" s="1285" t="s">
        <v>4052</v>
      </c>
      <c r="C518" s="1106" t="e">
        <f>#REF!</f>
        <v>#REF!</v>
      </c>
      <c r="D518" s="943" t="s">
        <v>313</v>
      </c>
      <c r="E518" s="1103"/>
      <c r="F518" s="1097" t="e">
        <f t="shared" si="38"/>
        <v>#REF!</v>
      </c>
      <c r="G518" s="1103"/>
      <c r="H518" s="1097" t="e">
        <f t="shared" si="39"/>
        <v>#REF!</v>
      </c>
      <c r="I518" s="1103"/>
      <c r="J518" s="1097" t="e">
        <f t="shared" si="40"/>
        <v>#REF!</v>
      </c>
      <c r="K518" s="1096"/>
      <c r="L518" s="1097" t="e">
        <f t="shared" si="41"/>
        <v>#REF!</v>
      </c>
      <c r="M518" s="1103"/>
      <c r="N518" s="1096"/>
      <c r="O518" s="1098"/>
      <c r="P518" s="1096"/>
      <c r="Q518" s="1107"/>
      <c r="R518" s="1104"/>
    </row>
    <row r="519" spans="1:18" s="1108" customFormat="1" ht="58.5" customHeight="1">
      <c r="A519" s="1090"/>
      <c r="B519" s="1262" t="s">
        <v>4053</v>
      </c>
      <c r="C519" s="1106"/>
      <c r="D519" s="943"/>
      <c r="E519" s="1103"/>
      <c r="F519" s="1097">
        <f t="shared" si="38"/>
        <v>0</v>
      </c>
      <c r="G519" s="1103"/>
      <c r="H519" s="1097">
        <f t="shared" si="39"/>
        <v>0</v>
      </c>
      <c r="I519" s="1103"/>
      <c r="J519" s="1097">
        <f t="shared" si="40"/>
        <v>0</v>
      </c>
      <c r="K519" s="1096"/>
      <c r="L519" s="1097">
        <f t="shared" si="41"/>
        <v>0</v>
      </c>
      <c r="M519" s="1103"/>
      <c r="N519" s="1096"/>
      <c r="O519" s="1098"/>
      <c r="P519" s="1096"/>
      <c r="Q519" s="1107"/>
      <c r="R519" s="1104"/>
    </row>
    <row r="520" spans="1:18" s="1108" customFormat="1" ht="45.75" customHeight="1">
      <c r="A520" s="1090"/>
      <c r="B520" s="933" t="s">
        <v>3841</v>
      </c>
      <c r="C520" s="1106" t="e">
        <f>#REF!</f>
        <v>#REF!</v>
      </c>
      <c r="D520" s="943" t="s">
        <v>3770</v>
      </c>
      <c r="E520" s="1103"/>
      <c r="F520" s="1097" t="e">
        <f t="shared" si="38"/>
        <v>#REF!</v>
      </c>
      <c r="G520" s="1103"/>
      <c r="H520" s="1097" t="e">
        <f t="shared" si="39"/>
        <v>#REF!</v>
      </c>
      <c r="I520" s="1103"/>
      <c r="J520" s="1097" t="e">
        <f t="shared" si="40"/>
        <v>#REF!</v>
      </c>
      <c r="K520" s="1096"/>
      <c r="L520" s="1097" t="e">
        <f t="shared" si="41"/>
        <v>#REF!</v>
      </c>
      <c r="M520" s="1103"/>
      <c r="N520" s="1096"/>
      <c r="O520" s="1098"/>
      <c r="P520" s="1096"/>
      <c r="Q520" s="1107"/>
      <c r="R520" s="1104"/>
    </row>
    <row r="521" spans="1:18" s="1108" customFormat="1" ht="45.75" customHeight="1">
      <c r="A521" s="1090"/>
      <c r="B521" s="933" t="s">
        <v>4054</v>
      </c>
      <c r="C521" s="1106" t="e">
        <f>#REF!</f>
        <v>#REF!</v>
      </c>
      <c r="D521" s="943" t="s">
        <v>3770</v>
      </c>
      <c r="E521" s="1103"/>
      <c r="F521" s="1097" t="e">
        <f t="shared" ref="F521:F584" si="42">C521*E521</f>
        <v>#REF!</v>
      </c>
      <c r="G521" s="1103"/>
      <c r="H521" s="1097" t="e">
        <f t="shared" ref="H521:H584" si="43">C521*G521</f>
        <v>#REF!</v>
      </c>
      <c r="I521" s="1103"/>
      <c r="J521" s="1097" t="e">
        <f t="shared" si="40"/>
        <v>#REF!</v>
      </c>
      <c r="K521" s="1096"/>
      <c r="L521" s="1097" t="e">
        <f t="shared" si="41"/>
        <v>#REF!</v>
      </c>
      <c r="M521" s="1103"/>
      <c r="N521" s="1096"/>
      <c r="O521" s="1098"/>
      <c r="P521" s="1096"/>
      <c r="Q521" s="1107"/>
      <c r="R521" s="1104"/>
    </row>
    <row r="522" spans="1:18" s="1108" customFormat="1" ht="45.75" customHeight="1">
      <c r="A522" s="1090"/>
      <c r="B522" s="933" t="s">
        <v>3843</v>
      </c>
      <c r="C522" s="1106" t="e">
        <f>#REF!</f>
        <v>#REF!</v>
      </c>
      <c r="D522" s="943" t="s">
        <v>3770</v>
      </c>
      <c r="E522" s="1103"/>
      <c r="F522" s="1097" t="e">
        <f t="shared" si="42"/>
        <v>#REF!</v>
      </c>
      <c r="G522" s="1103"/>
      <c r="H522" s="1097" t="e">
        <f t="shared" si="43"/>
        <v>#REF!</v>
      </c>
      <c r="I522" s="1103"/>
      <c r="J522" s="1097" t="e">
        <f t="shared" si="40"/>
        <v>#REF!</v>
      </c>
      <c r="K522" s="1096"/>
      <c r="L522" s="1097" t="e">
        <f t="shared" si="41"/>
        <v>#REF!</v>
      </c>
      <c r="M522" s="1103"/>
      <c r="N522" s="1096"/>
      <c r="O522" s="1098"/>
      <c r="P522" s="1096"/>
      <c r="Q522" s="1107"/>
      <c r="R522" s="1104"/>
    </row>
    <row r="523" spans="1:18" s="1108" customFormat="1" ht="45.75" customHeight="1">
      <c r="A523" s="1090"/>
      <c r="B523" s="933" t="s">
        <v>3844</v>
      </c>
      <c r="C523" s="1106" t="e">
        <f>#REF!</f>
        <v>#REF!</v>
      </c>
      <c r="D523" s="943" t="s">
        <v>3770</v>
      </c>
      <c r="E523" s="1103"/>
      <c r="F523" s="1097" t="e">
        <f t="shared" si="42"/>
        <v>#REF!</v>
      </c>
      <c r="G523" s="1103"/>
      <c r="H523" s="1097" t="e">
        <f t="shared" si="43"/>
        <v>#REF!</v>
      </c>
      <c r="I523" s="1103"/>
      <c r="J523" s="1097" t="e">
        <f t="shared" si="40"/>
        <v>#REF!</v>
      </c>
      <c r="K523" s="1096"/>
      <c r="L523" s="1097" t="e">
        <f t="shared" si="41"/>
        <v>#REF!</v>
      </c>
      <c r="M523" s="1103"/>
      <c r="N523" s="1096"/>
      <c r="O523" s="1098"/>
      <c r="P523" s="1096"/>
      <c r="Q523" s="1107"/>
      <c r="R523" s="1104"/>
    </row>
    <row r="524" spans="1:18" s="1108" customFormat="1" ht="45.75" customHeight="1">
      <c r="A524" s="1090"/>
      <c r="B524" s="933" t="s">
        <v>3869</v>
      </c>
      <c r="C524" s="1106" t="e">
        <f>#REF!</f>
        <v>#REF!</v>
      </c>
      <c r="D524" s="943" t="s">
        <v>3770</v>
      </c>
      <c r="E524" s="1103"/>
      <c r="F524" s="1097" t="e">
        <f t="shared" si="42"/>
        <v>#REF!</v>
      </c>
      <c r="G524" s="1103"/>
      <c r="H524" s="1097" t="e">
        <f t="shared" si="43"/>
        <v>#REF!</v>
      </c>
      <c r="I524" s="1103"/>
      <c r="J524" s="1097" t="e">
        <f t="shared" si="40"/>
        <v>#REF!</v>
      </c>
      <c r="K524" s="1096"/>
      <c r="L524" s="1097" t="e">
        <f t="shared" si="41"/>
        <v>#REF!</v>
      </c>
      <c r="M524" s="1103"/>
      <c r="N524" s="1096"/>
      <c r="O524" s="1098"/>
      <c r="P524" s="1096"/>
      <c r="Q524" s="1107"/>
      <c r="R524" s="1104"/>
    </row>
    <row r="525" spans="1:18" s="1108" customFormat="1" ht="45.75" customHeight="1">
      <c r="A525" s="1090"/>
      <c r="B525" s="933" t="s">
        <v>3846</v>
      </c>
      <c r="C525" s="1106" t="e">
        <f>#REF!</f>
        <v>#REF!</v>
      </c>
      <c r="D525" s="943" t="s">
        <v>3770</v>
      </c>
      <c r="E525" s="1103"/>
      <c r="F525" s="1097" t="e">
        <f t="shared" si="42"/>
        <v>#REF!</v>
      </c>
      <c r="G525" s="1103"/>
      <c r="H525" s="1097" t="e">
        <f t="shared" si="43"/>
        <v>#REF!</v>
      </c>
      <c r="I525" s="1103"/>
      <c r="J525" s="1097" t="e">
        <f t="shared" si="40"/>
        <v>#REF!</v>
      </c>
      <c r="K525" s="1096"/>
      <c r="L525" s="1097" t="e">
        <f t="shared" si="41"/>
        <v>#REF!</v>
      </c>
      <c r="M525" s="1103"/>
      <c r="N525" s="1096"/>
      <c r="O525" s="1098"/>
      <c r="P525" s="1096"/>
      <c r="Q525" s="1107"/>
      <c r="R525" s="1104"/>
    </row>
    <row r="526" spans="1:18" s="1108" customFormat="1" ht="45.75" customHeight="1">
      <c r="A526" s="1090"/>
      <c r="B526" s="933" t="s">
        <v>4055</v>
      </c>
      <c r="C526" s="1106" t="e">
        <f>#REF!</f>
        <v>#REF!</v>
      </c>
      <c r="D526" s="943" t="s">
        <v>3770</v>
      </c>
      <c r="E526" s="1103"/>
      <c r="F526" s="1097" t="e">
        <f t="shared" si="42"/>
        <v>#REF!</v>
      </c>
      <c r="G526" s="1103"/>
      <c r="H526" s="1097" t="e">
        <f t="shared" si="43"/>
        <v>#REF!</v>
      </c>
      <c r="I526" s="1103"/>
      <c r="J526" s="1097" t="e">
        <f t="shared" si="40"/>
        <v>#REF!</v>
      </c>
      <c r="K526" s="1096"/>
      <c r="L526" s="1097" t="e">
        <f t="shared" si="41"/>
        <v>#REF!</v>
      </c>
      <c r="M526" s="1103"/>
      <c r="N526" s="1096"/>
      <c r="O526" s="1098"/>
      <c r="P526" s="1096"/>
      <c r="Q526" s="1107"/>
      <c r="R526" s="1104"/>
    </row>
    <row r="527" spans="1:18" s="1108" customFormat="1" ht="45.75" customHeight="1">
      <c r="A527" s="1090"/>
      <c r="B527" s="933" t="s">
        <v>4056</v>
      </c>
      <c r="C527" s="1106" t="e">
        <f>#REF!</f>
        <v>#REF!</v>
      </c>
      <c r="D527" s="943" t="s">
        <v>3770</v>
      </c>
      <c r="E527" s="1103"/>
      <c r="F527" s="1097" t="e">
        <f t="shared" si="42"/>
        <v>#REF!</v>
      </c>
      <c r="G527" s="1103"/>
      <c r="H527" s="1097" t="e">
        <f t="shared" si="43"/>
        <v>#REF!</v>
      </c>
      <c r="I527" s="1103"/>
      <c r="J527" s="1097" t="e">
        <f t="shared" si="40"/>
        <v>#REF!</v>
      </c>
      <c r="K527" s="1096"/>
      <c r="L527" s="1097" t="e">
        <f t="shared" si="41"/>
        <v>#REF!</v>
      </c>
      <c r="M527" s="1103"/>
      <c r="N527" s="1096"/>
      <c r="O527" s="1098"/>
      <c r="P527" s="1096"/>
      <c r="Q527" s="1107"/>
      <c r="R527" s="1104"/>
    </row>
    <row r="528" spans="1:18" s="1108" customFormat="1" ht="45.75" customHeight="1">
      <c r="A528" s="1090"/>
      <c r="B528" s="933" t="s">
        <v>4057</v>
      </c>
      <c r="C528" s="1106" t="e">
        <f>#REF!</f>
        <v>#REF!</v>
      </c>
      <c r="D528" s="943" t="s">
        <v>3770</v>
      </c>
      <c r="E528" s="1103"/>
      <c r="F528" s="1097" t="e">
        <f t="shared" si="42"/>
        <v>#REF!</v>
      </c>
      <c r="G528" s="1103"/>
      <c r="H528" s="1097" t="e">
        <f t="shared" si="43"/>
        <v>#REF!</v>
      </c>
      <c r="I528" s="1103"/>
      <c r="J528" s="1097" t="e">
        <f t="shared" si="40"/>
        <v>#REF!</v>
      </c>
      <c r="K528" s="1096"/>
      <c r="L528" s="1097" t="e">
        <f t="shared" si="41"/>
        <v>#REF!</v>
      </c>
      <c r="M528" s="1103"/>
      <c r="N528" s="1096"/>
      <c r="O528" s="1098"/>
      <c r="P528" s="1096"/>
      <c r="Q528" s="1107"/>
      <c r="R528" s="1104"/>
    </row>
    <row r="529" spans="1:18" s="1108" customFormat="1" ht="45.75" customHeight="1">
      <c r="A529" s="1090"/>
      <c r="B529" s="1285" t="s">
        <v>4058</v>
      </c>
      <c r="C529" s="1106" t="e">
        <f>#REF!</f>
        <v>#REF!</v>
      </c>
      <c r="D529" s="943" t="s">
        <v>3770</v>
      </c>
      <c r="E529" s="1103"/>
      <c r="F529" s="1097" t="e">
        <f t="shared" si="42"/>
        <v>#REF!</v>
      </c>
      <c r="G529" s="1103"/>
      <c r="H529" s="1097" t="e">
        <f t="shared" si="43"/>
        <v>#REF!</v>
      </c>
      <c r="I529" s="1103"/>
      <c r="J529" s="1097" t="e">
        <f t="shared" si="40"/>
        <v>#REF!</v>
      </c>
      <c r="K529" s="1096"/>
      <c r="L529" s="1097" t="e">
        <f t="shared" si="41"/>
        <v>#REF!</v>
      </c>
      <c r="M529" s="1103"/>
      <c r="N529" s="1096"/>
      <c r="O529" s="1098"/>
      <c r="P529" s="1096"/>
      <c r="Q529" s="1107"/>
      <c r="R529" s="1104"/>
    </row>
    <row r="530" spans="1:18" s="1108" customFormat="1" ht="45.75" customHeight="1">
      <c r="A530" s="1090"/>
      <c r="B530" s="1285" t="s">
        <v>4059</v>
      </c>
      <c r="C530" s="1106" t="e">
        <f>#REF!</f>
        <v>#REF!</v>
      </c>
      <c r="D530" s="943" t="s">
        <v>3770</v>
      </c>
      <c r="E530" s="1103"/>
      <c r="F530" s="1097" t="e">
        <f t="shared" si="42"/>
        <v>#REF!</v>
      </c>
      <c r="G530" s="1103"/>
      <c r="H530" s="1097" t="e">
        <f t="shared" si="43"/>
        <v>#REF!</v>
      </c>
      <c r="I530" s="1103"/>
      <c r="J530" s="1097" t="e">
        <f t="shared" si="40"/>
        <v>#REF!</v>
      </c>
      <c r="K530" s="1096"/>
      <c r="L530" s="1097" t="e">
        <f t="shared" si="41"/>
        <v>#REF!</v>
      </c>
      <c r="M530" s="1103"/>
      <c r="N530" s="1096"/>
      <c r="O530" s="1098"/>
      <c r="P530" s="1096"/>
      <c r="Q530" s="1107"/>
      <c r="R530" s="1104"/>
    </row>
    <row r="531" spans="1:18" s="1108" customFormat="1" ht="45.75" customHeight="1">
      <c r="A531" s="1090"/>
      <c r="B531" s="1285" t="s">
        <v>4060</v>
      </c>
      <c r="C531" s="1106" t="e">
        <f>#REF!</f>
        <v>#REF!</v>
      </c>
      <c r="D531" s="943" t="s">
        <v>3770</v>
      </c>
      <c r="E531" s="1103"/>
      <c r="F531" s="1097" t="e">
        <f t="shared" si="42"/>
        <v>#REF!</v>
      </c>
      <c r="G531" s="1103"/>
      <c r="H531" s="1097" t="e">
        <f t="shared" si="43"/>
        <v>#REF!</v>
      </c>
      <c r="I531" s="1103"/>
      <c r="J531" s="1097" t="e">
        <f t="shared" si="40"/>
        <v>#REF!</v>
      </c>
      <c r="K531" s="1096"/>
      <c r="L531" s="1097" t="e">
        <f t="shared" si="41"/>
        <v>#REF!</v>
      </c>
      <c r="M531" s="1103"/>
      <c r="N531" s="1096"/>
      <c r="O531" s="1098"/>
      <c r="P531" s="1096"/>
      <c r="Q531" s="1107"/>
      <c r="R531" s="1104"/>
    </row>
    <row r="532" spans="1:18" s="1108" customFormat="1" ht="45.75" customHeight="1">
      <c r="A532" s="1090"/>
      <c r="B532" s="933" t="s">
        <v>3827</v>
      </c>
      <c r="C532" s="1106" t="e">
        <f>#REF!</f>
        <v>#REF!</v>
      </c>
      <c r="D532" s="943" t="s">
        <v>3770</v>
      </c>
      <c r="E532" s="1103"/>
      <c r="F532" s="1097" t="e">
        <f t="shared" si="42"/>
        <v>#REF!</v>
      </c>
      <c r="G532" s="1103"/>
      <c r="H532" s="1097" t="e">
        <f t="shared" si="43"/>
        <v>#REF!</v>
      </c>
      <c r="I532" s="1103"/>
      <c r="J532" s="1097" t="e">
        <f t="shared" si="40"/>
        <v>#REF!</v>
      </c>
      <c r="K532" s="1096"/>
      <c r="L532" s="1097" t="e">
        <f t="shared" si="41"/>
        <v>#REF!</v>
      </c>
      <c r="M532" s="1103"/>
      <c r="N532" s="1096"/>
      <c r="O532" s="1098"/>
      <c r="P532" s="1096"/>
      <c r="Q532" s="1107"/>
      <c r="R532" s="1104"/>
    </row>
    <row r="533" spans="1:18" s="1108" customFormat="1" ht="45.75" customHeight="1">
      <c r="A533" s="1090"/>
      <c r="B533" s="933" t="s">
        <v>3828</v>
      </c>
      <c r="C533" s="1106" t="e">
        <f>#REF!</f>
        <v>#REF!</v>
      </c>
      <c r="D533" s="943" t="s">
        <v>3770</v>
      </c>
      <c r="E533" s="1103"/>
      <c r="F533" s="1097" t="e">
        <f t="shared" si="42"/>
        <v>#REF!</v>
      </c>
      <c r="G533" s="1103"/>
      <c r="H533" s="1097" t="e">
        <f t="shared" si="43"/>
        <v>#REF!</v>
      </c>
      <c r="I533" s="1103"/>
      <c r="J533" s="1097" t="e">
        <f t="shared" si="40"/>
        <v>#REF!</v>
      </c>
      <c r="K533" s="1096"/>
      <c r="L533" s="1097" t="e">
        <f t="shared" si="41"/>
        <v>#REF!</v>
      </c>
      <c r="M533" s="1103"/>
      <c r="N533" s="1096"/>
      <c r="O533" s="1098"/>
      <c r="P533" s="1096"/>
      <c r="Q533" s="1107"/>
      <c r="R533" s="1104"/>
    </row>
    <row r="534" spans="1:18" s="1108" customFormat="1" ht="45.75" customHeight="1">
      <c r="A534" s="1090"/>
      <c r="B534" s="933" t="s">
        <v>4061</v>
      </c>
      <c r="C534" s="1106" t="e">
        <f>#REF!</f>
        <v>#REF!</v>
      </c>
      <c r="D534" s="943" t="s">
        <v>3770</v>
      </c>
      <c r="E534" s="1103"/>
      <c r="F534" s="1097" t="e">
        <f t="shared" si="42"/>
        <v>#REF!</v>
      </c>
      <c r="G534" s="1103"/>
      <c r="H534" s="1097" t="e">
        <f t="shared" si="43"/>
        <v>#REF!</v>
      </c>
      <c r="I534" s="1103"/>
      <c r="J534" s="1097" t="e">
        <f t="shared" si="40"/>
        <v>#REF!</v>
      </c>
      <c r="K534" s="1096"/>
      <c r="L534" s="1097" t="e">
        <f t="shared" si="41"/>
        <v>#REF!</v>
      </c>
      <c r="M534" s="1103"/>
      <c r="N534" s="1096"/>
      <c r="O534" s="1098"/>
      <c r="P534" s="1096"/>
      <c r="Q534" s="1107"/>
      <c r="R534" s="1104"/>
    </row>
    <row r="535" spans="1:18" s="1108" customFormat="1" ht="54.75" customHeight="1">
      <c r="A535" s="1090">
        <v>9.1999999999999993</v>
      </c>
      <c r="B535" s="1262" t="s">
        <v>3833</v>
      </c>
      <c r="C535" s="1106"/>
      <c r="D535" s="943"/>
      <c r="E535" s="1103"/>
      <c r="F535" s="1097">
        <f t="shared" si="42"/>
        <v>0</v>
      </c>
      <c r="G535" s="1103"/>
      <c r="H535" s="1097">
        <f t="shared" si="43"/>
        <v>0</v>
      </c>
      <c r="I535" s="1103"/>
      <c r="J535" s="1097">
        <f t="shared" si="40"/>
        <v>0</v>
      </c>
      <c r="K535" s="1096"/>
      <c r="L535" s="1097">
        <f t="shared" si="41"/>
        <v>0</v>
      </c>
      <c r="M535" s="1103"/>
      <c r="N535" s="1096"/>
      <c r="O535" s="1098"/>
      <c r="P535" s="1096"/>
      <c r="Q535" s="1107"/>
      <c r="R535" s="1104"/>
    </row>
    <row r="536" spans="1:18" s="1108" customFormat="1" ht="38.25" customHeight="1">
      <c r="A536" s="1090"/>
      <c r="B536" s="933" t="s">
        <v>4055</v>
      </c>
      <c r="C536" s="1106" t="e">
        <f>#REF!</f>
        <v>#REF!</v>
      </c>
      <c r="D536" s="943" t="s">
        <v>3770</v>
      </c>
      <c r="E536" s="1103"/>
      <c r="F536" s="1097" t="e">
        <f t="shared" si="42"/>
        <v>#REF!</v>
      </c>
      <c r="G536" s="1103"/>
      <c r="H536" s="1097" t="e">
        <f t="shared" si="43"/>
        <v>#REF!</v>
      </c>
      <c r="I536" s="1103"/>
      <c r="J536" s="1097" t="e">
        <f t="shared" si="40"/>
        <v>#REF!</v>
      </c>
      <c r="K536" s="1096"/>
      <c r="L536" s="1097" t="e">
        <f t="shared" si="41"/>
        <v>#REF!</v>
      </c>
      <c r="M536" s="1103"/>
      <c r="N536" s="1096"/>
      <c r="O536" s="1098"/>
      <c r="P536" s="1096"/>
      <c r="Q536" s="1107"/>
      <c r="R536" s="1104"/>
    </row>
    <row r="537" spans="1:18" s="1108" customFormat="1" ht="38.25" customHeight="1">
      <c r="A537" s="1090"/>
      <c r="B537" s="933" t="s">
        <v>4056</v>
      </c>
      <c r="C537" s="1106" t="e">
        <f>#REF!</f>
        <v>#REF!</v>
      </c>
      <c r="D537" s="943" t="s">
        <v>3770</v>
      </c>
      <c r="E537" s="1103"/>
      <c r="F537" s="1097" t="e">
        <f t="shared" si="42"/>
        <v>#REF!</v>
      </c>
      <c r="G537" s="1103"/>
      <c r="H537" s="1097" t="e">
        <f t="shared" si="43"/>
        <v>#REF!</v>
      </c>
      <c r="I537" s="1103"/>
      <c r="J537" s="1097" t="e">
        <f t="shared" si="40"/>
        <v>#REF!</v>
      </c>
      <c r="K537" s="1096"/>
      <c r="L537" s="1097" t="e">
        <f t="shared" si="41"/>
        <v>#REF!</v>
      </c>
      <c r="M537" s="1103"/>
      <c r="N537" s="1096"/>
      <c r="O537" s="1098"/>
      <c r="P537" s="1096"/>
      <c r="Q537" s="1107"/>
      <c r="R537" s="1104"/>
    </row>
    <row r="538" spans="1:18" s="1108" customFormat="1" ht="38.25" customHeight="1">
      <c r="A538" s="1090"/>
      <c r="B538" s="933" t="s">
        <v>4057</v>
      </c>
      <c r="C538" s="1106" t="e">
        <f>#REF!</f>
        <v>#REF!</v>
      </c>
      <c r="D538" s="943" t="s">
        <v>3770</v>
      </c>
      <c r="E538" s="1103"/>
      <c r="F538" s="1097" t="e">
        <f t="shared" si="42"/>
        <v>#REF!</v>
      </c>
      <c r="G538" s="1103"/>
      <c r="H538" s="1097" t="e">
        <f t="shared" si="43"/>
        <v>#REF!</v>
      </c>
      <c r="I538" s="1103"/>
      <c r="J538" s="1097" t="e">
        <f t="shared" ref="J538:J601" si="44">I538*C538</f>
        <v>#REF!</v>
      </c>
      <c r="K538" s="1096"/>
      <c r="L538" s="1097" t="e">
        <f t="shared" ref="L538:L601" si="45">K538*C538</f>
        <v>#REF!</v>
      </c>
      <c r="M538" s="1103"/>
      <c r="N538" s="1096"/>
      <c r="O538" s="1098"/>
      <c r="P538" s="1096"/>
      <c r="Q538" s="1107"/>
      <c r="R538" s="1104"/>
    </row>
    <row r="539" spans="1:18" s="1108" customFormat="1" ht="38.25" customHeight="1">
      <c r="A539" s="1090"/>
      <c r="B539" s="1285" t="s">
        <v>4058</v>
      </c>
      <c r="C539" s="1106" t="e">
        <f>#REF!</f>
        <v>#REF!</v>
      </c>
      <c r="D539" s="943" t="s">
        <v>3770</v>
      </c>
      <c r="E539" s="1103"/>
      <c r="F539" s="1097" t="e">
        <f t="shared" si="42"/>
        <v>#REF!</v>
      </c>
      <c r="G539" s="1103"/>
      <c r="H539" s="1097" t="e">
        <f t="shared" si="43"/>
        <v>#REF!</v>
      </c>
      <c r="I539" s="1103"/>
      <c r="J539" s="1097" t="e">
        <f t="shared" si="44"/>
        <v>#REF!</v>
      </c>
      <c r="K539" s="1096"/>
      <c r="L539" s="1097" t="e">
        <f t="shared" si="45"/>
        <v>#REF!</v>
      </c>
      <c r="M539" s="1103"/>
      <c r="N539" s="1096"/>
      <c r="O539" s="1098"/>
      <c r="P539" s="1096"/>
      <c r="Q539" s="1107"/>
      <c r="R539" s="1104"/>
    </row>
    <row r="540" spans="1:18" s="1108" customFormat="1" ht="38.25" customHeight="1">
      <c r="A540" s="1090"/>
      <c r="B540" s="1285" t="s">
        <v>4059</v>
      </c>
      <c r="C540" s="1106" t="e">
        <f>#REF!</f>
        <v>#REF!</v>
      </c>
      <c r="D540" s="943" t="s">
        <v>3770</v>
      </c>
      <c r="E540" s="1103"/>
      <c r="F540" s="1097" t="e">
        <f t="shared" si="42"/>
        <v>#REF!</v>
      </c>
      <c r="G540" s="1103"/>
      <c r="H540" s="1097" t="e">
        <f t="shared" si="43"/>
        <v>#REF!</v>
      </c>
      <c r="I540" s="1103"/>
      <c r="J540" s="1097" t="e">
        <f t="shared" si="44"/>
        <v>#REF!</v>
      </c>
      <c r="K540" s="1096"/>
      <c r="L540" s="1097" t="e">
        <f t="shared" si="45"/>
        <v>#REF!</v>
      </c>
      <c r="M540" s="1103"/>
      <c r="N540" s="1096"/>
      <c r="O540" s="1098"/>
      <c r="P540" s="1096"/>
      <c r="Q540" s="1107"/>
      <c r="R540" s="1104"/>
    </row>
    <row r="541" spans="1:18" s="1108" customFormat="1" ht="38.25" customHeight="1">
      <c r="A541" s="1090"/>
      <c r="B541" s="1285" t="s">
        <v>4060</v>
      </c>
      <c r="C541" s="1106" t="e">
        <f>#REF!</f>
        <v>#REF!</v>
      </c>
      <c r="D541" s="943"/>
      <c r="E541" s="1103"/>
      <c r="F541" s="1097" t="e">
        <f t="shared" si="42"/>
        <v>#REF!</v>
      </c>
      <c r="G541" s="1103"/>
      <c r="H541" s="1097" t="e">
        <f t="shared" si="43"/>
        <v>#REF!</v>
      </c>
      <c r="I541" s="1103"/>
      <c r="J541" s="1097" t="e">
        <f t="shared" si="44"/>
        <v>#REF!</v>
      </c>
      <c r="K541" s="1096"/>
      <c r="L541" s="1097" t="e">
        <f t="shared" si="45"/>
        <v>#REF!</v>
      </c>
      <c r="M541" s="1103"/>
      <c r="N541" s="1096"/>
      <c r="O541" s="1098"/>
      <c r="P541" s="1096"/>
      <c r="Q541" s="1107"/>
      <c r="R541" s="1104"/>
    </row>
    <row r="542" spans="1:18" s="1108" customFormat="1" ht="68.25" customHeight="1">
      <c r="A542" s="1090">
        <v>10.199999999999999</v>
      </c>
      <c r="B542" s="1262" t="s">
        <v>3847</v>
      </c>
      <c r="C542" s="1106"/>
      <c r="D542" s="943"/>
      <c r="E542" s="1103"/>
      <c r="F542" s="1097">
        <f t="shared" si="42"/>
        <v>0</v>
      </c>
      <c r="G542" s="1103"/>
      <c r="H542" s="1097">
        <f t="shared" si="43"/>
        <v>0</v>
      </c>
      <c r="I542" s="1103"/>
      <c r="J542" s="1097">
        <f t="shared" si="44"/>
        <v>0</v>
      </c>
      <c r="K542" s="1096"/>
      <c r="L542" s="1097">
        <f t="shared" si="45"/>
        <v>0</v>
      </c>
      <c r="M542" s="1103"/>
      <c r="N542" s="1096"/>
      <c r="O542" s="1098"/>
      <c r="P542" s="1096"/>
      <c r="Q542" s="1107"/>
      <c r="R542" s="1104"/>
    </row>
    <row r="543" spans="1:18" s="1108" customFormat="1" ht="33" customHeight="1">
      <c r="A543" s="1090"/>
      <c r="B543" s="933" t="s">
        <v>4055</v>
      </c>
      <c r="C543" s="1106" t="e">
        <f>#REF!</f>
        <v>#REF!</v>
      </c>
      <c r="D543" s="943" t="s">
        <v>3770</v>
      </c>
      <c r="E543" s="1103"/>
      <c r="F543" s="1097" t="e">
        <f t="shared" si="42"/>
        <v>#REF!</v>
      </c>
      <c r="G543" s="1103"/>
      <c r="H543" s="1097" t="e">
        <f t="shared" si="43"/>
        <v>#REF!</v>
      </c>
      <c r="I543" s="1103"/>
      <c r="J543" s="1097" t="e">
        <f t="shared" si="44"/>
        <v>#REF!</v>
      </c>
      <c r="K543" s="1096"/>
      <c r="L543" s="1097" t="e">
        <f t="shared" si="45"/>
        <v>#REF!</v>
      </c>
      <c r="M543" s="1103"/>
      <c r="N543" s="1096"/>
      <c r="O543" s="1098"/>
      <c r="P543" s="1096"/>
      <c r="Q543" s="1107"/>
      <c r="R543" s="1104"/>
    </row>
    <row r="544" spans="1:18" s="1108" customFormat="1" ht="33" customHeight="1">
      <c r="A544" s="1090"/>
      <c r="B544" s="933" t="s">
        <v>4056</v>
      </c>
      <c r="C544" s="1106" t="e">
        <f>#REF!</f>
        <v>#REF!</v>
      </c>
      <c r="D544" s="943" t="s">
        <v>3770</v>
      </c>
      <c r="E544" s="1103"/>
      <c r="F544" s="1097" t="e">
        <f t="shared" si="42"/>
        <v>#REF!</v>
      </c>
      <c r="G544" s="1103"/>
      <c r="H544" s="1097" t="e">
        <f t="shared" si="43"/>
        <v>#REF!</v>
      </c>
      <c r="I544" s="1103"/>
      <c r="J544" s="1097" t="e">
        <f t="shared" si="44"/>
        <v>#REF!</v>
      </c>
      <c r="K544" s="1096"/>
      <c r="L544" s="1097" t="e">
        <f t="shared" si="45"/>
        <v>#REF!</v>
      </c>
      <c r="M544" s="1103"/>
      <c r="N544" s="1096"/>
      <c r="O544" s="1098"/>
      <c r="P544" s="1096"/>
      <c r="Q544" s="1107"/>
      <c r="R544" s="1104"/>
    </row>
    <row r="545" spans="1:18" s="1105" customFormat="1" ht="35.25" customHeight="1">
      <c r="A545" s="1129"/>
      <c r="B545" s="1265" t="s">
        <v>4057</v>
      </c>
      <c r="C545" s="1117"/>
      <c r="D545" s="1118" t="s">
        <v>3770</v>
      </c>
      <c r="E545" s="1103"/>
      <c r="F545" s="1097">
        <f t="shared" si="42"/>
        <v>0</v>
      </c>
      <c r="G545" s="1103"/>
      <c r="H545" s="1097">
        <f t="shared" si="43"/>
        <v>0</v>
      </c>
      <c r="I545" s="1103"/>
      <c r="J545" s="1097">
        <f t="shared" si="44"/>
        <v>0</v>
      </c>
      <c r="K545" s="1096"/>
      <c r="L545" s="1097">
        <f t="shared" si="45"/>
        <v>0</v>
      </c>
      <c r="M545" s="1103"/>
      <c r="N545" s="1096"/>
      <c r="O545" s="1098"/>
      <c r="P545" s="1096"/>
      <c r="Q545" s="1104"/>
      <c r="R545" s="1104"/>
    </row>
    <row r="546" spans="1:18" s="1108" customFormat="1" ht="33" customHeight="1">
      <c r="A546" s="1090"/>
      <c r="B546" s="1285" t="s">
        <v>4058</v>
      </c>
      <c r="C546" s="1106" t="e">
        <f>#REF!</f>
        <v>#REF!</v>
      </c>
      <c r="D546" s="943" t="s">
        <v>3770</v>
      </c>
      <c r="E546" s="1103"/>
      <c r="F546" s="1097" t="e">
        <f t="shared" si="42"/>
        <v>#REF!</v>
      </c>
      <c r="G546" s="1103"/>
      <c r="H546" s="1097" t="e">
        <f t="shared" si="43"/>
        <v>#REF!</v>
      </c>
      <c r="I546" s="1103"/>
      <c r="J546" s="1097" t="e">
        <f t="shared" si="44"/>
        <v>#REF!</v>
      </c>
      <c r="K546" s="1096"/>
      <c r="L546" s="1097" t="e">
        <f t="shared" si="45"/>
        <v>#REF!</v>
      </c>
      <c r="M546" s="1103"/>
      <c r="N546" s="1096"/>
      <c r="O546" s="1098"/>
      <c r="P546" s="1096"/>
      <c r="Q546" s="1107"/>
      <c r="R546" s="1104"/>
    </row>
    <row r="547" spans="1:18" s="1108" customFormat="1" ht="33" customHeight="1">
      <c r="A547" s="1090"/>
      <c r="B547" s="1285" t="s">
        <v>4059</v>
      </c>
      <c r="C547" s="1106" t="e">
        <f>#REF!</f>
        <v>#REF!</v>
      </c>
      <c r="D547" s="943" t="s">
        <v>3770</v>
      </c>
      <c r="E547" s="1103"/>
      <c r="F547" s="1097" t="e">
        <f t="shared" si="42"/>
        <v>#REF!</v>
      </c>
      <c r="G547" s="1103"/>
      <c r="H547" s="1097" t="e">
        <f t="shared" si="43"/>
        <v>#REF!</v>
      </c>
      <c r="I547" s="1103"/>
      <c r="J547" s="1097" t="e">
        <f t="shared" si="44"/>
        <v>#REF!</v>
      </c>
      <c r="K547" s="1096"/>
      <c r="L547" s="1097" t="e">
        <f t="shared" si="45"/>
        <v>#REF!</v>
      </c>
      <c r="M547" s="1103"/>
      <c r="N547" s="1096"/>
      <c r="O547" s="1098"/>
      <c r="P547" s="1096"/>
      <c r="Q547" s="1107"/>
      <c r="R547" s="1104"/>
    </row>
    <row r="548" spans="1:18" s="1108" customFormat="1" ht="62.25" customHeight="1">
      <c r="A548" s="1090">
        <v>11.2</v>
      </c>
      <c r="B548" s="1262" t="s">
        <v>3854</v>
      </c>
      <c r="C548" s="1106"/>
      <c r="D548" s="943"/>
      <c r="E548" s="1103"/>
      <c r="F548" s="1097">
        <f t="shared" si="42"/>
        <v>0</v>
      </c>
      <c r="G548" s="1103"/>
      <c r="H548" s="1097">
        <f t="shared" si="43"/>
        <v>0</v>
      </c>
      <c r="I548" s="1103"/>
      <c r="J548" s="1097">
        <f t="shared" si="44"/>
        <v>0</v>
      </c>
      <c r="K548" s="1096"/>
      <c r="L548" s="1097">
        <f t="shared" si="45"/>
        <v>0</v>
      </c>
      <c r="M548" s="1103"/>
      <c r="N548" s="1096"/>
      <c r="O548" s="1098"/>
      <c r="P548" s="1096"/>
      <c r="Q548" s="1107"/>
      <c r="R548" s="1104"/>
    </row>
    <row r="549" spans="1:18" s="1108" customFormat="1" ht="33" customHeight="1">
      <c r="A549" s="1090"/>
      <c r="B549" s="933" t="s">
        <v>4055</v>
      </c>
      <c r="C549" s="1106" t="e">
        <f>#REF!</f>
        <v>#REF!</v>
      </c>
      <c r="D549" s="943" t="s">
        <v>306</v>
      </c>
      <c r="E549" s="1103"/>
      <c r="F549" s="1097" t="e">
        <f t="shared" si="42"/>
        <v>#REF!</v>
      </c>
      <c r="G549" s="1103"/>
      <c r="H549" s="1097" t="e">
        <f t="shared" si="43"/>
        <v>#REF!</v>
      </c>
      <c r="I549" s="1103"/>
      <c r="J549" s="1097" t="e">
        <f t="shared" si="44"/>
        <v>#REF!</v>
      </c>
      <c r="K549" s="1096"/>
      <c r="L549" s="1097" t="e">
        <f t="shared" si="45"/>
        <v>#REF!</v>
      </c>
      <c r="M549" s="1103"/>
      <c r="N549" s="1096"/>
      <c r="O549" s="1098"/>
      <c r="P549" s="1096"/>
      <c r="Q549" s="1107"/>
      <c r="R549" s="1104"/>
    </row>
    <row r="550" spans="1:18" s="1108" customFormat="1" ht="33" customHeight="1">
      <c r="A550" s="1090"/>
      <c r="B550" s="933" t="s">
        <v>4056</v>
      </c>
      <c r="C550" s="1106" t="e">
        <f>#REF!</f>
        <v>#REF!</v>
      </c>
      <c r="D550" s="943" t="s">
        <v>306</v>
      </c>
      <c r="E550" s="1103"/>
      <c r="F550" s="1097" t="e">
        <f t="shared" si="42"/>
        <v>#REF!</v>
      </c>
      <c r="G550" s="1103"/>
      <c r="H550" s="1097" t="e">
        <f t="shared" si="43"/>
        <v>#REF!</v>
      </c>
      <c r="I550" s="1103"/>
      <c r="J550" s="1097" t="e">
        <f t="shared" si="44"/>
        <v>#REF!</v>
      </c>
      <c r="K550" s="1096"/>
      <c r="L550" s="1097" t="e">
        <f t="shared" si="45"/>
        <v>#REF!</v>
      </c>
      <c r="M550" s="1103"/>
      <c r="N550" s="1096"/>
      <c r="O550" s="1098"/>
      <c r="P550" s="1096"/>
      <c r="Q550" s="1107"/>
      <c r="R550" s="1104"/>
    </row>
    <row r="551" spans="1:18" s="1108" customFormat="1" ht="33" customHeight="1">
      <c r="A551" s="1090"/>
      <c r="B551" s="933" t="s">
        <v>4057</v>
      </c>
      <c r="C551" s="1106" t="e">
        <f>#REF!</f>
        <v>#REF!</v>
      </c>
      <c r="D551" s="943" t="s">
        <v>306</v>
      </c>
      <c r="E551" s="1103"/>
      <c r="F551" s="1097" t="e">
        <f t="shared" si="42"/>
        <v>#REF!</v>
      </c>
      <c r="G551" s="1103"/>
      <c r="H551" s="1097" t="e">
        <f t="shared" si="43"/>
        <v>#REF!</v>
      </c>
      <c r="I551" s="1103"/>
      <c r="J551" s="1097" t="e">
        <f t="shared" si="44"/>
        <v>#REF!</v>
      </c>
      <c r="K551" s="1096"/>
      <c r="L551" s="1097" t="e">
        <f t="shared" si="45"/>
        <v>#REF!</v>
      </c>
      <c r="M551" s="1103"/>
      <c r="N551" s="1096"/>
      <c r="O551" s="1098"/>
      <c r="P551" s="1096"/>
      <c r="Q551" s="1107"/>
      <c r="R551" s="1104"/>
    </row>
    <row r="552" spans="1:18" s="1108" customFormat="1" ht="33" customHeight="1">
      <c r="A552" s="1090"/>
      <c r="B552" s="1285" t="s">
        <v>4062</v>
      </c>
      <c r="C552" s="1106" t="e">
        <f>#REF!</f>
        <v>#REF!</v>
      </c>
      <c r="D552" s="943" t="s">
        <v>306</v>
      </c>
      <c r="E552" s="1103"/>
      <c r="F552" s="1097" t="e">
        <f t="shared" si="42"/>
        <v>#REF!</v>
      </c>
      <c r="G552" s="1103"/>
      <c r="H552" s="1097" t="e">
        <f t="shared" si="43"/>
        <v>#REF!</v>
      </c>
      <c r="I552" s="1103"/>
      <c r="J552" s="1097" t="e">
        <f t="shared" si="44"/>
        <v>#REF!</v>
      </c>
      <c r="K552" s="1096"/>
      <c r="L552" s="1097" t="e">
        <f t="shared" si="45"/>
        <v>#REF!</v>
      </c>
      <c r="M552" s="1103"/>
      <c r="N552" s="1096"/>
      <c r="O552" s="1098"/>
      <c r="P552" s="1096"/>
      <c r="Q552" s="1107"/>
      <c r="R552" s="1104"/>
    </row>
    <row r="553" spans="1:18" s="1108" customFormat="1" ht="33" customHeight="1">
      <c r="A553" s="1090"/>
      <c r="B553" s="1285" t="s">
        <v>4059</v>
      </c>
      <c r="C553" s="1106" t="e">
        <f>#REF!</f>
        <v>#REF!</v>
      </c>
      <c r="D553" s="943" t="s">
        <v>306</v>
      </c>
      <c r="E553" s="1103"/>
      <c r="F553" s="1097" t="e">
        <f t="shared" si="42"/>
        <v>#REF!</v>
      </c>
      <c r="G553" s="1103"/>
      <c r="H553" s="1097" t="e">
        <f t="shared" si="43"/>
        <v>#REF!</v>
      </c>
      <c r="I553" s="1103"/>
      <c r="J553" s="1097" t="e">
        <f t="shared" si="44"/>
        <v>#REF!</v>
      </c>
      <c r="K553" s="1096"/>
      <c r="L553" s="1097" t="e">
        <f t="shared" si="45"/>
        <v>#REF!</v>
      </c>
      <c r="M553" s="1103"/>
      <c r="N553" s="1096"/>
      <c r="O553" s="1098"/>
      <c r="P553" s="1096"/>
      <c r="Q553" s="1107"/>
      <c r="R553" s="1104"/>
    </row>
    <row r="554" spans="1:18" s="1108" customFormat="1" ht="45" customHeight="1">
      <c r="A554" s="1090"/>
      <c r="B554" s="933" t="s">
        <v>4063</v>
      </c>
      <c r="C554" s="1106" t="e">
        <f>#REF!</f>
        <v>#REF!</v>
      </c>
      <c r="D554" s="943" t="s">
        <v>313</v>
      </c>
      <c r="E554" s="1103"/>
      <c r="F554" s="1097" t="e">
        <f t="shared" si="42"/>
        <v>#REF!</v>
      </c>
      <c r="G554" s="1103"/>
      <c r="H554" s="1097" t="e">
        <f t="shared" si="43"/>
        <v>#REF!</v>
      </c>
      <c r="I554" s="1103"/>
      <c r="J554" s="1097" t="e">
        <f t="shared" si="44"/>
        <v>#REF!</v>
      </c>
      <c r="K554" s="1096"/>
      <c r="L554" s="1097" t="e">
        <f t="shared" si="45"/>
        <v>#REF!</v>
      </c>
      <c r="M554" s="1103"/>
      <c r="N554" s="1096"/>
      <c r="O554" s="1098"/>
      <c r="P554" s="1096"/>
      <c r="Q554" s="1107"/>
      <c r="R554" s="1104"/>
    </row>
    <row r="555" spans="1:18" s="1108" customFormat="1" ht="51.75" customHeight="1">
      <c r="A555" s="1090"/>
      <c r="B555" s="1285" t="s">
        <v>4064</v>
      </c>
      <c r="C555" s="1106" t="e">
        <f>#REF!</f>
        <v>#REF!</v>
      </c>
      <c r="D555" s="943" t="s">
        <v>3770</v>
      </c>
      <c r="E555" s="1096"/>
      <c r="F555" s="1097" t="e">
        <f t="shared" si="42"/>
        <v>#REF!</v>
      </c>
      <c r="G555" s="1096"/>
      <c r="H555" s="1097" t="e">
        <f t="shared" si="43"/>
        <v>#REF!</v>
      </c>
      <c r="I555" s="1096"/>
      <c r="J555" s="1097" t="e">
        <f t="shared" si="44"/>
        <v>#REF!</v>
      </c>
      <c r="K555" s="1096"/>
      <c r="L555" s="1097" t="e">
        <f t="shared" si="45"/>
        <v>#REF!</v>
      </c>
      <c r="M555" s="1096"/>
      <c r="N555" s="1096"/>
      <c r="O555" s="1098"/>
      <c r="P555" s="1096"/>
      <c r="Q555" s="1107"/>
      <c r="R555" s="1099"/>
    </row>
    <row r="556" spans="1:18" ht="54" customHeight="1">
      <c r="A556" s="1092"/>
      <c r="B556" s="933" t="s">
        <v>3654</v>
      </c>
      <c r="C556" s="1092" t="e">
        <f>#REF!</f>
        <v>#REF!</v>
      </c>
      <c r="D556" s="940" t="s">
        <v>306</v>
      </c>
      <c r="E556" s="1096"/>
      <c r="F556" s="1097" t="e">
        <f t="shared" si="42"/>
        <v>#REF!</v>
      </c>
      <c r="G556" s="1096"/>
      <c r="H556" s="1097" t="e">
        <f t="shared" si="43"/>
        <v>#REF!</v>
      </c>
      <c r="I556" s="1096"/>
      <c r="J556" s="1097" t="e">
        <f t="shared" si="44"/>
        <v>#REF!</v>
      </c>
      <c r="K556" s="1096"/>
      <c r="L556" s="1097" t="e">
        <f t="shared" si="45"/>
        <v>#REF!</v>
      </c>
      <c r="M556" s="1096"/>
      <c r="N556" s="1096"/>
      <c r="O556" s="1098"/>
      <c r="P556" s="1096"/>
      <c r="Q556" s="1099"/>
      <c r="R556" s="1099"/>
    </row>
    <row r="557" spans="1:18" s="1179" customFormat="1" ht="54.75" customHeight="1">
      <c r="A557" s="1089"/>
      <c r="B557" s="933" t="s">
        <v>4065</v>
      </c>
      <c r="C557" s="940" t="e">
        <f>#REF!</f>
        <v>#REF!</v>
      </c>
      <c r="D557" s="940" t="s">
        <v>313</v>
      </c>
      <c r="E557" s="1096"/>
      <c r="F557" s="1097" t="e">
        <f t="shared" si="42"/>
        <v>#REF!</v>
      </c>
      <c r="G557" s="1096"/>
      <c r="H557" s="1097" t="e">
        <f t="shared" si="43"/>
        <v>#REF!</v>
      </c>
      <c r="I557" s="1096"/>
      <c r="J557" s="1097" t="e">
        <f t="shared" si="44"/>
        <v>#REF!</v>
      </c>
      <c r="K557" s="1096"/>
      <c r="L557" s="1097" t="e">
        <f t="shared" si="45"/>
        <v>#REF!</v>
      </c>
      <c r="M557" s="1096"/>
      <c r="N557" s="1096"/>
      <c r="O557" s="1098"/>
      <c r="P557" s="1096"/>
      <c r="Q557" s="1099"/>
      <c r="R557" s="1099"/>
    </row>
    <row r="558" spans="1:18" s="1105" customFormat="1" ht="48.75" customHeight="1">
      <c r="A558" s="1180"/>
      <c r="B558" s="1266" t="s">
        <v>4066</v>
      </c>
      <c r="C558" s="1102" t="e">
        <f>#REF!</f>
        <v>#REF!</v>
      </c>
      <c r="D558" s="1101" t="s">
        <v>313</v>
      </c>
      <c r="E558" s="1103"/>
      <c r="F558" s="1097" t="e">
        <f t="shared" si="42"/>
        <v>#REF!</v>
      </c>
      <c r="G558" s="1103"/>
      <c r="H558" s="1097" t="e">
        <f t="shared" si="43"/>
        <v>#REF!</v>
      </c>
      <c r="I558" s="1103"/>
      <c r="J558" s="1097" t="e">
        <f t="shared" si="44"/>
        <v>#REF!</v>
      </c>
      <c r="K558" s="1096"/>
      <c r="L558" s="1097" t="e">
        <f t="shared" si="45"/>
        <v>#REF!</v>
      </c>
      <c r="M558" s="1103"/>
      <c r="N558" s="1096"/>
      <c r="O558" s="1098"/>
      <c r="P558" s="1096"/>
      <c r="Q558" s="1104"/>
      <c r="R558" s="1104"/>
    </row>
    <row r="559" spans="1:18" s="1108" customFormat="1" ht="54" customHeight="1">
      <c r="A559" s="1181"/>
      <c r="B559" s="933" t="s">
        <v>4067</v>
      </c>
      <c r="C559" s="1106" t="e">
        <f>#REF!</f>
        <v>#REF!</v>
      </c>
      <c r="D559" s="943" t="s">
        <v>313</v>
      </c>
      <c r="E559" s="1103"/>
      <c r="F559" s="1097" t="e">
        <f t="shared" si="42"/>
        <v>#REF!</v>
      </c>
      <c r="G559" s="1103"/>
      <c r="H559" s="1097" t="e">
        <f t="shared" si="43"/>
        <v>#REF!</v>
      </c>
      <c r="I559" s="1103"/>
      <c r="J559" s="1097" t="e">
        <f t="shared" si="44"/>
        <v>#REF!</v>
      </c>
      <c r="K559" s="1096"/>
      <c r="L559" s="1097" t="e">
        <f t="shared" si="45"/>
        <v>#REF!</v>
      </c>
      <c r="M559" s="1103"/>
      <c r="N559" s="1096"/>
      <c r="O559" s="1098"/>
      <c r="P559" s="1096"/>
      <c r="Q559" s="1107"/>
      <c r="R559" s="1104"/>
    </row>
    <row r="560" spans="1:18" s="1105" customFormat="1" ht="65.25" customHeight="1">
      <c r="A560" s="1182"/>
      <c r="B560" s="1265" t="s">
        <v>4068</v>
      </c>
      <c r="C560" s="1128" t="e">
        <f>#REF!</f>
        <v>#REF!</v>
      </c>
      <c r="D560" s="1116" t="s">
        <v>313</v>
      </c>
      <c r="E560" s="1103"/>
      <c r="F560" s="1097" t="e">
        <f t="shared" si="42"/>
        <v>#REF!</v>
      </c>
      <c r="G560" s="1103"/>
      <c r="H560" s="1097" t="e">
        <f t="shared" si="43"/>
        <v>#REF!</v>
      </c>
      <c r="I560" s="1103"/>
      <c r="J560" s="1097" t="e">
        <f t="shared" si="44"/>
        <v>#REF!</v>
      </c>
      <c r="K560" s="1096"/>
      <c r="L560" s="1097" t="e">
        <f t="shared" si="45"/>
        <v>#REF!</v>
      </c>
      <c r="M560" s="1103"/>
      <c r="N560" s="1096"/>
      <c r="O560" s="1098"/>
      <c r="P560" s="1096"/>
      <c r="Q560" s="1104"/>
      <c r="R560" s="1104"/>
    </row>
    <row r="561" spans="1:18" s="1105" customFormat="1" ht="64.5" customHeight="1">
      <c r="A561" s="1182"/>
      <c r="B561" s="1265" t="s">
        <v>4069</v>
      </c>
      <c r="C561" s="1128" t="e">
        <f>#REF!</f>
        <v>#REF!</v>
      </c>
      <c r="D561" s="1116" t="s">
        <v>313</v>
      </c>
      <c r="E561" s="1103"/>
      <c r="F561" s="1097" t="e">
        <f t="shared" si="42"/>
        <v>#REF!</v>
      </c>
      <c r="G561" s="1103"/>
      <c r="H561" s="1097" t="e">
        <f t="shared" si="43"/>
        <v>#REF!</v>
      </c>
      <c r="I561" s="1103"/>
      <c r="J561" s="1097" t="e">
        <f t="shared" si="44"/>
        <v>#REF!</v>
      </c>
      <c r="K561" s="1096"/>
      <c r="L561" s="1097" t="e">
        <f t="shared" si="45"/>
        <v>#REF!</v>
      </c>
      <c r="M561" s="1103"/>
      <c r="N561" s="1096"/>
      <c r="O561" s="1098"/>
      <c r="P561" s="1096"/>
      <c r="Q561" s="1104"/>
      <c r="R561" s="1104"/>
    </row>
    <row r="562" spans="1:18" s="1108" customFormat="1" ht="46.5" customHeight="1">
      <c r="A562" s="1138"/>
      <c r="B562" s="933" t="s">
        <v>4070</v>
      </c>
      <c r="C562" s="1106" t="e">
        <f>#REF!</f>
        <v>#REF!</v>
      </c>
      <c r="D562" s="943"/>
      <c r="E562" s="1103"/>
      <c r="F562" s="1097" t="e">
        <f t="shared" si="42"/>
        <v>#REF!</v>
      </c>
      <c r="G562" s="1103"/>
      <c r="H562" s="1097" t="e">
        <f t="shared" si="43"/>
        <v>#REF!</v>
      </c>
      <c r="I562" s="1103"/>
      <c r="J562" s="1097" t="e">
        <f t="shared" si="44"/>
        <v>#REF!</v>
      </c>
      <c r="K562" s="1096"/>
      <c r="L562" s="1097" t="e">
        <f t="shared" si="45"/>
        <v>#REF!</v>
      </c>
      <c r="M562" s="1103"/>
      <c r="N562" s="1096"/>
      <c r="O562" s="1098"/>
      <c r="P562" s="1096"/>
      <c r="Q562" s="1107"/>
      <c r="R562" s="1104"/>
    </row>
    <row r="563" spans="1:18" s="1108" customFormat="1" ht="57" customHeight="1">
      <c r="A563" s="1138"/>
      <c r="B563" s="933" t="s">
        <v>4071</v>
      </c>
      <c r="C563" s="1106" t="e">
        <f>#REF!</f>
        <v>#REF!</v>
      </c>
      <c r="D563" s="943"/>
      <c r="E563" s="1103"/>
      <c r="F563" s="1097" t="e">
        <f t="shared" si="42"/>
        <v>#REF!</v>
      </c>
      <c r="G563" s="1103"/>
      <c r="H563" s="1097" t="e">
        <f t="shared" si="43"/>
        <v>#REF!</v>
      </c>
      <c r="I563" s="1103"/>
      <c r="J563" s="1097" t="e">
        <f t="shared" si="44"/>
        <v>#REF!</v>
      </c>
      <c r="K563" s="1096"/>
      <c r="L563" s="1097" t="e">
        <f t="shared" si="45"/>
        <v>#REF!</v>
      </c>
      <c r="M563" s="1103"/>
      <c r="N563" s="1096"/>
      <c r="O563" s="1098"/>
      <c r="P563" s="1096"/>
      <c r="Q563" s="1107"/>
      <c r="R563" s="1104"/>
    </row>
    <row r="564" spans="1:18" s="1108" customFormat="1" ht="60" customHeight="1">
      <c r="A564" s="1138"/>
      <c r="B564" s="933" t="s">
        <v>4072</v>
      </c>
      <c r="C564" s="1106" t="e">
        <f>#REF!</f>
        <v>#REF!</v>
      </c>
      <c r="D564" s="943"/>
      <c r="E564" s="1103"/>
      <c r="F564" s="1097" t="e">
        <f t="shared" si="42"/>
        <v>#REF!</v>
      </c>
      <c r="G564" s="1103"/>
      <c r="H564" s="1097" t="e">
        <f t="shared" si="43"/>
        <v>#REF!</v>
      </c>
      <c r="I564" s="1103"/>
      <c r="J564" s="1097" t="e">
        <f t="shared" si="44"/>
        <v>#REF!</v>
      </c>
      <c r="K564" s="1096"/>
      <c r="L564" s="1097" t="e">
        <f t="shared" si="45"/>
        <v>#REF!</v>
      </c>
      <c r="M564" s="1103"/>
      <c r="N564" s="1096"/>
      <c r="O564" s="1098"/>
      <c r="P564" s="1096"/>
      <c r="Q564" s="1107"/>
      <c r="R564" s="1104"/>
    </row>
    <row r="565" spans="1:18" s="1108" customFormat="1" ht="25.5" customHeight="1">
      <c r="A565" s="1090">
        <v>8.4</v>
      </c>
      <c r="B565" s="1262" t="s">
        <v>4073</v>
      </c>
      <c r="C565" s="1106"/>
      <c r="D565" s="943"/>
      <c r="E565" s="1103"/>
      <c r="F565" s="1097">
        <f t="shared" si="42"/>
        <v>0</v>
      </c>
      <c r="G565" s="1103"/>
      <c r="H565" s="1097">
        <f t="shared" si="43"/>
        <v>0</v>
      </c>
      <c r="I565" s="1103"/>
      <c r="J565" s="1097">
        <f t="shared" si="44"/>
        <v>0</v>
      </c>
      <c r="K565" s="1096"/>
      <c r="L565" s="1097">
        <f t="shared" si="45"/>
        <v>0</v>
      </c>
      <c r="M565" s="1103"/>
      <c r="N565" s="1096"/>
      <c r="O565" s="1098"/>
      <c r="P565" s="1096"/>
      <c r="Q565" s="1107"/>
      <c r="R565" s="1104"/>
    </row>
    <row r="566" spans="1:18" s="1108" customFormat="1" ht="25.5" customHeight="1">
      <c r="A566" s="1090"/>
      <c r="B566" s="933" t="s">
        <v>4051</v>
      </c>
      <c r="C566" s="1106" t="e">
        <f>ROUND(#REF!,2)</f>
        <v>#REF!</v>
      </c>
      <c r="D566" s="943" t="s">
        <v>313</v>
      </c>
      <c r="E566" s="1103"/>
      <c r="F566" s="1097" t="e">
        <f t="shared" si="42"/>
        <v>#REF!</v>
      </c>
      <c r="G566" s="1103"/>
      <c r="H566" s="1097" t="e">
        <f t="shared" si="43"/>
        <v>#REF!</v>
      </c>
      <c r="I566" s="1103"/>
      <c r="J566" s="1097" t="e">
        <f t="shared" si="44"/>
        <v>#REF!</v>
      </c>
      <c r="K566" s="1096"/>
      <c r="L566" s="1097" t="e">
        <f t="shared" si="45"/>
        <v>#REF!</v>
      </c>
      <c r="M566" s="1103"/>
      <c r="N566" s="1096"/>
      <c r="O566" s="1098"/>
      <c r="P566" s="1096"/>
      <c r="Q566" s="1107"/>
      <c r="R566" s="1104"/>
    </row>
    <row r="567" spans="1:18" s="1108" customFormat="1" ht="25.5" customHeight="1">
      <c r="A567" s="1090"/>
      <c r="B567" s="933" t="s">
        <v>4047</v>
      </c>
      <c r="C567" s="1106" t="e">
        <f>ROUND(#REF!,2)</f>
        <v>#REF!</v>
      </c>
      <c r="D567" s="943" t="s">
        <v>313</v>
      </c>
      <c r="E567" s="1103"/>
      <c r="F567" s="1097" t="e">
        <f t="shared" si="42"/>
        <v>#REF!</v>
      </c>
      <c r="G567" s="1103"/>
      <c r="H567" s="1097" t="e">
        <f t="shared" si="43"/>
        <v>#REF!</v>
      </c>
      <c r="I567" s="1103"/>
      <c r="J567" s="1097" t="e">
        <f t="shared" si="44"/>
        <v>#REF!</v>
      </c>
      <c r="K567" s="1096"/>
      <c r="L567" s="1097" t="e">
        <f t="shared" si="45"/>
        <v>#REF!</v>
      </c>
      <c r="M567" s="1103"/>
      <c r="N567" s="1096"/>
      <c r="O567" s="1098"/>
      <c r="P567" s="1096"/>
      <c r="Q567" s="1107"/>
      <c r="R567" s="1104"/>
    </row>
    <row r="568" spans="1:18" s="1108" customFormat="1" ht="25.5" customHeight="1">
      <c r="A568" s="1090"/>
      <c r="B568" s="933" t="s">
        <v>4074</v>
      </c>
      <c r="C568" s="1106" t="e">
        <f>ROUND(#REF!,2)</f>
        <v>#REF!</v>
      </c>
      <c r="D568" s="943" t="s">
        <v>313</v>
      </c>
      <c r="E568" s="1103"/>
      <c r="F568" s="1097" t="e">
        <f t="shared" si="42"/>
        <v>#REF!</v>
      </c>
      <c r="G568" s="1103"/>
      <c r="H568" s="1097" t="e">
        <f t="shared" si="43"/>
        <v>#REF!</v>
      </c>
      <c r="I568" s="1103"/>
      <c r="J568" s="1097" t="e">
        <f t="shared" si="44"/>
        <v>#REF!</v>
      </c>
      <c r="K568" s="1096"/>
      <c r="L568" s="1097" t="e">
        <f t="shared" si="45"/>
        <v>#REF!</v>
      </c>
      <c r="M568" s="1103"/>
      <c r="N568" s="1096"/>
      <c r="O568" s="1098"/>
      <c r="P568" s="1096"/>
      <c r="Q568" s="1107"/>
      <c r="R568" s="1104"/>
    </row>
    <row r="569" spans="1:18" s="1108" customFormat="1" ht="25.5" customHeight="1">
      <c r="A569" s="1138"/>
      <c r="B569" s="933" t="s">
        <v>4075</v>
      </c>
      <c r="C569" s="943" t="e">
        <f>ROUND(#REF!,2)</f>
        <v>#REF!</v>
      </c>
      <c r="D569" s="943" t="s">
        <v>313</v>
      </c>
      <c r="E569" s="1103"/>
      <c r="F569" s="1097" t="e">
        <f t="shared" si="42"/>
        <v>#REF!</v>
      </c>
      <c r="G569" s="1103"/>
      <c r="H569" s="1097" t="e">
        <f t="shared" si="43"/>
        <v>#REF!</v>
      </c>
      <c r="I569" s="1103"/>
      <c r="J569" s="1097" t="e">
        <f t="shared" si="44"/>
        <v>#REF!</v>
      </c>
      <c r="K569" s="1096"/>
      <c r="L569" s="1097" t="e">
        <f t="shared" si="45"/>
        <v>#REF!</v>
      </c>
      <c r="M569" s="1103"/>
      <c r="N569" s="1096"/>
      <c r="O569" s="1098"/>
      <c r="P569" s="1096"/>
      <c r="Q569" s="1107"/>
      <c r="R569" s="1104"/>
    </row>
    <row r="570" spans="1:18" s="1108" customFormat="1" ht="46.5" customHeight="1">
      <c r="A570" s="1090">
        <v>8.5</v>
      </c>
      <c r="B570" s="1262" t="s">
        <v>4076</v>
      </c>
      <c r="C570" s="1106"/>
      <c r="D570" s="943"/>
      <c r="E570" s="1103"/>
      <c r="F570" s="1097">
        <f t="shared" si="42"/>
        <v>0</v>
      </c>
      <c r="G570" s="1103"/>
      <c r="H570" s="1097">
        <f t="shared" si="43"/>
        <v>0</v>
      </c>
      <c r="I570" s="1103"/>
      <c r="J570" s="1097">
        <f t="shared" si="44"/>
        <v>0</v>
      </c>
      <c r="K570" s="1096"/>
      <c r="L570" s="1097">
        <f t="shared" si="45"/>
        <v>0</v>
      </c>
      <c r="M570" s="1103"/>
      <c r="N570" s="1096"/>
      <c r="O570" s="1098"/>
      <c r="P570" s="1096"/>
      <c r="Q570" s="1107"/>
      <c r="R570" s="1104"/>
    </row>
    <row r="571" spans="1:18" s="1108" customFormat="1" ht="25.5" customHeight="1">
      <c r="A571" s="1090"/>
      <c r="B571" s="933" t="s">
        <v>4077</v>
      </c>
      <c r="C571" s="1106" t="e">
        <f>ROUND(#REF!,2)</f>
        <v>#REF!</v>
      </c>
      <c r="D571" s="943" t="s">
        <v>303</v>
      </c>
      <c r="E571" s="1103"/>
      <c r="F571" s="1097" t="e">
        <f t="shared" si="42"/>
        <v>#REF!</v>
      </c>
      <c r="G571" s="1103"/>
      <c r="H571" s="1097" t="e">
        <f t="shared" si="43"/>
        <v>#REF!</v>
      </c>
      <c r="I571" s="1103"/>
      <c r="J571" s="1097" t="e">
        <f t="shared" si="44"/>
        <v>#REF!</v>
      </c>
      <c r="K571" s="1096"/>
      <c r="L571" s="1097" t="e">
        <f t="shared" si="45"/>
        <v>#REF!</v>
      </c>
      <c r="M571" s="1103"/>
      <c r="N571" s="1096"/>
      <c r="O571" s="1098"/>
      <c r="P571" s="1096"/>
      <c r="Q571" s="1107"/>
      <c r="R571" s="1104"/>
    </row>
    <row r="572" spans="1:18" s="1108" customFormat="1" ht="25.5" customHeight="1">
      <c r="A572" s="1090"/>
      <c r="B572" s="933" t="s">
        <v>4078</v>
      </c>
      <c r="C572" s="1106" t="e">
        <f>ROUND(#REF!,2)</f>
        <v>#REF!</v>
      </c>
      <c r="D572" s="943" t="s">
        <v>303</v>
      </c>
      <c r="E572" s="1103"/>
      <c r="F572" s="1097" t="e">
        <f t="shared" si="42"/>
        <v>#REF!</v>
      </c>
      <c r="G572" s="1103"/>
      <c r="H572" s="1097" t="e">
        <f t="shared" si="43"/>
        <v>#REF!</v>
      </c>
      <c r="I572" s="1103"/>
      <c r="J572" s="1097" t="e">
        <f t="shared" si="44"/>
        <v>#REF!</v>
      </c>
      <c r="K572" s="1096"/>
      <c r="L572" s="1097" t="e">
        <f t="shared" si="45"/>
        <v>#REF!</v>
      </c>
      <c r="M572" s="1103"/>
      <c r="N572" s="1096"/>
      <c r="O572" s="1098"/>
      <c r="P572" s="1096"/>
      <c r="Q572" s="1107"/>
      <c r="R572" s="1104"/>
    </row>
    <row r="573" spans="1:18" s="1108" customFormat="1" ht="25.5" customHeight="1">
      <c r="A573" s="1090"/>
      <c r="B573" s="933" t="s">
        <v>4079</v>
      </c>
      <c r="C573" s="1106" t="e">
        <f>ROUND(#REF!,2)</f>
        <v>#REF!</v>
      </c>
      <c r="D573" s="943" t="s">
        <v>303</v>
      </c>
      <c r="E573" s="1103"/>
      <c r="F573" s="1097" t="e">
        <f t="shared" si="42"/>
        <v>#REF!</v>
      </c>
      <c r="G573" s="1103"/>
      <c r="H573" s="1097" t="e">
        <f t="shared" si="43"/>
        <v>#REF!</v>
      </c>
      <c r="I573" s="1103"/>
      <c r="J573" s="1097" t="e">
        <f t="shared" si="44"/>
        <v>#REF!</v>
      </c>
      <c r="K573" s="1096"/>
      <c r="L573" s="1097" t="e">
        <f t="shared" si="45"/>
        <v>#REF!</v>
      </c>
      <c r="M573" s="1103"/>
      <c r="N573" s="1096"/>
      <c r="O573" s="1098"/>
      <c r="P573" s="1096"/>
      <c r="Q573" s="1107"/>
      <c r="R573" s="1104"/>
    </row>
    <row r="574" spans="1:18" s="1108" customFormat="1" ht="108" customHeight="1">
      <c r="B574" s="1262" t="s">
        <v>4080</v>
      </c>
      <c r="C574" s="1126"/>
      <c r="D574" s="1126"/>
      <c r="E574" s="1103"/>
      <c r="F574" s="1097">
        <f t="shared" si="42"/>
        <v>0</v>
      </c>
      <c r="G574" s="1103"/>
      <c r="H574" s="1097">
        <f t="shared" si="43"/>
        <v>0</v>
      </c>
      <c r="I574" s="1103"/>
      <c r="J574" s="1097">
        <f t="shared" si="44"/>
        <v>0</v>
      </c>
      <c r="K574" s="1096"/>
      <c r="L574" s="1097">
        <f t="shared" si="45"/>
        <v>0</v>
      </c>
      <c r="M574" s="1103"/>
      <c r="N574" s="1096"/>
      <c r="O574" s="1098"/>
      <c r="P574" s="1096"/>
      <c r="Q574" s="1107"/>
      <c r="R574" s="1104"/>
    </row>
    <row r="575" spans="1:18" s="1108" customFormat="1" ht="51" customHeight="1">
      <c r="B575" s="1262" t="s">
        <v>4081</v>
      </c>
      <c r="C575" s="943">
        <f>'[1]pile data '!F17</f>
        <v>6410.78</v>
      </c>
      <c r="D575" s="943" t="s">
        <v>303</v>
      </c>
      <c r="E575" s="1103"/>
      <c r="F575" s="1097">
        <f t="shared" si="42"/>
        <v>0</v>
      </c>
      <c r="G575" s="1103"/>
      <c r="H575" s="1097">
        <f t="shared" si="43"/>
        <v>0</v>
      </c>
      <c r="I575" s="1103"/>
      <c r="J575" s="1097">
        <f t="shared" si="44"/>
        <v>0</v>
      </c>
      <c r="K575" s="1096"/>
      <c r="L575" s="1097">
        <f t="shared" si="45"/>
        <v>0</v>
      </c>
      <c r="M575" s="1103"/>
      <c r="N575" s="1096"/>
      <c r="O575" s="1098"/>
      <c r="P575" s="1096"/>
      <c r="Q575" s="1107"/>
      <c r="R575" s="1104"/>
    </row>
    <row r="576" spans="1:18" s="1108" customFormat="1" ht="51" customHeight="1">
      <c r="B576" s="1262" t="s">
        <v>4082</v>
      </c>
      <c r="C576" s="943">
        <f>'[1]pile data '!F81</f>
        <v>4544.05</v>
      </c>
      <c r="D576" s="943" t="s">
        <v>303</v>
      </c>
      <c r="E576" s="1103"/>
      <c r="F576" s="1097">
        <f t="shared" si="42"/>
        <v>0</v>
      </c>
      <c r="G576" s="1103"/>
      <c r="H576" s="1097">
        <f t="shared" si="43"/>
        <v>0</v>
      </c>
      <c r="I576" s="1103"/>
      <c r="J576" s="1097">
        <f t="shared" si="44"/>
        <v>0</v>
      </c>
      <c r="K576" s="1096"/>
      <c r="L576" s="1097">
        <f t="shared" si="45"/>
        <v>0</v>
      </c>
      <c r="M576" s="1103"/>
      <c r="N576" s="1096"/>
      <c r="O576" s="1098"/>
      <c r="P576" s="1096"/>
      <c r="Q576" s="1107"/>
      <c r="R576" s="1104"/>
    </row>
    <row r="577" spans="1:19" s="1108" customFormat="1" ht="42.75" customHeight="1">
      <c r="A577" s="1090"/>
      <c r="B577" s="1262" t="s">
        <v>4083</v>
      </c>
      <c r="C577" s="943">
        <f>'[1]pile data '!F141</f>
        <v>2699.36</v>
      </c>
      <c r="D577" s="943" t="s">
        <v>303</v>
      </c>
      <c r="E577" s="1103"/>
      <c r="F577" s="1097">
        <f t="shared" si="42"/>
        <v>0</v>
      </c>
      <c r="G577" s="1103"/>
      <c r="H577" s="1097">
        <f t="shared" si="43"/>
        <v>0</v>
      </c>
      <c r="I577" s="1103"/>
      <c r="J577" s="1097">
        <f t="shared" si="44"/>
        <v>0</v>
      </c>
      <c r="K577" s="1096"/>
      <c r="L577" s="1097">
        <f t="shared" si="45"/>
        <v>0</v>
      </c>
      <c r="M577" s="1103"/>
      <c r="N577" s="1096"/>
      <c r="O577" s="1098"/>
      <c r="P577" s="1096"/>
      <c r="Q577" s="1107"/>
      <c r="R577" s="1104"/>
    </row>
    <row r="578" spans="1:19" s="1108" customFormat="1" ht="80.25" customHeight="1">
      <c r="A578" s="1090"/>
      <c r="B578" s="926" t="s">
        <v>4084</v>
      </c>
      <c r="C578" s="1106"/>
      <c r="D578" s="943"/>
      <c r="E578" s="1103"/>
      <c r="F578" s="1097">
        <f t="shared" si="42"/>
        <v>0</v>
      </c>
      <c r="G578" s="1103"/>
      <c r="H578" s="1097">
        <f t="shared" si="43"/>
        <v>0</v>
      </c>
      <c r="I578" s="1103"/>
      <c r="J578" s="1097">
        <f t="shared" si="44"/>
        <v>0</v>
      </c>
      <c r="K578" s="1096"/>
      <c r="L578" s="1097">
        <f t="shared" si="45"/>
        <v>0</v>
      </c>
      <c r="M578" s="1103"/>
      <c r="N578" s="1096"/>
      <c r="O578" s="1098"/>
      <c r="P578" s="1096"/>
      <c r="Q578" s="1107"/>
      <c r="R578" s="1104"/>
    </row>
    <row r="579" spans="1:19" s="1108" customFormat="1" ht="80.25" customHeight="1">
      <c r="A579" s="1090"/>
      <c r="B579" s="1262" t="s">
        <v>4081</v>
      </c>
      <c r="C579" s="1183">
        <f>'[1]pile data '!F17</f>
        <v>6410.78</v>
      </c>
      <c r="D579" s="1184" t="s">
        <v>303</v>
      </c>
      <c r="E579" s="1103"/>
      <c r="F579" s="1097">
        <f t="shared" si="42"/>
        <v>0</v>
      </c>
      <c r="G579" s="1103"/>
      <c r="H579" s="1097">
        <f t="shared" si="43"/>
        <v>0</v>
      </c>
      <c r="I579" s="1103"/>
      <c r="J579" s="1097">
        <f t="shared" si="44"/>
        <v>0</v>
      </c>
      <c r="K579" s="1096"/>
      <c r="L579" s="1097">
        <f t="shared" si="45"/>
        <v>0</v>
      </c>
      <c r="M579" s="1103"/>
      <c r="N579" s="1096"/>
      <c r="O579" s="1098"/>
      <c r="P579" s="1096"/>
      <c r="Q579" s="1107"/>
      <c r="R579" s="1104"/>
    </row>
    <row r="580" spans="1:19" s="1108" customFormat="1" ht="80.25" customHeight="1">
      <c r="A580" s="1090"/>
      <c r="B580" s="1262" t="s">
        <v>4082</v>
      </c>
      <c r="C580" s="1106">
        <f>'[1]pile data '!F92</f>
        <v>1579.06</v>
      </c>
      <c r="D580" s="943"/>
      <c r="E580" s="1103"/>
      <c r="F580" s="1097">
        <f t="shared" si="42"/>
        <v>0</v>
      </c>
      <c r="G580" s="1103"/>
      <c r="H580" s="1097">
        <f t="shared" si="43"/>
        <v>0</v>
      </c>
      <c r="I580" s="1103"/>
      <c r="J580" s="1097">
        <f t="shared" si="44"/>
        <v>0</v>
      </c>
      <c r="K580" s="1096"/>
      <c r="L580" s="1097">
        <f t="shared" si="45"/>
        <v>0</v>
      </c>
      <c r="M580" s="1103"/>
      <c r="N580" s="1096"/>
      <c r="O580" s="1098"/>
      <c r="P580" s="1096"/>
      <c r="Q580" s="1107"/>
      <c r="R580" s="1104"/>
    </row>
    <row r="581" spans="1:19" s="1108" customFormat="1" ht="42" customHeight="1">
      <c r="A581" s="1090"/>
      <c r="B581" s="1262" t="s">
        <v>4083</v>
      </c>
      <c r="C581" s="1183">
        <f>'[1]pile data '!F152</f>
        <v>710.58</v>
      </c>
      <c r="D581" s="1184" t="s">
        <v>303</v>
      </c>
      <c r="E581" s="1103"/>
      <c r="F581" s="1097">
        <f t="shared" si="42"/>
        <v>0</v>
      </c>
      <c r="G581" s="1103"/>
      <c r="H581" s="1097">
        <f t="shared" si="43"/>
        <v>0</v>
      </c>
      <c r="I581" s="1103"/>
      <c r="J581" s="1097">
        <f t="shared" si="44"/>
        <v>0</v>
      </c>
      <c r="K581" s="1096"/>
      <c r="L581" s="1097">
        <f t="shared" si="45"/>
        <v>0</v>
      </c>
      <c r="M581" s="1103"/>
      <c r="N581" s="1096"/>
      <c r="O581" s="1098"/>
      <c r="P581" s="1096"/>
      <c r="Q581" s="1107"/>
      <c r="R581" s="1104"/>
    </row>
    <row r="582" spans="1:19" s="1108" customFormat="1" ht="53.25" customHeight="1">
      <c r="A582" s="1090"/>
      <c r="B582" s="926" t="s">
        <v>4085</v>
      </c>
      <c r="C582" s="1183">
        <v>70000</v>
      </c>
      <c r="D582" s="1185" t="s">
        <v>154</v>
      </c>
      <c r="E582" s="1103"/>
      <c r="F582" s="1097">
        <f t="shared" si="42"/>
        <v>0</v>
      </c>
      <c r="G582" s="1103"/>
      <c r="H582" s="1097">
        <f t="shared" si="43"/>
        <v>0</v>
      </c>
      <c r="I582" s="1103"/>
      <c r="J582" s="1097">
        <f t="shared" si="44"/>
        <v>0</v>
      </c>
      <c r="K582" s="1096"/>
      <c r="L582" s="1097">
        <f t="shared" si="45"/>
        <v>0</v>
      </c>
      <c r="M582" s="1103"/>
      <c r="N582" s="1096"/>
      <c r="O582" s="1098"/>
      <c r="P582" s="1096"/>
      <c r="Q582" s="1107"/>
      <c r="R582" s="1104"/>
    </row>
    <row r="583" spans="1:19" s="1108" customFormat="1" ht="54.75" customHeight="1">
      <c r="A583" s="1090"/>
      <c r="B583" s="926" t="s">
        <v>4086</v>
      </c>
      <c r="C583" s="1183">
        <v>50000</v>
      </c>
      <c r="D583" s="1185" t="s">
        <v>2084</v>
      </c>
      <c r="E583" s="1103"/>
      <c r="F583" s="1097">
        <f t="shared" si="42"/>
        <v>0</v>
      </c>
      <c r="G583" s="1103"/>
      <c r="H583" s="1097">
        <f t="shared" si="43"/>
        <v>0</v>
      </c>
      <c r="I583" s="1103"/>
      <c r="J583" s="1097">
        <f t="shared" si="44"/>
        <v>0</v>
      </c>
      <c r="K583" s="1096"/>
      <c r="L583" s="1097">
        <f t="shared" si="45"/>
        <v>0</v>
      </c>
      <c r="M583" s="1103"/>
      <c r="N583" s="1096"/>
      <c r="O583" s="1098"/>
      <c r="P583" s="1096"/>
      <c r="Q583" s="1107"/>
      <c r="R583" s="1104"/>
    </row>
    <row r="584" spans="1:19" s="1108" customFormat="1" ht="36.75" customHeight="1">
      <c r="A584" s="1090"/>
      <c r="B584" s="926" t="s">
        <v>4087</v>
      </c>
      <c r="C584" s="1183" t="e">
        <f>#REF!</f>
        <v>#REF!</v>
      </c>
      <c r="D584" s="1185" t="s">
        <v>306</v>
      </c>
      <c r="E584" s="1103"/>
      <c r="F584" s="1097" t="e">
        <f t="shared" si="42"/>
        <v>#REF!</v>
      </c>
      <c r="G584" s="1103"/>
      <c r="H584" s="1097" t="e">
        <f t="shared" si="43"/>
        <v>#REF!</v>
      </c>
      <c r="I584" s="1103"/>
      <c r="J584" s="1097" t="e">
        <f t="shared" si="44"/>
        <v>#REF!</v>
      </c>
      <c r="K584" s="1096"/>
      <c r="L584" s="1097" t="e">
        <f t="shared" si="45"/>
        <v>#REF!</v>
      </c>
      <c r="M584" s="1103"/>
      <c r="N584" s="1096"/>
      <c r="O584" s="1098"/>
      <c r="P584" s="1096"/>
      <c r="Q584" s="1107"/>
      <c r="R584" s="1104"/>
    </row>
    <row r="585" spans="1:19" s="1108" customFormat="1" ht="69" customHeight="1">
      <c r="A585" s="941">
        <v>3.8</v>
      </c>
      <c r="B585" s="926" t="s">
        <v>4088</v>
      </c>
      <c r="C585" s="941" t="e">
        <f>#REF!</f>
        <v>#REF!</v>
      </c>
      <c r="D585" s="941" t="s">
        <v>313</v>
      </c>
      <c r="E585" s="1103"/>
      <c r="F585" s="1097" t="e">
        <f t="shared" ref="F585:F648" si="46">C585*E585</f>
        <v>#REF!</v>
      </c>
      <c r="G585" s="1103"/>
      <c r="H585" s="1097" t="e">
        <f t="shared" ref="H585:H648" si="47">C585*G585</f>
        <v>#REF!</v>
      </c>
      <c r="I585" s="1103"/>
      <c r="J585" s="1097" t="e">
        <f t="shared" si="44"/>
        <v>#REF!</v>
      </c>
      <c r="K585" s="1096"/>
      <c r="L585" s="1097" t="e">
        <f t="shared" si="45"/>
        <v>#REF!</v>
      </c>
      <c r="M585" s="1103"/>
      <c r="N585" s="1096"/>
      <c r="O585" s="1098"/>
      <c r="P585" s="1096"/>
      <c r="Q585" s="1107"/>
      <c r="R585" s="1104"/>
    </row>
    <row r="586" spans="1:19" s="1108" customFormat="1" ht="43.5" customHeight="1">
      <c r="A586" s="1186">
        <v>3.3</v>
      </c>
      <c r="B586" s="926" t="s">
        <v>4089</v>
      </c>
      <c r="C586" s="941" t="e">
        <f>#REF!</f>
        <v>#REF!</v>
      </c>
      <c r="D586" s="1185" t="s">
        <v>313</v>
      </c>
      <c r="E586" s="1103"/>
      <c r="F586" s="1097" t="e">
        <f t="shared" si="46"/>
        <v>#REF!</v>
      </c>
      <c r="G586" s="1103"/>
      <c r="H586" s="1097" t="e">
        <f t="shared" si="47"/>
        <v>#REF!</v>
      </c>
      <c r="I586" s="1103"/>
      <c r="J586" s="1097" t="e">
        <f t="shared" si="44"/>
        <v>#REF!</v>
      </c>
      <c r="K586" s="1096"/>
      <c r="L586" s="1097" t="e">
        <f t="shared" si="45"/>
        <v>#REF!</v>
      </c>
      <c r="M586" s="1103"/>
      <c r="N586" s="1096"/>
      <c r="O586" s="1098"/>
      <c r="P586" s="1096"/>
      <c r="Q586" s="1107"/>
      <c r="R586" s="1104"/>
    </row>
    <row r="587" spans="1:19" s="1108" customFormat="1" ht="54" customHeight="1">
      <c r="A587" s="1187"/>
      <c r="B587" s="1286" t="s">
        <v>4090</v>
      </c>
      <c r="C587" s="1188" t="e">
        <f>#REF!</f>
        <v>#REF!</v>
      </c>
      <c r="D587" s="1189" t="s">
        <v>313</v>
      </c>
      <c r="E587" s="1113"/>
      <c r="F587" s="1097" t="e">
        <f t="shared" si="46"/>
        <v>#REF!</v>
      </c>
      <c r="G587" s="1113"/>
      <c r="H587" s="1097" t="e">
        <f t="shared" si="47"/>
        <v>#REF!</v>
      </c>
      <c r="I587" s="1113"/>
      <c r="J587" s="1097" t="e">
        <f t="shared" si="44"/>
        <v>#REF!</v>
      </c>
      <c r="K587" s="1114"/>
      <c r="L587" s="1097" t="e">
        <f t="shared" si="45"/>
        <v>#REF!</v>
      </c>
      <c r="M587" s="1113"/>
      <c r="N587" s="1096"/>
      <c r="O587" s="1098"/>
      <c r="P587" s="1096"/>
      <c r="Q587" s="1107"/>
      <c r="R587" s="1104"/>
    </row>
    <row r="588" spans="1:19" ht="54.75" customHeight="1">
      <c r="A588" s="1090">
        <v>18.100000000000001</v>
      </c>
      <c r="B588" s="1262" t="s">
        <v>4091</v>
      </c>
      <c r="C588" s="1092"/>
      <c r="D588" s="940"/>
      <c r="E588" s="1096"/>
      <c r="F588" s="1097">
        <f t="shared" si="46"/>
        <v>0</v>
      </c>
      <c r="G588" s="1096"/>
      <c r="H588" s="1097">
        <f t="shared" si="47"/>
        <v>0</v>
      </c>
      <c r="I588" s="1096"/>
      <c r="J588" s="1097">
        <f t="shared" si="44"/>
        <v>0</v>
      </c>
      <c r="K588" s="1096"/>
      <c r="L588" s="1097">
        <f t="shared" si="45"/>
        <v>0</v>
      </c>
      <c r="M588" s="1096"/>
      <c r="N588" s="1096"/>
      <c r="O588" s="1098"/>
      <c r="P588" s="1096"/>
      <c r="Q588" s="1122"/>
      <c r="R588" s="1099"/>
      <c r="S588" s="1123"/>
    </row>
    <row r="589" spans="1:19" ht="63" customHeight="1">
      <c r="A589" s="1090"/>
      <c r="B589" s="933" t="s">
        <v>4092</v>
      </c>
      <c r="C589" s="1092" t="e">
        <f>ROUND(#REF!,2)</f>
        <v>#REF!</v>
      </c>
      <c r="D589" s="940" t="s">
        <v>306</v>
      </c>
      <c r="E589" s="1096"/>
      <c r="F589" s="1097" t="e">
        <f t="shared" si="46"/>
        <v>#REF!</v>
      </c>
      <c r="G589" s="1096"/>
      <c r="H589" s="1097" t="e">
        <f t="shared" si="47"/>
        <v>#REF!</v>
      </c>
      <c r="I589" s="1096"/>
      <c r="J589" s="1097" t="e">
        <f t="shared" si="44"/>
        <v>#REF!</v>
      </c>
      <c r="K589" s="1096"/>
      <c r="L589" s="1097" t="e">
        <f t="shared" si="45"/>
        <v>#REF!</v>
      </c>
      <c r="M589" s="1096"/>
      <c r="N589" s="1096"/>
      <c r="O589" s="1098"/>
      <c r="P589" s="1096"/>
      <c r="Q589" s="1099"/>
      <c r="R589" s="1099"/>
    </row>
    <row r="590" spans="1:19" ht="93.75" customHeight="1">
      <c r="A590" s="1090"/>
      <c r="B590" s="933" t="s">
        <v>4093</v>
      </c>
      <c r="C590" s="1092" t="e">
        <f>ROUND(#REF!,2)</f>
        <v>#REF!</v>
      </c>
      <c r="D590" s="940" t="s">
        <v>306</v>
      </c>
      <c r="E590" s="1096"/>
      <c r="F590" s="1097" t="e">
        <f t="shared" si="46"/>
        <v>#REF!</v>
      </c>
      <c r="G590" s="1096"/>
      <c r="H590" s="1097" t="e">
        <f t="shared" si="47"/>
        <v>#REF!</v>
      </c>
      <c r="I590" s="1096"/>
      <c r="J590" s="1097" t="e">
        <f t="shared" si="44"/>
        <v>#REF!</v>
      </c>
      <c r="K590" s="1096"/>
      <c r="L590" s="1097" t="e">
        <f t="shared" si="45"/>
        <v>#REF!</v>
      </c>
      <c r="M590" s="1096"/>
      <c r="N590" s="1096"/>
      <c r="O590" s="1098"/>
      <c r="P590" s="1096"/>
      <c r="Q590" s="1099"/>
      <c r="R590" s="1099"/>
    </row>
    <row r="591" spans="1:19" ht="63" customHeight="1">
      <c r="A591" s="940"/>
      <c r="B591" s="933" t="s">
        <v>4094</v>
      </c>
      <c r="C591" s="1092" t="e">
        <f>ROUND(#REF!,2)</f>
        <v>#REF!</v>
      </c>
      <c r="D591" s="940" t="s">
        <v>306</v>
      </c>
      <c r="E591" s="1096"/>
      <c r="F591" s="1097" t="e">
        <f t="shared" si="46"/>
        <v>#REF!</v>
      </c>
      <c r="G591" s="1096"/>
      <c r="H591" s="1097" t="e">
        <f t="shared" si="47"/>
        <v>#REF!</v>
      </c>
      <c r="I591" s="1096"/>
      <c r="J591" s="1097" t="e">
        <f t="shared" si="44"/>
        <v>#REF!</v>
      </c>
      <c r="K591" s="1096"/>
      <c r="L591" s="1097" t="e">
        <f t="shared" si="45"/>
        <v>#REF!</v>
      </c>
      <c r="M591" s="1096"/>
      <c r="N591" s="1096"/>
      <c r="O591" s="1098"/>
      <c r="P591" s="1096"/>
      <c r="Q591" s="1099"/>
      <c r="R591" s="1099"/>
    </row>
    <row r="592" spans="1:19" ht="48" customHeight="1">
      <c r="A592" s="1092"/>
      <c r="B592" s="933" t="s">
        <v>4095</v>
      </c>
      <c r="C592" s="1092" t="e">
        <f>#REF!</f>
        <v>#REF!</v>
      </c>
      <c r="D592" s="940" t="s">
        <v>306</v>
      </c>
      <c r="E592" s="1096"/>
      <c r="F592" s="1097" t="e">
        <f t="shared" si="46"/>
        <v>#REF!</v>
      </c>
      <c r="G592" s="1096"/>
      <c r="H592" s="1097" t="e">
        <f t="shared" si="47"/>
        <v>#REF!</v>
      </c>
      <c r="I592" s="1096"/>
      <c r="J592" s="1097" t="e">
        <f t="shared" si="44"/>
        <v>#REF!</v>
      </c>
      <c r="K592" s="1096"/>
      <c r="L592" s="1097" t="e">
        <f t="shared" si="45"/>
        <v>#REF!</v>
      </c>
      <c r="M592" s="1096"/>
      <c r="N592" s="1096"/>
      <c r="O592" s="1098"/>
      <c r="P592" s="1096"/>
      <c r="Q592" s="1099"/>
      <c r="R592" s="1099"/>
    </row>
    <row r="593" spans="1:19" s="1108" customFormat="1" ht="64.5" customHeight="1">
      <c r="A593" s="1190"/>
      <c r="B593" s="935" t="s">
        <v>4096</v>
      </c>
      <c r="C593" s="1120" t="e">
        <f>C591*2</f>
        <v>#REF!</v>
      </c>
      <c r="D593" s="1121" t="s">
        <v>306</v>
      </c>
      <c r="E593" s="1103"/>
      <c r="F593" s="1097" t="e">
        <f t="shared" si="46"/>
        <v>#REF!</v>
      </c>
      <c r="G593" s="1103"/>
      <c r="H593" s="1097" t="e">
        <f t="shared" si="47"/>
        <v>#REF!</v>
      </c>
      <c r="I593" s="1103"/>
      <c r="J593" s="1097" t="e">
        <f t="shared" si="44"/>
        <v>#REF!</v>
      </c>
      <c r="K593" s="1096"/>
      <c r="L593" s="1097" t="e">
        <f t="shared" si="45"/>
        <v>#REF!</v>
      </c>
      <c r="M593" s="1103"/>
      <c r="N593" s="1096"/>
      <c r="O593" s="1098"/>
      <c r="P593" s="1096"/>
      <c r="Q593" s="1107"/>
      <c r="R593" s="1104"/>
    </row>
    <row r="594" spans="1:19" ht="48" customHeight="1">
      <c r="A594" s="1138"/>
      <c r="B594" s="933" t="s">
        <v>4097</v>
      </c>
      <c r="C594" s="1092" t="e">
        <f>C590*1.5</f>
        <v>#REF!</v>
      </c>
      <c r="D594" s="940" t="s">
        <v>306</v>
      </c>
      <c r="E594" s="1096"/>
      <c r="F594" s="1097" t="e">
        <f t="shared" si="46"/>
        <v>#REF!</v>
      </c>
      <c r="G594" s="1096"/>
      <c r="H594" s="1097" t="e">
        <f t="shared" si="47"/>
        <v>#REF!</v>
      </c>
      <c r="I594" s="1096"/>
      <c r="J594" s="1097" t="e">
        <f t="shared" si="44"/>
        <v>#REF!</v>
      </c>
      <c r="K594" s="1096"/>
      <c r="L594" s="1097" t="e">
        <f t="shared" si="45"/>
        <v>#REF!</v>
      </c>
      <c r="M594" s="1096"/>
      <c r="N594" s="1096"/>
      <c r="O594" s="1098"/>
      <c r="P594" s="1096"/>
      <c r="Q594" s="1099"/>
      <c r="R594" s="1099"/>
    </row>
    <row r="595" spans="1:19" s="1108" customFormat="1" ht="57" customHeight="1">
      <c r="A595" s="1191"/>
      <c r="B595" s="1272" t="s">
        <v>4098</v>
      </c>
      <c r="C595" s="1155" t="e">
        <f>C590*2</f>
        <v>#REF!</v>
      </c>
      <c r="D595" s="1156" t="s">
        <v>306</v>
      </c>
      <c r="E595" s="1113"/>
      <c r="F595" s="1097" t="e">
        <f t="shared" si="46"/>
        <v>#REF!</v>
      </c>
      <c r="G595" s="1113"/>
      <c r="H595" s="1097" t="e">
        <f t="shared" si="47"/>
        <v>#REF!</v>
      </c>
      <c r="I595" s="1113"/>
      <c r="J595" s="1097" t="e">
        <f t="shared" si="44"/>
        <v>#REF!</v>
      </c>
      <c r="K595" s="1114"/>
      <c r="L595" s="1097" t="e">
        <f t="shared" si="45"/>
        <v>#REF!</v>
      </c>
      <c r="M595" s="1113"/>
      <c r="N595" s="1096"/>
      <c r="O595" s="1098"/>
      <c r="P595" s="1096"/>
      <c r="Q595" s="1107"/>
      <c r="R595" s="1104"/>
    </row>
    <row r="596" spans="1:19" ht="82.5" customHeight="1">
      <c r="A596" s="1090">
        <v>21.6</v>
      </c>
      <c r="B596" s="1276" t="s">
        <v>4099</v>
      </c>
      <c r="C596" s="1092"/>
      <c r="D596" s="940"/>
      <c r="E596" s="1096"/>
      <c r="F596" s="1097">
        <f t="shared" si="46"/>
        <v>0</v>
      </c>
      <c r="G596" s="1096"/>
      <c r="H596" s="1097">
        <f t="shared" si="47"/>
        <v>0</v>
      </c>
      <c r="I596" s="1096"/>
      <c r="J596" s="1097">
        <f t="shared" si="44"/>
        <v>0</v>
      </c>
      <c r="K596" s="1096"/>
      <c r="L596" s="1097">
        <f t="shared" si="45"/>
        <v>0</v>
      </c>
      <c r="M596" s="1096"/>
      <c r="N596" s="1096"/>
      <c r="O596" s="1098"/>
      <c r="P596" s="1096"/>
      <c r="Q596" s="1122"/>
      <c r="R596" s="1099"/>
      <c r="S596" s="1123"/>
    </row>
    <row r="597" spans="1:19" ht="42.75" customHeight="1">
      <c r="A597" s="1158"/>
      <c r="B597" s="933" t="s">
        <v>3881</v>
      </c>
      <c r="C597" s="1092" t="e">
        <f>ROUND(#REF!,2)</f>
        <v>#REF!</v>
      </c>
      <c r="D597" s="1092" t="s">
        <v>340</v>
      </c>
      <c r="E597" s="1096"/>
      <c r="F597" s="1097" t="e">
        <f t="shared" si="46"/>
        <v>#REF!</v>
      </c>
      <c r="G597" s="1096"/>
      <c r="H597" s="1097" t="e">
        <f t="shared" si="47"/>
        <v>#REF!</v>
      </c>
      <c r="I597" s="1096"/>
      <c r="J597" s="1097" t="e">
        <f t="shared" si="44"/>
        <v>#REF!</v>
      </c>
      <c r="K597" s="1096"/>
      <c r="L597" s="1097" t="e">
        <f t="shared" si="45"/>
        <v>#REF!</v>
      </c>
      <c r="M597" s="1096"/>
      <c r="N597" s="1096"/>
      <c r="O597" s="1098"/>
      <c r="P597" s="1096"/>
      <c r="Q597" s="1099"/>
      <c r="R597" s="1099"/>
    </row>
    <row r="598" spans="1:19" s="1108" customFormat="1" ht="42.75" customHeight="1">
      <c r="A598" s="1158"/>
      <c r="B598" s="933" t="s">
        <v>4100</v>
      </c>
      <c r="C598" s="1106" t="e">
        <f>#REF!</f>
        <v>#REF!</v>
      </c>
      <c r="D598" s="1106" t="s">
        <v>340</v>
      </c>
      <c r="E598" s="1103"/>
      <c r="F598" s="1097" t="e">
        <f t="shared" si="46"/>
        <v>#REF!</v>
      </c>
      <c r="G598" s="1103"/>
      <c r="H598" s="1097" t="e">
        <f t="shared" si="47"/>
        <v>#REF!</v>
      </c>
      <c r="I598" s="1103"/>
      <c r="J598" s="1097" t="e">
        <f t="shared" si="44"/>
        <v>#REF!</v>
      </c>
      <c r="K598" s="1096"/>
      <c r="L598" s="1097" t="e">
        <f t="shared" si="45"/>
        <v>#REF!</v>
      </c>
      <c r="M598" s="1103"/>
      <c r="N598" s="1096"/>
      <c r="O598" s="1098"/>
      <c r="P598" s="1096"/>
      <c r="Q598" s="1107"/>
      <c r="R598" s="1104"/>
    </row>
    <row r="599" spans="1:19" s="1108" customFormat="1" ht="42.75" customHeight="1">
      <c r="A599" s="1158"/>
      <c r="B599" s="933" t="s">
        <v>3883</v>
      </c>
      <c r="C599" s="1092" t="e">
        <f>ROUND(#REF!,2)</f>
        <v>#REF!</v>
      </c>
      <c r="D599" s="1092" t="s">
        <v>340</v>
      </c>
      <c r="E599" s="1103"/>
      <c r="F599" s="1097" t="e">
        <f t="shared" si="46"/>
        <v>#REF!</v>
      </c>
      <c r="G599" s="1103"/>
      <c r="H599" s="1097" t="e">
        <f t="shared" si="47"/>
        <v>#REF!</v>
      </c>
      <c r="I599" s="1103"/>
      <c r="J599" s="1097" t="e">
        <f t="shared" si="44"/>
        <v>#REF!</v>
      </c>
      <c r="K599" s="1096"/>
      <c r="L599" s="1097" t="e">
        <f t="shared" si="45"/>
        <v>#REF!</v>
      </c>
      <c r="M599" s="1103"/>
      <c r="N599" s="1096"/>
      <c r="O599" s="1098"/>
      <c r="P599" s="1096"/>
      <c r="Q599" s="1107"/>
      <c r="R599" s="1104"/>
    </row>
    <row r="600" spans="1:19" s="1108" customFormat="1" ht="42.75" customHeight="1">
      <c r="A600" s="1158"/>
      <c r="B600" s="933" t="s">
        <v>4101</v>
      </c>
      <c r="C600" s="1106" t="e">
        <f>#REF!</f>
        <v>#REF!</v>
      </c>
      <c r="D600" s="1106" t="s">
        <v>340</v>
      </c>
      <c r="E600" s="1103"/>
      <c r="F600" s="1097" t="e">
        <f t="shared" si="46"/>
        <v>#REF!</v>
      </c>
      <c r="G600" s="1103"/>
      <c r="H600" s="1097" t="e">
        <f t="shared" si="47"/>
        <v>#REF!</v>
      </c>
      <c r="I600" s="1103"/>
      <c r="J600" s="1097" t="e">
        <f t="shared" si="44"/>
        <v>#REF!</v>
      </c>
      <c r="K600" s="1096"/>
      <c r="L600" s="1097" t="e">
        <f t="shared" si="45"/>
        <v>#REF!</v>
      </c>
      <c r="M600" s="1103"/>
      <c r="N600" s="1096"/>
      <c r="O600" s="1098"/>
      <c r="P600" s="1096"/>
      <c r="Q600" s="1107"/>
      <c r="R600" s="1104"/>
    </row>
    <row r="601" spans="1:19" s="1108" customFormat="1" ht="61.5" customHeight="1">
      <c r="A601" s="1138"/>
      <c r="B601" s="1262" t="s">
        <v>4102</v>
      </c>
      <c r="C601" s="1106"/>
      <c r="D601" s="943"/>
      <c r="E601" s="1103"/>
      <c r="F601" s="1097">
        <f t="shared" si="46"/>
        <v>0</v>
      </c>
      <c r="G601" s="1103"/>
      <c r="H601" s="1097">
        <f t="shared" si="47"/>
        <v>0</v>
      </c>
      <c r="I601" s="1103"/>
      <c r="J601" s="1097">
        <f t="shared" si="44"/>
        <v>0</v>
      </c>
      <c r="K601" s="1096"/>
      <c r="L601" s="1097">
        <f t="shared" si="45"/>
        <v>0</v>
      </c>
      <c r="M601" s="1103"/>
      <c r="N601" s="1096"/>
      <c r="O601" s="1098"/>
      <c r="P601" s="1096"/>
      <c r="Q601" s="1107"/>
      <c r="R601" s="1104"/>
    </row>
    <row r="602" spans="1:19" s="1108" customFormat="1" ht="25.5" customHeight="1">
      <c r="A602" s="1138"/>
      <c r="B602" s="933" t="s">
        <v>3894</v>
      </c>
      <c r="C602" s="1106" t="e">
        <f>#REF!</f>
        <v>#REF!</v>
      </c>
      <c r="D602" s="943" t="s">
        <v>3798</v>
      </c>
      <c r="E602" s="1103"/>
      <c r="F602" s="1097" t="e">
        <f t="shared" si="46"/>
        <v>#REF!</v>
      </c>
      <c r="G602" s="1103"/>
      <c r="H602" s="1097" t="e">
        <f t="shared" si="47"/>
        <v>#REF!</v>
      </c>
      <c r="I602" s="1103"/>
      <c r="J602" s="1097" t="e">
        <f t="shared" ref="J602:J665" si="48">I602*C602</f>
        <v>#REF!</v>
      </c>
      <c r="K602" s="1096"/>
      <c r="L602" s="1097" t="e">
        <f t="shared" ref="L602:L665" si="49">K602*C602</f>
        <v>#REF!</v>
      </c>
      <c r="M602" s="1103"/>
      <c r="N602" s="1096"/>
      <c r="O602" s="1098"/>
      <c r="P602" s="1096"/>
      <c r="Q602" s="1107"/>
      <c r="R602" s="1104"/>
    </row>
    <row r="603" spans="1:19" s="1108" customFormat="1" ht="25.5" customHeight="1">
      <c r="A603" s="1138"/>
      <c r="B603" s="933" t="s">
        <v>3895</v>
      </c>
      <c r="C603" s="1106"/>
      <c r="D603" s="943" t="s">
        <v>3798</v>
      </c>
      <c r="E603" s="1103"/>
      <c r="F603" s="1097">
        <f t="shared" si="46"/>
        <v>0</v>
      </c>
      <c r="G603" s="1103"/>
      <c r="H603" s="1097">
        <f t="shared" si="47"/>
        <v>0</v>
      </c>
      <c r="I603" s="1103"/>
      <c r="J603" s="1097">
        <f t="shared" si="48"/>
        <v>0</v>
      </c>
      <c r="K603" s="1096"/>
      <c r="L603" s="1097">
        <f t="shared" si="49"/>
        <v>0</v>
      </c>
      <c r="M603" s="1103"/>
      <c r="N603" s="1096"/>
      <c r="O603" s="1098"/>
      <c r="P603" s="1096"/>
      <c r="Q603" s="1107"/>
      <c r="R603" s="1104"/>
    </row>
    <row r="604" spans="1:19" s="1108" customFormat="1" ht="31.5" customHeight="1">
      <c r="A604" s="1138"/>
      <c r="B604" s="933" t="s">
        <v>3896</v>
      </c>
      <c r="C604" s="1106" t="e">
        <f>#REF!</f>
        <v>#REF!</v>
      </c>
      <c r="D604" s="943" t="s">
        <v>3798</v>
      </c>
      <c r="E604" s="1103"/>
      <c r="F604" s="1097" t="e">
        <f t="shared" si="46"/>
        <v>#REF!</v>
      </c>
      <c r="G604" s="1103"/>
      <c r="H604" s="1097" t="e">
        <f t="shared" si="47"/>
        <v>#REF!</v>
      </c>
      <c r="I604" s="1103"/>
      <c r="J604" s="1097" t="e">
        <f t="shared" si="48"/>
        <v>#REF!</v>
      </c>
      <c r="K604" s="1096"/>
      <c r="L604" s="1097" t="e">
        <f t="shared" si="49"/>
        <v>#REF!</v>
      </c>
      <c r="M604" s="1103"/>
      <c r="N604" s="1096"/>
      <c r="O604" s="1098"/>
      <c r="P604" s="1096"/>
      <c r="Q604" s="1107"/>
      <c r="R604" s="1104"/>
    </row>
    <row r="605" spans="1:19" s="1108" customFormat="1" ht="42" customHeight="1">
      <c r="A605" s="1138"/>
      <c r="B605" s="933" t="s">
        <v>3897</v>
      </c>
      <c r="C605" s="1106" t="e">
        <f>#REF!</f>
        <v>#REF!</v>
      </c>
      <c r="D605" s="943" t="s">
        <v>3798</v>
      </c>
      <c r="E605" s="1103"/>
      <c r="F605" s="1097" t="e">
        <f t="shared" si="46"/>
        <v>#REF!</v>
      </c>
      <c r="G605" s="1103"/>
      <c r="H605" s="1097" t="e">
        <f t="shared" si="47"/>
        <v>#REF!</v>
      </c>
      <c r="I605" s="1103"/>
      <c r="J605" s="1097" t="e">
        <f t="shared" si="48"/>
        <v>#REF!</v>
      </c>
      <c r="K605" s="1096"/>
      <c r="L605" s="1097" t="e">
        <f t="shared" si="49"/>
        <v>#REF!</v>
      </c>
      <c r="M605" s="1103"/>
      <c r="N605" s="1096"/>
      <c r="O605" s="1098"/>
      <c r="P605" s="1096"/>
      <c r="Q605" s="1107"/>
      <c r="R605" s="1104"/>
    </row>
    <row r="606" spans="1:19" s="1108" customFormat="1" ht="38.25" customHeight="1">
      <c r="A606" s="1138"/>
      <c r="B606" s="933" t="s">
        <v>4103</v>
      </c>
      <c r="C606" s="1106">
        <v>2203.2800000000002</v>
      </c>
      <c r="D606" s="943" t="s">
        <v>3798</v>
      </c>
      <c r="E606" s="1103"/>
      <c r="F606" s="1097">
        <f t="shared" si="46"/>
        <v>0</v>
      </c>
      <c r="G606" s="1103"/>
      <c r="H606" s="1097">
        <f t="shared" si="47"/>
        <v>0</v>
      </c>
      <c r="I606" s="1103"/>
      <c r="J606" s="1097">
        <f t="shared" si="48"/>
        <v>0</v>
      </c>
      <c r="K606" s="1096"/>
      <c r="L606" s="1097">
        <f t="shared" si="49"/>
        <v>0</v>
      </c>
      <c r="M606" s="1103"/>
      <c r="N606" s="1096"/>
      <c r="O606" s="1098"/>
      <c r="P606" s="1096"/>
      <c r="Q606" s="1107"/>
      <c r="R606" s="1104"/>
    </row>
    <row r="607" spans="1:19" s="1108" customFormat="1" ht="62.25" customHeight="1">
      <c r="A607" s="1090" t="s">
        <v>4104</v>
      </c>
      <c r="B607" s="933" t="s">
        <v>4105</v>
      </c>
      <c r="C607" s="1106" t="e">
        <f>ROUND(#REF!,2)</f>
        <v>#REF!</v>
      </c>
      <c r="D607" s="943" t="s">
        <v>306</v>
      </c>
      <c r="E607" s="1103"/>
      <c r="F607" s="1097" t="e">
        <f t="shared" si="46"/>
        <v>#REF!</v>
      </c>
      <c r="G607" s="1103"/>
      <c r="H607" s="1097" t="e">
        <f t="shared" si="47"/>
        <v>#REF!</v>
      </c>
      <c r="I607" s="1103"/>
      <c r="J607" s="1097" t="e">
        <f t="shared" si="48"/>
        <v>#REF!</v>
      </c>
      <c r="K607" s="1096"/>
      <c r="L607" s="1097" t="e">
        <f t="shared" si="49"/>
        <v>#REF!</v>
      </c>
      <c r="M607" s="1103"/>
      <c r="N607" s="1096"/>
      <c r="O607" s="1098"/>
      <c r="P607" s="1096"/>
      <c r="Q607" s="1107"/>
      <c r="R607" s="1104"/>
    </row>
    <row r="608" spans="1:19" s="1108" customFormat="1" ht="87" customHeight="1">
      <c r="A608" s="1090"/>
      <c r="B608" s="933" t="s">
        <v>4106</v>
      </c>
      <c r="C608" s="1092" t="e">
        <f>#REF!</f>
        <v>#REF!</v>
      </c>
      <c r="D608" s="943" t="s">
        <v>306</v>
      </c>
      <c r="E608" s="1103"/>
      <c r="F608" s="1097" t="e">
        <f t="shared" si="46"/>
        <v>#REF!</v>
      </c>
      <c r="G608" s="1103"/>
      <c r="H608" s="1097" t="e">
        <f t="shared" si="47"/>
        <v>#REF!</v>
      </c>
      <c r="I608" s="1103"/>
      <c r="J608" s="1097" t="e">
        <f t="shared" si="48"/>
        <v>#REF!</v>
      </c>
      <c r="K608" s="1096"/>
      <c r="L608" s="1097" t="e">
        <f t="shared" si="49"/>
        <v>#REF!</v>
      </c>
      <c r="M608" s="1103"/>
      <c r="N608" s="1096"/>
      <c r="O608" s="1098"/>
      <c r="P608" s="1096"/>
      <c r="Q608" s="1107"/>
      <c r="R608" s="1104"/>
    </row>
    <row r="609" spans="1:18" ht="94.5" customHeight="1">
      <c r="A609" s="1124"/>
      <c r="B609" s="1261" t="s">
        <v>4107</v>
      </c>
      <c r="C609" s="1092" t="e">
        <f>ROUND(#REF!,2)</f>
        <v>#REF!</v>
      </c>
      <c r="D609" s="940" t="s">
        <v>306</v>
      </c>
      <c r="E609" s="1096"/>
      <c r="F609" s="1097" t="e">
        <f t="shared" si="46"/>
        <v>#REF!</v>
      </c>
      <c r="G609" s="1096"/>
      <c r="H609" s="1097" t="e">
        <f t="shared" si="47"/>
        <v>#REF!</v>
      </c>
      <c r="I609" s="1096"/>
      <c r="J609" s="1097" t="e">
        <f t="shared" si="48"/>
        <v>#REF!</v>
      </c>
      <c r="K609" s="1096"/>
      <c r="L609" s="1097" t="e">
        <f t="shared" si="49"/>
        <v>#REF!</v>
      </c>
      <c r="M609" s="1096"/>
      <c r="N609" s="1096"/>
      <c r="O609" s="1098"/>
      <c r="P609" s="1096"/>
      <c r="Q609" s="1099"/>
      <c r="R609" s="1099"/>
    </row>
    <row r="610" spans="1:18" s="1198" customFormat="1" ht="72" customHeight="1">
      <c r="A610" s="1192">
        <v>22.8</v>
      </c>
      <c r="B610" s="1287" t="s">
        <v>4108</v>
      </c>
      <c r="C610" s="1193"/>
      <c r="D610" s="1194"/>
      <c r="E610" s="1195"/>
      <c r="F610" s="1097">
        <f t="shared" si="46"/>
        <v>0</v>
      </c>
      <c r="G610" s="1195"/>
      <c r="H610" s="1097">
        <f t="shared" si="47"/>
        <v>0</v>
      </c>
      <c r="I610" s="1195"/>
      <c r="J610" s="1097">
        <f t="shared" si="48"/>
        <v>0</v>
      </c>
      <c r="K610" s="1096"/>
      <c r="L610" s="1097">
        <f t="shared" si="49"/>
        <v>0</v>
      </c>
      <c r="M610" s="1195"/>
      <c r="N610" s="1096"/>
      <c r="O610" s="1098"/>
      <c r="P610" s="1096"/>
      <c r="Q610" s="1196"/>
      <c r="R610" s="1197"/>
    </row>
    <row r="611" spans="1:18" s="1198" customFormat="1" ht="35.1" customHeight="1">
      <c r="A611" s="1192"/>
      <c r="B611" s="1287" t="s">
        <v>4109</v>
      </c>
      <c r="C611" s="1193" t="e">
        <f>ROUND(#REF!,2)</f>
        <v>#REF!</v>
      </c>
      <c r="D611" s="1194" t="s">
        <v>306</v>
      </c>
      <c r="E611" s="1195"/>
      <c r="F611" s="1097" t="e">
        <f t="shared" si="46"/>
        <v>#REF!</v>
      </c>
      <c r="G611" s="1195"/>
      <c r="H611" s="1097" t="e">
        <f t="shared" si="47"/>
        <v>#REF!</v>
      </c>
      <c r="I611" s="1195"/>
      <c r="J611" s="1097" t="e">
        <f t="shared" si="48"/>
        <v>#REF!</v>
      </c>
      <c r="K611" s="1096"/>
      <c r="L611" s="1097" t="e">
        <f t="shared" si="49"/>
        <v>#REF!</v>
      </c>
      <c r="M611" s="1195"/>
      <c r="N611" s="1096"/>
      <c r="O611" s="1098"/>
      <c r="P611" s="1096"/>
      <c r="Q611" s="1196"/>
      <c r="R611" s="1197"/>
    </row>
    <row r="612" spans="1:18" s="1198" customFormat="1" ht="35.1" customHeight="1">
      <c r="A612" s="1192"/>
      <c r="B612" s="1287" t="s">
        <v>4110</v>
      </c>
      <c r="C612" s="1193" t="e">
        <f>ROUND(#REF!,2)</f>
        <v>#REF!</v>
      </c>
      <c r="D612" s="1194" t="s">
        <v>306</v>
      </c>
      <c r="E612" s="1195"/>
      <c r="F612" s="1097" t="e">
        <f t="shared" si="46"/>
        <v>#REF!</v>
      </c>
      <c r="G612" s="1195"/>
      <c r="H612" s="1097" t="e">
        <f t="shared" si="47"/>
        <v>#REF!</v>
      </c>
      <c r="I612" s="1195"/>
      <c r="J612" s="1097" t="e">
        <f t="shared" si="48"/>
        <v>#REF!</v>
      </c>
      <c r="K612" s="1096"/>
      <c r="L612" s="1097" t="e">
        <f t="shared" si="49"/>
        <v>#REF!</v>
      </c>
      <c r="M612" s="1195"/>
      <c r="N612" s="1096"/>
      <c r="O612" s="1098"/>
      <c r="P612" s="1096"/>
      <c r="Q612" s="1196"/>
      <c r="R612" s="1197"/>
    </row>
    <row r="613" spans="1:18" s="1198" customFormat="1" ht="28.5" customHeight="1">
      <c r="A613" s="1199"/>
      <c r="B613" s="1288" t="s">
        <v>4111</v>
      </c>
      <c r="C613" s="1200"/>
      <c r="D613" s="1201" t="s">
        <v>306</v>
      </c>
      <c r="E613" s="1202"/>
      <c r="F613" s="1097">
        <f t="shared" si="46"/>
        <v>0</v>
      </c>
      <c r="G613" s="1202"/>
      <c r="H613" s="1097">
        <f t="shared" si="47"/>
        <v>0</v>
      </c>
      <c r="I613" s="1202"/>
      <c r="J613" s="1097">
        <f t="shared" si="48"/>
        <v>0</v>
      </c>
      <c r="K613" s="1114"/>
      <c r="L613" s="1097">
        <f t="shared" si="49"/>
        <v>0</v>
      </c>
      <c r="M613" s="1202"/>
      <c r="N613" s="1096"/>
      <c r="O613" s="1098"/>
      <c r="P613" s="1096"/>
      <c r="Q613" s="1196"/>
      <c r="R613" s="1197"/>
    </row>
    <row r="614" spans="1:18" ht="58.5" customHeight="1">
      <c r="A614" s="1092"/>
      <c r="B614" s="1262" t="s">
        <v>4112</v>
      </c>
      <c r="C614" s="1092"/>
      <c r="D614" s="940"/>
      <c r="E614" s="1096"/>
      <c r="F614" s="1097">
        <f t="shared" si="46"/>
        <v>0</v>
      </c>
      <c r="G614" s="1096"/>
      <c r="H614" s="1097">
        <f t="shared" si="47"/>
        <v>0</v>
      </c>
      <c r="I614" s="1096"/>
      <c r="J614" s="1097">
        <f t="shared" si="48"/>
        <v>0</v>
      </c>
      <c r="K614" s="1096"/>
      <c r="L614" s="1097">
        <f t="shared" si="49"/>
        <v>0</v>
      </c>
      <c r="M614" s="1096"/>
      <c r="N614" s="1096"/>
      <c r="O614" s="1098"/>
      <c r="P614" s="1096"/>
      <c r="Q614" s="1099"/>
      <c r="R614" s="1099"/>
    </row>
    <row r="615" spans="1:18" s="1105" customFormat="1" ht="49.5" customHeight="1">
      <c r="A615" s="1117"/>
      <c r="B615" s="1265" t="s">
        <v>4113</v>
      </c>
      <c r="C615" s="1103" t="e">
        <f>ROUND(#REF!,2)</f>
        <v>#REF!</v>
      </c>
      <c r="D615" s="1118" t="s">
        <v>306</v>
      </c>
      <c r="E615" s="1103"/>
      <c r="F615" s="1097" t="e">
        <f t="shared" si="46"/>
        <v>#REF!</v>
      </c>
      <c r="G615" s="1103"/>
      <c r="H615" s="1097" t="e">
        <f t="shared" si="47"/>
        <v>#REF!</v>
      </c>
      <c r="I615" s="1103"/>
      <c r="J615" s="1097" t="e">
        <f t="shared" si="48"/>
        <v>#REF!</v>
      </c>
      <c r="K615" s="1096"/>
      <c r="L615" s="1097" t="e">
        <f t="shared" si="49"/>
        <v>#REF!</v>
      </c>
      <c r="M615" s="1103"/>
      <c r="N615" s="1096"/>
      <c r="O615" s="1098"/>
      <c r="P615" s="1096"/>
      <c r="Q615" s="1104"/>
      <c r="R615" s="1104"/>
    </row>
    <row r="616" spans="1:18" s="1108" customFormat="1" ht="38.25" customHeight="1">
      <c r="A616" s="1190"/>
      <c r="B616" s="935" t="s">
        <v>4114</v>
      </c>
      <c r="C616" s="1120"/>
      <c r="D616" s="1121"/>
      <c r="E616" s="1103"/>
      <c r="F616" s="1097">
        <f t="shared" si="46"/>
        <v>0</v>
      </c>
      <c r="G616" s="1103"/>
      <c r="H616" s="1097">
        <f t="shared" si="47"/>
        <v>0</v>
      </c>
      <c r="I616" s="1103"/>
      <c r="J616" s="1097">
        <f t="shared" si="48"/>
        <v>0</v>
      </c>
      <c r="K616" s="1096"/>
      <c r="L616" s="1097">
        <f t="shared" si="49"/>
        <v>0</v>
      </c>
      <c r="M616" s="1103"/>
      <c r="N616" s="1096"/>
      <c r="O616" s="1098"/>
      <c r="P616" s="1096"/>
      <c r="Q616" s="1107"/>
      <c r="R616" s="1104"/>
    </row>
    <row r="617" spans="1:18" s="1108" customFormat="1" ht="51" customHeight="1">
      <c r="A617" s="1138"/>
      <c r="B617" s="933" t="s">
        <v>4115</v>
      </c>
      <c r="C617" s="1106" t="e">
        <f>#REF!</f>
        <v>#REF!</v>
      </c>
      <c r="D617" s="943" t="s">
        <v>306</v>
      </c>
      <c r="E617" s="1103"/>
      <c r="F617" s="1097" t="e">
        <f t="shared" si="46"/>
        <v>#REF!</v>
      </c>
      <c r="G617" s="1103"/>
      <c r="H617" s="1097" t="e">
        <f t="shared" si="47"/>
        <v>#REF!</v>
      </c>
      <c r="I617" s="1103"/>
      <c r="J617" s="1097" t="e">
        <f t="shared" si="48"/>
        <v>#REF!</v>
      </c>
      <c r="K617" s="1096"/>
      <c r="L617" s="1097" t="e">
        <f t="shared" si="49"/>
        <v>#REF!</v>
      </c>
      <c r="M617" s="1103"/>
      <c r="N617" s="1096"/>
      <c r="O617" s="1098"/>
      <c r="P617" s="1096"/>
      <c r="Q617" s="1107"/>
      <c r="R617" s="1104"/>
    </row>
    <row r="618" spans="1:18" s="1108" customFormat="1" ht="51" customHeight="1">
      <c r="A618" s="1138"/>
      <c r="B618" s="933" t="s">
        <v>4116</v>
      </c>
      <c r="C618" s="1106" t="e">
        <f>#REF!</f>
        <v>#REF!</v>
      </c>
      <c r="D618" s="943" t="s">
        <v>306</v>
      </c>
      <c r="E618" s="1103"/>
      <c r="F618" s="1097" t="e">
        <f t="shared" si="46"/>
        <v>#REF!</v>
      </c>
      <c r="G618" s="1103"/>
      <c r="H618" s="1097" t="e">
        <f t="shared" si="47"/>
        <v>#REF!</v>
      </c>
      <c r="I618" s="1103"/>
      <c r="J618" s="1097" t="e">
        <f t="shared" si="48"/>
        <v>#REF!</v>
      </c>
      <c r="K618" s="1096"/>
      <c r="L618" s="1097" t="e">
        <f t="shared" si="49"/>
        <v>#REF!</v>
      </c>
      <c r="M618" s="1103"/>
      <c r="N618" s="1096"/>
      <c r="O618" s="1098"/>
      <c r="P618" s="1096"/>
      <c r="Q618" s="1107"/>
      <c r="R618" s="1104"/>
    </row>
    <row r="619" spans="1:18" s="1108" customFormat="1" ht="46.5" customHeight="1">
      <c r="A619" s="1138"/>
      <c r="B619" s="933" t="s">
        <v>4117</v>
      </c>
      <c r="C619" s="1096" t="e">
        <f>#REF!</f>
        <v>#REF!</v>
      </c>
      <c r="D619" s="943" t="s">
        <v>306</v>
      </c>
      <c r="E619" s="1096"/>
      <c r="F619" s="1097" t="e">
        <f t="shared" si="46"/>
        <v>#REF!</v>
      </c>
      <c r="G619" s="1096"/>
      <c r="H619" s="1097" t="e">
        <f t="shared" si="47"/>
        <v>#REF!</v>
      </c>
      <c r="I619" s="1096"/>
      <c r="J619" s="1097" t="e">
        <f t="shared" si="48"/>
        <v>#REF!</v>
      </c>
      <c r="K619" s="1096"/>
      <c r="L619" s="1097" t="e">
        <f t="shared" si="49"/>
        <v>#REF!</v>
      </c>
      <c r="M619" s="1096"/>
      <c r="N619" s="1096"/>
      <c r="O619" s="1098"/>
      <c r="P619" s="1096"/>
      <c r="Q619" s="1107"/>
      <c r="R619" s="1099"/>
    </row>
    <row r="620" spans="1:18" s="1108" customFormat="1" ht="46.5" customHeight="1">
      <c r="A620" s="1138"/>
      <c r="B620" s="1262" t="s">
        <v>4118</v>
      </c>
      <c r="C620" s="1106"/>
      <c r="D620" s="943"/>
      <c r="E620" s="1096"/>
      <c r="F620" s="1097">
        <f t="shared" si="46"/>
        <v>0</v>
      </c>
      <c r="G620" s="1096"/>
      <c r="H620" s="1097">
        <f t="shared" si="47"/>
        <v>0</v>
      </c>
      <c r="I620" s="1096"/>
      <c r="J620" s="1097">
        <f t="shared" si="48"/>
        <v>0</v>
      </c>
      <c r="K620" s="1096"/>
      <c r="L620" s="1097">
        <f t="shared" si="49"/>
        <v>0</v>
      </c>
      <c r="M620" s="1096"/>
      <c r="N620" s="1096"/>
      <c r="O620" s="1098"/>
      <c r="P620" s="1096"/>
      <c r="Q620" s="1107"/>
      <c r="R620" s="1099"/>
    </row>
    <row r="621" spans="1:18" s="1108" customFormat="1" ht="60.75" customHeight="1">
      <c r="A621" s="1138"/>
      <c r="B621" s="933" t="s">
        <v>4119</v>
      </c>
      <c r="C621" s="1106" t="e">
        <f>#REF!</f>
        <v>#REF!</v>
      </c>
      <c r="D621" s="943" t="s">
        <v>306</v>
      </c>
      <c r="E621" s="1103"/>
      <c r="F621" s="1097" t="e">
        <f t="shared" si="46"/>
        <v>#REF!</v>
      </c>
      <c r="G621" s="1103"/>
      <c r="H621" s="1097" t="e">
        <f t="shared" si="47"/>
        <v>#REF!</v>
      </c>
      <c r="I621" s="1103"/>
      <c r="J621" s="1097" t="e">
        <f t="shared" si="48"/>
        <v>#REF!</v>
      </c>
      <c r="K621" s="1096"/>
      <c r="L621" s="1097" t="e">
        <f t="shared" si="49"/>
        <v>#REF!</v>
      </c>
      <c r="M621" s="1103"/>
      <c r="N621" s="1096"/>
      <c r="O621" s="1098"/>
      <c r="P621" s="1096"/>
      <c r="Q621" s="1107"/>
      <c r="R621" s="1104"/>
    </row>
    <row r="622" spans="1:18" s="1108" customFormat="1" ht="59.25" customHeight="1">
      <c r="A622" s="1138"/>
      <c r="B622" s="1289" t="s">
        <v>4120</v>
      </c>
      <c r="C622" s="1106" t="e">
        <f>#REF!</f>
        <v>#REF!</v>
      </c>
      <c r="D622" s="943" t="s">
        <v>306</v>
      </c>
      <c r="E622" s="1103"/>
      <c r="F622" s="1097" t="e">
        <f t="shared" si="46"/>
        <v>#REF!</v>
      </c>
      <c r="G622" s="1103"/>
      <c r="H622" s="1097" t="e">
        <f t="shared" si="47"/>
        <v>#REF!</v>
      </c>
      <c r="I622" s="1103"/>
      <c r="J622" s="1097" t="e">
        <f t="shared" si="48"/>
        <v>#REF!</v>
      </c>
      <c r="K622" s="1096"/>
      <c r="L622" s="1097" t="e">
        <f t="shared" si="49"/>
        <v>#REF!</v>
      </c>
      <c r="M622" s="1103"/>
      <c r="N622" s="1096"/>
      <c r="O622" s="1098"/>
      <c r="P622" s="1096"/>
      <c r="Q622" s="1107"/>
      <c r="R622" s="1104"/>
    </row>
    <row r="623" spans="1:18" s="1108" customFormat="1" ht="65.45" customHeight="1">
      <c r="A623" s="1138"/>
      <c r="B623" s="933" t="s">
        <v>4121</v>
      </c>
      <c r="C623" s="1106" t="e">
        <f>#REF!</f>
        <v>#REF!</v>
      </c>
      <c r="D623" s="1106" t="s">
        <v>306</v>
      </c>
      <c r="E623" s="1103"/>
      <c r="F623" s="1097" t="e">
        <f t="shared" si="46"/>
        <v>#REF!</v>
      </c>
      <c r="G623" s="1103"/>
      <c r="H623" s="1097" t="e">
        <f t="shared" si="47"/>
        <v>#REF!</v>
      </c>
      <c r="I623" s="1103"/>
      <c r="J623" s="1097" t="e">
        <f t="shared" si="48"/>
        <v>#REF!</v>
      </c>
      <c r="K623" s="1096"/>
      <c r="L623" s="1097" t="e">
        <f t="shared" si="49"/>
        <v>#REF!</v>
      </c>
      <c r="M623" s="1103"/>
      <c r="N623" s="1096"/>
      <c r="O623" s="1098"/>
      <c r="P623" s="1096"/>
      <c r="Q623" s="1107"/>
      <c r="R623" s="1104"/>
    </row>
    <row r="624" spans="1:18" s="1108" customFormat="1" ht="59.25" customHeight="1">
      <c r="A624" s="1138"/>
      <c r="B624" s="933" t="s">
        <v>4122</v>
      </c>
      <c r="C624" s="1106" t="e">
        <f>#REF!</f>
        <v>#REF!</v>
      </c>
      <c r="D624" s="943" t="s">
        <v>306</v>
      </c>
      <c r="E624" s="1103"/>
      <c r="F624" s="1097" t="e">
        <f t="shared" si="46"/>
        <v>#REF!</v>
      </c>
      <c r="G624" s="1103"/>
      <c r="H624" s="1097" t="e">
        <f t="shared" si="47"/>
        <v>#REF!</v>
      </c>
      <c r="I624" s="1103"/>
      <c r="J624" s="1097" t="e">
        <f t="shared" si="48"/>
        <v>#REF!</v>
      </c>
      <c r="K624" s="1096"/>
      <c r="L624" s="1097" t="e">
        <f t="shared" si="49"/>
        <v>#REF!</v>
      </c>
      <c r="M624" s="1103"/>
      <c r="N624" s="1096"/>
      <c r="O624" s="1098"/>
      <c r="P624" s="1096"/>
      <c r="Q624" s="1107"/>
      <c r="R624" s="1104"/>
    </row>
    <row r="625" spans="1:18" s="1108" customFormat="1" ht="59.25" customHeight="1">
      <c r="A625" s="1138"/>
      <c r="B625" s="933" t="s">
        <v>4123</v>
      </c>
      <c r="C625" s="1106" t="e">
        <f>#REF!</f>
        <v>#REF!</v>
      </c>
      <c r="D625" s="943" t="s">
        <v>306</v>
      </c>
      <c r="E625" s="1096"/>
      <c r="F625" s="1097" t="e">
        <f t="shared" si="46"/>
        <v>#REF!</v>
      </c>
      <c r="G625" s="1096"/>
      <c r="H625" s="1097" t="e">
        <f t="shared" si="47"/>
        <v>#REF!</v>
      </c>
      <c r="I625" s="1096"/>
      <c r="J625" s="1097" t="e">
        <f t="shared" si="48"/>
        <v>#REF!</v>
      </c>
      <c r="K625" s="1096"/>
      <c r="L625" s="1097" t="e">
        <f t="shared" si="49"/>
        <v>#REF!</v>
      </c>
      <c r="M625" s="1096"/>
      <c r="N625" s="1096"/>
      <c r="O625" s="1098"/>
      <c r="P625" s="1096"/>
      <c r="Q625" s="1107"/>
      <c r="R625" s="1099"/>
    </row>
    <row r="626" spans="1:18" s="1108" customFormat="1" ht="64.5" customHeight="1">
      <c r="A626" s="1138"/>
      <c r="B626" s="1289" t="s">
        <v>4124</v>
      </c>
      <c r="C626" s="1106" t="e">
        <f>#REF!</f>
        <v>#REF!</v>
      </c>
      <c r="D626" s="943" t="s">
        <v>306</v>
      </c>
      <c r="E626" s="1103"/>
      <c r="F626" s="1097" t="e">
        <f t="shared" si="46"/>
        <v>#REF!</v>
      </c>
      <c r="G626" s="1103"/>
      <c r="H626" s="1097" t="e">
        <f t="shared" si="47"/>
        <v>#REF!</v>
      </c>
      <c r="I626" s="1103"/>
      <c r="J626" s="1097" t="e">
        <f t="shared" si="48"/>
        <v>#REF!</v>
      </c>
      <c r="K626" s="1096"/>
      <c r="L626" s="1097" t="e">
        <f t="shared" si="49"/>
        <v>#REF!</v>
      </c>
      <c r="M626" s="1103"/>
      <c r="N626" s="1096"/>
      <c r="O626" s="1098"/>
      <c r="P626" s="1096"/>
      <c r="Q626" s="1107"/>
      <c r="R626" s="1104"/>
    </row>
    <row r="627" spans="1:18" s="1108" customFormat="1" ht="64.5" customHeight="1">
      <c r="A627" s="1138"/>
      <c r="B627" s="1290" t="s">
        <v>4125</v>
      </c>
      <c r="C627" s="1204">
        <f>'[1]Sliding and french window'!G219</f>
        <v>27750</v>
      </c>
      <c r="D627" s="1205" t="s">
        <v>340</v>
      </c>
      <c r="E627" s="1103"/>
      <c r="F627" s="1097">
        <f t="shared" si="46"/>
        <v>0</v>
      </c>
      <c r="G627" s="1103"/>
      <c r="H627" s="1097">
        <f t="shared" si="47"/>
        <v>0</v>
      </c>
      <c r="I627" s="1103"/>
      <c r="J627" s="1097">
        <f t="shared" si="48"/>
        <v>0</v>
      </c>
      <c r="K627" s="1096"/>
      <c r="L627" s="1097">
        <f t="shared" si="49"/>
        <v>0</v>
      </c>
      <c r="M627" s="1103"/>
      <c r="N627" s="1096"/>
      <c r="O627" s="1098"/>
      <c r="P627" s="1096"/>
      <c r="Q627" s="1107"/>
      <c r="R627" s="1104"/>
    </row>
    <row r="628" spans="1:18" s="1108" customFormat="1" ht="59.25" customHeight="1">
      <c r="A628" s="1138"/>
      <c r="B628" s="1263" t="s">
        <v>4126</v>
      </c>
      <c r="E628" s="1103"/>
      <c r="F628" s="1097">
        <f t="shared" si="46"/>
        <v>0</v>
      </c>
      <c r="G628" s="1103"/>
      <c r="H628" s="1097">
        <f t="shared" si="47"/>
        <v>0</v>
      </c>
      <c r="I628" s="1103"/>
      <c r="J628" s="1097">
        <f t="shared" si="48"/>
        <v>0</v>
      </c>
      <c r="K628" s="1096"/>
      <c r="L628" s="1097">
        <f t="shared" si="49"/>
        <v>0</v>
      </c>
      <c r="M628" s="1103"/>
      <c r="N628" s="1096"/>
      <c r="O628" s="1098"/>
      <c r="P628" s="1096"/>
      <c r="Q628" s="1107"/>
      <c r="R628" s="1104"/>
    </row>
    <row r="629" spans="1:18" s="1108" customFormat="1" ht="59.25" customHeight="1">
      <c r="A629" s="1138"/>
      <c r="B629" s="933" t="s">
        <v>4127</v>
      </c>
      <c r="C629" s="1106" t="e">
        <f>#REF!</f>
        <v>#REF!</v>
      </c>
      <c r="D629" s="943" t="s">
        <v>306</v>
      </c>
      <c r="E629" s="1103"/>
      <c r="F629" s="1097" t="e">
        <f t="shared" si="46"/>
        <v>#REF!</v>
      </c>
      <c r="G629" s="1103"/>
      <c r="H629" s="1097" t="e">
        <f t="shared" si="47"/>
        <v>#REF!</v>
      </c>
      <c r="I629" s="1103"/>
      <c r="J629" s="1097" t="e">
        <f t="shared" si="48"/>
        <v>#REF!</v>
      </c>
      <c r="K629" s="1096"/>
      <c r="L629" s="1097" t="e">
        <f t="shared" si="49"/>
        <v>#REF!</v>
      </c>
      <c r="M629" s="1103"/>
      <c r="N629" s="1096"/>
      <c r="O629" s="1098"/>
      <c r="P629" s="1096"/>
      <c r="Q629" s="1107"/>
      <c r="R629" s="1104"/>
    </row>
    <row r="630" spans="1:18" s="1108" customFormat="1" ht="70.5" customHeight="1">
      <c r="A630" s="1138"/>
      <c r="B630" s="933" t="s">
        <v>4128</v>
      </c>
      <c r="C630" s="1092" t="e">
        <f>#REF!</f>
        <v>#REF!</v>
      </c>
      <c r="D630" s="940" t="s">
        <v>306</v>
      </c>
      <c r="E630" s="1103"/>
      <c r="F630" s="1097" t="e">
        <f t="shared" si="46"/>
        <v>#REF!</v>
      </c>
      <c r="G630" s="1103"/>
      <c r="H630" s="1097" t="e">
        <f t="shared" si="47"/>
        <v>#REF!</v>
      </c>
      <c r="I630" s="1103"/>
      <c r="J630" s="1097" t="e">
        <f t="shared" si="48"/>
        <v>#REF!</v>
      </c>
      <c r="K630" s="1096"/>
      <c r="L630" s="1097" t="e">
        <f t="shared" si="49"/>
        <v>#REF!</v>
      </c>
      <c r="M630" s="1103"/>
      <c r="N630" s="1096"/>
      <c r="O630" s="1098"/>
      <c r="P630" s="1096"/>
      <c r="Q630" s="1107"/>
      <c r="R630" s="1104"/>
    </row>
    <row r="631" spans="1:18" ht="65.25" customHeight="1">
      <c r="A631" s="1092"/>
      <c r="B631" s="933" t="s">
        <v>4129</v>
      </c>
      <c r="C631" s="1096" t="e">
        <f>#REF!</f>
        <v>#REF!</v>
      </c>
      <c r="D631" s="940" t="s">
        <v>306</v>
      </c>
      <c r="E631" s="1096"/>
      <c r="F631" s="1097" t="e">
        <f t="shared" si="46"/>
        <v>#REF!</v>
      </c>
      <c r="G631" s="1096"/>
      <c r="H631" s="1097" t="e">
        <f t="shared" si="47"/>
        <v>#REF!</v>
      </c>
      <c r="I631" s="1096"/>
      <c r="J631" s="1097" t="e">
        <f t="shared" si="48"/>
        <v>#REF!</v>
      </c>
      <c r="K631" s="1096"/>
      <c r="L631" s="1097" t="e">
        <f t="shared" si="49"/>
        <v>#REF!</v>
      </c>
      <c r="M631" s="1096"/>
      <c r="N631" s="1096"/>
      <c r="O631" s="1098"/>
      <c r="P631" s="1096"/>
      <c r="Q631" s="1099"/>
      <c r="R631" s="1099"/>
    </row>
    <row r="632" spans="1:18" s="1108" customFormat="1" ht="82.5" customHeight="1">
      <c r="A632" s="1138"/>
      <c r="B632" s="933" t="s">
        <v>4130</v>
      </c>
      <c r="C632" s="1117" t="e">
        <f>#REF!</f>
        <v>#REF!</v>
      </c>
      <c r="D632" s="1117" t="s">
        <v>306</v>
      </c>
      <c r="E632" s="1103"/>
      <c r="F632" s="1097" t="e">
        <f t="shared" si="46"/>
        <v>#REF!</v>
      </c>
      <c r="G632" s="1103"/>
      <c r="H632" s="1097" t="e">
        <f t="shared" si="47"/>
        <v>#REF!</v>
      </c>
      <c r="I632" s="1103"/>
      <c r="J632" s="1097" t="e">
        <f t="shared" si="48"/>
        <v>#REF!</v>
      </c>
      <c r="K632" s="1096"/>
      <c r="L632" s="1097" t="e">
        <f t="shared" si="49"/>
        <v>#REF!</v>
      </c>
      <c r="M632" s="1103"/>
      <c r="N632" s="1096"/>
      <c r="O632" s="1098"/>
      <c r="P632" s="1096"/>
      <c r="Q632" s="1107"/>
      <c r="R632" s="1104"/>
    </row>
    <row r="633" spans="1:18" s="1108" customFormat="1" ht="73.900000000000006" customHeight="1">
      <c r="A633" s="1138"/>
      <c r="B633" s="933" t="s">
        <v>4131</v>
      </c>
      <c r="C633" s="1106"/>
      <c r="D633" s="943" t="s">
        <v>306</v>
      </c>
      <c r="E633" s="1103"/>
      <c r="F633" s="1097">
        <f t="shared" si="46"/>
        <v>0</v>
      </c>
      <c r="G633" s="1103"/>
      <c r="H633" s="1097">
        <f t="shared" si="47"/>
        <v>0</v>
      </c>
      <c r="I633" s="1103"/>
      <c r="J633" s="1097">
        <f t="shared" si="48"/>
        <v>0</v>
      </c>
      <c r="K633" s="1096"/>
      <c r="L633" s="1097">
        <f t="shared" si="49"/>
        <v>0</v>
      </c>
      <c r="M633" s="1103"/>
      <c r="N633" s="1096"/>
      <c r="O633" s="1098"/>
      <c r="P633" s="1096"/>
      <c r="Q633" s="1107"/>
      <c r="R633" s="1104"/>
    </row>
    <row r="634" spans="1:18" s="1108" customFormat="1" ht="73.900000000000006" customHeight="1">
      <c r="A634" s="1138"/>
      <c r="B634" s="933" t="str">
        <f>'INS- Detail '!B139</f>
        <v>Removing of doors and windows shutter etc.,PWD SOR P-22 Item No.29</v>
      </c>
      <c r="C634" s="1106">
        <v>168.56</v>
      </c>
      <c r="D634" s="943" t="s">
        <v>306</v>
      </c>
      <c r="E634" s="1096">
        <f>'Ins Abs'!Q45</f>
        <v>7.5</v>
      </c>
      <c r="F634" s="1097">
        <f t="shared" si="46"/>
        <v>1264.2</v>
      </c>
      <c r="G634" s="1096">
        <f>'SI Abs '!Q50</f>
        <v>24</v>
      </c>
      <c r="H634" s="1097">
        <f>'SI Abs '!R50</f>
        <v>4448.6400000000003</v>
      </c>
      <c r="I634" s="1096">
        <f>'PC Abs'!Q45</f>
        <v>21</v>
      </c>
      <c r="J634" s="1097">
        <f>'PC Abs'!R45</f>
        <v>3892.5600000000004</v>
      </c>
      <c r="K634" s="1096"/>
      <c r="L634" s="1097">
        <f t="shared" si="49"/>
        <v>0</v>
      </c>
      <c r="M634" s="1103"/>
      <c r="N634" s="1096"/>
      <c r="O634" s="1098">
        <f t="shared" ref="O634:O639" si="50">E634+G634+I634+K634</f>
        <v>52.5</v>
      </c>
      <c r="P634" s="1096">
        <f>O634*C634</f>
        <v>8849.4</v>
      </c>
      <c r="Q634" s="1107"/>
      <c r="R634" s="1104"/>
    </row>
    <row r="635" spans="1:18" ht="58.5" customHeight="1">
      <c r="A635" s="1090" t="s">
        <v>4132</v>
      </c>
      <c r="B635" s="933" t="s">
        <v>4133</v>
      </c>
      <c r="C635" s="1092" t="e">
        <f>#REF!</f>
        <v>#REF!</v>
      </c>
      <c r="D635" s="940" t="s">
        <v>306</v>
      </c>
      <c r="E635" s="1096">
        <f>'Ins Abs'!Q46</f>
        <v>7.5</v>
      </c>
      <c r="F635" s="1097" t="e">
        <f t="shared" si="46"/>
        <v>#REF!</v>
      </c>
      <c r="G635" s="1096">
        <f>'SI Abs '!Q51</f>
        <v>24</v>
      </c>
      <c r="H635" s="1097">
        <f>'SI Abs '!R51</f>
        <v>79800</v>
      </c>
      <c r="I635" s="1096">
        <f>'PC Abs'!Q46</f>
        <v>36</v>
      </c>
      <c r="J635" s="1097">
        <f>'PC Abs'!R46</f>
        <v>119700</v>
      </c>
      <c r="K635" s="1096"/>
      <c r="L635" s="1097" t="e">
        <f t="shared" si="49"/>
        <v>#REF!</v>
      </c>
      <c r="M635" s="1096"/>
      <c r="N635" s="1096"/>
      <c r="O635" s="1098">
        <f t="shared" si="50"/>
        <v>67.5</v>
      </c>
      <c r="P635" s="1096" t="e">
        <f>O635*C635</f>
        <v>#REF!</v>
      </c>
      <c r="Q635" s="1099"/>
      <c r="R635" s="1099"/>
    </row>
    <row r="636" spans="1:18" s="1105" customFormat="1" ht="66.75" customHeight="1">
      <c r="A636" s="1206" t="s">
        <v>4134</v>
      </c>
      <c r="B636" s="1265" t="s">
        <v>4135</v>
      </c>
      <c r="C636" s="1117" t="e">
        <f>ROUND(#REF!,2)</f>
        <v>#REF!</v>
      </c>
      <c r="D636" s="1118" t="s">
        <v>306</v>
      </c>
      <c r="E636" s="1096">
        <f>'Ins Abs'!Q47</f>
        <v>9</v>
      </c>
      <c r="F636" s="1097" t="e">
        <f t="shared" si="46"/>
        <v>#REF!</v>
      </c>
      <c r="G636" s="1096">
        <f>'SI Abs '!Q52</f>
        <v>7.25</v>
      </c>
      <c r="H636" s="1097">
        <f>'SI Abs '!R52</f>
        <v>6571.4</v>
      </c>
      <c r="I636" s="1096">
        <f>'PC Abs'!Q47</f>
        <v>20</v>
      </c>
      <c r="J636" s="1097">
        <f>'PC Abs'!R47</f>
        <v>18128</v>
      </c>
      <c r="K636" s="1096"/>
      <c r="L636" s="1097" t="e">
        <f t="shared" si="49"/>
        <v>#REF!</v>
      </c>
      <c r="M636" s="1103"/>
      <c r="N636" s="1096"/>
      <c r="O636" s="1098">
        <f t="shared" si="50"/>
        <v>36.25</v>
      </c>
      <c r="P636" s="1096" t="e">
        <f>O636*C636</f>
        <v>#REF!</v>
      </c>
      <c r="Q636" s="1104"/>
      <c r="R636" s="1104"/>
    </row>
    <row r="637" spans="1:18" s="1108" customFormat="1" ht="45.75" customHeight="1">
      <c r="A637" s="940"/>
      <c r="B637" s="1262" t="s">
        <v>4136</v>
      </c>
      <c r="C637" s="1106"/>
      <c r="D637" s="943"/>
      <c r="E637" s="1096">
        <f>'Ins Abs'!Q48</f>
        <v>0</v>
      </c>
      <c r="F637" s="1097">
        <f t="shared" si="46"/>
        <v>0</v>
      </c>
      <c r="G637" s="1096" t="e">
        <f>'SI Abs '!#REF!</f>
        <v>#REF!</v>
      </c>
      <c r="H637" s="1097" t="e">
        <f>'SI Abs '!#REF!</f>
        <v>#REF!</v>
      </c>
      <c r="I637" s="1096" t="e">
        <f>'PC Abs'!#REF!</f>
        <v>#REF!</v>
      </c>
      <c r="J637" s="1097" t="e">
        <f>'PC Abs'!#REF!</f>
        <v>#REF!</v>
      </c>
      <c r="K637" s="1096"/>
      <c r="L637" s="1097">
        <f t="shared" si="49"/>
        <v>0</v>
      </c>
      <c r="M637" s="1103"/>
      <c r="N637" s="1096"/>
      <c r="O637" s="1098" t="e">
        <f t="shared" si="50"/>
        <v>#REF!</v>
      </c>
      <c r="P637" s="1095" t="s">
        <v>2400</v>
      </c>
      <c r="Q637" s="1107"/>
      <c r="R637" s="1104"/>
    </row>
    <row r="638" spans="1:18" s="1108" customFormat="1" ht="39" customHeight="1">
      <c r="A638" s="940"/>
      <c r="B638" s="933" t="s">
        <v>3815</v>
      </c>
      <c r="C638" s="1106" t="e">
        <f>ROUND(#REF!,2)</f>
        <v>#REF!</v>
      </c>
      <c r="D638" s="943" t="s">
        <v>3798</v>
      </c>
      <c r="E638" s="1096">
        <f>'Ins Abs'!Q49</f>
        <v>3.15</v>
      </c>
      <c r="F638" s="1097" t="e">
        <f t="shared" si="46"/>
        <v>#REF!</v>
      </c>
      <c r="G638" s="1096" t="e">
        <f>'SI Abs '!#REF!</f>
        <v>#REF!</v>
      </c>
      <c r="H638" s="1097" t="e">
        <f>'SI Abs '!#REF!</f>
        <v>#REF!</v>
      </c>
      <c r="I638" s="1096" t="e">
        <f>'PC Abs'!#REF!</f>
        <v>#REF!</v>
      </c>
      <c r="J638" s="1097" t="e">
        <f>'PC Abs'!#REF!</f>
        <v>#REF!</v>
      </c>
      <c r="K638" s="1096"/>
      <c r="L638" s="1097" t="e">
        <f t="shared" si="49"/>
        <v>#REF!</v>
      </c>
      <c r="M638" s="1103"/>
      <c r="N638" s="1096"/>
      <c r="O638" s="1098" t="e">
        <f t="shared" si="50"/>
        <v>#REF!</v>
      </c>
      <c r="P638" s="1095" t="s">
        <v>2400</v>
      </c>
      <c r="Q638" s="1107"/>
      <c r="R638" s="1104"/>
    </row>
    <row r="639" spans="1:18" s="1108" customFormat="1" ht="39" customHeight="1">
      <c r="A639" s="940"/>
      <c r="B639" s="933" t="s">
        <v>3816</v>
      </c>
      <c r="C639" s="1106" t="e">
        <f>ROUND(#REF!,2)</f>
        <v>#REF!</v>
      </c>
      <c r="D639" s="943" t="s">
        <v>3798</v>
      </c>
      <c r="E639" s="1096">
        <f>'Ins Abs'!Q50</f>
        <v>2.1</v>
      </c>
      <c r="F639" s="1097" t="e">
        <f t="shared" si="46"/>
        <v>#REF!</v>
      </c>
      <c r="G639" s="1096" t="e">
        <f>'SI Abs '!#REF!</f>
        <v>#REF!</v>
      </c>
      <c r="H639" s="1097" t="e">
        <f>'SI Abs '!#REF!</f>
        <v>#REF!</v>
      </c>
      <c r="I639" s="1096" t="e">
        <f>'PC Abs'!#REF!</f>
        <v>#REF!</v>
      </c>
      <c r="J639" s="1097" t="e">
        <f>'PC Abs'!#REF!</f>
        <v>#REF!</v>
      </c>
      <c r="K639" s="1096"/>
      <c r="L639" s="1097" t="e">
        <f t="shared" si="49"/>
        <v>#REF!</v>
      </c>
      <c r="M639" s="1103"/>
      <c r="N639" s="1096"/>
      <c r="O639" s="1098" t="e">
        <f t="shared" si="50"/>
        <v>#REF!</v>
      </c>
      <c r="P639" s="1095" t="s">
        <v>2400</v>
      </c>
      <c r="Q639" s="1107"/>
      <c r="R639" s="1104"/>
    </row>
    <row r="640" spans="1:18" s="1108" customFormat="1" ht="39" customHeight="1">
      <c r="A640" s="940"/>
      <c r="B640" s="933" t="s">
        <v>3817</v>
      </c>
      <c r="C640" s="1106" t="e">
        <f>ROUND(#REF!,2)</f>
        <v>#REF!</v>
      </c>
      <c r="D640" s="943" t="s">
        <v>3798</v>
      </c>
      <c r="E640" s="1103"/>
      <c r="F640" s="1097" t="e">
        <f t="shared" si="46"/>
        <v>#REF!</v>
      </c>
      <c r="G640" s="1103"/>
      <c r="H640" s="1097" t="e">
        <f t="shared" si="47"/>
        <v>#REF!</v>
      </c>
      <c r="I640" s="1103"/>
      <c r="J640" s="1097" t="e">
        <f t="shared" si="48"/>
        <v>#REF!</v>
      </c>
      <c r="K640" s="1096"/>
      <c r="L640" s="1097" t="e">
        <f t="shared" si="49"/>
        <v>#REF!</v>
      </c>
      <c r="M640" s="1103"/>
      <c r="N640" s="1096"/>
      <c r="O640" s="1098"/>
      <c r="P640" s="1096"/>
      <c r="Q640" s="1107"/>
      <c r="R640" s="1104"/>
    </row>
    <row r="641" spans="1:19" s="1108" customFormat="1" ht="39" customHeight="1">
      <c r="A641" s="940"/>
      <c r="B641" s="933" t="s">
        <v>3818</v>
      </c>
      <c r="C641" s="1106" t="e">
        <f>ROUND(#REF!,2)</f>
        <v>#REF!</v>
      </c>
      <c r="D641" s="943" t="s">
        <v>3798</v>
      </c>
      <c r="E641" s="1103"/>
      <c r="F641" s="1097" t="e">
        <f t="shared" si="46"/>
        <v>#REF!</v>
      </c>
      <c r="G641" s="1103"/>
      <c r="H641" s="1097" t="e">
        <f t="shared" si="47"/>
        <v>#REF!</v>
      </c>
      <c r="I641" s="1103"/>
      <c r="J641" s="1097" t="e">
        <f t="shared" si="48"/>
        <v>#REF!</v>
      </c>
      <c r="K641" s="1096"/>
      <c r="L641" s="1097" t="e">
        <f t="shared" si="49"/>
        <v>#REF!</v>
      </c>
      <c r="M641" s="1103"/>
      <c r="N641" s="1096"/>
      <c r="O641" s="1098"/>
      <c r="P641" s="1096"/>
      <c r="Q641" s="1107"/>
      <c r="R641" s="1104"/>
    </row>
    <row r="642" spans="1:19" s="1108" customFormat="1" ht="36" customHeight="1">
      <c r="A642" s="1138"/>
      <c r="B642" s="933" t="s">
        <v>3819</v>
      </c>
      <c r="C642" s="1106" t="e">
        <f>ROUND(#REF!,2)</f>
        <v>#REF!</v>
      </c>
      <c r="D642" s="943" t="s">
        <v>3798</v>
      </c>
      <c r="E642" s="1103"/>
      <c r="F642" s="1097" t="e">
        <f t="shared" si="46"/>
        <v>#REF!</v>
      </c>
      <c r="G642" s="1103"/>
      <c r="H642" s="1097" t="e">
        <f t="shared" si="47"/>
        <v>#REF!</v>
      </c>
      <c r="I642" s="1103"/>
      <c r="J642" s="1097" t="e">
        <f t="shared" si="48"/>
        <v>#REF!</v>
      </c>
      <c r="K642" s="1096"/>
      <c r="L642" s="1097" t="e">
        <f t="shared" si="49"/>
        <v>#REF!</v>
      </c>
      <c r="M642" s="1103"/>
      <c r="N642" s="1096"/>
      <c r="O642" s="1098"/>
      <c r="P642" s="1096"/>
      <c r="Q642" s="1107"/>
      <c r="R642" s="1104"/>
    </row>
    <row r="643" spans="1:19" ht="54.95" customHeight="1">
      <c r="A643" s="1127"/>
      <c r="B643" s="1291" t="s">
        <v>4137</v>
      </c>
      <c r="C643" s="1106"/>
      <c r="D643" s="943"/>
      <c r="E643" s="1096"/>
      <c r="F643" s="1097">
        <f t="shared" si="46"/>
        <v>0</v>
      </c>
      <c r="G643" s="1096"/>
      <c r="H643" s="1097">
        <f t="shared" si="47"/>
        <v>0</v>
      </c>
      <c r="I643" s="1096"/>
      <c r="J643" s="1097">
        <f t="shared" si="48"/>
        <v>0</v>
      </c>
      <c r="K643" s="1096"/>
      <c r="L643" s="1097">
        <f t="shared" si="49"/>
        <v>0</v>
      </c>
      <c r="M643" s="1096"/>
      <c r="N643" s="1096"/>
      <c r="O643" s="1098"/>
      <c r="P643" s="1096"/>
      <c r="Q643" s="1122"/>
      <c r="R643" s="1099"/>
      <c r="S643" s="1123"/>
    </row>
    <row r="644" spans="1:19" s="1108" customFormat="1" ht="54.95" customHeight="1">
      <c r="A644" s="1138"/>
      <c r="B644" s="933" t="s">
        <v>4138</v>
      </c>
      <c r="C644" s="1106" t="e">
        <f>#REF!</f>
        <v>#REF!</v>
      </c>
      <c r="D644" s="943" t="s">
        <v>3798</v>
      </c>
      <c r="E644" s="1096"/>
      <c r="F644" s="1097" t="e">
        <f t="shared" si="46"/>
        <v>#REF!</v>
      </c>
      <c r="G644" s="1096"/>
      <c r="H644" s="1097" t="e">
        <f t="shared" si="47"/>
        <v>#REF!</v>
      </c>
      <c r="I644" s="1096"/>
      <c r="J644" s="1097" t="e">
        <f t="shared" si="48"/>
        <v>#REF!</v>
      </c>
      <c r="K644" s="1096"/>
      <c r="L644" s="1097" t="e">
        <f t="shared" si="49"/>
        <v>#REF!</v>
      </c>
      <c r="M644" s="1096"/>
      <c r="N644" s="1096"/>
      <c r="O644" s="1098"/>
      <c r="P644" s="1096"/>
      <c r="Q644" s="1107"/>
      <c r="R644" s="1099"/>
    </row>
    <row r="645" spans="1:19" s="1108" customFormat="1" ht="54.95" customHeight="1">
      <c r="A645" s="1138"/>
      <c r="B645" s="933" t="s">
        <v>3816</v>
      </c>
      <c r="C645" s="1106" t="e">
        <f>#REF!</f>
        <v>#REF!</v>
      </c>
      <c r="D645" s="943" t="s">
        <v>3798</v>
      </c>
      <c r="E645" s="1096"/>
      <c r="F645" s="1097" t="e">
        <f t="shared" si="46"/>
        <v>#REF!</v>
      </c>
      <c r="G645" s="1096"/>
      <c r="H645" s="1097" t="e">
        <f t="shared" si="47"/>
        <v>#REF!</v>
      </c>
      <c r="I645" s="1096"/>
      <c r="J645" s="1097" t="e">
        <f t="shared" si="48"/>
        <v>#REF!</v>
      </c>
      <c r="K645" s="1096"/>
      <c r="L645" s="1097" t="e">
        <f t="shared" si="49"/>
        <v>#REF!</v>
      </c>
      <c r="M645" s="1096"/>
      <c r="N645" s="1096"/>
      <c r="O645" s="1098"/>
      <c r="P645" s="1096"/>
      <c r="Q645" s="1107"/>
      <c r="R645" s="1099"/>
    </row>
    <row r="646" spans="1:19" s="1108" customFormat="1" ht="45.75" customHeight="1">
      <c r="A646" s="1138"/>
      <c r="B646" s="933" t="s">
        <v>3817</v>
      </c>
      <c r="C646" s="1106" t="e">
        <f>#REF!</f>
        <v>#REF!</v>
      </c>
      <c r="D646" s="943" t="s">
        <v>3798</v>
      </c>
      <c r="E646" s="1103"/>
      <c r="F646" s="1097" t="e">
        <f t="shared" si="46"/>
        <v>#REF!</v>
      </c>
      <c r="G646" s="1103"/>
      <c r="H646" s="1097" t="e">
        <f t="shared" si="47"/>
        <v>#REF!</v>
      </c>
      <c r="I646" s="1103"/>
      <c r="J646" s="1097" t="e">
        <f t="shared" si="48"/>
        <v>#REF!</v>
      </c>
      <c r="K646" s="1096"/>
      <c r="L646" s="1097" t="e">
        <f t="shared" si="49"/>
        <v>#REF!</v>
      </c>
      <c r="M646" s="1103"/>
      <c r="N646" s="1096"/>
      <c r="O646" s="1098"/>
      <c r="P646" s="1096"/>
      <c r="Q646" s="1107"/>
      <c r="R646" s="1104"/>
    </row>
    <row r="647" spans="1:19" s="1108" customFormat="1" ht="45.75" customHeight="1">
      <c r="A647" s="1138"/>
      <c r="B647" s="933" t="s">
        <v>3818</v>
      </c>
      <c r="C647" s="1106" t="e">
        <f>#REF!</f>
        <v>#REF!</v>
      </c>
      <c r="D647" s="943" t="s">
        <v>3798</v>
      </c>
      <c r="E647" s="1103"/>
      <c r="F647" s="1097" t="e">
        <f t="shared" si="46"/>
        <v>#REF!</v>
      </c>
      <c r="G647" s="1103"/>
      <c r="H647" s="1097" t="e">
        <f t="shared" si="47"/>
        <v>#REF!</v>
      </c>
      <c r="I647" s="1103"/>
      <c r="J647" s="1097" t="e">
        <f t="shared" si="48"/>
        <v>#REF!</v>
      </c>
      <c r="K647" s="1096"/>
      <c r="L647" s="1097" t="e">
        <f t="shared" si="49"/>
        <v>#REF!</v>
      </c>
      <c r="M647" s="1103"/>
      <c r="N647" s="1096"/>
      <c r="O647" s="1098"/>
      <c r="P647" s="1096"/>
      <c r="Q647" s="1107"/>
      <c r="R647" s="1104"/>
    </row>
    <row r="648" spans="1:19" s="1108" customFormat="1" ht="36" customHeight="1">
      <c r="A648" s="1138"/>
      <c r="B648" s="933" t="s">
        <v>3819</v>
      </c>
      <c r="C648" s="1106" t="e">
        <f>#REF!</f>
        <v>#REF!</v>
      </c>
      <c r="D648" s="943" t="s">
        <v>3798</v>
      </c>
      <c r="E648" s="1103"/>
      <c r="F648" s="1097" t="e">
        <f t="shared" si="46"/>
        <v>#REF!</v>
      </c>
      <c r="G648" s="1103"/>
      <c r="H648" s="1097" t="e">
        <f t="shared" si="47"/>
        <v>#REF!</v>
      </c>
      <c r="I648" s="1103"/>
      <c r="J648" s="1097" t="e">
        <f t="shared" si="48"/>
        <v>#REF!</v>
      </c>
      <c r="K648" s="1096"/>
      <c r="L648" s="1097" t="e">
        <f t="shared" si="49"/>
        <v>#REF!</v>
      </c>
      <c r="M648" s="1103"/>
      <c r="N648" s="1096"/>
      <c r="O648" s="1098"/>
      <c r="P648" s="1096"/>
      <c r="Q648" s="1107"/>
      <c r="R648" s="1104"/>
    </row>
    <row r="649" spans="1:19" ht="54.95" customHeight="1">
      <c r="A649" s="1127"/>
      <c r="B649" s="1291" t="s">
        <v>4139</v>
      </c>
      <c r="C649" s="1106"/>
      <c r="D649" s="943"/>
      <c r="E649" s="1096"/>
      <c r="F649" s="1097">
        <f t="shared" ref="F649:F712" si="51">C649*E649</f>
        <v>0</v>
      </c>
      <c r="G649" s="1096"/>
      <c r="H649" s="1097">
        <f t="shared" ref="H649:H712" si="52">C649*G649</f>
        <v>0</v>
      </c>
      <c r="I649" s="1096"/>
      <c r="J649" s="1097">
        <f t="shared" si="48"/>
        <v>0</v>
      </c>
      <c r="K649" s="1096"/>
      <c r="L649" s="1097">
        <f t="shared" si="49"/>
        <v>0</v>
      </c>
      <c r="M649" s="1096"/>
      <c r="N649" s="1096"/>
      <c r="O649" s="1098"/>
      <c r="P649" s="1096"/>
      <c r="Q649" s="1122"/>
      <c r="R649" s="1099"/>
      <c r="S649" s="1123"/>
    </row>
    <row r="650" spans="1:19" s="1108" customFormat="1" ht="37.5" customHeight="1">
      <c r="A650" s="1138"/>
      <c r="B650" s="933" t="s">
        <v>3815</v>
      </c>
      <c r="C650" s="1106" t="e">
        <f>#REF!</f>
        <v>#REF!</v>
      </c>
      <c r="D650" s="943" t="s">
        <v>3798</v>
      </c>
      <c r="E650" s="1096"/>
      <c r="F650" s="1097" t="e">
        <f t="shared" si="51"/>
        <v>#REF!</v>
      </c>
      <c r="G650" s="1096"/>
      <c r="H650" s="1097" t="e">
        <f t="shared" si="52"/>
        <v>#REF!</v>
      </c>
      <c r="I650" s="1096"/>
      <c r="J650" s="1097" t="e">
        <f t="shared" si="48"/>
        <v>#REF!</v>
      </c>
      <c r="K650" s="1096"/>
      <c r="L650" s="1097" t="e">
        <f t="shared" si="49"/>
        <v>#REF!</v>
      </c>
      <c r="M650" s="1096"/>
      <c r="N650" s="1096"/>
      <c r="O650" s="1098"/>
      <c r="P650" s="1096"/>
      <c r="Q650" s="1107"/>
      <c r="R650" s="1099"/>
    </row>
    <row r="651" spans="1:19" s="1108" customFormat="1" ht="37.5" customHeight="1">
      <c r="A651" s="1138"/>
      <c r="B651" s="933" t="s">
        <v>3816</v>
      </c>
      <c r="C651" s="1106" t="e">
        <f>#REF!</f>
        <v>#REF!</v>
      </c>
      <c r="D651" s="943" t="s">
        <v>3798</v>
      </c>
      <c r="E651" s="1096"/>
      <c r="F651" s="1097" t="e">
        <f t="shared" si="51"/>
        <v>#REF!</v>
      </c>
      <c r="G651" s="1096"/>
      <c r="H651" s="1097" t="e">
        <f t="shared" si="52"/>
        <v>#REF!</v>
      </c>
      <c r="I651" s="1096"/>
      <c r="J651" s="1097" t="e">
        <f t="shared" si="48"/>
        <v>#REF!</v>
      </c>
      <c r="K651" s="1096"/>
      <c r="L651" s="1097" t="e">
        <f t="shared" si="49"/>
        <v>#REF!</v>
      </c>
      <c r="M651" s="1096"/>
      <c r="N651" s="1096"/>
      <c r="O651" s="1098"/>
      <c r="P651" s="1096"/>
      <c r="Q651" s="1107"/>
      <c r="R651" s="1099"/>
    </row>
    <row r="652" spans="1:19" s="1108" customFormat="1" ht="37.5" customHeight="1">
      <c r="A652" s="1138"/>
      <c r="B652" s="933" t="s">
        <v>3817</v>
      </c>
      <c r="C652" s="1106" t="e">
        <f>#REF!</f>
        <v>#REF!</v>
      </c>
      <c r="D652" s="943" t="s">
        <v>3798</v>
      </c>
      <c r="E652" s="1103"/>
      <c r="F652" s="1097" t="e">
        <f t="shared" si="51"/>
        <v>#REF!</v>
      </c>
      <c r="G652" s="1103"/>
      <c r="H652" s="1097" t="e">
        <f t="shared" si="52"/>
        <v>#REF!</v>
      </c>
      <c r="I652" s="1103"/>
      <c r="J652" s="1097" t="e">
        <f t="shared" si="48"/>
        <v>#REF!</v>
      </c>
      <c r="K652" s="1096"/>
      <c r="L652" s="1097" t="e">
        <f t="shared" si="49"/>
        <v>#REF!</v>
      </c>
      <c r="M652" s="1103"/>
      <c r="N652" s="1096"/>
      <c r="O652" s="1098"/>
      <c r="P652" s="1096"/>
      <c r="Q652" s="1107"/>
      <c r="R652" s="1104"/>
    </row>
    <row r="653" spans="1:19" s="1108" customFormat="1" ht="36" customHeight="1">
      <c r="A653" s="1138"/>
      <c r="B653" s="933" t="s">
        <v>3818</v>
      </c>
      <c r="C653" s="1106" t="e">
        <f>#REF!</f>
        <v>#REF!</v>
      </c>
      <c r="D653" s="943" t="s">
        <v>3798</v>
      </c>
      <c r="E653" s="1103"/>
      <c r="F653" s="1097" t="e">
        <f t="shared" si="51"/>
        <v>#REF!</v>
      </c>
      <c r="G653" s="1103"/>
      <c r="H653" s="1097" t="e">
        <f t="shared" si="52"/>
        <v>#REF!</v>
      </c>
      <c r="I653" s="1103"/>
      <c r="J653" s="1097" t="e">
        <f t="shared" si="48"/>
        <v>#REF!</v>
      </c>
      <c r="K653" s="1096"/>
      <c r="L653" s="1097" t="e">
        <f t="shared" si="49"/>
        <v>#REF!</v>
      </c>
      <c r="M653" s="1103"/>
      <c r="N653" s="1096"/>
      <c r="O653" s="1098"/>
      <c r="P653" s="1096"/>
      <c r="Q653" s="1107"/>
      <c r="R653" s="1104"/>
    </row>
    <row r="654" spans="1:19" s="1108" customFormat="1" ht="36" customHeight="1">
      <c r="A654" s="1138"/>
      <c r="B654" s="933" t="s">
        <v>3819</v>
      </c>
      <c r="C654" s="1106" t="e">
        <f>#REF!</f>
        <v>#REF!</v>
      </c>
      <c r="D654" s="943"/>
      <c r="E654" s="1103"/>
      <c r="F654" s="1097" t="e">
        <f t="shared" si="51"/>
        <v>#REF!</v>
      </c>
      <c r="G654" s="1103"/>
      <c r="H654" s="1097" t="e">
        <f t="shared" si="52"/>
        <v>#REF!</v>
      </c>
      <c r="I654" s="1103"/>
      <c r="J654" s="1097" t="e">
        <f t="shared" si="48"/>
        <v>#REF!</v>
      </c>
      <c r="K654" s="1096"/>
      <c r="L654" s="1097" t="e">
        <f t="shared" si="49"/>
        <v>#REF!</v>
      </c>
      <c r="M654" s="1103"/>
      <c r="N654" s="1096"/>
      <c r="O654" s="1098"/>
      <c r="P654" s="1096"/>
      <c r="Q654" s="1107"/>
      <c r="R654" s="1104"/>
    </row>
    <row r="655" spans="1:19" s="1108" customFormat="1" ht="45.75" customHeight="1">
      <c r="A655" s="1138"/>
      <c r="B655" s="1262" t="s">
        <v>4140</v>
      </c>
      <c r="C655" s="1106"/>
      <c r="D655" s="943"/>
      <c r="E655" s="1103"/>
      <c r="F655" s="1097">
        <f t="shared" si="51"/>
        <v>0</v>
      </c>
      <c r="G655" s="1103"/>
      <c r="H655" s="1097">
        <f t="shared" si="52"/>
        <v>0</v>
      </c>
      <c r="I655" s="1103"/>
      <c r="J655" s="1097">
        <f t="shared" si="48"/>
        <v>0</v>
      </c>
      <c r="K655" s="1096"/>
      <c r="L655" s="1097">
        <f t="shared" si="49"/>
        <v>0</v>
      </c>
      <c r="M655" s="1103"/>
      <c r="N655" s="1096"/>
      <c r="O655" s="1098"/>
      <c r="P655" s="1096"/>
      <c r="Q655" s="1107"/>
      <c r="R655" s="1104"/>
    </row>
    <row r="656" spans="1:19" s="1108" customFormat="1" ht="40.5" customHeight="1">
      <c r="A656" s="1138"/>
      <c r="B656" s="933" t="s">
        <v>3815</v>
      </c>
      <c r="C656" s="1106" t="e">
        <f>#REF!</f>
        <v>#REF!</v>
      </c>
      <c r="D656" s="943" t="s">
        <v>3798</v>
      </c>
      <c r="E656" s="1103"/>
      <c r="F656" s="1097" t="e">
        <f t="shared" si="51"/>
        <v>#REF!</v>
      </c>
      <c r="G656" s="1103"/>
      <c r="H656" s="1097" t="e">
        <f t="shared" si="52"/>
        <v>#REF!</v>
      </c>
      <c r="I656" s="1103"/>
      <c r="J656" s="1097" t="e">
        <f t="shared" si="48"/>
        <v>#REF!</v>
      </c>
      <c r="K656" s="1096"/>
      <c r="L656" s="1097" t="e">
        <f t="shared" si="49"/>
        <v>#REF!</v>
      </c>
      <c r="M656" s="1103"/>
      <c r="N656" s="1096"/>
      <c r="O656" s="1098"/>
      <c r="P656" s="1096"/>
      <c r="Q656" s="1107"/>
      <c r="R656" s="1104"/>
    </row>
    <row r="657" spans="1:18" s="1108" customFormat="1" ht="40.5" customHeight="1">
      <c r="A657" s="1138"/>
      <c r="B657" s="933" t="s">
        <v>3816</v>
      </c>
      <c r="C657" s="1106" t="e">
        <f>#REF!</f>
        <v>#REF!</v>
      </c>
      <c r="D657" s="943" t="s">
        <v>3798</v>
      </c>
      <c r="E657" s="1103"/>
      <c r="F657" s="1097" t="e">
        <f t="shared" si="51"/>
        <v>#REF!</v>
      </c>
      <c r="G657" s="1103"/>
      <c r="H657" s="1097" t="e">
        <f t="shared" si="52"/>
        <v>#REF!</v>
      </c>
      <c r="I657" s="1103"/>
      <c r="J657" s="1097" t="e">
        <f t="shared" si="48"/>
        <v>#REF!</v>
      </c>
      <c r="K657" s="1096"/>
      <c r="L657" s="1097" t="e">
        <f t="shared" si="49"/>
        <v>#REF!</v>
      </c>
      <c r="M657" s="1103"/>
      <c r="N657" s="1096"/>
      <c r="O657" s="1098"/>
      <c r="P657" s="1096"/>
      <c r="Q657" s="1107"/>
      <c r="R657" s="1104"/>
    </row>
    <row r="658" spans="1:18" s="1108" customFormat="1" ht="40.5" customHeight="1">
      <c r="A658" s="1138"/>
      <c r="B658" s="933" t="s">
        <v>3817</v>
      </c>
      <c r="C658" s="1106" t="e">
        <f>#REF!</f>
        <v>#REF!</v>
      </c>
      <c r="D658" s="943" t="s">
        <v>3798</v>
      </c>
      <c r="E658" s="1103"/>
      <c r="F658" s="1097" t="e">
        <f t="shared" si="51"/>
        <v>#REF!</v>
      </c>
      <c r="G658" s="1103"/>
      <c r="H658" s="1097" t="e">
        <f t="shared" si="52"/>
        <v>#REF!</v>
      </c>
      <c r="I658" s="1103"/>
      <c r="J658" s="1097" t="e">
        <f t="shared" si="48"/>
        <v>#REF!</v>
      </c>
      <c r="K658" s="1096"/>
      <c r="L658" s="1097" t="e">
        <f t="shared" si="49"/>
        <v>#REF!</v>
      </c>
      <c r="M658" s="1103"/>
      <c r="N658" s="1096"/>
      <c r="O658" s="1098"/>
      <c r="P658" s="1096"/>
      <c r="Q658" s="1107"/>
      <c r="R658" s="1104"/>
    </row>
    <row r="659" spans="1:18" s="1108" customFormat="1" ht="25.5" customHeight="1">
      <c r="A659" s="1138"/>
      <c r="B659" s="933" t="s">
        <v>3818</v>
      </c>
      <c r="C659" s="1106" t="e">
        <f>#REF!</f>
        <v>#REF!</v>
      </c>
      <c r="D659" s="943" t="s">
        <v>3798</v>
      </c>
      <c r="E659" s="1103"/>
      <c r="F659" s="1097" t="e">
        <f t="shared" si="51"/>
        <v>#REF!</v>
      </c>
      <c r="G659" s="1103"/>
      <c r="H659" s="1097" t="e">
        <f t="shared" si="52"/>
        <v>#REF!</v>
      </c>
      <c r="I659" s="1103"/>
      <c r="J659" s="1097" t="e">
        <f t="shared" si="48"/>
        <v>#REF!</v>
      </c>
      <c r="K659" s="1096"/>
      <c r="L659" s="1097" t="e">
        <f t="shared" si="49"/>
        <v>#REF!</v>
      </c>
      <c r="M659" s="1103"/>
      <c r="N659" s="1096"/>
      <c r="O659" s="1098"/>
      <c r="P659" s="1096"/>
      <c r="Q659" s="1107"/>
      <c r="R659" s="1104"/>
    </row>
    <row r="660" spans="1:18" s="1108" customFormat="1" ht="25.5" customHeight="1">
      <c r="A660" s="1138"/>
      <c r="B660" s="933" t="s">
        <v>3819</v>
      </c>
      <c r="C660" s="1106" t="e">
        <f>#REF!</f>
        <v>#REF!</v>
      </c>
      <c r="D660" s="943" t="s">
        <v>3798</v>
      </c>
      <c r="E660" s="1103"/>
      <c r="F660" s="1097" t="e">
        <f t="shared" si="51"/>
        <v>#REF!</v>
      </c>
      <c r="G660" s="1103"/>
      <c r="H660" s="1097" t="e">
        <f t="shared" si="52"/>
        <v>#REF!</v>
      </c>
      <c r="I660" s="1103"/>
      <c r="J660" s="1097" t="e">
        <f t="shared" si="48"/>
        <v>#REF!</v>
      </c>
      <c r="K660" s="1096"/>
      <c r="L660" s="1097" t="e">
        <f t="shared" si="49"/>
        <v>#REF!</v>
      </c>
      <c r="M660" s="1103"/>
      <c r="N660" s="1096"/>
      <c r="O660" s="1098"/>
      <c r="P660" s="1096"/>
      <c r="Q660" s="1107"/>
      <c r="R660" s="1104"/>
    </row>
    <row r="661" spans="1:18" ht="54.95" customHeight="1">
      <c r="A661" s="1090">
        <v>29.8</v>
      </c>
      <c r="B661" s="933" t="s">
        <v>4141</v>
      </c>
      <c r="C661" s="1092" t="e">
        <f>ROUND(#REF!,2)</f>
        <v>#REF!</v>
      </c>
      <c r="D661" s="940" t="s">
        <v>306</v>
      </c>
      <c r="E661" s="1096">
        <f>'Ins Abs'!Q51</f>
        <v>30.45</v>
      </c>
      <c r="F661" s="1097" t="e">
        <f>C661*E661</f>
        <v>#REF!</v>
      </c>
      <c r="G661" s="1096">
        <f>'SI Abs '!Q53</f>
        <v>44.7</v>
      </c>
      <c r="H661" s="1097">
        <f>'SI Abs '!R53</f>
        <v>74805.353870967752</v>
      </c>
      <c r="I661" s="1096">
        <f>'PC Abs'!Q48</f>
        <v>134</v>
      </c>
      <c r="J661" s="1097">
        <f>'PC Abs'!R48</f>
        <v>224248.71182795698</v>
      </c>
      <c r="K661" s="1096"/>
      <c r="L661" s="1097" t="e">
        <f t="shared" si="49"/>
        <v>#REF!</v>
      </c>
      <c r="M661" s="1096"/>
      <c r="N661" s="1096"/>
      <c r="O661" s="1098">
        <f>E661+G661+I661+K661</f>
        <v>209.15</v>
      </c>
      <c r="P661" s="1096" t="e">
        <f>O661*C661</f>
        <v>#REF!</v>
      </c>
      <c r="Q661" s="1099"/>
      <c r="R661" s="1099"/>
    </row>
    <row r="662" spans="1:18" s="1108" customFormat="1" ht="39.75" customHeight="1">
      <c r="A662" s="1119"/>
      <c r="B662" s="935" t="s">
        <v>4142</v>
      </c>
      <c r="C662" s="1120" t="e">
        <f>ROUND(#REF!,2)</f>
        <v>#REF!</v>
      </c>
      <c r="D662" s="1121" t="s">
        <v>306</v>
      </c>
      <c r="E662" s="1103"/>
      <c r="F662" s="1097" t="e">
        <f t="shared" si="51"/>
        <v>#REF!</v>
      </c>
      <c r="G662" s="1103"/>
      <c r="H662" s="1097" t="e">
        <f t="shared" si="52"/>
        <v>#REF!</v>
      </c>
      <c r="I662" s="1103"/>
      <c r="J662" s="1097" t="e">
        <f t="shared" si="48"/>
        <v>#REF!</v>
      </c>
      <c r="K662" s="1096"/>
      <c r="L662" s="1097" t="e">
        <f t="shared" si="49"/>
        <v>#REF!</v>
      </c>
      <c r="M662" s="1103"/>
      <c r="N662" s="1096"/>
      <c r="O662" s="1098"/>
      <c r="P662" s="1096"/>
      <c r="Q662" s="1107"/>
      <c r="R662" s="1104"/>
    </row>
    <row r="663" spans="1:18" ht="56.25" customHeight="1">
      <c r="A663" s="1090">
        <v>29.9</v>
      </c>
      <c r="B663" s="933" t="s">
        <v>4143</v>
      </c>
      <c r="C663" s="1092" t="e">
        <f>ROUND(#REF!,2)</f>
        <v>#REF!</v>
      </c>
      <c r="D663" s="940" t="s">
        <v>306</v>
      </c>
      <c r="E663" s="1096">
        <f>'Ins Abs'!Q52</f>
        <v>12.95</v>
      </c>
      <c r="F663" s="1097" t="e">
        <f>C663*E663</f>
        <v>#REF!</v>
      </c>
      <c r="G663" s="1096">
        <f>'SI Abs '!Q54</f>
        <v>17.3</v>
      </c>
      <c r="H663" s="1097">
        <f>'SI Abs '!R54</f>
        <v>25200.576110000002</v>
      </c>
      <c r="I663" s="1096">
        <f>'PC Abs'!Q49</f>
        <v>57.3</v>
      </c>
      <c r="J663" s="1097">
        <f>'PC Abs'!R49</f>
        <v>83467.804109999997</v>
      </c>
      <c r="K663" s="1096"/>
      <c r="L663" s="1097" t="e">
        <f t="shared" si="49"/>
        <v>#REF!</v>
      </c>
      <c r="M663" s="1096"/>
      <c r="N663" s="1096"/>
      <c r="O663" s="1098">
        <f>E663+G663+I663+K663</f>
        <v>87.55</v>
      </c>
      <c r="P663" s="1096" t="e">
        <f>O663*C663</f>
        <v>#REF!</v>
      </c>
      <c r="Q663" s="1099"/>
      <c r="R663" s="1099"/>
    </row>
    <row r="664" spans="1:18" s="1105" customFormat="1" ht="44.25" customHeight="1">
      <c r="A664" s="1100">
        <v>38.4</v>
      </c>
      <c r="B664" s="1265" t="s">
        <v>4144</v>
      </c>
      <c r="C664" s="1102" t="e">
        <f>#REF!</f>
        <v>#REF!</v>
      </c>
      <c r="D664" s="1101" t="s">
        <v>306</v>
      </c>
      <c r="E664" s="1103"/>
      <c r="F664" s="1097" t="e">
        <f t="shared" si="51"/>
        <v>#REF!</v>
      </c>
      <c r="G664" s="1103"/>
      <c r="H664" s="1097" t="e">
        <f t="shared" si="52"/>
        <v>#REF!</v>
      </c>
      <c r="I664" s="1103"/>
      <c r="J664" s="1097" t="e">
        <f t="shared" si="48"/>
        <v>#REF!</v>
      </c>
      <c r="K664" s="1096"/>
      <c r="L664" s="1097" t="e">
        <f t="shared" si="49"/>
        <v>#REF!</v>
      </c>
      <c r="M664" s="1103"/>
      <c r="N664" s="1096"/>
      <c r="O664" s="1098"/>
      <c r="P664" s="1096"/>
      <c r="Q664" s="1104"/>
      <c r="R664" s="1104"/>
    </row>
    <row r="665" spans="1:18" s="1108" customFormat="1" ht="60" customHeight="1">
      <c r="A665" s="1090">
        <v>38.5</v>
      </c>
      <c r="B665" s="933" t="s">
        <v>2024</v>
      </c>
      <c r="C665" s="1106" t="e">
        <f>ROUND(#REF!,2)</f>
        <v>#REF!</v>
      </c>
      <c r="D665" s="943" t="s">
        <v>306</v>
      </c>
      <c r="E665" s="1103"/>
      <c r="F665" s="1097" t="e">
        <f t="shared" si="51"/>
        <v>#REF!</v>
      </c>
      <c r="G665" s="1103"/>
      <c r="H665" s="1097" t="e">
        <f t="shared" si="52"/>
        <v>#REF!</v>
      </c>
      <c r="I665" s="1103"/>
      <c r="J665" s="1097" t="e">
        <f t="shared" si="48"/>
        <v>#REF!</v>
      </c>
      <c r="K665" s="1096"/>
      <c r="L665" s="1097" t="e">
        <f t="shared" si="49"/>
        <v>#REF!</v>
      </c>
      <c r="M665" s="1103"/>
      <c r="N665" s="1096"/>
      <c r="O665" s="1098"/>
      <c r="P665" s="1096"/>
      <c r="Q665" s="1107"/>
      <c r="R665" s="1104"/>
    </row>
    <row r="666" spans="1:18" ht="63" customHeight="1">
      <c r="A666" s="1090">
        <v>38.6</v>
      </c>
      <c r="B666" s="933" t="s">
        <v>4145</v>
      </c>
      <c r="C666" s="1092" t="e">
        <f>ROUND(#REF!,2)</f>
        <v>#REF!</v>
      </c>
      <c r="D666" s="940" t="s">
        <v>306</v>
      </c>
      <c r="E666" s="1096"/>
      <c r="F666" s="1097" t="e">
        <f t="shared" si="51"/>
        <v>#REF!</v>
      </c>
      <c r="G666" s="1096"/>
      <c r="H666" s="1097" t="e">
        <f t="shared" si="52"/>
        <v>#REF!</v>
      </c>
      <c r="I666" s="1096"/>
      <c r="J666" s="1097" t="e">
        <f t="shared" ref="J666:J729" si="53">I666*C666</f>
        <v>#REF!</v>
      </c>
      <c r="K666" s="1096"/>
      <c r="L666" s="1097" t="e">
        <f t="shared" ref="L666:L729" si="54">K666*C666</f>
        <v>#REF!</v>
      </c>
      <c r="M666" s="1096"/>
      <c r="N666" s="1096"/>
      <c r="O666" s="1098"/>
      <c r="P666" s="1096"/>
      <c r="Q666" s="1099"/>
      <c r="R666" s="1099"/>
    </row>
    <row r="667" spans="1:18" s="1108" customFormat="1" ht="73.5" customHeight="1">
      <c r="A667" s="1119">
        <v>42</v>
      </c>
      <c r="B667" s="935" t="s">
        <v>4146</v>
      </c>
      <c r="C667" s="1120" t="e">
        <f>ROUND(#REF!,2)</f>
        <v>#REF!</v>
      </c>
      <c r="D667" s="1121" t="s">
        <v>277</v>
      </c>
      <c r="E667" s="1103"/>
      <c r="F667" s="1097" t="e">
        <f t="shared" si="51"/>
        <v>#REF!</v>
      </c>
      <c r="G667" s="1103"/>
      <c r="H667" s="1097" t="e">
        <f t="shared" si="52"/>
        <v>#REF!</v>
      </c>
      <c r="I667" s="1103"/>
      <c r="J667" s="1097" t="e">
        <f t="shared" si="53"/>
        <v>#REF!</v>
      </c>
      <c r="K667" s="1096"/>
      <c r="L667" s="1097" t="e">
        <f t="shared" si="54"/>
        <v>#REF!</v>
      </c>
      <c r="M667" s="1103"/>
      <c r="N667" s="1096"/>
      <c r="O667" s="1098"/>
      <c r="P667" s="1096"/>
      <c r="Q667" s="1107"/>
      <c r="R667" s="1104"/>
    </row>
    <row r="668" spans="1:18" s="1105" customFormat="1" ht="66" customHeight="1">
      <c r="A668" s="1129">
        <v>43</v>
      </c>
      <c r="B668" s="1265" t="s">
        <v>4147</v>
      </c>
      <c r="C668" s="1117" t="e">
        <f>ROUND(#REF!,2)</f>
        <v>#REF!</v>
      </c>
      <c r="D668" s="1118" t="s">
        <v>277</v>
      </c>
      <c r="E668" s="1096">
        <f>'Ins Abs'!Q53</f>
        <v>0</v>
      </c>
      <c r="F668" s="1097" t="e">
        <f t="shared" si="51"/>
        <v>#REF!</v>
      </c>
      <c r="G668" s="1096">
        <f>'SI Abs '!Q55</f>
        <v>0</v>
      </c>
      <c r="H668" s="1097">
        <f>'SI Abs '!R55</f>
        <v>0</v>
      </c>
      <c r="I668" s="1096" t="e">
        <f>'PC Abs'!#REF!</f>
        <v>#REF!</v>
      </c>
      <c r="J668" s="1097" t="e">
        <f>'PC Abs'!#REF!</f>
        <v>#REF!</v>
      </c>
      <c r="K668" s="1096"/>
      <c r="L668" s="1097" t="e">
        <f t="shared" si="54"/>
        <v>#REF!</v>
      </c>
      <c r="M668" s="1207"/>
      <c r="N668" s="1096"/>
      <c r="O668" s="1098"/>
      <c r="P668" s="1095"/>
      <c r="Q668" s="1104"/>
      <c r="R668" s="1104"/>
    </row>
    <row r="669" spans="1:18" s="1105" customFormat="1" ht="65.25" customHeight="1">
      <c r="A669" s="1129">
        <v>44.6</v>
      </c>
      <c r="B669" s="1265" t="s">
        <v>4148</v>
      </c>
      <c r="C669" s="1117" t="e">
        <f>ROUND(#REF!,2)</f>
        <v>#REF!</v>
      </c>
      <c r="D669" s="1118" t="s">
        <v>303</v>
      </c>
      <c r="E669" s="1096">
        <f>'Ins Abs'!Q54</f>
        <v>72</v>
      </c>
      <c r="F669" s="1097" t="e">
        <f t="shared" si="51"/>
        <v>#REF!</v>
      </c>
      <c r="G669" s="1096" t="e">
        <f>'SI Abs '!#REF!</f>
        <v>#REF!</v>
      </c>
      <c r="H669" s="1097" t="e">
        <f>'SI Abs '!#REF!</f>
        <v>#REF!</v>
      </c>
      <c r="I669" s="1096" t="e">
        <f>'PC Abs'!#REF!</f>
        <v>#REF!</v>
      </c>
      <c r="J669" s="1097" t="e">
        <f>'PC Abs'!#REF!</f>
        <v>#REF!</v>
      </c>
      <c r="K669" s="1096"/>
      <c r="L669" s="1097" t="e">
        <f t="shared" si="54"/>
        <v>#REF!</v>
      </c>
      <c r="M669" s="1103"/>
      <c r="N669" s="1096"/>
      <c r="O669" s="1098" t="e">
        <f t="shared" ref="O669:O670" si="55">E669+G669+I669+K669</f>
        <v>#REF!</v>
      </c>
      <c r="P669" s="1096" t="e">
        <f>O669*C669</f>
        <v>#REF!</v>
      </c>
      <c r="Q669" s="1104"/>
      <c r="R669" s="1104"/>
    </row>
    <row r="670" spans="1:18" s="1105" customFormat="1" ht="47.25" customHeight="1">
      <c r="A670" s="1129">
        <v>50.6</v>
      </c>
      <c r="B670" s="1265" t="s">
        <v>4149</v>
      </c>
      <c r="C670" s="1117" t="e">
        <f>ROUND(#REF!,2)</f>
        <v>#REF!</v>
      </c>
      <c r="D670" s="1118" t="s">
        <v>306</v>
      </c>
      <c r="E670" s="1096">
        <f>'Ins Abs'!Q55</f>
        <v>45</v>
      </c>
      <c r="F670" s="1097" t="e">
        <f t="shared" si="51"/>
        <v>#REF!</v>
      </c>
      <c r="G670" s="1096">
        <f>'SI Abs '!Q56</f>
        <v>72</v>
      </c>
      <c r="H670" s="1097">
        <f>'SI Abs '!R56</f>
        <v>37024.825139999986</v>
      </c>
      <c r="I670" s="1096">
        <f>'PC Abs'!Q50</f>
        <v>34.199999999999996</v>
      </c>
      <c r="J670" s="1097">
        <f>'PC Abs'!R50</f>
        <v>17586.791941499989</v>
      </c>
      <c r="K670" s="1096"/>
      <c r="L670" s="1097" t="e">
        <f t="shared" si="54"/>
        <v>#REF!</v>
      </c>
      <c r="M670" s="1103"/>
      <c r="N670" s="1096"/>
      <c r="O670" s="1098">
        <f t="shared" si="55"/>
        <v>151.19999999999999</v>
      </c>
      <c r="P670" s="1096" t="e">
        <f>O670*C670</f>
        <v>#REF!</v>
      </c>
      <c r="Q670" s="1104"/>
      <c r="R670" s="1104"/>
    </row>
    <row r="671" spans="1:18" s="1105" customFormat="1" ht="63.75" customHeight="1">
      <c r="A671" s="1129">
        <v>52.4</v>
      </c>
      <c r="B671" s="1265" t="s">
        <v>4150</v>
      </c>
      <c r="C671" s="1117" t="e">
        <f>ROUND(#REF!,2)</f>
        <v>#REF!</v>
      </c>
      <c r="D671" s="1118" t="s">
        <v>303</v>
      </c>
      <c r="E671" s="1103"/>
      <c r="F671" s="1097" t="e">
        <f t="shared" si="51"/>
        <v>#REF!</v>
      </c>
      <c r="G671" s="1103"/>
      <c r="H671" s="1097" t="e">
        <f t="shared" si="52"/>
        <v>#REF!</v>
      </c>
      <c r="I671" s="1103"/>
      <c r="J671" s="1097" t="e">
        <f t="shared" si="53"/>
        <v>#REF!</v>
      </c>
      <c r="K671" s="1096"/>
      <c r="L671" s="1097" t="e">
        <f t="shared" si="54"/>
        <v>#REF!</v>
      </c>
      <c r="M671" s="1103"/>
      <c r="N671" s="1096"/>
      <c r="O671" s="1098"/>
      <c r="P671" s="1096"/>
      <c r="Q671" s="1104"/>
      <c r="R671" s="1104"/>
    </row>
    <row r="672" spans="1:18" ht="55.5" customHeight="1">
      <c r="A672" s="1090">
        <v>53.4</v>
      </c>
      <c r="B672" s="933" t="s">
        <v>4151</v>
      </c>
      <c r="C672" s="1092" t="e">
        <f>#REF!</f>
        <v>#REF!</v>
      </c>
      <c r="D672" s="940" t="s">
        <v>340</v>
      </c>
      <c r="E672" s="1096"/>
      <c r="F672" s="1097" t="e">
        <f t="shared" si="51"/>
        <v>#REF!</v>
      </c>
      <c r="G672" s="1096"/>
      <c r="H672" s="1097" t="e">
        <f t="shared" si="52"/>
        <v>#REF!</v>
      </c>
      <c r="I672" s="1096"/>
      <c r="J672" s="1097" t="e">
        <f t="shared" si="53"/>
        <v>#REF!</v>
      </c>
      <c r="K672" s="1096"/>
      <c r="L672" s="1097" t="e">
        <f t="shared" si="54"/>
        <v>#REF!</v>
      </c>
      <c r="M672" s="1096"/>
      <c r="N672" s="1096"/>
      <c r="O672" s="1098"/>
      <c r="P672" s="1096"/>
      <c r="Q672" s="1099"/>
      <c r="R672" s="1099"/>
    </row>
    <row r="673" spans="1:19" ht="60.75" customHeight="1">
      <c r="A673" s="1090"/>
      <c r="B673" s="933" t="s">
        <v>4152</v>
      </c>
      <c r="C673" s="1092" t="e">
        <f>#REF!</f>
        <v>#REF!</v>
      </c>
      <c r="D673" s="940" t="s">
        <v>340</v>
      </c>
      <c r="E673" s="1096"/>
      <c r="F673" s="1097" t="e">
        <f t="shared" si="51"/>
        <v>#REF!</v>
      </c>
      <c r="G673" s="1096"/>
      <c r="H673" s="1097" t="e">
        <f t="shared" si="52"/>
        <v>#REF!</v>
      </c>
      <c r="I673" s="1096"/>
      <c r="J673" s="1097" t="e">
        <f t="shared" si="53"/>
        <v>#REF!</v>
      </c>
      <c r="K673" s="1096"/>
      <c r="L673" s="1097" t="e">
        <f t="shared" si="54"/>
        <v>#REF!</v>
      </c>
      <c r="M673" s="1096"/>
      <c r="N673" s="1096"/>
      <c r="O673" s="1098"/>
      <c r="P673" s="1096"/>
      <c r="Q673" s="1099"/>
      <c r="R673" s="1099"/>
    </row>
    <row r="674" spans="1:19" s="1108" customFormat="1" ht="88.5" customHeight="1">
      <c r="A674" s="1119">
        <v>54.3</v>
      </c>
      <c r="B674" s="935" t="s">
        <v>4153</v>
      </c>
      <c r="C674" s="1120" t="e">
        <f>ROUND(#REF!,2)</f>
        <v>#REF!</v>
      </c>
      <c r="D674" s="1121" t="s">
        <v>340</v>
      </c>
      <c r="E674" s="1103"/>
      <c r="F674" s="1097" t="e">
        <f t="shared" si="51"/>
        <v>#REF!</v>
      </c>
      <c r="G674" s="1103"/>
      <c r="H674" s="1097" t="e">
        <f t="shared" si="52"/>
        <v>#REF!</v>
      </c>
      <c r="I674" s="1103"/>
      <c r="J674" s="1097" t="e">
        <f t="shared" si="53"/>
        <v>#REF!</v>
      </c>
      <c r="K674" s="1096"/>
      <c r="L674" s="1097" t="e">
        <f t="shared" si="54"/>
        <v>#REF!</v>
      </c>
      <c r="M674" s="1103"/>
      <c r="N674" s="1096"/>
      <c r="O674" s="1098"/>
      <c r="P674" s="1096"/>
      <c r="Q674" s="1107"/>
      <c r="R674" s="1104"/>
    </row>
    <row r="675" spans="1:19" s="1108" customFormat="1" ht="72.75" customHeight="1">
      <c r="A675" s="1090">
        <v>56.3</v>
      </c>
      <c r="B675" s="933" t="s">
        <v>354</v>
      </c>
      <c r="C675" s="1106" t="e">
        <f>ROUND(#REF!,2)</f>
        <v>#REF!</v>
      </c>
      <c r="D675" s="943" t="s">
        <v>340</v>
      </c>
      <c r="E675" s="1096">
        <f>'Ins Abs'!Q56</f>
        <v>3</v>
      </c>
      <c r="F675" s="1097" t="e">
        <f t="shared" si="51"/>
        <v>#REF!</v>
      </c>
      <c r="G675" s="1096">
        <f>'SI Abs '!Q57</f>
        <v>5</v>
      </c>
      <c r="H675" s="1097">
        <f>'SI Abs '!R57</f>
        <v>20259.665115</v>
      </c>
      <c r="I675" s="1096">
        <f>'PC Abs'!Q51</f>
        <v>12</v>
      </c>
      <c r="J675" s="1097">
        <f>'PC Abs'!R51</f>
        <v>48623.196276000002</v>
      </c>
      <c r="K675" s="1096"/>
      <c r="L675" s="1097" t="e">
        <f t="shared" si="54"/>
        <v>#REF!</v>
      </c>
      <c r="M675" s="1103"/>
      <c r="N675" s="1096"/>
      <c r="O675" s="1098">
        <f t="shared" ref="O675:O679" si="56">E675+G675+I675+K675</f>
        <v>20</v>
      </c>
      <c r="P675" s="1096" t="e">
        <f>O675*C675</f>
        <v>#REF!</v>
      </c>
      <c r="Q675" s="1107"/>
      <c r="R675" s="1104"/>
    </row>
    <row r="676" spans="1:19" s="1108" customFormat="1" ht="86.25" customHeight="1">
      <c r="A676" s="1109">
        <v>56.4</v>
      </c>
      <c r="B676" s="1259" t="s">
        <v>355</v>
      </c>
      <c r="C676" s="1111" t="e">
        <f>ROUND(#REF!,2)</f>
        <v>#REF!</v>
      </c>
      <c r="D676" s="1112" t="s">
        <v>340</v>
      </c>
      <c r="E676" s="1096">
        <f>'Ins Abs'!Q57</f>
        <v>2</v>
      </c>
      <c r="F676" s="1097" t="e">
        <f t="shared" si="51"/>
        <v>#REF!</v>
      </c>
      <c r="G676" s="1096">
        <f>'SI Abs '!Q58</f>
        <v>3</v>
      </c>
      <c r="H676" s="1097">
        <f>'SI Abs '!R58</f>
        <v>19828.868169000005</v>
      </c>
      <c r="I676" s="1096">
        <f>'PC Abs'!Q52</f>
        <v>12</v>
      </c>
      <c r="J676" s="1097">
        <f>'PC Abs'!R52</f>
        <v>79315.472676000019</v>
      </c>
      <c r="K676" s="1114"/>
      <c r="L676" s="1097" t="e">
        <f t="shared" si="54"/>
        <v>#REF!</v>
      </c>
      <c r="M676" s="1113"/>
      <c r="N676" s="1096"/>
      <c r="O676" s="1098">
        <f t="shared" si="56"/>
        <v>17</v>
      </c>
      <c r="P676" s="1096" t="e">
        <f>O676*C676</f>
        <v>#REF!</v>
      </c>
      <c r="Q676" s="1107"/>
      <c r="R676" s="1104"/>
    </row>
    <row r="677" spans="1:19" ht="48" customHeight="1">
      <c r="A677" s="1090">
        <v>58.3</v>
      </c>
      <c r="B677" s="1262" t="s">
        <v>4154</v>
      </c>
      <c r="C677" s="1092"/>
      <c r="D677" s="1208"/>
      <c r="E677" s="1096">
        <f>'Ins Abs'!Q58</f>
        <v>0</v>
      </c>
      <c r="F677" s="1097">
        <f t="shared" si="51"/>
        <v>0</v>
      </c>
      <c r="G677" s="1096">
        <f>'SI Abs '!Q59</f>
        <v>0</v>
      </c>
      <c r="H677" s="1097">
        <f>'SI Abs '!R59</f>
        <v>0</v>
      </c>
      <c r="I677" s="1096">
        <f>'PC Abs'!Q53</f>
        <v>0</v>
      </c>
      <c r="J677" s="1097">
        <f>'PC Abs'!R53</f>
        <v>0</v>
      </c>
      <c r="K677" s="1096"/>
      <c r="L677" s="1097">
        <f t="shared" si="54"/>
        <v>0</v>
      </c>
      <c r="M677" s="1096"/>
      <c r="N677" s="1096"/>
      <c r="O677" s="1098">
        <f t="shared" si="56"/>
        <v>0</v>
      </c>
      <c r="P677" s="1095" t="s">
        <v>2400</v>
      </c>
      <c r="Q677" s="1122"/>
      <c r="R677" s="1099"/>
      <c r="S677" s="1123"/>
    </row>
    <row r="678" spans="1:19" ht="48" customHeight="1">
      <c r="A678" s="1090"/>
      <c r="B678" s="933" t="s">
        <v>3980</v>
      </c>
      <c r="C678" s="1092" t="e">
        <f>ROUND(#REF!,2)</f>
        <v>#REF!</v>
      </c>
      <c r="D678" s="940" t="s">
        <v>303</v>
      </c>
      <c r="E678" s="1096">
        <f>'Ins Abs'!Q59</f>
        <v>24</v>
      </c>
      <c r="F678" s="1097" t="e">
        <f t="shared" si="51"/>
        <v>#REF!</v>
      </c>
      <c r="G678" s="1096">
        <f>'SI Abs '!Q60</f>
        <v>96</v>
      </c>
      <c r="H678" s="1097">
        <f>'SI Abs '!R60</f>
        <v>81736.319999999992</v>
      </c>
      <c r="I678" s="1096">
        <f>'PC Abs'!Q54</f>
        <v>48</v>
      </c>
      <c r="J678" s="1097">
        <f>'PC Abs'!R54</f>
        <v>40868.159999999996</v>
      </c>
      <c r="K678" s="1096"/>
      <c r="L678" s="1097" t="e">
        <f t="shared" si="54"/>
        <v>#REF!</v>
      </c>
      <c r="M678" s="1096"/>
      <c r="N678" s="1096"/>
      <c r="O678" s="1098">
        <f t="shared" si="56"/>
        <v>168</v>
      </c>
      <c r="P678" s="1096" t="e">
        <f>O678*C678</f>
        <v>#REF!</v>
      </c>
      <c r="Q678" s="1099"/>
      <c r="R678" s="1099"/>
    </row>
    <row r="679" spans="1:19" ht="48" customHeight="1">
      <c r="A679" s="1092"/>
      <c r="B679" s="933" t="s">
        <v>3981</v>
      </c>
      <c r="C679" s="1092" t="e">
        <f>ROUND(#REF!,2)</f>
        <v>#REF!</v>
      </c>
      <c r="D679" s="940" t="s">
        <v>303</v>
      </c>
      <c r="E679" s="1096">
        <f>'Ins Abs'!Q60</f>
        <v>36</v>
      </c>
      <c r="F679" s="1097" t="e">
        <f t="shared" si="51"/>
        <v>#REF!</v>
      </c>
      <c r="G679" s="1096">
        <f>'SI Abs '!Q61</f>
        <v>48</v>
      </c>
      <c r="H679" s="1097">
        <f>'SI Abs '!R61</f>
        <v>35237.599999999999</v>
      </c>
      <c r="I679" s="1096">
        <f>'PC Abs'!Q55</f>
        <v>72</v>
      </c>
      <c r="J679" s="1097">
        <f>'PC Abs'!R55</f>
        <v>52856.4</v>
      </c>
      <c r="K679" s="1096"/>
      <c r="L679" s="1097" t="e">
        <f t="shared" si="54"/>
        <v>#REF!</v>
      </c>
      <c r="M679" s="1096"/>
      <c r="N679" s="1096"/>
      <c r="O679" s="1098">
        <f t="shared" si="56"/>
        <v>156</v>
      </c>
      <c r="P679" s="1096" t="e">
        <f>O679*C679</f>
        <v>#REF!</v>
      </c>
      <c r="Q679" s="1099"/>
      <c r="R679" s="1099"/>
    </row>
    <row r="680" spans="1:19" ht="78.75" customHeight="1">
      <c r="A680" s="1090">
        <v>58.4</v>
      </c>
      <c r="B680" s="933" t="s">
        <v>4155</v>
      </c>
      <c r="C680" s="1092" t="e">
        <f>ROUND(#REF!,2)</f>
        <v>#REF!</v>
      </c>
      <c r="D680" s="1208" t="s">
        <v>303</v>
      </c>
      <c r="E680" s="1096"/>
      <c r="F680" s="1097" t="e">
        <f t="shared" si="51"/>
        <v>#REF!</v>
      </c>
      <c r="G680" s="1096"/>
      <c r="H680" s="1097" t="e">
        <f t="shared" si="52"/>
        <v>#REF!</v>
      </c>
      <c r="I680" s="1096"/>
      <c r="J680" s="1097" t="e">
        <f t="shared" si="53"/>
        <v>#REF!</v>
      </c>
      <c r="K680" s="1096"/>
      <c r="L680" s="1097" t="e">
        <f t="shared" si="54"/>
        <v>#REF!</v>
      </c>
      <c r="M680" s="1096"/>
      <c r="N680" s="1096"/>
      <c r="O680" s="1098"/>
      <c r="P680" s="1096"/>
      <c r="Q680" s="1099"/>
      <c r="R680" s="1099"/>
    </row>
    <row r="681" spans="1:19" s="1105" customFormat="1" ht="67.5" customHeight="1">
      <c r="A681" s="1129">
        <v>58.5</v>
      </c>
      <c r="B681" s="1265" t="s">
        <v>4156</v>
      </c>
      <c r="C681" s="1117" t="e">
        <f>ROUND(#REF!,2)</f>
        <v>#REF!</v>
      </c>
      <c r="D681" s="1209" t="s">
        <v>340</v>
      </c>
      <c r="E681" s="1103"/>
      <c r="F681" s="1097" t="e">
        <f t="shared" si="51"/>
        <v>#REF!</v>
      </c>
      <c r="G681" s="1103"/>
      <c r="H681" s="1097" t="e">
        <f t="shared" si="52"/>
        <v>#REF!</v>
      </c>
      <c r="I681" s="1103"/>
      <c r="J681" s="1097" t="e">
        <f t="shared" si="53"/>
        <v>#REF!</v>
      </c>
      <c r="K681" s="1096"/>
      <c r="L681" s="1097" t="e">
        <f t="shared" si="54"/>
        <v>#REF!</v>
      </c>
      <c r="M681" s="1103"/>
      <c r="N681" s="1096"/>
      <c r="O681" s="1098"/>
      <c r="P681" s="1096"/>
      <c r="Q681" s="1104"/>
      <c r="R681" s="1104"/>
    </row>
    <row r="682" spans="1:19" s="1105" customFormat="1" ht="98.25" customHeight="1">
      <c r="A682" s="1129"/>
      <c r="B682" s="1263" t="s">
        <v>4157</v>
      </c>
      <c r="C682" s="1117"/>
      <c r="D682" s="1209"/>
      <c r="E682" s="1103"/>
      <c r="F682" s="1097">
        <f t="shared" si="51"/>
        <v>0</v>
      </c>
      <c r="G682" s="1103"/>
      <c r="H682" s="1097">
        <f t="shared" si="52"/>
        <v>0</v>
      </c>
      <c r="I682" s="1103"/>
      <c r="J682" s="1097">
        <f t="shared" si="53"/>
        <v>0</v>
      </c>
      <c r="K682" s="1096"/>
      <c r="L682" s="1097">
        <f t="shared" si="54"/>
        <v>0</v>
      </c>
      <c r="M682" s="1103"/>
      <c r="N682" s="1096"/>
      <c r="O682" s="1098"/>
      <c r="P682" s="1096"/>
      <c r="Q682" s="1104"/>
      <c r="R682" s="1104"/>
    </row>
    <row r="683" spans="1:19" s="1105" customFormat="1" ht="47.25" customHeight="1">
      <c r="A683" s="1129"/>
      <c r="B683" s="1265" t="s">
        <v>4000</v>
      </c>
      <c r="C683" s="1117" t="e">
        <f>#REF!</f>
        <v>#REF!</v>
      </c>
      <c r="D683" s="1117" t="s">
        <v>340</v>
      </c>
      <c r="E683" s="1096"/>
      <c r="F683" s="1097" t="e">
        <f t="shared" si="51"/>
        <v>#REF!</v>
      </c>
      <c r="G683" s="1103"/>
      <c r="H683" s="1097" t="e">
        <f t="shared" si="52"/>
        <v>#REF!</v>
      </c>
      <c r="I683" s="1103"/>
      <c r="J683" s="1097" t="e">
        <f t="shared" si="53"/>
        <v>#REF!</v>
      </c>
      <c r="K683" s="1096"/>
      <c r="L683" s="1097" t="e">
        <f t="shared" si="54"/>
        <v>#REF!</v>
      </c>
      <c r="M683" s="1103"/>
      <c r="N683" s="1096"/>
      <c r="O683" s="1098"/>
      <c r="P683" s="1096"/>
      <c r="Q683" s="1104"/>
      <c r="R683" s="1104"/>
    </row>
    <row r="684" spans="1:19" s="1105" customFormat="1" ht="47.25" customHeight="1">
      <c r="A684" s="1129"/>
      <c r="B684" s="1265" t="s">
        <v>4001</v>
      </c>
      <c r="C684" s="1117" t="e">
        <f>#REF!</f>
        <v>#REF!</v>
      </c>
      <c r="D684" s="1117" t="s">
        <v>340</v>
      </c>
      <c r="E684" s="1096"/>
      <c r="F684" s="1097" t="e">
        <f t="shared" si="51"/>
        <v>#REF!</v>
      </c>
      <c r="G684" s="1103"/>
      <c r="H684" s="1097" t="e">
        <f t="shared" si="52"/>
        <v>#REF!</v>
      </c>
      <c r="I684" s="1103"/>
      <c r="J684" s="1097" t="e">
        <f t="shared" si="53"/>
        <v>#REF!</v>
      </c>
      <c r="K684" s="1096"/>
      <c r="L684" s="1097" t="e">
        <f t="shared" si="54"/>
        <v>#REF!</v>
      </c>
      <c r="M684" s="1103"/>
      <c r="N684" s="1096"/>
      <c r="O684" s="1098"/>
      <c r="P684" s="1096"/>
      <c r="Q684" s="1104"/>
      <c r="R684" s="1104"/>
    </row>
    <row r="685" spans="1:19" s="1105" customFormat="1" ht="47.25" customHeight="1">
      <c r="A685" s="1117"/>
      <c r="B685" s="1265" t="s">
        <v>4002</v>
      </c>
      <c r="C685" s="1117" t="e">
        <f>#REF!</f>
        <v>#REF!</v>
      </c>
      <c r="D685" s="1117" t="s">
        <v>340</v>
      </c>
      <c r="E685" s="1096"/>
      <c r="F685" s="1097" t="e">
        <f t="shared" si="51"/>
        <v>#REF!</v>
      </c>
      <c r="G685" s="1103"/>
      <c r="H685" s="1097" t="e">
        <f t="shared" si="52"/>
        <v>#REF!</v>
      </c>
      <c r="I685" s="1103"/>
      <c r="J685" s="1097" t="e">
        <f t="shared" si="53"/>
        <v>#REF!</v>
      </c>
      <c r="K685" s="1096"/>
      <c r="L685" s="1097" t="e">
        <f t="shared" si="54"/>
        <v>#REF!</v>
      </c>
      <c r="M685" s="1103"/>
      <c r="N685" s="1096"/>
      <c r="O685" s="1098"/>
      <c r="P685" s="1096"/>
      <c r="Q685" s="1104"/>
      <c r="R685" s="1104"/>
    </row>
    <row r="686" spans="1:19" s="1105" customFormat="1" ht="96" customHeight="1">
      <c r="A686" s="1129">
        <v>65.099999999999994</v>
      </c>
      <c r="B686" s="1265" t="s">
        <v>4158</v>
      </c>
      <c r="C686" s="1117" t="e">
        <f>#REF!</f>
        <v>#REF!</v>
      </c>
      <c r="D686" s="1117" t="s">
        <v>340</v>
      </c>
      <c r="E686" s="1096"/>
      <c r="F686" s="1097" t="e">
        <f t="shared" si="51"/>
        <v>#REF!</v>
      </c>
      <c r="G686" s="1103"/>
      <c r="H686" s="1097" t="e">
        <f t="shared" si="52"/>
        <v>#REF!</v>
      </c>
      <c r="I686" s="1103"/>
      <c r="J686" s="1097" t="e">
        <f t="shared" si="53"/>
        <v>#REF!</v>
      </c>
      <c r="K686" s="1096"/>
      <c r="L686" s="1097" t="e">
        <f t="shared" si="54"/>
        <v>#REF!</v>
      </c>
      <c r="M686" s="1103"/>
      <c r="N686" s="1096"/>
      <c r="O686" s="1098"/>
      <c r="P686" s="1096"/>
      <c r="Q686" s="1104"/>
      <c r="R686" s="1104"/>
    </row>
    <row r="687" spans="1:19" s="1105" customFormat="1" ht="109.9" customHeight="1">
      <c r="A687" s="1129">
        <v>66.099999999999994</v>
      </c>
      <c r="B687" s="1265" t="s">
        <v>4159</v>
      </c>
      <c r="C687" s="1117" t="e">
        <f>#REF!</f>
        <v>#REF!</v>
      </c>
      <c r="D687" s="1117" t="s">
        <v>340</v>
      </c>
      <c r="E687" s="1096">
        <f>'Ins Abs'!Q61</f>
        <v>4</v>
      </c>
      <c r="F687" s="1097" t="e">
        <f>C687*E687</f>
        <v>#REF!</v>
      </c>
      <c r="G687" s="1096">
        <f>'SI Abs '!Q62</f>
        <v>0</v>
      </c>
      <c r="H687" s="1097">
        <f>'SI Abs '!R62</f>
        <v>0</v>
      </c>
      <c r="I687" s="1096">
        <f>'PC Abs'!Q56</f>
        <v>6</v>
      </c>
      <c r="J687" s="1097">
        <f>'PC Abs'!R56</f>
        <v>18311.990000000002</v>
      </c>
      <c r="K687" s="1096"/>
      <c r="L687" s="1097" t="e">
        <f t="shared" si="54"/>
        <v>#REF!</v>
      </c>
      <c r="M687" s="1103"/>
      <c r="N687" s="1096"/>
      <c r="O687" s="1098">
        <f>E687+G687+I687+K687</f>
        <v>10</v>
      </c>
      <c r="P687" s="1096" t="e">
        <f>O687*C687</f>
        <v>#REF!</v>
      </c>
      <c r="Q687" s="1104"/>
      <c r="R687" s="1104"/>
    </row>
    <row r="688" spans="1:19" s="1105" customFormat="1" ht="115.9" customHeight="1">
      <c r="A688" s="1129"/>
      <c r="B688" s="1265" t="s">
        <v>4160</v>
      </c>
      <c r="C688" s="1117" t="e">
        <f>#REF!</f>
        <v>#REF!</v>
      </c>
      <c r="D688" s="1117" t="s">
        <v>340</v>
      </c>
      <c r="F688" s="1097" t="e">
        <f t="shared" si="51"/>
        <v>#REF!</v>
      </c>
      <c r="G688" s="1096"/>
      <c r="H688" s="1097" t="e">
        <f t="shared" si="52"/>
        <v>#REF!</v>
      </c>
      <c r="I688" s="1103"/>
      <c r="J688" s="1097" t="e">
        <f t="shared" si="53"/>
        <v>#REF!</v>
      </c>
      <c r="K688" s="1096"/>
      <c r="L688" s="1097" t="e">
        <f t="shared" si="54"/>
        <v>#REF!</v>
      </c>
      <c r="M688" s="1103"/>
      <c r="N688" s="1096"/>
      <c r="O688" s="1098"/>
      <c r="P688" s="1096"/>
      <c r="Q688" s="1104"/>
      <c r="R688" s="1104"/>
    </row>
    <row r="689" spans="1:18" s="1105" customFormat="1" ht="125.25" customHeight="1">
      <c r="A689" s="1129">
        <v>68.2</v>
      </c>
      <c r="B689" s="1265" t="s">
        <v>4161</v>
      </c>
      <c r="C689" s="1117" t="e">
        <f>#REF!</f>
        <v>#REF!</v>
      </c>
      <c r="D689" s="1117" t="s">
        <v>340</v>
      </c>
      <c r="F689" s="1097" t="e">
        <f t="shared" si="51"/>
        <v>#REF!</v>
      </c>
      <c r="G689" s="1096"/>
      <c r="H689" s="1097" t="e">
        <f t="shared" si="52"/>
        <v>#REF!</v>
      </c>
      <c r="I689" s="1103"/>
      <c r="J689" s="1097" t="e">
        <f t="shared" si="53"/>
        <v>#REF!</v>
      </c>
      <c r="K689" s="1096"/>
      <c r="L689" s="1097" t="e">
        <f t="shared" si="54"/>
        <v>#REF!</v>
      </c>
      <c r="M689" s="1103"/>
      <c r="N689" s="1096"/>
      <c r="O689" s="1098"/>
      <c r="P689" s="1096"/>
      <c r="Q689" s="1104"/>
      <c r="R689" s="1104"/>
    </row>
    <row r="690" spans="1:18" s="1108" customFormat="1" ht="60.75" customHeight="1">
      <c r="A690" s="1090">
        <v>70.5</v>
      </c>
      <c r="B690" s="933" t="s">
        <v>4162</v>
      </c>
      <c r="C690" s="1092" t="e">
        <f>#REF!</f>
        <v>#REF!</v>
      </c>
      <c r="D690" s="1092" t="s">
        <v>340</v>
      </c>
      <c r="F690" s="1097" t="e">
        <f t="shared" si="51"/>
        <v>#REF!</v>
      </c>
      <c r="G690" s="1103"/>
      <c r="H690" s="1097" t="e">
        <f t="shared" si="52"/>
        <v>#REF!</v>
      </c>
      <c r="I690" s="1103"/>
      <c r="J690" s="1097" t="e">
        <f t="shared" si="53"/>
        <v>#REF!</v>
      </c>
      <c r="K690" s="1096"/>
      <c r="L690" s="1097" t="e">
        <f t="shared" si="54"/>
        <v>#REF!</v>
      </c>
      <c r="M690" s="1103"/>
      <c r="N690" s="1096"/>
      <c r="O690" s="1098"/>
      <c r="P690" s="1096"/>
      <c r="Q690" s="1107"/>
      <c r="R690" s="1104"/>
    </row>
    <row r="691" spans="1:18" ht="63.75" customHeight="1">
      <c r="A691" s="1092"/>
      <c r="B691" s="933" t="s">
        <v>4163</v>
      </c>
      <c r="C691" s="1092" t="e">
        <f>ROUND(#REF!,2)</f>
        <v>#REF!</v>
      </c>
      <c r="D691" s="1092" t="s">
        <v>340</v>
      </c>
      <c r="F691" s="1097" t="e">
        <f t="shared" si="51"/>
        <v>#REF!</v>
      </c>
      <c r="G691" s="1096"/>
      <c r="H691" s="1097" t="e">
        <f t="shared" si="52"/>
        <v>#REF!</v>
      </c>
      <c r="I691" s="1096"/>
      <c r="J691" s="1097" t="e">
        <f t="shared" si="53"/>
        <v>#REF!</v>
      </c>
      <c r="K691" s="1096"/>
      <c r="L691" s="1097" t="e">
        <f t="shared" si="54"/>
        <v>#REF!</v>
      </c>
      <c r="M691" s="1096"/>
      <c r="N691" s="1096"/>
      <c r="O691" s="1098"/>
      <c r="P691" s="1096"/>
      <c r="Q691" s="1099"/>
      <c r="R691" s="1099"/>
    </row>
    <row r="692" spans="1:18" ht="87" customHeight="1">
      <c r="A692" s="1092"/>
      <c r="B692" s="933" t="s">
        <v>4164</v>
      </c>
      <c r="C692" s="1092" t="e">
        <f>#REF!</f>
        <v>#REF!</v>
      </c>
      <c r="D692" s="1208" t="s">
        <v>303</v>
      </c>
      <c r="E692" s="1096">
        <f>'Ins Abs'!Q62</f>
        <v>25</v>
      </c>
      <c r="F692" s="1097" t="e">
        <f>C692*E692</f>
        <v>#REF!</v>
      </c>
      <c r="G692" s="1096">
        <f>'SI Abs '!Q63</f>
        <v>40</v>
      </c>
      <c r="H692" s="1097">
        <f>'SI Abs '!R63</f>
        <v>10640</v>
      </c>
      <c r="I692" s="1096">
        <f>'PC Abs'!Q57</f>
        <v>120</v>
      </c>
      <c r="J692" s="1097">
        <f>'PC Abs'!R57</f>
        <v>31920</v>
      </c>
      <c r="K692" s="1096"/>
      <c r="L692" s="1097" t="e">
        <f t="shared" si="54"/>
        <v>#REF!</v>
      </c>
      <c r="M692" s="1096"/>
      <c r="N692" s="1096"/>
      <c r="O692" s="1098">
        <f>E692+G692+I692+K692</f>
        <v>185</v>
      </c>
      <c r="P692" s="1096" t="e">
        <f>O692*C692</f>
        <v>#REF!</v>
      </c>
      <c r="Q692" s="1099"/>
      <c r="R692" s="1099"/>
    </row>
    <row r="693" spans="1:18" s="1108" customFormat="1" ht="84.75" customHeight="1">
      <c r="A693" s="1119">
        <v>77.5</v>
      </c>
      <c r="B693" s="935" t="s">
        <v>4165</v>
      </c>
      <c r="C693" s="1120" t="e">
        <f>ROUND(#REF!,2)</f>
        <v>#REF!</v>
      </c>
      <c r="D693" s="1210" t="s">
        <v>303</v>
      </c>
      <c r="F693" s="1097" t="e">
        <f t="shared" si="51"/>
        <v>#REF!</v>
      </c>
      <c r="G693" s="1096"/>
      <c r="H693" s="1097" t="e">
        <f t="shared" si="52"/>
        <v>#REF!</v>
      </c>
      <c r="I693" s="1096"/>
      <c r="J693" s="1097" t="e">
        <f t="shared" si="53"/>
        <v>#REF!</v>
      </c>
      <c r="K693" s="1096"/>
      <c r="L693" s="1097" t="e">
        <f t="shared" si="54"/>
        <v>#REF!</v>
      </c>
      <c r="M693" s="1096"/>
      <c r="N693" s="1096"/>
      <c r="O693" s="1098"/>
      <c r="P693" s="1096"/>
      <c r="Q693" s="1107"/>
      <c r="R693" s="1099"/>
    </row>
    <row r="694" spans="1:18" s="1108" customFormat="1" ht="84.75" customHeight="1">
      <c r="A694" s="1090"/>
      <c r="B694" s="933" t="s">
        <v>4166</v>
      </c>
      <c r="C694" s="1092" t="e">
        <f>C1082</f>
        <v>#REF!</v>
      </c>
      <c r="D694" s="1158" t="s">
        <v>303</v>
      </c>
      <c r="E694" s="1096">
        <f>'Ins Abs'!Q63</f>
        <v>200</v>
      </c>
      <c r="F694" s="1097" t="e">
        <f t="shared" si="51"/>
        <v>#REF!</v>
      </c>
      <c r="G694" s="1096">
        <f>'SI Abs '!Q64</f>
        <v>400</v>
      </c>
      <c r="H694" s="1097">
        <f>'SI Abs '!R64</f>
        <v>90400</v>
      </c>
      <c r="I694" s="1096">
        <f>'PC Abs'!Q58</f>
        <v>840</v>
      </c>
      <c r="J694" s="1097">
        <f>'PC Abs'!R58</f>
        <v>189840</v>
      </c>
      <c r="K694" s="1096"/>
      <c r="L694" s="1097" t="e">
        <f t="shared" si="54"/>
        <v>#REF!</v>
      </c>
      <c r="M694" s="1096"/>
      <c r="N694" s="1096"/>
      <c r="O694" s="1098">
        <f t="shared" ref="O694:O695" si="57">E694+G694+I694+K694</f>
        <v>1440</v>
      </c>
      <c r="P694" s="1096" t="e">
        <f>O694*C694</f>
        <v>#REF!</v>
      </c>
      <c r="Q694" s="1107"/>
      <c r="R694" s="1099"/>
    </row>
    <row r="695" spans="1:18" ht="84" customHeight="1">
      <c r="A695" s="1090"/>
      <c r="B695" s="933" t="s">
        <v>4167</v>
      </c>
      <c r="C695" s="1092" t="e">
        <f>#REF!</f>
        <v>#REF!</v>
      </c>
      <c r="D695" s="1208" t="s">
        <v>303</v>
      </c>
      <c r="E695" s="1096">
        <f>'Ins Abs'!Q64</f>
        <v>175</v>
      </c>
      <c r="F695" s="1097" t="e">
        <f t="shared" si="51"/>
        <v>#REF!</v>
      </c>
      <c r="G695" s="1096">
        <f>'SI Abs '!Q65</f>
        <v>280</v>
      </c>
      <c r="H695" s="1097">
        <f>'SI Abs '!R65</f>
        <v>75600</v>
      </c>
      <c r="I695" s="1096">
        <f>'PC Abs'!Q59</f>
        <v>720</v>
      </c>
      <c r="J695" s="1097">
        <f>'PC Abs'!R59</f>
        <v>194400</v>
      </c>
      <c r="K695" s="1096"/>
      <c r="L695" s="1097" t="e">
        <f t="shared" si="54"/>
        <v>#REF!</v>
      </c>
      <c r="M695" s="1096"/>
      <c r="N695" s="1096"/>
      <c r="O695" s="1098">
        <f t="shared" si="57"/>
        <v>1175</v>
      </c>
      <c r="P695" s="1096" t="e">
        <f>O695*C695</f>
        <v>#REF!</v>
      </c>
      <c r="Q695" s="1099"/>
      <c r="R695" s="1099"/>
    </row>
    <row r="696" spans="1:18" s="1108" customFormat="1" ht="59.25" customHeight="1">
      <c r="A696" s="1090"/>
      <c r="B696" s="927" t="s">
        <v>4168</v>
      </c>
      <c r="C696" s="1106" t="e">
        <f>#REF!</f>
        <v>#REF!</v>
      </c>
      <c r="D696" s="1211" t="s">
        <v>303</v>
      </c>
      <c r="E696" s="1096"/>
      <c r="F696" s="1097" t="e">
        <f t="shared" si="51"/>
        <v>#REF!</v>
      </c>
      <c r="G696" s="1096"/>
      <c r="H696" s="1097" t="e">
        <f t="shared" si="52"/>
        <v>#REF!</v>
      </c>
      <c r="I696" s="1096"/>
      <c r="J696" s="1097" t="e">
        <f t="shared" si="53"/>
        <v>#REF!</v>
      </c>
      <c r="K696" s="1096"/>
      <c r="L696" s="1097" t="e">
        <f t="shared" si="54"/>
        <v>#REF!</v>
      </c>
      <c r="M696" s="1096"/>
      <c r="N696" s="1096"/>
      <c r="O696" s="1098"/>
      <c r="P696" s="1096"/>
      <c r="Q696" s="1107"/>
      <c r="R696" s="1099"/>
    </row>
    <row r="697" spans="1:18" s="1108" customFormat="1" ht="66.75" customHeight="1">
      <c r="A697" s="1090"/>
      <c r="B697" s="927" t="s">
        <v>4169</v>
      </c>
      <c r="C697" s="1106" t="e">
        <f>#REF!</f>
        <v>#REF!</v>
      </c>
      <c r="D697" s="1211" t="s">
        <v>303</v>
      </c>
      <c r="E697" s="1103"/>
      <c r="F697" s="1097" t="e">
        <f t="shared" si="51"/>
        <v>#REF!</v>
      </c>
      <c r="G697" s="1103"/>
      <c r="H697" s="1097" t="e">
        <f t="shared" si="52"/>
        <v>#REF!</v>
      </c>
      <c r="I697" s="1103"/>
      <c r="J697" s="1097" t="e">
        <f t="shared" si="53"/>
        <v>#REF!</v>
      </c>
      <c r="K697" s="1096"/>
      <c r="L697" s="1097" t="e">
        <f t="shared" si="54"/>
        <v>#REF!</v>
      </c>
      <c r="M697" s="1103"/>
      <c r="N697" s="1096"/>
      <c r="O697" s="1098"/>
      <c r="P697" s="1096"/>
      <c r="Q697" s="1107"/>
      <c r="R697" s="1104"/>
    </row>
    <row r="698" spans="1:18" s="1105" customFormat="1" ht="52.5" customHeight="1">
      <c r="A698" s="1129">
        <v>112.1</v>
      </c>
      <c r="B698" s="1265" t="s">
        <v>2357</v>
      </c>
      <c r="C698" s="1117" t="e">
        <f>#REF!</f>
        <v>#REF!</v>
      </c>
      <c r="D698" s="1117" t="s">
        <v>340</v>
      </c>
      <c r="E698" s="1103"/>
      <c r="F698" s="1097" t="e">
        <f t="shared" si="51"/>
        <v>#REF!</v>
      </c>
      <c r="G698" s="1103"/>
      <c r="H698" s="1097" t="e">
        <f t="shared" si="52"/>
        <v>#REF!</v>
      </c>
      <c r="I698" s="1103"/>
      <c r="J698" s="1097" t="e">
        <f t="shared" si="53"/>
        <v>#REF!</v>
      </c>
      <c r="K698" s="1096"/>
      <c r="L698" s="1097" t="e">
        <f t="shared" si="54"/>
        <v>#REF!</v>
      </c>
      <c r="M698" s="1103"/>
      <c r="N698" s="1096"/>
      <c r="O698" s="1098"/>
      <c r="P698" s="1096"/>
      <c r="Q698" s="1104"/>
      <c r="R698" s="1104"/>
    </row>
    <row r="699" spans="1:18" s="1108" customFormat="1" ht="46.5" customHeight="1">
      <c r="A699" s="1119"/>
      <c r="B699" s="1264" t="s">
        <v>2711</v>
      </c>
      <c r="C699" s="1120"/>
      <c r="D699" s="1120"/>
      <c r="E699" s="1096"/>
      <c r="F699" s="1097">
        <f t="shared" si="51"/>
        <v>0</v>
      </c>
      <c r="G699" s="1096"/>
      <c r="H699" s="1097">
        <f t="shared" si="52"/>
        <v>0</v>
      </c>
      <c r="I699" s="1096"/>
      <c r="J699" s="1097">
        <f t="shared" si="53"/>
        <v>0</v>
      </c>
      <c r="K699" s="1096"/>
      <c r="L699" s="1097">
        <f t="shared" si="54"/>
        <v>0</v>
      </c>
      <c r="M699" s="1096"/>
      <c r="N699" s="1096"/>
      <c r="O699" s="1098"/>
      <c r="P699" s="1096"/>
      <c r="Q699" s="1107"/>
      <c r="R699" s="1099"/>
    </row>
    <row r="700" spans="1:18" s="1108" customFormat="1" ht="51.75" customHeight="1">
      <c r="A700" s="1090"/>
      <c r="B700" s="933" t="s">
        <v>4170</v>
      </c>
      <c r="C700" s="1106" t="e">
        <f>ROUND(#REF!,2)</f>
        <v>#REF!</v>
      </c>
      <c r="D700" s="1106" t="s">
        <v>340</v>
      </c>
      <c r="E700" s="1096"/>
      <c r="F700" s="1097" t="e">
        <f t="shared" si="51"/>
        <v>#REF!</v>
      </c>
      <c r="G700" s="1096"/>
      <c r="H700" s="1097" t="e">
        <f t="shared" si="52"/>
        <v>#REF!</v>
      </c>
      <c r="I700" s="1096"/>
      <c r="J700" s="1097" t="e">
        <f t="shared" si="53"/>
        <v>#REF!</v>
      </c>
      <c r="K700" s="1096"/>
      <c r="L700" s="1097" t="e">
        <f t="shared" si="54"/>
        <v>#REF!</v>
      </c>
      <c r="M700" s="1096"/>
      <c r="N700" s="1096"/>
      <c r="O700" s="1098"/>
      <c r="P700" s="1096"/>
      <c r="Q700" s="1107"/>
      <c r="R700" s="1099"/>
    </row>
    <row r="701" spans="1:18" s="1108" customFormat="1" ht="51.75" customHeight="1">
      <c r="A701" s="1090"/>
      <c r="B701" s="933" t="s">
        <v>4171</v>
      </c>
      <c r="C701" s="1106" t="e">
        <f>#REF!</f>
        <v>#REF!</v>
      </c>
      <c r="D701" s="1106" t="s">
        <v>340</v>
      </c>
      <c r="E701" s="1096"/>
      <c r="F701" s="1097" t="e">
        <f t="shared" si="51"/>
        <v>#REF!</v>
      </c>
      <c r="G701" s="1096"/>
      <c r="H701" s="1097" t="e">
        <f t="shared" si="52"/>
        <v>#REF!</v>
      </c>
      <c r="I701" s="1096"/>
      <c r="J701" s="1097" t="e">
        <f t="shared" si="53"/>
        <v>#REF!</v>
      </c>
      <c r="K701" s="1096"/>
      <c r="L701" s="1097" t="e">
        <f t="shared" si="54"/>
        <v>#REF!</v>
      </c>
      <c r="M701" s="1096"/>
      <c r="N701" s="1096"/>
      <c r="O701" s="1098"/>
      <c r="P701" s="1096"/>
      <c r="Q701" s="1107"/>
      <c r="R701" s="1099"/>
    </row>
    <row r="702" spans="1:18" s="1108" customFormat="1" ht="39" customHeight="1">
      <c r="A702" s="1109"/>
      <c r="B702" s="1259" t="s">
        <v>4172</v>
      </c>
      <c r="C702" s="1111" t="e">
        <f>#REF!</f>
        <v>#REF!</v>
      </c>
      <c r="D702" s="1111" t="s">
        <v>340</v>
      </c>
      <c r="E702" s="1114"/>
      <c r="F702" s="1097" t="e">
        <f t="shared" si="51"/>
        <v>#REF!</v>
      </c>
      <c r="G702" s="1114"/>
      <c r="H702" s="1097" t="e">
        <f t="shared" si="52"/>
        <v>#REF!</v>
      </c>
      <c r="I702" s="1114"/>
      <c r="J702" s="1097" t="e">
        <f t="shared" si="53"/>
        <v>#REF!</v>
      </c>
      <c r="K702" s="1114"/>
      <c r="L702" s="1097" t="e">
        <f t="shared" si="54"/>
        <v>#REF!</v>
      </c>
      <c r="M702" s="1114"/>
      <c r="N702" s="1096"/>
      <c r="O702" s="1098"/>
      <c r="P702" s="1096"/>
      <c r="Q702" s="1107"/>
      <c r="R702" s="1099"/>
    </row>
    <row r="703" spans="1:18" s="1108" customFormat="1" ht="67.5" customHeight="1">
      <c r="A703" s="1090">
        <v>44.2</v>
      </c>
      <c r="B703" s="1262" t="s">
        <v>4173</v>
      </c>
      <c r="C703" s="1092"/>
      <c r="D703" s="1092"/>
      <c r="E703" s="1096"/>
      <c r="F703" s="1097">
        <f t="shared" si="51"/>
        <v>0</v>
      </c>
      <c r="G703" s="1096"/>
      <c r="H703" s="1097">
        <f t="shared" si="52"/>
        <v>0</v>
      </c>
      <c r="I703" s="1096"/>
      <c r="J703" s="1097">
        <f t="shared" si="53"/>
        <v>0</v>
      </c>
      <c r="K703" s="1096"/>
      <c r="L703" s="1097">
        <f t="shared" si="54"/>
        <v>0</v>
      </c>
      <c r="M703" s="1096"/>
      <c r="N703" s="1096"/>
      <c r="O703" s="1098"/>
      <c r="P703" s="1096"/>
      <c r="Q703" s="1107"/>
      <c r="R703" s="1099"/>
    </row>
    <row r="704" spans="1:18" ht="39.75" customHeight="1">
      <c r="A704" s="1090"/>
      <c r="B704" s="933" t="s">
        <v>4174</v>
      </c>
      <c r="C704" s="1092" t="e">
        <f>#REF!</f>
        <v>#REF!</v>
      </c>
      <c r="D704" s="1092" t="s">
        <v>340</v>
      </c>
      <c r="E704" s="1096"/>
      <c r="F704" s="1097" t="e">
        <f t="shared" si="51"/>
        <v>#REF!</v>
      </c>
      <c r="G704" s="1096"/>
      <c r="H704" s="1097" t="e">
        <f t="shared" si="52"/>
        <v>#REF!</v>
      </c>
      <c r="I704" s="1096"/>
      <c r="J704" s="1097" t="e">
        <f t="shared" si="53"/>
        <v>#REF!</v>
      </c>
      <c r="K704" s="1096"/>
      <c r="L704" s="1097" t="e">
        <f t="shared" si="54"/>
        <v>#REF!</v>
      </c>
      <c r="M704" s="1096"/>
      <c r="N704" s="1096"/>
      <c r="O704" s="1098"/>
      <c r="P704" s="1096"/>
      <c r="Q704" s="1099"/>
      <c r="R704" s="1099"/>
    </row>
    <row r="705" spans="1:18" ht="39.75" customHeight="1">
      <c r="A705" s="1090"/>
      <c r="B705" s="933" t="s">
        <v>4175</v>
      </c>
      <c r="C705" s="1092" t="e">
        <f>#REF!</f>
        <v>#REF!</v>
      </c>
      <c r="D705" s="1092" t="s">
        <v>303</v>
      </c>
      <c r="E705" s="1096"/>
      <c r="F705" s="1097" t="e">
        <f t="shared" si="51"/>
        <v>#REF!</v>
      </c>
      <c r="G705" s="1096"/>
      <c r="H705" s="1097" t="e">
        <f t="shared" si="52"/>
        <v>#REF!</v>
      </c>
      <c r="I705" s="1096"/>
      <c r="J705" s="1097" t="e">
        <f t="shared" si="53"/>
        <v>#REF!</v>
      </c>
      <c r="K705" s="1096"/>
      <c r="L705" s="1097" t="e">
        <f t="shared" si="54"/>
        <v>#REF!</v>
      </c>
      <c r="M705" s="1096"/>
      <c r="N705" s="1096"/>
      <c r="O705" s="1098"/>
      <c r="P705" s="1096"/>
      <c r="Q705" s="1099"/>
      <c r="R705" s="1099"/>
    </row>
    <row r="706" spans="1:18" ht="87.75" customHeight="1">
      <c r="A706" s="1119"/>
      <c r="B706" s="935" t="s">
        <v>4176</v>
      </c>
      <c r="C706" s="1160" t="e">
        <f>#REF!</f>
        <v>#REF!</v>
      </c>
      <c r="D706" s="1153" t="s">
        <v>340</v>
      </c>
      <c r="E706" s="1096"/>
      <c r="F706" s="1097" t="e">
        <f t="shared" si="51"/>
        <v>#REF!</v>
      </c>
      <c r="G706" s="1096"/>
      <c r="H706" s="1097" t="e">
        <f t="shared" si="52"/>
        <v>#REF!</v>
      </c>
      <c r="I706" s="1096"/>
      <c r="J706" s="1097" t="e">
        <f t="shared" si="53"/>
        <v>#REF!</v>
      </c>
      <c r="K706" s="1096"/>
      <c r="L706" s="1097" t="e">
        <f t="shared" si="54"/>
        <v>#REF!</v>
      </c>
      <c r="M706" s="1096"/>
      <c r="N706" s="1096"/>
      <c r="O706" s="1098"/>
      <c r="P706" s="1096"/>
      <c r="Q706" s="1099"/>
      <c r="R706" s="1099"/>
    </row>
    <row r="707" spans="1:18" s="1108" customFormat="1" ht="45.75" customHeight="1">
      <c r="A707" s="1119">
        <v>257.10000000000002</v>
      </c>
      <c r="B707" s="935" t="s">
        <v>4177</v>
      </c>
      <c r="C707" s="1120" t="e">
        <f>ROUND(#REF!,2)</f>
        <v>#REF!</v>
      </c>
      <c r="D707" s="1120" t="s">
        <v>303</v>
      </c>
      <c r="E707" s="1103"/>
      <c r="F707" s="1097" t="e">
        <f t="shared" si="51"/>
        <v>#REF!</v>
      </c>
      <c r="G707" s="1103"/>
      <c r="H707" s="1097" t="e">
        <f t="shared" si="52"/>
        <v>#REF!</v>
      </c>
      <c r="I707" s="1103"/>
      <c r="J707" s="1097" t="e">
        <f t="shared" si="53"/>
        <v>#REF!</v>
      </c>
      <c r="K707" s="1096"/>
      <c r="L707" s="1097" t="e">
        <f t="shared" si="54"/>
        <v>#REF!</v>
      </c>
      <c r="M707" s="1103"/>
      <c r="N707" s="1096"/>
      <c r="O707" s="1098"/>
      <c r="P707" s="1096"/>
      <c r="Q707" s="1107"/>
      <c r="R707" s="1104"/>
    </row>
    <row r="708" spans="1:18" ht="56.25" customHeight="1">
      <c r="A708" s="1090">
        <v>344.2</v>
      </c>
      <c r="B708" s="933" t="s">
        <v>4178</v>
      </c>
      <c r="C708" s="1092" t="e">
        <f>ROUND(#REF!,2)</f>
        <v>#REF!</v>
      </c>
      <c r="D708" s="1092" t="s">
        <v>340</v>
      </c>
      <c r="E708" s="1096">
        <f>'Ins Abs'!Q65</f>
        <v>5</v>
      </c>
      <c r="F708" s="1097" t="e">
        <f>C708*E708</f>
        <v>#REF!</v>
      </c>
      <c r="G708" s="1096">
        <f>'SI Abs '!Q66</f>
        <v>8</v>
      </c>
      <c r="H708" s="1097">
        <f>'SI Abs '!R66</f>
        <v>3957.6</v>
      </c>
      <c r="I708" s="1096">
        <f>'PC Abs'!Q60</f>
        <v>24</v>
      </c>
      <c r="J708" s="1097">
        <f>'PC Abs'!R60</f>
        <v>11872.8</v>
      </c>
      <c r="K708" s="1096"/>
      <c r="L708" s="1097" t="e">
        <f t="shared" si="54"/>
        <v>#REF!</v>
      </c>
      <c r="M708" s="1096"/>
      <c r="N708" s="1096"/>
      <c r="O708" s="1098">
        <f>E708+G708+I708+K708</f>
        <v>37</v>
      </c>
      <c r="P708" s="1096" t="e">
        <f>O708*C708</f>
        <v>#REF!</v>
      </c>
      <c r="Q708" s="1099"/>
      <c r="R708" s="1099"/>
    </row>
    <row r="709" spans="1:18" s="1105" customFormat="1" ht="48.75" customHeight="1">
      <c r="A709" s="1212">
        <v>383</v>
      </c>
      <c r="B709" s="1266" t="s">
        <v>4179</v>
      </c>
      <c r="C709" s="1135" t="e">
        <f>#REF!</f>
        <v>#REF!</v>
      </c>
      <c r="D709" s="936" t="s">
        <v>340</v>
      </c>
      <c r="E709" s="1103"/>
      <c r="F709" s="1097" t="e">
        <f t="shared" si="51"/>
        <v>#REF!</v>
      </c>
      <c r="G709" s="1103"/>
      <c r="H709" s="1097" t="e">
        <f t="shared" si="52"/>
        <v>#REF!</v>
      </c>
      <c r="I709" s="1103"/>
      <c r="J709" s="1097" t="e">
        <f t="shared" si="53"/>
        <v>#REF!</v>
      </c>
      <c r="K709" s="1096"/>
      <c r="L709" s="1097" t="e">
        <f t="shared" si="54"/>
        <v>#REF!</v>
      </c>
      <c r="M709" s="1103"/>
      <c r="N709" s="1096"/>
      <c r="O709" s="1098"/>
      <c r="P709" s="1096"/>
      <c r="Q709" s="1104"/>
      <c r="R709" s="1104"/>
    </row>
    <row r="710" spans="1:18" s="1108" customFormat="1" ht="56.25" customHeight="1">
      <c r="A710" s="1090">
        <v>383.1</v>
      </c>
      <c r="B710" s="933" t="s">
        <v>4180</v>
      </c>
      <c r="C710" s="1106">
        <v>366.6</v>
      </c>
      <c r="D710" s="1106" t="s">
        <v>303</v>
      </c>
      <c r="E710" s="1103"/>
      <c r="F710" s="1097">
        <f t="shared" si="51"/>
        <v>0</v>
      </c>
      <c r="G710" s="1103"/>
      <c r="H710" s="1097">
        <f t="shared" si="52"/>
        <v>0</v>
      </c>
      <c r="I710" s="1103"/>
      <c r="J710" s="1097">
        <f t="shared" si="53"/>
        <v>0</v>
      </c>
      <c r="K710" s="1096"/>
      <c r="L710" s="1097">
        <f t="shared" si="54"/>
        <v>0</v>
      </c>
      <c r="M710" s="1103"/>
      <c r="N710" s="1096"/>
      <c r="O710" s="1098"/>
      <c r="P710" s="1096"/>
      <c r="Q710" s="1107"/>
      <c r="R710" s="1104"/>
    </row>
    <row r="711" spans="1:18" s="1108" customFormat="1" ht="55.5" customHeight="1">
      <c r="A711" s="1119"/>
      <c r="B711" s="935" t="s">
        <v>4181</v>
      </c>
      <c r="C711" s="1120" t="e">
        <f>#REF!</f>
        <v>#REF!</v>
      </c>
      <c r="D711" s="1120"/>
      <c r="E711" s="1103"/>
      <c r="F711" s="1097" t="e">
        <f t="shared" si="51"/>
        <v>#REF!</v>
      </c>
      <c r="G711" s="1103"/>
      <c r="H711" s="1097" t="e">
        <f t="shared" si="52"/>
        <v>#REF!</v>
      </c>
      <c r="I711" s="1103"/>
      <c r="J711" s="1097" t="e">
        <f t="shared" si="53"/>
        <v>#REF!</v>
      </c>
      <c r="K711" s="1096"/>
      <c r="L711" s="1097" t="e">
        <f t="shared" si="54"/>
        <v>#REF!</v>
      </c>
      <c r="M711" s="1103"/>
      <c r="N711" s="1096"/>
      <c r="O711" s="1098"/>
      <c r="P711" s="1096"/>
      <c r="Q711" s="1107"/>
      <c r="R711" s="1104"/>
    </row>
    <row r="712" spans="1:18" s="1105" customFormat="1" ht="48.75" customHeight="1">
      <c r="A712" s="1206">
        <v>384</v>
      </c>
      <c r="B712" s="1265" t="s">
        <v>4182</v>
      </c>
      <c r="C712" s="1117" t="e">
        <f>#REF!</f>
        <v>#REF!</v>
      </c>
      <c r="D712" s="1206" t="s">
        <v>340</v>
      </c>
      <c r="E712" s="1103"/>
      <c r="F712" s="1097" t="e">
        <f t="shared" si="51"/>
        <v>#REF!</v>
      </c>
      <c r="G712" s="1103"/>
      <c r="H712" s="1097" t="e">
        <f t="shared" si="52"/>
        <v>#REF!</v>
      </c>
      <c r="I712" s="1103"/>
      <c r="J712" s="1097" t="e">
        <f t="shared" si="53"/>
        <v>#REF!</v>
      </c>
      <c r="K712" s="1096"/>
      <c r="L712" s="1097" t="e">
        <f t="shared" si="54"/>
        <v>#REF!</v>
      </c>
      <c r="M712" s="1103"/>
      <c r="N712" s="1096"/>
      <c r="O712" s="1098"/>
      <c r="P712" s="1096"/>
      <c r="Q712" s="1104"/>
      <c r="R712" s="1104"/>
    </row>
    <row r="713" spans="1:18" s="1108" customFormat="1" ht="33.75" customHeight="1">
      <c r="A713" s="1158">
        <v>385</v>
      </c>
      <c r="B713" s="933" t="s">
        <v>4183</v>
      </c>
      <c r="C713" s="1106" t="e">
        <f>ROUND(#REF!,2)</f>
        <v>#REF!</v>
      </c>
      <c r="D713" s="943" t="s">
        <v>340</v>
      </c>
      <c r="E713" s="1103"/>
      <c r="F713" s="1097" t="e">
        <f t="shared" ref="F713:F776" si="58">C713*E713</f>
        <v>#REF!</v>
      </c>
      <c r="G713" s="1103"/>
      <c r="H713" s="1097" t="e">
        <f t="shared" ref="H713:H776" si="59">C713*G713</f>
        <v>#REF!</v>
      </c>
      <c r="I713" s="1103"/>
      <c r="J713" s="1097" t="e">
        <f t="shared" si="53"/>
        <v>#REF!</v>
      </c>
      <c r="K713" s="1096"/>
      <c r="L713" s="1097" t="e">
        <f t="shared" si="54"/>
        <v>#REF!</v>
      </c>
      <c r="M713" s="1103"/>
      <c r="N713" s="1096"/>
      <c r="O713" s="1098"/>
      <c r="P713" s="1096"/>
      <c r="Q713" s="1107"/>
      <c r="R713" s="1104"/>
    </row>
    <row r="714" spans="1:18" s="1108" customFormat="1" ht="42" customHeight="1">
      <c r="A714" s="1090">
        <v>238.1</v>
      </c>
      <c r="B714" s="933" t="s">
        <v>4184</v>
      </c>
      <c r="C714" s="1106" t="e">
        <f>ROUND(#REF!,2)</f>
        <v>#REF!</v>
      </c>
      <c r="D714" s="1211" t="s">
        <v>277</v>
      </c>
      <c r="E714" s="1098"/>
      <c r="F714" s="1097" t="e">
        <f t="shared" si="58"/>
        <v>#REF!</v>
      </c>
      <c r="G714" s="1098"/>
      <c r="H714" s="1097" t="e">
        <f t="shared" si="59"/>
        <v>#REF!</v>
      </c>
      <c r="I714" s="1098"/>
      <c r="J714" s="1097" t="e">
        <f t="shared" si="53"/>
        <v>#REF!</v>
      </c>
      <c r="K714" s="1096"/>
      <c r="L714" s="1097" t="e">
        <f t="shared" si="54"/>
        <v>#REF!</v>
      </c>
      <c r="M714" s="1096"/>
      <c r="N714" s="1096"/>
      <c r="O714" s="1098"/>
      <c r="P714" s="1096"/>
      <c r="Q714" s="1107"/>
      <c r="R714" s="1099"/>
    </row>
    <row r="715" spans="1:18" s="1105" customFormat="1" ht="58.5" customHeight="1">
      <c r="A715" s="1129">
        <v>71.2</v>
      </c>
      <c r="B715" s="1265" t="s">
        <v>4185</v>
      </c>
      <c r="C715" s="1117" t="e">
        <f>#REF!</f>
        <v>#REF!</v>
      </c>
      <c r="D715" s="1206" t="s">
        <v>340</v>
      </c>
      <c r="E715" s="1103"/>
      <c r="F715" s="1097" t="e">
        <f t="shared" si="58"/>
        <v>#REF!</v>
      </c>
      <c r="G715" s="1103"/>
      <c r="H715" s="1097" t="e">
        <f t="shared" si="59"/>
        <v>#REF!</v>
      </c>
      <c r="I715" s="1103"/>
      <c r="J715" s="1097" t="e">
        <f t="shared" si="53"/>
        <v>#REF!</v>
      </c>
      <c r="K715" s="1096"/>
      <c r="L715" s="1097" t="e">
        <f t="shared" si="54"/>
        <v>#REF!</v>
      </c>
      <c r="M715" s="1103"/>
      <c r="N715" s="1096"/>
      <c r="O715" s="1098"/>
      <c r="P715" s="1096"/>
      <c r="Q715" s="1104"/>
      <c r="R715" s="1104"/>
    </row>
    <row r="716" spans="1:18" s="1105" customFormat="1" ht="47.25" customHeight="1">
      <c r="A716" s="1129">
        <v>80.099999999999994</v>
      </c>
      <c r="B716" s="1265" t="s">
        <v>4186</v>
      </c>
      <c r="C716" s="1117" t="e">
        <f>C1064</f>
        <v>#REF!</v>
      </c>
      <c r="D716" s="1206" t="s">
        <v>340</v>
      </c>
      <c r="E716" s="1103"/>
      <c r="F716" s="1097" t="e">
        <f t="shared" si="58"/>
        <v>#REF!</v>
      </c>
      <c r="G716" s="1103"/>
      <c r="H716" s="1097" t="e">
        <f t="shared" si="59"/>
        <v>#REF!</v>
      </c>
      <c r="I716" s="1103"/>
      <c r="J716" s="1097" t="e">
        <f t="shared" si="53"/>
        <v>#REF!</v>
      </c>
      <c r="K716" s="1096"/>
      <c r="L716" s="1097" t="e">
        <f t="shared" si="54"/>
        <v>#REF!</v>
      </c>
      <c r="M716" s="1103"/>
      <c r="N716" s="1096"/>
      <c r="O716" s="1098"/>
      <c r="P716" s="1096"/>
      <c r="Q716" s="1104"/>
      <c r="R716" s="1104"/>
    </row>
    <row r="717" spans="1:18" s="1108" customFormat="1" ht="39.75" customHeight="1">
      <c r="A717" s="1090"/>
      <c r="B717" s="933" t="s">
        <v>4187</v>
      </c>
      <c r="C717" s="1092" t="e">
        <f>#REF!</f>
        <v>#REF!</v>
      </c>
      <c r="D717" s="1158" t="s">
        <v>340</v>
      </c>
      <c r="E717" s="1096"/>
      <c r="F717" s="1097" t="e">
        <f t="shared" si="58"/>
        <v>#REF!</v>
      </c>
      <c r="G717" s="1096"/>
      <c r="H717" s="1097" t="e">
        <f t="shared" si="59"/>
        <v>#REF!</v>
      </c>
      <c r="I717" s="1096"/>
      <c r="J717" s="1097" t="e">
        <f t="shared" si="53"/>
        <v>#REF!</v>
      </c>
      <c r="K717" s="1096"/>
      <c r="L717" s="1097" t="e">
        <f t="shared" si="54"/>
        <v>#REF!</v>
      </c>
      <c r="M717" s="1096"/>
      <c r="N717" s="1096"/>
      <c r="O717" s="1098"/>
      <c r="P717" s="1096"/>
      <c r="Q717" s="1107"/>
      <c r="R717" s="1099"/>
    </row>
    <row r="718" spans="1:18" s="1108" customFormat="1" ht="39.75" customHeight="1">
      <c r="A718" s="1090"/>
      <c r="B718" s="933" t="s">
        <v>4188</v>
      </c>
      <c r="C718" s="1106" t="e">
        <f>#REF!</f>
        <v>#REF!</v>
      </c>
      <c r="D718" s="1211" t="s">
        <v>340</v>
      </c>
      <c r="E718" s="1103"/>
      <c r="F718" s="1097" t="e">
        <f t="shared" si="58"/>
        <v>#REF!</v>
      </c>
      <c r="G718" s="1103"/>
      <c r="H718" s="1097" t="e">
        <f t="shared" si="59"/>
        <v>#REF!</v>
      </c>
      <c r="I718" s="1103"/>
      <c r="J718" s="1097" t="e">
        <f t="shared" si="53"/>
        <v>#REF!</v>
      </c>
      <c r="K718" s="1096"/>
      <c r="L718" s="1097" t="e">
        <f t="shared" si="54"/>
        <v>#REF!</v>
      </c>
      <c r="M718" s="1103"/>
      <c r="N718" s="1096"/>
      <c r="O718" s="1098"/>
      <c r="P718" s="1096"/>
      <c r="Q718" s="1107"/>
      <c r="R718" s="1104"/>
    </row>
    <row r="719" spans="1:18" ht="53.25" customHeight="1">
      <c r="A719" s="1090">
        <v>87.1</v>
      </c>
      <c r="B719" s="933" t="str">
        <f>B1098</f>
        <v>Supplying and delivery of Three phase ELCB/RCCB</v>
      </c>
      <c r="C719" s="1092" t="e">
        <f>#REF!</f>
        <v>#REF!</v>
      </c>
      <c r="D719" s="1158" t="s">
        <v>340</v>
      </c>
      <c r="E719" s="1096"/>
      <c r="F719" s="1097" t="e">
        <f t="shared" si="58"/>
        <v>#REF!</v>
      </c>
      <c r="G719" s="1096"/>
      <c r="H719" s="1097" t="e">
        <f t="shared" si="59"/>
        <v>#REF!</v>
      </c>
      <c r="I719" s="1096"/>
      <c r="J719" s="1097" t="e">
        <f t="shared" si="53"/>
        <v>#REF!</v>
      </c>
      <c r="K719" s="1096"/>
      <c r="L719" s="1097" t="e">
        <f t="shared" si="54"/>
        <v>#REF!</v>
      </c>
      <c r="M719" s="1096"/>
      <c r="N719" s="1096"/>
      <c r="O719" s="1098"/>
      <c r="P719" s="1096"/>
      <c r="Q719" s="1099"/>
      <c r="R719" s="1099"/>
    </row>
    <row r="720" spans="1:18" s="1108" customFormat="1" ht="46.5" customHeight="1">
      <c r="A720" s="1090"/>
      <c r="B720" s="933" t="s">
        <v>4189</v>
      </c>
      <c r="C720" s="1092" t="e">
        <f>C1101</f>
        <v>#REF!</v>
      </c>
      <c r="D720" s="1158" t="s">
        <v>303</v>
      </c>
      <c r="E720" s="1096"/>
      <c r="F720" s="1097" t="e">
        <f t="shared" si="58"/>
        <v>#REF!</v>
      </c>
      <c r="G720" s="1096"/>
      <c r="H720" s="1097" t="e">
        <f t="shared" si="59"/>
        <v>#REF!</v>
      </c>
      <c r="I720" s="1096"/>
      <c r="J720" s="1097" t="e">
        <f t="shared" si="53"/>
        <v>#REF!</v>
      </c>
      <c r="K720" s="1096"/>
      <c r="L720" s="1097" t="e">
        <f t="shared" si="54"/>
        <v>#REF!</v>
      </c>
      <c r="M720" s="1096"/>
      <c r="N720" s="1096"/>
      <c r="O720" s="1098"/>
      <c r="P720" s="1096"/>
      <c r="Q720" s="1107"/>
      <c r="R720" s="1099"/>
    </row>
    <row r="721" spans="1:18" ht="70.5" customHeight="1">
      <c r="A721" s="1090"/>
      <c r="B721" s="933" t="str">
        <f>'INS- Detail '!B270</f>
        <v xml:space="preserve">Plastic Emulsion paint two coat of Old walls including cost of materials and labours etc.., completed </v>
      </c>
      <c r="C721" s="1092">
        <v>272.57</v>
      </c>
      <c r="D721" s="1158" t="s">
        <v>306</v>
      </c>
      <c r="E721" s="1096">
        <f>'Ins Abs'!Q66</f>
        <v>1813.1</v>
      </c>
      <c r="F721" s="1097">
        <f t="shared" si="58"/>
        <v>494196.66699999996</v>
      </c>
      <c r="G721" s="1096">
        <f>'SI Abs '!Q67</f>
        <v>1207</v>
      </c>
      <c r="H721" s="1097">
        <f>'SI Abs '!R67</f>
        <v>248855.639</v>
      </c>
      <c r="I721" s="1096">
        <f>'PC Abs'!Q61</f>
        <v>3422.3</v>
      </c>
      <c r="J721" s="1097">
        <f>'PC Abs'!R61</f>
        <v>705599.54709999997</v>
      </c>
      <c r="K721" s="1096"/>
      <c r="L721" s="1097">
        <f t="shared" si="54"/>
        <v>0</v>
      </c>
      <c r="M721" s="1096"/>
      <c r="N721" s="1096"/>
      <c r="O721" s="1098">
        <f t="shared" ref="O721:O722" si="60">E721+G721+I721+K721</f>
        <v>6442.4</v>
      </c>
      <c r="P721" s="1096">
        <f>O721*C721</f>
        <v>1756004.9679999999</v>
      </c>
      <c r="Q721" s="1099"/>
      <c r="R721" s="1099"/>
    </row>
    <row r="722" spans="1:18" ht="69.75" customHeight="1">
      <c r="A722" s="1090" t="s">
        <v>4190</v>
      </c>
      <c r="B722" s="933" t="str">
        <f>'INS- Detail '!B218</f>
        <v xml:space="preserve">Painting Two coat of OBD over one coat white cement for inner walls  including cost of materials and labours etc.., completed </v>
      </c>
      <c r="C722" s="1092">
        <v>154.30000000000001</v>
      </c>
      <c r="D722" s="1158" t="s">
        <v>306</v>
      </c>
      <c r="E722" s="1096">
        <f>'Ins Abs'!Q67</f>
        <v>1138</v>
      </c>
      <c r="F722" s="1097">
        <f t="shared" si="58"/>
        <v>175593.40000000002</v>
      </c>
      <c r="G722" s="1096">
        <f>'SI Abs '!Q68</f>
        <v>731</v>
      </c>
      <c r="H722" s="1097">
        <f>'SI Abs '!R68</f>
        <v>122157.41</v>
      </c>
      <c r="I722" s="1096">
        <f>'PC Abs'!Q62</f>
        <v>3777.1</v>
      </c>
      <c r="J722" s="1097">
        <f>'PC Abs'!R62</f>
        <v>631191.18099999998</v>
      </c>
      <c r="K722" s="1096"/>
      <c r="L722" s="1097">
        <f t="shared" si="54"/>
        <v>0</v>
      </c>
      <c r="M722" s="1096"/>
      <c r="N722" s="1096"/>
      <c r="O722" s="1098">
        <f t="shared" si="60"/>
        <v>5646.1</v>
      </c>
      <c r="P722" s="1096">
        <f>O722*C722</f>
        <v>871193.2300000001</v>
      </c>
      <c r="Q722" s="1099"/>
      <c r="R722" s="1099"/>
    </row>
    <row r="723" spans="1:18" s="1108" customFormat="1" ht="81" customHeight="1">
      <c r="A723" s="1119"/>
      <c r="B723" s="935" t="str">
        <f>B1099</f>
        <v>2 x 4 Sqmm Copper PVC insulated unsheathed single core 1 KV grade cable for EB service single phase.</v>
      </c>
      <c r="C723" s="1120" t="e">
        <f>C1099</f>
        <v>#REF!</v>
      </c>
      <c r="D723" s="1213" t="s">
        <v>303</v>
      </c>
      <c r="E723" s="1103"/>
      <c r="F723" s="1097" t="e">
        <f t="shared" si="58"/>
        <v>#REF!</v>
      </c>
      <c r="G723" s="1103"/>
      <c r="H723" s="1097" t="e">
        <f t="shared" si="59"/>
        <v>#REF!</v>
      </c>
      <c r="I723" s="1103"/>
      <c r="J723" s="1097" t="e">
        <f t="shared" si="53"/>
        <v>#REF!</v>
      </c>
      <c r="K723" s="1096"/>
      <c r="L723" s="1097" t="e">
        <f t="shared" si="54"/>
        <v>#REF!</v>
      </c>
      <c r="M723" s="1103"/>
      <c r="N723" s="1096"/>
      <c r="O723" s="1098"/>
      <c r="P723" s="1096"/>
      <c r="Q723" s="1107"/>
      <c r="R723" s="1104"/>
    </row>
    <row r="724" spans="1:18" s="1108" customFormat="1" ht="51" customHeight="1">
      <c r="A724" s="1090"/>
      <c r="B724" s="933" t="str">
        <f>B1065</f>
        <v>40 mm dia GI pipe "B"class</v>
      </c>
      <c r="C724" s="943" t="e">
        <f>C1065</f>
        <v>#REF!</v>
      </c>
      <c r="D724" s="1211" t="s">
        <v>303</v>
      </c>
      <c r="E724" s="1103"/>
      <c r="F724" s="1097" t="e">
        <f t="shared" si="58"/>
        <v>#REF!</v>
      </c>
      <c r="G724" s="1103"/>
      <c r="H724" s="1097" t="e">
        <f t="shared" si="59"/>
        <v>#REF!</v>
      </c>
      <c r="I724" s="1103"/>
      <c r="J724" s="1097" t="e">
        <f t="shared" si="53"/>
        <v>#REF!</v>
      </c>
      <c r="K724" s="1096"/>
      <c r="L724" s="1097" t="e">
        <f t="shared" si="54"/>
        <v>#REF!</v>
      </c>
      <c r="M724" s="1103"/>
      <c r="N724" s="1096"/>
      <c r="O724" s="1098"/>
      <c r="P724" s="1096"/>
      <c r="Q724" s="1107"/>
      <c r="R724" s="1104"/>
    </row>
    <row r="725" spans="1:18" s="1108" customFormat="1" ht="72.75" customHeight="1">
      <c r="A725" s="1090"/>
      <c r="B725" s="1292" t="s">
        <v>4191</v>
      </c>
      <c r="C725" s="1214">
        <v>1562.5</v>
      </c>
      <c r="D725" s="1118" t="s">
        <v>340</v>
      </c>
      <c r="E725" s="1103"/>
      <c r="F725" s="1097">
        <f t="shared" si="58"/>
        <v>0</v>
      </c>
      <c r="G725" s="1103"/>
      <c r="H725" s="1097">
        <f t="shared" si="59"/>
        <v>0</v>
      </c>
      <c r="I725" s="1103"/>
      <c r="J725" s="1097">
        <f t="shared" si="53"/>
        <v>0</v>
      </c>
      <c r="K725" s="1096"/>
      <c r="L725" s="1097">
        <f t="shared" si="54"/>
        <v>0</v>
      </c>
      <c r="M725" s="1103"/>
      <c r="N725" s="1096"/>
      <c r="O725" s="1098"/>
      <c r="P725" s="1096"/>
      <c r="Q725" s="1107"/>
      <c r="R725" s="1104"/>
    </row>
    <row r="726" spans="1:18" s="1105" customFormat="1" ht="43.5" customHeight="1">
      <c r="A726" s="1129">
        <v>448.2</v>
      </c>
      <c r="B726" s="1265" t="s">
        <v>4192</v>
      </c>
      <c r="C726" s="1117" t="e">
        <f>#REF!</f>
        <v>#REF!</v>
      </c>
      <c r="D726" s="1206" t="s">
        <v>340</v>
      </c>
      <c r="E726" s="1103"/>
      <c r="F726" s="1097" t="e">
        <f t="shared" si="58"/>
        <v>#REF!</v>
      </c>
      <c r="G726" s="1103"/>
      <c r="H726" s="1097" t="e">
        <f t="shared" si="59"/>
        <v>#REF!</v>
      </c>
      <c r="I726" s="1103"/>
      <c r="J726" s="1097" t="e">
        <f t="shared" si="53"/>
        <v>#REF!</v>
      </c>
      <c r="K726" s="1096"/>
      <c r="L726" s="1097" t="e">
        <f t="shared" si="54"/>
        <v>#REF!</v>
      </c>
      <c r="M726" s="1103"/>
      <c r="N726" s="1096"/>
      <c r="O726" s="1098"/>
      <c r="P726" s="1096"/>
      <c r="Q726" s="1104"/>
      <c r="R726" s="1104"/>
    </row>
    <row r="727" spans="1:18" s="1108" customFormat="1" ht="44.25" customHeight="1">
      <c r="A727" s="1119"/>
      <c r="B727" s="935" t="s">
        <v>4193</v>
      </c>
      <c r="C727" s="1120" t="e">
        <f>C1049</f>
        <v>#REF!</v>
      </c>
      <c r="D727" s="1120" t="s">
        <v>306</v>
      </c>
      <c r="E727" s="1096"/>
      <c r="F727" s="1097" t="e">
        <f t="shared" si="58"/>
        <v>#REF!</v>
      </c>
      <c r="G727" s="1096"/>
      <c r="H727" s="1097" t="e">
        <f t="shared" si="59"/>
        <v>#REF!</v>
      </c>
      <c r="I727" s="1096"/>
      <c r="J727" s="1097" t="e">
        <f t="shared" si="53"/>
        <v>#REF!</v>
      </c>
      <c r="K727" s="1096"/>
      <c r="L727" s="1097" t="e">
        <f t="shared" si="54"/>
        <v>#REF!</v>
      </c>
      <c r="M727" s="1096"/>
      <c r="N727" s="1096"/>
      <c r="O727" s="1098"/>
      <c r="P727" s="1096"/>
      <c r="Q727" s="1107"/>
      <c r="R727" s="1099"/>
    </row>
    <row r="728" spans="1:18" ht="68.25" customHeight="1">
      <c r="A728" s="1090"/>
      <c r="B728" s="933" t="s">
        <v>4194</v>
      </c>
      <c r="C728" s="1092" t="e">
        <f>#REF!</f>
        <v>#REF!</v>
      </c>
      <c r="D728" s="1092" t="s">
        <v>306</v>
      </c>
      <c r="E728" s="1096"/>
      <c r="F728" s="1097" t="e">
        <f t="shared" si="58"/>
        <v>#REF!</v>
      </c>
      <c r="G728" s="1096"/>
      <c r="H728" s="1097" t="e">
        <f t="shared" si="59"/>
        <v>#REF!</v>
      </c>
      <c r="I728" s="1096"/>
      <c r="J728" s="1097" t="e">
        <f t="shared" si="53"/>
        <v>#REF!</v>
      </c>
      <c r="K728" s="1096"/>
      <c r="L728" s="1097" t="e">
        <f t="shared" si="54"/>
        <v>#REF!</v>
      </c>
      <c r="M728" s="1096"/>
      <c r="N728" s="1096"/>
      <c r="O728" s="1098"/>
      <c r="P728" s="1096"/>
      <c r="Q728" s="1099"/>
      <c r="R728" s="1099"/>
    </row>
    <row r="729" spans="1:18" s="1108" customFormat="1" ht="72" customHeight="1">
      <c r="A729" s="1119"/>
      <c r="B729" s="935" t="s">
        <v>4195</v>
      </c>
      <c r="C729" s="1102"/>
      <c r="D729" s="1092" t="s">
        <v>306</v>
      </c>
      <c r="E729" s="1103"/>
      <c r="F729" s="1097">
        <f t="shared" si="58"/>
        <v>0</v>
      </c>
      <c r="G729" s="1103"/>
      <c r="H729" s="1097">
        <f t="shared" si="59"/>
        <v>0</v>
      </c>
      <c r="I729" s="1103"/>
      <c r="J729" s="1097">
        <f t="shared" si="53"/>
        <v>0</v>
      </c>
      <c r="K729" s="1096"/>
      <c r="L729" s="1097">
        <f t="shared" si="54"/>
        <v>0</v>
      </c>
      <c r="M729" s="1103"/>
      <c r="N729" s="1096"/>
      <c r="O729" s="1098"/>
      <c r="P729" s="1096"/>
      <c r="Q729" s="1107"/>
      <c r="R729" s="1104"/>
    </row>
    <row r="730" spans="1:18" s="1108" customFormat="1" ht="55.5" customHeight="1">
      <c r="A730" s="1119"/>
      <c r="B730" s="935" t="s">
        <v>4196</v>
      </c>
      <c r="C730" s="1120" t="e">
        <f>#REF!</f>
        <v>#REF!</v>
      </c>
      <c r="D730" s="1120" t="s">
        <v>533</v>
      </c>
      <c r="E730" s="1096"/>
      <c r="F730" s="1097" t="e">
        <f t="shared" si="58"/>
        <v>#REF!</v>
      </c>
      <c r="G730" s="1096"/>
      <c r="H730" s="1097" t="e">
        <f t="shared" si="59"/>
        <v>#REF!</v>
      </c>
      <c r="I730" s="1096"/>
      <c r="J730" s="1097" t="e">
        <f t="shared" ref="J730:J793" si="61">I730*C730</f>
        <v>#REF!</v>
      </c>
      <c r="K730" s="1096"/>
      <c r="L730" s="1097" t="e">
        <f t="shared" ref="L730:L793" si="62">K730*C730</f>
        <v>#REF!</v>
      </c>
      <c r="M730" s="1096"/>
      <c r="N730" s="1096"/>
      <c r="O730" s="1098"/>
      <c r="P730" s="1096"/>
      <c r="Q730" s="1107"/>
      <c r="R730" s="1099"/>
    </row>
    <row r="731" spans="1:18" ht="42" customHeight="1">
      <c r="A731" s="1090"/>
      <c r="B731" s="933" t="s">
        <v>4197</v>
      </c>
      <c r="C731" s="1092" t="e">
        <f>#REF!</f>
        <v>#REF!</v>
      </c>
      <c r="D731" s="1092" t="s">
        <v>306</v>
      </c>
      <c r="E731" s="1096"/>
      <c r="F731" s="1097" t="e">
        <f t="shared" si="58"/>
        <v>#REF!</v>
      </c>
      <c r="G731" s="1096"/>
      <c r="H731" s="1097" t="e">
        <f t="shared" si="59"/>
        <v>#REF!</v>
      </c>
      <c r="I731" s="1096"/>
      <c r="J731" s="1097" t="e">
        <f t="shared" si="61"/>
        <v>#REF!</v>
      </c>
      <c r="K731" s="1096"/>
      <c r="L731" s="1097" t="e">
        <f t="shared" si="62"/>
        <v>#REF!</v>
      </c>
      <c r="M731" s="1096"/>
      <c r="N731" s="1096"/>
      <c r="O731" s="1098"/>
      <c r="P731" s="1096"/>
      <c r="Q731" s="1099"/>
      <c r="R731" s="1099"/>
    </row>
    <row r="732" spans="1:18" s="1108" customFormat="1" ht="42.75" customHeight="1">
      <c r="A732" s="1119"/>
      <c r="B732" s="935" t="s">
        <v>4198</v>
      </c>
      <c r="C732" s="1120" t="e">
        <f>#REF!</f>
        <v>#REF!</v>
      </c>
      <c r="D732" s="1120" t="s">
        <v>306</v>
      </c>
      <c r="E732" s="1103"/>
      <c r="F732" s="1097" t="e">
        <f t="shared" si="58"/>
        <v>#REF!</v>
      </c>
      <c r="G732" s="1103"/>
      <c r="H732" s="1097" t="e">
        <f t="shared" si="59"/>
        <v>#REF!</v>
      </c>
      <c r="I732" s="1103"/>
      <c r="J732" s="1097" t="e">
        <f t="shared" si="61"/>
        <v>#REF!</v>
      </c>
      <c r="K732" s="1096"/>
      <c r="L732" s="1097" t="e">
        <f t="shared" si="62"/>
        <v>#REF!</v>
      </c>
      <c r="M732" s="1103"/>
      <c r="N732" s="1096"/>
      <c r="O732" s="1098"/>
      <c r="P732" s="1096"/>
      <c r="Q732" s="1107"/>
      <c r="R732" s="1104"/>
    </row>
    <row r="733" spans="1:18" s="1108" customFormat="1" ht="43.5" customHeight="1">
      <c r="A733" s="1090" t="s">
        <v>4199</v>
      </c>
      <c r="B733" s="933" t="s">
        <v>4200</v>
      </c>
      <c r="C733" s="1106" t="e">
        <f>#REF!</f>
        <v>#REF!</v>
      </c>
      <c r="D733" s="1106" t="s">
        <v>306</v>
      </c>
      <c r="E733" s="1103"/>
      <c r="F733" s="1097" t="e">
        <f t="shared" si="58"/>
        <v>#REF!</v>
      </c>
      <c r="G733" s="1103"/>
      <c r="H733" s="1097" t="e">
        <f t="shared" si="59"/>
        <v>#REF!</v>
      </c>
      <c r="I733" s="1103"/>
      <c r="J733" s="1097" t="e">
        <f t="shared" si="61"/>
        <v>#REF!</v>
      </c>
      <c r="K733" s="1096"/>
      <c r="L733" s="1097" t="e">
        <f t="shared" si="62"/>
        <v>#REF!</v>
      </c>
      <c r="M733" s="1103"/>
      <c r="N733" s="1096"/>
      <c r="O733" s="1098"/>
      <c r="P733" s="1096"/>
      <c r="Q733" s="1107"/>
      <c r="R733" s="1104"/>
    </row>
    <row r="734" spans="1:18" s="1108" customFormat="1" ht="39.75" customHeight="1">
      <c r="A734" s="1119"/>
      <c r="B734" s="935" t="s">
        <v>4201</v>
      </c>
      <c r="C734" s="1120" t="e">
        <f>#REF!</f>
        <v>#REF!</v>
      </c>
      <c r="D734" s="1120" t="s">
        <v>306</v>
      </c>
      <c r="E734" s="1096"/>
      <c r="F734" s="1097" t="e">
        <f t="shared" si="58"/>
        <v>#REF!</v>
      </c>
      <c r="G734" s="1096"/>
      <c r="H734" s="1097" t="e">
        <f t="shared" si="59"/>
        <v>#REF!</v>
      </c>
      <c r="I734" s="1096"/>
      <c r="J734" s="1097" t="e">
        <f t="shared" si="61"/>
        <v>#REF!</v>
      </c>
      <c r="K734" s="1096"/>
      <c r="L734" s="1097" t="e">
        <f t="shared" si="62"/>
        <v>#REF!</v>
      </c>
      <c r="M734" s="1096"/>
      <c r="N734" s="1096"/>
      <c r="O734" s="1098"/>
      <c r="P734" s="1096"/>
      <c r="Q734" s="1107"/>
      <c r="R734" s="1099"/>
    </row>
    <row r="735" spans="1:18" s="1108" customFormat="1" ht="46.5" customHeight="1">
      <c r="A735" s="1090"/>
      <c r="B735" s="928" t="s">
        <v>4202</v>
      </c>
      <c r="C735" s="1215"/>
      <c r="D735" s="1215"/>
      <c r="E735" s="1103"/>
      <c r="F735" s="1097">
        <f t="shared" si="58"/>
        <v>0</v>
      </c>
      <c r="G735" s="1103"/>
      <c r="H735" s="1097">
        <f t="shared" si="59"/>
        <v>0</v>
      </c>
      <c r="I735" s="1103"/>
      <c r="J735" s="1097">
        <f t="shared" si="61"/>
        <v>0</v>
      </c>
      <c r="K735" s="1096"/>
      <c r="L735" s="1097">
        <f t="shared" si="62"/>
        <v>0</v>
      </c>
      <c r="M735" s="1103"/>
      <c r="N735" s="1096"/>
      <c r="O735" s="1098"/>
      <c r="P735" s="1096"/>
      <c r="Q735" s="1107"/>
      <c r="R735" s="1104"/>
    </row>
    <row r="736" spans="1:18" s="1108" customFormat="1" ht="31.5" customHeight="1">
      <c r="A736" s="1090"/>
      <c r="B736" s="929" t="s">
        <v>4203</v>
      </c>
      <c r="C736" s="1215">
        <f>'[1]Sliding and french window'!G350</f>
        <v>3353.03</v>
      </c>
      <c r="D736" s="1215" t="s">
        <v>306</v>
      </c>
      <c r="E736" s="1103"/>
      <c r="F736" s="1097">
        <f t="shared" si="58"/>
        <v>0</v>
      </c>
      <c r="G736" s="1103"/>
      <c r="H736" s="1097">
        <f t="shared" si="59"/>
        <v>0</v>
      </c>
      <c r="I736" s="1103"/>
      <c r="J736" s="1097">
        <f t="shared" si="61"/>
        <v>0</v>
      </c>
      <c r="K736" s="1096"/>
      <c r="L736" s="1097">
        <f t="shared" si="62"/>
        <v>0</v>
      </c>
      <c r="M736" s="1103"/>
      <c r="N736" s="1096"/>
      <c r="O736" s="1098"/>
      <c r="P736" s="1096"/>
      <c r="Q736" s="1107"/>
      <c r="R736" s="1104"/>
    </row>
    <row r="737" spans="1:18" s="1108" customFormat="1" ht="31.5" customHeight="1">
      <c r="A737" s="1090"/>
      <c r="B737" s="929" t="s">
        <v>4204</v>
      </c>
      <c r="C737" s="1215">
        <f>'[1]Sliding and french window'!G491</f>
        <v>3169.22</v>
      </c>
      <c r="D737" s="1215" t="s">
        <v>306</v>
      </c>
      <c r="E737" s="1103"/>
      <c r="F737" s="1097">
        <f t="shared" si="58"/>
        <v>0</v>
      </c>
      <c r="G737" s="1103"/>
      <c r="H737" s="1097">
        <f t="shared" si="59"/>
        <v>0</v>
      </c>
      <c r="I737" s="1103"/>
      <c r="J737" s="1097">
        <f t="shared" si="61"/>
        <v>0</v>
      </c>
      <c r="K737" s="1096"/>
      <c r="L737" s="1097">
        <f t="shared" si="62"/>
        <v>0</v>
      </c>
      <c r="M737" s="1103"/>
      <c r="N737" s="1096"/>
      <c r="O737" s="1098"/>
      <c r="P737" s="1096"/>
      <c r="Q737" s="1107"/>
      <c r="R737" s="1104"/>
    </row>
    <row r="738" spans="1:18" s="1108" customFormat="1" ht="31.5" customHeight="1">
      <c r="A738" s="1090"/>
      <c r="B738" s="929" t="s">
        <v>4205</v>
      </c>
      <c r="C738" s="1215">
        <f>'[1]Sliding and french window'!G395</f>
        <v>4048</v>
      </c>
      <c r="D738" s="1215" t="s">
        <v>306</v>
      </c>
      <c r="E738" s="1103"/>
      <c r="F738" s="1097">
        <f t="shared" si="58"/>
        <v>0</v>
      </c>
      <c r="G738" s="1103"/>
      <c r="H738" s="1097">
        <f t="shared" si="59"/>
        <v>0</v>
      </c>
      <c r="I738" s="1103"/>
      <c r="J738" s="1097">
        <f t="shared" si="61"/>
        <v>0</v>
      </c>
      <c r="K738" s="1096"/>
      <c r="L738" s="1097">
        <f t="shared" si="62"/>
        <v>0</v>
      </c>
      <c r="M738" s="1103"/>
      <c r="N738" s="1096"/>
      <c r="O738" s="1098"/>
      <c r="P738" s="1096"/>
      <c r="Q738" s="1107"/>
      <c r="R738" s="1104"/>
    </row>
    <row r="739" spans="1:18" s="1108" customFormat="1" ht="31.5" customHeight="1">
      <c r="A739" s="1090"/>
      <c r="B739" s="929" t="s">
        <v>4206</v>
      </c>
      <c r="C739" s="1215">
        <f>'[1]Sliding and french window'!G440</f>
        <v>3758.93</v>
      </c>
      <c r="D739" s="1215" t="s">
        <v>306</v>
      </c>
      <c r="E739" s="1103"/>
      <c r="F739" s="1097">
        <f t="shared" si="58"/>
        <v>0</v>
      </c>
      <c r="G739" s="1103"/>
      <c r="H739" s="1097">
        <f t="shared" si="59"/>
        <v>0</v>
      </c>
      <c r="I739" s="1103"/>
      <c r="J739" s="1097">
        <f t="shared" si="61"/>
        <v>0</v>
      </c>
      <c r="K739" s="1096"/>
      <c r="L739" s="1097">
        <f t="shared" si="62"/>
        <v>0</v>
      </c>
      <c r="M739" s="1103"/>
      <c r="N739" s="1096"/>
      <c r="O739" s="1098"/>
      <c r="P739" s="1096"/>
      <c r="Q739" s="1107"/>
      <c r="R739" s="1104"/>
    </row>
    <row r="740" spans="1:18" s="1108" customFormat="1" ht="60.75" customHeight="1">
      <c r="A740" s="1090"/>
      <c r="B740" s="926" t="s">
        <v>4207</v>
      </c>
      <c r="C740" s="1183" t="e">
        <f>#REF!</f>
        <v>#REF!</v>
      </c>
      <c r="D740" s="1185" t="s">
        <v>3798</v>
      </c>
      <c r="E740" s="1103"/>
      <c r="F740" s="1097" t="e">
        <f t="shared" si="58"/>
        <v>#REF!</v>
      </c>
      <c r="G740" s="1103"/>
      <c r="H740" s="1097" t="e">
        <f t="shared" si="59"/>
        <v>#REF!</v>
      </c>
      <c r="I740" s="1103"/>
      <c r="J740" s="1097" t="e">
        <f t="shared" si="61"/>
        <v>#REF!</v>
      </c>
      <c r="K740" s="1096"/>
      <c r="L740" s="1097" t="e">
        <f t="shared" si="62"/>
        <v>#REF!</v>
      </c>
      <c r="M740" s="1103"/>
      <c r="N740" s="1096"/>
      <c r="O740" s="1098"/>
      <c r="P740" s="1096"/>
      <c r="Q740" s="1107"/>
      <c r="R740" s="1104"/>
    </row>
    <row r="741" spans="1:18" s="1108" customFormat="1" ht="51" customHeight="1">
      <c r="A741" s="1090"/>
      <c r="B741" s="926" t="s">
        <v>4208</v>
      </c>
      <c r="C741" s="1183" t="e">
        <f>#REF!</f>
        <v>#REF!</v>
      </c>
      <c r="D741" s="1185" t="s">
        <v>3798</v>
      </c>
      <c r="E741" s="1103"/>
      <c r="F741" s="1097" t="e">
        <f t="shared" si="58"/>
        <v>#REF!</v>
      </c>
      <c r="G741" s="1103"/>
      <c r="H741" s="1097" t="e">
        <f t="shared" si="59"/>
        <v>#REF!</v>
      </c>
      <c r="I741" s="1103"/>
      <c r="J741" s="1097" t="e">
        <f t="shared" si="61"/>
        <v>#REF!</v>
      </c>
      <c r="K741" s="1096"/>
      <c r="L741" s="1097" t="e">
        <f t="shared" si="62"/>
        <v>#REF!</v>
      </c>
      <c r="M741" s="1103"/>
      <c r="N741" s="1096"/>
      <c r="O741" s="1098"/>
      <c r="P741" s="1096"/>
      <c r="Q741" s="1107"/>
      <c r="R741" s="1104"/>
    </row>
    <row r="742" spans="1:18" s="1108" customFormat="1" ht="60" customHeight="1">
      <c r="A742" s="1090" t="s">
        <v>4209</v>
      </c>
      <c r="B742" s="1293" t="s">
        <v>4210</v>
      </c>
      <c r="C742" s="1183" t="e">
        <f>#REF!</f>
        <v>#REF!</v>
      </c>
      <c r="D742" s="943" t="s">
        <v>306</v>
      </c>
      <c r="E742" s="1103"/>
      <c r="F742" s="1097" t="e">
        <f t="shared" si="58"/>
        <v>#REF!</v>
      </c>
      <c r="G742" s="1103"/>
      <c r="H742" s="1097" t="e">
        <f t="shared" si="59"/>
        <v>#REF!</v>
      </c>
      <c r="I742" s="1103"/>
      <c r="J742" s="1097" t="e">
        <f t="shared" si="61"/>
        <v>#REF!</v>
      </c>
      <c r="K742" s="1096"/>
      <c r="L742" s="1097" t="e">
        <f t="shared" si="62"/>
        <v>#REF!</v>
      </c>
      <c r="M742" s="1103"/>
      <c r="N742" s="1096"/>
      <c r="O742" s="1098"/>
      <c r="P742" s="1096"/>
      <c r="Q742" s="1107"/>
      <c r="R742" s="1104"/>
    </row>
    <row r="743" spans="1:18" s="1108" customFormat="1" ht="46.5" customHeight="1">
      <c r="A743" s="1090">
        <f>11.6-7.25</f>
        <v>4.3499999999999996</v>
      </c>
      <c r="B743" s="933" t="s">
        <v>4211</v>
      </c>
      <c r="C743" s="1216">
        <v>915.02</v>
      </c>
      <c r="D743" s="943" t="s">
        <v>306</v>
      </c>
      <c r="E743" s="1103"/>
      <c r="F743" s="1097">
        <f t="shared" si="58"/>
        <v>0</v>
      </c>
      <c r="G743" s="1103"/>
      <c r="H743" s="1097">
        <f t="shared" si="59"/>
        <v>0</v>
      </c>
      <c r="I743" s="1103"/>
      <c r="J743" s="1097">
        <f t="shared" si="61"/>
        <v>0</v>
      </c>
      <c r="K743" s="1096"/>
      <c r="L743" s="1097">
        <f t="shared" si="62"/>
        <v>0</v>
      </c>
      <c r="M743" s="1103"/>
      <c r="N743" s="1096"/>
      <c r="O743" s="1098"/>
      <c r="P743" s="1096"/>
      <c r="Q743" s="1107"/>
      <c r="R743" s="1104"/>
    </row>
    <row r="744" spans="1:18" s="1108" customFormat="1" ht="69.75" customHeight="1">
      <c r="A744" s="1090"/>
      <c r="B744" s="933" t="s">
        <v>4212</v>
      </c>
      <c r="C744" s="1216">
        <v>990</v>
      </c>
      <c r="D744" s="943" t="s">
        <v>306</v>
      </c>
      <c r="E744" s="1103"/>
      <c r="F744" s="1097">
        <f t="shared" si="58"/>
        <v>0</v>
      </c>
      <c r="G744" s="1103"/>
      <c r="H744" s="1097">
        <f t="shared" si="59"/>
        <v>0</v>
      </c>
      <c r="I744" s="1103"/>
      <c r="J744" s="1097">
        <f t="shared" si="61"/>
        <v>0</v>
      </c>
      <c r="K744" s="1096"/>
      <c r="L744" s="1097">
        <f t="shared" si="62"/>
        <v>0</v>
      </c>
      <c r="M744" s="1103"/>
      <c r="N744" s="1096"/>
      <c r="O744" s="1098"/>
      <c r="P744" s="1096"/>
      <c r="Q744" s="1107"/>
      <c r="R744" s="1104"/>
    </row>
    <row r="745" spans="1:18" s="1108" customFormat="1" ht="25.5" customHeight="1">
      <c r="A745" s="1090"/>
      <c r="B745" s="933" t="s">
        <v>4213</v>
      </c>
      <c r="C745" s="1183">
        <v>905</v>
      </c>
      <c r="D745" s="943" t="s">
        <v>303</v>
      </c>
      <c r="E745" s="1103"/>
      <c r="F745" s="1097">
        <f t="shared" si="58"/>
        <v>0</v>
      </c>
      <c r="G745" s="1103"/>
      <c r="H745" s="1097">
        <f t="shared" si="59"/>
        <v>0</v>
      </c>
      <c r="I745" s="1103"/>
      <c r="J745" s="1097">
        <f t="shared" si="61"/>
        <v>0</v>
      </c>
      <c r="K745" s="1096"/>
      <c r="L745" s="1097">
        <f t="shared" si="62"/>
        <v>0</v>
      </c>
      <c r="M745" s="1103"/>
      <c r="N745" s="1096"/>
      <c r="O745" s="1098"/>
      <c r="P745" s="1096"/>
      <c r="Q745" s="1107"/>
      <c r="R745" s="1104"/>
    </row>
    <row r="746" spans="1:18" s="1108" customFormat="1" ht="25.5" customHeight="1">
      <c r="A746" s="1090"/>
      <c r="B746" s="933" t="s">
        <v>4214</v>
      </c>
      <c r="C746" s="1183">
        <v>8467.2999999999993</v>
      </c>
      <c r="D746" s="943" t="s">
        <v>340</v>
      </c>
      <c r="E746" s="1103"/>
      <c r="F746" s="1097">
        <f t="shared" si="58"/>
        <v>0</v>
      </c>
      <c r="G746" s="1103"/>
      <c r="H746" s="1097">
        <f t="shared" si="59"/>
        <v>0</v>
      </c>
      <c r="I746" s="1103"/>
      <c r="J746" s="1097">
        <f t="shared" si="61"/>
        <v>0</v>
      </c>
      <c r="K746" s="1096"/>
      <c r="L746" s="1097">
        <f t="shared" si="62"/>
        <v>0</v>
      </c>
      <c r="M746" s="1103"/>
      <c r="N746" s="1096"/>
      <c r="O746" s="1098"/>
      <c r="P746" s="1096"/>
      <c r="Q746" s="1107"/>
      <c r="R746" s="1104"/>
    </row>
    <row r="747" spans="1:18" s="1108" customFormat="1" ht="93" customHeight="1">
      <c r="A747" s="1090"/>
      <c r="B747" s="933" t="s">
        <v>4215</v>
      </c>
      <c r="C747" s="1183">
        <v>3409</v>
      </c>
      <c r="D747" s="943" t="s">
        <v>340</v>
      </c>
      <c r="E747" s="1103"/>
      <c r="F747" s="1097">
        <f t="shared" si="58"/>
        <v>0</v>
      </c>
      <c r="G747" s="1103"/>
      <c r="H747" s="1097">
        <f t="shared" si="59"/>
        <v>0</v>
      </c>
      <c r="I747" s="1103"/>
      <c r="J747" s="1097">
        <f t="shared" si="61"/>
        <v>0</v>
      </c>
      <c r="K747" s="1096"/>
      <c r="L747" s="1097">
        <f t="shared" si="62"/>
        <v>0</v>
      </c>
      <c r="M747" s="1103"/>
      <c r="N747" s="1096"/>
      <c r="O747" s="1098"/>
      <c r="P747" s="1096"/>
      <c r="Q747" s="1107"/>
      <c r="R747" s="1104"/>
    </row>
    <row r="748" spans="1:18" s="1108" customFormat="1" ht="93" customHeight="1">
      <c r="A748" s="1090"/>
      <c r="B748" s="933" t="s">
        <v>4216</v>
      </c>
      <c r="C748" s="1183">
        <v>1160</v>
      </c>
      <c r="D748" s="943" t="s">
        <v>340</v>
      </c>
      <c r="E748" s="1103"/>
      <c r="F748" s="1097">
        <f t="shared" si="58"/>
        <v>0</v>
      </c>
      <c r="G748" s="1103"/>
      <c r="H748" s="1097">
        <f t="shared" si="59"/>
        <v>0</v>
      </c>
      <c r="I748" s="1103"/>
      <c r="J748" s="1097">
        <f t="shared" si="61"/>
        <v>0</v>
      </c>
      <c r="K748" s="1096"/>
      <c r="L748" s="1097">
        <f t="shared" si="62"/>
        <v>0</v>
      </c>
      <c r="M748" s="1103"/>
      <c r="N748" s="1096"/>
      <c r="O748" s="1098"/>
      <c r="P748" s="1096"/>
      <c r="Q748" s="1107"/>
      <c r="R748" s="1104"/>
    </row>
    <row r="749" spans="1:18" s="1108" customFormat="1" ht="25.5" customHeight="1">
      <c r="A749" s="1090"/>
      <c r="B749" s="933" t="s">
        <v>4217</v>
      </c>
      <c r="C749" s="1183"/>
      <c r="D749" s="943"/>
      <c r="E749" s="1103"/>
      <c r="F749" s="1097">
        <f t="shared" si="58"/>
        <v>0</v>
      </c>
      <c r="G749" s="1103"/>
      <c r="H749" s="1097">
        <f t="shared" si="59"/>
        <v>0</v>
      </c>
      <c r="I749" s="1103"/>
      <c r="J749" s="1097">
        <f t="shared" si="61"/>
        <v>0</v>
      </c>
      <c r="K749" s="1096"/>
      <c r="L749" s="1097">
        <f t="shared" si="62"/>
        <v>0</v>
      </c>
      <c r="M749" s="1103"/>
      <c r="N749" s="1096"/>
      <c r="O749" s="1098"/>
      <c r="P749" s="1096"/>
      <c r="Q749" s="1107"/>
      <c r="R749" s="1104"/>
    </row>
    <row r="750" spans="1:18" s="1108" customFormat="1" ht="26.25" customHeight="1">
      <c r="A750" s="1090"/>
      <c r="B750" s="933" t="s">
        <v>4218</v>
      </c>
      <c r="C750" s="1183">
        <v>5640</v>
      </c>
      <c r="D750" s="943" t="s">
        <v>340</v>
      </c>
      <c r="E750" s="1103"/>
      <c r="F750" s="1097">
        <f t="shared" si="58"/>
        <v>0</v>
      </c>
      <c r="G750" s="1103"/>
      <c r="H750" s="1097">
        <f t="shared" si="59"/>
        <v>0</v>
      </c>
      <c r="I750" s="1103"/>
      <c r="J750" s="1097">
        <f t="shared" si="61"/>
        <v>0</v>
      </c>
      <c r="K750" s="1096"/>
      <c r="L750" s="1097">
        <f t="shared" si="62"/>
        <v>0</v>
      </c>
      <c r="M750" s="1103"/>
      <c r="N750" s="1096"/>
      <c r="O750" s="1098"/>
      <c r="P750" s="1096"/>
      <c r="Q750" s="1107"/>
      <c r="R750" s="1104"/>
    </row>
    <row r="751" spans="1:18" s="1108" customFormat="1" ht="25.5" customHeight="1">
      <c r="A751" s="1090"/>
      <c r="B751" s="933" t="s">
        <v>4219</v>
      </c>
      <c r="C751" s="1183">
        <v>1340</v>
      </c>
      <c r="D751" s="943" t="s">
        <v>340</v>
      </c>
      <c r="E751" s="1103"/>
      <c r="F751" s="1097">
        <f t="shared" si="58"/>
        <v>0</v>
      </c>
      <c r="G751" s="1103"/>
      <c r="H751" s="1097">
        <f t="shared" si="59"/>
        <v>0</v>
      </c>
      <c r="I751" s="1103"/>
      <c r="J751" s="1097">
        <f t="shared" si="61"/>
        <v>0</v>
      </c>
      <c r="K751" s="1096"/>
      <c r="L751" s="1097">
        <f t="shared" si="62"/>
        <v>0</v>
      </c>
      <c r="M751" s="1103"/>
      <c r="N751" s="1096"/>
      <c r="O751" s="1098"/>
      <c r="P751" s="1096"/>
      <c r="Q751" s="1107"/>
      <c r="R751" s="1104"/>
    </row>
    <row r="752" spans="1:18" s="1108" customFormat="1" ht="25.5" customHeight="1">
      <c r="A752" s="1090"/>
      <c r="B752" s="933" t="s">
        <v>4220</v>
      </c>
      <c r="C752" s="1183">
        <v>604</v>
      </c>
      <c r="D752" s="943" t="s">
        <v>340</v>
      </c>
      <c r="E752" s="1103"/>
      <c r="F752" s="1097">
        <f t="shared" si="58"/>
        <v>0</v>
      </c>
      <c r="G752" s="1103"/>
      <c r="H752" s="1097">
        <f t="shared" si="59"/>
        <v>0</v>
      </c>
      <c r="I752" s="1103"/>
      <c r="J752" s="1097">
        <f t="shared" si="61"/>
        <v>0</v>
      </c>
      <c r="K752" s="1096"/>
      <c r="L752" s="1097">
        <f t="shared" si="62"/>
        <v>0</v>
      </c>
      <c r="M752" s="1103"/>
      <c r="N752" s="1096"/>
      <c r="O752" s="1098"/>
      <c r="P752" s="1096"/>
      <c r="Q752" s="1107"/>
      <c r="R752" s="1104"/>
    </row>
    <row r="753" spans="1:18" s="1108" customFormat="1" ht="69.75" customHeight="1">
      <c r="A753" s="1090"/>
      <c r="B753" s="933" t="s">
        <v>4221</v>
      </c>
      <c r="C753" s="1183"/>
      <c r="D753" s="943"/>
      <c r="E753" s="1103"/>
      <c r="F753" s="1097">
        <f t="shared" si="58"/>
        <v>0</v>
      </c>
      <c r="G753" s="1103"/>
      <c r="H753" s="1097">
        <f t="shared" si="59"/>
        <v>0</v>
      </c>
      <c r="I753" s="1103"/>
      <c r="J753" s="1097">
        <f t="shared" si="61"/>
        <v>0</v>
      </c>
      <c r="K753" s="1096"/>
      <c r="L753" s="1097">
        <f t="shared" si="62"/>
        <v>0</v>
      </c>
      <c r="M753" s="1103"/>
      <c r="N753" s="1096"/>
      <c r="O753" s="1098"/>
      <c r="P753" s="1096"/>
      <c r="Q753" s="1107"/>
      <c r="R753" s="1104"/>
    </row>
    <row r="754" spans="1:18" s="1108" customFormat="1" ht="25.5" customHeight="1">
      <c r="A754" s="1090"/>
      <c r="B754" s="933" t="s">
        <v>4000</v>
      </c>
      <c r="C754" s="1183">
        <v>1000.51</v>
      </c>
      <c r="D754" s="943" t="s">
        <v>340</v>
      </c>
      <c r="E754" s="1103"/>
      <c r="F754" s="1097">
        <f t="shared" si="58"/>
        <v>0</v>
      </c>
      <c r="G754" s="1103"/>
      <c r="H754" s="1097">
        <f t="shared" si="59"/>
        <v>0</v>
      </c>
      <c r="I754" s="1103"/>
      <c r="J754" s="1097">
        <f t="shared" si="61"/>
        <v>0</v>
      </c>
      <c r="K754" s="1096"/>
      <c r="L754" s="1097">
        <f t="shared" si="62"/>
        <v>0</v>
      </c>
      <c r="M754" s="1103"/>
      <c r="N754" s="1096"/>
      <c r="O754" s="1098"/>
      <c r="P754" s="1096"/>
      <c r="Q754" s="1107"/>
      <c r="R754" s="1104"/>
    </row>
    <row r="755" spans="1:18" s="1108" customFormat="1" ht="25.5" customHeight="1">
      <c r="A755" s="1090"/>
      <c r="B755" s="933" t="s">
        <v>4001</v>
      </c>
      <c r="C755" s="1183">
        <v>1003.51</v>
      </c>
      <c r="D755" s="943" t="s">
        <v>340</v>
      </c>
      <c r="E755" s="1103"/>
      <c r="F755" s="1097">
        <f t="shared" si="58"/>
        <v>0</v>
      </c>
      <c r="G755" s="1103"/>
      <c r="H755" s="1097">
        <f t="shared" si="59"/>
        <v>0</v>
      </c>
      <c r="I755" s="1103"/>
      <c r="J755" s="1097">
        <f t="shared" si="61"/>
        <v>0</v>
      </c>
      <c r="K755" s="1096"/>
      <c r="L755" s="1097">
        <f t="shared" si="62"/>
        <v>0</v>
      </c>
      <c r="M755" s="1103"/>
      <c r="N755" s="1096"/>
      <c r="O755" s="1098"/>
      <c r="P755" s="1096"/>
      <c r="Q755" s="1107"/>
      <c r="R755" s="1104"/>
    </row>
    <row r="756" spans="1:18" s="1108" customFormat="1" ht="116.25" customHeight="1">
      <c r="A756" s="1090"/>
      <c r="B756" s="933" t="s">
        <v>4222</v>
      </c>
      <c r="C756" s="1183">
        <v>769.3</v>
      </c>
      <c r="D756" s="943" t="s">
        <v>340</v>
      </c>
      <c r="E756" s="1103"/>
      <c r="F756" s="1097">
        <f t="shared" si="58"/>
        <v>0</v>
      </c>
      <c r="G756" s="1103"/>
      <c r="H756" s="1097">
        <f t="shared" si="59"/>
        <v>0</v>
      </c>
      <c r="I756" s="1103"/>
      <c r="J756" s="1097">
        <f t="shared" si="61"/>
        <v>0</v>
      </c>
      <c r="K756" s="1096"/>
      <c r="L756" s="1097">
        <f t="shared" si="62"/>
        <v>0</v>
      </c>
      <c r="M756" s="1103"/>
      <c r="N756" s="1096"/>
      <c r="O756" s="1098"/>
      <c r="P756" s="1096"/>
      <c r="Q756" s="1107"/>
      <c r="R756" s="1104"/>
    </row>
    <row r="757" spans="1:18" s="1108" customFormat="1" ht="116.25" customHeight="1">
      <c r="A757" s="1090"/>
      <c r="B757" s="933" t="s">
        <v>4223</v>
      </c>
      <c r="C757" s="1183">
        <v>536.54999999999995</v>
      </c>
      <c r="D757" s="943" t="s">
        <v>340</v>
      </c>
      <c r="E757" s="1103"/>
      <c r="F757" s="1097">
        <f t="shared" si="58"/>
        <v>0</v>
      </c>
      <c r="G757" s="1103"/>
      <c r="H757" s="1097">
        <f t="shared" si="59"/>
        <v>0</v>
      </c>
      <c r="I757" s="1103"/>
      <c r="J757" s="1097">
        <f t="shared" si="61"/>
        <v>0</v>
      </c>
      <c r="K757" s="1096"/>
      <c r="L757" s="1097">
        <f t="shared" si="62"/>
        <v>0</v>
      </c>
      <c r="M757" s="1103"/>
      <c r="N757" s="1096"/>
      <c r="O757" s="1098"/>
      <c r="P757" s="1096"/>
      <c r="Q757" s="1107"/>
      <c r="R757" s="1104"/>
    </row>
    <row r="758" spans="1:18" s="1108" customFormat="1" ht="74.25" customHeight="1">
      <c r="A758" s="1090"/>
      <c r="B758" s="933" t="s">
        <v>4224</v>
      </c>
      <c r="C758" s="1183">
        <v>570</v>
      </c>
      <c r="D758" s="1217" t="s">
        <v>552</v>
      </c>
      <c r="E758" s="1096"/>
      <c r="F758" s="1097">
        <f t="shared" si="58"/>
        <v>0</v>
      </c>
      <c r="G758" s="1096"/>
      <c r="H758" s="1097">
        <f t="shared" si="59"/>
        <v>0</v>
      </c>
      <c r="I758" s="1096"/>
      <c r="J758" s="1097">
        <f t="shared" si="61"/>
        <v>0</v>
      </c>
      <c r="K758" s="1096"/>
      <c r="L758" s="1097">
        <f t="shared" si="62"/>
        <v>0</v>
      </c>
      <c r="M758" s="1096"/>
      <c r="N758" s="1096"/>
      <c r="O758" s="1098"/>
      <c r="P758" s="1096"/>
      <c r="Q758" s="1107"/>
      <c r="R758" s="1099"/>
    </row>
    <row r="759" spans="1:18" s="1108" customFormat="1" ht="75" customHeight="1">
      <c r="A759" s="1090"/>
      <c r="B759" s="933" t="s">
        <v>4225</v>
      </c>
      <c r="C759" s="1183">
        <v>472</v>
      </c>
      <c r="D759" s="1217" t="s">
        <v>552</v>
      </c>
      <c r="E759" s="1096"/>
      <c r="F759" s="1097">
        <f t="shared" si="58"/>
        <v>0</v>
      </c>
      <c r="G759" s="1103"/>
      <c r="H759" s="1097">
        <f t="shared" si="59"/>
        <v>0</v>
      </c>
      <c r="I759" s="1103"/>
      <c r="J759" s="1097">
        <f t="shared" si="61"/>
        <v>0</v>
      </c>
      <c r="K759" s="1096"/>
      <c r="L759" s="1097">
        <f t="shared" si="62"/>
        <v>0</v>
      </c>
      <c r="M759" s="1103"/>
      <c r="N759" s="1096"/>
      <c r="O759" s="1098"/>
      <c r="P759" s="1096"/>
      <c r="Q759" s="1107"/>
      <c r="R759" s="1104"/>
    </row>
    <row r="760" spans="1:18" s="1108" customFormat="1" ht="46.5" customHeight="1">
      <c r="A760" s="1090"/>
      <c r="B760" s="933" t="s">
        <v>4226</v>
      </c>
      <c r="C760" s="1183">
        <v>500</v>
      </c>
      <c r="D760" s="1217" t="s">
        <v>552</v>
      </c>
      <c r="E760" s="1103"/>
      <c r="F760" s="1097">
        <f t="shared" si="58"/>
        <v>0</v>
      </c>
      <c r="G760" s="1103"/>
      <c r="H760" s="1097">
        <f t="shared" si="59"/>
        <v>0</v>
      </c>
      <c r="I760" s="1103"/>
      <c r="J760" s="1097">
        <f t="shared" si="61"/>
        <v>0</v>
      </c>
      <c r="K760" s="1096"/>
      <c r="L760" s="1097">
        <f t="shared" si="62"/>
        <v>0</v>
      </c>
      <c r="M760" s="1103"/>
      <c r="N760" s="1096"/>
      <c r="O760" s="1098"/>
      <c r="P760" s="1096"/>
      <c r="Q760" s="1107"/>
      <c r="R760" s="1104"/>
    </row>
    <row r="761" spans="1:18" s="1108" customFormat="1" ht="25.5" customHeight="1">
      <c r="A761" s="1090"/>
      <c r="B761" s="933" t="s">
        <v>4227</v>
      </c>
      <c r="C761" s="1183">
        <v>317</v>
      </c>
      <c r="D761" s="1217" t="s">
        <v>552</v>
      </c>
      <c r="E761" s="1103"/>
      <c r="F761" s="1097">
        <f t="shared" si="58"/>
        <v>0</v>
      </c>
      <c r="G761" s="1103"/>
      <c r="H761" s="1097">
        <f t="shared" si="59"/>
        <v>0</v>
      </c>
      <c r="I761" s="1103"/>
      <c r="J761" s="1097">
        <f t="shared" si="61"/>
        <v>0</v>
      </c>
      <c r="K761" s="1096"/>
      <c r="L761" s="1097">
        <f t="shared" si="62"/>
        <v>0</v>
      </c>
      <c r="M761" s="1103"/>
      <c r="N761" s="1096"/>
      <c r="O761" s="1098"/>
      <c r="P761" s="1096"/>
      <c r="Q761" s="1107"/>
      <c r="R761" s="1104"/>
    </row>
    <row r="762" spans="1:18" s="1108" customFormat="1" ht="25.5" customHeight="1">
      <c r="A762" s="1090"/>
      <c r="B762" s="933" t="s">
        <v>4228</v>
      </c>
      <c r="C762" s="1183">
        <v>176.84</v>
      </c>
      <c r="D762" s="1217" t="s">
        <v>303</v>
      </c>
      <c r="E762" s="1103"/>
      <c r="F762" s="1097">
        <f t="shared" si="58"/>
        <v>0</v>
      </c>
      <c r="G762" s="1103"/>
      <c r="H762" s="1097">
        <f t="shared" si="59"/>
        <v>0</v>
      </c>
      <c r="I762" s="1103"/>
      <c r="J762" s="1097">
        <f t="shared" si="61"/>
        <v>0</v>
      </c>
      <c r="K762" s="1096"/>
      <c r="L762" s="1097">
        <f t="shared" si="62"/>
        <v>0</v>
      </c>
      <c r="M762" s="1103"/>
      <c r="N762" s="1096"/>
      <c r="O762" s="1098"/>
      <c r="P762" s="1096"/>
      <c r="Q762" s="1107"/>
      <c r="R762" s="1104"/>
    </row>
    <row r="763" spans="1:18" s="1108" customFormat="1" ht="69.75" customHeight="1">
      <c r="A763" s="1090"/>
      <c r="B763" s="933" t="s">
        <v>4229</v>
      </c>
      <c r="C763" s="1183">
        <v>353</v>
      </c>
      <c r="D763" s="1217" t="s">
        <v>340</v>
      </c>
      <c r="E763" s="1096"/>
      <c r="F763" s="1097">
        <f t="shared" si="58"/>
        <v>0</v>
      </c>
      <c r="G763" s="1096"/>
      <c r="H763" s="1097">
        <f t="shared" si="59"/>
        <v>0</v>
      </c>
      <c r="I763" s="1096"/>
      <c r="J763" s="1097">
        <f t="shared" si="61"/>
        <v>0</v>
      </c>
      <c r="K763" s="1096"/>
      <c r="L763" s="1097">
        <f t="shared" si="62"/>
        <v>0</v>
      </c>
      <c r="M763" s="1096"/>
      <c r="N763" s="1096"/>
      <c r="O763" s="1098"/>
      <c r="P763" s="1096"/>
      <c r="Q763" s="1107"/>
      <c r="R763" s="1099"/>
    </row>
    <row r="764" spans="1:18" s="1108" customFormat="1" ht="58.5" customHeight="1">
      <c r="A764" s="1090"/>
      <c r="B764" s="933" t="s">
        <v>4230</v>
      </c>
      <c r="C764" s="1183">
        <v>293</v>
      </c>
      <c r="D764" s="1183" t="s">
        <v>340</v>
      </c>
      <c r="E764" s="1096"/>
      <c r="F764" s="1097">
        <f t="shared" si="58"/>
        <v>0</v>
      </c>
      <c r="G764" s="1096"/>
      <c r="H764" s="1097">
        <f t="shared" si="59"/>
        <v>0</v>
      </c>
      <c r="I764" s="1096"/>
      <c r="J764" s="1097">
        <f t="shared" si="61"/>
        <v>0</v>
      </c>
      <c r="K764" s="1096"/>
      <c r="L764" s="1097">
        <f t="shared" si="62"/>
        <v>0</v>
      </c>
      <c r="M764" s="1096"/>
      <c r="N764" s="1096"/>
      <c r="O764" s="1098"/>
      <c r="P764" s="1096"/>
      <c r="Q764" s="1107"/>
      <c r="R764" s="1099"/>
    </row>
    <row r="765" spans="1:18" s="1108" customFormat="1" ht="27.75" customHeight="1">
      <c r="A765" s="1090"/>
      <c r="B765" s="928" t="s">
        <v>4231</v>
      </c>
      <c r="C765" s="1218" t="e">
        <f>#REF!</f>
        <v>#REF!</v>
      </c>
      <c r="D765" s="1219" t="s">
        <v>306</v>
      </c>
      <c r="E765" s="1103"/>
      <c r="F765" s="1097" t="e">
        <f t="shared" si="58"/>
        <v>#REF!</v>
      </c>
      <c r="G765" s="1103"/>
      <c r="H765" s="1097" t="e">
        <f t="shared" si="59"/>
        <v>#REF!</v>
      </c>
      <c r="I765" s="1103"/>
      <c r="J765" s="1097" t="e">
        <f t="shared" si="61"/>
        <v>#REF!</v>
      </c>
      <c r="K765" s="1096"/>
      <c r="L765" s="1097" t="e">
        <f t="shared" si="62"/>
        <v>#REF!</v>
      </c>
      <c r="M765" s="1103"/>
      <c r="N765" s="1096"/>
      <c r="O765" s="1098"/>
      <c r="P765" s="1096"/>
      <c r="Q765" s="1107"/>
      <c r="R765" s="1104"/>
    </row>
    <row r="766" spans="1:18" s="1108" customFormat="1" ht="27.75" customHeight="1">
      <c r="A766" s="1090"/>
      <c r="B766" s="928" t="s">
        <v>4232</v>
      </c>
      <c r="C766" s="1067" t="e">
        <f>#REF!</f>
        <v>#REF!</v>
      </c>
      <c r="D766" s="1067" t="s">
        <v>306</v>
      </c>
      <c r="E766" s="1103"/>
      <c r="F766" s="1097" t="e">
        <f t="shared" si="58"/>
        <v>#REF!</v>
      </c>
      <c r="G766" s="1103"/>
      <c r="H766" s="1097" t="e">
        <f t="shared" si="59"/>
        <v>#REF!</v>
      </c>
      <c r="I766" s="1103"/>
      <c r="J766" s="1097" t="e">
        <f t="shared" si="61"/>
        <v>#REF!</v>
      </c>
      <c r="K766" s="1096"/>
      <c r="L766" s="1097" t="e">
        <f t="shared" si="62"/>
        <v>#REF!</v>
      </c>
      <c r="M766" s="1103"/>
      <c r="N766" s="1096"/>
      <c r="O766" s="1098"/>
      <c r="P766" s="1096"/>
      <c r="Q766" s="1107"/>
      <c r="R766" s="1104"/>
    </row>
    <row r="767" spans="1:18" s="1108" customFormat="1" ht="27.75" customHeight="1">
      <c r="A767" s="1090"/>
      <c r="B767" s="928" t="s">
        <v>4233</v>
      </c>
      <c r="C767" s="1067">
        <f>'[1]Sliding and french window'!F310</f>
        <v>5808.54</v>
      </c>
      <c r="D767" s="1067" t="s">
        <v>306</v>
      </c>
      <c r="E767" s="1103"/>
      <c r="F767" s="1097">
        <f t="shared" si="58"/>
        <v>0</v>
      </c>
      <c r="G767" s="1103"/>
      <c r="H767" s="1097">
        <f t="shared" si="59"/>
        <v>0</v>
      </c>
      <c r="I767" s="1103"/>
      <c r="J767" s="1097">
        <f t="shared" si="61"/>
        <v>0</v>
      </c>
      <c r="K767" s="1096"/>
      <c r="L767" s="1097">
        <f t="shared" si="62"/>
        <v>0</v>
      </c>
      <c r="M767" s="1103"/>
      <c r="N767" s="1096"/>
      <c r="O767" s="1098"/>
      <c r="P767" s="1096"/>
      <c r="Q767" s="1107"/>
      <c r="R767" s="1104"/>
    </row>
    <row r="768" spans="1:18" s="1108" customFormat="1" ht="27.75" customHeight="1">
      <c r="A768" s="1090"/>
      <c r="B768" s="928" t="s">
        <v>4234</v>
      </c>
      <c r="C768" s="1067">
        <f>'[1]Sliding and french window'!F145</f>
        <v>5796.72</v>
      </c>
      <c r="D768" s="1067" t="s">
        <v>306</v>
      </c>
      <c r="E768" s="1103"/>
      <c r="F768" s="1097">
        <f t="shared" si="58"/>
        <v>0</v>
      </c>
      <c r="G768" s="1103"/>
      <c r="H768" s="1097">
        <f t="shared" si="59"/>
        <v>0</v>
      </c>
      <c r="I768" s="1103"/>
      <c r="J768" s="1097">
        <f t="shared" si="61"/>
        <v>0</v>
      </c>
      <c r="K768" s="1096"/>
      <c r="L768" s="1097">
        <f t="shared" si="62"/>
        <v>0</v>
      </c>
      <c r="M768" s="1103"/>
      <c r="N768" s="1096"/>
      <c r="O768" s="1098"/>
      <c r="P768" s="1096"/>
      <c r="Q768" s="1107"/>
      <c r="R768" s="1104"/>
    </row>
    <row r="769" spans="1:18" s="1108" customFormat="1" ht="27.75" customHeight="1">
      <c r="A769" s="1090"/>
      <c r="B769" s="928" t="s">
        <v>4235</v>
      </c>
      <c r="C769" s="1067">
        <f>'[1]Sliding and french window'!F167</f>
        <v>5136.1000000000004</v>
      </c>
      <c r="D769" s="1067" t="s">
        <v>306</v>
      </c>
      <c r="E769" s="1103"/>
      <c r="F769" s="1097">
        <f t="shared" si="58"/>
        <v>0</v>
      </c>
      <c r="G769" s="1103"/>
      <c r="H769" s="1097">
        <f t="shared" si="59"/>
        <v>0</v>
      </c>
      <c r="I769" s="1103"/>
      <c r="J769" s="1097">
        <f t="shared" si="61"/>
        <v>0</v>
      </c>
      <c r="K769" s="1096"/>
      <c r="L769" s="1097">
        <f t="shared" si="62"/>
        <v>0</v>
      </c>
      <c r="M769" s="1103"/>
      <c r="N769" s="1096"/>
      <c r="O769" s="1098"/>
      <c r="P769" s="1096"/>
      <c r="Q769" s="1107"/>
      <c r="R769" s="1104"/>
    </row>
    <row r="770" spans="1:18" s="1108" customFormat="1" ht="53.25" customHeight="1">
      <c r="A770" s="1090"/>
      <c r="B770" s="928" t="s">
        <v>4236</v>
      </c>
      <c r="C770" s="1067" t="e">
        <f>#REF!</f>
        <v>#REF!</v>
      </c>
      <c r="D770" s="1067" t="s">
        <v>306</v>
      </c>
      <c r="E770" s="1103"/>
      <c r="F770" s="1097" t="e">
        <f t="shared" si="58"/>
        <v>#REF!</v>
      </c>
      <c r="G770" s="1103"/>
      <c r="H770" s="1097" t="e">
        <f t="shared" si="59"/>
        <v>#REF!</v>
      </c>
      <c r="I770" s="1103"/>
      <c r="J770" s="1097" t="e">
        <f t="shared" si="61"/>
        <v>#REF!</v>
      </c>
      <c r="K770" s="1096"/>
      <c r="L770" s="1097" t="e">
        <f t="shared" si="62"/>
        <v>#REF!</v>
      </c>
      <c r="M770" s="1103"/>
      <c r="N770" s="1096"/>
      <c r="O770" s="1098"/>
      <c r="P770" s="1096"/>
      <c r="Q770" s="1107"/>
      <c r="R770" s="1104"/>
    </row>
    <row r="771" spans="1:18" s="1108" customFormat="1" ht="47.25" customHeight="1">
      <c r="A771" s="1090"/>
      <c r="B771" s="928" t="s">
        <v>4237</v>
      </c>
      <c r="C771" s="1067" t="e">
        <f>#REF!</f>
        <v>#REF!</v>
      </c>
      <c r="D771" s="1067" t="s">
        <v>306</v>
      </c>
      <c r="E771" s="1103"/>
      <c r="F771" s="1097" t="e">
        <f t="shared" si="58"/>
        <v>#REF!</v>
      </c>
      <c r="G771" s="1103"/>
      <c r="H771" s="1097" t="e">
        <f t="shared" si="59"/>
        <v>#REF!</v>
      </c>
      <c r="I771" s="1103"/>
      <c r="J771" s="1097" t="e">
        <f t="shared" si="61"/>
        <v>#REF!</v>
      </c>
      <c r="K771" s="1096"/>
      <c r="L771" s="1097" t="e">
        <f t="shared" si="62"/>
        <v>#REF!</v>
      </c>
      <c r="M771" s="1103"/>
      <c r="N771" s="1096"/>
      <c r="O771" s="1098"/>
      <c r="P771" s="1096"/>
      <c r="Q771" s="1107"/>
      <c r="R771" s="1104"/>
    </row>
    <row r="772" spans="1:18" s="1108" customFormat="1" ht="51" customHeight="1">
      <c r="A772" s="1090"/>
      <c r="B772" s="928" t="s">
        <v>4238</v>
      </c>
      <c r="C772" s="1067" t="e">
        <f>#REF!</f>
        <v>#REF!</v>
      </c>
      <c r="D772" s="1067" t="s">
        <v>306</v>
      </c>
      <c r="E772" s="1103"/>
      <c r="F772" s="1097" t="e">
        <f t="shared" si="58"/>
        <v>#REF!</v>
      </c>
      <c r="G772" s="1103"/>
      <c r="H772" s="1097" t="e">
        <f t="shared" si="59"/>
        <v>#REF!</v>
      </c>
      <c r="I772" s="1103"/>
      <c r="J772" s="1097" t="e">
        <f t="shared" si="61"/>
        <v>#REF!</v>
      </c>
      <c r="K772" s="1096"/>
      <c r="L772" s="1097" t="e">
        <f t="shared" si="62"/>
        <v>#REF!</v>
      </c>
      <c r="M772" s="1103"/>
      <c r="N772" s="1096"/>
      <c r="O772" s="1098"/>
      <c r="P772" s="1096"/>
      <c r="Q772" s="1107"/>
      <c r="R772" s="1104"/>
    </row>
    <row r="773" spans="1:18" s="1108" customFormat="1" ht="90" customHeight="1">
      <c r="A773" s="1090"/>
      <c r="B773" s="928" t="s">
        <v>4239</v>
      </c>
      <c r="C773" s="1067" t="e">
        <f>#REF!</f>
        <v>#REF!</v>
      </c>
      <c r="D773" s="1067" t="s">
        <v>306</v>
      </c>
      <c r="E773" s="1103"/>
      <c r="F773" s="1097" t="e">
        <f t="shared" si="58"/>
        <v>#REF!</v>
      </c>
      <c r="G773" s="1103"/>
      <c r="H773" s="1097" t="e">
        <f t="shared" si="59"/>
        <v>#REF!</v>
      </c>
      <c r="I773" s="1103"/>
      <c r="J773" s="1097" t="e">
        <f t="shared" si="61"/>
        <v>#REF!</v>
      </c>
      <c r="K773" s="1096"/>
      <c r="L773" s="1097" t="e">
        <f t="shared" si="62"/>
        <v>#REF!</v>
      </c>
      <c r="M773" s="1103"/>
      <c r="N773" s="1096"/>
      <c r="O773" s="1098"/>
      <c r="P773" s="1096"/>
      <c r="Q773" s="1107"/>
      <c r="R773" s="1104"/>
    </row>
    <row r="774" spans="1:18" s="1108" customFormat="1" ht="93" customHeight="1">
      <c r="A774" s="1090"/>
      <c r="B774" s="933" t="s">
        <v>4240</v>
      </c>
      <c r="C774" s="1183">
        <v>6950</v>
      </c>
      <c r="D774" s="1217" t="s">
        <v>340</v>
      </c>
      <c r="E774" s="1103"/>
      <c r="F774" s="1097">
        <f t="shared" si="58"/>
        <v>0</v>
      </c>
      <c r="G774" s="1103"/>
      <c r="H774" s="1097">
        <f t="shared" si="59"/>
        <v>0</v>
      </c>
      <c r="I774" s="1103"/>
      <c r="J774" s="1097">
        <f t="shared" si="61"/>
        <v>0</v>
      </c>
      <c r="K774" s="1096"/>
      <c r="L774" s="1097">
        <f t="shared" si="62"/>
        <v>0</v>
      </c>
      <c r="M774" s="1103"/>
      <c r="N774" s="1096"/>
      <c r="O774" s="1098"/>
      <c r="P774" s="1096"/>
      <c r="Q774" s="1107"/>
      <c r="R774" s="1104"/>
    </row>
    <row r="775" spans="1:18" s="1108" customFormat="1" ht="46.5" customHeight="1">
      <c r="A775" s="1090"/>
      <c r="B775" s="933" t="s">
        <v>4241</v>
      </c>
      <c r="C775" s="1183">
        <v>634</v>
      </c>
      <c r="D775" s="1217" t="s">
        <v>340</v>
      </c>
      <c r="E775" s="1103"/>
      <c r="F775" s="1097">
        <f t="shared" si="58"/>
        <v>0</v>
      </c>
      <c r="G775" s="1103"/>
      <c r="H775" s="1097">
        <f t="shared" si="59"/>
        <v>0</v>
      </c>
      <c r="I775" s="1103"/>
      <c r="J775" s="1097">
        <f t="shared" si="61"/>
        <v>0</v>
      </c>
      <c r="K775" s="1096"/>
      <c r="L775" s="1097">
        <f t="shared" si="62"/>
        <v>0</v>
      </c>
      <c r="M775" s="1103"/>
      <c r="N775" s="1096"/>
      <c r="O775" s="1098"/>
      <c r="P775" s="1096"/>
      <c r="Q775" s="1107"/>
      <c r="R775" s="1104"/>
    </row>
    <row r="776" spans="1:18" s="1108" customFormat="1" ht="69.75" customHeight="1">
      <c r="A776" s="1090"/>
      <c r="B776" s="933" t="s">
        <v>4242</v>
      </c>
      <c r="C776" s="1183">
        <v>9470</v>
      </c>
      <c r="D776" s="1217" t="s">
        <v>340</v>
      </c>
      <c r="E776" s="1103"/>
      <c r="F776" s="1097">
        <f t="shared" si="58"/>
        <v>0</v>
      </c>
      <c r="G776" s="1103"/>
      <c r="H776" s="1097">
        <f t="shared" si="59"/>
        <v>0</v>
      </c>
      <c r="I776" s="1103"/>
      <c r="J776" s="1097">
        <f t="shared" si="61"/>
        <v>0</v>
      </c>
      <c r="K776" s="1096"/>
      <c r="L776" s="1097">
        <f t="shared" si="62"/>
        <v>0</v>
      </c>
      <c r="M776" s="1103"/>
      <c r="N776" s="1096"/>
      <c r="O776" s="1098"/>
      <c r="P776" s="1096"/>
      <c r="Q776" s="1107"/>
      <c r="R776" s="1104"/>
    </row>
    <row r="777" spans="1:18" s="1108" customFormat="1" ht="63" customHeight="1">
      <c r="A777" s="1090"/>
      <c r="B777" s="933" t="s">
        <v>4243</v>
      </c>
      <c r="C777" s="1183">
        <v>293</v>
      </c>
      <c r="D777" s="1217" t="s">
        <v>340</v>
      </c>
      <c r="E777" s="1103"/>
      <c r="F777" s="1097">
        <f t="shared" ref="F777:F840" si="63">C777*E777</f>
        <v>0</v>
      </c>
      <c r="G777" s="1103"/>
      <c r="H777" s="1097">
        <f t="shared" ref="H777:H840" si="64">C777*G777</f>
        <v>0</v>
      </c>
      <c r="I777" s="1103"/>
      <c r="J777" s="1097">
        <f t="shared" si="61"/>
        <v>0</v>
      </c>
      <c r="K777" s="1096"/>
      <c r="L777" s="1097">
        <f t="shared" si="62"/>
        <v>0</v>
      </c>
      <c r="M777" s="1103"/>
      <c r="N777" s="1096"/>
      <c r="O777" s="1098"/>
      <c r="P777" s="1096"/>
      <c r="Q777" s="1107"/>
      <c r="R777" s="1104"/>
    </row>
    <row r="778" spans="1:18" s="1108" customFormat="1" ht="69.75" customHeight="1">
      <c r="A778" s="1090"/>
      <c r="B778" s="933" t="s">
        <v>4244</v>
      </c>
      <c r="C778" s="1183">
        <v>704.75</v>
      </c>
      <c r="D778" s="943" t="s">
        <v>340</v>
      </c>
      <c r="E778" s="1103"/>
      <c r="F778" s="1097">
        <f t="shared" si="63"/>
        <v>0</v>
      </c>
      <c r="G778" s="1103"/>
      <c r="H778" s="1097">
        <f t="shared" si="64"/>
        <v>0</v>
      </c>
      <c r="I778" s="1103"/>
      <c r="J778" s="1097">
        <f t="shared" si="61"/>
        <v>0</v>
      </c>
      <c r="K778" s="1096"/>
      <c r="L778" s="1097">
        <f t="shared" si="62"/>
        <v>0</v>
      </c>
      <c r="M778" s="1103"/>
      <c r="N778" s="1096"/>
      <c r="O778" s="1098"/>
      <c r="P778" s="1096"/>
      <c r="Q778" s="1107"/>
      <c r="R778" s="1104"/>
    </row>
    <row r="779" spans="1:18" s="1108" customFormat="1" ht="88.5" customHeight="1">
      <c r="A779" s="1090"/>
      <c r="B779" s="933" t="s">
        <v>4245</v>
      </c>
      <c r="C779" s="1183">
        <v>769</v>
      </c>
      <c r="D779" s="943" t="s">
        <v>340</v>
      </c>
      <c r="E779" s="1103"/>
      <c r="F779" s="1097">
        <f t="shared" si="63"/>
        <v>0</v>
      </c>
      <c r="G779" s="1103"/>
      <c r="H779" s="1097">
        <f t="shared" si="64"/>
        <v>0</v>
      </c>
      <c r="I779" s="1103"/>
      <c r="J779" s="1097">
        <f t="shared" si="61"/>
        <v>0</v>
      </c>
      <c r="K779" s="1096"/>
      <c r="L779" s="1097">
        <f t="shared" si="62"/>
        <v>0</v>
      </c>
      <c r="M779" s="1103"/>
      <c r="N779" s="1096"/>
      <c r="O779" s="1098"/>
      <c r="P779" s="1096"/>
      <c r="Q779" s="1107"/>
      <c r="R779" s="1104"/>
    </row>
    <row r="780" spans="1:18" s="1108" customFormat="1" ht="25.5" customHeight="1">
      <c r="A780" s="1090"/>
      <c r="B780" s="930" t="s">
        <v>4246</v>
      </c>
      <c r="C780" s="1183">
        <v>473.5</v>
      </c>
      <c r="D780" s="1217" t="s">
        <v>303</v>
      </c>
      <c r="E780" s="1103"/>
      <c r="F780" s="1097">
        <f t="shared" si="63"/>
        <v>0</v>
      </c>
      <c r="G780" s="1103"/>
      <c r="H780" s="1097">
        <f t="shared" si="64"/>
        <v>0</v>
      </c>
      <c r="I780" s="1103"/>
      <c r="J780" s="1097">
        <f t="shared" si="61"/>
        <v>0</v>
      </c>
      <c r="K780" s="1096"/>
      <c r="L780" s="1097">
        <f t="shared" si="62"/>
        <v>0</v>
      </c>
      <c r="M780" s="1103"/>
      <c r="N780" s="1096"/>
      <c r="O780" s="1098"/>
      <c r="P780" s="1096"/>
      <c r="Q780" s="1107"/>
      <c r="R780" s="1104"/>
    </row>
    <row r="781" spans="1:18" s="1108" customFormat="1" ht="72" customHeight="1">
      <c r="A781" s="1090"/>
      <c r="B781" s="930" t="s">
        <v>4247</v>
      </c>
      <c r="C781" s="1183">
        <v>994</v>
      </c>
      <c r="D781" s="1217" t="s">
        <v>340</v>
      </c>
      <c r="E781" s="1103"/>
      <c r="F781" s="1097">
        <f t="shared" si="63"/>
        <v>0</v>
      </c>
      <c r="G781" s="1103"/>
      <c r="H781" s="1097">
        <f t="shared" si="64"/>
        <v>0</v>
      </c>
      <c r="I781" s="1103"/>
      <c r="J781" s="1097">
        <f t="shared" si="61"/>
        <v>0</v>
      </c>
      <c r="K781" s="1096"/>
      <c r="L781" s="1097">
        <f t="shared" si="62"/>
        <v>0</v>
      </c>
      <c r="M781" s="1103"/>
      <c r="N781" s="1096"/>
      <c r="O781" s="1098"/>
      <c r="P781" s="1096"/>
      <c r="Q781" s="1107"/>
      <c r="R781" s="1104"/>
    </row>
    <row r="782" spans="1:18" s="1108" customFormat="1" ht="25.5" customHeight="1">
      <c r="A782" s="1090"/>
      <c r="B782" s="930" t="s">
        <v>4248</v>
      </c>
      <c r="C782" s="1183">
        <v>11481.8</v>
      </c>
      <c r="D782" s="1217" t="s">
        <v>340</v>
      </c>
      <c r="E782" s="1103"/>
      <c r="F782" s="1097">
        <f t="shared" si="63"/>
        <v>0</v>
      </c>
      <c r="G782" s="1103"/>
      <c r="H782" s="1097">
        <f t="shared" si="64"/>
        <v>0</v>
      </c>
      <c r="I782" s="1103"/>
      <c r="J782" s="1097">
        <f t="shared" si="61"/>
        <v>0</v>
      </c>
      <c r="K782" s="1096"/>
      <c r="L782" s="1097">
        <f t="shared" si="62"/>
        <v>0</v>
      </c>
      <c r="M782" s="1103"/>
      <c r="N782" s="1096"/>
      <c r="O782" s="1098"/>
      <c r="P782" s="1096"/>
      <c r="Q782" s="1107"/>
      <c r="R782" s="1104"/>
    </row>
    <row r="783" spans="1:18" s="1108" customFormat="1" ht="46.5" customHeight="1">
      <c r="A783" s="1090"/>
      <c r="B783" s="930" t="s">
        <v>4249</v>
      </c>
      <c r="C783" s="1183">
        <v>5325.6</v>
      </c>
      <c r="D783" s="1217" t="s">
        <v>340</v>
      </c>
      <c r="E783" s="1103"/>
      <c r="F783" s="1097">
        <f t="shared" si="63"/>
        <v>0</v>
      </c>
      <c r="G783" s="1103"/>
      <c r="H783" s="1097">
        <f t="shared" si="64"/>
        <v>0</v>
      </c>
      <c r="I783" s="1103"/>
      <c r="J783" s="1097">
        <f t="shared" si="61"/>
        <v>0</v>
      </c>
      <c r="K783" s="1096"/>
      <c r="L783" s="1097">
        <f t="shared" si="62"/>
        <v>0</v>
      </c>
      <c r="M783" s="1103"/>
      <c r="N783" s="1096"/>
      <c r="O783" s="1098"/>
      <c r="P783" s="1096"/>
      <c r="Q783" s="1107"/>
      <c r="R783" s="1104"/>
    </row>
    <row r="784" spans="1:18" s="1108" customFormat="1" ht="46.5" customHeight="1">
      <c r="A784" s="1090"/>
      <c r="B784" s="930" t="s">
        <v>4250</v>
      </c>
      <c r="C784" s="1183">
        <v>8254.6</v>
      </c>
      <c r="D784" s="1217" t="s">
        <v>340</v>
      </c>
      <c r="E784" s="1103"/>
      <c r="F784" s="1097">
        <f t="shared" si="63"/>
        <v>0</v>
      </c>
      <c r="G784" s="1103"/>
      <c r="H784" s="1097">
        <f t="shared" si="64"/>
        <v>0</v>
      </c>
      <c r="I784" s="1103"/>
      <c r="J784" s="1097">
        <f t="shared" si="61"/>
        <v>0</v>
      </c>
      <c r="K784" s="1096"/>
      <c r="L784" s="1097">
        <f t="shared" si="62"/>
        <v>0</v>
      </c>
      <c r="M784" s="1103"/>
      <c r="N784" s="1096"/>
      <c r="O784" s="1098"/>
      <c r="P784" s="1096"/>
      <c r="Q784" s="1107"/>
      <c r="R784" s="1104"/>
    </row>
    <row r="785" spans="1:18" s="1108" customFormat="1" ht="46.5" customHeight="1">
      <c r="A785" s="1090"/>
      <c r="B785" s="930" t="s">
        <v>4251</v>
      </c>
      <c r="C785" s="1183">
        <v>6588</v>
      </c>
      <c r="D785" s="1217" t="s">
        <v>340</v>
      </c>
      <c r="E785" s="1103"/>
      <c r="F785" s="1097">
        <f t="shared" si="63"/>
        <v>0</v>
      </c>
      <c r="G785" s="1103"/>
      <c r="H785" s="1097">
        <f t="shared" si="64"/>
        <v>0</v>
      </c>
      <c r="I785" s="1103"/>
      <c r="J785" s="1097">
        <f t="shared" si="61"/>
        <v>0</v>
      </c>
      <c r="K785" s="1096"/>
      <c r="L785" s="1097">
        <f t="shared" si="62"/>
        <v>0</v>
      </c>
      <c r="M785" s="1103"/>
      <c r="N785" s="1096"/>
      <c r="O785" s="1098"/>
      <c r="P785" s="1096"/>
      <c r="Q785" s="1107"/>
      <c r="R785" s="1104"/>
    </row>
    <row r="786" spans="1:18" s="1108" customFormat="1" ht="46.5" customHeight="1">
      <c r="A786" s="1090"/>
      <c r="B786" s="930" t="s">
        <v>4252</v>
      </c>
      <c r="C786" s="1183">
        <v>593</v>
      </c>
      <c r="D786" s="1220" t="s">
        <v>340</v>
      </c>
      <c r="E786" s="1103"/>
      <c r="F786" s="1097">
        <f t="shared" si="63"/>
        <v>0</v>
      </c>
      <c r="G786" s="1103"/>
      <c r="H786" s="1097">
        <f t="shared" si="64"/>
        <v>0</v>
      </c>
      <c r="I786" s="1103"/>
      <c r="J786" s="1097">
        <f t="shared" si="61"/>
        <v>0</v>
      </c>
      <c r="K786" s="1096"/>
      <c r="L786" s="1097">
        <f t="shared" si="62"/>
        <v>0</v>
      </c>
      <c r="M786" s="1103"/>
      <c r="N786" s="1096"/>
      <c r="O786" s="1098"/>
      <c r="P786" s="1096"/>
      <c r="Q786" s="1107"/>
      <c r="R786" s="1104"/>
    </row>
    <row r="787" spans="1:18" s="1225" customFormat="1" ht="25.5" customHeight="1">
      <c r="A787" s="1221"/>
      <c r="B787" s="931" t="s">
        <v>4253</v>
      </c>
      <c r="C787" s="1222"/>
      <c r="D787" s="1223"/>
      <c r="E787" s="1103"/>
      <c r="F787" s="1097">
        <f t="shared" si="63"/>
        <v>0</v>
      </c>
      <c r="G787" s="1103"/>
      <c r="H787" s="1097">
        <f t="shared" si="64"/>
        <v>0</v>
      </c>
      <c r="I787" s="1103"/>
      <c r="J787" s="1097">
        <f t="shared" si="61"/>
        <v>0</v>
      </c>
      <c r="K787" s="1096"/>
      <c r="L787" s="1097">
        <f t="shared" si="62"/>
        <v>0</v>
      </c>
      <c r="M787" s="1103"/>
      <c r="N787" s="1096"/>
      <c r="O787" s="1098"/>
      <c r="P787" s="1096"/>
      <c r="Q787" s="1224"/>
      <c r="R787" s="1104"/>
    </row>
    <row r="788" spans="1:18" s="1108" customFormat="1" ht="25.5" customHeight="1">
      <c r="A788" s="1090"/>
      <c r="B788" s="926" t="s">
        <v>4254</v>
      </c>
      <c r="C788" s="1183">
        <v>6300</v>
      </c>
      <c r="D788" s="1185" t="s">
        <v>306</v>
      </c>
      <c r="E788" s="1103"/>
      <c r="F788" s="1097">
        <f t="shared" si="63"/>
        <v>0</v>
      </c>
      <c r="G788" s="1103"/>
      <c r="H788" s="1097">
        <f t="shared" si="64"/>
        <v>0</v>
      </c>
      <c r="I788" s="1103"/>
      <c r="J788" s="1097">
        <f t="shared" si="61"/>
        <v>0</v>
      </c>
      <c r="K788" s="1096"/>
      <c r="L788" s="1097">
        <f t="shared" si="62"/>
        <v>0</v>
      </c>
      <c r="M788" s="1103"/>
      <c r="N788" s="1096"/>
      <c r="O788" s="1098"/>
      <c r="P788" s="1096"/>
      <c r="Q788" s="1107"/>
      <c r="R788" s="1104"/>
    </row>
    <row r="789" spans="1:18" s="1108" customFormat="1" ht="25.5" customHeight="1">
      <c r="A789" s="1090"/>
      <c r="B789" s="926" t="s">
        <v>4255</v>
      </c>
      <c r="C789" s="1183">
        <v>6300</v>
      </c>
      <c r="D789" s="1185" t="s">
        <v>306</v>
      </c>
      <c r="E789" s="1103"/>
      <c r="F789" s="1097">
        <f t="shared" si="63"/>
        <v>0</v>
      </c>
      <c r="G789" s="1103"/>
      <c r="H789" s="1097">
        <f t="shared" si="64"/>
        <v>0</v>
      </c>
      <c r="I789" s="1103"/>
      <c r="J789" s="1097">
        <f t="shared" si="61"/>
        <v>0</v>
      </c>
      <c r="K789" s="1096"/>
      <c r="L789" s="1097">
        <f t="shared" si="62"/>
        <v>0</v>
      </c>
      <c r="M789" s="1103"/>
      <c r="N789" s="1096"/>
      <c r="O789" s="1098"/>
      <c r="P789" s="1096"/>
      <c r="Q789" s="1107"/>
      <c r="R789" s="1104"/>
    </row>
    <row r="790" spans="1:18" s="1108" customFormat="1" ht="25.5" customHeight="1">
      <c r="A790" s="1090"/>
      <c r="B790" s="926" t="s">
        <v>4256</v>
      </c>
      <c r="C790" s="1183">
        <v>6300</v>
      </c>
      <c r="D790" s="1185" t="s">
        <v>306</v>
      </c>
      <c r="E790" s="1103"/>
      <c r="F790" s="1097">
        <f t="shared" si="63"/>
        <v>0</v>
      </c>
      <c r="G790" s="1103"/>
      <c r="H790" s="1097">
        <f t="shared" si="64"/>
        <v>0</v>
      </c>
      <c r="I790" s="1103"/>
      <c r="J790" s="1097">
        <f t="shared" si="61"/>
        <v>0</v>
      </c>
      <c r="K790" s="1096"/>
      <c r="L790" s="1097">
        <f t="shared" si="62"/>
        <v>0</v>
      </c>
      <c r="M790" s="1103"/>
      <c r="N790" s="1096"/>
      <c r="O790" s="1098"/>
      <c r="P790" s="1096"/>
      <c r="Q790" s="1107"/>
      <c r="R790" s="1104"/>
    </row>
    <row r="791" spans="1:18" s="1108" customFormat="1" ht="25.5" customHeight="1">
      <c r="A791" s="1090"/>
      <c r="B791" s="926" t="s">
        <v>4257</v>
      </c>
      <c r="C791" s="1183">
        <v>6300</v>
      </c>
      <c r="D791" s="1185" t="s">
        <v>306</v>
      </c>
      <c r="E791" s="1103"/>
      <c r="F791" s="1097">
        <f t="shared" si="63"/>
        <v>0</v>
      </c>
      <c r="G791" s="1103"/>
      <c r="H791" s="1097">
        <f t="shared" si="64"/>
        <v>0</v>
      </c>
      <c r="I791" s="1103"/>
      <c r="J791" s="1097">
        <f t="shared" si="61"/>
        <v>0</v>
      </c>
      <c r="K791" s="1096"/>
      <c r="L791" s="1097">
        <f t="shared" si="62"/>
        <v>0</v>
      </c>
      <c r="M791" s="1103"/>
      <c r="N791" s="1096"/>
      <c r="O791" s="1098"/>
      <c r="P791" s="1096"/>
      <c r="Q791" s="1107"/>
      <c r="R791" s="1104"/>
    </row>
    <row r="792" spans="1:18" s="1108" customFormat="1" ht="25.5" customHeight="1">
      <c r="A792" s="1090"/>
      <c r="B792" s="926" t="s">
        <v>4258</v>
      </c>
      <c r="C792" s="1183">
        <v>6300</v>
      </c>
      <c r="D792" s="1185" t="s">
        <v>306</v>
      </c>
      <c r="E792" s="1103"/>
      <c r="F792" s="1097">
        <f t="shared" si="63"/>
        <v>0</v>
      </c>
      <c r="G792" s="1103"/>
      <c r="H792" s="1097">
        <f t="shared" si="64"/>
        <v>0</v>
      </c>
      <c r="I792" s="1103"/>
      <c r="J792" s="1097">
        <f t="shared" si="61"/>
        <v>0</v>
      </c>
      <c r="K792" s="1096"/>
      <c r="L792" s="1097">
        <f t="shared" si="62"/>
        <v>0</v>
      </c>
      <c r="M792" s="1103"/>
      <c r="N792" s="1096"/>
      <c r="O792" s="1098"/>
      <c r="P792" s="1096"/>
      <c r="Q792" s="1107"/>
      <c r="R792" s="1104"/>
    </row>
    <row r="793" spans="1:18" s="1108" customFormat="1" ht="25.5" customHeight="1">
      <c r="A793" s="1090"/>
      <c r="B793" s="926">
        <v>0</v>
      </c>
      <c r="C793" s="1183">
        <v>6300</v>
      </c>
      <c r="D793" s="1185" t="s">
        <v>306</v>
      </c>
      <c r="E793" s="1103"/>
      <c r="F793" s="1097">
        <f t="shared" si="63"/>
        <v>0</v>
      </c>
      <c r="G793" s="1103"/>
      <c r="H793" s="1097">
        <f t="shared" si="64"/>
        <v>0</v>
      </c>
      <c r="I793" s="1103"/>
      <c r="J793" s="1097">
        <f t="shared" si="61"/>
        <v>0</v>
      </c>
      <c r="K793" s="1096"/>
      <c r="L793" s="1097">
        <f t="shared" si="62"/>
        <v>0</v>
      </c>
      <c r="M793" s="1103"/>
      <c r="N793" s="1096"/>
      <c r="O793" s="1098"/>
      <c r="P793" s="1096"/>
      <c r="Q793" s="1107"/>
      <c r="R793" s="1104"/>
    </row>
    <row r="794" spans="1:18" s="1108" customFormat="1" ht="25.5" customHeight="1">
      <c r="A794" s="1090"/>
      <c r="B794" s="926" t="s">
        <v>4259</v>
      </c>
      <c r="C794" s="1183">
        <v>6300</v>
      </c>
      <c r="D794" s="1185" t="s">
        <v>306</v>
      </c>
      <c r="E794" s="1103"/>
      <c r="F794" s="1097">
        <f t="shared" si="63"/>
        <v>0</v>
      </c>
      <c r="G794" s="1103"/>
      <c r="H794" s="1097">
        <f t="shared" si="64"/>
        <v>0</v>
      </c>
      <c r="I794" s="1103"/>
      <c r="J794" s="1097">
        <f t="shared" ref="J794:J857" si="65">I794*C794</f>
        <v>0</v>
      </c>
      <c r="K794" s="1096"/>
      <c r="L794" s="1097">
        <f t="shared" ref="L794:L857" si="66">K794*C794</f>
        <v>0</v>
      </c>
      <c r="M794" s="1103"/>
      <c r="N794" s="1096"/>
      <c r="O794" s="1098"/>
      <c r="P794" s="1096"/>
      <c r="Q794" s="1107"/>
      <c r="R794" s="1104"/>
    </row>
    <row r="795" spans="1:18" s="1108" customFormat="1" ht="25.5" customHeight="1">
      <c r="A795" s="1090"/>
      <c r="B795" s="926" t="s">
        <v>4260</v>
      </c>
      <c r="C795" s="1183">
        <v>6300</v>
      </c>
      <c r="D795" s="1185" t="s">
        <v>306</v>
      </c>
      <c r="E795" s="1103"/>
      <c r="F795" s="1097">
        <f t="shared" si="63"/>
        <v>0</v>
      </c>
      <c r="G795" s="1103"/>
      <c r="H795" s="1097">
        <f t="shared" si="64"/>
        <v>0</v>
      </c>
      <c r="I795" s="1103"/>
      <c r="J795" s="1097">
        <f t="shared" si="65"/>
        <v>0</v>
      </c>
      <c r="K795" s="1096"/>
      <c r="L795" s="1097">
        <f t="shared" si="66"/>
        <v>0</v>
      </c>
      <c r="M795" s="1103"/>
      <c r="N795" s="1096"/>
      <c r="O795" s="1098"/>
      <c r="P795" s="1096"/>
      <c r="Q795" s="1107"/>
      <c r="R795" s="1104"/>
    </row>
    <row r="796" spans="1:18" s="1108" customFormat="1" ht="40.5" customHeight="1">
      <c r="A796" s="1090"/>
      <c r="B796" s="926" t="s">
        <v>4261</v>
      </c>
      <c r="C796" s="1106">
        <v>5654</v>
      </c>
      <c r="D796" s="1106" t="s">
        <v>4262</v>
      </c>
      <c r="E796" s="1103"/>
      <c r="F796" s="1097">
        <f t="shared" si="63"/>
        <v>0</v>
      </c>
      <c r="G796" s="1103"/>
      <c r="H796" s="1097">
        <f t="shared" si="64"/>
        <v>0</v>
      </c>
      <c r="I796" s="1103"/>
      <c r="J796" s="1097">
        <f t="shared" si="65"/>
        <v>0</v>
      </c>
      <c r="K796" s="1096"/>
      <c r="L796" s="1097">
        <f t="shared" si="66"/>
        <v>0</v>
      </c>
      <c r="M796" s="1103"/>
      <c r="N796" s="1096"/>
      <c r="O796" s="1098"/>
      <c r="P796" s="1096"/>
      <c r="Q796" s="1107"/>
      <c r="R796" s="1104"/>
    </row>
    <row r="797" spans="1:18" s="1108" customFormat="1" ht="81.75" customHeight="1">
      <c r="A797" s="1090"/>
      <c r="B797" s="1294" t="s">
        <v>4263</v>
      </c>
      <c r="C797" s="1106">
        <v>7720</v>
      </c>
      <c r="D797" s="1226" t="s">
        <v>306</v>
      </c>
      <c r="E797" s="1096"/>
      <c r="F797" s="1097">
        <f t="shared" si="63"/>
        <v>0</v>
      </c>
      <c r="G797" s="1096"/>
      <c r="H797" s="1097">
        <f t="shared" si="64"/>
        <v>0</v>
      </c>
      <c r="I797" s="1096"/>
      <c r="J797" s="1097">
        <f t="shared" si="65"/>
        <v>0</v>
      </c>
      <c r="K797" s="1096"/>
      <c r="L797" s="1097">
        <f t="shared" si="66"/>
        <v>0</v>
      </c>
      <c r="M797" s="1096"/>
      <c r="N797" s="1096"/>
      <c r="O797" s="1098"/>
      <c r="P797" s="1096"/>
      <c r="Q797" s="1107"/>
      <c r="R797" s="1099"/>
    </row>
    <row r="798" spans="1:18" s="1108" customFormat="1" ht="98.25" customHeight="1">
      <c r="A798" s="1090"/>
      <c r="B798" s="1294" t="s">
        <v>4264</v>
      </c>
      <c r="C798" s="1106">
        <v>7126</v>
      </c>
      <c r="D798" s="1226" t="s">
        <v>306</v>
      </c>
      <c r="E798" s="1096"/>
      <c r="F798" s="1097">
        <f t="shared" si="63"/>
        <v>0</v>
      </c>
      <c r="G798" s="1096"/>
      <c r="H798" s="1097">
        <f t="shared" si="64"/>
        <v>0</v>
      </c>
      <c r="I798" s="1096"/>
      <c r="J798" s="1097">
        <f t="shared" si="65"/>
        <v>0</v>
      </c>
      <c r="K798" s="1096"/>
      <c r="L798" s="1097">
        <f t="shared" si="66"/>
        <v>0</v>
      </c>
      <c r="M798" s="1096"/>
      <c r="N798" s="1096"/>
      <c r="O798" s="1098"/>
      <c r="P798" s="1096"/>
      <c r="Q798" s="1107"/>
      <c r="R798" s="1099"/>
    </row>
    <row r="799" spans="1:18" s="1108" customFormat="1" ht="66" customHeight="1">
      <c r="A799" s="1090"/>
      <c r="B799" s="926" t="s">
        <v>4265</v>
      </c>
      <c r="C799" s="1183">
        <v>2286.4499999999998</v>
      </c>
      <c r="D799" s="1185" t="s">
        <v>340</v>
      </c>
      <c r="E799" s="1103"/>
      <c r="F799" s="1097">
        <f t="shared" si="63"/>
        <v>0</v>
      </c>
      <c r="G799" s="1103"/>
      <c r="H799" s="1097">
        <f t="shared" si="64"/>
        <v>0</v>
      </c>
      <c r="I799" s="1103"/>
      <c r="J799" s="1097">
        <f t="shared" si="65"/>
        <v>0</v>
      </c>
      <c r="K799" s="1096"/>
      <c r="L799" s="1097">
        <f t="shared" si="66"/>
        <v>0</v>
      </c>
      <c r="M799" s="1103"/>
      <c r="N799" s="1096"/>
      <c r="O799" s="1098"/>
      <c r="P799" s="1096"/>
      <c r="Q799" s="1107"/>
      <c r="R799" s="1104"/>
    </row>
    <row r="800" spans="1:18" s="1108" customFormat="1" ht="63" customHeight="1">
      <c r="A800" s="1090"/>
      <c r="B800" s="1289" t="s">
        <v>4266</v>
      </c>
      <c r="C800" s="1138">
        <v>2131</v>
      </c>
      <c r="D800" s="1138" t="s">
        <v>306</v>
      </c>
      <c r="E800" s="1103"/>
      <c r="F800" s="1097">
        <f t="shared" si="63"/>
        <v>0</v>
      </c>
      <c r="G800" s="1103"/>
      <c r="H800" s="1097">
        <f t="shared" si="64"/>
        <v>0</v>
      </c>
      <c r="I800" s="1103"/>
      <c r="J800" s="1097">
        <f t="shared" si="65"/>
        <v>0</v>
      </c>
      <c r="K800" s="1096"/>
      <c r="L800" s="1097">
        <f t="shared" si="66"/>
        <v>0</v>
      </c>
      <c r="M800" s="1103"/>
      <c r="N800" s="1096"/>
      <c r="O800" s="1098"/>
      <c r="P800" s="1096"/>
      <c r="Q800" s="1107"/>
      <c r="R800" s="1104"/>
    </row>
    <row r="801" spans="1:18" s="1108" customFormat="1" ht="61.5" customHeight="1">
      <c r="A801" s="1090"/>
      <c r="B801" s="931" t="s">
        <v>4267</v>
      </c>
      <c r="C801" s="1183"/>
      <c r="D801" s="1185"/>
      <c r="E801" s="1096"/>
      <c r="F801" s="1097">
        <f t="shared" si="63"/>
        <v>0</v>
      </c>
      <c r="G801" s="1096"/>
      <c r="H801" s="1097">
        <f t="shared" si="64"/>
        <v>0</v>
      </c>
      <c r="I801" s="1096"/>
      <c r="J801" s="1097">
        <f t="shared" si="65"/>
        <v>0</v>
      </c>
      <c r="K801" s="1096"/>
      <c r="L801" s="1097">
        <f t="shared" si="66"/>
        <v>0</v>
      </c>
      <c r="M801" s="1096"/>
      <c r="N801" s="1096"/>
      <c r="O801" s="1098"/>
      <c r="P801" s="1096"/>
      <c r="Q801" s="1107"/>
      <c r="R801" s="1099"/>
    </row>
    <row r="802" spans="1:18" s="1108" customFormat="1" ht="36.950000000000003" customHeight="1">
      <c r="A802" s="1119"/>
      <c r="B802" s="932" t="s">
        <v>4268</v>
      </c>
      <c r="C802" s="1227" t="e">
        <f>#REF!</f>
        <v>#REF!</v>
      </c>
      <c r="D802" s="1185" t="s">
        <v>306</v>
      </c>
      <c r="E802" s="1103"/>
      <c r="F802" s="1097" t="e">
        <f t="shared" si="63"/>
        <v>#REF!</v>
      </c>
      <c r="G802" s="1103"/>
      <c r="H802" s="1097" t="e">
        <f t="shared" si="64"/>
        <v>#REF!</v>
      </c>
      <c r="I802" s="1103"/>
      <c r="J802" s="1097" t="e">
        <f t="shared" si="65"/>
        <v>#REF!</v>
      </c>
      <c r="K802" s="1096"/>
      <c r="L802" s="1097" t="e">
        <f t="shared" si="66"/>
        <v>#REF!</v>
      </c>
      <c r="M802" s="1103"/>
      <c r="N802" s="1096"/>
      <c r="O802" s="1098"/>
      <c r="P802" s="1096"/>
      <c r="Q802" s="1107"/>
      <c r="R802" s="1104"/>
    </row>
    <row r="803" spans="1:18" s="1108" customFormat="1" ht="36.950000000000003" customHeight="1">
      <c r="A803" s="1119"/>
      <c r="B803" s="933" t="s">
        <v>4269</v>
      </c>
      <c r="C803" s="1183" t="e">
        <f>#REF!</f>
        <v>#REF!</v>
      </c>
      <c r="D803" s="1185" t="s">
        <v>306</v>
      </c>
      <c r="E803" s="1103"/>
      <c r="F803" s="1097" t="e">
        <f t="shared" si="63"/>
        <v>#REF!</v>
      </c>
      <c r="G803" s="1103"/>
      <c r="H803" s="1097" t="e">
        <f t="shared" si="64"/>
        <v>#REF!</v>
      </c>
      <c r="I803" s="1103"/>
      <c r="J803" s="1097" t="e">
        <f t="shared" si="65"/>
        <v>#REF!</v>
      </c>
      <c r="K803" s="1096"/>
      <c r="L803" s="1097" t="e">
        <f t="shared" si="66"/>
        <v>#REF!</v>
      </c>
      <c r="M803" s="1103"/>
      <c r="N803" s="1096"/>
      <c r="O803" s="1098"/>
      <c r="P803" s="1096"/>
      <c r="Q803" s="1107"/>
      <c r="R803" s="1104"/>
    </row>
    <row r="804" spans="1:18" s="1108" customFormat="1" ht="36.950000000000003" customHeight="1">
      <c r="A804" s="1119"/>
      <c r="B804" s="933" t="s">
        <v>4270</v>
      </c>
      <c r="C804" s="1183" t="e">
        <f>#REF!</f>
        <v>#REF!</v>
      </c>
      <c r="D804" s="1185" t="s">
        <v>306</v>
      </c>
      <c r="E804" s="1103"/>
      <c r="F804" s="1097" t="e">
        <f t="shared" si="63"/>
        <v>#REF!</v>
      </c>
      <c r="G804" s="1103"/>
      <c r="H804" s="1097" t="e">
        <f t="shared" si="64"/>
        <v>#REF!</v>
      </c>
      <c r="I804" s="1103"/>
      <c r="J804" s="1097" t="e">
        <f t="shared" si="65"/>
        <v>#REF!</v>
      </c>
      <c r="K804" s="1096"/>
      <c r="L804" s="1097" t="e">
        <f t="shared" si="66"/>
        <v>#REF!</v>
      </c>
      <c r="M804" s="1103"/>
      <c r="N804" s="1096"/>
      <c r="O804" s="1098"/>
      <c r="P804" s="1096"/>
      <c r="Q804" s="1107"/>
      <c r="R804" s="1104"/>
    </row>
    <row r="805" spans="1:18" s="1108" customFormat="1" ht="36.950000000000003" customHeight="1">
      <c r="A805" s="1119"/>
      <c r="B805" s="932" t="s">
        <v>4271</v>
      </c>
      <c r="C805" s="1227" t="e">
        <f>#REF!</f>
        <v>#REF!</v>
      </c>
      <c r="D805" s="1185" t="s">
        <v>306</v>
      </c>
      <c r="E805" s="1103"/>
      <c r="F805" s="1097" t="e">
        <f t="shared" si="63"/>
        <v>#REF!</v>
      </c>
      <c r="G805" s="1103"/>
      <c r="H805" s="1097" t="e">
        <f t="shared" si="64"/>
        <v>#REF!</v>
      </c>
      <c r="I805" s="1103"/>
      <c r="J805" s="1097" t="e">
        <f t="shared" si="65"/>
        <v>#REF!</v>
      </c>
      <c r="K805" s="1096"/>
      <c r="L805" s="1097" t="e">
        <f t="shared" si="66"/>
        <v>#REF!</v>
      </c>
      <c r="M805" s="1103"/>
      <c r="N805" s="1096"/>
      <c r="O805" s="1098"/>
      <c r="P805" s="1096"/>
      <c r="Q805" s="1107"/>
      <c r="R805" s="1104"/>
    </row>
    <row r="806" spans="1:18" s="1108" customFormat="1" ht="36.950000000000003" customHeight="1">
      <c r="A806" s="1090"/>
      <c r="B806" s="933" t="s">
        <v>4272</v>
      </c>
      <c r="C806" s="1183" t="e">
        <f>#REF!</f>
        <v>#REF!</v>
      </c>
      <c r="D806" s="1185" t="s">
        <v>306</v>
      </c>
      <c r="E806" s="1103"/>
      <c r="F806" s="1097" t="e">
        <f t="shared" si="63"/>
        <v>#REF!</v>
      </c>
      <c r="G806" s="1103"/>
      <c r="H806" s="1097" t="e">
        <f t="shared" si="64"/>
        <v>#REF!</v>
      </c>
      <c r="I806" s="1103"/>
      <c r="J806" s="1097" t="e">
        <f t="shared" si="65"/>
        <v>#REF!</v>
      </c>
      <c r="K806" s="1096"/>
      <c r="L806" s="1097" t="e">
        <f t="shared" si="66"/>
        <v>#REF!</v>
      </c>
      <c r="M806" s="1103"/>
      <c r="N806" s="1096"/>
      <c r="O806" s="1098"/>
      <c r="P806" s="1096"/>
      <c r="Q806" s="1107"/>
      <c r="R806" s="1104"/>
    </row>
    <row r="807" spans="1:18" s="1108" customFormat="1" ht="36.950000000000003" customHeight="1">
      <c r="A807" s="1090"/>
      <c r="B807" s="934" t="s">
        <v>4273</v>
      </c>
      <c r="C807" s="1228" t="e">
        <f>#REF!</f>
        <v>#REF!</v>
      </c>
      <c r="D807" s="1229" t="s">
        <v>306</v>
      </c>
      <c r="E807" s="1103"/>
      <c r="F807" s="1097" t="e">
        <f t="shared" si="63"/>
        <v>#REF!</v>
      </c>
      <c r="G807" s="1103"/>
      <c r="H807" s="1097" t="e">
        <f t="shared" si="64"/>
        <v>#REF!</v>
      </c>
      <c r="I807" s="1103"/>
      <c r="J807" s="1097" t="e">
        <f t="shared" si="65"/>
        <v>#REF!</v>
      </c>
      <c r="K807" s="1096"/>
      <c r="L807" s="1097" t="e">
        <f t="shared" si="66"/>
        <v>#REF!</v>
      </c>
      <c r="M807" s="1103"/>
      <c r="N807" s="1096"/>
      <c r="O807" s="1098"/>
      <c r="P807" s="1096"/>
      <c r="Q807" s="1107"/>
      <c r="R807" s="1104"/>
    </row>
    <row r="808" spans="1:18" s="1108" customFormat="1" ht="57.75" customHeight="1">
      <c r="A808" s="1090"/>
      <c r="B808" s="933" t="s">
        <v>4274</v>
      </c>
      <c r="C808" s="1183" t="e">
        <f>#REF!</f>
        <v>#REF!</v>
      </c>
      <c r="D808" s="1185" t="s">
        <v>306</v>
      </c>
      <c r="E808" s="1103"/>
      <c r="F808" s="1097" t="e">
        <f t="shared" si="63"/>
        <v>#REF!</v>
      </c>
      <c r="G808" s="1103"/>
      <c r="H808" s="1097" t="e">
        <f t="shared" si="64"/>
        <v>#REF!</v>
      </c>
      <c r="I808" s="1103"/>
      <c r="J808" s="1097" t="e">
        <f t="shared" si="65"/>
        <v>#REF!</v>
      </c>
      <c r="K808" s="1096"/>
      <c r="L808" s="1097" t="e">
        <f t="shared" si="66"/>
        <v>#REF!</v>
      </c>
      <c r="M808" s="1103"/>
      <c r="N808" s="1096"/>
      <c r="O808" s="1098"/>
      <c r="P808" s="1096"/>
      <c r="Q808" s="1107"/>
      <c r="R808" s="1104"/>
    </row>
    <row r="809" spans="1:18" s="1108" customFormat="1" ht="36.950000000000003" customHeight="1">
      <c r="A809" s="1090"/>
      <c r="B809" s="935" t="s">
        <v>4275</v>
      </c>
      <c r="C809" s="1230" t="e">
        <f>#REF!</f>
        <v>#REF!</v>
      </c>
      <c r="D809" s="1229" t="s">
        <v>306</v>
      </c>
      <c r="E809" s="1103"/>
      <c r="F809" s="1097" t="e">
        <f t="shared" si="63"/>
        <v>#REF!</v>
      </c>
      <c r="G809" s="1103"/>
      <c r="H809" s="1097" t="e">
        <f t="shared" si="64"/>
        <v>#REF!</v>
      </c>
      <c r="I809" s="1103"/>
      <c r="J809" s="1097" t="e">
        <f t="shared" si="65"/>
        <v>#REF!</v>
      </c>
      <c r="K809" s="1096"/>
      <c r="L809" s="1097" t="e">
        <f t="shared" si="66"/>
        <v>#REF!</v>
      </c>
      <c r="M809" s="1103"/>
      <c r="N809" s="1096"/>
      <c r="O809" s="1098"/>
      <c r="P809" s="1096"/>
      <c r="Q809" s="1107"/>
      <c r="R809" s="1104"/>
    </row>
    <row r="810" spans="1:18" s="1108" customFormat="1" ht="54.75" customHeight="1">
      <c r="A810" s="1090"/>
      <c r="B810" s="933" t="s">
        <v>4276</v>
      </c>
      <c r="C810" s="1183" t="e">
        <f>#REF!</f>
        <v>#REF!</v>
      </c>
      <c r="D810" s="1185" t="s">
        <v>306</v>
      </c>
      <c r="E810" s="1096"/>
      <c r="F810" s="1097" t="e">
        <f t="shared" si="63"/>
        <v>#REF!</v>
      </c>
      <c r="G810" s="1096"/>
      <c r="H810" s="1097" t="e">
        <f t="shared" si="64"/>
        <v>#REF!</v>
      </c>
      <c r="I810" s="1096"/>
      <c r="J810" s="1097" t="e">
        <f t="shared" si="65"/>
        <v>#REF!</v>
      </c>
      <c r="K810" s="1096"/>
      <c r="L810" s="1097" t="e">
        <f t="shared" si="66"/>
        <v>#REF!</v>
      </c>
      <c r="M810" s="1096"/>
      <c r="N810" s="1096"/>
      <c r="O810" s="1098"/>
      <c r="P810" s="1096"/>
      <c r="Q810" s="1107"/>
      <c r="R810" s="1099"/>
    </row>
    <row r="811" spans="1:18" s="1108" customFormat="1" ht="36.950000000000003" customHeight="1">
      <c r="A811" s="1090"/>
      <c r="B811" s="932" t="s">
        <v>4277</v>
      </c>
      <c r="C811" s="1227" t="e">
        <f>#REF!</f>
        <v>#REF!</v>
      </c>
      <c r="D811" s="1185" t="s">
        <v>306</v>
      </c>
      <c r="E811" s="1103"/>
      <c r="F811" s="1097" t="e">
        <f t="shared" si="63"/>
        <v>#REF!</v>
      </c>
      <c r="G811" s="1103"/>
      <c r="H811" s="1097" t="e">
        <f t="shared" si="64"/>
        <v>#REF!</v>
      </c>
      <c r="I811" s="1103"/>
      <c r="J811" s="1097" t="e">
        <f t="shared" si="65"/>
        <v>#REF!</v>
      </c>
      <c r="K811" s="1096"/>
      <c r="L811" s="1097" t="e">
        <f t="shared" si="66"/>
        <v>#REF!</v>
      </c>
      <c r="M811" s="1103"/>
      <c r="N811" s="1096"/>
      <c r="O811" s="1098"/>
      <c r="P811" s="1096"/>
      <c r="Q811" s="1107"/>
      <c r="R811" s="1104"/>
    </row>
    <row r="812" spans="1:18" s="1108" customFormat="1" ht="46.5" customHeight="1">
      <c r="A812" s="1090"/>
      <c r="B812" s="933" t="s">
        <v>4278</v>
      </c>
      <c r="C812" s="1106" t="e">
        <f>#REF!</f>
        <v>#REF!</v>
      </c>
      <c r="D812" s="1106" t="s">
        <v>306</v>
      </c>
      <c r="E812" s="1103"/>
      <c r="F812" s="1097" t="e">
        <f t="shared" si="63"/>
        <v>#REF!</v>
      </c>
      <c r="G812" s="1103"/>
      <c r="H812" s="1097" t="e">
        <f t="shared" si="64"/>
        <v>#REF!</v>
      </c>
      <c r="I812" s="1103"/>
      <c r="J812" s="1097" t="e">
        <f t="shared" si="65"/>
        <v>#REF!</v>
      </c>
      <c r="K812" s="1096"/>
      <c r="L812" s="1097" t="e">
        <f t="shared" si="66"/>
        <v>#REF!</v>
      </c>
      <c r="M812" s="1103"/>
      <c r="N812" s="1096"/>
      <c r="O812" s="1098"/>
      <c r="P812" s="1096"/>
      <c r="Q812" s="1107"/>
      <c r="R812" s="1104"/>
    </row>
    <row r="813" spans="1:18" s="1108" customFormat="1" ht="72" customHeight="1">
      <c r="A813" s="1090"/>
      <c r="B813" s="931" t="s">
        <v>4279</v>
      </c>
      <c r="C813" s="1106"/>
      <c r="D813" s="1106"/>
      <c r="E813" s="1096"/>
      <c r="F813" s="1097">
        <f t="shared" si="63"/>
        <v>0</v>
      </c>
      <c r="G813" s="1096"/>
      <c r="H813" s="1097">
        <f t="shared" si="64"/>
        <v>0</v>
      </c>
      <c r="I813" s="1096"/>
      <c r="J813" s="1097">
        <f t="shared" si="65"/>
        <v>0</v>
      </c>
      <c r="K813" s="1096"/>
      <c r="L813" s="1097">
        <f t="shared" si="66"/>
        <v>0</v>
      </c>
      <c r="M813" s="1096"/>
      <c r="N813" s="1096"/>
      <c r="O813" s="1098"/>
      <c r="P813" s="1096"/>
      <c r="Q813" s="1107"/>
      <c r="R813" s="1099"/>
    </row>
    <row r="814" spans="1:18" s="1108" customFormat="1" ht="55.5" customHeight="1">
      <c r="A814" s="1090"/>
      <c r="B814" s="933" t="s">
        <v>3815</v>
      </c>
      <c r="C814" s="1106" t="e">
        <f>#REF!</f>
        <v>#REF!</v>
      </c>
      <c r="D814" s="1106" t="s">
        <v>306</v>
      </c>
      <c r="E814" s="1096"/>
      <c r="F814" s="1097" t="e">
        <f t="shared" si="63"/>
        <v>#REF!</v>
      </c>
      <c r="G814" s="1096"/>
      <c r="H814" s="1097" t="e">
        <f t="shared" si="64"/>
        <v>#REF!</v>
      </c>
      <c r="I814" s="1096"/>
      <c r="J814" s="1097" t="e">
        <f t="shared" si="65"/>
        <v>#REF!</v>
      </c>
      <c r="K814" s="1096"/>
      <c r="L814" s="1097" t="e">
        <f t="shared" si="66"/>
        <v>#REF!</v>
      </c>
      <c r="M814" s="1096"/>
      <c r="N814" s="1096"/>
      <c r="O814" s="1098"/>
      <c r="P814" s="1096"/>
      <c r="Q814" s="1107"/>
      <c r="R814" s="1099"/>
    </row>
    <row r="815" spans="1:18" s="1108" customFormat="1" ht="46.5" customHeight="1">
      <c r="A815" s="1119"/>
      <c r="B815" s="935" t="s">
        <v>3816</v>
      </c>
      <c r="C815" s="1106" t="e">
        <f>#REF!</f>
        <v>#REF!</v>
      </c>
      <c r="D815" s="1120" t="s">
        <v>306</v>
      </c>
      <c r="E815" s="1103"/>
      <c r="F815" s="1097" t="e">
        <f t="shared" si="63"/>
        <v>#REF!</v>
      </c>
      <c r="G815" s="1103"/>
      <c r="H815" s="1097" t="e">
        <f t="shared" si="64"/>
        <v>#REF!</v>
      </c>
      <c r="I815" s="1103"/>
      <c r="J815" s="1097" t="e">
        <f t="shared" si="65"/>
        <v>#REF!</v>
      </c>
      <c r="K815" s="1096"/>
      <c r="L815" s="1097" t="e">
        <f t="shared" si="66"/>
        <v>#REF!</v>
      </c>
      <c r="M815" s="1103"/>
      <c r="N815" s="1096"/>
      <c r="O815" s="1098"/>
      <c r="P815" s="1096"/>
      <c r="Q815" s="1107"/>
      <c r="R815" s="1104"/>
    </row>
    <row r="816" spans="1:18" s="1108" customFormat="1" ht="46.5" customHeight="1">
      <c r="A816" s="1090"/>
      <c r="B816" s="933" t="s">
        <v>3817</v>
      </c>
      <c r="C816" s="1106" t="e">
        <f>#REF!</f>
        <v>#REF!</v>
      </c>
      <c r="D816" s="1106" t="s">
        <v>306</v>
      </c>
      <c r="E816" s="1103"/>
      <c r="F816" s="1097" t="e">
        <f t="shared" si="63"/>
        <v>#REF!</v>
      </c>
      <c r="G816" s="1103"/>
      <c r="H816" s="1097" t="e">
        <f t="shared" si="64"/>
        <v>#REF!</v>
      </c>
      <c r="I816" s="1103"/>
      <c r="J816" s="1097" t="e">
        <f t="shared" si="65"/>
        <v>#REF!</v>
      </c>
      <c r="K816" s="1096"/>
      <c r="L816" s="1097" t="e">
        <f t="shared" si="66"/>
        <v>#REF!</v>
      </c>
      <c r="M816" s="1103"/>
      <c r="N816" s="1096"/>
      <c r="O816" s="1098"/>
      <c r="P816" s="1096"/>
      <c r="Q816" s="1107"/>
      <c r="R816" s="1104"/>
    </row>
    <row r="817" spans="1:18" s="1108" customFormat="1" ht="42" customHeight="1">
      <c r="A817" s="1090"/>
      <c r="B817" s="933" t="s">
        <v>3818</v>
      </c>
      <c r="C817" s="1106" t="e">
        <f>#REF!</f>
        <v>#REF!</v>
      </c>
      <c r="D817" s="1106" t="s">
        <v>306</v>
      </c>
      <c r="E817" s="1103"/>
      <c r="F817" s="1097" t="e">
        <f t="shared" si="63"/>
        <v>#REF!</v>
      </c>
      <c r="G817" s="1103"/>
      <c r="H817" s="1097" t="e">
        <f t="shared" si="64"/>
        <v>#REF!</v>
      </c>
      <c r="I817" s="1103"/>
      <c r="J817" s="1097" t="e">
        <f t="shared" si="65"/>
        <v>#REF!</v>
      </c>
      <c r="K817" s="1096"/>
      <c r="L817" s="1097" t="e">
        <f t="shared" si="66"/>
        <v>#REF!</v>
      </c>
      <c r="M817" s="1103"/>
      <c r="N817" s="1096"/>
      <c r="O817" s="1098"/>
      <c r="P817" s="1096"/>
      <c r="Q817" s="1107"/>
      <c r="R817" s="1104"/>
    </row>
    <row r="818" spans="1:18" s="1105" customFormat="1" ht="57.75" customHeight="1">
      <c r="A818" s="1129"/>
      <c r="B818" s="1295" t="s">
        <v>4280</v>
      </c>
      <c r="C818" s="1117"/>
      <c r="D818" s="1117"/>
      <c r="E818" s="1103"/>
      <c r="F818" s="1097">
        <f t="shared" si="63"/>
        <v>0</v>
      </c>
      <c r="G818" s="1103"/>
      <c r="H818" s="1097">
        <f t="shared" si="64"/>
        <v>0</v>
      </c>
      <c r="I818" s="1103"/>
      <c r="J818" s="1097">
        <f t="shared" si="65"/>
        <v>0</v>
      </c>
      <c r="K818" s="1096"/>
      <c r="L818" s="1097">
        <f t="shared" si="66"/>
        <v>0</v>
      </c>
      <c r="M818" s="1103"/>
      <c r="N818" s="1096"/>
      <c r="O818" s="1098"/>
      <c r="P818" s="1096"/>
      <c r="Q818" s="1104"/>
      <c r="R818" s="1104"/>
    </row>
    <row r="819" spans="1:18" s="1105" customFormat="1" ht="48.75" customHeight="1">
      <c r="A819" s="1129"/>
      <c r="B819" s="1265" t="s">
        <v>3815</v>
      </c>
      <c r="C819" s="1117" t="e">
        <f>#REF!</f>
        <v>#REF!</v>
      </c>
      <c r="D819" s="1117" t="s">
        <v>306</v>
      </c>
      <c r="E819" s="1103"/>
      <c r="F819" s="1097" t="e">
        <f t="shared" si="63"/>
        <v>#REF!</v>
      </c>
      <c r="G819" s="1103"/>
      <c r="H819" s="1097" t="e">
        <f t="shared" si="64"/>
        <v>#REF!</v>
      </c>
      <c r="I819" s="1103"/>
      <c r="J819" s="1097" t="e">
        <f t="shared" si="65"/>
        <v>#REF!</v>
      </c>
      <c r="K819" s="1096"/>
      <c r="L819" s="1097" t="e">
        <f t="shared" si="66"/>
        <v>#REF!</v>
      </c>
      <c r="M819" s="1103"/>
      <c r="N819" s="1096"/>
      <c r="O819" s="1098"/>
      <c r="P819" s="1096"/>
      <c r="Q819" s="1104"/>
      <c r="R819" s="1104"/>
    </row>
    <row r="820" spans="1:18" s="1105" customFormat="1" ht="48.75" customHeight="1">
      <c r="A820" s="1129"/>
      <c r="B820" s="1265" t="s">
        <v>3816</v>
      </c>
      <c r="C820" s="1117" t="e">
        <f>#REF!</f>
        <v>#REF!</v>
      </c>
      <c r="D820" s="1117" t="s">
        <v>306</v>
      </c>
      <c r="E820" s="1103"/>
      <c r="F820" s="1097" t="e">
        <f t="shared" si="63"/>
        <v>#REF!</v>
      </c>
      <c r="G820" s="1103"/>
      <c r="H820" s="1097" t="e">
        <f t="shared" si="64"/>
        <v>#REF!</v>
      </c>
      <c r="I820" s="1103"/>
      <c r="J820" s="1097" t="e">
        <f t="shared" si="65"/>
        <v>#REF!</v>
      </c>
      <c r="K820" s="1096"/>
      <c r="L820" s="1097" t="e">
        <f t="shared" si="66"/>
        <v>#REF!</v>
      </c>
      <c r="M820" s="1103"/>
      <c r="N820" s="1096"/>
      <c r="O820" s="1098"/>
      <c r="P820" s="1096"/>
      <c r="Q820" s="1104"/>
      <c r="R820" s="1104"/>
    </row>
    <row r="821" spans="1:18" s="1105" customFormat="1" ht="48.75" customHeight="1">
      <c r="A821" s="1129"/>
      <c r="B821" s="1265" t="s">
        <v>3817</v>
      </c>
      <c r="C821" s="1117" t="e">
        <f>#REF!</f>
        <v>#REF!</v>
      </c>
      <c r="D821" s="1117" t="s">
        <v>306</v>
      </c>
      <c r="E821" s="1103"/>
      <c r="F821" s="1097" t="e">
        <f t="shared" si="63"/>
        <v>#REF!</v>
      </c>
      <c r="G821" s="1103"/>
      <c r="H821" s="1097" t="e">
        <f t="shared" si="64"/>
        <v>#REF!</v>
      </c>
      <c r="I821" s="1103"/>
      <c r="J821" s="1097" t="e">
        <f t="shared" si="65"/>
        <v>#REF!</v>
      </c>
      <c r="K821" s="1096"/>
      <c r="L821" s="1097" t="e">
        <f t="shared" si="66"/>
        <v>#REF!</v>
      </c>
      <c r="M821" s="1103"/>
      <c r="N821" s="1096"/>
      <c r="O821" s="1098"/>
      <c r="P821" s="1096"/>
      <c r="Q821" s="1104"/>
      <c r="R821" s="1104"/>
    </row>
    <row r="822" spans="1:18" s="1105" customFormat="1" ht="48.75" customHeight="1">
      <c r="A822" s="1129"/>
      <c r="B822" s="1265" t="s">
        <v>4281</v>
      </c>
      <c r="C822" s="1117" t="e">
        <f>#REF!</f>
        <v>#REF!</v>
      </c>
      <c r="D822" s="1117" t="s">
        <v>306</v>
      </c>
      <c r="E822" s="1103"/>
      <c r="F822" s="1097" t="e">
        <f t="shared" si="63"/>
        <v>#REF!</v>
      </c>
      <c r="G822" s="1103"/>
      <c r="H822" s="1097" t="e">
        <f t="shared" si="64"/>
        <v>#REF!</v>
      </c>
      <c r="I822" s="1103"/>
      <c r="J822" s="1097" t="e">
        <f t="shared" si="65"/>
        <v>#REF!</v>
      </c>
      <c r="K822" s="1096"/>
      <c r="L822" s="1097" t="e">
        <f t="shared" si="66"/>
        <v>#REF!</v>
      </c>
      <c r="M822" s="1103"/>
      <c r="N822" s="1096"/>
      <c r="O822" s="1098"/>
      <c r="P822" s="1096"/>
      <c r="Q822" s="1104"/>
      <c r="R822" s="1104"/>
    </row>
    <row r="823" spans="1:18" s="1108" customFormat="1" ht="42" customHeight="1">
      <c r="A823" s="1090"/>
      <c r="B823" s="928" t="s">
        <v>4282</v>
      </c>
      <c r="C823" s="1183"/>
      <c r="D823" s="1185"/>
      <c r="E823" s="1103"/>
      <c r="F823" s="1097">
        <f t="shared" si="63"/>
        <v>0</v>
      </c>
      <c r="G823" s="1103"/>
      <c r="H823" s="1097">
        <f t="shared" si="64"/>
        <v>0</v>
      </c>
      <c r="I823" s="1103"/>
      <c r="J823" s="1097">
        <f t="shared" si="65"/>
        <v>0</v>
      </c>
      <c r="K823" s="1096"/>
      <c r="L823" s="1097">
        <f t="shared" si="66"/>
        <v>0</v>
      </c>
      <c r="M823" s="1103"/>
      <c r="N823" s="1096"/>
      <c r="O823" s="1098"/>
      <c r="P823" s="1096"/>
      <c r="Q823" s="1107"/>
      <c r="R823" s="1104"/>
    </row>
    <row r="824" spans="1:18" s="1108" customFormat="1" ht="42" customHeight="1">
      <c r="A824" s="1090"/>
      <c r="B824" s="929" t="s">
        <v>4283</v>
      </c>
      <c r="C824" s="1183" t="e">
        <f>#REF!</f>
        <v>#REF!</v>
      </c>
      <c r="D824" s="1185" t="s">
        <v>306</v>
      </c>
      <c r="E824" s="1103"/>
      <c r="F824" s="1097" t="e">
        <f t="shared" si="63"/>
        <v>#REF!</v>
      </c>
      <c r="G824" s="1103"/>
      <c r="H824" s="1097" t="e">
        <f t="shared" si="64"/>
        <v>#REF!</v>
      </c>
      <c r="I824" s="1103"/>
      <c r="J824" s="1097" t="e">
        <f t="shared" si="65"/>
        <v>#REF!</v>
      </c>
      <c r="K824" s="1096"/>
      <c r="L824" s="1097" t="e">
        <f t="shared" si="66"/>
        <v>#REF!</v>
      </c>
      <c r="M824" s="1103"/>
      <c r="N824" s="1096"/>
      <c r="O824" s="1098"/>
      <c r="P824" s="1096"/>
      <c r="Q824" s="1107"/>
      <c r="R824" s="1104"/>
    </row>
    <row r="825" spans="1:18" s="1108" customFormat="1" ht="42" customHeight="1">
      <c r="A825" s="1090"/>
      <c r="B825" s="929" t="s">
        <v>4284</v>
      </c>
      <c r="C825" s="1183" t="e">
        <f>#REF!</f>
        <v>#REF!</v>
      </c>
      <c r="D825" s="1185" t="s">
        <v>306</v>
      </c>
      <c r="E825" s="1103"/>
      <c r="F825" s="1097" t="e">
        <f t="shared" si="63"/>
        <v>#REF!</v>
      </c>
      <c r="G825" s="1103"/>
      <c r="H825" s="1097" t="e">
        <f t="shared" si="64"/>
        <v>#REF!</v>
      </c>
      <c r="I825" s="1103"/>
      <c r="J825" s="1097" t="e">
        <f t="shared" si="65"/>
        <v>#REF!</v>
      </c>
      <c r="K825" s="1096"/>
      <c r="L825" s="1097" t="e">
        <f t="shared" si="66"/>
        <v>#REF!</v>
      </c>
      <c r="M825" s="1103"/>
      <c r="N825" s="1096"/>
      <c r="O825" s="1098"/>
      <c r="P825" s="1096"/>
      <c r="Q825" s="1107"/>
      <c r="R825" s="1104"/>
    </row>
    <row r="826" spans="1:18" s="1108" customFormat="1" ht="42" customHeight="1">
      <c r="A826" s="1090"/>
      <c r="B826" s="929" t="s">
        <v>4285</v>
      </c>
      <c r="C826" s="1183" t="e">
        <f>#REF!</f>
        <v>#REF!</v>
      </c>
      <c r="D826" s="1185" t="s">
        <v>306</v>
      </c>
      <c r="E826" s="1103"/>
      <c r="F826" s="1097" t="e">
        <f t="shared" si="63"/>
        <v>#REF!</v>
      </c>
      <c r="G826" s="1103"/>
      <c r="H826" s="1097" t="e">
        <f t="shared" si="64"/>
        <v>#REF!</v>
      </c>
      <c r="I826" s="1103"/>
      <c r="J826" s="1097" t="e">
        <f t="shared" si="65"/>
        <v>#REF!</v>
      </c>
      <c r="K826" s="1096"/>
      <c r="L826" s="1097" t="e">
        <f t="shared" si="66"/>
        <v>#REF!</v>
      </c>
      <c r="M826" s="1103"/>
      <c r="N826" s="1096"/>
      <c r="O826" s="1098"/>
      <c r="P826" s="1096"/>
      <c r="Q826" s="1107"/>
      <c r="R826" s="1104"/>
    </row>
    <row r="827" spans="1:18" s="1108" customFormat="1" ht="37.5" customHeight="1">
      <c r="A827" s="1090"/>
      <c r="B827" s="929" t="s">
        <v>4286</v>
      </c>
      <c r="C827" s="1183" t="e">
        <f>#REF!</f>
        <v>#REF!</v>
      </c>
      <c r="D827" s="1185" t="s">
        <v>306</v>
      </c>
      <c r="E827" s="1103"/>
      <c r="F827" s="1097" t="e">
        <f t="shared" si="63"/>
        <v>#REF!</v>
      </c>
      <c r="G827" s="1103"/>
      <c r="H827" s="1097" t="e">
        <f t="shared" si="64"/>
        <v>#REF!</v>
      </c>
      <c r="I827" s="1103"/>
      <c r="J827" s="1097" t="e">
        <f t="shared" si="65"/>
        <v>#REF!</v>
      </c>
      <c r="K827" s="1096"/>
      <c r="L827" s="1097" t="e">
        <f t="shared" si="66"/>
        <v>#REF!</v>
      </c>
      <c r="M827" s="1103"/>
      <c r="N827" s="1096"/>
      <c r="O827" s="1098"/>
      <c r="P827" s="1096"/>
      <c r="Q827" s="1107"/>
      <c r="R827" s="1104"/>
    </row>
    <row r="828" spans="1:18" s="1108" customFormat="1" ht="40.5" customHeight="1">
      <c r="A828" s="1109"/>
      <c r="B828" s="1296" t="s">
        <v>4287</v>
      </c>
      <c r="C828" s="1231" t="e">
        <f>#REF!</f>
        <v>#REF!</v>
      </c>
      <c r="D828" s="1189" t="s">
        <v>306</v>
      </c>
      <c r="E828" s="1113"/>
      <c r="F828" s="1097" t="e">
        <f t="shared" si="63"/>
        <v>#REF!</v>
      </c>
      <c r="G828" s="1113"/>
      <c r="H828" s="1097" t="e">
        <f t="shared" si="64"/>
        <v>#REF!</v>
      </c>
      <c r="I828" s="1113"/>
      <c r="J828" s="1097" t="e">
        <f t="shared" si="65"/>
        <v>#REF!</v>
      </c>
      <c r="K828" s="1114"/>
      <c r="L828" s="1097" t="e">
        <f t="shared" si="66"/>
        <v>#REF!</v>
      </c>
      <c r="M828" s="1113"/>
      <c r="N828" s="1096"/>
      <c r="O828" s="1098"/>
      <c r="P828" s="1096"/>
      <c r="Q828" s="1107"/>
      <c r="R828" s="1104"/>
    </row>
    <row r="829" spans="1:18" s="1108" customFormat="1" ht="43.5" customHeight="1">
      <c r="A829" s="1090"/>
      <c r="B829" s="931" t="str">
        <f>'[2]Bldg+Dev'!$B$566</f>
        <v>Supply &amp; Fixing of MS door  (for lockup door )</v>
      </c>
      <c r="C829" s="1092"/>
      <c r="D829" s="1092"/>
      <c r="E829" s="1096"/>
      <c r="F829" s="1097">
        <f t="shared" si="63"/>
        <v>0</v>
      </c>
      <c r="G829" s="1096"/>
      <c r="H829" s="1097">
        <f t="shared" si="64"/>
        <v>0</v>
      </c>
      <c r="I829" s="1096"/>
      <c r="J829" s="1097">
        <f t="shared" si="65"/>
        <v>0</v>
      </c>
      <c r="K829" s="1096"/>
      <c r="L829" s="1097">
        <f t="shared" si="66"/>
        <v>0</v>
      </c>
      <c r="M829" s="1096"/>
      <c r="N829" s="1096"/>
      <c r="O829" s="1098"/>
      <c r="P829" s="1096"/>
      <c r="Q829" s="1107"/>
      <c r="R829" s="1099"/>
    </row>
    <row r="830" spans="1:18" s="1108" customFormat="1" ht="40.5" customHeight="1">
      <c r="A830" s="1090"/>
      <c r="B830" s="933" t="s">
        <v>4288</v>
      </c>
      <c r="C830" s="1092" t="e">
        <f>#REF!</f>
        <v>#REF!</v>
      </c>
      <c r="D830" s="1092" t="s">
        <v>1950</v>
      </c>
      <c r="E830" s="1096"/>
      <c r="F830" s="1097" t="e">
        <f t="shared" si="63"/>
        <v>#REF!</v>
      </c>
      <c r="G830" s="1096"/>
      <c r="H830" s="1097" t="e">
        <f t="shared" si="64"/>
        <v>#REF!</v>
      </c>
      <c r="I830" s="1096"/>
      <c r="J830" s="1097" t="e">
        <f t="shared" si="65"/>
        <v>#REF!</v>
      </c>
      <c r="K830" s="1096"/>
      <c r="L830" s="1097" t="e">
        <f t="shared" si="66"/>
        <v>#REF!</v>
      </c>
      <c r="M830" s="1096"/>
      <c r="N830" s="1096"/>
      <c r="O830" s="1098"/>
      <c r="P830" s="1096"/>
      <c r="Q830" s="1107"/>
      <c r="R830" s="1099"/>
    </row>
    <row r="831" spans="1:18" s="1108" customFormat="1" ht="40.5" customHeight="1">
      <c r="A831" s="1109"/>
      <c r="B831" s="1297" t="s">
        <v>4289</v>
      </c>
      <c r="C831" s="1111" t="e">
        <f>#REF!</f>
        <v>#REF!</v>
      </c>
      <c r="D831" s="1111" t="s">
        <v>340</v>
      </c>
      <c r="E831" s="1113"/>
      <c r="F831" s="1097" t="e">
        <f t="shared" si="63"/>
        <v>#REF!</v>
      </c>
      <c r="G831" s="1113"/>
      <c r="H831" s="1097" t="e">
        <f t="shared" si="64"/>
        <v>#REF!</v>
      </c>
      <c r="I831" s="1113"/>
      <c r="J831" s="1097" t="e">
        <f t="shared" si="65"/>
        <v>#REF!</v>
      </c>
      <c r="K831" s="1114"/>
      <c r="L831" s="1097" t="e">
        <f t="shared" si="66"/>
        <v>#REF!</v>
      </c>
      <c r="M831" s="1113"/>
      <c r="N831" s="1096"/>
      <c r="O831" s="1098"/>
      <c r="P831" s="1096"/>
      <c r="Q831" s="1107"/>
      <c r="R831" s="1104"/>
    </row>
    <row r="832" spans="1:18" s="1108" customFormat="1" ht="69.75" customHeight="1">
      <c r="A832" s="1090"/>
      <c r="B832" s="1262" t="s">
        <v>4290</v>
      </c>
      <c r="C832" s="1092"/>
      <c r="D832" s="1092"/>
      <c r="E832" s="1096"/>
      <c r="F832" s="1097">
        <f t="shared" si="63"/>
        <v>0</v>
      </c>
      <c r="G832" s="1096"/>
      <c r="H832" s="1097">
        <f t="shared" si="64"/>
        <v>0</v>
      </c>
      <c r="I832" s="1096"/>
      <c r="J832" s="1097">
        <f t="shared" si="65"/>
        <v>0</v>
      </c>
      <c r="K832" s="1096"/>
      <c r="L832" s="1097">
        <f t="shared" si="66"/>
        <v>0</v>
      </c>
      <c r="M832" s="1096"/>
      <c r="N832" s="1096"/>
      <c r="O832" s="1098"/>
      <c r="P832" s="1096"/>
      <c r="Q832" s="1107"/>
      <c r="R832" s="1099"/>
    </row>
    <row r="833" spans="1:18" s="1108" customFormat="1" ht="51" customHeight="1">
      <c r="A833" s="1119"/>
      <c r="B833" s="1266" t="s">
        <v>4291</v>
      </c>
      <c r="C833" s="1120" t="e">
        <f>#REF!</f>
        <v>#REF!</v>
      </c>
      <c r="D833" s="1120" t="s">
        <v>306</v>
      </c>
      <c r="E833" s="1160"/>
      <c r="F833" s="1097" t="e">
        <f t="shared" si="63"/>
        <v>#REF!</v>
      </c>
      <c r="G833" s="1160"/>
      <c r="H833" s="1097" t="e">
        <f t="shared" si="64"/>
        <v>#REF!</v>
      </c>
      <c r="I833" s="1160"/>
      <c r="J833" s="1097" t="e">
        <f t="shared" si="65"/>
        <v>#REF!</v>
      </c>
      <c r="K833" s="1161"/>
      <c r="L833" s="1097" t="e">
        <f t="shared" si="66"/>
        <v>#REF!</v>
      </c>
      <c r="M833" s="1160"/>
      <c r="N833" s="1096"/>
      <c r="O833" s="1098"/>
      <c r="P833" s="1096"/>
      <c r="Q833" s="1107"/>
      <c r="R833" s="1104"/>
    </row>
    <row r="834" spans="1:18" s="1108" customFormat="1" ht="51" customHeight="1">
      <c r="A834" s="1090"/>
      <c r="B834" s="1298" t="s">
        <v>4292</v>
      </c>
      <c r="C834" s="1183" t="e">
        <f>#REF!</f>
        <v>#REF!</v>
      </c>
      <c r="D834" s="1203" t="s">
        <v>306</v>
      </c>
      <c r="E834" s="1103"/>
      <c r="F834" s="1097" t="e">
        <f t="shared" si="63"/>
        <v>#REF!</v>
      </c>
      <c r="G834" s="1103"/>
      <c r="H834" s="1097" t="e">
        <f t="shared" si="64"/>
        <v>#REF!</v>
      </c>
      <c r="I834" s="1103"/>
      <c r="J834" s="1097" t="e">
        <f t="shared" si="65"/>
        <v>#REF!</v>
      </c>
      <c r="K834" s="1096"/>
      <c r="L834" s="1097" t="e">
        <f t="shared" si="66"/>
        <v>#REF!</v>
      </c>
      <c r="M834" s="1103"/>
      <c r="N834" s="1096"/>
      <c r="O834" s="1098"/>
      <c r="P834" s="1096"/>
      <c r="Q834" s="1107"/>
      <c r="R834" s="1104"/>
    </row>
    <row r="835" spans="1:18" s="1108" customFormat="1" ht="51" customHeight="1">
      <c r="A835" s="1090"/>
      <c r="B835" s="1298" t="s">
        <v>4293</v>
      </c>
      <c r="C835" s="1183" t="e">
        <f>#REF!</f>
        <v>#REF!</v>
      </c>
      <c r="D835" s="1203" t="s">
        <v>306</v>
      </c>
      <c r="E835" s="1103"/>
      <c r="F835" s="1097" t="e">
        <f t="shared" si="63"/>
        <v>#REF!</v>
      </c>
      <c r="G835" s="1103"/>
      <c r="H835" s="1097" t="e">
        <f t="shared" si="64"/>
        <v>#REF!</v>
      </c>
      <c r="I835" s="1103"/>
      <c r="J835" s="1097" t="e">
        <f t="shared" si="65"/>
        <v>#REF!</v>
      </c>
      <c r="K835" s="1096"/>
      <c r="L835" s="1097" t="e">
        <f t="shared" si="66"/>
        <v>#REF!</v>
      </c>
      <c r="M835" s="1103"/>
      <c r="N835" s="1096"/>
      <c r="O835" s="1098"/>
      <c r="P835" s="1096"/>
      <c r="Q835" s="1107"/>
      <c r="R835" s="1104"/>
    </row>
    <row r="836" spans="1:18" s="1108" customFormat="1" ht="51" customHeight="1">
      <c r="A836" s="1090"/>
      <c r="B836" s="1298" t="s">
        <v>4294</v>
      </c>
      <c r="C836" s="1183" t="e">
        <f>#REF!</f>
        <v>#REF!</v>
      </c>
      <c r="D836" s="1203" t="s">
        <v>306</v>
      </c>
      <c r="E836" s="1103"/>
      <c r="F836" s="1097" t="e">
        <f t="shared" si="63"/>
        <v>#REF!</v>
      </c>
      <c r="G836" s="1103"/>
      <c r="H836" s="1097" t="e">
        <f t="shared" si="64"/>
        <v>#REF!</v>
      </c>
      <c r="I836" s="1103"/>
      <c r="J836" s="1097" t="e">
        <f t="shared" si="65"/>
        <v>#REF!</v>
      </c>
      <c r="K836" s="1096"/>
      <c r="L836" s="1097" t="e">
        <f t="shared" si="66"/>
        <v>#REF!</v>
      </c>
      <c r="M836" s="1103"/>
      <c r="N836" s="1096"/>
      <c r="O836" s="1098"/>
      <c r="P836" s="1096"/>
      <c r="Q836" s="1107"/>
      <c r="R836" s="1104"/>
    </row>
    <row r="837" spans="1:18" ht="51" customHeight="1">
      <c r="A837" s="1090"/>
      <c r="B837" s="933" t="s">
        <v>4295</v>
      </c>
      <c r="C837" s="1092" t="e">
        <f>C1037</f>
        <v>#REF!</v>
      </c>
      <c r="D837" s="1092" t="s">
        <v>306</v>
      </c>
      <c r="E837" s="1096"/>
      <c r="F837" s="1097" t="e">
        <f t="shared" si="63"/>
        <v>#REF!</v>
      </c>
      <c r="G837" s="1096"/>
      <c r="H837" s="1097" t="e">
        <f t="shared" si="64"/>
        <v>#REF!</v>
      </c>
      <c r="I837" s="1096"/>
      <c r="J837" s="1097" t="e">
        <f t="shared" si="65"/>
        <v>#REF!</v>
      </c>
      <c r="K837" s="1096"/>
      <c r="L837" s="1097" t="e">
        <f t="shared" si="66"/>
        <v>#REF!</v>
      </c>
      <c r="M837" s="1096"/>
      <c r="N837" s="1096"/>
      <c r="O837" s="1098"/>
      <c r="P837" s="1096"/>
      <c r="Q837" s="1099"/>
      <c r="R837" s="1099"/>
    </row>
    <row r="838" spans="1:18" s="1108" customFormat="1" ht="51" customHeight="1">
      <c r="A838" s="1090"/>
      <c r="B838" s="1298" t="s">
        <v>4296</v>
      </c>
      <c r="C838" s="1106" t="e">
        <f>Abstact.!C1038</f>
        <v>#REF!</v>
      </c>
      <c r="D838" s="1106" t="s">
        <v>306</v>
      </c>
      <c r="E838" s="1103"/>
      <c r="F838" s="1097" t="e">
        <f t="shared" si="63"/>
        <v>#REF!</v>
      </c>
      <c r="G838" s="1103"/>
      <c r="H838" s="1097" t="e">
        <f t="shared" si="64"/>
        <v>#REF!</v>
      </c>
      <c r="I838" s="1103"/>
      <c r="J838" s="1097" t="e">
        <f t="shared" si="65"/>
        <v>#REF!</v>
      </c>
      <c r="K838" s="1096"/>
      <c r="L838" s="1097" t="e">
        <f t="shared" si="66"/>
        <v>#REF!</v>
      </c>
      <c r="M838" s="1103"/>
      <c r="N838" s="1096"/>
      <c r="O838" s="1098"/>
      <c r="P838" s="1096"/>
      <c r="Q838" s="1107"/>
      <c r="R838" s="1104"/>
    </row>
    <row r="839" spans="1:18" s="1108" customFormat="1" ht="42" customHeight="1">
      <c r="A839" s="1090"/>
      <c r="B839" s="1298" t="s">
        <v>4297</v>
      </c>
      <c r="C839" s="1106" t="e">
        <f>C1039</f>
        <v>#REF!</v>
      </c>
      <c r="D839" s="1106" t="s">
        <v>306</v>
      </c>
      <c r="E839" s="1103"/>
      <c r="F839" s="1097" t="e">
        <f t="shared" si="63"/>
        <v>#REF!</v>
      </c>
      <c r="G839" s="1103"/>
      <c r="H839" s="1097" t="e">
        <f t="shared" si="64"/>
        <v>#REF!</v>
      </c>
      <c r="I839" s="1103"/>
      <c r="J839" s="1097" t="e">
        <f t="shared" si="65"/>
        <v>#REF!</v>
      </c>
      <c r="K839" s="1096"/>
      <c r="L839" s="1097" t="e">
        <f t="shared" si="66"/>
        <v>#REF!</v>
      </c>
      <c r="M839" s="1103"/>
      <c r="N839" s="1096"/>
      <c r="O839" s="1098"/>
      <c r="P839" s="1096"/>
      <c r="Q839" s="1107"/>
      <c r="R839" s="1104"/>
    </row>
    <row r="840" spans="1:18" s="1108" customFormat="1" ht="52.5" customHeight="1">
      <c r="A840" s="1090"/>
      <c r="B840" s="1278" t="s">
        <v>4298</v>
      </c>
      <c r="C840" s="1231">
        <v>61.8</v>
      </c>
      <c r="D840" s="1111" t="s">
        <v>340</v>
      </c>
      <c r="E840" s="1103"/>
      <c r="F840" s="1097">
        <f t="shared" si="63"/>
        <v>0</v>
      </c>
      <c r="G840" s="1103"/>
      <c r="H840" s="1097">
        <f t="shared" si="64"/>
        <v>0</v>
      </c>
      <c r="I840" s="1103"/>
      <c r="J840" s="1097">
        <f t="shared" si="65"/>
        <v>0</v>
      </c>
      <c r="K840" s="1096"/>
      <c r="L840" s="1097">
        <f t="shared" si="66"/>
        <v>0</v>
      </c>
      <c r="M840" s="1103"/>
      <c r="N840" s="1096"/>
      <c r="O840" s="1098"/>
      <c r="P840" s="1096"/>
      <c r="Q840" s="1107"/>
      <c r="R840" s="1104"/>
    </row>
    <row r="841" spans="1:18" s="1108" customFormat="1" ht="59.25" customHeight="1">
      <c r="A841" s="1090"/>
      <c r="B841" s="933" t="s">
        <v>4299</v>
      </c>
      <c r="C841" s="1183">
        <v>405</v>
      </c>
      <c r="D841" s="943" t="s">
        <v>303</v>
      </c>
      <c r="E841" s="1103"/>
      <c r="F841" s="1097">
        <f t="shared" ref="F841:F904" si="67">C841*E841</f>
        <v>0</v>
      </c>
      <c r="G841" s="1103"/>
      <c r="H841" s="1097">
        <f t="shared" ref="H841:H902" si="68">C841*G841</f>
        <v>0</v>
      </c>
      <c r="I841" s="1103"/>
      <c r="J841" s="1097">
        <f t="shared" si="65"/>
        <v>0</v>
      </c>
      <c r="K841" s="1096"/>
      <c r="L841" s="1097">
        <f t="shared" si="66"/>
        <v>0</v>
      </c>
      <c r="M841" s="1103"/>
      <c r="N841" s="1096"/>
      <c r="O841" s="1098"/>
      <c r="P841" s="1096"/>
      <c r="Q841" s="1107"/>
      <c r="R841" s="1104"/>
    </row>
    <row r="842" spans="1:18" s="1108" customFormat="1" ht="45.75" customHeight="1">
      <c r="A842" s="1090"/>
      <c r="B842" s="933" t="s">
        <v>4300</v>
      </c>
      <c r="C842" s="1127">
        <v>325</v>
      </c>
      <c r="D842" s="1127" t="s">
        <v>306</v>
      </c>
      <c r="E842" s="1103"/>
      <c r="F842" s="1097">
        <f t="shared" si="67"/>
        <v>0</v>
      </c>
      <c r="G842" s="1103"/>
      <c r="H842" s="1097">
        <f t="shared" si="68"/>
        <v>0</v>
      </c>
      <c r="I842" s="1103"/>
      <c r="J842" s="1097">
        <f t="shared" si="65"/>
        <v>0</v>
      </c>
      <c r="K842" s="1096"/>
      <c r="L842" s="1097">
        <f t="shared" si="66"/>
        <v>0</v>
      </c>
      <c r="M842" s="1103"/>
      <c r="N842" s="1096"/>
      <c r="O842" s="1098"/>
      <c r="P842" s="1096"/>
      <c r="Q842" s="1107"/>
      <c r="R842" s="1104"/>
    </row>
    <row r="843" spans="1:18" s="1108" customFormat="1" ht="37.5" customHeight="1">
      <c r="A843" s="1090"/>
      <c r="B843" s="933" t="s">
        <v>4301</v>
      </c>
      <c r="C843" s="1127">
        <v>35</v>
      </c>
      <c r="D843" s="1127" t="s">
        <v>306</v>
      </c>
      <c r="E843" s="1103"/>
      <c r="F843" s="1097">
        <f t="shared" si="67"/>
        <v>0</v>
      </c>
      <c r="G843" s="1103"/>
      <c r="H843" s="1097">
        <f t="shared" si="68"/>
        <v>0</v>
      </c>
      <c r="I843" s="1103"/>
      <c r="J843" s="1097">
        <f t="shared" si="65"/>
        <v>0</v>
      </c>
      <c r="K843" s="1096"/>
      <c r="L843" s="1097">
        <f t="shared" si="66"/>
        <v>0</v>
      </c>
      <c r="M843" s="1103"/>
      <c r="N843" s="1096"/>
      <c r="O843" s="1098"/>
      <c r="P843" s="1096"/>
      <c r="Q843" s="1107"/>
      <c r="R843" s="1104"/>
    </row>
    <row r="844" spans="1:18" s="1108" customFormat="1" ht="75" customHeight="1">
      <c r="A844" s="1090"/>
      <c r="B844" s="926" t="s">
        <v>4302</v>
      </c>
      <c r="C844" s="1185" t="e">
        <f>#REF!</f>
        <v>#REF!</v>
      </c>
      <c r="D844" s="1185" t="s">
        <v>340</v>
      </c>
      <c r="E844" s="1096"/>
      <c r="F844" s="1097" t="e">
        <f t="shared" si="67"/>
        <v>#REF!</v>
      </c>
      <c r="G844" s="1096"/>
      <c r="H844" s="1097" t="e">
        <f t="shared" si="68"/>
        <v>#REF!</v>
      </c>
      <c r="I844" s="1096"/>
      <c r="J844" s="1097" t="e">
        <f t="shared" si="65"/>
        <v>#REF!</v>
      </c>
      <c r="K844" s="1096"/>
      <c r="L844" s="1097" t="e">
        <f t="shared" si="66"/>
        <v>#REF!</v>
      </c>
      <c r="M844" s="1096"/>
      <c r="N844" s="1096"/>
      <c r="O844" s="1098"/>
      <c r="P844" s="1096"/>
      <c r="Q844" s="1107"/>
      <c r="R844" s="1099"/>
    </row>
    <row r="845" spans="1:18" s="1108" customFormat="1" ht="75" customHeight="1">
      <c r="A845" s="1090"/>
      <c r="B845" s="926" t="s">
        <v>4303</v>
      </c>
      <c r="C845" s="1185" t="e">
        <f>#REF!</f>
        <v>#REF!</v>
      </c>
      <c r="D845" s="1185" t="s">
        <v>340</v>
      </c>
      <c r="E845" s="1096"/>
      <c r="F845" s="1097" t="e">
        <f t="shared" si="67"/>
        <v>#REF!</v>
      </c>
      <c r="G845" s="1096"/>
      <c r="H845" s="1097" t="e">
        <f t="shared" si="68"/>
        <v>#REF!</v>
      </c>
      <c r="I845" s="1096"/>
      <c r="J845" s="1097" t="e">
        <f t="shared" si="65"/>
        <v>#REF!</v>
      </c>
      <c r="K845" s="1096"/>
      <c r="L845" s="1097" t="e">
        <f t="shared" si="66"/>
        <v>#REF!</v>
      </c>
      <c r="M845" s="1096"/>
      <c r="N845" s="1096"/>
      <c r="O845" s="1098"/>
      <c r="P845" s="1096"/>
      <c r="Q845" s="1107"/>
      <c r="R845" s="1099"/>
    </row>
    <row r="846" spans="1:18" s="1108" customFormat="1" ht="63" customHeight="1">
      <c r="A846" s="1090"/>
      <c r="B846" s="926" t="s">
        <v>4304</v>
      </c>
      <c r="C846" s="1185" t="e">
        <f>#REF!</f>
        <v>#REF!</v>
      </c>
      <c r="D846" s="943" t="s">
        <v>340</v>
      </c>
      <c r="E846" s="1103"/>
      <c r="F846" s="1097" t="e">
        <f t="shared" si="67"/>
        <v>#REF!</v>
      </c>
      <c r="G846" s="1103"/>
      <c r="H846" s="1097" t="e">
        <f t="shared" si="68"/>
        <v>#REF!</v>
      </c>
      <c r="I846" s="1103"/>
      <c r="J846" s="1097" t="e">
        <f t="shared" si="65"/>
        <v>#REF!</v>
      </c>
      <c r="K846" s="1096"/>
      <c r="L846" s="1097" t="e">
        <f t="shared" si="66"/>
        <v>#REF!</v>
      </c>
      <c r="M846" s="1103"/>
      <c r="N846" s="1096"/>
      <c r="O846" s="1098"/>
      <c r="P846" s="1096"/>
      <c r="Q846" s="1107"/>
      <c r="R846" s="1104"/>
    </row>
    <row r="847" spans="1:18" s="1108" customFormat="1" ht="45.75" customHeight="1">
      <c r="A847" s="1090"/>
      <c r="B847" s="933" t="s">
        <v>4305</v>
      </c>
      <c r="C847" s="943" t="e">
        <f>#REF!</f>
        <v>#REF!</v>
      </c>
      <c r="D847" s="943" t="s">
        <v>303</v>
      </c>
      <c r="E847" s="1103"/>
      <c r="F847" s="1097" t="e">
        <f t="shared" si="67"/>
        <v>#REF!</v>
      </c>
      <c r="G847" s="1103"/>
      <c r="H847" s="1097" t="e">
        <f t="shared" si="68"/>
        <v>#REF!</v>
      </c>
      <c r="I847" s="1103"/>
      <c r="J847" s="1097" t="e">
        <f t="shared" si="65"/>
        <v>#REF!</v>
      </c>
      <c r="K847" s="1096"/>
      <c r="L847" s="1097" t="e">
        <f t="shared" si="66"/>
        <v>#REF!</v>
      </c>
      <c r="M847" s="1103"/>
      <c r="N847" s="1096"/>
      <c r="O847" s="1098"/>
      <c r="P847" s="1096"/>
      <c r="Q847" s="1107"/>
      <c r="R847" s="1104"/>
    </row>
    <row r="848" spans="1:18" ht="75" customHeight="1">
      <c r="A848" s="1090"/>
      <c r="B848" s="933" t="s">
        <v>4306</v>
      </c>
      <c r="C848" s="1232" t="e">
        <f>#REF!</f>
        <v>#REF!</v>
      </c>
      <c r="D848" s="940" t="s">
        <v>3798</v>
      </c>
      <c r="E848" s="1096"/>
      <c r="F848" s="1097" t="e">
        <f t="shared" si="67"/>
        <v>#REF!</v>
      </c>
      <c r="G848" s="1096"/>
      <c r="H848" s="1097" t="e">
        <f t="shared" si="68"/>
        <v>#REF!</v>
      </c>
      <c r="I848" s="1096"/>
      <c r="J848" s="1097" t="e">
        <f t="shared" si="65"/>
        <v>#REF!</v>
      </c>
      <c r="K848" s="1096"/>
      <c r="L848" s="1097" t="e">
        <f t="shared" si="66"/>
        <v>#REF!</v>
      </c>
      <c r="M848" s="1096"/>
      <c r="N848" s="1096"/>
      <c r="O848" s="1098"/>
      <c r="P848" s="1096"/>
      <c r="Q848" s="1099"/>
      <c r="R848" s="1099"/>
    </row>
    <row r="849" spans="1:18" s="1108" customFormat="1" ht="44.25" customHeight="1">
      <c r="A849" s="1154" t="s">
        <v>4307</v>
      </c>
      <c r="B849" s="1272" t="s">
        <v>4308</v>
      </c>
      <c r="C849" s="1155" t="e">
        <f>#REF!</f>
        <v>#REF!</v>
      </c>
      <c r="D849" s="1156" t="s">
        <v>340</v>
      </c>
      <c r="E849" s="1113"/>
      <c r="F849" s="1097" t="e">
        <f t="shared" si="67"/>
        <v>#REF!</v>
      </c>
      <c r="G849" s="1113"/>
      <c r="H849" s="1097" t="e">
        <f t="shared" si="68"/>
        <v>#REF!</v>
      </c>
      <c r="I849" s="1113"/>
      <c r="J849" s="1097" t="e">
        <f t="shared" si="65"/>
        <v>#REF!</v>
      </c>
      <c r="K849" s="1114"/>
      <c r="L849" s="1097" t="e">
        <f t="shared" si="66"/>
        <v>#REF!</v>
      </c>
      <c r="M849" s="1113"/>
      <c r="N849" s="1096"/>
      <c r="O849" s="1098"/>
      <c r="P849" s="1096"/>
      <c r="Q849" s="1107"/>
      <c r="R849" s="1104"/>
    </row>
    <row r="850" spans="1:18" ht="60.75" customHeight="1">
      <c r="A850" s="1090"/>
      <c r="B850" s="1262" t="s">
        <v>4309</v>
      </c>
      <c r="C850" s="1092"/>
      <c r="D850" s="940"/>
      <c r="E850" s="1096"/>
      <c r="F850" s="1097">
        <f t="shared" si="67"/>
        <v>0</v>
      </c>
      <c r="G850" s="1096"/>
      <c r="H850" s="1097">
        <f t="shared" si="68"/>
        <v>0</v>
      </c>
      <c r="I850" s="1096"/>
      <c r="J850" s="1097">
        <f t="shared" si="65"/>
        <v>0</v>
      </c>
      <c r="K850" s="1096"/>
      <c r="L850" s="1097">
        <f t="shared" si="66"/>
        <v>0</v>
      </c>
      <c r="M850" s="1096"/>
      <c r="N850" s="1096"/>
      <c r="O850" s="1098"/>
      <c r="P850" s="1096"/>
      <c r="Q850" s="1099"/>
      <c r="R850" s="1099"/>
    </row>
    <row r="851" spans="1:18" ht="50.25" customHeight="1">
      <c r="A851" s="1090"/>
      <c r="B851" s="933" t="s">
        <v>4310</v>
      </c>
      <c r="C851" s="1233" t="e">
        <f>#REF!</f>
        <v>#REF!</v>
      </c>
      <c r="D851" s="940" t="s">
        <v>303</v>
      </c>
      <c r="E851" s="1096">
        <f>'Ins Abs'!Q69</f>
        <v>30</v>
      </c>
      <c r="F851" s="1097" t="e">
        <f t="shared" si="67"/>
        <v>#REF!</v>
      </c>
      <c r="G851" s="1096">
        <f>'SI Abs '!Q70</f>
        <v>75</v>
      </c>
      <c r="H851" s="1097">
        <f>'SI Abs '!R70</f>
        <v>40132.94975</v>
      </c>
      <c r="I851" s="1096">
        <f>'PC Abs'!Q64</f>
        <v>20</v>
      </c>
      <c r="J851" s="1097">
        <f>'PC Abs'!R64</f>
        <v>10702.119933333333</v>
      </c>
      <c r="K851" s="1096"/>
      <c r="L851" s="1097" t="e">
        <f t="shared" si="66"/>
        <v>#REF!</v>
      </c>
      <c r="M851" s="1096"/>
      <c r="N851" s="1096"/>
      <c r="O851" s="1098">
        <f t="shared" ref="O851:O852" si="69">E851+G851+I851+K851</f>
        <v>125</v>
      </c>
      <c r="P851" s="1096" t="e">
        <f>O851*C851</f>
        <v>#REF!</v>
      </c>
      <c r="Q851" s="1099"/>
      <c r="R851" s="1099"/>
    </row>
    <row r="852" spans="1:18" ht="50.25" customHeight="1">
      <c r="A852" s="1090"/>
      <c r="B852" s="933" t="s">
        <v>4311</v>
      </c>
      <c r="C852" s="1233" t="e">
        <f>#REF!</f>
        <v>#REF!</v>
      </c>
      <c r="D852" s="940" t="s">
        <v>303</v>
      </c>
      <c r="E852" s="1096">
        <f>'Ins Abs'!Q70</f>
        <v>30</v>
      </c>
      <c r="F852" s="1097" t="e">
        <f t="shared" si="67"/>
        <v>#REF!</v>
      </c>
      <c r="G852" s="1096">
        <f>'SI Abs '!Q71</f>
        <v>100</v>
      </c>
      <c r="H852" s="1097">
        <f>'SI Abs '!R71</f>
        <v>85917.696666666656</v>
      </c>
      <c r="I852" s="1096">
        <f>'PC Abs'!Q65</f>
        <v>50</v>
      </c>
      <c r="J852" s="1097">
        <f>'PC Abs'!R65</f>
        <v>42958.848333333328</v>
      </c>
      <c r="K852" s="1096"/>
      <c r="L852" s="1097" t="e">
        <f t="shared" si="66"/>
        <v>#REF!</v>
      </c>
      <c r="M852" s="1096"/>
      <c r="N852" s="1096"/>
      <c r="O852" s="1098">
        <f t="shared" si="69"/>
        <v>180</v>
      </c>
      <c r="P852" s="1096" t="e">
        <f>O852*C852</f>
        <v>#REF!</v>
      </c>
      <c r="Q852" s="1099"/>
      <c r="R852" s="1099"/>
    </row>
    <row r="853" spans="1:18" s="1105" customFormat="1" ht="50.25" customHeight="1">
      <c r="A853" s="1129"/>
      <c r="B853" s="1263" t="s">
        <v>4312</v>
      </c>
      <c r="C853" s="1233"/>
      <c r="D853" s="1118"/>
      <c r="E853" s="1103"/>
      <c r="F853" s="1097">
        <f t="shared" si="67"/>
        <v>0</v>
      </c>
      <c r="G853" s="1103"/>
      <c r="H853" s="1097">
        <f t="shared" si="68"/>
        <v>0</v>
      </c>
      <c r="I853" s="1103"/>
      <c r="J853" s="1097">
        <f t="shared" si="65"/>
        <v>0</v>
      </c>
      <c r="K853" s="1096"/>
      <c r="L853" s="1097">
        <f t="shared" si="66"/>
        <v>0</v>
      </c>
      <c r="M853" s="1103"/>
      <c r="N853" s="1096"/>
      <c r="O853" s="1098"/>
      <c r="P853" s="1096"/>
      <c r="Q853" s="1104"/>
      <c r="R853" s="1104"/>
    </row>
    <row r="854" spans="1:18" s="1105" customFormat="1" ht="55.5" customHeight="1">
      <c r="A854" s="1129"/>
      <c r="B854" s="1299" t="s">
        <v>4313</v>
      </c>
      <c r="C854" s="1233">
        <v>156</v>
      </c>
      <c r="D854" s="1118" t="s">
        <v>340</v>
      </c>
      <c r="E854" s="1103"/>
      <c r="F854" s="1097">
        <f t="shared" si="67"/>
        <v>0</v>
      </c>
      <c r="G854" s="1103"/>
      <c r="H854" s="1097">
        <f t="shared" si="68"/>
        <v>0</v>
      </c>
      <c r="I854" s="1103"/>
      <c r="J854" s="1097">
        <f t="shared" si="65"/>
        <v>0</v>
      </c>
      <c r="K854" s="1096"/>
      <c r="L854" s="1097">
        <f t="shared" si="66"/>
        <v>0</v>
      </c>
      <c r="M854" s="1103"/>
      <c r="N854" s="1096"/>
      <c r="O854" s="1098"/>
      <c r="P854" s="1096"/>
      <c r="Q854" s="1104"/>
      <c r="R854" s="1104"/>
    </row>
    <row r="855" spans="1:18" s="1105" customFormat="1" ht="63.75" customHeight="1">
      <c r="A855" s="1234"/>
      <c r="B855" s="1300" t="s">
        <v>4314</v>
      </c>
      <c r="C855" s="1235">
        <v>497</v>
      </c>
      <c r="D855" s="1236" t="s">
        <v>340</v>
      </c>
      <c r="E855" s="1113"/>
      <c r="F855" s="1097">
        <f t="shared" si="67"/>
        <v>0</v>
      </c>
      <c r="G855" s="1113"/>
      <c r="H855" s="1097">
        <f t="shared" si="68"/>
        <v>0</v>
      </c>
      <c r="I855" s="1113"/>
      <c r="J855" s="1097">
        <f t="shared" si="65"/>
        <v>0</v>
      </c>
      <c r="K855" s="1114"/>
      <c r="L855" s="1097">
        <f t="shared" si="66"/>
        <v>0</v>
      </c>
      <c r="M855" s="1113"/>
      <c r="N855" s="1096"/>
      <c r="O855" s="1098"/>
      <c r="P855" s="1096"/>
      <c r="Q855" s="1104"/>
      <c r="R855" s="1104"/>
    </row>
    <row r="856" spans="1:18" s="1105" customFormat="1" ht="55.5" customHeight="1">
      <c r="A856" s="1129"/>
      <c r="B856" s="1263" t="s">
        <v>4315</v>
      </c>
      <c r="C856" s="1233"/>
      <c r="D856" s="1118"/>
      <c r="E856" s="1103"/>
      <c r="F856" s="1097">
        <f t="shared" si="67"/>
        <v>0</v>
      </c>
      <c r="G856" s="1103"/>
      <c r="H856" s="1097">
        <f t="shared" si="68"/>
        <v>0</v>
      </c>
      <c r="I856" s="1103"/>
      <c r="J856" s="1097">
        <f t="shared" si="65"/>
        <v>0</v>
      </c>
      <c r="K856" s="1096"/>
      <c r="L856" s="1097">
        <f t="shared" si="66"/>
        <v>0</v>
      </c>
      <c r="M856" s="1103"/>
      <c r="N856" s="1096"/>
      <c r="O856" s="1098"/>
      <c r="P856" s="1096"/>
      <c r="Q856" s="1104"/>
      <c r="R856" s="1104"/>
    </row>
    <row r="857" spans="1:18" s="1105" customFormat="1" ht="55.5" customHeight="1">
      <c r="A857" s="1129"/>
      <c r="B857" s="1265" t="s">
        <v>4316</v>
      </c>
      <c r="C857" s="1233">
        <v>186</v>
      </c>
      <c r="D857" s="1118" t="s">
        <v>340</v>
      </c>
      <c r="E857" s="1103"/>
      <c r="F857" s="1097">
        <f t="shared" si="67"/>
        <v>0</v>
      </c>
      <c r="G857" s="1103"/>
      <c r="H857" s="1097">
        <f t="shared" si="68"/>
        <v>0</v>
      </c>
      <c r="I857" s="1103"/>
      <c r="J857" s="1097">
        <f t="shared" si="65"/>
        <v>0</v>
      </c>
      <c r="K857" s="1096"/>
      <c r="L857" s="1097">
        <f t="shared" si="66"/>
        <v>0</v>
      </c>
      <c r="M857" s="1103"/>
      <c r="N857" s="1096"/>
      <c r="O857" s="1098"/>
      <c r="P857" s="1096"/>
      <c r="Q857" s="1104"/>
      <c r="R857" s="1104"/>
    </row>
    <row r="858" spans="1:18" s="1105" customFormat="1" ht="65.25" customHeight="1">
      <c r="A858" s="1134"/>
      <c r="B858" s="1266" t="s">
        <v>4317</v>
      </c>
      <c r="C858" s="1235">
        <v>328</v>
      </c>
      <c r="D858" s="936" t="s">
        <v>340</v>
      </c>
      <c r="E858" s="1103"/>
      <c r="F858" s="1097">
        <f t="shared" si="67"/>
        <v>0</v>
      </c>
      <c r="G858" s="1103"/>
      <c r="H858" s="1097">
        <f t="shared" si="68"/>
        <v>0</v>
      </c>
      <c r="I858" s="1103"/>
      <c r="J858" s="1097">
        <f t="shared" ref="J858:J921" si="70">I858*C858</f>
        <v>0</v>
      </c>
      <c r="K858" s="1096"/>
      <c r="L858" s="1097">
        <f t="shared" ref="L858:L921" si="71">K858*C858</f>
        <v>0</v>
      </c>
      <c r="M858" s="1103"/>
      <c r="N858" s="1096"/>
      <c r="O858" s="1098"/>
      <c r="P858" s="1096"/>
      <c r="Q858" s="1104"/>
      <c r="R858" s="1104"/>
    </row>
    <row r="859" spans="1:18" ht="81" customHeight="1">
      <c r="A859" s="1090"/>
      <c r="B859" s="933" t="s">
        <v>4318</v>
      </c>
      <c r="C859" s="1237" t="e">
        <f>#REF!</f>
        <v>#REF!</v>
      </c>
      <c r="D859" s="940" t="s">
        <v>340</v>
      </c>
      <c r="E859" s="1096"/>
      <c r="F859" s="1097" t="e">
        <f t="shared" si="67"/>
        <v>#REF!</v>
      </c>
      <c r="G859" s="1096"/>
      <c r="H859" s="1097" t="e">
        <f t="shared" si="68"/>
        <v>#REF!</v>
      </c>
      <c r="I859" s="1096"/>
      <c r="J859" s="1097" t="e">
        <f t="shared" si="70"/>
        <v>#REF!</v>
      </c>
      <c r="K859" s="1096"/>
      <c r="L859" s="1097" t="e">
        <f t="shared" si="71"/>
        <v>#REF!</v>
      </c>
      <c r="M859" s="1096"/>
      <c r="N859" s="1096"/>
      <c r="O859" s="1098"/>
      <c r="P859" s="1096"/>
      <c r="Q859" s="1099"/>
      <c r="R859" s="1099"/>
    </row>
    <row r="860" spans="1:18" ht="84.75" customHeight="1">
      <c r="A860" s="1090"/>
      <c r="B860" s="933" t="s">
        <v>4319</v>
      </c>
      <c r="C860" s="1237" t="e">
        <f>#REF!</f>
        <v>#REF!</v>
      </c>
      <c r="D860" s="940" t="s">
        <v>340</v>
      </c>
      <c r="E860" s="1096"/>
      <c r="F860" s="1097" t="e">
        <f t="shared" si="67"/>
        <v>#REF!</v>
      </c>
      <c r="G860" s="1096"/>
      <c r="H860" s="1097" t="e">
        <f t="shared" si="68"/>
        <v>#REF!</v>
      </c>
      <c r="I860" s="1096"/>
      <c r="J860" s="1097" t="e">
        <f t="shared" si="70"/>
        <v>#REF!</v>
      </c>
      <c r="K860" s="1096"/>
      <c r="L860" s="1097" t="e">
        <f t="shared" si="71"/>
        <v>#REF!</v>
      </c>
      <c r="M860" s="1096"/>
      <c r="N860" s="1096"/>
      <c r="O860" s="1098"/>
      <c r="P860" s="1096"/>
      <c r="Q860" s="1099"/>
      <c r="R860" s="1099"/>
    </row>
    <row r="861" spans="1:18" ht="71.25" customHeight="1">
      <c r="A861" s="1090"/>
      <c r="B861" s="933" t="s">
        <v>4320</v>
      </c>
      <c r="C861" s="1232" t="e">
        <f>#REF!</f>
        <v>#REF!</v>
      </c>
      <c r="D861" s="940" t="s">
        <v>340</v>
      </c>
      <c r="E861" s="1096"/>
      <c r="F861" s="1097" t="e">
        <f t="shared" si="67"/>
        <v>#REF!</v>
      </c>
      <c r="G861" s="1096"/>
      <c r="H861" s="1097" t="e">
        <f t="shared" si="68"/>
        <v>#REF!</v>
      </c>
      <c r="I861" s="1096"/>
      <c r="J861" s="1097" t="e">
        <f t="shared" si="70"/>
        <v>#REF!</v>
      </c>
      <c r="K861" s="1096"/>
      <c r="L861" s="1097" t="e">
        <f t="shared" si="71"/>
        <v>#REF!</v>
      </c>
      <c r="M861" s="1096"/>
      <c r="N861" s="1096"/>
      <c r="O861" s="1098"/>
      <c r="P861" s="1096"/>
      <c r="Q861" s="1099"/>
      <c r="R861" s="1099"/>
    </row>
    <row r="862" spans="1:18" s="1105" customFormat="1" ht="71.25" customHeight="1">
      <c r="A862" s="1134"/>
      <c r="B862" s="1265" t="s">
        <v>4321</v>
      </c>
      <c r="C862" s="1233" t="e">
        <f>#REF!</f>
        <v>#REF!</v>
      </c>
      <c r="D862" s="1118" t="s">
        <v>340</v>
      </c>
      <c r="E862" s="1103"/>
      <c r="F862" s="1097" t="e">
        <f t="shared" si="67"/>
        <v>#REF!</v>
      </c>
      <c r="G862" s="1103"/>
      <c r="H862" s="1097" t="e">
        <f t="shared" si="68"/>
        <v>#REF!</v>
      </c>
      <c r="I862" s="1103"/>
      <c r="J862" s="1097" t="e">
        <f t="shared" si="70"/>
        <v>#REF!</v>
      </c>
      <c r="K862" s="1096"/>
      <c r="L862" s="1097" t="e">
        <f t="shared" si="71"/>
        <v>#REF!</v>
      </c>
      <c r="M862" s="1103"/>
      <c r="N862" s="1096"/>
      <c r="O862" s="1098"/>
      <c r="P862" s="1096"/>
      <c r="Q862" s="1104"/>
      <c r="R862" s="1104"/>
    </row>
    <row r="863" spans="1:18" s="1108" customFormat="1" ht="38.25" customHeight="1">
      <c r="A863" s="1119"/>
      <c r="B863" s="1301" t="s">
        <v>4322</v>
      </c>
      <c r="C863" s="1230"/>
      <c r="D863" s="1121"/>
      <c r="E863" s="1103"/>
      <c r="F863" s="1097">
        <f t="shared" si="67"/>
        <v>0</v>
      </c>
      <c r="G863" s="1103"/>
      <c r="H863" s="1097">
        <f t="shared" si="68"/>
        <v>0</v>
      </c>
      <c r="I863" s="1103"/>
      <c r="J863" s="1097">
        <f t="shared" si="70"/>
        <v>0</v>
      </c>
      <c r="K863" s="1096"/>
      <c r="L863" s="1097">
        <f t="shared" si="71"/>
        <v>0</v>
      </c>
      <c r="M863" s="1103"/>
      <c r="N863" s="1096"/>
      <c r="O863" s="1098"/>
      <c r="P863" s="1096"/>
      <c r="Q863" s="1107"/>
      <c r="R863" s="1104"/>
    </row>
    <row r="864" spans="1:18" s="1108" customFormat="1" ht="45.75" customHeight="1">
      <c r="A864" s="1090"/>
      <c r="B864" s="1302" t="s">
        <v>4323</v>
      </c>
      <c r="C864" s="1222">
        <f>'[1]Sliding and french window'!F595</f>
        <v>3783.48</v>
      </c>
      <c r="D864" s="1127" t="s">
        <v>306</v>
      </c>
      <c r="E864" s="1103"/>
      <c r="F864" s="1097">
        <f t="shared" si="67"/>
        <v>0</v>
      </c>
      <c r="G864" s="1103"/>
      <c r="H864" s="1097">
        <f t="shared" si="68"/>
        <v>0</v>
      </c>
      <c r="I864" s="1103"/>
      <c r="J864" s="1097">
        <f t="shared" si="70"/>
        <v>0</v>
      </c>
      <c r="K864" s="1096"/>
      <c r="L864" s="1097">
        <f t="shared" si="71"/>
        <v>0</v>
      </c>
      <c r="M864" s="1103"/>
      <c r="N864" s="1096"/>
      <c r="O864" s="1098"/>
      <c r="P864" s="1096"/>
      <c r="Q864" s="1107"/>
      <c r="R864" s="1104"/>
    </row>
    <row r="865" spans="1:18" s="1108" customFormat="1" ht="45.75" customHeight="1">
      <c r="A865" s="1090"/>
      <c r="B865" s="1302" t="s">
        <v>4324</v>
      </c>
      <c r="C865" s="1183">
        <f>'[1]Sliding and french window'!F558</f>
        <v>4084.7</v>
      </c>
      <c r="D865" s="1127" t="s">
        <v>306</v>
      </c>
      <c r="E865" s="1103"/>
      <c r="F865" s="1097">
        <f t="shared" si="67"/>
        <v>0</v>
      </c>
      <c r="G865" s="1103"/>
      <c r="H865" s="1097">
        <f t="shared" si="68"/>
        <v>0</v>
      </c>
      <c r="I865" s="1103"/>
      <c r="J865" s="1097">
        <f t="shared" si="70"/>
        <v>0</v>
      </c>
      <c r="K865" s="1096"/>
      <c r="L865" s="1097">
        <f t="shared" si="71"/>
        <v>0</v>
      </c>
      <c r="M865" s="1103"/>
      <c r="N865" s="1096"/>
      <c r="O865" s="1098"/>
      <c r="P865" s="1096"/>
      <c r="Q865" s="1107"/>
      <c r="R865" s="1104"/>
    </row>
    <row r="866" spans="1:18" s="1108" customFormat="1" ht="45.75" customHeight="1">
      <c r="A866" s="1090"/>
      <c r="B866" s="1302" t="s">
        <v>4325</v>
      </c>
      <c r="C866" s="1183">
        <f>'[1]Sliding and french window'!F630</f>
        <v>4084.71</v>
      </c>
      <c r="D866" s="1127" t="s">
        <v>306</v>
      </c>
      <c r="E866" s="1103"/>
      <c r="F866" s="1097">
        <f t="shared" si="67"/>
        <v>0</v>
      </c>
      <c r="G866" s="1103"/>
      <c r="H866" s="1097">
        <f t="shared" si="68"/>
        <v>0</v>
      </c>
      <c r="I866" s="1103"/>
      <c r="J866" s="1097">
        <f t="shared" si="70"/>
        <v>0</v>
      </c>
      <c r="K866" s="1096"/>
      <c r="L866" s="1097">
        <f t="shared" si="71"/>
        <v>0</v>
      </c>
      <c r="M866" s="1103"/>
      <c r="N866" s="1096"/>
      <c r="O866" s="1098"/>
      <c r="P866" s="1096"/>
      <c r="Q866" s="1107"/>
      <c r="R866" s="1104"/>
    </row>
    <row r="867" spans="1:18" s="1108" customFormat="1" ht="45.75" customHeight="1">
      <c r="A867" s="1090"/>
      <c r="B867" s="1302" t="s">
        <v>4326</v>
      </c>
      <c r="C867" s="1183">
        <f>'[1]Sliding and french window'!F666</f>
        <v>4532.8500000000004</v>
      </c>
      <c r="D867" s="1127" t="s">
        <v>306</v>
      </c>
      <c r="E867" s="1103"/>
      <c r="F867" s="1097">
        <f t="shared" si="67"/>
        <v>0</v>
      </c>
      <c r="G867" s="1103"/>
      <c r="H867" s="1097">
        <f t="shared" si="68"/>
        <v>0</v>
      </c>
      <c r="I867" s="1103"/>
      <c r="J867" s="1097">
        <f t="shared" si="70"/>
        <v>0</v>
      </c>
      <c r="K867" s="1096"/>
      <c r="L867" s="1097">
        <f t="shared" si="71"/>
        <v>0</v>
      </c>
      <c r="M867" s="1103"/>
      <c r="N867" s="1096"/>
      <c r="O867" s="1098"/>
      <c r="P867" s="1096"/>
      <c r="Q867" s="1107"/>
      <c r="R867" s="1104"/>
    </row>
    <row r="868" spans="1:18" s="1108" customFormat="1" ht="45.75" customHeight="1">
      <c r="A868" s="1090"/>
      <c r="B868" s="1302" t="s">
        <v>4327</v>
      </c>
      <c r="C868" s="1183">
        <f>'[1]Sliding and french window'!F702</f>
        <v>5387.75</v>
      </c>
      <c r="D868" s="1127" t="s">
        <v>306</v>
      </c>
      <c r="E868" s="1103"/>
      <c r="F868" s="1097">
        <f t="shared" si="67"/>
        <v>0</v>
      </c>
      <c r="G868" s="1103"/>
      <c r="H868" s="1097">
        <f t="shared" si="68"/>
        <v>0</v>
      </c>
      <c r="I868" s="1103"/>
      <c r="J868" s="1097">
        <f t="shared" si="70"/>
        <v>0</v>
      </c>
      <c r="K868" s="1096"/>
      <c r="L868" s="1097">
        <f t="shared" si="71"/>
        <v>0</v>
      </c>
      <c r="M868" s="1103"/>
      <c r="N868" s="1096"/>
      <c r="O868" s="1098"/>
      <c r="P868" s="1096"/>
      <c r="Q868" s="1107"/>
      <c r="R868" s="1104"/>
    </row>
    <row r="869" spans="1:18" s="1108" customFormat="1" ht="45.75" customHeight="1">
      <c r="A869" s="1090"/>
      <c r="B869" s="928" t="s">
        <v>4328</v>
      </c>
      <c r="C869" s="1127" t="e">
        <f>#REF!</f>
        <v>#REF!</v>
      </c>
      <c r="D869" s="1185" t="s">
        <v>306</v>
      </c>
      <c r="E869" s="1103"/>
      <c r="F869" s="1097" t="e">
        <f t="shared" si="67"/>
        <v>#REF!</v>
      </c>
      <c r="G869" s="1103"/>
      <c r="H869" s="1097" t="e">
        <f t="shared" si="68"/>
        <v>#REF!</v>
      </c>
      <c r="I869" s="1103"/>
      <c r="J869" s="1097" t="e">
        <f t="shared" si="70"/>
        <v>#REF!</v>
      </c>
      <c r="K869" s="1096"/>
      <c r="L869" s="1097" t="e">
        <f t="shared" si="71"/>
        <v>#REF!</v>
      </c>
      <c r="M869" s="1103"/>
      <c r="N869" s="1096"/>
      <c r="O869" s="1098"/>
      <c r="P869" s="1096"/>
      <c r="Q869" s="1107"/>
      <c r="R869" s="1104"/>
    </row>
    <row r="870" spans="1:18" s="1108" customFormat="1" ht="110.25" customHeight="1">
      <c r="A870" s="1090"/>
      <c r="B870" s="1262" t="s">
        <v>4329</v>
      </c>
      <c r="C870" s="1183"/>
      <c r="D870" s="1238"/>
      <c r="E870" s="1096"/>
      <c r="F870" s="1097">
        <f t="shared" si="67"/>
        <v>0</v>
      </c>
      <c r="G870" s="1096"/>
      <c r="H870" s="1097">
        <f t="shared" si="68"/>
        <v>0</v>
      </c>
      <c r="I870" s="1096"/>
      <c r="J870" s="1097">
        <f t="shared" si="70"/>
        <v>0</v>
      </c>
      <c r="K870" s="1096"/>
      <c r="L870" s="1097">
        <f t="shared" si="71"/>
        <v>0</v>
      </c>
      <c r="M870" s="1096"/>
      <c r="N870" s="1096"/>
      <c r="O870" s="1098"/>
      <c r="P870" s="1096"/>
      <c r="Q870" s="1107"/>
      <c r="R870" s="1099"/>
    </row>
    <row r="871" spans="1:18" s="1108" customFormat="1" ht="41.25" customHeight="1">
      <c r="A871" s="1090"/>
      <c r="B871" s="933" t="s">
        <v>4000</v>
      </c>
      <c r="C871" s="1183">
        <f>'[1]  Coastal  Elec.Data '!K2860</f>
        <v>1493.5</v>
      </c>
      <c r="D871" s="1106" t="s">
        <v>340</v>
      </c>
      <c r="E871" s="1096"/>
      <c r="F871" s="1097">
        <f t="shared" si="67"/>
        <v>0</v>
      </c>
      <c r="G871" s="1096"/>
      <c r="H871" s="1097">
        <f t="shared" si="68"/>
        <v>0</v>
      </c>
      <c r="I871" s="1096"/>
      <c r="J871" s="1097">
        <f t="shared" si="70"/>
        <v>0</v>
      </c>
      <c r="K871" s="1096"/>
      <c r="L871" s="1097">
        <f t="shared" si="71"/>
        <v>0</v>
      </c>
      <c r="M871" s="1096"/>
      <c r="N871" s="1096"/>
      <c r="O871" s="1098"/>
      <c r="P871" s="1096"/>
      <c r="Q871" s="1107"/>
      <c r="R871" s="1099"/>
    </row>
    <row r="872" spans="1:18" s="1108" customFormat="1" ht="36" customHeight="1">
      <c r="A872" s="1090"/>
      <c r="B872" s="933" t="s">
        <v>4001</v>
      </c>
      <c r="C872" s="1183">
        <f>'[1]  Coastal  Elec.Data '!K2884</f>
        <v>1496.5</v>
      </c>
      <c r="D872" s="1106" t="s">
        <v>340</v>
      </c>
      <c r="E872" s="1096"/>
      <c r="F872" s="1097">
        <f t="shared" si="67"/>
        <v>0</v>
      </c>
      <c r="G872" s="1096"/>
      <c r="H872" s="1097">
        <f t="shared" si="68"/>
        <v>0</v>
      </c>
      <c r="I872" s="1096"/>
      <c r="J872" s="1097">
        <f t="shared" si="70"/>
        <v>0</v>
      </c>
      <c r="K872" s="1096"/>
      <c r="L872" s="1097">
        <f t="shared" si="71"/>
        <v>0</v>
      </c>
      <c r="M872" s="1096"/>
      <c r="N872" s="1096"/>
      <c r="O872" s="1098"/>
      <c r="P872" s="1096"/>
      <c r="Q872" s="1107"/>
      <c r="R872" s="1099"/>
    </row>
    <row r="873" spans="1:18" s="1108" customFormat="1" ht="36" customHeight="1">
      <c r="A873" s="1138"/>
      <c r="B873" s="933" t="s">
        <v>4002</v>
      </c>
      <c r="C873" s="1183">
        <f>'[1]  Coastal  Elec.Data '!K2899</f>
        <v>1526.1</v>
      </c>
      <c r="D873" s="1106" t="s">
        <v>340</v>
      </c>
      <c r="E873" s="1096"/>
      <c r="F873" s="1097">
        <f t="shared" si="67"/>
        <v>0</v>
      </c>
      <c r="G873" s="1096"/>
      <c r="H873" s="1097">
        <f t="shared" si="68"/>
        <v>0</v>
      </c>
      <c r="I873" s="1096"/>
      <c r="J873" s="1097">
        <f t="shared" si="70"/>
        <v>0</v>
      </c>
      <c r="K873" s="1096"/>
      <c r="L873" s="1097">
        <f t="shared" si="71"/>
        <v>0</v>
      </c>
      <c r="M873" s="1096"/>
      <c r="N873" s="1096"/>
      <c r="O873" s="1098"/>
      <c r="P873" s="1096"/>
      <c r="Q873" s="1107"/>
      <c r="R873" s="1099"/>
    </row>
    <row r="874" spans="1:18" s="1108" customFormat="1" ht="112.5" customHeight="1">
      <c r="A874" s="1090"/>
      <c r="B874" s="933" t="s">
        <v>4330</v>
      </c>
      <c r="C874" s="1183">
        <f>'[1]  Coastal  Elec.Data '!K2921</f>
        <v>1547.2</v>
      </c>
      <c r="D874" s="1106" t="s">
        <v>340</v>
      </c>
      <c r="E874" s="1096"/>
      <c r="F874" s="1097">
        <f t="shared" si="67"/>
        <v>0</v>
      </c>
      <c r="G874" s="1096"/>
      <c r="H874" s="1097">
        <f t="shared" si="68"/>
        <v>0</v>
      </c>
      <c r="I874" s="1096"/>
      <c r="J874" s="1097">
        <f t="shared" si="70"/>
        <v>0</v>
      </c>
      <c r="K874" s="1096"/>
      <c r="L874" s="1097">
        <f t="shared" si="71"/>
        <v>0</v>
      </c>
      <c r="M874" s="1096"/>
      <c r="N874" s="1096"/>
      <c r="O874" s="1098"/>
      <c r="P874" s="1096"/>
      <c r="Q874" s="1107"/>
      <c r="R874" s="1099"/>
    </row>
    <row r="875" spans="1:18" s="1108" customFormat="1" ht="117" customHeight="1">
      <c r="A875" s="1090"/>
      <c r="B875" s="933" t="s">
        <v>4331</v>
      </c>
      <c r="C875" s="1183">
        <f>'[1]  Coastal  Elec.Data '!K2945</f>
        <v>2795.5</v>
      </c>
      <c r="D875" s="1106" t="s">
        <v>340</v>
      </c>
      <c r="E875" s="1096"/>
      <c r="F875" s="1097">
        <f t="shared" si="67"/>
        <v>0</v>
      </c>
      <c r="G875" s="1096"/>
      <c r="H875" s="1097">
        <f t="shared" si="68"/>
        <v>0</v>
      </c>
      <c r="I875" s="1096"/>
      <c r="J875" s="1097">
        <f t="shared" si="70"/>
        <v>0</v>
      </c>
      <c r="K875" s="1096"/>
      <c r="L875" s="1097">
        <f t="shared" si="71"/>
        <v>0</v>
      </c>
      <c r="M875" s="1096"/>
      <c r="N875" s="1096"/>
      <c r="O875" s="1098"/>
      <c r="P875" s="1096"/>
      <c r="Q875" s="1107"/>
      <c r="R875" s="1099"/>
    </row>
    <row r="876" spans="1:18" s="1108" customFormat="1" ht="112.5" customHeight="1">
      <c r="A876" s="1090">
        <v>67.099999999999994</v>
      </c>
      <c r="B876" s="933" t="s">
        <v>4160</v>
      </c>
      <c r="C876" s="1183">
        <f>'[1]  Coastal  Elec.Data '!K2977</f>
        <v>765</v>
      </c>
      <c r="D876" s="1106" t="s">
        <v>340</v>
      </c>
      <c r="E876" s="1096"/>
      <c r="F876" s="1097">
        <f t="shared" si="67"/>
        <v>0</v>
      </c>
      <c r="G876" s="1096"/>
      <c r="H876" s="1097">
        <f t="shared" si="68"/>
        <v>0</v>
      </c>
      <c r="I876" s="1096"/>
      <c r="J876" s="1097">
        <f t="shared" si="70"/>
        <v>0</v>
      </c>
      <c r="K876" s="1096"/>
      <c r="L876" s="1097">
        <f t="shared" si="71"/>
        <v>0</v>
      </c>
      <c r="M876" s="1096"/>
      <c r="N876" s="1096"/>
      <c r="O876" s="1098"/>
      <c r="P876" s="1096"/>
      <c r="Q876" s="1107"/>
      <c r="R876" s="1099"/>
    </row>
    <row r="877" spans="1:18" s="1108" customFormat="1" ht="138.75" customHeight="1">
      <c r="A877" s="1090"/>
      <c r="B877" s="933" t="s">
        <v>4332</v>
      </c>
      <c r="C877" s="1183">
        <f>'[1]  Coastal  Elec.Data '!K2965</f>
        <v>1038</v>
      </c>
      <c r="D877" s="1106" t="s">
        <v>340</v>
      </c>
      <c r="E877" s="1096"/>
      <c r="F877" s="1097">
        <f t="shared" si="67"/>
        <v>0</v>
      </c>
      <c r="G877" s="1096"/>
      <c r="H877" s="1097">
        <f t="shared" si="68"/>
        <v>0</v>
      </c>
      <c r="I877" s="1096"/>
      <c r="J877" s="1097">
        <f t="shared" si="70"/>
        <v>0</v>
      </c>
      <c r="K877" s="1096"/>
      <c r="L877" s="1097">
        <f t="shared" si="71"/>
        <v>0</v>
      </c>
      <c r="M877" s="1096"/>
      <c r="N877" s="1096"/>
      <c r="O877" s="1098"/>
      <c r="P877" s="1096"/>
      <c r="Q877" s="1107"/>
      <c r="R877" s="1099"/>
    </row>
    <row r="878" spans="1:18" s="1108" customFormat="1" ht="59.25" customHeight="1">
      <c r="A878" s="1090"/>
      <c r="B878" s="933" t="s">
        <v>4333</v>
      </c>
      <c r="C878" s="1183">
        <f>'[1]  Coastal  Elec.Data '!K2988</f>
        <v>133.5</v>
      </c>
      <c r="D878" s="1106" t="s">
        <v>340</v>
      </c>
      <c r="E878" s="1096"/>
      <c r="F878" s="1097">
        <f t="shared" si="67"/>
        <v>0</v>
      </c>
      <c r="G878" s="1096"/>
      <c r="H878" s="1097">
        <f t="shared" si="68"/>
        <v>0</v>
      </c>
      <c r="I878" s="1096"/>
      <c r="J878" s="1097">
        <f t="shared" si="70"/>
        <v>0</v>
      </c>
      <c r="K878" s="1096"/>
      <c r="L878" s="1097">
        <f t="shared" si="71"/>
        <v>0</v>
      </c>
      <c r="M878" s="1096"/>
      <c r="N878" s="1096"/>
      <c r="O878" s="1098"/>
      <c r="P878" s="1096"/>
      <c r="Q878" s="1107"/>
      <c r="R878" s="1099"/>
    </row>
    <row r="879" spans="1:18" s="1108" customFormat="1" ht="94.5" customHeight="1">
      <c r="A879" s="1090"/>
      <c r="B879" s="933" t="s">
        <v>4334</v>
      </c>
      <c r="C879" s="1183" t="e">
        <f>#REF!</f>
        <v>#REF!</v>
      </c>
      <c r="D879" s="943" t="s">
        <v>277</v>
      </c>
      <c r="E879" s="1098"/>
      <c r="F879" s="1097" t="e">
        <f t="shared" si="67"/>
        <v>#REF!</v>
      </c>
      <c r="G879" s="1098"/>
      <c r="H879" s="1097" t="e">
        <f t="shared" si="68"/>
        <v>#REF!</v>
      </c>
      <c r="I879" s="1098"/>
      <c r="J879" s="1097" t="e">
        <f t="shared" si="70"/>
        <v>#REF!</v>
      </c>
      <c r="K879" s="1096"/>
      <c r="L879" s="1097" t="e">
        <f t="shared" si="71"/>
        <v>#REF!</v>
      </c>
      <c r="M879" s="1096"/>
      <c r="N879" s="1096"/>
      <c r="O879" s="1098"/>
      <c r="P879" s="1096"/>
      <c r="Q879" s="1107"/>
      <c r="R879" s="1099"/>
    </row>
    <row r="880" spans="1:18" s="1108" customFormat="1" ht="75" customHeight="1">
      <c r="A880" s="1090"/>
      <c r="B880" s="933" t="s">
        <v>4335</v>
      </c>
      <c r="C880" s="1183" t="e">
        <f>#REF!</f>
        <v>#REF!</v>
      </c>
      <c r="D880" s="943" t="s">
        <v>303</v>
      </c>
      <c r="E880" s="1096"/>
      <c r="F880" s="1097" t="e">
        <f t="shared" si="67"/>
        <v>#REF!</v>
      </c>
      <c r="G880" s="1096"/>
      <c r="H880" s="1097" t="e">
        <f t="shared" si="68"/>
        <v>#REF!</v>
      </c>
      <c r="I880" s="1096"/>
      <c r="J880" s="1097" t="e">
        <f t="shared" si="70"/>
        <v>#REF!</v>
      </c>
      <c r="K880" s="1096"/>
      <c r="L880" s="1097" t="e">
        <f t="shared" si="71"/>
        <v>#REF!</v>
      </c>
      <c r="M880" s="1096"/>
      <c r="N880" s="1096"/>
      <c r="O880" s="1098"/>
      <c r="P880" s="1096"/>
      <c r="Q880" s="1107"/>
      <c r="R880" s="1099"/>
    </row>
    <row r="881" spans="1:18" s="1108" customFormat="1" ht="54" customHeight="1">
      <c r="A881" s="1090"/>
      <c r="B881" s="1262" t="s">
        <v>4336</v>
      </c>
      <c r="C881" s="1183" t="e">
        <f>#REF!</f>
        <v>#REF!</v>
      </c>
      <c r="D881" s="943"/>
      <c r="E881" s="1103"/>
      <c r="F881" s="1097" t="e">
        <f t="shared" si="67"/>
        <v>#REF!</v>
      </c>
      <c r="G881" s="1103"/>
      <c r="H881" s="1097" t="e">
        <f t="shared" si="68"/>
        <v>#REF!</v>
      </c>
      <c r="I881" s="1103"/>
      <c r="J881" s="1097" t="e">
        <f t="shared" si="70"/>
        <v>#REF!</v>
      </c>
      <c r="K881" s="1096"/>
      <c r="L881" s="1097" t="e">
        <f t="shared" si="71"/>
        <v>#REF!</v>
      </c>
      <c r="M881" s="1103"/>
      <c r="N881" s="1096"/>
      <c r="O881" s="1098"/>
      <c r="P881" s="1096"/>
      <c r="Q881" s="1107"/>
      <c r="R881" s="1104"/>
    </row>
    <row r="882" spans="1:18" s="1108" customFormat="1" ht="96" customHeight="1">
      <c r="A882" s="1090"/>
      <c r="B882" s="931" t="s">
        <v>4337</v>
      </c>
      <c r="C882" s="1183"/>
      <c r="D882" s="943"/>
      <c r="E882" s="1096"/>
      <c r="F882" s="1097">
        <f t="shared" si="67"/>
        <v>0</v>
      </c>
      <c r="G882" s="1096"/>
      <c r="H882" s="1097">
        <f t="shared" si="68"/>
        <v>0</v>
      </c>
      <c r="I882" s="1096"/>
      <c r="J882" s="1097">
        <f t="shared" si="70"/>
        <v>0</v>
      </c>
      <c r="K882" s="1096"/>
      <c r="L882" s="1097">
        <f t="shared" si="71"/>
        <v>0</v>
      </c>
      <c r="M882" s="1096"/>
      <c r="N882" s="1096"/>
      <c r="O882" s="1098"/>
      <c r="P882" s="1096"/>
      <c r="Q882" s="1107"/>
      <c r="R882" s="1099"/>
    </row>
    <row r="883" spans="1:18" s="1108" customFormat="1" ht="45" customHeight="1">
      <c r="A883" s="1090"/>
      <c r="B883" s="933" t="s">
        <v>3963</v>
      </c>
      <c r="C883" s="1183" t="e">
        <f>#REF!</f>
        <v>#REF!</v>
      </c>
      <c r="D883" s="943" t="s">
        <v>303</v>
      </c>
      <c r="E883" s="1096"/>
      <c r="F883" s="1097" t="e">
        <f t="shared" si="67"/>
        <v>#REF!</v>
      </c>
      <c r="G883" s="1096"/>
      <c r="H883" s="1097" t="e">
        <f t="shared" si="68"/>
        <v>#REF!</v>
      </c>
      <c r="I883" s="1096"/>
      <c r="J883" s="1097" t="e">
        <f t="shared" si="70"/>
        <v>#REF!</v>
      </c>
      <c r="K883" s="1096"/>
      <c r="L883" s="1097" t="e">
        <f t="shared" si="71"/>
        <v>#REF!</v>
      </c>
      <c r="M883" s="1096"/>
      <c r="N883" s="1096"/>
      <c r="O883" s="1098"/>
      <c r="P883" s="1096"/>
      <c r="Q883" s="1107"/>
      <c r="R883" s="1099"/>
    </row>
    <row r="884" spans="1:18" s="1108" customFormat="1" ht="45" customHeight="1">
      <c r="A884" s="1090"/>
      <c r="B884" s="933" t="s">
        <v>3964</v>
      </c>
      <c r="C884" s="1183" t="e">
        <f>#REF!</f>
        <v>#REF!</v>
      </c>
      <c r="D884" s="943" t="s">
        <v>303</v>
      </c>
      <c r="E884" s="1096"/>
      <c r="F884" s="1097" t="e">
        <f t="shared" si="67"/>
        <v>#REF!</v>
      </c>
      <c r="G884" s="1096"/>
      <c r="H884" s="1097" t="e">
        <f t="shared" si="68"/>
        <v>#REF!</v>
      </c>
      <c r="I884" s="1096"/>
      <c r="J884" s="1097" t="e">
        <f t="shared" si="70"/>
        <v>#REF!</v>
      </c>
      <c r="K884" s="1096"/>
      <c r="L884" s="1097" t="e">
        <f t="shared" si="71"/>
        <v>#REF!</v>
      </c>
      <c r="M884" s="1096"/>
      <c r="N884" s="1096"/>
      <c r="O884" s="1098"/>
      <c r="P884" s="1096"/>
      <c r="Q884" s="1107"/>
      <c r="R884" s="1099"/>
    </row>
    <row r="885" spans="1:18" s="1108" customFormat="1" ht="70.5" customHeight="1">
      <c r="A885" s="1090"/>
      <c r="B885" s="933" t="s">
        <v>4338</v>
      </c>
      <c r="C885" s="1183" t="e">
        <f>#REF!</f>
        <v>#REF!</v>
      </c>
      <c r="D885" s="943" t="s">
        <v>303</v>
      </c>
      <c r="E885" s="1103"/>
      <c r="F885" s="1097" t="e">
        <f t="shared" si="67"/>
        <v>#REF!</v>
      </c>
      <c r="G885" s="1103"/>
      <c r="H885" s="1097" t="e">
        <f t="shared" si="68"/>
        <v>#REF!</v>
      </c>
      <c r="I885" s="1103"/>
      <c r="J885" s="1097" t="e">
        <f t="shared" si="70"/>
        <v>#REF!</v>
      </c>
      <c r="K885" s="1096"/>
      <c r="L885" s="1097" t="e">
        <f t="shared" si="71"/>
        <v>#REF!</v>
      </c>
      <c r="M885" s="1103"/>
      <c r="N885" s="1096"/>
      <c r="O885" s="1098"/>
      <c r="P885" s="1096"/>
      <c r="Q885" s="1107"/>
      <c r="R885" s="1104"/>
    </row>
    <row r="886" spans="1:18" s="1108" customFormat="1" ht="115.5" customHeight="1">
      <c r="A886" s="1090"/>
      <c r="B886" s="931" t="s">
        <v>4339</v>
      </c>
      <c r="C886" s="1183" t="e">
        <f>#REF!</f>
        <v>#REF!</v>
      </c>
      <c r="D886" s="1106" t="s">
        <v>306</v>
      </c>
      <c r="E886" s="1103"/>
      <c r="F886" s="1097" t="e">
        <f t="shared" si="67"/>
        <v>#REF!</v>
      </c>
      <c r="G886" s="1103"/>
      <c r="H886" s="1097" t="e">
        <f t="shared" si="68"/>
        <v>#REF!</v>
      </c>
      <c r="I886" s="1103"/>
      <c r="J886" s="1097" t="e">
        <f t="shared" si="70"/>
        <v>#REF!</v>
      </c>
      <c r="K886" s="1096"/>
      <c r="L886" s="1097" t="e">
        <f t="shared" si="71"/>
        <v>#REF!</v>
      </c>
      <c r="M886" s="1103"/>
      <c r="N886" s="1096"/>
      <c r="O886" s="1098"/>
      <c r="P886" s="1096"/>
      <c r="Q886" s="1107"/>
      <c r="R886" s="1104"/>
    </row>
    <row r="887" spans="1:18" s="1105" customFormat="1" ht="48.75" customHeight="1">
      <c r="A887" s="1129"/>
      <c r="B887" s="1303" t="s">
        <v>4340</v>
      </c>
      <c r="C887" s="1233" t="e">
        <f>#REF!</f>
        <v>#REF!</v>
      </c>
      <c r="D887" s="1117" t="s">
        <v>340</v>
      </c>
      <c r="E887" s="1103"/>
      <c r="F887" s="1097" t="e">
        <f t="shared" si="67"/>
        <v>#REF!</v>
      </c>
      <c r="G887" s="1103"/>
      <c r="H887" s="1097" t="e">
        <f t="shared" si="68"/>
        <v>#REF!</v>
      </c>
      <c r="I887" s="1103"/>
      <c r="J887" s="1097" t="e">
        <f t="shared" si="70"/>
        <v>#REF!</v>
      </c>
      <c r="K887" s="1096"/>
      <c r="L887" s="1097" t="e">
        <f t="shared" si="71"/>
        <v>#REF!</v>
      </c>
      <c r="M887" s="1103"/>
      <c r="N887" s="1096"/>
      <c r="O887" s="1098"/>
      <c r="P887" s="1096"/>
      <c r="Q887" s="1104"/>
      <c r="R887" s="1104"/>
    </row>
    <row r="888" spans="1:18" s="1105" customFormat="1" ht="48.75" customHeight="1">
      <c r="A888" s="1129"/>
      <c r="B888" s="1303" t="s">
        <v>4341</v>
      </c>
      <c r="C888" s="1233" t="e">
        <f>#REF!</f>
        <v>#REF!</v>
      </c>
      <c r="D888" s="1117" t="s">
        <v>340</v>
      </c>
      <c r="E888" s="1103"/>
      <c r="F888" s="1097" t="e">
        <f t="shared" si="67"/>
        <v>#REF!</v>
      </c>
      <c r="G888" s="1103"/>
      <c r="H888" s="1097" t="e">
        <f t="shared" si="68"/>
        <v>#REF!</v>
      </c>
      <c r="I888" s="1103"/>
      <c r="J888" s="1097" t="e">
        <f t="shared" si="70"/>
        <v>#REF!</v>
      </c>
      <c r="K888" s="1096"/>
      <c r="L888" s="1097" t="e">
        <f t="shared" si="71"/>
        <v>#REF!</v>
      </c>
      <c r="M888" s="1103"/>
      <c r="N888" s="1096"/>
      <c r="O888" s="1098"/>
      <c r="P888" s="1096"/>
      <c r="Q888" s="1104"/>
      <c r="R888" s="1104"/>
    </row>
    <row r="889" spans="1:18" s="1108" customFormat="1" ht="40.5" customHeight="1">
      <c r="A889" s="1119"/>
      <c r="B889" s="935" t="s">
        <v>4342</v>
      </c>
      <c r="C889" s="1230">
        <v>51.4</v>
      </c>
      <c r="D889" s="1239" t="s">
        <v>13</v>
      </c>
      <c r="E889" s="1103"/>
      <c r="F889" s="1097">
        <f t="shared" si="67"/>
        <v>0</v>
      </c>
      <c r="G889" s="1103"/>
      <c r="H889" s="1097">
        <f t="shared" si="68"/>
        <v>0</v>
      </c>
      <c r="I889" s="1103"/>
      <c r="J889" s="1097">
        <f t="shared" si="70"/>
        <v>0</v>
      </c>
      <c r="K889" s="1096"/>
      <c r="L889" s="1097">
        <f t="shared" si="71"/>
        <v>0</v>
      </c>
      <c r="M889" s="1103"/>
      <c r="N889" s="1096"/>
      <c r="O889" s="1098"/>
      <c r="P889" s="1096"/>
      <c r="Q889" s="1107"/>
      <c r="R889" s="1104"/>
    </row>
    <row r="890" spans="1:18" s="1108" customFormat="1" ht="65.25" customHeight="1">
      <c r="A890" s="1090"/>
      <c r="B890" s="933" t="s">
        <v>4343</v>
      </c>
      <c r="C890" s="1183" t="e">
        <f>#REF!</f>
        <v>#REF!</v>
      </c>
      <c r="D890" s="1106" t="s">
        <v>306</v>
      </c>
      <c r="E890" s="1103"/>
      <c r="F890" s="1097" t="e">
        <f t="shared" si="67"/>
        <v>#REF!</v>
      </c>
      <c r="G890" s="1103"/>
      <c r="H890" s="1097" t="e">
        <f t="shared" si="68"/>
        <v>#REF!</v>
      </c>
      <c r="I890" s="1103"/>
      <c r="J890" s="1097" t="e">
        <f t="shared" si="70"/>
        <v>#REF!</v>
      </c>
      <c r="K890" s="1096"/>
      <c r="L890" s="1097" t="e">
        <f t="shared" si="71"/>
        <v>#REF!</v>
      </c>
      <c r="M890" s="1103"/>
      <c r="N890" s="1096"/>
      <c r="O890" s="1098"/>
      <c r="P890" s="1096"/>
      <c r="Q890" s="1107"/>
      <c r="R890" s="1104"/>
    </row>
    <row r="891" spans="1:18" s="1108" customFormat="1" ht="104.25" customHeight="1">
      <c r="A891" s="1090" t="s">
        <v>4344</v>
      </c>
      <c r="B891" s="1262" t="s">
        <v>4345</v>
      </c>
      <c r="C891" s="1126"/>
      <c r="D891" s="1126"/>
      <c r="E891" s="1103"/>
      <c r="F891" s="1097">
        <f t="shared" si="67"/>
        <v>0</v>
      </c>
      <c r="G891" s="1103"/>
      <c r="H891" s="1097">
        <f t="shared" si="68"/>
        <v>0</v>
      </c>
      <c r="I891" s="1103"/>
      <c r="J891" s="1097">
        <f t="shared" si="70"/>
        <v>0</v>
      </c>
      <c r="K891" s="1096"/>
      <c r="L891" s="1097">
        <f t="shared" si="71"/>
        <v>0</v>
      </c>
      <c r="M891" s="1103"/>
      <c r="N891" s="1096"/>
      <c r="O891" s="1098"/>
      <c r="P891" s="1096"/>
      <c r="Q891" s="1240"/>
      <c r="R891" s="1104"/>
    </row>
    <row r="892" spans="1:18" s="1108" customFormat="1" ht="25.5" customHeight="1">
      <c r="A892" s="1090"/>
      <c r="B892" s="1262" t="s">
        <v>4081</v>
      </c>
      <c r="C892" s="943">
        <f>'[1]pile data ( M30 grade) (2)'!F17</f>
        <v>3529.84</v>
      </c>
      <c r="D892" s="943" t="s">
        <v>303</v>
      </c>
      <c r="E892" s="1103"/>
      <c r="F892" s="1097">
        <f t="shared" si="67"/>
        <v>0</v>
      </c>
      <c r="G892" s="1103"/>
      <c r="H892" s="1097">
        <f t="shared" si="68"/>
        <v>0</v>
      </c>
      <c r="I892" s="1103"/>
      <c r="J892" s="1097">
        <f t="shared" si="70"/>
        <v>0</v>
      </c>
      <c r="K892" s="1096"/>
      <c r="L892" s="1097">
        <f t="shared" si="71"/>
        <v>0</v>
      </c>
      <c r="M892" s="1103"/>
      <c r="N892" s="1096"/>
      <c r="O892" s="1098"/>
      <c r="P892" s="1096"/>
      <c r="Q892" s="1107"/>
      <c r="R892" s="1104"/>
    </row>
    <row r="893" spans="1:18" s="1108" customFormat="1" ht="25.5" customHeight="1">
      <c r="A893" s="1090"/>
      <c r="B893" s="1262" t="s">
        <v>4082</v>
      </c>
      <c r="C893" s="943">
        <f>'[1]pile data ( M30 grade) (2)'!F81</f>
        <v>3091.82</v>
      </c>
      <c r="D893" s="943" t="s">
        <v>303</v>
      </c>
      <c r="E893" s="1103"/>
      <c r="F893" s="1097">
        <f t="shared" si="67"/>
        <v>0</v>
      </c>
      <c r="G893" s="1103"/>
      <c r="H893" s="1097">
        <f t="shared" si="68"/>
        <v>0</v>
      </c>
      <c r="I893" s="1103"/>
      <c r="J893" s="1097">
        <f t="shared" si="70"/>
        <v>0</v>
      </c>
      <c r="K893" s="1096"/>
      <c r="L893" s="1097">
        <f t="shared" si="71"/>
        <v>0</v>
      </c>
      <c r="M893" s="1103"/>
      <c r="N893" s="1096"/>
      <c r="O893" s="1098"/>
      <c r="P893" s="1096"/>
      <c r="Q893" s="1107"/>
      <c r="R893" s="1104"/>
    </row>
    <row r="894" spans="1:18" s="1108" customFormat="1" ht="25.5" customHeight="1">
      <c r="A894" s="1090"/>
      <c r="B894" s="1262" t="s">
        <v>4083</v>
      </c>
      <c r="C894" s="943">
        <f>'[1]pile data ( M30 grade) (2)'!F141</f>
        <v>2699.36</v>
      </c>
      <c r="D894" s="943" t="s">
        <v>303</v>
      </c>
      <c r="E894" s="1103"/>
      <c r="F894" s="1097">
        <f t="shared" si="67"/>
        <v>0</v>
      </c>
      <c r="G894" s="1103"/>
      <c r="H894" s="1097">
        <f t="shared" si="68"/>
        <v>0</v>
      </c>
      <c r="I894" s="1103"/>
      <c r="J894" s="1097">
        <f t="shared" si="70"/>
        <v>0</v>
      </c>
      <c r="K894" s="1096"/>
      <c r="L894" s="1097">
        <f t="shared" si="71"/>
        <v>0</v>
      </c>
      <c r="M894" s="1103"/>
      <c r="N894" s="1096"/>
      <c r="O894" s="1098"/>
      <c r="P894" s="1096"/>
      <c r="Q894" s="1107"/>
      <c r="R894" s="1104"/>
    </row>
    <row r="895" spans="1:18" s="1108" customFormat="1" ht="69.75" customHeight="1">
      <c r="A895" s="1090"/>
      <c r="B895" s="1262" t="s">
        <v>4346</v>
      </c>
      <c r="C895" s="943">
        <f>'[3]pile data'!G83</f>
        <v>0</v>
      </c>
      <c r="D895" s="943"/>
      <c r="E895" s="1103"/>
      <c r="F895" s="1097">
        <f t="shared" si="67"/>
        <v>0</v>
      </c>
      <c r="G895" s="1103"/>
      <c r="H895" s="1097">
        <f t="shared" si="68"/>
        <v>0</v>
      </c>
      <c r="I895" s="1103"/>
      <c r="J895" s="1097">
        <f t="shared" si="70"/>
        <v>0</v>
      </c>
      <c r="K895" s="1096"/>
      <c r="L895" s="1097">
        <f t="shared" si="71"/>
        <v>0</v>
      </c>
      <c r="M895" s="1103"/>
      <c r="N895" s="1096"/>
      <c r="O895" s="1098"/>
      <c r="P895" s="1096"/>
      <c r="Q895" s="1107"/>
      <c r="R895" s="1104"/>
    </row>
    <row r="896" spans="1:18" s="1108" customFormat="1" ht="93" customHeight="1">
      <c r="A896" s="1090"/>
      <c r="B896" s="1262" t="s">
        <v>4347</v>
      </c>
      <c r="C896" s="1126"/>
      <c r="D896" s="1126"/>
      <c r="E896" s="1103"/>
      <c r="F896" s="1097">
        <f t="shared" si="67"/>
        <v>0</v>
      </c>
      <c r="G896" s="1103"/>
      <c r="H896" s="1097">
        <f t="shared" si="68"/>
        <v>0</v>
      </c>
      <c r="I896" s="1103"/>
      <c r="J896" s="1097">
        <f t="shared" si="70"/>
        <v>0</v>
      </c>
      <c r="K896" s="1096"/>
      <c r="L896" s="1097">
        <f t="shared" si="71"/>
        <v>0</v>
      </c>
      <c r="M896" s="1103"/>
      <c r="N896" s="1096"/>
      <c r="O896" s="1098"/>
      <c r="P896" s="1096"/>
      <c r="Q896" s="1240"/>
      <c r="R896" s="1104"/>
    </row>
    <row r="897" spans="1:18" s="1108" customFormat="1" ht="25.5" customHeight="1">
      <c r="A897" s="1090"/>
      <c r="B897" s="1262" t="s">
        <v>4081</v>
      </c>
      <c r="C897" s="943">
        <f>'[1]pile data ( M30 grade) (2)'!F28</f>
        <v>764.05</v>
      </c>
      <c r="D897" s="943" t="s">
        <v>303</v>
      </c>
      <c r="E897" s="1103"/>
      <c r="F897" s="1097">
        <f t="shared" si="67"/>
        <v>0</v>
      </c>
      <c r="G897" s="1103"/>
      <c r="H897" s="1097">
        <f t="shared" si="68"/>
        <v>0</v>
      </c>
      <c r="I897" s="1103"/>
      <c r="J897" s="1097">
        <f t="shared" si="70"/>
        <v>0</v>
      </c>
      <c r="K897" s="1096"/>
      <c r="L897" s="1097">
        <f t="shared" si="71"/>
        <v>0</v>
      </c>
      <c r="M897" s="1103"/>
      <c r="N897" s="1096"/>
      <c r="O897" s="1098"/>
      <c r="P897" s="1096"/>
      <c r="Q897" s="1107"/>
      <c r="R897" s="1104"/>
    </row>
    <row r="898" spans="1:18" s="1108" customFormat="1" ht="25.5" customHeight="1">
      <c r="A898" s="1090"/>
      <c r="B898" s="1262" t="s">
        <v>4082</v>
      </c>
      <c r="C898" s="943">
        <f>'[1]pile data ( M30 grade) (2)'!F92</f>
        <v>619.82000000000005</v>
      </c>
      <c r="D898" s="943" t="s">
        <v>303</v>
      </c>
      <c r="E898" s="1103"/>
      <c r="F898" s="1097">
        <f t="shared" si="67"/>
        <v>0</v>
      </c>
      <c r="G898" s="1103"/>
      <c r="H898" s="1097">
        <f t="shared" si="68"/>
        <v>0</v>
      </c>
      <c r="I898" s="1103"/>
      <c r="J898" s="1097">
        <f t="shared" si="70"/>
        <v>0</v>
      </c>
      <c r="K898" s="1096"/>
      <c r="L898" s="1097">
        <f t="shared" si="71"/>
        <v>0</v>
      </c>
      <c r="M898" s="1103"/>
      <c r="N898" s="1096"/>
      <c r="O898" s="1098"/>
      <c r="P898" s="1096"/>
      <c r="Q898" s="1107"/>
      <c r="R898" s="1104"/>
    </row>
    <row r="899" spans="1:18" s="1108" customFormat="1" ht="25.5" customHeight="1">
      <c r="A899" s="1090"/>
      <c r="B899" s="1262" t="s">
        <v>4083</v>
      </c>
      <c r="C899" s="943">
        <f>'[1]pile data ( M30 grade) (2)'!F152</f>
        <v>491.17</v>
      </c>
      <c r="D899" s="943" t="s">
        <v>303</v>
      </c>
      <c r="E899" s="1103"/>
      <c r="F899" s="1097">
        <f t="shared" si="67"/>
        <v>0</v>
      </c>
      <c r="G899" s="1103"/>
      <c r="H899" s="1097">
        <f t="shared" si="68"/>
        <v>0</v>
      </c>
      <c r="I899" s="1103"/>
      <c r="J899" s="1097">
        <f t="shared" si="70"/>
        <v>0</v>
      </c>
      <c r="K899" s="1096"/>
      <c r="L899" s="1097">
        <f t="shared" si="71"/>
        <v>0</v>
      </c>
      <c r="M899" s="1103"/>
      <c r="N899" s="1096"/>
      <c r="O899" s="1098"/>
      <c r="P899" s="1096"/>
      <c r="Q899" s="1107"/>
      <c r="R899" s="1104"/>
    </row>
    <row r="900" spans="1:18" s="1108" customFormat="1" ht="93" customHeight="1">
      <c r="A900" s="1090"/>
      <c r="B900" s="1262" t="s">
        <v>4348</v>
      </c>
      <c r="C900" s="943">
        <v>40000</v>
      </c>
      <c r="D900" s="943" t="s">
        <v>68</v>
      </c>
      <c r="E900" s="1103"/>
      <c r="F900" s="1097">
        <f t="shared" si="67"/>
        <v>0</v>
      </c>
      <c r="G900" s="1103"/>
      <c r="H900" s="1097">
        <f t="shared" si="68"/>
        <v>0</v>
      </c>
      <c r="I900" s="1103"/>
      <c r="J900" s="1097">
        <f t="shared" si="70"/>
        <v>0</v>
      </c>
      <c r="K900" s="1096"/>
      <c r="L900" s="1097">
        <f t="shared" si="71"/>
        <v>0</v>
      </c>
      <c r="M900" s="1103"/>
      <c r="N900" s="1096"/>
      <c r="O900" s="1098"/>
      <c r="P900" s="1096"/>
      <c r="Q900" s="1107"/>
      <c r="R900" s="1104"/>
    </row>
    <row r="901" spans="1:18" s="1108" customFormat="1" ht="162.75" customHeight="1">
      <c r="A901" s="1090"/>
      <c r="B901" s="1262" t="s">
        <v>4349</v>
      </c>
      <c r="C901" s="943">
        <v>70000</v>
      </c>
      <c r="D901" s="943" t="s">
        <v>68</v>
      </c>
      <c r="E901" s="1103"/>
      <c r="F901" s="1097">
        <f t="shared" si="67"/>
        <v>0</v>
      </c>
      <c r="G901" s="1103"/>
      <c r="H901" s="1097">
        <f t="shared" si="68"/>
        <v>0</v>
      </c>
      <c r="I901" s="1103"/>
      <c r="J901" s="1097">
        <f t="shared" si="70"/>
        <v>0</v>
      </c>
      <c r="K901" s="1096"/>
      <c r="L901" s="1097">
        <f t="shared" si="71"/>
        <v>0</v>
      </c>
      <c r="M901" s="1103"/>
      <c r="N901" s="1096"/>
      <c r="O901" s="1098"/>
      <c r="P901" s="1096"/>
      <c r="Q901" s="1107"/>
      <c r="R901" s="1104"/>
    </row>
    <row r="902" spans="1:18" s="1108" customFormat="1" ht="39.75" customHeight="1">
      <c r="A902" s="1090"/>
      <c r="B902" s="933" t="s">
        <v>4350</v>
      </c>
      <c r="C902" s="1183">
        <v>713.54</v>
      </c>
      <c r="D902" s="1165" t="s">
        <v>306</v>
      </c>
      <c r="E902" s="1103"/>
      <c r="F902" s="1097">
        <f t="shared" si="67"/>
        <v>0</v>
      </c>
      <c r="G902" s="1103"/>
      <c r="H902" s="1097">
        <f t="shared" si="68"/>
        <v>0</v>
      </c>
      <c r="I902" s="1103"/>
      <c r="J902" s="1097">
        <f t="shared" si="70"/>
        <v>0</v>
      </c>
      <c r="K902" s="1096"/>
      <c r="L902" s="1097">
        <f t="shared" si="71"/>
        <v>0</v>
      </c>
      <c r="M902" s="1103"/>
      <c r="N902" s="1096"/>
      <c r="O902" s="1098"/>
      <c r="P902" s="1096"/>
      <c r="Q902" s="1107"/>
      <c r="R902" s="1104"/>
    </row>
    <row r="903" spans="1:18" s="1108" customFormat="1" ht="93" customHeight="1">
      <c r="A903" s="1090"/>
      <c r="B903" s="1262" t="s">
        <v>4351</v>
      </c>
      <c r="C903" s="1241"/>
      <c r="D903" s="1165"/>
      <c r="E903" s="1096">
        <f>'Ins Abs'!Q71</f>
        <v>0</v>
      </c>
      <c r="F903" s="1097">
        <f t="shared" si="67"/>
        <v>0</v>
      </c>
      <c r="G903" s="1096">
        <f>'SI Abs '!Q72</f>
        <v>0</v>
      </c>
      <c r="H903" s="1097">
        <f>'SI Abs '!R72</f>
        <v>0</v>
      </c>
      <c r="I903" s="1096">
        <f>'PC Abs'!Q66</f>
        <v>0</v>
      </c>
      <c r="J903" s="1097">
        <f>'PC Abs'!R66</f>
        <v>0</v>
      </c>
      <c r="K903" s="1096"/>
      <c r="L903" s="1097">
        <f t="shared" si="71"/>
        <v>0</v>
      </c>
      <c r="M903" s="1103"/>
      <c r="N903" s="1096"/>
      <c r="O903" s="1098"/>
      <c r="P903" s="1095"/>
      <c r="Q903" s="1107"/>
      <c r="R903" s="1104"/>
    </row>
    <row r="904" spans="1:18" s="1108" customFormat="1" ht="25.5" customHeight="1">
      <c r="A904" s="1090"/>
      <c r="B904" s="1275" t="s">
        <v>4000</v>
      </c>
      <c r="C904" s="1241" t="e">
        <f>#REF!</f>
        <v>#REF!</v>
      </c>
      <c r="D904" s="1165" t="s">
        <v>340</v>
      </c>
      <c r="E904" s="1096">
        <f>'Ins Abs'!Q72</f>
        <v>45</v>
      </c>
      <c r="F904" s="1097" t="e">
        <f t="shared" si="67"/>
        <v>#REF!</v>
      </c>
      <c r="G904" s="1096">
        <f>'SI Abs '!Q73</f>
        <v>66</v>
      </c>
      <c r="H904" s="1097">
        <f>'SI Abs '!R73</f>
        <v>59069.725000000006</v>
      </c>
      <c r="I904" s="1096">
        <f>'PC Abs'!Q67</f>
        <v>144</v>
      </c>
      <c r="J904" s="1097">
        <f>'PC Abs'!R67</f>
        <v>128879.40000000001</v>
      </c>
      <c r="K904" s="1096"/>
      <c r="L904" s="1097" t="e">
        <f t="shared" si="71"/>
        <v>#REF!</v>
      </c>
      <c r="M904" s="1103"/>
      <c r="N904" s="1096"/>
      <c r="O904" s="1098">
        <f t="shared" ref="O904:O905" si="72">E904+G904+I904+K904</f>
        <v>255</v>
      </c>
      <c r="P904" s="1096" t="e">
        <f>O904*C904</f>
        <v>#REF!</v>
      </c>
      <c r="Q904" s="1107"/>
      <c r="R904" s="1104"/>
    </row>
    <row r="905" spans="1:18" s="1108" customFormat="1" ht="25.5" customHeight="1">
      <c r="A905" s="1090"/>
      <c r="B905" s="1275" t="s">
        <v>4001</v>
      </c>
      <c r="C905" s="1241" t="e">
        <f>#REF!</f>
        <v>#REF!</v>
      </c>
      <c r="D905" s="1165" t="s">
        <v>340</v>
      </c>
      <c r="E905" s="1096">
        <f>'Ins Abs'!Q73</f>
        <v>25</v>
      </c>
      <c r="F905" s="1097" t="e">
        <f t="shared" ref="F905" si="73">C905*E905</f>
        <v>#REF!</v>
      </c>
      <c r="G905" s="1096">
        <f>'SI Abs '!Q74</f>
        <v>24</v>
      </c>
      <c r="H905" s="1097">
        <f>'SI Abs '!R74</f>
        <v>21527.9</v>
      </c>
      <c r="I905" s="1096">
        <f>'PC Abs'!Q68</f>
        <v>96</v>
      </c>
      <c r="J905" s="1097">
        <f>'PC Abs'!R68</f>
        <v>86111.6</v>
      </c>
      <c r="K905" s="1096"/>
      <c r="L905" s="1097" t="e">
        <f t="shared" si="71"/>
        <v>#REF!</v>
      </c>
      <c r="M905" s="1103"/>
      <c r="N905" s="1096"/>
      <c r="O905" s="1098">
        <f t="shared" si="72"/>
        <v>145</v>
      </c>
      <c r="P905" s="1096" t="e">
        <f>O905*C905</f>
        <v>#REF!</v>
      </c>
      <c r="Q905" s="1107"/>
      <c r="R905" s="1104"/>
    </row>
    <row r="906" spans="1:18" s="1108" customFormat="1" ht="25.5" customHeight="1">
      <c r="A906" s="1090"/>
      <c r="B906" s="1275" t="s">
        <v>4352</v>
      </c>
      <c r="C906" s="1241" t="e">
        <f>#REF!</f>
        <v>#REF!</v>
      </c>
      <c r="D906" s="1165"/>
      <c r="F906" s="1097" t="e">
        <f t="shared" ref="F906:F968" si="74">C906*E906</f>
        <v>#REF!</v>
      </c>
      <c r="G906" s="1103"/>
      <c r="H906" s="1097" t="e">
        <f t="shared" ref="H906:H968" si="75">C906*G906</f>
        <v>#REF!</v>
      </c>
      <c r="I906" s="1103"/>
      <c r="J906" s="1097" t="e">
        <f t="shared" si="70"/>
        <v>#REF!</v>
      </c>
      <c r="K906" s="1096"/>
      <c r="L906" s="1097" t="e">
        <f t="shared" si="71"/>
        <v>#REF!</v>
      </c>
      <c r="M906" s="1103"/>
      <c r="N906" s="1096"/>
      <c r="O906" s="1098"/>
      <c r="P906" s="1096"/>
      <c r="Q906" s="1107"/>
      <c r="R906" s="1104"/>
    </row>
    <row r="907" spans="1:18" s="1108" customFormat="1" ht="87" customHeight="1">
      <c r="A907" s="1090"/>
      <c r="B907" s="1275" t="s">
        <v>4353</v>
      </c>
      <c r="C907" s="1241" t="e">
        <f>#REF!</f>
        <v>#REF!</v>
      </c>
      <c r="D907" s="1165" t="s">
        <v>340</v>
      </c>
      <c r="E907" s="1096">
        <f>'Ins Abs'!Q74</f>
        <v>20</v>
      </c>
      <c r="F907" s="1097" t="e">
        <f t="shared" si="74"/>
        <v>#REF!</v>
      </c>
      <c r="G907" s="1096">
        <f>'SI Abs '!Q75</f>
        <v>24</v>
      </c>
      <c r="H907" s="1097">
        <f>'SI Abs '!R75</f>
        <v>16559.903999999999</v>
      </c>
      <c r="I907" s="1096">
        <f>'PC Abs'!Q69</f>
        <v>72</v>
      </c>
      <c r="J907" s="1097">
        <f>'PC Abs'!R69</f>
        <v>49679.712</v>
      </c>
      <c r="K907" s="1096"/>
      <c r="L907" s="1097" t="e">
        <f t="shared" si="71"/>
        <v>#REF!</v>
      </c>
      <c r="M907" s="1103"/>
      <c r="N907" s="1096"/>
      <c r="O907" s="1098">
        <f t="shared" ref="O907:O908" si="76">E907+G907+I907+K907</f>
        <v>116</v>
      </c>
      <c r="P907" s="1096" t="e">
        <f>O907*C907</f>
        <v>#REF!</v>
      </c>
      <c r="Q907" s="1107"/>
      <c r="R907" s="1104"/>
    </row>
    <row r="908" spans="1:18" s="1108" customFormat="1" ht="87" customHeight="1">
      <c r="A908" s="1090"/>
      <c r="B908" s="1275" t="s">
        <v>4354</v>
      </c>
      <c r="C908" s="1241" t="e">
        <f>#REF!</f>
        <v>#REF!</v>
      </c>
      <c r="D908" s="1165" t="s">
        <v>340</v>
      </c>
      <c r="E908" s="1096">
        <f>'Ins Abs'!Q75</f>
        <v>25</v>
      </c>
      <c r="F908" s="1097" t="e">
        <f t="shared" si="74"/>
        <v>#REF!</v>
      </c>
      <c r="G908" s="1096">
        <f>'SI Abs '!Q76</f>
        <v>32</v>
      </c>
      <c r="H908" s="1097">
        <f>'SI Abs '!R76</f>
        <v>26719.946666666667</v>
      </c>
      <c r="I908" s="1096">
        <f>'PC Abs'!Q70</f>
        <v>72</v>
      </c>
      <c r="J908" s="1097">
        <f>'PC Abs'!R70</f>
        <v>60119.88</v>
      </c>
      <c r="K908" s="1096"/>
      <c r="L908" s="1097" t="e">
        <f t="shared" si="71"/>
        <v>#REF!</v>
      </c>
      <c r="M908" s="1103"/>
      <c r="N908" s="1096"/>
      <c r="O908" s="1098">
        <f t="shared" si="76"/>
        <v>129</v>
      </c>
      <c r="P908" s="1096" t="e">
        <f>O908*C908</f>
        <v>#REF!</v>
      </c>
      <c r="Q908" s="1107"/>
      <c r="R908" s="1104"/>
    </row>
    <row r="909" spans="1:18" s="1108" customFormat="1" ht="77.25" customHeight="1">
      <c r="A909" s="1090"/>
      <c r="B909" s="1304" t="s">
        <v>4355</v>
      </c>
      <c r="C909" s="1242" t="e">
        <f>#REF!</f>
        <v>#REF!</v>
      </c>
      <c r="D909" s="1243" t="s">
        <v>552</v>
      </c>
      <c r="F909" s="1097" t="e">
        <f t="shared" si="74"/>
        <v>#REF!</v>
      </c>
      <c r="G909" s="1103"/>
      <c r="H909" s="1097" t="e">
        <f t="shared" si="75"/>
        <v>#REF!</v>
      </c>
      <c r="I909" s="1103"/>
      <c r="J909" s="1097" t="e">
        <f t="shared" si="70"/>
        <v>#REF!</v>
      </c>
      <c r="K909" s="1096"/>
      <c r="L909" s="1097" t="e">
        <f t="shared" si="71"/>
        <v>#REF!</v>
      </c>
      <c r="M909" s="1103"/>
      <c r="N909" s="1096"/>
      <c r="O909" s="1098"/>
      <c r="P909" s="1096"/>
      <c r="Q909" s="1107"/>
      <c r="R909" s="1104"/>
    </row>
    <row r="910" spans="1:18" s="1108" customFormat="1" ht="54" customHeight="1">
      <c r="A910" s="1090"/>
      <c r="B910" s="1305" t="s">
        <v>4356</v>
      </c>
      <c r="C910" s="1242" t="e">
        <f>#REF!</f>
        <v>#REF!</v>
      </c>
      <c r="D910" s="1244" t="s">
        <v>306</v>
      </c>
      <c r="F910" s="1097" t="e">
        <f t="shared" si="74"/>
        <v>#REF!</v>
      </c>
      <c r="G910" s="1103"/>
      <c r="H910" s="1097" t="e">
        <f t="shared" si="75"/>
        <v>#REF!</v>
      </c>
      <c r="I910" s="1103"/>
      <c r="J910" s="1097" t="e">
        <f t="shared" si="70"/>
        <v>#REF!</v>
      </c>
      <c r="K910" s="1096"/>
      <c r="L910" s="1097" t="e">
        <f t="shared" si="71"/>
        <v>#REF!</v>
      </c>
      <c r="M910" s="1103"/>
      <c r="N910" s="1096"/>
      <c r="O910" s="1098"/>
      <c r="P910" s="1096"/>
      <c r="Q910" s="1107"/>
      <c r="R910" s="1104"/>
    </row>
    <row r="911" spans="1:18" s="1108" customFormat="1" ht="72" customHeight="1">
      <c r="A911" s="1090"/>
      <c r="B911" s="1305" t="s">
        <v>4357</v>
      </c>
      <c r="C911" s="1242" t="e">
        <f>#REF!</f>
        <v>#REF!</v>
      </c>
      <c r="D911" s="1244" t="s">
        <v>306</v>
      </c>
      <c r="F911" s="1097" t="e">
        <f t="shared" si="74"/>
        <v>#REF!</v>
      </c>
      <c r="G911" s="1103"/>
      <c r="H911" s="1097" t="e">
        <f t="shared" si="75"/>
        <v>#REF!</v>
      </c>
      <c r="I911" s="1103"/>
      <c r="J911" s="1097" t="e">
        <f t="shared" si="70"/>
        <v>#REF!</v>
      </c>
      <c r="K911" s="1096"/>
      <c r="L911" s="1097" t="e">
        <f t="shared" si="71"/>
        <v>#REF!</v>
      </c>
      <c r="M911" s="1103"/>
      <c r="N911" s="1096"/>
      <c r="O911" s="1098"/>
      <c r="P911" s="1096"/>
      <c r="Q911" s="1107"/>
      <c r="R911" s="1104"/>
    </row>
    <row r="912" spans="1:18" s="1108" customFormat="1" ht="69" customHeight="1">
      <c r="A912" s="1090"/>
      <c r="B912" s="1305" t="s">
        <v>4358</v>
      </c>
      <c r="C912" s="1242" t="e">
        <f>#REF!</f>
        <v>#REF!</v>
      </c>
      <c r="D912" s="1244" t="s">
        <v>306</v>
      </c>
      <c r="F912" s="1097" t="e">
        <f t="shared" si="74"/>
        <v>#REF!</v>
      </c>
      <c r="G912" s="1103"/>
      <c r="H912" s="1097" t="e">
        <f t="shared" si="75"/>
        <v>#REF!</v>
      </c>
      <c r="I912" s="1103"/>
      <c r="J912" s="1097" t="e">
        <f t="shared" si="70"/>
        <v>#REF!</v>
      </c>
      <c r="K912" s="1096"/>
      <c r="L912" s="1097" t="e">
        <f t="shared" si="71"/>
        <v>#REF!</v>
      </c>
      <c r="M912" s="1103"/>
      <c r="N912" s="1096"/>
      <c r="O912" s="1098"/>
      <c r="P912" s="1096"/>
      <c r="Q912" s="1107"/>
      <c r="R912" s="1104"/>
    </row>
    <row r="913" spans="1:18" s="1108" customFormat="1" ht="66" customHeight="1">
      <c r="A913" s="1090"/>
      <c r="B913" s="1305" t="s">
        <v>4359</v>
      </c>
      <c r="C913" s="1242" t="e">
        <f>#REF!</f>
        <v>#REF!</v>
      </c>
      <c r="D913" s="1243" t="s">
        <v>306</v>
      </c>
      <c r="F913" s="1097" t="e">
        <f t="shared" si="74"/>
        <v>#REF!</v>
      </c>
      <c r="G913" s="1103"/>
      <c r="H913" s="1097" t="e">
        <f t="shared" si="75"/>
        <v>#REF!</v>
      </c>
      <c r="I913" s="1103"/>
      <c r="J913" s="1097" t="e">
        <f t="shared" si="70"/>
        <v>#REF!</v>
      </c>
      <c r="K913" s="1096"/>
      <c r="L913" s="1097" t="e">
        <f t="shared" si="71"/>
        <v>#REF!</v>
      </c>
      <c r="M913" s="1103"/>
      <c r="N913" s="1096"/>
      <c r="O913" s="1098"/>
      <c r="P913" s="1096"/>
      <c r="Q913" s="1107"/>
      <c r="R913" s="1104"/>
    </row>
    <row r="914" spans="1:18" s="1108" customFormat="1" ht="76.5" customHeight="1">
      <c r="A914" s="1090"/>
      <c r="B914" s="1289" t="s">
        <v>4360</v>
      </c>
      <c r="C914" s="1242" t="e">
        <f>#REF!</f>
        <v>#REF!</v>
      </c>
      <c r="D914" s="1243" t="s">
        <v>306</v>
      </c>
      <c r="F914" s="1097" t="e">
        <f t="shared" si="74"/>
        <v>#REF!</v>
      </c>
      <c r="G914" s="1103"/>
      <c r="H914" s="1097" t="e">
        <f t="shared" si="75"/>
        <v>#REF!</v>
      </c>
      <c r="I914" s="1103"/>
      <c r="J914" s="1097" t="e">
        <f t="shared" si="70"/>
        <v>#REF!</v>
      </c>
      <c r="K914" s="1096"/>
      <c r="L914" s="1097" t="e">
        <f t="shared" si="71"/>
        <v>#REF!</v>
      </c>
      <c r="M914" s="1103"/>
      <c r="N914" s="1096"/>
      <c r="O914" s="1098"/>
      <c r="P914" s="1096"/>
      <c r="Q914" s="1107"/>
      <c r="R914" s="1104"/>
    </row>
    <row r="915" spans="1:18" s="1108" customFormat="1" ht="147.75" customHeight="1">
      <c r="A915" s="1090"/>
      <c r="B915" s="933" t="s">
        <v>4361</v>
      </c>
      <c r="C915" s="1232">
        <v>1830</v>
      </c>
      <c r="D915" s="941" t="s">
        <v>340</v>
      </c>
      <c r="F915" s="1097">
        <f t="shared" si="74"/>
        <v>0</v>
      </c>
      <c r="G915" s="1096"/>
      <c r="H915" s="1097">
        <f t="shared" si="75"/>
        <v>0</v>
      </c>
      <c r="I915" s="1096"/>
      <c r="J915" s="1097">
        <f t="shared" si="70"/>
        <v>0</v>
      </c>
      <c r="K915" s="1096"/>
      <c r="L915" s="1097">
        <f t="shared" si="71"/>
        <v>0</v>
      </c>
      <c r="M915" s="1096"/>
      <c r="N915" s="1096"/>
      <c r="O915" s="1098"/>
      <c r="P915" s="1096"/>
      <c r="Q915" s="1107"/>
      <c r="R915" s="1099"/>
    </row>
    <row r="916" spans="1:18" s="1108" customFormat="1" ht="123" customHeight="1">
      <c r="A916" s="1119"/>
      <c r="B916" s="1265" t="s">
        <v>4362</v>
      </c>
      <c r="C916" s="1070" t="e">
        <f>#REF!</f>
        <v>#REF!</v>
      </c>
      <c r="D916" s="937" t="s">
        <v>340</v>
      </c>
      <c r="F916" s="1097" t="e">
        <f t="shared" si="74"/>
        <v>#REF!</v>
      </c>
      <c r="G916" s="1103"/>
      <c r="H916" s="1097" t="e">
        <f t="shared" si="75"/>
        <v>#REF!</v>
      </c>
      <c r="I916" s="1103"/>
      <c r="J916" s="1097" t="e">
        <f t="shared" si="70"/>
        <v>#REF!</v>
      </c>
      <c r="K916" s="1096"/>
      <c r="L916" s="1097" t="e">
        <f t="shared" si="71"/>
        <v>#REF!</v>
      </c>
      <c r="M916" s="1103"/>
      <c r="N916" s="1096"/>
      <c r="O916" s="1098"/>
      <c r="P916" s="1096"/>
      <c r="Q916" s="1107"/>
      <c r="R916" s="1104"/>
    </row>
    <row r="917" spans="1:18" s="1108" customFormat="1" ht="89.25" customHeight="1">
      <c r="A917" s="1090"/>
      <c r="B917" s="1260" t="s">
        <v>4363</v>
      </c>
      <c r="C917" s="1071">
        <v>8100</v>
      </c>
      <c r="D917" s="938" t="s">
        <v>340</v>
      </c>
      <c r="F917" s="1097">
        <f t="shared" si="74"/>
        <v>0</v>
      </c>
      <c r="G917" s="1103"/>
      <c r="H917" s="1097">
        <f t="shared" si="75"/>
        <v>0</v>
      </c>
      <c r="I917" s="1103"/>
      <c r="J917" s="1097">
        <f t="shared" si="70"/>
        <v>0</v>
      </c>
      <c r="K917" s="1096"/>
      <c r="L917" s="1097">
        <f t="shared" si="71"/>
        <v>0</v>
      </c>
      <c r="M917" s="1103"/>
      <c r="N917" s="1096"/>
      <c r="O917" s="1098"/>
      <c r="P917" s="1096"/>
      <c r="Q917" s="1107"/>
      <c r="R917" s="1104"/>
    </row>
    <row r="918" spans="1:18" s="1105" customFormat="1" ht="117.75" customHeight="1">
      <c r="A918" s="1115"/>
      <c r="B918" s="1260" t="s">
        <v>4364</v>
      </c>
      <c r="C918" s="1116">
        <v>829</v>
      </c>
      <c r="D918" s="1128" t="s">
        <v>340</v>
      </c>
      <c r="F918" s="1097">
        <f t="shared" si="74"/>
        <v>0</v>
      </c>
      <c r="G918" s="1103"/>
      <c r="H918" s="1097">
        <f t="shared" si="75"/>
        <v>0</v>
      </c>
      <c r="I918" s="1103"/>
      <c r="J918" s="1097">
        <f t="shared" si="70"/>
        <v>0</v>
      </c>
      <c r="K918" s="1096"/>
      <c r="L918" s="1097">
        <f t="shared" si="71"/>
        <v>0</v>
      </c>
      <c r="M918" s="1103"/>
      <c r="N918" s="1096"/>
      <c r="O918" s="1098"/>
      <c r="P918" s="1096"/>
      <c r="Q918" s="1104"/>
      <c r="R918" s="1104"/>
    </row>
    <row r="919" spans="1:18" s="1108" customFormat="1" ht="58.5" customHeight="1">
      <c r="A919" s="1090"/>
      <c r="B919" s="1306" t="s">
        <v>4365</v>
      </c>
      <c r="C919" s="1072">
        <v>8460</v>
      </c>
      <c r="D919" s="938" t="s">
        <v>340</v>
      </c>
      <c r="F919" s="1097">
        <f t="shared" si="74"/>
        <v>0</v>
      </c>
      <c r="G919" s="1103"/>
      <c r="H919" s="1097">
        <f t="shared" si="75"/>
        <v>0</v>
      </c>
      <c r="I919" s="1103"/>
      <c r="J919" s="1097">
        <f t="shared" si="70"/>
        <v>0</v>
      </c>
      <c r="K919" s="1096"/>
      <c r="L919" s="1097">
        <f t="shared" si="71"/>
        <v>0</v>
      </c>
      <c r="M919" s="1103"/>
      <c r="N919" s="1096"/>
      <c r="O919" s="1098"/>
      <c r="P919" s="1096"/>
      <c r="Q919" s="1107"/>
      <c r="R919" s="1104"/>
    </row>
    <row r="920" spans="1:18" s="1108" customFormat="1" ht="111" customHeight="1">
      <c r="A920" s="1115">
        <v>21.6</v>
      </c>
      <c r="B920" s="1271" t="s">
        <v>4366</v>
      </c>
      <c r="C920" s="1128"/>
      <c r="D920" s="1116"/>
      <c r="F920" s="1097">
        <f t="shared" si="74"/>
        <v>0</v>
      </c>
      <c r="G920" s="1103"/>
      <c r="H920" s="1097">
        <f t="shared" si="75"/>
        <v>0</v>
      </c>
      <c r="I920" s="1103"/>
      <c r="J920" s="1097">
        <f t="shared" si="70"/>
        <v>0</v>
      </c>
      <c r="K920" s="1096"/>
      <c r="L920" s="1097">
        <f t="shared" si="71"/>
        <v>0</v>
      </c>
      <c r="M920" s="1103"/>
      <c r="N920" s="1096"/>
      <c r="O920" s="1098"/>
      <c r="P920" s="1096"/>
      <c r="Q920" s="1107"/>
      <c r="R920" s="1104"/>
    </row>
    <row r="921" spans="1:18" s="1108" customFormat="1" ht="45" customHeight="1">
      <c r="A921" s="1245"/>
      <c r="B921" s="1260" t="s">
        <v>3881</v>
      </c>
      <c r="C921" s="1128" t="e">
        <f>#REF!</f>
        <v>#REF!</v>
      </c>
      <c r="D921" s="1116" t="s">
        <v>340</v>
      </c>
      <c r="F921" s="1097" t="e">
        <f t="shared" si="74"/>
        <v>#REF!</v>
      </c>
      <c r="G921" s="1103"/>
      <c r="H921" s="1097" t="e">
        <f t="shared" si="75"/>
        <v>#REF!</v>
      </c>
      <c r="I921" s="1103"/>
      <c r="J921" s="1097" t="e">
        <f t="shared" si="70"/>
        <v>#REF!</v>
      </c>
      <c r="K921" s="1096"/>
      <c r="L921" s="1097" t="e">
        <f t="shared" si="71"/>
        <v>#REF!</v>
      </c>
      <c r="M921" s="1103"/>
      <c r="N921" s="1096"/>
      <c r="O921" s="1098"/>
      <c r="P921" s="1096"/>
      <c r="Q921" s="1107"/>
      <c r="R921" s="1104"/>
    </row>
    <row r="922" spans="1:18" s="1108" customFormat="1" ht="45" customHeight="1">
      <c r="A922" s="1158"/>
      <c r="B922" s="933" t="s">
        <v>4100</v>
      </c>
      <c r="C922" s="1106" t="e">
        <f>#REF!</f>
        <v>#REF!</v>
      </c>
      <c r="D922" s="943" t="s">
        <v>340</v>
      </c>
      <c r="F922" s="1097" t="e">
        <f t="shared" si="74"/>
        <v>#REF!</v>
      </c>
      <c r="G922" s="1103"/>
      <c r="H922" s="1097" t="e">
        <f t="shared" si="75"/>
        <v>#REF!</v>
      </c>
      <c r="I922" s="1103"/>
      <c r="J922" s="1097" t="e">
        <f t="shared" ref="J922:J985" si="77">I922*C922</f>
        <v>#REF!</v>
      </c>
      <c r="K922" s="1096"/>
      <c r="L922" s="1097" t="e">
        <f t="shared" ref="L922:L985" si="78">K922*C922</f>
        <v>#REF!</v>
      </c>
      <c r="M922" s="1103"/>
      <c r="N922" s="1096"/>
      <c r="O922" s="1098"/>
      <c r="P922" s="1096"/>
      <c r="Q922" s="1107"/>
      <c r="R922" s="1104"/>
    </row>
    <row r="923" spans="1:18" s="1108" customFormat="1" ht="45" customHeight="1">
      <c r="A923" s="1158"/>
      <c r="B923" s="933" t="s">
        <v>4101</v>
      </c>
      <c r="C923" s="1106" t="e">
        <f>#REF!</f>
        <v>#REF!</v>
      </c>
      <c r="D923" s="943"/>
      <c r="F923" s="1097" t="e">
        <f t="shared" si="74"/>
        <v>#REF!</v>
      </c>
      <c r="G923" s="1103"/>
      <c r="H923" s="1097" t="e">
        <f t="shared" si="75"/>
        <v>#REF!</v>
      </c>
      <c r="I923" s="1103"/>
      <c r="J923" s="1097" t="e">
        <f t="shared" si="77"/>
        <v>#REF!</v>
      </c>
      <c r="K923" s="1096"/>
      <c r="L923" s="1097" t="e">
        <f t="shared" si="78"/>
        <v>#REF!</v>
      </c>
      <c r="M923" s="1103"/>
      <c r="N923" s="1096"/>
      <c r="O923" s="1098"/>
      <c r="P923" s="1096"/>
      <c r="Q923" s="1107"/>
      <c r="R923" s="1104"/>
    </row>
    <row r="924" spans="1:18" s="1108" customFormat="1" ht="54.75" customHeight="1">
      <c r="A924" s="1158"/>
      <c r="B924" s="933" t="s">
        <v>3883</v>
      </c>
      <c r="C924" s="1106" t="e">
        <f>#REF!</f>
        <v>#REF!</v>
      </c>
      <c r="D924" s="943" t="s">
        <v>340</v>
      </c>
      <c r="F924" s="1097" t="e">
        <f t="shared" si="74"/>
        <v>#REF!</v>
      </c>
      <c r="G924" s="1103"/>
      <c r="H924" s="1097" t="e">
        <f t="shared" si="75"/>
        <v>#REF!</v>
      </c>
      <c r="I924" s="1103"/>
      <c r="J924" s="1097" t="e">
        <f t="shared" si="77"/>
        <v>#REF!</v>
      </c>
      <c r="K924" s="1096"/>
      <c r="L924" s="1097" t="e">
        <f t="shared" si="78"/>
        <v>#REF!</v>
      </c>
      <c r="M924" s="1103"/>
      <c r="N924" s="1096"/>
      <c r="O924" s="1098"/>
      <c r="P924" s="1096"/>
      <c r="Q924" s="1107"/>
      <c r="R924" s="1104"/>
    </row>
    <row r="925" spans="1:18" s="1108" customFormat="1" ht="54.95" customHeight="1">
      <c r="A925" s="1158"/>
      <c r="B925" s="933" t="s">
        <v>4367</v>
      </c>
      <c r="C925" s="1068">
        <v>134</v>
      </c>
      <c r="D925" s="943" t="s">
        <v>340</v>
      </c>
      <c r="E925" s="1096">
        <f>'Ins Abs'!Q76</f>
        <v>25</v>
      </c>
      <c r="F925" s="1097">
        <f t="shared" si="74"/>
        <v>3350</v>
      </c>
      <c r="G925" s="1096">
        <f>'SI Abs '!Q77</f>
        <v>32</v>
      </c>
      <c r="H925" s="1097">
        <f>'SI Abs '!R77</f>
        <v>4320</v>
      </c>
      <c r="I925" s="1096">
        <f>'PC Abs'!Q71</f>
        <v>96</v>
      </c>
      <c r="J925" s="1097">
        <f>'PC Abs'!R71</f>
        <v>12960</v>
      </c>
      <c r="K925" s="1096"/>
      <c r="L925" s="1097">
        <f t="shared" si="78"/>
        <v>0</v>
      </c>
      <c r="M925" s="1096"/>
      <c r="N925" s="1096"/>
      <c r="O925" s="1098">
        <f t="shared" ref="O925:O929" si="79">E925+G925+I925+K925</f>
        <v>153</v>
      </c>
      <c r="P925" s="1096">
        <f>O925*C925</f>
        <v>20502</v>
      </c>
      <c r="Q925" s="1107"/>
      <c r="R925" s="1099"/>
    </row>
    <row r="926" spans="1:18" s="1108" customFormat="1" ht="54.95" customHeight="1">
      <c r="A926" s="1158"/>
      <c r="B926" s="933" t="s">
        <v>4368</v>
      </c>
      <c r="C926" s="940">
        <v>642</v>
      </c>
      <c r="D926" s="943" t="s">
        <v>340</v>
      </c>
      <c r="E926" s="1096">
        <f>'Ins Abs'!Q77</f>
        <v>25</v>
      </c>
      <c r="F926" s="1097">
        <f t="shared" si="74"/>
        <v>16050</v>
      </c>
      <c r="G926" s="1096">
        <f>'SI Abs '!Q78</f>
        <v>32</v>
      </c>
      <c r="H926" s="1097">
        <f>'SI Abs '!R78</f>
        <v>22080.064000000002</v>
      </c>
      <c r="I926" s="1096">
        <f>'PC Abs'!Q72</f>
        <v>96</v>
      </c>
      <c r="J926" s="1097">
        <f>'PC Abs'!R72</f>
        <v>66240.19200000001</v>
      </c>
      <c r="K926" s="1096"/>
      <c r="L926" s="1097">
        <f t="shared" si="78"/>
        <v>0</v>
      </c>
      <c r="M926" s="1096"/>
      <c r="N926" s="1096"/>
      <c r="O926" s="1098">
        <f t="shared" si="79"/>
        <v>153</v>
      </c>
      <c r="P926" s="1096">
        <f>O926*C926</f>
        <v>98226</v>
      </c>
      <c r="Q926" s="1107"/>
      <c r="R926" s="1099"/>
    </row>
    <row r="927" spans="1:18" s="1108" customFormat="1" ht="65.099999999999994" customHeight="1">
      <c r="A927" s="1158"/>
      <c r="B927" s="933" t="s">
        <v>4369</v>
      </c>
      <c r="C927" s="940">
        <v>462</v>
      </c>
      <c r="D927" s="940" t="s">
        <v>340</v>
      </c>
      <c r="E927" s="1096">
        <f>'Ins Abs'!Q78</f>
        <v>14</v>
      </c>
      <c r="F927" s="1097">
        <f t="shared" si="74"/>
        <v>6468</v>
      </c>
      <c r="G927" s="1096">
        <f>'SI Abs '!Q79</f>
        <v>8</v>
      </c>
      <c r="H927" s="1097">
        <f>'SI Abs '!R79</f>
        <v>4136.0266666666666</v>
      </c>
      <c r="I927" s="1096">
        <f>'PC Abs'!Q73</f>
        <v>30</v>
      </c>
      <c r="J927" s="1097">
        <f>'PC Abs'!R73</f>
        <v>15510.1</v>
      </c>
      <c r="K927" s="1096"/>
      <c r="L927" s="1097">
        <f t="shared" si="78"/>
        <v>0</v>
      </c>
      <c r="M927" s="1096"/>
      <c r="N927" s="1096"/>
      <c r="O927" s="1098">
        <f t="shared" si="79"/>
        <v>52</v>
      </c>
      <c r="P927" s="1096">
        <f>O927*C927</f>
        <v>24024</v>
      </c>
      <c r="Q927" s="1107"/>
      <c r="R927" s="1099"/>
    </row>
    <row r="928" spans="1:18" s="1108" customFormat="1" ht="54.95" customHeight="1">
      <c r="A928" s="1158"/>
      <c r="B928" s="933" t="s">
        <v>4370</v>
      </c>
      <c r="C928" s="940">
        <v>2991</v>
      </c>
      <c r="D928" s="940" t="s">
        <v>340</v>
      </c>
      <c r="E928" s="1096">
        <f>'Ins Abs'!Q79</f>
        <v>10</v>
      </c>
      <c r="F928" s="1097">
        <f t="shared" si="74"/>
        <v>29910</v>
      </c>
      <c r="G928" s="1096">
        <f>'SI Abs '!Q80</f>
        <v>10</v>
      </c>
      <c r="H928" s="1097">
        <f>'SI Abs '!R80</f>
        <v>33670</v>
      </c>
      <c r="I928" s="1096">
        <f>'PC Abs'!Q74</f>
        <v>18</v>
      </c>
      <c r="J928" s="1097">
        <f>'PC Abs'!R74</f>
        <v>60606</v>
      </c>
      <c r="K928" s="1096"/>
      <c r="L928" s="1097">
        <f t="shared" si="78"/>
        <v>0</v>
      </c>
      <c r="M928" s="1096"/>
      <c r="N928" s="1096"/>
      <c r="O928" s="1098">
        <f t="shared" si="79"/>
        <v>38</v>
      </c>
      <c r="P928" s="1096">
        <f>O928*C928</f>
        <v>113658</v>
      </c>
      <c r="Q928" s="1107"/>
      <c r="R928" s="1099"/>
    </row>
    <row r="929" spans="1:18" s="1108" customFormat="1" ht="54.95" customHeight="1">
      <c r="A929" s="1158"/>
      <c r="B929" s="933" t="s">
        <v>4371</v>
      </c>
      <c r="C929" s="940">
        <v>170</v>
      </c>
      <c r="D929" s="940" t="str">
        <f>D928</f>
        <v>Each</v>
      </c>
      <c r="E929" s="1096">
        <f>'Ins Abs'!Q80</f>
        <v>14</v>
      </c>
      <c r="F929" s="1097">
        <f t="shared" si="74"/>
        <v>2380</v>
      </c>
      <c r="G929" s="1096">
        <f>'SI Abs '!Q81</f>
        <v>8</v>
      </c>
      <c r="H929" s="1097">
        <f>'SI Abs '!R81</f>
        <v>1360</v>
      </c>
      <c r="I929" s="1096">
        <f>'PC Abs'!Q75</f>
        <v>30</v>
      </c>
      <c r="J929" s="1097">
        <f>'PC Abs'!R75</f>
        <v>5100</v>
      </c>
      <c r="K929" s="1096"/>
      <c r="L929" s="1097">
        <f t="shared" si="78"/>
        <v>0</v>
      </c>
      <c r="M929" s="1096"/>
      <c r="N929" s="1096"/>
      <c r="O929" s="1098">
        <f t="shared" si="79"/>
        <v>52</v>
      </c>
      <c r="P929" s="1096">
        <f>O929*C929</f>
        <v>8840</v>
      </c>
      <c r="Q929" s="1107"/>
      <c r="R929" s="1099"/>
    </row>
    <row r="930" spans="1:18" s="1108" customFormat="1" ht="62.25" customHeight="1">
      <c r="A930" s="1158"/>
      <c r="B930" s="1263" t="s">
        <v>4372</v>
      </c>
      <c r="C930" s="1246">
        <v>5350</v>
      </c>
      <c r="D930" s="940" t="str">
        <f t="shared" ref="D930:D953" si="80">D929</f>
        <v>Each</v>
      </c>
      <c r="F930" s="1097">
        <f t="shared" si="74"/>
        <v>0</v>
      </c>
      <c r="G930" s="1103"/>
      <c r="H930" s="1097">
        <f t="shared" si="75"/>
        <v>0</v>
      </c>
      <c r="I930" s="1103"/>
      <c r="J930" s="1097">
        <f t="shared" si="77"/>
        <v>0</v>
      </c>
      <c r="K930" s="1096"/>
      <c r="L930" s="1097">
        <f t="shared" si="78"/>
        <v>0</v>
      </c>
      <c r="M930" s="1103"/>
      <c r="N930" s="1096"/>
      <c r="O930" s="1098"/>
      <c r="P930" s="1096"/>
      <c r="Q930" s="1107"/>
      <c r="R930" s="1104"/>
    </row>
    <row r="931" spans="1:18" s="1108" customFormat="1" ht="62.25" customHeight="1">
      <c r="A931" s="1247"/>
      <c r="B931" s="1307" t="s">
        <v>4373</v>
      </c>
      <c r="C931" s="1110" t="e">
        <f>#REF!</f>
        <v>#REF!</v>
      </c>
      <c r="D931" s="940" t="str">
        <f t="shared" si="80"/>
        <v>Each</v>
      </c>
      <c r="F931" s="1097" t="e">
        <f t="shared" si="74"/>
        <v>#REF!</v>
      </c>
      <c r="G931" s="1113"/>
      <c r="H931" s="1097" t="e">
        <f t="shared" si="75"/>
        <v>#REF!</v>
      </c>
      <c r="I931" s="1113"/>
      <c r="J931" s="1097" t="e">
        <f t="shared" si="77"/>
        <v>#REF!</v>
      </c>
      <c r="K931" s="1114"/>
      <c r="L931" s="1097" t="e">
        <f t="shared" si="78"/>
        <v>#REF!</v>
      </c>
      <c r="M931" s="1113"/>
      <c r="N931" s="1096"/>
      <c r="O931" s="1098"/>
      <c r="P931" s="1096"/>
      <c r="Q931" s="1107"/>
      <c r="R931" s="1104"/>
    </row>
    <row r="932" spans="1:18" s="1108" customFormat="1" ht="40.9" customHeight="1">
      <c r="A932" s="1158"/>
      <c r="B932" s="939" t="s">
        <v>4374</v>
      </c>
      <c r="C932" s="940"/>
      <c r="D932" s="940" t="str">
        <f t="shared" si="80"/>
        <v>Each</v>
      </c>
      <c r="F932" s="1097">
        <f t="shared" si="74"/>
        <v>0</v>
      </c>
      <c r="G932" s="1096"/>
      <c r="H932" s="1097">
        <f t="shared" si="75"/>
        <v>0</v>
      </c>
      <c r="I932" s="1096"/>
      <c r="J932" s="1097">
        <f t="shared" si="77"/>
        <v>0</v>
      </c>
      <c r="K932" s="1096"/>
      <c r="L932" s="1097">
        <f t="shared" si="78"/>
        <v>0</v>
      </c>
      <c r="M932" s="1096"/>
      <c r="N932" s="1096"/>
      <c r="O932" s="1098"/>
      <c r="P932" s="1096"/>
      <c r="Q932" s="1107"/>
      <c r="R932" s="1099"/>
    </row>
    <row r="933" spans="1:18" s="1108" customFormat="1" ht="76.5" customHeight="1">
      <c r="A933" s="1158"/>
      <c r="B933" s="1308" t="s">
        <v>4375</v>
      </c>
      <c r="C933" s="1073">
        <v>34607</v>
      </c>
      <c r="D933" s="940" t="str">
        <f t="shared" si="80"/>
        <v>Each</v>
      </c>
      <c r="F933" s="1097">
        <f t="shared" si="74"/>
        <v>0</v>
      </c>
      <c r="G933" s="1096"/>
      <c r="H933" s="1097">
        <f t="shared" si="75"/>
        <v>0</v>
      </c>
      <c r="I933" s="1096"/>
      <c r="J933" s="1097">
        <f t="shared" si="77"/>
        <v>0</v>
      </c>
      <c r="K933" s="1096"/>
      <c r="L933" s="1097">
        <f t="shared" si="78"/>
        <v>0</v>
      </c>
      <c r="M933" s="1096"/>
      <c r="N933" s="1096"/>
      <c r="O933" s="1098"/>
      <c r="P933" s="1096"/>
      <c r="Q933" s="1107"/>
      <c r="R933" s="1099"/>
    </row>
    <row r="934" spans="1:18" s="1108" customFormat="1" ht="75" customHeight="1">
      <c r="A934" s="1158"/>
      <c r="B934" s="1308" t="s">
        <v>4376</v>
      </c>
      <c r="C934" s="1073">
        <v>410</v>
      </c>
      <c r="D934" s="940" t="str">
        <f t="shared" si="80"/>
        <v>Each</v>
      </c>
      <c r="F934" s="1097">
        <f t="shared" si="74"/>
        <v>0</v>
      </c>
      <c r="G934" s="1096"/>
      <c r="H934" s="1097">
        <f t="shared" si="75"/>
        <v>0</v>
      </c>
      <c r="I934" s="1096"/>
      <c r="J934" s="1097">
        <f t="shared" si="77"/>
        <v>0</v>
      </c>
      <c r="K934" s="1096"/>
      <c r="L934" s="1097">
        <f t="shared" si="78"/>
        <v>0</v>
      </c>
      <c r="M934" s="1096"/>
      <c r="N934" s="1096"/>
      <c r="O934" s="1098"/>
      <c r="P934" s="1096"/>
      <c r="Q934" s="1107"/>
      <c r="R934" s="1099"/>
    </row>
    <row r="935" spans="1:18" s="1108" customFormat="1" ht="99.75" customHeight="1">
      <c r="A935" s="1158"/>
      <c r="B935" s="1309" t="s">
        <v>4377</v>
      </c>
      <c r="C935" s="1073">
        <v>301</v>
      </c>
      <c r="D935" s="940" t="str">
        <f t="shared" si="80"/>
        <v>Each</v>
      </c>
      <c r="F935" s="1097">
        <f t="shared" si="74"/>
        <v>0</v>
      </c>
      <c r="G935" s="1096"/>
      <c r="H935" s="1097">
        <f t="shared" si="75"/>
        <v>0</v>
      </c>
      <c r="I935" s="1096"/>
      <c r="J935" s="1097">
        <f t="shared" si="77"/>
        <v>0</v>
      </c>
      <c r="K935" s="1096"/>
      <c r="L935" s="1097">
        <f t="shared" si="78"/>
        <v>0</v>
      </c>
      <c r="M935" s="1096"/>
      <c r="N935" s="1096"/>
      <c r="O935" s="1098"/>
      <c r="P935" s="1096"/>
      <c r="Q935" s="1107"/>
      <c r="R935" s="1099"/>
    </row>
    <row r="936" spans="1:18" s="1108" customFormat="1" ht="87" customHeight="1">
      <c r="A936" s="1158"/>
      <c r="B936" s="1310" t="s">
        <v>4378</v>
      </c>
      <c r="C936" s="1073"/>
      <c r="D936" s="940" t="str">
        <f t="shared" si="80"/>
        <v>Each</v>
      </c>
      <c r="F936" s="1097">
        <f t="shared" si="74"/>
        <v>0</v>
      </c>
      <c r="G936" s="1096"/>
      <c r="H936" s="1097">
        <f t="shared" si="75"/>
        <v>0</v>
      </c>
      <c r="I936" s="1096"/>
      <c r="J936" s="1097">
        <f t="shared" si="77"/>
        <v>0</v>
      </c>
      <c r="K936" s="1096"/>
      <c r="L936" s="1097">
        <f t="shared" si="78"/>
        <v>0</v>
      </c>
      <c r="M936" s="1096"/>
      <c r="N936" s="1096"/>
      <c r="O936" s="1098"/>
      <c r="P936" s="1096"/>
      <c r="Q936" s="1107"/>
      <c r="R936" s="1099"/>
    </row>
    <row r="937" spans="1:18" s="1108" customFormat="1" ht="87.6" customHeight="1">
      <c r="A937" s="1158"/>
      <c r="B937" s="1310" t="s">
        <v>4379</v>
      </c>
      <c r="C937" s="1073">
        <v>403</v>
      </c>
      <c r="D937" s="940" t="str">
        <f t="shared" si="80"/>
        <v>Each</v>
      </c>
      <c r="F937" s="1097">
        <f t="shared" si="74"/>
        <v>0</v>
      </c>
      <c r="G937" s="1096"/>
      <c r="H937" s="1097">
        <f t="shared" si="75"/>
        <v>0</v>
      </c>
      <c r="I937" s="1096"/>
      <c r="J937" s="1097">
        <f t="shared" si="77"/>
        <v>0</v>
      </c>
      <c r="K937" s="1096"/>
      <c r="L937" s="1097">
        <f t="shared" si="78"/>
        <v>0</v>
      </c>
      <c r="M937" s="1096"/>
      <c r="N937" s="1096"/>
      <c r="O937" s="1098"/>
      <c r="P937" s="1096"/>
      <c r="Q937" s="1107"/>
      <c r="R937" s="1099"/>
    </row>
    <row r="938" spans="1:18" s="1108" customFormat="1" ht="81" customHeight="1">
      <c r="A938" s="1158"/>
      <c r="B938" s="1311" t="s">
        <v>4380</v>
      </c>
      <c r="C938" s="1073">
        <v>2780</v>
      </c>
      <c r="D938" s="940" t="str">
        <f t="shared" si="80"/>
        <v>Each</v>
      </c>
      <c r="F938" s="1097">
        <f t="shared" si="74"/>
        <v>0</v>
      </c>
      <c r="G938" s="1096"/>
      <c r="H938" s="1097">
        <f t="shared" si="75"/>
        <v>0</v>
      </c>
      <c r="I938" s="1096"/>
      <c r="J938" s="1097">
        <f t="shared" si="77"/>
        <v>0</v>
      </c>
      <c r="K938" s="1096"/>
      <c r="L938" s="1097">
        <f t="shared" si="78"/>
        <v>0</v>
      </c>
      <c r="M938" s="1096"/>
      <c r="N938" s="1096"/>
      <c r="O938" s="1098"/>
      <c r="P938" s="1096"/>
      <c r="Q938" s="1107"/>
      <c r="R938" s="1099"/>
    </row>
    <row r="939" spans="1:18" s="1108" customFormat="1" ht="54.6" customHeight="1">
      <c r="A939" s="1158"/>
      <c r="B939" s="1312" t="s">
        <v>4381</v>
      </c>
      <c r="C939" s="1073">
        <v>2240</v>
      </c>
      <c r="D939" s="940" t="str">
        <f t="shared" si="80"/>
        <v>Each</v>
      </c>
      <c r="F939" s="1097">
        <f t="shared" si="74"/>
        <v>0</v>
      </c>
      <c r="G939" s="1096"/>
      <c r="H939" s="1097">
        <f t="shared" si="75"/>
        <v>0</v>
      </c>
      <c r="I939" s="1096"/>
      <c r="J939" s="1097">
        <f t="shared" si="77"/>
        <v>0</v>
      </c>
      <c r="K939" s="1096"/>
      <c r="L939" s="1097">
        <f t="shared" si="78"/>
        <v>0</v>
      </c>
      <c r="M939" s="1096"/>
      <c r="N939" s="1096"/>
      <c r="O939" s="1098"/>
      <c r="P939" s="1096"/>
      <c r="Q939" s="1107"/>
      <c r="R939" s="1099"/>
    </row>
    <row r="940" spans="1:18" s="1108" customFormat="1" ht="45.6" customHeight="1">
      <c r="A940" s="1158"/>
      <c r="B940" s="939" t="s">
        <v>4382</v>
      </c>
      <c r="C940" s="940"/>
      <c r="D940" s="940" t="str">
        <f t="shared" si="80"/>
        <v>Each</v>
      </c>
      <c r="F940" s="1097">
        <f t="shared" si="74"/>
        <v>0</v>
      </c>
      <c r="G940" s="1096"/>
      <c r="H940" s="1097">
        <f t="shared" si="75"/>
        <v>0</v>
      </c>
      <c r="I940" s="1096"/>
      <c r="J940" s="1097">
        <f t="shared" si="77"/>
        <v>0</v>
      </c>
      <c r="K940" s="1096"/>
      <c r="L940" s="1097">
        <f t="shared" si="78"/>
        <v>0</v>
      </c>
      <c r="M940" s="1096"/>
      <c r="N940" s="1096"/>
      <c r="O940" s="1098"/>
      <c r="P940" s="1096"/>
      <c r="Q940" s="1107"/>
      <c r="R940" s="1099"/>
    </row>
    <row r="941" spans="1:18" s="1108" customFormat="1" ht="263.45" customHeight="1">
      <c r="A941" s="1158"/>
      <c r="B941" s="1313" t="s">
        <v>4383</v>
      </c>
      <c r="C941" s="1073">
        <v>295</v>
      </c>
      <c r="D941" s="940" t="str">
        <f t="shared" si="80"/>
        <v>Each</v>
      </c>
      <c r="F941" s="1097">
        <f t="shared" si="74"/>
        <v>0</v>
      </c>
      <c r="G941" s="1096"/>
      <c r="H941" s="1097">
        <f t="shared" si="75"/>
        <v>0</v>
      </c>
      <c r="I941" s="1096"/>
      <c r="J941" s="1097">
        <f t="shared" si="77"/>
        <v>0</v>
      </c>
      <c r="K941" s="1096"/>
      <c r="L941" s="1097">
        <f t="shared" si="78"/>
        <v>0</v>
      </c>
      <c r="M941" s="1096"/>
      <c r="N941" s="1096"/>
      <c r="O941" s="1098"/>
      <c r="P941" s="1096"/>
      <c r="Q941" s="1107"/>
      <c r="R941" s="1099"/>
    </row>
    <row r="942" spans="1:18" s="1108" customFormat="1" ht="222" customHeight="1">
      <c r="A942" s="1158"/>
      <c r="B942" s="1313" t="s">
        <v>4384</v>
      </c>
      <c r="C942" s="1073">
        <v>549</v>
      </c>
      <c r="D942" s="940" t="str">
        <f t="shared" si="80"/>
        <v>Each</v>
      </c>
      <c r="F942" s="1097">
        <f t="shared" si="74"/>
        <v>0</v>
      </c>
      <c r="G942" s="1096"/>
      <c r="H942" s="1097">
        <f t="shared" si="75"/>
        <v>0</v>
      </c>
      <c r="I942" s="1096"/>
      <c r="J942" s="1097">
        <f t="shared" si="77"/>
        <v>0</v>
      </c>
      <c r="K942" s="1096"/>
      <c r="L942" s="1097">
        <f t="shared" si="78"/>
        <v>0</v>
      </c>
      <c r="M942" s="1096"/>
      <c r="N942" s="1096"/>
      <c r="O942" s="1098"/>
      <c r="P942" s="1096"/>
      <c r="Q942" s="1107"/>
      <c r="R942" s="1099"/>
    </row>
    <row r="943" spans="1:18" s="1108" customFormat="1" ht="151.9" customHeight="1">
      <c r="A943" s="1158"/>
      <c r="B943" s="1313" t="s">
        <v>4385</v>
      </c>
      <c r="C943" s="1073">
        <v>91</v>
      </c>
      <c r="D943" s="940" t="str">
        <f t="shared" si="80"/>
        <v>Each</v>
      </c>
      <c r="F943" s="1097">
        <f t="shared" si="74"/>
        <v>0</v>
      </c>
      <c r="G943" s="1096"/>
      <c r="H943" s="1097">
        <f t="shared" si="75"/>
        <v>0</v>
      </c>
      <c r="I943" s="1096"/>
      <c r="J943" s="1097">
        <f t="shared" si="77"/>
        <v>0</v>
      </c>
      <c r="K943" s="1096"/>
      <c r="L943" s="1097">
        <f t="shared" si="78"/>
        <v>0</v>
      </c>
      <c r="M943" s="1096"/>
      <c r="N943" s="1096"/>
      <c r="O943" s="1098"/>
      <c r="P943" s="1096"/>
      <c r="Q943" s="1107"/>
      <c r="R943" s="1099"/>
    </row>
    <row r="944" spans="1:18" s="1108" customFormat="1" ht="409.5" customHeight="1">
      <c r="A944" s="1158"/>
      <c r="B944" s="1314" t="s">
        <v>4386</v>
      </c>
      <c r="C944" s="1073">
        <v>52204</v>
      </c>
      <c r="D944" s="940" t="str">
        <f t="shared" si="80"/>
        <v>Each</v>
      </c>
      <c r="F944" s="1097">
        <f t="shared" si="74"/>
        <v>0</v>
      </c>
      <c r="G944" s="1097"/>
      <c r="H944" s="1097">
        <f t="shared" si="75"/>
        <v>0</v>
      </c>
      <c r="I944" s="1103"/>
      <c r="J944" s="1097">
        <f t="shared" si="77"/>
        <v>0</v>
      </c>
      <c r="K944" s="1096"/>
      <c r="L944" s="1097">
        <f t="shared" si="78"/>
        <v>0</v>
      </c>
      <c r="M944" s="1103"/>
      <c r="N944" s="1096"/>
      <c r="O944" s="1098"/>
      <c r="P944" s="1096"/>
      <c r="Q944" s="1107"/>
      <c r="R944" s="1104"/>
    </row>
    <row r="945" spans="1:18" s="1108" customFormat="1" ht="193.9" customHeight="1">
      <c r="A945" s="1158"/>
      <c r="B945" s="1313" t="s">
        <v>4387</v>
      </c>
      <c r="C945" s="1074">
        <v>13260</v>
      </c>
      <c r="D945" s="940" t="str">
        <f t="shared" si="80"/>
        <v>Each</v>
      </c>
      <c r="F945" s="1097">
        <f t="shared" si="74"/>
        <v>0</v>
      </c>
      <c r="G945" s="1248"/>
      <c r="H945" s="1097">
        <f t="shared" si="75"/>
        <v>0</v>
      </c>
      <c r="I945" s="1096"/>
      <c r="J945" s="1097">
        <f t="shared" si="77"/>
        <v>0</v>
      </c>
      <c r="K945" s="1096"/>
      <c r="L945" s="1097">
        <f t="shared" si="78"/>
        <v>0</v>
      </c>
      <c r="M945" s="1096"/>
      <c r="N945" s="1096"/>
      <c r="O945" s="1098"/>
      <c r="P945" s="1096"/>
      <c r="Q945" s="1107"/>
      <c r="R945" s="1099"/>
    </row>
    <row r="946" spans="1:18" s="1108" customFormat="1" ht="360" customHeight="1">
      <c r="A946" s="1158"/>
      <c r="B946" s="1313" t="s">
        <v>4388</v>
      </c>
      <c r="C946" s="1073">
        <v>8559.9500000000007</v>
      </c>
      <c r="D946" s="940" t="str">
        <f t="shared" si="80"/>
        <v>Each</v>
      </c>
      <c r="F946" s="1097">
        <f t="shared" si="74"/>
        <v>0</v>
      </c>
      <c r="G946" s="1248"/>
      <c r="H946" s="1097">
        <f t="shared" si="75"/>
        <v>0</v>
      </c>
      <c r="I946" s="1096"/>
      <c r="J946" s="1097">
        <f t="shared" si="77"/>
        <v>0</v>
      </c>
      <c r="K946" s="1096"/>
      <c r="L946" s="1097">
        <f t="shared" si="78"/>
        <v>0</v>
      </c>
      <c r="M946" s="1096"/>
      <c r="N946" s="1096"/>
      <c r="O946" s="1098"/>
      <c r="P946" s="1096"/>
      <c r="Q946" s="1107"/>
      <c r="R946" s="1099"/>
    </row>
    <row r="947" spans="1:18" s="1108" customFormat="1" ht="409.5">
      <c r="A947" s="1158"/>
      <c r="B947" s="1315" t="s">
        <v>4389</v>
      </c>
      <c r="C947" s="1073">
        <v>29643</v>
      </c>
      <c r="D947" s="940" t="str">
        <f t="shared" si="80"/>
        <v>Each</v>
      </c>
      <c r="F947" s="1097">
        <f t="shared" si="74"/>
        <v>0</v>
      </c>
      <c r="G947" s="1097"/>
      <c r="H947" s="1097">
        <f t="shared" si="75"/>
        <v>0</v>
      </c>
      <c r="I947" s="1103"/>
      <c r="J947" s="1097">
        <f t="shared" si="77"/>
        <v>0</v>
      </c>
      <c r="K947" s="1096"/>
      <c r="L947" s="1097">
        <f t="shared" si="78"/>
        <v>0</v>
      </c>
      <c r="M947" s="1103"/>
      <c r="N947" s="1096"/>
      <c r="O947" s="1098"/>
      <c r="P947" s="1096"/>
      <c r="Q947" s="1107"/>
      <c r="R947" s="1104"/>
    </row>
    <row r="948" spans="1:18" s="1108" customFormat="1" ht="105.75" customHeight="1">
      <c r="A948" s="1158"/>
      <c r="B948" s="1313" t="s">
        <v>4390</v>
      </c>
      <c r="C948" s="1073">
        <v>12650</v>
      </c>
      <c r="D948" s="940" t="str">
        <f t="shared" si="80"/>
        <v>Each</v>
      </c>
      <c r="F948" s="1097">
        <f t="shared" si="74"/>
        <v>0</v>
      </c>
      <c r="G948" s="1097"/>
      <c r="H948" s="1097">
        <f t="shared" si="75"/>
        <v>0</v>
      </c>
      <c r="I948" s="1103"/>
      <c r="J948" s="1097">
        <f t="shared" si="77"/>
        <v>0</v>
      </c>
      <c r="K948" s="1096"/>
      <c r="L948" s="1097">
        <f t="shared" si="78"/>
        <v>0</v>
      </c>
      <c r="M948" s="1103"/>
      <c r="N948" s="1096"/>
      <c r="O948" s="1098"/>
      <c r="P948" s="1096"/>
      <c r="Q948" s="1107"/>
      <c r="R948" s="1104"/>
    </row>
    <row r="949" spans="1:18" s="1108" customFormat="1" ht="120.75" customHeight="1">
      <c r="A949" s="1158"/>
      <c r="B949" s="1313" t="s">
        <v>4391</v>
      </c>
      <c r="C949" s="1073">
        <v>166</v>
      </c>
      <c r="D949" s="940" t="str">
        <f t="shared" si="80"/>
        <v>Each</v>
      </c>
      <c r="F949" s="1097">
        <f t="shared" si="74"/>
        <v>0</v>
      </c>
      <c r="G949" s="1248"/>
      <c r="H949" s="1097">
        <f t="shared" si="75"/>
        <v>0</v>
      </c>
      <c r="I949" s="1096"/>
      <c r="J949" s="1097">
        <f t="shared" si="77"/>
        <v>0</v>
      </c>
      <c r="K949" s="1096"/>
      <c r="L949" s="1097">
        <f t="shared" si="78"/>
        <v>0</v>
      </c>
      <c r="M949" s="1096"/>
      <c r="N949" s="1096"/>
      <c r="O949" s="1098"/>
      <c r="P949" s="1096"/>
      <c r="Q949" s="1107"/>
      <c r="R949" s="1099"/>
    </row>
    <row r="950" spans="1:18" s="1108" customFormat="1" ht="96.6" customHeight="1">
      <c r="A950" s="1158"/>
      <c r="B950" s="1314" t="s">
        <v>4392</v>
      </c>
      <c r="C950" s="1075">
        <v>70</v>
      </c>
      <c r="D950" s="940" t="str">
        <f t="shared" si="80"/>
        <v>Each</v>
      </c>
      <c r="F950" s="1097">
        <f t="shared" si="74"/>
        <v>0</v>
      </c>
      <c r="G950" s="1248"/>
      <c r="H950" s="1097">
        <f t="shared" si="75"/>
        <v>0</v>
      </c>
      <c r="I950" s="1096"/>
      <c r="J950" s="1097">
        <f t="shared" si="77"/>
        <v>0</v>
      </c>
      <c r="K950" s="1096"/>
      <c r="L950" s="1097">
        <f t="shared" si="78"/>
        <v>0</v>
      </c>
      <c r="M950" s="1096"/>
      <c r="N950" s="1096"/>
      <c r="O950" s="1098"/>
      <c r="P950" s="1096"/>
      <c r="Q950" s="1107"/>
      <c r="R950" s="1099"/>
    </row>
    <row r="951" spans="1:18" s="1108" customFormat="1" ht="196.15" customHeight="1">
      <c r="A951" s="1158"/>
      <c r="B951" s="1316" t="s">
        <v>4393</v>
      </c>
      <c r="C951" s="1075">
        <v>126</v>
      </c>
      <c r="D951" s="940" t="str">
        <f t="shared" si="80"/>
        <v>Each</v>
      </c>
      <c r="F951" s="1097">
        <f t="shared" si="74"/>
        <v>0</v>
      </c>
      <c r="G951" s="1248"/>
      <c r="H951" s="1097">
        <f t="shared" si="75"/>
        <v>0</v>
      </c>
      <c r="I951" s="1096"/>
      <c r="J951" s="1097">
        <f t="shared" si="77"/>
        <v>0</v>
      </c>
      <c r="K951" s="1096"/>
      <c r="L951" s="1097">
        <f t="shared" si="78"/>
        <v>0</v>
      </c>
      <c r="M951" s="1096"/>
      <c r="N951" s="1096"/>
      <c r="O951" s="1098"/>
      <c r="P951" s="1096"/>
      <c r="Q951" s="1107"/>
      <c r="R951" s="1099"/>
    </row>
    <row r="952" spans="1:18" s="1108" customFormat="1" ht="133.5" customHeight="1">
      <c r="A952" s="1158"/>
      <c r="B952" s="1316" t="s">
        <v>4394</v>
      </c>
      <c r="C952" s="1075">
        <v>60.6</v>
      </c>
      <c r="D952" s="940" t="str">
        <f t="shared" si="80"/>
        <v>Each</v>
      </c>
      <c r="F952" s="1097">
        <f t="shared" si="74"/>
        <v>0</v>
      </c>
      <c r="G952" s="1248"/>
      <c r="H952" s="1097">
        <f t="shared" si="75"/>
        <v>0</v>
      </c>
      <c r="I952" s="1096"/>
      <c r="J952" s="1097">
        <f t="shared" si="77"/>
        <v>0</v>
      </c>
      <c r="K952" s="1096"/>
      <c r="L952" s="1097">
        <f t="shared" si="78"/>
        <v>0</v>
      </c>
      <c r="M952" s="1096"/>
      <c r="N952" s="1096"/>
      <c r="O952" s="1098"/>
      <c r="P952" s="1096"/>
      <c r="Q952" s="1107"/>
      <c r="R952" s="1099"/>
    </row>
    <row r="953" spans="1:18" s="1108" customFormat="1" ht="162.6" customHeight="1">
      <c r="A953" s="1158"/>
      <c r="B953" s="1316" t="str">
        <f>'INS- Elec '!B75</f>
        <v>Supply and fixing of Three Phase Distribution Board with 4 way TPN double door MCB DB 40 Amps 4 Pole ELCB - 1, 6Amps to 32 amps SP MCB - 12 No's   with necessary cutting work etc., including cost of all materials and fixing charges all complete. CER NO.267/2018-19</v>
      </c>
      <c r="C953" s="1075">
        <v>11750</v>
      </c>
      <c r="D953" s="940" t="str">
        <f t="shared" si="80"/>
        <v>Each</v>
      </c>
      <c r="E953" s="1096">
        <f>'Ins Abs'!Q81</f>
        <v>5</v>
      </c>
      <c r="F953" s="1097">
        <f t="shared" si="74"/>
        <v>58750</v>
      </c>
      <c r="G953" s="1096">
        <f>'SI Abs '!Q82</f>
        <v>8</v>
      </c>
      <c r="H953" s="1097">
        <f>'SI Abs '!R82</f>
        <v>94000</v>
      </c>
      <c r="I953" s="1096">
        <f>'PC Abs'!Q76</f>
        <v>24</v>
      </c>
      <c r="J953" s="1097">
        <f>'PC Abs'!R76</f>
        <v>282000</v>
      </c>
      <c r="K953" s="1096"/>
      <c r="L953" s="1097">
        <f t="shared" si="78"/>
        <v>0</v>
      </c>
      <c r="M953" s="1096"/>
      <c r="N953" s="1096"/>
      <c r="O953" s="1098">
        <f t="shared" ref="O953" si="81">E953+G953+I953+K953</f>
        <v>37</v>
      </c>
      <c r="P953" s="1096">
        <f>O953*C953</f>
        <v>434750</v>
      </c>
      <c r="Q953" s="1107"/>
      <c r="R953" s="1099"/>
    </row>
    <row r="954" spans="1:18" s="1108" customFormat="1" ht="82.5" customHeight="1">
      <c r="A954" s="1158"/>
      <c r="B954" s="1316" t="s">
        <v>4395</v>
      </c>
      <c r="C954" s="1073"/>
      <c r="D954" s="941"/>
      <c r="E954" s="1096" t="e">
        <f>'Ins Abs'!#REF!</f>
        <v>#REF!</v>
      </c>
      <c r="F954" s="1097" t="e">
        <f t="shared" si="74"/>
        <v>#REF!</v>
      </c>
      <c r="G954" s="1096">
        <f>'SI Abs '!Q83</f>
        <v>0</v>
      </c>
      <c r="H954" s="1097">
        <f>'SI Abs '!R83</f>
        <v>0</v>
      </c>
      <c r="I954" s="1096" t="e">
        <f>'PC Abs'!#REF!</f>
        <v>#REF!</v>
      </c>
      <c r="J954" s="1097" t="e">
        <f>'PC Abs'!#REF!</f>
        <v>#REF!</v>
      </c>
      <c r="K954" s="1096"/>
      <c r="L954" s="1097">
        <f t="shared" si="78"/>
        <v>0</v>
      </c>
      <c r="M954" s="1096"/>
      <c r="N954" s="1096"/>
      <c r="O954" s="1098"/>
      <c r="P954" s="1095"/>
      <c r="Q954" s="1107"/>
      <c r="R954" s="1099"/>
    </row>
    <row r="955" spans="1:18" s="1108" customFormat="1" ht="63" customHeight="1">
      <c r="A955" s="1158"/>
      <c r="B955" s="1316" t="s">
        <v>4396</v>
      </c>
      <c r="C955" s="1075">
        <v>215</v>
      </c>
      <c r="D955" s="941" t="s">
        <v>552</v>
      </c>
      <c r="E955" s="1248"/>
      <c r="F955" s="1097">
        <f t="shared" si="74"/>
        <v>0</v>
      </c>
      <c r="G955" s="1096"/>
      <c r="H955" s="1097">
        <f t="shared" si="75"/>
        <v>0</v>
      </c>
      <c r="I955" s="1096"/>
      <c r="J955" s="1097">
        <f t="shared" si="77"/>
        <v>0</v>
      </c>
      <c r="K955" s="1096"/>
      <c r="L955" s="1097">
        <f t="shared" si="78"/>
        <v>0</v>
      </c>
      <c r="M955" s="1096"/>
      <c r="N955" s="1096"/>
      <c r="O955" s="1098"/>
      <c r="P955" s="1096"/>
      <c r="Q955" s="1107"/>
      <c r="R955" s="1099"/>
    </row>
    <row r="956" spans="1:18" s="1108" customFormat="1" ht="63" customHeight="1">
      <c r="A956" s="1158"/>
      <c r="B956" s="1316" t="s">
        <v>4397</v>
      </c>
      <c r="C956" s="1075">
        <v>380</v>
      </c>
      <c r="D956" s="941" t="s">
        <v>552</v>
      </c>
      <c r="E956" s="1096" t="e">
        <f>'Ins Abs'!#REF!</f>
        <v>#REF!</v>
      </c>
      <c r="F956" s="1097" t="e">
        <f>C956*E956</f>
        <v>#REF!</v>
      </c>
      <c r="G956" s="1096">
        <f>'SI Abs '!Q84</f>
        <v>0</v>
      </c>
      <c r="H956" s="1097">
        <f>'SI Abs '!R84</f>
        <v>0</v>
      </c>
      <c r="I956" s="1096" t="e">
        <f>'PC Abs'!#REF!</f>
        <v>#REF!</v>
      </c>
      <c r="J956" s="1097" t="e">
        <f>'PC Abs'!#REF!</f>
        <v>#REF!</v>
      </c>
      <c r="K956" s="1096"/>
      <c r="L956" s="1097">
        <f t="shared" si="78"/>
        <v>0</v>
      </c>
      <c r="M956" s="1096"/>
      <c r="N956" s="1096"/>
      <c r="O956" s="1098"/>
      <c r="P956" s="1095"/>
      <c r="Q956" s="1107"/>
      <c r="R956" s="1099"/>
    </row>
    <row r="957" spans="1:18" s="1108" customFormat="1" ht="63" customHeight="1">
      <c r="A957" s="1158"/>
      <c r="B957" s="1313" t="s">
        <v>4398</v>
      </c>
      <c r="C957" s="1075">
        <v>450</v>
      </c>
      <c r="D957" s="940" t="s">
        <v>552</v>
      </c>
      <c r="E957" s="1097"/>
      <c r="F957" s="1097">
        <f t="shared" si="74"/>
        <v>0</v>
      </c>
      <c r="G957" s="1096"/>
      <c r="H957" s="1097">
        <f t="shared" si="75"/>
        <v>0</v>
      </c>
      <c r="I957" s="1096"/>
      <c r="J957" s="1097">
        <f t="shared" si="77"/>
        <v>0</v>
      </c>
      <c r="K957" s="1096"/>
      <c r="L957" s="1097">
        <f t="shared" si="78"/>
        <v>0</v>
      </c>
      <c r="M957" s="1096"/>
      <c r="N957" s="1096"/>
      <c r="O957" s="1098"/>
      <c r="P957" s="1096"/>
      <c r="Q957" s="1107"/>
      <c r="R957" s="1099"/>
    </row>
    <row r="958" spans="1:18" s="1108" customFormat="1" ht="126" customHeight="1">
      <c r="A958" s="1158"/>
      <c r="B958" s="1317" t="s">
        <v>4399</v>
      </c>
      <c r="C958" s="1073"/>
      <c r="D958" s="940"/>
      <c r="E958" s="1097"/>
      <c r="F958" s="1097">
        <f t="shared" si="74"/>
        <v>0</v>
      </c>
      <c r="G958" s="1096"/>
      <c r="H958" s="1097">
        <f t="shared" si="75"/>
        <v>0</v>
      </c>
      <c r="I958" s="1096"/>
      <c r="J958" s="1097">
        <f t="shared" si="77"/>
        <v>0</v>
      </c>
      <c r="K958" s="1096"/>
      <c r="L958" s="1097">
        <f t="shared" si="78"/>
        <v>0</v>
      </c>
      <c r="M958" s="1096"/>
      <c r="N958" s="1096"/>
      <c r="O958" s="1098"/>
      <c r="P958" s="1096"/>
      <c r="Q958" s="1107"/>
      <c r="R958" s="1099"/>
    </row>
    <row r="959" spans="1:18" s="1108" customFormat="1" ht="57" customHeight="1">
      <c r="A959" s="1158"/>
      <c r="B959" s="1318" t="s">
        <v>4400</v>
      </c>
      <c r="C959" s="1076">
        <v>73</v>
      </c>
      <c r="D959" s="941" t="s">
        <v>340</v>
      </c>
      <c r="E959" s="1248"/>
      <c r="F959" s="1097">
        <f t="shared" si="74"/>
        <v>0</v>
      </c>
      <c r="G959" s="1096"/>
      <c r="H959" s="1097">
        <f t="shared" si="75"/>
        <v>0</v>
      </c>
      <c r="I959" s="1096"/>
      <c r="J959" s="1097">
        <f t="shared" si="77"/>
        <v>0</v>
      </c>
      <c r="K959" s="1096"/>
      <c r="L959" s="1097">
        <f t="shared" si="78"/>
        <v>0</v>
      </c>
      <c r="M959" s="1096"/>
      <c r="N959" s="1096"/>
      <c r="O959" s="1098"/>
      <c r="P959" s="1096"/>
      <c r="Q959" s="1107"/>
      <c r="R959" s="1099"/>
    </row>
    <row r="960" spans="1:18" s="1108" customFormat="1" ht="57" customHeight="1">
      <c r="A960" s="1158"/>
      <c r="B960" s="1314" t="s">
        <v>4401</v>
      </c>
      <c r="C960" s="1077">
        <v>584</v>
      </c>
      <c r="D960" s="941" t="s">
        <v>340</v>
      </c>
      <c r="E960" s="1248"/>
      <c r="F960" s="1097">
        <f t="shared" si="74"/>
        <v>0</v>
      </c>
      <c r="G960" s="1096"/>
      <c r="H960" s="1097">
        <f t="shared" si="75"/>
        <v>0</v>
      </c>
      <c r="I960" s="1096"/>
      <c r="J960" s="1097">
        <f t="shared" si="77"/>
        <v>0</v>
      </c>
      <c r="K960" s="1096"/>
      <c r="L960" s="1097">
        <f t="shared" si="78"/>
        <v>0</v>
      </c>
      <c r="M960" s="1096"/>
      <c r="N960" s="1096"/>
      <c r="O960" s="1098"/>
      <c r="P960" s="1096"/>
      <c r="Q960" s="1107"/>
      <c r="R960" s="1099"/>
    </row>
    <row r="961" spans="1:18" s="1108" customFormat="1" ht="57" customHeight="1">
      <c r="A961" s="1158"/>
      <c r="B961" s="1314" t="s">
        <v>4402</v>
      </c>
      <c r="C961" s="1076">
        <v>87</v>
      </c>
      <c r="D961" s="941" t="s">
        <v>340</v>
      </c>
      <c r="E961" s="1097"/>
      <c r="F961" s="1097">
        <f t="shared" si="74"/>
        <v>0</v>
      </c>
      <c r="G961" s="1103"/>
      <c r="H961" s="1097">
        <f t="shared" si="75"/>
        <v>0</v>
      </c>
      <c r="I961" s="1103"/>
      <c r="J961" s="1097">
        <f t="shared" si="77"/>
        <v>0</v>
      </c>
      <c r="K961" s="1096"/>
      <c r="L961" s="1097">
        <f t="shared" si="78"/>
        <v>0</v>
      </c>
      <c r="M961" s="1103"/>
      <c r="N961" s="1096"/>
      <c r="O961" s="1098"/>
      <c r="P961" s="1096"/>
      <c r="Q961" s="1107"/>
      <c r="R961" s="1104"/>
    </row>
    <row r="962" spans="1:18" s="1108" customFormat="1" ht="57" customHeight="1">
      <c r="A962" s="1158"/>
      <c r="B962" s="1314" t="s">
        <v>4403</v>
      </c>
      <c r="C962" s="1076">
        <v>266.3</v>
      </c>
      <c r="D962" s="941" t="s">
        <v>340</v>
      </c>
      <c r="E962" s="1097"/>
      <c r="F962" s="1097">
        <f t="shared" si="74"/>
        <v>0</v>
      </c>
      <c r="G962" s="1103"/>
      <c r="H962" s="1097">
        <f t="shared" si="75"/>
        <v>0</v>
      </c>
      <c r="I962" s="1103"/>
      <c r="J962" s="1097">
        <f t="shared" si="77"/>
        <v>0</v>
      </c>
      <c r="K962" s="1096"/>
      <c r="L962" s="1097">
        <f t="shared" si="78"/>
        <v>0</v>
      </c>
      <c r="M962" s="1103"/>
      <c r="N962" s="1096"/>
      <c r="O962" s="1098"/>
      <c r="P962" s="1096"/>
      <c r="Q962" s="1107"/>
      <c r="R962" s="1104"/>
    </row>
    <row r="963" spans="1:18" s="1108" customFormat="1" ht="57" customHeight="1">
      <c r="A963" s="1158"/>
      <c r="B963" s="1314" t="s">
        <v>4404</v>
      </c>
      <c r="C963" s="1077">
        <v>366</v>
      </c>
      <c r="D963" s="941" t="s">
        <v>340</v>
      </c>
      <c r="E963" s="1097"/>
      <c r="F963" s="1097">
        <f t="shared" si="74"/>
        <v>0</v>
      </c>
      <c r="G963" s="1103"/>
      <c r="H963" s="1097">
        <f t="shared" si="75"/>
        <v>0</v>
      </c>
      <c r="I963" s="1103"/>
      <c r="J963" s="1097">
        <f t="shared" si="77"/>
        <v>0</v>
      </c>
      <c r="K963" s="1096"/>
      <c r="L963" s="1097">
        <f t="shared" si="78"/>
        <v>0</v>
      </c>
      <c r="M963" s="1103"/>
      <c r="N963" s="1096"/>
      <c r="O963" s="1098"/>
      <c r="P963" s="1096"/>
      <c r="Q963" s="1107"/>
      <c r="R963" s="1104"/>
    </row>
    <row r="964" spans="1:18" s="1108" customFormat="1" ht="57" customHeight="1">
      <c r="A964" s="1158"/>
      <c r="B964" s="1314" t="s">
        <v>4405</v>
      </c>
      <c r="C964" s="1076">
        <v>139.80000000000001</v>
      </c>
      <c r="D964" s="941" t="s">
        <v>340</v>
      </c>
      <c r="E964" s="1097"/>
      <c r="F964" s="1097">
        <f t="shared" si="74"/>
        <v>0</v>
      </c>
      <c r="G964" s="1096"/>
      <c r="H964" s="1097">
        <f t="shared" si="75"/>
        <v>0</v>
      </c>
      <c r="I964" s="1096"/>
      <c r="J964" s="1097">
        <f t="shared" si="77"/>
        <v>0</v>
      </c>
      <c r="K964" s="1096"/>
      <c r="L964" s="1097">
        <f t="shared" si="78"/>
        <v>0</v>
      </c>
      <c r="M964" s="1096"/>
      <c r="N964" s="1096"/>
      <c r="O964" s="1098"/>
      <c r="P964" s="1096"/>
      <c r="Q964" s="1107"/>
      <c r="R964" s="1099"/>
    </row>
    <row r="965" spans="1:18" s="1108" customFormat="1" ht="57" customHeight="1">
      <c r="A965" s="1158"/>
      <c r="B965" s="1314" t="s">
        <v>4406</v>
      </c>
      <c r="C965" s="1077">
        <v>256</v>
      </c>
      <c r="D965" s="941" t="s">
        <v>340</v>
      </c>
      <c r="E965" s="1097"/>
      <c r="F965" s="1097">
        <f t="shared" si="74"/>
        <v>0</v>
      </c>
      <c r="G965" s="1103"/>
      <c r="H965" s="1097">
        <f t="shared" si="75"/>
        <v>0</v>
      </c>
      <c r="I965" s="1103"/>
      <c r="J965" s="1097">
        <f t="shared" si="77"/>
        <v>0</v>
      </c>
      <c r="K965" s="1096"/>
      <c r="L965" s="1097">
        <f t="shared" si="78"/>
        <v>0</v>
      </c>
      <c r="M965" s="1103"/>
      <c r="N965" s="1096"/>
      <c r="O965" s="1098"/>
      <c r="P965" s="1096"/>
      <c r="Q965" s="1107"/>
      <c r="R965" s="1104"/>
    </row>
    <row r="966" spans="1:18" s="1108" customFormat="1" ht="57" customHeight="1">
      <c r="A966" s="1158"/>
      <c r="B966" s="1314" t="s">
        <v>4407</v>
      </c>
      <c r="C966" s="1076">
        <v>1881</v>
      </c>
      <c r="D966" s="941" t="s">
        <v>340</v>
      </c>
      <c r="E966" s="1097"/>
      <c r="F966" s="1097">
        <f t="shared" si="74"/>
        <v>0</v>
      </c>
      <c r="G966" s="1103"/>
      <c r="H966" s="1097">
        <f t="shared" si="75"/>
        <v>0</v>
      </c>
      <c r="I966" s="1103"/>
      <c r="J966" s="1097">
        <f t="shared" si="77"/>
        <v>0</v>
      </c>
      <c r="K966" s="1096"/>
      <c r="L966" s="1097">
        <f t="shared" si="78"/>
        <v>0</v>
      </c>
      <c r="M966" s="1103"/>
      <c r="N966" s="1096"/>
      <c r="O966" s="1098"/>
      <c r="P966" s="1096"/>
      <c r="Q966" s="1107"/>
      <c r="R966" s="1104"/>
    </row>
    <row r="967" spans="1:18" s="1108" customFormat="1" ht="73.150000000000006" customHeight="1">
      <c r="A967" s="1158"/>
      <c r="B967" s="1314" t="s">
        <v>4408</v>
      </c>
      <c r="C967" s="1076">
        <v>746</v>
      </c>
      <c r="D967" s="941" t="s">
        <v>340</v>
      </c>
      <c r="E967" s="1097"/>
      <c r="F967" s="1097">
        <f t="shared" si="74"/>
        <v>0</v>
      </c>
      <c r="G967" s="1103"/>
      <c r="H967" s="1097">
        <f t="shared" si="75"/>
        <v>0</v>
      </c>
      <c r="I967" s="1103"/>
      <c r="J967" s="1097">
        <f t="shared" si="77"/>
        <v>0</v>
      </c>
      <c r="K967" s="1096"/>
      <c r="L967" s="1097">
        <f t="shared" si="78"/>
        <v>0</v>
      </c>
      <c r="M967" s="1103"/>
      <c r="N967" s="1096"/>
      <c r="O967" s="1098"/>
      <c r="P967" s="1096"/>
      <c r="Q967" s="1107"/>
      <c r="R967" s="1104"/>
    </row>
    <row r="968" spans="1:18" s="1108" customFormat="1" ht="63" customHeight="1">
      <c r="A968" s="1158"/>
      <c r="B968" s="1313" t="s">
        <v>4409</v>
      </c>
      <c r="C968" s="1075"/>
      <c r="D968" s="940"/>
      <c r="E968" s="1097"/>
      <c r="F968" s="1097">
        <f t="shared" si="74"/>
        <v>0</v>
      </c>
      <c r="G968" s="1103"/>
      <c r="H968" s="1097">
        <f t="shared" si="75"/>
        <v>0</v>
      </c>
      <c r="I968" s="1103"/>
      <c r="J968" s="1097">
        <f t="shared" si="77"/>
        <v>0</v>
      </c>
      <c r="K968" s="1096"/>
      <c r="L968" s="1097">
        <f t="shared" si="78"/>
        <v>0</v>
      </c>
      <c r="M968" s="1103"/>
      <c r="N968" s="1096"/>
      <c r="O968" s="1098"/>
      <c r="P968" s="1096"/>
      <c r="Q968" s="1107"/>
      <c r="R968" s="1104"/>
    </row>
    <row r="969" spans="1:18" s="1108" customFormat="1" ht="57" customHeight="1">
      <c r="A969" s="1158"/>
      <c r="B969" s="1319"/>
      <c r="C969" s="1075"/>
      <c r="D969" s="940"/>
      <c r="E969" s="1097"/>
      <c r="F969" s="1097">
        <f t="shared" ref="F969:F1018" si="82">C969*E969</f>
        <v>0</v>
      </c>
      <c r="G969" s="1103"/>
      <c r="H969" s="1097">
        <f t="shared" ref="H969:H1030" si="83">C969*G969</f>
        <v>0</v>
      </c>
      <c r="I969" s="1103"/>
      <c r="J969" s="1097">
        <f t="shared" si="77"/>
        <v>0</v>
      </c>
      <c r="K969" s="1096"/>
      <c r="L969" s="1097">
        <f t="shared" si="78"/>
        <v>0</v>
      </c>
      <c r="M969" s="1103"/>
      <c r="N969" s="1096"/>
      <c r="O969" s="1098"/>
      <c r="P969" s="1096"/>
      <c r="Q969" s="1107"/>
      <c r="R969" s="1104"/>
    </row>
    <row r="970" spans="1:18" s="1108" customFormat="1" ht="57" customHeight="1">
      <c r="A970" s="1158"/>
      <c r="B970" s="1313" t="s">
        <v>4410</v>
      </c>
      <c r="C970" s="1078">
        <v>285</v>
      </c>
      <c r="D970" s="940" t="s">
        <v>303</v>
      </c>
      <c r="E970" s="1097"/>
      <c r="F970" s="1097">
        <f t="shared" si="82"/>
        <v>0</v>
      </c>
      <c r="G970" s="1103"/>
      <c r="H970" s="1097">
        <f t="shared" si="83"/>
        <v>0</v>
      </c>
      <c r="I970" s="1103"/>
      <c r="J970" s="1097">
        <f t="shared" si="77"/>
        <v>0</v>
      </c>
      <c r="K970" s="1096"/>
      <c r="L970" s="1097">
        <f t="shared" si="78"/>
        <v>0</v>
      </c>
      <c r="M970" s="1103"/>
      <c r="N970" s="1096"/>
      <c r="O970" s="1098"/>
      <c r="P970" s="1096"/>
      <c r="Q970" s="1107"/>
      <c r="R970" s="1104"/>
    </row>
    <row r="971" spans="1:18" s="1108" customFormat="1" ht="151.9" customHeight="1">
      <c r="A971" s="1158"/>
      <c r="B971" s="1320" t="s">
        <v>4411</v>
      </c>
      <c r="C971" s="1075"/>
      <c r="D971" s="940"/>
      <c r="E971" s="1097"/>
      <c r="F971" s="1097">
        <f t="shared" si="82"/>
        <v>0</v>
      </c>
      <c r="G971" s="1096"/>
      <c r="H971" s="1097">
        <f t="shared" si="83"/>
        <v>0</v>
      </c>
      <c r="I971" s="1096"/>
      <c r="J971" s="1097">
        <f t="shared" si="77"/>
        <v>0</v>
      </c>
      <c r="K971" s="1096"/>
      <c r="L971" s="1097">
        <f t="shared" si="78"/>
        <v>0</v>
      </c>
      <c r="M971" s="1096"/>
      <c r="N971" s="1096"/>
      <c r="O971" s="1098"/>
      <c r="P971" s="1096"/>
      <c r="Q971" s="1107"/>
      <c r="R971" s="1099"/>
    </row>
    <row r="972" spans="1:18" s="1108" customFormat="1" ht="51.6" customHeight="1">
      <c r="A972" s="1158"/>
      <c r="B972" s="1320" t="s">
        <v>4412</v>
      </c>
      <c r="C972" s="1079">
        <v>36.799999999999997</v>
      </c>
      <c r="D972" s="940" t="s">
        <v>340</v>
      </c>
      <c r="E972" s="1097"/>
      <c r="F972" s="1097">
        <f t="shared" si="82"/>
        <v>0</v>
      </c>
      <c r="G972" s="1096"/>
      <c r="H972" s="1097">
        <f t="shared" si="83"/>
        <v>0</v>
      </c>
      <c r="I972" s="1096"/>
      <c r="J972" s="1097">
        <f t="shared" si="77"/>
        <v>0</v>
      </c>
      <c r="K972" s="1096"/>
      <c r="L972" s="1097">
        <f t="shared" si="78"/>
        <v>0</v>
      </c>
      <c r="M972" s="1096"/>
      <c r="N972" s="1096"/>
      <c r="O972" s="1098"/>
      <c r="P972" s="1096"/>
      <c r="Q972" s="1107"/>
      <c r="R972" s="1099"/>
    </row>
    <row r="973" spans="1:18" s="1108" customFormat="1" ht="51.6" customHeight="1">
      <c r="A973" s="1158"/>
      <c r="B973" s="1320" t="s">
        <v>4413</v>
      </c>
      <c r="C973" s="1079">
        <v>24.5</v>
      </c>
      <c r="D973" s="940" t="s">
        <v>340</v>
      </c>
      <c r="E973" s="1097"/>
      <c r="F973" s="1097">
        <f t="shared" si="82"/>
        <v>0</v>
      </c>
      <c r="G973" s="1096"/>
      <c r="H973" s="1097">
        <f t="shared" si="83"/>
        <v>0</v>
      </c>
      <c r="I973" s="1096"/>
      <c r="J973" s="1097">
        <f t="shared" si="77"/>
        <v>0</v>
      </c>
      <c r="K973" s="1096"/>
      <c r="L973" s="1097">
        <f t="shared" si="78"/>
        <v>0</v>
      </c>
      <c r="M973" s="1096"/>
      <c r="N973" s="1096"/>
      <c r="O973" s="1098"/>
      <c r="P973" s="1096"/>
      <c r="Q973" s="1107"/>
      <c r="R973" s="1099"/>
    </row>
    <row r="974" spans="1:18" s="1108" customFormat="1" ht="51.6" customHeight="1">
      <c r="A974" s="1158"/>
      <c r="B974" s="1320" t="s">
        <v>4414</v>
      </c>
      <c r="C974" s="1079">
        <v>11.4</v>
      </c>
      <c r="D974" s="940" t="s">
        <v>340</v>
      </c>
      <c r="E974" s="1097"/>
      <c r="F974" s="1097">
        <f t="shared" si="82"/>
        <v>0</v>
      </c>
      <c r="G974" s="1096"/>
      <c r="H974" s="1097">
        <f t="shared" si="83"/>
        <v>0</v>
      </c>
      <c r="I974" s="1096"/>
      <c r="J974" s="1097">
        <f t="shared" si="77"/>
        <v>0</v>
      </c>
      <c r="K974" s="1096"/>
      <c r="L974" s="1097">
        <f t="shared" si="78"/>
        <v>0</v>
      </c>
      <c r="M974" s="1096"/>
      <c r="N974" s="1096"/>
      <c r="O974" s="1098"/>
      <c r="P974" s="1096"/>
      <c r="Q974" s="1107"/>
      <c r="R974" s="1099"/>
    </row>
    <row r="975" spans="1:18" s="1108" customFormat="1" ht="51.6" customHeight="1">
      <c r="A975" s="1158"/>
      <c r="B975" s="1320" t="s">
        <v>4415</v>
      </c>
      <c r="C975" s="1079">
        <v>19.600000000000001</v>
      </c>
      <c r="D975" s="940" t="s">
        <v>340</v>
      </c>
      <c r="E975" s="1097"/>
      <c r="F975" s="1097">
        <f t="shared" si="82"/>
        <v>0</v>
      </c>
      <c r="G975" s="1096"/>
      <c r="H975" s="1097">
        <f t="shared" si="83"/>
        <v>0</v>
      </c>
      <c r="I975" s="1096"/>
      <c r="J975" s="1097">
        <f t="shared" si="77"/>
        <v>0</v>
      </c>
      <c r="K975" s="1096"/>
      <c r="L975" s="1097">
        <f t="shared" si="78"/>
        <v>0</v>
      </c>
      <c r="M975" s="1096"/>
      <c r="N975" s="1096"/>
      <c r="O975" s="1098"/>
      <c r="P975" s="1096"/>
      <c r="Q975" s="1107"/>
      <c r="R975" s="1099"/>
    </row>
    <row r="976" spans="1:18" s="1108" customFormat="1" ht="51.6" customHeight="1">
      <c r="A976" s="1158"/>
      <c r="B976" s="1320" t="s">
        <v>4416</v>
      </c>
      <c r="C976" s="1079">
        <v>14</v>
      </c>
      <c r="D976" s="940" t="s">
        <v>340</v>
      </c>
      <c r="E976" s="1097"/>
      <c r="F976" s="1097">
        <f t="shared" si="82"/>
        <v>0</v>
      </c>
      <c r="G976" s="1096"/>
      <c r="H976" s="1097">
        <f t="shared" si="83"/>
        <v>0</v>
      </c>
      <c r="I976" s="1096"/>
      <c r="J976" s="1097">
        <f t="shared" si="77"/>
        <v>0</v>
      </c>
      <c r="K976" s="1096"/>
      <c r="L976" s="1097">
        <f t="shared" si="78"/>
        <v>0</v>
      </c>
      <c r="M976" s="1096"/>
      <c r="N976" s="1096"/>
      <c r="O976" s="1098"/>
      <c r="P976" s="1096"/>
      <c r="Q976" s="1107"/>
      <c r="R976" s="1099"/>
    </row>
    <row r="977" spans="1:18" s="1108" customFormat="1" ht="51.6" customHeight="1">
      <c r="A977" s="1158"/>
      <c r="B977" s="1320" t="s">
        <v>4417</v>
      </c>
      <c r="C977" s="1079">
        <v>13</v>
      </c>
      <c r="D977" s="940" t="s">
        <v>340</v>
      </c>
      <c r="E977" s="1097"/>
      <c r="F977" s="1097">
        <f t="shared" si="82"/>
        <v>0</v>
      </c>
      <c r="G977" s="1103"/>
      <c r="H977" s="1097">
        <f t="shared" si="83"/>
        <v>0</v>
      </c>
      <c r="I977" s="1103"/>
      <c r="J977" s="1097">
        <f t="shared" si="77"/>
        <v>0</v>
      </c>
      <c r="K977" s="1096"/>
      <c r="L977" s="1097">
        <f t="shared" si="78"/>
        <v>0</v>
      </c>
      <c r="M977" s="1103"/>
      <c r="N977" s="1096"/>
      <c r="O977" s="1098"/>
      <c r="P977" s="1096"/>
      <c r="Q977" s="1107"/>
      <c r="R977" s="1104"/>
    </row>
    <row r="978" spans="1:18" s="1108" customFormat="1" ht="78" customHeight="1">
      <c r="A978" s="1158"/>
      <c r="B978" s="1313" t="s">
        <v>4418</v>
      </c>
      <c r="C978" s="1075">
        <v>197</v>
      </c>
      <c r="D978" s="940" t="s">
        <v>340</v>
      </c>
      <c r="E978" s="1097"/>
      <c r="F978" s="1097">
        <f t="shared" si="82"/>
        <v>0</v>
      </c>
      <c r="G978" s="1096"/>
      <c r="H978" s="1097">
        <f t="shared" si="83"/>
        <v>0</v>
      </c>
      <c r="I978" s="1096"/>
      <c r="J978" s="1097">
        <f t="shared" si="77"/>
        <v>0</v>
      </c>
      <c r="K978" s="1096"/>
      <c r="L978" s="1097">
        <f t="shared" si="78"/>
        <v>0</v>
      </c>
      <c r="M978" s="1096"/>
      <c r="N978" s="1096"/>
      <c r="O978" s="1098"/>
      <c r="P978" s="1096"/>
      <c r="Q978" s="1107"/>
      <c r="R978" s="1099"/>
    </row>
    <row r="979" spans="1:18" s="1108" customFormat="1" ht="72" customHeight="1">
      <c r="A979" s="1158"/>
      <c r="B979" s="1319" t="s">
        <v>4419</v>
      </c>
      <c r="C979" s="1075"/>
      <c r="D979" s="940"/>
      <c r="E979" s="1097"/>
      <c r="F979" s="1097">
        <f t="shared" si="82"/>
        <v>0</v>
      </c>
      <c r="G979" s="1096"/>
      <c r="H979" s="1097">
        <f t="shared" si="83"/>
        <v>0</v>
      </c>
      <c r="I979" s="1096"/>
      <c r="J979" s="1097">
        <f t="shared" si="77"/>
        <v>0</v>
      </c>
      <c r="K979" s="1096"/>
      <c r="L979" s="1097">
        <f t="shared" si="78"/>
        <v>0</v>
      </c>
      <c r="M979" s="1096"/>
      <c r="N979" s="1096"/>
      <c r="O979" s="1098"/>
      <c r="P979" s="1096"/>
      <c r="Q979" s="1107"/>
      <c r="R979" s="1099"/>
    </row>
    <row r="980" spans="1:18" s="1108" customFormat="1" ht="66" customHeight="1">
      <c r="A980" s="1158"/>
      <c r="B980" s="1313" t="s">
        <v>4420</v>
      </c>
      <c r="C980" s="1075">
        <v>4200</v>
      </c>
      <c r="D980" s="940" t="s">
        <v>154</v>
      </c>
      <c r="E980" s="1097"/>
      <c r="F980" s="1097">
        <f t="shared" si="82"/>
        <v>0</v>
      </c>
      <c r="G980" s="1096"/>
      <c r="H980" s="1097">
        <f t="shared" si="83"/>
        <v>0</v>
      </c>
      <c r="I980" s="1096"/>
      <c r="J980" s="1097">
        <f t="shared" si="77"/>
        <v>0</v>
      </c>
      <c r="K980" s="1096"/>
      <c r="L980" s="1097">
        <f t="shared" si="78"/>
        <v>0</v>
      </c>
      <c r="M980" s="1096"/>
      <c r="N980" s="1096"/>
      <c r="O980" s="1098"/>
      <c r="P980" s="1096"/>
      <c r="Q980" s="1107"/>
      <c r="R980" s="1099"/>
    </row>
    <row r="981" spans="1:18" s="1108" customFormat="1" ht="51" customHeight="1">
      <c r="A981" s="1158"/>
      <c r="B981" s="1313" t="s">
        <v>4421</v>
      </c>
      <c r="C981" s="1075">
        <v>840</v>
      </c>
      <c r="D981" s="940" t="s">
        <v>154</v>
      </c>
      <c r="E981" s="1097"/>
      <c r="F981" s="1097">
        <f t="shared" si="82"/>
        <v>0</v>
      </c>
      <c r="G981" s="1096"/>
      <c r="H981" s="1097">
        <f t="shared" si="83"/>
        <v>0</v>
      </c>
      <c r="I981" s="1096"/>
      <c r="J981" s="1097">
        <f t="shared" si="77"/>
        <v>0</v>
      </c>
      <c r="K981" s="1096"/>
      <c r="L981" s="1097">
        <f t="shared" si="78"/>
        <v>0</v>
      </c>
      <c r="M981" s="1096"/>
      <c r="N981" s="1096"/>
      <c r="O981" s="1098"/>
      <c r="P981" s="1096"/>
      <c r="Q981" s="1107"/>
      <c r="R981" s="1099"/>
    </row>
    <row r="982" spans="1:18" s="1108" customFormat="1" ht="51" customHeight="1">
      <c r="A982" s="1158"/>
      <c r="B982" s="1313" t="s">
        <v>4422</v>
      </c>
      <c r="C982" s="1075">
        <v>720</v>
      </c>
      <c r="D982" s="940" t="s">
        <v>154</v>
      </c>
      <c r="E982" s="1097"/>
      <c r="F982" s="1097">
        <f t="shared" si="82"/>
        <v>0</v>
      </c>
      <c r="G982" s="1096"/>
      <c r="H982" s="1097">
        <f t="shared" si="83"/>
        <v>0</v>
      </c>
      <c r="I982" s="1096"/>
      <c r="J982" s="1097">
        <f t="shared" si="77"/>
        <v>0</v>
      </c>
      <c r="K982" s="1096"/>
      <c r="L982" s="1097">
        <f t="shared" si="78"/>
        <v>0</v>
      </c>
      <c r="M982" s="1096"/>
      <c r="N982" s="1096"/>
      <c r="O982" s="1098"/>
      <c r="P982" s="1096"/>
      <c r="Q982" s="1107"/>
      <c r="R982" s="1099"/>
    </row>
    <row r="983" spans="1:18" s="1108" customFormat="1" ht="75.75" customHeight="1">
      <c r="A983" s="1158"/>
      <c r="B983" s="1313" t="s">
        <v>4423</v>
      </c>
      <c r="C983" s="1075">
        <v>150</v>
      </c>
      <c r="D983" s="940" t="s">
        <v>154</v>
      </c>
      <c r="E983" s="1097"/>
      <c r="F983" s="1097">
        <f t="shared" si="82"/>
        <v>0</v>
      </c>
      <c r="G983" s="1096"/>
      <c r="H983" s="1097">
        <f t="shared" si="83"/>
        <v>0</v>
      </c>
      <c r="I983" s="1096"/>
      <c r="J983" s="1097">
        <f t="shared" si="77"/>
        <v>0</v>
      </c>
      <c r="K983" s="1096"/>
      <c r="L983" s="1097">
        <f t="shared" si="78"/>
        <v>0</v>
      </c>
      <c r="M983" s="1096"/>
      <c r="N983" s="1096"/>
      <c r="O983" s="1098"/>
      <c r="P983" s="1096"/>
      <c r="Q983" s="1107"/>
      <c r="R983" s="1099"/>
    </row>
    <row r="984" spans="1:18" s="1108" customFormat="1" ht="78" customHeight="1">
      <c r="A984" s="1158"/>
      <c r="B984" s="1313" t="s">
        <v>4424</v>
      </c>
      <c r="C984" s="1075">
        <v>320</v>
      </c>
      <c r="D984" s="940" t="s">
        <v>154</v>
      </c>
      <c r="E984" s="1097"/>
      <c r="F984" s="1097">
        <f t="shared" si="82"/>
        <v>0</v>
      </c>
      <c r="G984" s="1096"/>
      <c r="H984" s="1097">
        <f t="shared" si="83"/>
        <v>0</v>
      </c>
      <c r="I984" s="1096"/>
      <c r="J984" s="1097">
        <f t="shared" si="77"/>
        <v>0</v>
      </c>
      <c r="K984" s="1096"/>
      <c r="L984" s="1097">
        <f t="shared" si="78"/>
        <v>0</v>
      </c>
      <c r="M984" s="1096"/>
      <c r="N984" s="1096"/>
      <c r="O984" s="1098"/>
      <c r="P984" s="1096"/>
      <c r="Q984" s="1107"/>
      <c r="R984" s="1099"/>
    </row>
    <row r="985" spans="1:18" s="1108" customFormat="1" ht="69" customHeight="1">
      <c r="A985" s="1158"/>
      <c r="B985" s="1313" t="s">
        <v>4425</v>
      </c>
      <c r="C985" s="1075">
        <v>450</v>
      </c>
      <c r="D985" s="940" t="s">
        <v>154</v>
      </c>
      <c r="E985" s="1097"/>
      <c r="F985" s="1097">
        <f t="shared" si="82"/>
        <v>0</v>
      </c>
      <c r="G985" s="1096"/>
      <c r="H985" s="1097">
        <f t="shared" si="83"/>
        <v>0</v>
      </c>
      <c r="I985" s="1096"/>
      <c r="J985" s="1097">
        <f t="shared" si="77"/>
        <v>0</v>
      </c>
      <c r="K985" s="1096"/>
      <c r="L985" s="1097">
        <f t="shared" si="78"/>
        <v>0</v>
      </c>
      <c r="M985" s="1096"/>
      <c r="N985" s="1096"/>
      <c r="O985" s="1098"/>
      <c r="P985" s="1096"/>
      <c r="Q985" s="1107"/>
      <c r="R985" s="1099"/>
    </row>
    <row r="986" spans="1:18" s="1108" customFormat="1" ht="76.5" customHeight="1">
      <c r="A986" s="1158"/>
      <c r="B986" s="1319" t="s">
        <v>4426</v>
      </c>
      <c r="C986" s="1075"/>
      <c r="D986" s="940"/>
      <c r="E986" s="1096">
        <f>'Ins Abs'!Q82</f>
        <v>0</v>
      </c>
      <c r="F986" s="1097">
        <f t="shared" si="82"/>
        <v>0</v>
      </c>
      <c r="G986" s="1096">
        <f>'SI Abs '!Q85</f>
        <v>0</v>
      </c>
      <c r="H986" s="1097">
        <f>'SI Abs '!R85</f>
        <v>0</v>
      </c>
      <c r="I986" s="1096">
        <f>'PC Abs'!Q77</f>
        <v>0</v>
      </c>
      <c r="J986" s="1097">
        <f>'PC Abs'!R77</f>
        <v>0</v>
      </c>
      <c r="K986" s="1096"/>
      <c r="L986" s="1097">
        <f t="shared" ref="L986:L1028" si="84">K986*C986</f>
        <v>0</v>
      </c>
      <c r="M986" s="1096"/>
      <c r="N986" s="1096"/>
      <c r="O986" s="1098"/>
      <c r="P986" s="1095"/>
      <c r="Q986" s="1107"/>
      <c r="R986" s="1099"/>
    </row>
    <row r="987" spans="1:18" s="1108" customFormat="1" ht="49.5" customHeight="1">
      <c r="A987" s="1158"/>
      <c r="B987" s="1313" t="s">
        <v>4427</v>
      </c>
      <c r="C987" s="1080">
        <v>2675</v>
      </c>
      <c r="D987" s="940" t="s">
        <v>340</v>
      </c>
      <c r="E987" s="1096">
        <f>'Ins Abs'!Q83</f>
        <v>5</v>
      </c>
      <c r="F987" s="1097">
        <f t="shared" si="82"/>
        <v>13375</v>
      </c>
      <c r="G987" s="1096">
        <f>'SI Abs '!Q86</f>
        <v>5</v>
      </c>
      <c r="H987" s="1097">
        <f>'SI Abs '!R86</f>
        <v>13505</v>
      </c>
      <c r="I987" s="1096">
        <f>'PC Abs'!Q78</f>
        <v>10</v>
      </c>
      <c r="J987" s="1097">
        <f>'PC Abs'!R78</f>
        <v>27010</v>
      </c>
      <c r="K987" s="1096"/>
      <c r="L987" s="1097">
        <f t="shared" si="84"/>
        <v>0</v>
      </c>
      <c r="M987" s="1096"/>
      <c r="N987" s="1096"/>
      <c r="O987" s="1098"/>
      <c r="P987" s="1096"/>
      <c r="Q987" s="1107"/>
      <c r="R987" s="1099"/>
    </row>
    <row r="988" spans="1:18" s="1108" customFormat="1" ht="49.5" customHeight="1">
      <c r="A988" s="1158"/>
      <c r="B988" s="1313" t="s">
        <v>4428</v>
      </c>
      <c r="C988" s="1075">
        <v>500</v>
      </c>
      <c r="D988" s="940" t="s">
        <v>340</v>
      </c>
      <c r="E988" s="1097"/>
      <c r="F988" s="1097">
        <f t="shared" si="82"/>
        <v>0</v>
      </c>
      <c r="G988" s="1096"/>
      <c r="H988" s="1097">
        <f t="shared" si="83"/>
        <v>0</v>
      </c>
      <c r="I988" s="1096"/>
      <c r="J988" s="1097">
        <f t="shared" ref="J988:J1028" si="85">I988*C988</f>
        <v>0</v>
      </c>
      <c r="K988" s="1096"/>
      <c r="L988" s="1097">
        <f t="shared" si="84"/>
        <v>0</v>
      </c>
      <c r="M988" s="1096"/>
      <c r="N988" s="1096"/>
      <c r="O988" s="1098"/>
      <c r="P988" s="1096"/>
      <c r="Q988" s="1107"/>
      <c r="R988" s="1099"/>
    </row>
    <row r="989" spans="1:18" s="1108" customFormat="1" ht="81" customHeight="1">
      <c r="A989" s="1158"/>
      <c r="B989" s="1313" t="s">
        <v>4429</v>
      </c>
      <c r="C989" s="1080">
        <v>90.9</v>
      </c>
      <c r="D989" s="940" t="s">
        <v>303</v>
      </c>
      <c r="E989" s="1097"/>
      <c r="F989" s="1097">
        <f t="shared" si="82"/>
        <v>0</v>
      </c>
      <c r="G989" s="1096"/>
      <c r="H989" s="1097">
        <f t="shared" si="83"/>
        <v>0</v>
      </c>
      <c r="I989" s="1096"/>
      <c r="J989" s="1097">
        <f t="shared" si="85"/>
        <v>0</v>
      </c>
      <c r="K989" s="1096"/>
      <c r="L989" s="1097">
        <f t="shared" si="84"/>
        <v>0</v>
      </c>
      <c r="M989" s="1096"/>
      <c r="N989" s="1096"/>
      <c r="O989" s="1098"/>
      <c r="P989" s="1096"/>
      <c r="Q989" s="1107"/>
      <c r="R989" s="1099"/>
    </row>
    <row r="990" spans="1:18" s="1108" customFormat="1" ht="77.25" customHeight="1">
      <c r="A990" s="1158"/>
      <c r="B990" s="1313" t="s">
        <v>4430</v>
      </c>
      <c r="C990" s="1075">
        <v>364.41</v>
      </c>
      <c r="D990" s="940" t="s">
        <v>154</v>
      </c>
      <c r="E990" s="1097"/>
      <c r="F990" s="1097">
        <f t="shared" si="82"/>
        <v>0</v>
      </c>
      <c r="G990" s="1096"/>
      <c r="H990" s="1097">
        <f t="shared" si="83"/>
        <v>0</v>
      </c>
      <c r="I990" s="1096"/>
      <c r="J990" s="1097">
        <f t="shared" si="85"/>
        <v>0</v>
      </c>
      <c r="K990" s="1096"/>
      <c r="L990" s="1097">
        <f t="shared" si="84"/>
        <v>0</v>
      </c>
      <c r="M990" s="1096"/>
      <c r="N990" s="1096"/>
      <c r="O990" s="1098"/>
      <c r="P990" s="1096"/>
      <c r="Q990" s="1107"/>
      <c r="R990" s="1099"/>
    </row>
    <row r="991" spans="1:18" s="1108" customFormat="1" ht="62.25" customHeight="1">
      <c r="A991" s="1158"/>
      <c r="B991" s="1313" t="s">
        <v>4431</v>
      </c>
      <c r="C991" s="1075">
        <v>6250</v>
      </c>
      <c r="D991" s="940" t="s">
        <v>303</v>
      </c>
      <c r="E991" s="1097"/>
      <c r="F991" s="1097">
        <f t="shared" si="82"/>
        <v>0</v>
      </c>
      <c r="G991" s="1096"/>
      <c r="H991" s="1097">
        <f t="shared" si="83"/>
        <v>0</v>
      </c>
      <c r="I991" s="1096"/>
      <c r="J991" s="1097">
        <f t="shared" si="85"/>
        <v>0</v>
      </c>
      <c r="K991" s="1096"/>
      <c r="L991" s="1097">
        <f t="shared" si="84"/>
        <v>0</v>
      </c>
      <c r="M991" s="1096"/>
      <c r="N991" s="1096"/>
      <c r="O991" s="1098"/>
      <c r="P991" s="1096"/>
      <c r="Q991" s="1107"/>
      <c r="R991" s="1099"/>
    </row>
    <row r="992" spans="1:18" s="1108" customFormat="1" ht="99" customHeight="1">
      <c r="A992" s="1158"/>
      <c r="B992" s="926" t="s">
        <v>4432</v>
      </c>
      <c r="C992" s="941">
        <v>1850</v>
      </c>
      <c r="D992" s="1185" t="s">
        <v>13</v>
      </c>
      <c r="E992" s="1097"/>
      <c r="F992" s="1097">
        <f t="shared" si="82"/>
        <v>0</v>
      </c>
      <c r="G992" s="1096"/>
      <c r="H992" s="1097">
        <f t="shared" si="83"/>
        <v>0</v>
      </c>
      <c r="I992" s="1096"/>
      <c r="J992" s="1097">
        <f t="shared" si="85"/>
        <v>0</v>
      </c>
      <c r="K992" s="1096"/>
      <c r="L992" s="1097">
        <f t="shared" si="84"/>
        <v>0</v>
      </c>
      <c r="M992" s="1096"/>
      <c r="N992" s="1096"/>
      <c r="O992" s="1098"/>
      <c r="P992" s="1096"/>
      <c r="Q992" s="1107"/>
      <c r="R992" s="1099"/>
    </row>
    <row r="993" spans="1:18" s="1108" customFormat="1" ht="132.75" customHeight="1">
      <c r="A993" s="1158"/>
      <c r="B993" s="926" t="s">
        <v>4433</v>
      </c>
      <c r="C993" s="941">
        <v>5750</v>
      </c>
      <c r="D993" s="1185" t="s">
        <v>13</v>
      </c>
      <c r="E993" s="1097"/>
      <c r="F993" s="1097">
        <f t="shared" si="82"/>
        <v>0</v>
      </c>
      <c r="G993" s="1096"/>
      <c r="H993" s="1097">
        <f t="shared" si="83"/>
        <v>0</v>
      </c>
      <c r="I993" s="1096"/>
      <c r="J993" s="1097">
        <f t="shared" si="85"/>
        <v>0</v>
      </c>
      <c r="K993" s="1096"/>
      <c r="L993" s="1097">
        <f t="shared" si="84"/>
        <v>0</v>
      </c>
      <c r="M993" s="1096"/>
      <c r="N993" s="1096"/>
      <c r="O993" s="1098"/>
      <c r="P993" s="1096"/>
      <c r="Q993" s="1107"/>
      <c r="R993" s="1099"/>
    </row>
    <row r="994" spans="1:18" s="1108" customFormat="1" ht="49.5" customHeight="1">
      <c r="A994" s="1158"/>
      <c r="B994" s="1313" t="s">
        <v>4434</v>
      </c>
      <c r="C994" s="1075">
        <v>809.99</v>
      </c>
      <c r="D994" s="940" t="s">
        <v>303</v>
      </c>
      <c r="E994" s="1097"/>
      <c r="F994" s="1097">
        <f t="shared" si="82"/>
        <v>0</v>
      </c>
      <c r="G994" s="1096"/>
      <c r="H994" s="1097">
        <f t="shared" si="83"/>
        <v>0</v>
      </c>
      <c r="I994" s="1096"/>
      <c r="J994" s="1097">
        <f t="shared" si="85"/>
        <v>0</v>
      </c>
      <c r="K994" s="1096"/>
      <c r="L994" s="1097">
        <f t="shared" si="84"/>
        <v>0</v>
      </c>
      <c r="M994" s="1096"/>
      <c r="N994" s="1096"/>
      <c r="O994" s="1098"/>
      <c r="P994" s="1096"/>
      <c r="Q994" s="1107"/>
      <c r="R994" s="1099"/>
    </row>
    <row r="995" spans="1:18" s="1108" customFormat="1" ht="120.75" customHeight="1">
      <c r="A995" s="1158"/>
      <c r="B995" s="931" t="s">
        <v>4435</v>
      </c>
      <c r="C995" s="1185"/>
      <c r="D995" s="1185"/>
      <c r="E995" s="1097"/>
      <c r="F995" s="1097">
        <f t="shared" si="82"/>
        <v>0</v>
      </c>
      <c r="G995" s="1096"/>
      <c r="H995" s="1097">
        <f t="shared" si="83"/>
        <v>0</v>
      </c>
      <c r="I995" s="1096"/>
      <c r="J995" s="1097">
        <f t="shared" si="85"/>
        <v>0</v>
      </c>
      <c r="K995" s="1096"/>
      <c r="L995" s="1097">
        <f t="shared" si="84"/>
        <v>0</v>
      </c>
      <c r="M995" s="1096"/>
      <c r="N995" s="1096"/>
      <c r="O995" s="1098"/>
      <c r="P995" s="1096"/>
      <c r="Q995" s="1107"/>
      <c r="R995" s="1099"/>
    </row>
    <row r="996" spans="1:18" s="1108" customFormat="1" ht="70.5" customHeight="1">
      <c r="A996" s="1158"/>
      <c r="B996" s="926" t="s">
        <v>4436</v>
      </c>
      <c r="C996" s="1185">
        <v>551.04</v>
      </c>
      <c r="D996" s="1185" t="s">
        <v>2757</v>
      </c>
      <c r="E996" s="1097"/>
      <c r="F996" s="1097">
        <f t="shared" si="82"/>
        <v>0</v>
      </c>
      <c r="G996" s="1096"/>
      <c r="H996" s="1097">
        <f t="shared" si="83"/>
        <v>0</v>
      </c>
      <c r="I996" s="1096"/>
      <c r="J996" s="1097">
        <f t="shared" si="85"/>
        <v>0</v>
      </c>
      <c r="K996" s="1096"/>
      <c r="L996" s="1097">
        <f t="shared" si="84"/>
        <v>0</v>
      </c>
      <c r="M996" s="1096"/>
      <c r="N996" s="1096"/>
      <c r="O996" s="1098"/>
      <c r="P996" s="1096"/>
      <c r="Q996" s="1107"/>
      <c r="R996" s="1099"/>
    </row>
    <row r="997" spans="1:18" s="1108" customFormat="1" ht="85.5" customHeight="1">
      <c r="A997" s="1158"/>
      <c r="B997" s="931" t="s">
        <v>4437</v>
      </c>
      <c r="C997" s="1185"/>
      <c r="D997" s="1185"/>
      <c r="E997" s="1097"/>
      <c r="F997" s="1097">
        <f t="shared" si="82"/>
        <v>0</v>
      </c>
      <c r="G997" s="1096"/>
      <c r="H997" s="1097">
        <f t="shared" si="83"/>
        <v>0</v>
      </c>
      <c r="I997" s="1096"/>
      <c r="J997" s="1097">
        <f t="shared" si="85"/>
        <v>0</v>
      </c>
      <c r="K997" s="1096"/>
      <c r="L997" s="1097">
        <f t="shared" si="84"/>
        <v>0</v>
      </c>
      <c r="M997" s="1096"/>
      <c r="N997" s="1096"/>
      <c r="O997" s="1098"/>
      <c r="P997" s="1096"/>
      <c r="Q997" s="1107"/>
      <c r="R997" s="1099"/>
    </row>
    <row r="998" spans="1:18" s="1108" customFormat="1" ht="64.5" customHeight="1">
      <c r="A998" s="1158"/>
      <c r="B998" s="926" t="s">
        <v>4438</v>
      </c>
      <c r="C998" s="1185">
        <v>450</v>
      </c>
      <c r="D998" s="1185" t="s">
        <v>2757</v>
      </c>
      <c r="E998" s="1097"/>
      <c r="F998" s="1097">
        <f t="shared" si="82"/>
        <v>0</v>
      </c>
      <c r="G998" s="1096"/>
      <c r="H998" s="1097">
        <f t="shared" si="83"/>
        <v>0</v>
      </c>
      <c r="I998" s="1096"/>
      <c r="J998" s="1097">
        <f t="shared" si="85"/>
        <v>0</v>
      </c>
      <c r="K998" s="1096"/>
      <c r="L998" s="1097">
        <f t="shared" si="84"/>
        <v>0</v>
      </c>
      <c r="M998" s="1096"/>
      <c r="N998" s="1096"/>
      <c r="O998" s="1098"/>
      <c r="P998" s="1096"/>
      <c r="Q998" s="1107"/>
      <c r="R998" s="1099"/>
    </row>
    <row r="999" spans="1:18" s="1108" customFormat="1" ht="66" customHeight="1">
      <c r="A999" s="1158"/>
      <c r="B999" s="931" t="s">
        <v>4439</v>
      </c>
      <c r="C999" s="1185"/>
      <c r="D999" s="1185"/>
      <c r="E999" s="1097"/>
      <c r="F999" s="1097">
        <f t="shared" si="82"/>
        <v>0</v>
      </c>
      <c r="G999" s="1096"/>
      <c r="H999" s="1097">
        <f t="shared" si="83"/>
        <v>0</v>
      </c>
      <c r="I999" s="1096"/>
      <c r="J999" s="1097">
        <f t="shared" si="85"/>
        <v>0</v>
      </c>
      <c r="K999" s="1096"/>
      <c r="L999" s="1097">
        <f t="shared" si="84"/>
        <v>0</v>
      </c>
      <c r="M999" s="1096"/>
      <c r="N999" s="1096"/>
      <c r="O999" s="1098"/>
      <c r="P999" s="1096"/>
      <c r="Q999" s="1107"/>
      <c r="R999" s="1099"/>
    </row>
    <row r="1000" spans="1:18" s="1108" customFormat="1" ht="66" customHeight="1">
      <c r="A1000" s="1158"/>
      <c r="B1000" s="926" t="s">
        <v>4440</v>
      </c>
      <c r="C1000" s="1185">
        <v>374.5</v>
      </c>
      <c r="D1000" s="1185" t="s">
        <v>303</v>
      </c>
      <c r="E1000" s="1097"/>
      <c r="F1000" s="1097">
        <f t="shared" si="82"/>
        <v>0</v>
      </c>
      <c r="G1000" s="1096"/>
      <c r="H1000" s="1097">
        <f t="shared" si="83"/>
        <v>0</v>
      </c>
      <c r="I1000" s="1096"/>
      <c r="J1000" s="1097">
        <f t="shared" si="85"/>
        <v>0</v>
      </c>
      <c r="K1000" s="1096"/>
      <c r="L1000" s="1097">
        <f t="shared" si="84"/>
        <v>0</v>
      </c>
      <c r="M1000" s="1096"/>
      <c r="N1000" s="1096"/>
      <c r="O1000" s="1098"/>
      <c r="P1000" s="1096"/>
      <c r="Q1000" s="1107"/>
      <c r="R1000" s="1099"/>
    </row>
    <row r="1001" spans="1:18" s="1108" customFormat="1" ht="66.75" customHeight="1">
      <c r="A1001" s="1158"/>
      <c r="B1001" s="926" t="s">
        <v>4441</v>
      </c>
      <c r="C1001" s="1185">
        <v>397.59</v>
      </c>
      <c r="D1001" s="1185" t="s">
        <v>303</v>
      </c>
      <c r="E1001" s="1097"/>
      <c r="F1001" s="1097">
        <f t="shared" si="82"/>
        <v>0</v>
      </c>
      <c r="G1001" s="1096"/>
      <c r="H1001" s="1097">
        <f t="shared" si="83"/>
        <v>0</v>
      </c>
      <c r="I1001" s="1096"/>
      <c r="J1001" s="1097">
        <f t="shared" si="85"/>
        <v>0</v>
      </c>
      <c r="K1001" s="1096"/>
      <c r="L1001" s="1097">
        <f t="shared" si="84"/>
        <v>0</v>
      </c>
      <c r="M1001" s="1096"/>
      <c r="N1001" s="1096"/>
      <c r="O1001" s="1098"/>
      <c r="P1001" s="1096"/>
      <c r="Q1001" s="1107"/>
      <c r="R1001" s="1099"/>
    </row>
    <row r="1002" spans="1:18" s="1108" customFormat="1" ht="102" customHeight="1">
      <c r="A1002" s="1158"/>
      <c r="B1002" s="1313" t="s">
        <v>4442</v>
      </c>
      <c r="C1002" s="1075">
        <v>442</v>
      </c>
      <c r="D1002" s="940" t="s">
        <v>303</v>
      </c>
      <c r="E1002" s="1097"/>
      <c r="F1002" s="1097">
        <f t="shared" si="82"/>
        <v>0</v>
      </c>
      <c r="G1002" s="1096"/>
      <c r="H1002" s="1097">
        <f t="shared" si="83"/>
        <v>0</v>
      </c>
      <c r="I1002" s="1096"/>
      <c r="J1002" s="1097">
        <f t="shared" si="85"/>
        <v>0</v>
      </c>
      <c r="K1002" s="1096"/>
      <c r="L1002" s="1097">
        <f t="shared" si="84"/>
        <v>0</v>
      </c>
      <c r="M1002" s="1096"/>
      <c r="N1002" s="1096"/>
      <c r="O1002" s="1098"/>
      <c r="P1002" s="1096"/>
      <c r="Q1002" s="1107"/>
      <c r="R1002" s="1099"/>
    </row>
    <row r="1003" spans="1:18" s="1108" customFormat="1" ht="102" customHeight="1">
      <c r="A1003" s="1158"/>
      <c r="B1003" s="1313" t="s">
        <v>4443</v>
      </c>
      <c r="C1003" s="1075">
        <v>722</v>
      </c>
      <c r="D1003" s="940" t="s">
        <v>303</v>
      </c>
      <c r="E1003" s="1097"/>
      <c r="F1003" s="1097">
        <f t="shared" si="82"/>
        <v>0</v>
      </c>
      <c r="G1003" s="1096"/>
      <c r="H1003" s="1097">
        <f t="shared" si="83"/>
        <v>0</v>
      </c>
      <c r="I1003" s="1096"/>
      <c r="J1003" s="1097">
        <f t="shared" si="85"/>
        <v>0</v>
      </c>
      <c r="K1003" s="1096"/>
      <c r="L1003" s="1097">
        <f t="shared" si="84"/>
        <v>0</v>
      </c>
      <c r="M1003" s="1096"/>
      <c r="N1003" s="1096"/>
      <c r="O1003" s="1098"/>
      <c r="P1003" s="1096"/>
      <c r="Q1003" s="1107"/>
      <c r="R1003" s="1099"/>
    </row>
    <row r="1004" spans="1:18" s="1108" customFormat="1" ht="95.25" customHeight="1">
      <c r="A1004" s="1158"/>
      <c r="B1004" s="1313" t="s">
        <v>4444</v>
      </c>
      <c r="C1004" s="1075">
        <v>325.89999999999998</v>
      </c>
      <c r="D1004" s="940" t="s">
        <v>2757</v>
      </c>
      <c r="E1004" s="1097"/>
      <c r="F1004" s="1097">
        <f t="shared" si="82"/>
        <v>0</v>
      </c>
      <c r="G1004" s="1096"/>
      <c r="H1004" s="1097">
        <f t="shared" si="83"/>
        <v>0</v>
      </c>
      <c r="I1004" s="1096"/>
      <c r="J1004" s="1097">
        <f t="shared" si="85"/>
        <v>0</v>
      </c>
      <c r="K1004" s="1096"/>
      <c r="L1004" s="1097">
        <f t="shared" si="84"/>
        <v>0</v>
      </c>
      <c r="M1004" s="1096"/>
      <c r="N1004" s="1096"/>
      <c r="O1004" s="1098"/>
      <c r="P1004" s="1096"/>
      <c r="Q1004" s="1107"/>
      <c r="R1004" s="1099"/>
    </row>
    <row r="1005" spans="1:18" s="1108" customFormat="1" ht="87" customHeight="1">
      <c r="A1005" s="1158"/>
      <c r="B1005" s="1313" t="s">
        <v>4445</v>
      </c>
      <c r="C1005" s="1075">
        <v>97</v>
      </c>
      <c r="D1005" s="940" t="s">
        <v>2094</v>
      </c>
      <c r="E1005" s="1097"/>
      <c r="F1005" s="1097">
        <f t="shared" si="82"/>
        <v>0</v>
      </c>
      <c r="G1005" s="1096"/>
      <c r="H1005" s="1097">
        <f t="shared" si="83"/>
        <v>0</v>
      </c>
      <c r="I1005" s="1096"/>
      <c r="J1005" s="1097">
        <f t="shared" si="85"/>
        <v>0</v>
      </c>
      <c r="K1005" s="1096"/>
      <c r="L1005" s="1097">
        <f t="shared" si="84"/>
        <v>0</v>
      </c>
      <c r="M1005" s="1096"/>
      <c r="N1005" s="1096"/>
      <c r="O1005" s="1098"/>
      <c r="P1005" s="1096"/>
      <c r="Q1005" s="1107"/>
      <c r="R1005" s="1099"/>
    </row>
    <row r="1006" spans="1:18" s="1108" customFormat="1" ht="88.5" customHeight="1">
      <c r="A1006" s="1158"/>
      <c r="B1006" s="1313" t="s">
        <v>4446</v>
      </c>
      <c r="C1006" s="1075">
        <v>1709.45</v>
      </c>
      <c r="D1006" s="940" t="s">
        <v>4447</v>
      </c>
      <c r="E1006" s="1097"/>
      <c r="F1006" s="1097">
        <f t="shared" si="82"/>
        <v>0</v>
      </c>
      <c r="G1006" s="1096"/>
      <c r="H1006" s="1097">
        <f t="shared" si="83"/>
        <v>0</v>
      </c>
      <c r="I1006" s="1096"/>
      <c r="J1006" s="1097">
        <f t="shared" si="85"/>
        <v>0</v>
      </c>
      <c r="K1006" s="1096"/>
      <c r="L1006" s="1097">
        <f t="shared" si="84"/>
        <v>0</v>
      </c>
      <c r="M1006" s="1096"/>
      <c r="N1006" s="1096"/>
      <c r="O1006" s="1098"/>
      <c r="P1006" s="1096"/>
      <c r="Q1006" s="1107"/>
      <c r="R1006" s="1099"/>
    </row>
    <row r="1007" spans="1:18" s="1108" customFormat="1" ht="49.5" customHeight="1">
      <c r="A1007" s="1158"/>
      <c r="B1007" s="1319" t="s">
        <v>4448</v>
      </c>
      <c r="C1007" s="1075"/>
      <c r="D1007" s="940"/>
      <c r="E1007" s="1097"/>
      <c r="F1007" s="1097">
        <f t="shared" si="82"/>
        <v>0</v>
      </c>
      <c r="G1007" s="1096"/>
      <c r="H1007" s="1097">
        <f t="shared" si="83"/>
        <v>0</v>
      </c>
      <c r="I1007" s="1096"/>
      <c r="J1007" s="1097">
        <f t="shared" si="85"/>
        <v>0</v>
      </c>
      <c r="K1007" s="1096"/>
      <c r="L1007" s="1097">
        <f t="shared" si="84"/>
        <v>0</v>
      </c>
      <c r="M1007" s="1096"/>
      <c r="N1007" s="1096"/>
      <c r="O1007" s="1098"/>
      <c r="P1007" s="1096"/>
      <c r="Q1007" s="1107"/>
      <c r="R1007" s="1099"/>
    </row>
    <row r="1008" spans="1:18" s="1108" customFormat="1" ht="49.5" customHeight="1">
      <c r="A1008" s="1158"/>
      <c r="B1008" s="1313" t="s">
        <v>4449</v>
      </c>
      <c r="C1008" s="1075">
        <v>170</v>
      </c>
      <c r="D1008" s="940" t="s">
        <v>154</v>
      </c>
      <c r="E1008" s="1097"/>
      <c r="F1008" s="1097">
        <f t="shared" si="82"/>
        <v>0</v>
      </c>
      <c r="G1008" s="1096"/>
      <c r="H1008" s="1097">
        <f t="shared" si="83"/>
        <v>0</v>
      </c>
      <c r="I1008" s="1096"/>
      <c r="J1008" s="1097">
        <f t="shared" si="85"/>
        <v>0</v>
      </c>
      <c r="K1008" s="1096"/>
      <c r="L1008" s="1097">
        <f t="shared" si="84"/>
        <v>0</v>
      </c>
      <c r="M1008" s="1096"/>
      <c r="N1008" s="1096"/>
      <c r="O1008" s="1098"/>
      <c r="P1008" s="1096"/>
      <c r="Q1008" s="1107"/>
      <c r="R1008" s="1099"/>
    </row>
    <row r="1009" spans="1:18" s="1108" customFormat="1" ht="49.5" customHeight="1">
      <c r="A1009" s="1158"/>
      <c r="B1009" s="1313" t="s">
        <v>4450</v>
      </c>
      <c r="C1009" s="1075">
        <v>61.2</v>
      </c>
      <c r="D1009" s="940" t="s">
        <v>303</v>
      </c>
      <c r="E1009" s="1097"/>
      <c r="F1009" s="1097">
        <f t="shared" si="82"/>
        <v>0</v>
      </c>
      <c r="G1009" s="1096"/>
      <c r="H1009" s="1097">
        <f t="shared" si="83"/>
        <v>0</v>
      </c>
      <c r="I1009" s="1096"/>
      <c r="J1009" s="1097">
        <f t="shared" si="85"/>
        <v>0</v>
      </c>
      <c r="K1009" s="1096"/>
      <c r="L1009" s="1097">
        <f t="shared" si="84"/>
        <v>0</v>
      </c>
      <c r="M1009" s="1096"/>
      <c r="N1009" s="1096"/>
      <c r="O1009" s="1098"/>
      <c r="P1009" s="1096"/>
      <c r="Q1009" s="1107"/>
      <c r="R1009" s="1099"/>
    </row>
    <row r="1010" spans="1:18" s="1108" customFormat="1" ht="58.5" customHeight="1">
      <c r="A1010" s="1158"/>
      <c r="B1010" s="1313" t="s">
        <v>4451</v>
      </c>
      <c r="C1010" s="1075">
        <v>117</v>
      </c>
      <c r="D1010" s="940" t="s">
        <v>2757</v>
      </c>
      <c r="E1010" s="1097"/>
      <c r="F1010" s="1097">
        <f t="shared" si="82"/>
        <v>0</v>
      </c>
      <c r="G1010" s="1096"/>
      <c r="H1010" s="1097">
        <f t="shared" si="83"/>
        <v>0</v>
      </c>
      <c r="I1010" s="1096"/>
      <c r="J1010" s="1097">
        <f t="shared" si="85"/>
        <v>0</v>
      </c>
      <c r="K1010" s="1096"/>
      <c r="L1010" s="1097">
        <f t="shared" si="84"/>
        <v>0</v>
      </c>
      <c r="M1010" s="1096"/>
      <c r="N1010" s="1096"/>
      <c r="O1010" s="1098"/>
      <c r="P1010" s="1096"/>
      <c r="Q1010" s="1107"/>
      <c r="R1010" s="1099"/>
    </row>
    <row r="1011" spans="1:18" s="1108" customFormat="1" ht="49.5" customHeight="1">
      <c r="A1011" s="1158"/>
      <c r="B1011" s="1313" t="s">
        <v>4452</v>
      </c>
      <c r="C1011" s="1075">
        <v>746</v>
      </c>
      <c r="D1011" s="940" t="s">
        <v>154</v>
      </c>
      <c r="E1011" s="1097"/>
      <c r="F1011" s="1097">
        <f t="shared" si="82"/>
        <v>0</v>
      </c>
      <c r="G1011" s="1096"/>
      <c r="H1011" s="1097">
        <f t="shared" si="83"/>
        <v>0</v>
      </c>
      <c r="I1011" s="1096"/>
      <c r="J1011" s="1097">
        <f t="shared" si="85"/>
        <v>0</v>
      </c>
      <c r="K1011" s="1096"/>
      <c r="L1011" s="1097">
        <f t="shared" si="84"/>
        <v>0</v>
      </c>
      <c r="M1011" s="1096"/>
      <c r="N1011" s="1096"/>
      <c r="O1011" s="1098"/>
      <c r="P1011" s="1096"/>
      <c r="Q1011" s="1107"/>
      <c r="R1011" s="1099"/>
    </row>
    <row r="1012" spans="1:18" s="1108" customFormat="1" ht="49.5" customHeight="1">
      <c r="A1012" s="1158"/>
      <c r="B1012" s="1313" t="s">
        <v>4453</v>
      </c>
      <c r="C1012" s="1075">
        <v>108</v>
      </c>
      <c r="D1012" s="940"/>
      <c r="E1012" s="1097"/>
      <c r="F1012" s="1097">
        <f t="shared" si="82"/>
        <v>0</v>
      </c>
      <c r="G1012" s="1096"/>
      <c r="H1012" s="1097">
        <f t="shared" si="83"/>
        <v>0</v>
      </c>
      <c r="I1012" s="1096"/>
      <c r="J1012" s="1097">
        <f t="shared" si="85"/>
        <v>0</v>
      </c>
      <c r="K1012" s="1096"/>
      <c r="L1012" s="1097">
        <f t="shared" si="84"/>
        <v>0</v>
      </c>
      <c r="M1012" s="1096"/>
      <c r="N1012" s="1096"/>
      <c r="O1012" s="1098"/>
      <c r="P1012" s="1096"/>
      <c r="Q1012" s="1107"/>
      <c r="R1012" s="1099"/>
    </row>
    <row r="1013" spans="1:18" s="1108" customFormat="1" ht="60.75" customHeight="1">
      <c r="A1013" s="1158"/>
      <c r="B1013" s="1313" t="s">
        <v>5304</v>
      </c>
      <c r="C1013" s="1081">
        <v>310</v>
      </c>
      <c r="D1013" s="940" t="s">
        <v>2757</v>
      </c>
      <c r="E1013" s="1096">
        <f>'Ins Abs'!Q84</f>
        <v>70</v>
      </c>
      <c r="F1013" s="1097">
        <f>C1013*E1013</f>
        <v>21700</v>
      </c>
      <c r="G1013" s="1096">
        <f>'SI Abs '!Q87</f>
        <v>50</v>
      </c>
      <c r="H1013" s="1097">
        <f>'SI Abs '!R87</f>
        <v>17000</v>
      </c>
      <c r="I1013" s="1096" t="e">
        <f>'PC Abs'!#REF!</f>
        <v>#REF!</v>
      </c>
      <c r="J1013" s="1097" t="e">
        <f>'PC Abs'!#REF!</f>
        <v>#REF!</v>
      </c>
      <c r="K1013" s="1096"/>
      <c r="L1013" s="1097">
        <f t="shared" si="84"/>
        <v>0</v>
      </c>
      <c r="M1013" s="1096"/>
      <c r="N1013" s="1096"/>
      <c r="O1013" s="1098" t="e">
        <f>E1013+G1013+I1013+K1013</f>
        <v>#REF!</v>
      </c>
      <c r="P1013" s="1096" t="e">
        <f>O1013*C1013</f>
        <v>#REF!</v>
      </c>
      <c r="Q1013" s="1107"/>
      <c r="R1013" s="1099"/>
    </row>
    <row r="1014" spans="1:18" s="1108" customFormat="1" ht="66" customHeight="1">
      <c r="A1014" s="1158"/>
      <c r="B1014" s="1313" t="s">
        <v>4454</v>
      </c>
      <c r="C1014" s="1081">
        <v>298.87</v>
      </c>
      <c r="D1014" s="940" t="s">
        <v>2757</v>
      </c>
      <c r="E1014" s="1097"/>
      <c r="F1014" s="1097">
        <f t="shared" si="82"/>
        <v>0</v>
      </c>
      <c r="G1014" s="1096"/>
      <c r="H1014" s="1097">
        <f t="shared" si="83"/>
        <v>0</v>
      </c>
      <c r="I1014" s="1096"/>
      <c r="J1014" s="1097">
        <f t="shared" si="85"/>
        <v>0</v>
      </c>
      <c r="K1014" s="1096"/>
      <c r="L1014" s="1097">
        <f t="shared" si="84"/>
        <v>0</v>
      </c>
      <c r="M1014" s="1096"/>
      <c r="N1014" s="1096"/>
      <c r="O1014" s="1098"/>
      <c r="P1014" s="1096"/>
      <c r="Q1014" s="1107"/>
      <c r="R1014" s="1099"/>
    </row>
    <row r="1015" spans="1:18" s="1108" customFormat="1" ht="62.25" customHeight="1">
      <c r="A1015" s="1158"/>
      <c r="B1015" s="1313" t="s">
        <v>4455</v>
      </c>
      <c r="C1015" s="1075">
        <v>22864</v>
      </c>
      <c r="D1015" s="940" t="s">
        <v>154</v>
      </c>
      <c r="E1015" s="1097"/>
      <c r="F1015" s="1097">
        <f t="shared" si="82"/>
        <v>0</v>
      </c>
      <c r="G1015" s="1096"/>
      <c r="H1015" s="1097">
        <f t="shared" si="83"/>
        <v>0</v>
      </c>
      <c r="I1015" s="1096"/>
      <c r="J1015" s="1097">
        <f t="shared" si="85"/>
        <v>0</v>
      </c>
      <c r="K1015" s="1096"/>
      <c r="L1015" s="1097">
        <f t="shared" si="84"/>
        <v>0</v>
      </c>
      <c r="M1015" s="1096"/>
      <c r="N1015" s="1096"/>
      <c r="O1015" s="1098"/>
      <c r="P1015" s="1096"/>
      <c r="Q1015" s="1107"/>
      <c r="R1015" s="1099"/>
    </row>
    <row r="1016" spans="1:18" s="1108" customFormat="1" ht="62.25" customHeight="1">
      <c r="A1016" s="1158"/>
      <c r="B1016" s="1313" t="s">
        <v>4456</v>
      </c>
      <c r="C1016" s="1075">
        <v>9758.34</v>
      </c>
      <c r="D1016" s="940" t="s">
        <v>154</v>
      </c>
      <c r="E1016" s="1097"/>
      <c r="F1016" s="1097">
        <f t="shared" si="82"/>
        <v>0</v>
      </c>
      <c r="G1016" s="1096"/>
      <c r="H1016" s="1097">
        <f t="shared" si="83"/>
        <v>0</v>
      </c>
      <c r="I1016" s="1096"/>
      <c r="J1016" s="1097">
        <f t="shared" si="85"/>
        <v>0</v>
      </c>
      <c r="K1016" s="1096"/>
      <c r="L1016" s="1097">
        <f t="shared" si="84"/>
        <v>0</v>
      </c>
      <c r="M1016" s="1096"/>
      <c r="N1016" s="1096"/>
      <c r="O1016" s="1098"/>
      <c r="P1016" s="1096"/>
      <c r="Q1016" s="1107"/>
      <c r="R1016" s="1099"/>
    </row>
    <row r="1017" spans="1:18" s="1108" customFormat="1" ht="93.75" customHeight="1">
      <c r="A1017" s="1158"/>
      <c r="B1017" s="1313" t="s">
        <v>4457</v>
      </c>
      <c r="C1017" s="1075">
        <v>28679</v>
      </c>
      <c r="D1017" s="940" t="s">
        <v>154</v>
      </c>
      <c r="E1017" s="1097"/>
      <c r="F1017" s="1097">
        <f t="shared" si="82"/>
        <v>0</v>
      </c>
      <c r="G1017" s="1096"/>
      <c r="H1017" s="1097">
        <f t="shared" si="83"/>
        <v>0</v>
      </c>
      <c r="I1017" s="1096"/>
      <c r="J1017" s="1097">
        <f t="shared" si="85"/>
        <v>0</v>
      </c>
      <c r="K1017" s="1096"/>
      <c r="L1017" s="1097">
        <f t="shared" si="84"/>
        <v>0</v>
      </c>
      <c r="M1017" s="1096"/>
      <c r="N1017" s="1096"/>
      <c r="O1017" s="1098"/>
      <c r="P1017" s="1096"/>
      <c r="Q1017" s="1107"/>
      <c r="R1017" s="1099"/>
    </row>
    <row r="1018" spans="1:18" s="1108" customFormat="1" ht="81" customHeight="1">
      <c r="A1018" s="1158"/>
      <c r="B1018" s="1313" t="s">
        <v>4458</v>
      </c>
      <c r="C1018" s="1075">
        <v>5775</v>
      </c>
      <c r="D1018" s="940" t="s">
        <v>340</v>
      </c>
      <c r="E1018" s="1097"/>
      <c r="F1018" s="1097">
        <f t="shared" si="82"/>
        <v>0</v>
      </c>
      <c r="G1018" s="1096"/>
      <c r="H1018" s="1097">
        <f t="shared" si="83"/>
        <v>0</v>
      </c>
      <c r="I1018" s="1096"/>
      <c r="J1018" s="1097">
        <f t="shared" si="85"/>
        <v>0</v>
      </c>
      <c r="K1018" s="1096"/>
      <c r="L1018" s="1097">
        <f t="shared" si="84"/>
        <v>0</v>
      </c>
      <c r="M1018" s="1096"/>
      <c r="N1018" s="1096"/>
      <c r="O1018" s="1098"/>
      <c r="P1018" s="1096"/>
      <c r="Q1018" s="1107"/>
      <c r="R1018" s="1099"/>
    </row>
    <row r="1019" spans="1:18" s="1108" customFormat="1" ht="49.5" customHeight="1">
      <c r="A1019" s="1158"/>
      <c r="B1019" s="1313" t="s">
        <v>4459</v>
      </c>
      <c r="C1019" s="1075">
        <v>97</v>
      </c>
      <c r="D1019" s="940" t="s">
        <v>303</v>
      </c>
      <c r="E1019" s="1097"/>
      <c r="F1019" s="1097"/>
      <c r="G1019" s="1096"/>
      <c r="H1019" s="1097">
        <f t="shared" si="83"/>
        <v>0</v>
      </c>
      <c r="I1019" s="1096"/>
      <c r="J1019" s="1097">
        <f t="shared" si="85"/>
        <v>0</v>
      </c>
      <c r="K1019" s="1096"/>
      <c r="L1019" s="1097">
        <f t="shared" si="84"/>
        <v>0</v>
      </c>
      <c r="M1019" s="1096"/>
      <c r="N1019" s="1096"/>
      <c r="O1019" s="1098"/>
      <c r="P1019" s="1096"/>
      <c r="Q1019" s="1107"/>
      <c r="R1019" s="1099"/>
    </row>
    <row r="1020" spans="1:18" s="1108" customFormat="1" ht="49.5" customHeight="1">
      <c r="A1020" s="1158"/>
      <c r="B1020" s="1313" t="s">
        <v>4460</v>
      </c>
      <c r="C1020" s="1075">
        <v>150</v>
      </c>
      <c r="D1020" s="940" t="s">
        <v>303</v>
      </c>
      <c r="E1020" s="1097"/>
      <c r="F1020" s="1097"/>
      <c r="G1020" s="1096"/>
      <c r="H1020" s="1097">
        <f t="shared" si="83"/>
        <v>0</v>
      </c>
      <c r="I1020" s="1096"/>
      <c r="J1020" s="1097">
        <f t="shared" si="85"/>
        <v>0</v>
      </c>
      <c r="K1020" s="1096"/>
      <c r="L1020" s="1097">
        <f t="shared" si="84"/>
        <v>0</v>
      </c>
      <c r="M1020" s="1096"/>
      <c r="N1020" s="1096"/>
      <c r="O1020" s="1098"/>
      <c r="P1020" s="1096"/>
      <c r="Q1020" s="1107"/>
      <c r="R1020" s="1099"/>
    </row>
    <row r="1021" spans="1:18" s="1108" customFormat="1" ht="49.5" customHeight="1">
      <c r="A1021" s="1158"/>
      <c r="B1021" s="1319" t="s">
        <v>4461</v>
      </c>
      <c r="C1021" s="1075"/>
      <c r="D1021" s="940"/>
      <c r="E1021" s="1097"/>
      <c r="F1021" s="1097"/>
      <c r="G1021" s="1096"/>
      <c r="H1021" s="1097">
        <f t="shared" si="83"/>
        <v>0</v>
      </c>
      <c r="I1021" s="1096"/>
      <c r="J1021" s="1097">
        <f t="shared" si="85"/>
        <v>0</v>
      </c>
      <c r="K1021" s="1096"/>
      <c r="L1021" s="1097">
        <f t="shared" si="84"/>
        <v>0</v>
      </c>
      <c r="M1021" s="1096"/>
      <c r="N1021" s="1096"/>
      <c r="O1021" s="1098"/>
      <c r="P1021" s="1096"/>
      <c r="Q1021" s="1107"/>
      <c r="R1021" s="1099"/>
    </row>
    <row r="1022" spans="1:18" s="1108" customFormat="1" ht="49.5" customHeight="1">
      <c r="A1022" s="1158"/>
      <c r="B1022" s="1313" t="s">
        <v>4462</v>
      </c>
      <c r="C1022" s="1075">
        <v>1927.8</v>
      </c>
      <c r="D1022" s="940" t="s">
        <v>154</v>
      </c>
      <c r="E1022" s="1097"/>
      <c r="F1022" s="1097"/>
      <c r="G1022" s="1096"/>
      <c r="H1022" s="1097">
        <f t="shared" si="83"/>
        <v>0</v>
      </c>
      <c r="I1022" s="1096"/>
      <c r="J1022" s="1097">
        <f t="shared" si="85"/>
        <v>0</v>
      </c>
      <c r="K1022" s="1096"/>
      <c r="L1022" s="1097">
        <f t="shared" si="84"/>
        <v>0</v>
      </c>
      <c r="M1022" s="1096"/>
      <c r="N1022" s="1096"/>
      <c r="O1022" s="1098"/>
      <c r="P1022" s="1096"/>
      <c r="Q1022" s="1107"/>
      <c r="R1022" s="1099"/>
    </row>
    <row r="1023" spans="1:18" s="1108" customFormat="1" ht="49.5" customHeight="1">
      <c r="A1023" s="1158"/>
      <c r="B1023" s="1313" t="s">
        <v>4463</v>
      </c>
      <c r="C1023" s="1075">
        <v>1229</v>
      </c>
      <c r="D1023" s="940" t="s">
        <v>154</v>
      </c>
      <c r="E1023" s="1097"/>
      <c r="F1023" s="1097"/>
      <c r="G1023" s="1096"/>
      <c r="H1023" s="1097">
        <f t="shared" si="83"/>
        <v>0</v>
      </c>
      <c r="I1023" s="1096"/>
      <c r="J1023" s="1097">
        <f t="shared" si="85"/>
        <v>0</v>
      </c>
      <c r="K1023" s="1096"/>
      <c r="L1023" s="1097">
        <f t="shared" si="84"/>
        <v>0</v>
      </c>
      <c r="M1023" s="1096"/>
      <c r="N1023" s="1096"/>
      <c r="O1023" s="1098"/>
      <c r="P1023" s="1096"/>
      <c r="Q1023" s="1107"/>
      <c r="R1023" s="1099"/>
    </row>
    <row r="1024" spans="1:18" s="1108" customFormat="1" ht="49.5" customHeight="1">
      <c r="A1024" s="1158"/>
      <c r="B1024" s="1313" t="s">
        <v>4464</v>
      </c>
      <c r="C1024" s="1075">
        <v>266.3</v>
      </c>
      <c r="D1024" s="940" t="s">
        <v>154</v>
      </c>
      <c r="E1024" s="1097"/>
      <c r="F1024" s="1097"/>
      <c r="G1024" s="1096"/>
      <c r="H1024" s="1097">
        <f t="shared" si="83"/>
        <v>0</v>
      </c>
      <c r="I1024" s="1096"/>
      <c r="J1024" s="1097">
        <f t="shared" si="85"/>
        <v>0</v>
      </c>
      <c r="K1024" s="1096"/>
      <c r="L1024" s="1097">
        <f t="shared" si="84"/>
        <v>0</v>
      </c>
      <c r="M1024" s="1096"/>
      <c r="N1024" s="1096"/>
      <c r="O1024" s="1098"/>
      <c r="P1024" s="1096"/>
      <c r="Q1024" s="1107"/>
      <c r="R1024" s="1099"/>
    </row>
    <row r="1025" spans="1:26" s="1108" customFormat="1" ht="49.5" customHeight="1">
      <c r="A1025" s="1158"/>
      <c r="B1025" s="1313" t="s">
        <v>4465</v>
      </c>
      <c r="C1025" s="1075">
        <v>209</v>
      </c>
      <c r="D1025" s="940" t="s">
        <v>154</v>
      </c>
      <c r="E1025" s="1097"/>
      <c r="F1025" s="1097"/>
      <c r="G1025" s="1096"/>
      <c r="H1025" s="1097">
        <f t="shared" si="83"/>
        <v>0</v>
      </c>
      <c r="I1025" s="1096"/>
      <c r="J1025" s="1097">
        <f t="shared" si="85"/>
        <v>0</v>
      </c>
      <c r="K1025" s="1096"/>
      <c r="L1025" s="1097">
        <f t="shared" si="84"/>
        <v>0</v>
      </c>
      <c r="M1025" s="1096"/>
      <c r="N1025" s="1096"/>
      <c r="O1025" s="1098"/>
      <c r="P1025" s="1096"/>
      <c r="Q1025" s="1107"/>
      <c r="R1025" s="1099"/>
    </row>
    <row r="1026" spans="1:26" s="1108" customFormat="1" ht="49.5" customHeight="1">
      <c r="A1026" s="1158"/>
      <c r="B1026" s="1313" t="s">
        <v>4466</v>
      </c>
      <c r="C1026" s="1075">
        <v>116.3</v>
      </c>
      <c r="D1026" s="940" t="s">
        <v>154</v>
      </c>
      <c r="E1026" s="1097"/>
      <c r="F1026" s="1097"/>
      <c r="G1026" s="1096"/>
      <c r="H1026" s="1097">
        <f t="shared" si="83"/>
        <v>0</v>
      </c>
      <c r="I1026" s="1096"/>
      <c r="J1026" s="1097">
        <f t="shared" si="85"/>
        <v>0</v>
      </c>
      <c r="K1026" s="1096"/>
      <c r="L1026" s="1097">
        <f t="shared" si="84"/>
        <v>0</v>
      </c>
      <c r="M1026" s="1096"/>
      <c r="N1026" s="1096"/>
      <c r="O1026" s="1098"/>
      <c r="P1026" s="1096"/>
      <c r="Q1026" s="1107"/>
      <c r="R1026" s="1099"/>
    </row>
    <row r="1027" spans="1:26" s="1108" customFormat="1" ht="49.5" customHeight="1">
      <c r="A1027" s="1158"/>
      <c r="B1027" s="1313" t="s">
        <v>4467</v>
      </c>
      <c r="C1027" s="1075">
        <v>69.8</v>
      </c>
      <c r="D1027" s="940" t="s">
        <v>340</v>
      </c>
      <c r="E1027" s="1097"/>
      <c r="F1027" s="1097"/>
      <c r="G1027" s="1096"/>
      <c r="H1027" s="1097">
        <f t="shared" si="83"/>
        <v>0</v>
      </c>
      <c r="I1027" s="1096"/>
      <c r="J1027" s="1097">
        <f t="shared" si="85"/>
        <v>0</v>
      </c>
      <c r="K1027" s="1096"/>
      <c r="L1027" s="1097">
        <f t="shared" si="84"/>
        <v>0</v>
      </c>
      <c r="M1027" s="1096"/>
      <c r="N1027" s="1096"/>
      <c r="O1027" s="1098"/>
      <c r="P1027" s="1096"/>
      <c r="Q1027" s="1107"/>
      <c r="R1027" s="1099"/>
    </row>
    <row r="1028" spans="1:26" s="1108" customFormat="1" ht="49.5" customHeight="1">
      <c r="A1028" s="1158"/>
      <c r="B1028" s="1313"/>
      <c r="C1028" s="1082"/>
      <c r="D1028" s="940"/>
      <c r="E1028" s="1097"/>
      <c r="F1028" s="1097"/>
      <c r="G1028" s="1096"/>
      <c r="H1028" s="1097">
        <f t="shared" si="83"/>
        <v>0</v>
      </c>
      <c r="I1028" s="1096"/>
      <c r="J1028" s="1097">
        <f t="shared" si="85"/>
        <v>0</v>
      </c>
      <c r="K1028" s="1096"/>
      <c r="L1028" s="1097">
        <f t="shared" si="84"/>
        <v>0</v>
      </c>
      <c r="M1028" s="1096"/>
      <c r="N1028" s="1096"/>
      <c r="O1028" s="1098"/>
      <c r="P1028" s="1096"/>
      <c r="Q1028" s="1107"/>
      <c r="R1028" s="1099"/>
    </row>
    <row r="1029" spans="1:26" s="1108" customFormat="1" ht="82.9" customHeight="1">
      <c r="A1029" s="1158"/>
      <c r="B1029" s="1331" t="s">
        <v>5308</v>
      </c>
      <c r="C1029" s="1075">
        <v>4312</v>
      </c>
      <c r="D1029" s="940" t="s">
        <v>340</v>
      </c>
      <c r="E1029" s="1096">
        <f>'Ins Abs'!Q85</f>
        <v>5</v>
      </c>
      <c r="F1029" s="1097">
        <f>C1029*E1029</f>
        <v>21560</v>
      </c>
      <c r="G1029" s="1096">
        <f>'SI Abs '!Q88</f>
        <v>8</v>
      </c>
      <c r="H1029" s="1097">
        <f>'SI Abs '!R88</f>
        <v>37168</v>
      </c>
      <c r="I1029" s="1096">
        <f>'PC Abs'!Q80</f>
        <v>24</v>
      </c>
      <c r="J1029" s="1097">
        <f>'PC Abs'!R80</f>
        <v>111504</v>
      </c>
      <c r="K1029" s="1096"/>
      <c r="L1029" s="1097"/>
      <c r="M1029" s="1096"/>
      <c r="N1029" s="1096"/>
      <c r="O1029" s="1098">
        <f>E1029+G1029+I1029+K1029</f>
        <v>37</v>
      </c>
      <c r="P1029" s="1096">
        <f>O1029*C1029</f>
        <v>159544</v>
      </c>
      <c r="Q1029" s="1107"/>
      <c r="R1029" s="1099"/>
    </row>
    <row r="1030" spans="1:26" s="1108" customFormat="1" ht="49.5" customHeight="1">
      <c r="A1030" s="1158"/>
      <c r="B1030" s="1313"/>
      <c r="C1030" s="1075"/>
      <c r="D1030" s="940"/>
      <c r="E1030" s="1097"/>
      <c r="F1030" s="1097"/>
      <c r="G1030" s="1096"/>
      <c r="H1030" s="1097">
        <f t="shared" si="83"/>
        <v>0</v>
      </c>
      <c r="I1030" s="1096"/>
      <c r="J1030" s="1096"/>
      <c r="K1030" s="1096"/>
      <c r="L1030" s="1096"/>
      <c r="M1030" s="1096"/>
      <c r="N1030" s="1096"/>
      <c r="O1030" s="1098"/>
      <c r="P1030" s="1096" t="e">
        <f>SUBTOTAL(9,P7:P1029)</f>
        <v>#REF!</v>
      </c>
      <c r="Q1030" s="1107"/>
      <c r="R1030" s="1099"/>
    </row>
    <row r="1031" spans="1:26" s="1108" customFormat="1" ht="49.5" customHeight="1">
      <c r="A1031" s="1158"/>
      <c r="B1031" s="1313" t="e">
        <f>#REF!</f>
        <v>#REF!</v>
      </c>
      <c r="C1031" s="1075" t="e">
        <f>#REF!</f>
        <v>#REF!</v>
      </c>
      <c r="D1031" s="940" t="s">
        <v>313</v>
      </c>
      <c r="E1031" s="1097"/>
      <c r="F1031" s="1097"/>
      <c r="G1031" s="1096"/>
      <c r="H1031" s="1097"/>
      <c r="I1031" s="1096"/>
      <c r="J1031" s="1096"/>
      <c r="K1031" s="1096" t="e">
        <f>#REF!</f>
        <v>#REF!</v>
      </c>
      <c r="L1031" s="1096" t="e">
        <f>K1031*C1031</f>
        <v>#REF!</v>
      </c>
      <c r="M1031" s="1096"/>
      <c r="N1031" s="1096"/>
      <c r="O1031" s="1098"/>
      <c r="P1031" s="1096"/>
      <c r="Q1031" s="1107"/>
      <c r="R1031" s="1099"/>
    </row>
    <row r="1032" spans="1:26" s="1108" customFormat="1" ht="49.5" customHeight="1">
      <c r="A1032" s="1158"/>
      <c r="B1032" s="1313" t="e">
        <f>#REF!</f>
        <v>#REF!</v>
      </c>
      <c r="C1032" s="1075" t="e">
        <f>#REF!</f>
        <v>#REF!</v>
      </c>
      <c r="D1032" s="940" t="s">
        <v>306</v>
      </c>
      <c r="E1032" s="1097"/>
      <c r="F1032" s="1097"/>
      <c r="G1032" s="1096"/>
      <c r="H1032" s="1097"/>
      <c r="I1032" s="1096"/>
      <c r="J1032" s="1096"/>
      <c r="K1032" s="1096" t="e">
        <f>#REF!</f>
        <v>#REF!</v>
      </c>
      <c r="L1032" s="1096" t="e">
        <f>K1032*C1032</f>
        <v>#REF!</v>
      </c>
      <c r="M1032" s="1096"/>
      <c r="N1032" s="1096"/>
      <c r="O1032" s="1098"/>
      <c r="P1032" s="1096"/>
      <c r="Q1032" s="1107"/>
      <c r="R1032" s="1099"/>
    </row>
    <row r="1033" spans="1:26" ht="48" customHeight="1">
      <c r="A1033" s="1138"/>
      <c r="B1033" s="1262" t="s">
        <v>227</v>
      </c>
      <c r="C1033" s="1106" t="e">
        <f>ROUND(#REF!,2)</f>
        <v>#REF!</v>
      </c>
      <c r="D1033" s="943"/>
      <c r="E1033" s="1122"/>
      <c r="F1033" s="1151" t="e">
        <f>SUM(F7:F1030)+0.01</f>
        <v>#REF!</v>
      </c>
      <c r="G1033" s="1249"/>
      <c r="H1033" s="1151" t="e">
        <f>SUM(H7:H1030)</f>
        <v>#REF!</v>
      </c>
      <c r="I1033" s="1096"/>
      <c r="J1033" s="1151" t="e">
        <f>SUM(J7:J1030)</f>
        <v>#REF!</v>
      </c>
      <c r="K1033" s="1151"/>
      <c r="L1033" s="1151" t="e">
        <f>SUM(L7:L1031)</f>
        <v>#REF!</v>
      </c>
      <c r="M1033" s="1249"/>
      <c r="N1033" s="1151">
        <f>SUM(N7:N1030)+0.01</f>
        <v>0.01</v>
      </c>
      <c r="O1033" s="1095" t="s">
        <v>249</v>
      </c>
      <c r="P1033" s="1151"/>
      <c r="Q1033" s="1250"/>
      <c r="R1033" s="1099"/>
      <c r="T1033" s="1251"/>
      <c r="U1033" s="1092"/>
      <c r="V1033" s="1092"/>
      <c r="W1033" s="1252"/>
      <c r="X1033" s="940" t="e">
        <f>W1033*#REF!</f>
        <v>#REF!</v>
      </c>
      <c r="Y1033" s="1094">
        <f>W1033+U1033</f>
        <v>0</v>
      </c>
      <c r="Z1033" s="1092" t="e">
        <f>Y1033*#REF!</f>
        <v>#REF!</v>
      </c>
    </row>
    <row r="1034" spans="1:26" s="1108" customFormat="1">
      <c r="A1034" s="1085"/>
      <c r="B1034" s="1321"/>
      <c r="C1034" s="1085"/>
      <c r="E1034" s="1240"/>
      <c r="F1034" s="1097">
        <f t="shared" ref="F1034:F1097" si="86">E1034*C1034</f>
        <v>0</v>
      </c>
      <c r="G1034" s="1160"/>
      <c r="H1034" s="1096">
        <f t="shared" ref="H1034:H1097" si="87">G1034*C1034</f>
        <v>0</v>
      </c>
      <c r="I1034" s="1160"/>
      <c r="J1034" s="1096">
        <f t="shared" ref="J1034:J1097" si="88">I1034*C1034</f>
        <v>0</v>
      </c>
      <c r="K1034" s="1161"/>
      <c r="L1034" s="1096">
        <f t="shared" ref="L1034:L1097" si="89">K1034*C1034</f>
        <v>0</v>
      </c>
      <c r="M1034" s="1160"/>
      <c r="N1034" s="1096">
        <f t="shared" ref="N1034:N1097" si="90">M1034*C1034</f>
        <v>0</v>
      </c>
      <c r="O1034" s="1098"/>
      <c r="P1034" s="1093">
        <f>SUBTOTAL(9,P1030)</f>
        <v>0</v>
      </c>
      <c r="Q1034" s="1107"/>
      <c r="R1034" s="1104"/>
    </row>
    <row r="1035" spans="1:26" s="1108" customFormat="1">
      <c r="A1035" s="1085"/>
      <c r="B1035" s="933" t="s">
        <v>4288</v>
      </c>
      <c r="C1035" s="1138"/>
      <c r="D1035" s="1165" t="s">
        <v>340</v>
      </c>
      <c r="E1035" s="1253"/>
      <c r="F1035" s="1097">
        <f t="shared" si="86"/>
        <v>0</v>
      </c>
      <c r="G1035" s="1103"/>
      <c r="H1035" s="1096">
        <f t="shared" si="87"/>
        <v>0</v>
      </c>
      <c r="I1035" s="1103"/>
      <c r="J1035" s="1096">
        <f t="shared" si="88"/>
        <v>0</v>
      </c>
      <c r="K1035" s="1096"/>
      <c r="L1035" s="1096">
        <f t="shared" si="89"/>
        <v>0</v>
      </c>
      <c r="M1035" s="1103"/>
      <c r="N1035" s="1096">
        <f t="shared" si="90"/>
        <v>0</v>
      </c>
      <c r="O1035" s="1098" t="e">
        <f>#REF!+E1035+G1035</f>
        <v>#REF!</v>
      </c>
      <c r="P1035" s="1096" t="e">
        <f>O1035*C1035</f>
        <v>#REF!</v>
      </c>
      <c r="Q1035" s="1107"/>
      <c r="R1035" s="1104"/>
    </row>
    <row r="1036" spans="1:26" s="1108" customFormat="1">
      <c r="A1036" s="1085"/>
      <c r="B1036" s="933" t="s">
        <v>4289</v>
      </c>
      <c r="C1036" s="1138"/>
      <c r="D1036" s="1165" t="s">
        <v>340</v>
      </c>
      <c r="E1036" s="1253"/>
      <c r="F1036" s="1097">
        <f t="shared" si="86"/>
        <v>0</v>
      </c>
      <c r="G1036" s="1103"/>
      <c r="H1036" s="1096">
        <f t="shared" si="87"/>
        <v>0</v>
      </c>
      <c r="I1036" s="1103"/>
      <c r="J1036" s="1096">
        <f t="shared" si="88"/>
        <v>0</v>
      </c>
      <c r="K1036" s="1096"/>
      <c r="L1036" s="1096">
        <f t="shared" si="89"/>
        <v>0</v>
      </c>
      <c r="M1036" s="1103"/>
      <c r="N1036" s="1096">
        <f t="shared" si="90"/>
        <v>0</v>
      </c>
      <c r="O1036" s="1098" t="e">
        <f>#REF!+E1036+G1036</f>
        <v>#REF!</v>
      </c>
      <c r="P1036" s="1096" t="e">
        <f>O1036*C1036</f>
        <v>#REF!</v>
      </c>
      <c r="Q1036" s="1107"/>
      <c r="R1036" s="1104"/>
    </row>
    <row r="1037" spans="1:26" s="1108" customFormat="1">
      <c r="A1037" s="1085"/>
      <c r="B1037" s="933" t="s">
        <v>4295</v>
      </c>
      <c r="C1037" s="1138" t="e">
        <f>#REF!</f>
        <v>#REF!</v>
      </c>
      <c r="D1037" s="1108" t="s">
        <v>306</v>
      </c>
      <c r="E1037" s="1240"/>
      <c r="F1037" s="1097" t="e">
        <f t="shared" si="86"/>
        <v>#REF!</v>
      </c>
      <c r="G1037" s="1103"/>
      <c r="H1037" s="1096" t="e">
        <f t="shared" si="87"/>
        <v>#REF!</v>
      </c>
      <c r="I1037" s="1103"/>
      <c r="J1037" s="1096" t="e">
        <f t="shared" si="88"/>
        <v>#REF!</v>
      </c>
      <c r="K1037" s="1096"/>
      <c r="L1037" s="1096" t="e">
        <f t="shared" si="89"/>
        <v>#REF!</v>
      </c>
      <c r="M1037" s="1103"/>
      <c r="N1037" s="1096" t="e">
        <f t="shared" si="90"/>
        <v>#REF!</v>
      </c>
      <c r="O1037" s="1098" t="e">
        <f>#REF!+E1037+G1037</f>
        <v>#REF!</v>
      </c>
      <c r="P1037" s="1096" t="e">
        <f>F1033+H1033+#REF!</f>
        <v>#REF!</v>
      </c>
      <c r="Q1037" s="1107"/>
      <c r="R1037" s="1104"/>
    </row>
    <row r="1038" spans="1:26" s="1108" customFormat="1">
      <c r="A1038" s="1085"/>
      <c r="B1038" s="933" t="s">
        <v>4296</v>
      </c>
      <c r="C1038" s="1138" t="e">
        <f>#REF!</f>
        <v>#REF!</v>
      </c>
      <c r="D1038" s="1108" t="s">
        <v>306</v>
      </c>
      <c r="E1038" s="1240"/>
      <c r="F1038" s="1097" t="e">
        <f t="shared" si="86"/>
        <v>#REF!</v>
      </c>
      <c r="G1038" s="1103"/>
      <c r="H1038" s="1096" t="e">
        <f t="shared" si="87"/>
        <v>#REF!</v>
      </c>
      <c r="I1038" s="1103"/>
      <c r="J1038" s="1096" t="e">
        <f t="shared" si="88"/>
        <v>#REF!</v>
      </c>
      <c r="K1038" s="1096"/>
      <c r="L1038" s="1096" t="e">
        <f t="shared" si="89"/>
        <v>#REF!</v>
      </c>
      <c r="M1038" s="1103"/>
      <c r="N1038" s="1096" t="e">
        <f t="shared" si="90"/>
        <v>#REF!</v>
      </c>
      <c r="O1038" s="1098" t="e">
        <f>#REF!+E1038+G1038</f>
        <v>#REF!</v>
      </c>
      <c r="P1038" s="1096" t="e">
        <f>P1037-P1033</f>
        <v>#REF!</v>
      </c>
      <c r="Q1038" s="1107"/>
      <c r="R1038" s="1104"/>
    </row>
    <row r="1039" spans="1:26" s="1108" customFormat="1">
      <c r="A1039" s="1085"/>
      <c r="B1039" s="933" t="s">
        <v>4297</v>
      </c>
      <c r="C1039" s="1138" t="e">
        <f>#REF!</f>
        <v>#REF!</v>
      </c>
      <c r="D1039" s="1108" t="s">
        <v>306</v>
      </c>
      <c r="E1039" s="1240"/>
      <c r="F1039" s="1097" t="e">
        <f t="shared" si="86"/>
        <v>#REF!</v>
      </c>
      <c r="G1039" s="1103"/>
      <c r="H1039" s="1096" t="e">
        <f t="shared" si="87"/>
        <v>#REF!</v>
      </c>
      <c r="I1039" s="1103"/>
      <c r="J1039" s="1096" t="e">
        <f t="shared" si="88"/>
        <v>#REF!</v>
      </c>
      <c r="K1039" s="1096"/>
      <c r="L1039" s="1096" t="e">
        <f t="shared" si="89"/>
        <v>#REF!</v>
      </c>
      <c r="M1039" s="1103"/>
      <c r="N1039" s="1096" t="e">
        <f t="shared" si="90"/>
        <v>#REF!</v>
      </c>
      <c r="O1039" s="1098" t="e">
        <f>#REF!+E1039+G1039</f>
        <v>#REF!</v>
      </c>
      <c r="P1039" s="1096" t="e">
        <f t="shared" ref="P1039:P1070" si="91">O1039*C1039</f>
        <v>#REF!</v>
      </c>
      <c r="Q1039" s="1107"/>
      <c r="R1039" s="1104"/>
    </row>
    <row r="1040" spans="1:26" s="1108" customFormat="1">
      <c r="A1040" s="1085"/>
      <c r="B1040" s="933" t="s">
        <v>4291</v>
      </c>
      <c r="C1040" s="1138"/>
      <c r="D1040" s="1108" t="s">
        <v>306</v>
      </c>
      <c r="E1040" s="1240"/>
      <c r="F1040" s="1097">
        <f t="shared" si="86"/>
        <v>0</v>
      </c>
      <c r="G1040" s="1103"/>
      <c r="H1040" s="1096">
        <f t="shared" si="87"/>
        <v>0</v>
      </c>
      <c r="I1040" s="1103"/>
      <c r="J1040" s="1096">
        <f t="shared" si="88"/>
        <v>0</v>
      </c>
      <c r="K1040" s="1096"/>
      <c r="L1040" s="1096">
        <f t="shared" si="89"/>
        <v>0</v>
      </c>
      <c r="M1040" s="1103"/>
      <c r="N1040" s="1096">
        <f t="shared" si="90"/>
        <v>0</v>
      </c>
      <c r="O1040" s="1098" t="e">
        <f>#REF!+E1040+G1040</f>
        <v>#REF!</v>
      </c>
      <c r="P1040" s="1096" t="e">
        <f t="shared" si="91"/>
        <v>#REF!</v>
      </c>
      <c r="Q1040" s="1107"/>
      <c r="R1040" s="1104"/>
    </row>
    <row r="1041" spans="1:18" s="1108" customFormat="1" ht="46.5">
      <c r="A1041" s="1085"/>
      <c r="B1041" s="933" t="s">
        <v>4468</v>
      </c>
      <c r="C1041" s="1138"/>
      <c r="D1041" s="1108" t="s">
        <v>306</v>
      </c>
      <c r="E1041" s="1240"/>
      <c r="F1041" s="1097">
        <f t="shared" si="86"/>
        <v>0</v>
      </c>
      <c r="G1041" s="1103"/>
      <c r="H1041" s="1096">
        <f t="shared" si="87"/>
        <v>0</v>
      </c>
      <c r="I1041" s="1103"/>
      <c r="J1041" s="1096">
        <f t="shared" si="88"/>
        <v>0</v>
      </c>
      <c r="K1041" s="1096"/>
      <c r="L1041" s="1096">
        <f t="shared" si="89"/>
        <v>0</v>
      </c>
      <c r="M1041" s="1103"/>
      <c r="N1041" s="1096">
        <f t="shared" si="90"/>
        <v>0</v>
      </c>
      <c r="O1041" s="1098" t="e">
        <f>#REF!+E1041+G1041</f>
        <v>#REF!</v>
      </c>
      <c r="P1041" s="1096" t="e">
        <f t="shared" si="91"/>
        <v>#REF!</v>
      </c>
      <c r="Q1041" s="1107"/>
      <c r="R1041" s="1104"/>
    </row>
    <row r="1042" spans="1:18" s="1108" customFormat="1" ht="46.5">
      <c r="A1042" s="1085"/>
      <c r="B1042" s="933" t="s">
        <v>4469</v>
      </c>
      <c r="C1042" s="1138"/>
      <c r="D1042" s="1108" t="s">
        <v>306</v>
      </c>
      <c r="E1042" s="1240"/>
      <c r="F1042" s="1097">
        <f t="shared" si="86"/>
        <v>0</v>
      </c>
      <c r="G1042" s="1103"/>
      <c r="H1042" s="1096">
        <f t="shared" si="87"/>
        <v>0</v>
      </c>
      <c r="I1042" s="1103"/>
      <c r="J1042" s="1096">
        <f t="shared" si="88"/>
        <v>0</v>
      </c>
      <c r="K1042" s="1096"/>
      <c r="L1042" s="1096">
        <f t="shared" si="89"/>
        <v>0</v>
      </c>
      <c r="M1042" s="1103"/>
      <c r="N1042" s="1096">
        <f t="shared" si="90"/>
        <v>0</v>
      </c>
      <c r="O1042" s="1098" t="e">
        <f>#REF!+E1042+G1042</f>
        <v>#REF!</v>
      </c>
      <c r="P1042" s="1096" t="e">
        <f t="shared" si="91"/>
        <v>#REF!</v>
      </c>
      <c r="Q1042" s="1107"/>
      <c r="R1042" s="1104"/>
    </row>
    <row r="1043" spans="1:18" s="1108" customFormat="1" ht="46.5">
      <c r="A1043" s="1085"/>
      <c r="B1043" s="933" t="s">
        <v>4470</v>
      </c>
      <c r="C1043" s="1138"/>
      <c r="D1043" s="1108" t="s">
        <v>306</v>
      </c>
      <c r="E1043" s="1240"/>
      <c r="F1043" s="1097">
        <f t="shared" si="86"/>
        <v>0</v>
      </c>
      <c r="G1043" s="1103"/>
      <c r="H1043" s="1096">
        <f t="shared" si="87"/>
        <v>0</v>
      </c>
      <c r="I1043" s="1103"/>
      <c r="J1043" s="1096">
        <f t="shared" si="88"/>
        <v>0</v>
      </c>
      <c r="K1043" s="1096"/>
      <c r="L1043" s="1096">
        <f t="shared" si="89"/>
        <v>0</v>
      </c>
      <c r="M1043" s="1103"/>
      <c r="N1043" s="1096">
        <f t="shared" si="90"/>
        <v>0</v>
      </c>
      <c r="O1043" s="1098" t="e">
        <f>#REF!+E1043+G1043</f>
        <v>#REF!</v>
      </c>
      <c r="P1043" s="1096" t="e">
        <f t="shared" si="91"/>
        <v>#REF!</v>
      </c>
      <c r="Q1043" s="1107"/>
      <c r="R1043" s="1104"/>
    </row>
    <row r="1044" spans="1:18" s="1108" customFormat="1">
      <c r="A1044" s="1085"/>
      <c r="B1044" s="933" t="s">
        <v>4471</v>
      </c>
      <c r="C1044" s="1138">
        <f>8.2*1500</f>
        <v>12299.999999999998</v>
      </c>
      <c r="D1044" s="1108" t="s">
        <v>340</v>
      </c>
      <c r="E1044" s="1240"/>
      <c r="F1044" s="1097">
        <f t="shared" si="86"/>
        <v>0</v>
      </c>
      <c r="G1044" s="1103"/>
      <c r="H1044" s="1096">
        <f t="shared" si="87"/>
        <v>0</v>
      </c>
      <c r="I1044" s="1103"/>
      <c r="J1044" s="1096">
        <f t="shared" si="88"/>
        <v>0</v>
      </c>
      <c r="K1044" s="1096"/>
      <c r="L1044" s="1096">
        <f t="shared" si="89"/>
        <v>0</v>
      </c>
      <c r="M1044" s="1103"/>
      <c r="N1044" s="1096">
        <f t="shared" si="90"/>
        <v>0</v>
      </c>
      <c r="O1044" s="1098" t="e">
        <f>#REF!+E1044+G1044</f>
        <v>#REF!</v>
      </c>
      <c r="P1044" s="1096" t="e">
        <f t="shared" si="91"/>
        <v>#REF!</v>
      </c>
      <c r="Q1044" s="1107"/>
      <c r="R1044" s="1104"/>
    </row>
    <row r="1045" spans="1:18" s="1108" customFormat="1">
      <c r="A1045" s="1085"/>
      <c r="B1045" s="933" t="s">
        <v>4472</v>
      </c>
      <c r="C1045" s="1138" t="e">
        <f>#REF!</f>
        <v>#REF!</v>
      </c>
      <c r="D1045" s="1108" t="s">
        <v>306</v>
      </c>
      <c r="E1045" s="1240"/>
      <c r="F1045" s="1097" t="e">
        <f t="shared" si="86"/>
        <v>#REF!</v>
      </c>
      <c r="G1045" s="1103"/>
      <c r="H1045" s="1096" t="e">
        <f t="shared" si="87"/>
        <v>#REF!</v>
      </c>
      <c r="I1045" s="1103"/>
      <c r="J1045" s="1096" t="e">
        <f t="shared" si="88"/>
        <v>#REF!</v>
      </c>
      <c r="K1045" s="1096"/>
      <c r="L1045" s="1096" t="e">
        <f t="shared" si="89"/>
        <v>#REF!</v>
      </c>
      <c r="M1045" s="1103"/>
      <c r="N1045" s="1096" t="e">
        <f t="shared" si="90"/>
        <v>#REF!</v>
      </c>
      <c r="O1045" s="1098" t="e">
        <f>#REF!+E1045+G1045</f>
        <v>#REF!</v>
      </c>
      <c r="P1045" s="1096" t="e">
        <f t="shared" si="91"/>
        <v>#REF!</v>
      </c>
      <c r="Q1045" s="1107"/>
      <c r="R1045" s="1104"/>
    </row>
    <row r="1046" spans="1:18" s="1108" customFormat="1">
      <c r="A1046" s="1085"/>
      <c r="B1046" s="933" t="s">
        <v>4473</v>
      </c>
      <c r="C1046" s="1138" t="e">
        <f>#REF!</f>
        <v>#REF!</v>
      </c>
      <c r="D1046" s="1108" t="s">
        <v>306</v>
      </c>
      <c r="E1046" s="1240"/>
      <c r="F1046" s="1097" t="e">
        <f t="shared" si="86"/>
        <v>#REF!</v>
      </c>
      <c r="G1046" s="1103"/>
      <c r="H1046" s="1096" t="e">
        <f t="shared" si="87"/>
        <v>#REF!</v>
      </c>
      <c r="I1046" s="1103"/>
      <c r="J1046" s="1096" t="e">
        <f t="shared" si="88"/>
        <v>#REF!</v>
      </c>
      <c r="K1046" s="1096"/>
      <c r="L1046" s="1096" t="e">
        <f t="shared" si="89"/>
        <v>#REF!</v>
      </c>
      <c r="M1046" s="1103"/>
      <c r="N1046" s="1096" t="e">
        <f t="shared" si="90"/>
        <v>#REF!</v>
      </c>
      <c r="O1046" s="1098" t="e">
        <f>#REF!+E1046+G1046</f>
        <v>#REF!</v>
      </c>
      <c r="P1046" s="1096" t="e">
        <f t="shared" si="91"/>
        <v>#REF!</v>
      </c>
      <c r="Q1046" s="1107"/>
      <c r="R1046" s="1104"/>
    </row>
    <row r="1047" spans="1:18" s="1108" customFormat="1">
      <c r="A1047" s="1085"/>
      <c r="B1047" s="933" t="s">
        <v>4474</v>
      </c>
      <c r="C1047" s="1138" t="e">
        <f>#REF!</f>
        <v>#REF!</v>
      </c>
      <c r="D1047" s="1108" t="s">
        <v>306</v>
      </c>
      <c r="E1047" s="1240"/>
      <c r="F1047" s="1097" t="e">
        <f t="shared" si="86"/>
        <v>#REF!</v>
      </c>
      <c r="G1047" s="1103"/>
      <c r="H1047" s="1096" t="e">
        <f t="shared" si="87"/>
        <v>#REF!</v>
      </c>
      <c r="I1047" s="1103"/>
      <c r="J1047" s="1096" t="e">
        <f t="shared" si="88"/>
        <v>#REF!</v>
      </c>
      <c r="K1047" s="1096"/>
      <c r="L1047" s="1096" t="e">
        <f t="shared" si="89"/>
        <v>#REF!</v>
      </c>
      <c r="M1047" s="1103"/>
      <c r="N1047" s="1096" t="e">
        <f t="shared" si="90"/>
        <v>#REF!</v>
      </c>
      <c r="O1047" s="1098" t="e">
        <f>#REF!+E1047+G1047</f>
        <v>#REF!</v>
      </c>
      <c r="P1047" s="1096" t="e">
        <f t="shared" si="91"/>
        <v>#REF!</v>
      </c>
      <c r="Q1047" s="1107"/>
      <c r="R1047" s="1104"/>
    </row>
    <row r="1048" spans="1:18" s="1108" customFormat="1">
      <c r="A1048" s="1085"/>
      <c r="B1048" s="933" t="s">
        <v>4475</v>
      </c>
      <c r="C1048" s="1138" t="e">
        <f>#REF!</f>
        <v>#REF!</v>
      </c>
      <c r="D1048" s="1108" t="s">
        <v>306</v>
      </c>
      <c r="E1048" s="1240"/>
      <c r="F1048" s="1097" t="e">
        <f t="shared" si="86"/>
        <v>#REF!</v>
      </c>
      <c r="G1048" s="1103"/>
      <c r="H1048" s="1096" t="e">
        <f t="shared" si="87"/>
        <v>#REF!</v>
      </c>
      <c r="I1048" s="1103"/>
      <c r="J1048" s="1096" t="e">
        <f t="shared" si="88"/>
        <v>#REF!</v>
      </c>
      <c r="K1048" s="1096"/>
      <c r="L1048" s="1096" t="e">
        <f t="shared" si="89"/>
        <v>#REF!</v>
      </c>
      <c r="M1048" s="1103"/>
      <c r="N1048" s="1096" t="e">
        <f t="shared" si="90"/>
        <v>#REF!</v>
      </c>
      <c r="O1048" s="1098" t="e">
        <f>#REF!+E1048+G1048</f>
        <v>#REF!</v>
      </c>
      <c r="P1048" s="1096" t="e">
        <f t="shared" si="91"/>
        <v>#REF!</v>
      </c>
      <c r="Q1048" s="1107"/>
      <c r="R1048" s="1104"/>
    </row>
    <row r="1049" spans="1:18" s="1108" customFormat="1">
      <c r="A1049" s="1085"/>
      <c r="B1049" s="933" t="s">
        <v>4476</v>
      </c>
      <c r="C1049" s="1138" t="e">
        <f>#REF!</f>
        <v>#REF!</v>
      </c>
      <c r="D1049" s="1108" t="s">
        <v>306</v>
      </c>
      <c r="E1049" s="1240"/>
      <c r="F1049" s="1097" t="e">
        <f t="shared" si="86"/>
        <v>#REF!</v>
      </c>
      <c r="G1049" s="1103"/>
      <c r="H1049" s="1096" t="e">
        <f t="shared" si="87"/>
        <v>#REF!</v>
      </c>
      <c r="I1049" s="1103"/>
      <c r="J1049" s="1096" t="e">
        <f t="shared" si="88"/>
        <v>#REF!</v>
      </c>
      <c r="K1049" s="1096"/>
      <c r="L1049" s="1096" t="e">
        <f t="shared" si="89"/>
        <v>#REF!</v>
      </c>
      <c r="M1049" s="1103"/>
      <c r="N1049" s="1096" t="e">
        <f t="shared" si="90"/>
        <v>#REF!</v>
      </c>
      <c r="O1049" s="1098" t="e">
        <f>#REF!+E1049+G1049</f>
        <v>#REF!</v>
      </c>
      <c r="P1049" s="1096" t="e">
        <f t="shared" si="91"/>
        <v>#REF!</v>
      </c>
      <c r="Q1049" s="1107"/>
      <c r="R1049" s="1104"/>
    </row>
    <row r="1050" spans="1:18" s="1108" customFormat="1">
      <c r="A1050" s="1085"/>
      <c r="B1050" s="1322" t="s">
        <v>4477</v>
      </c>
      <c r="C1050" s="1085" t="e">
        <f>#REF!</f>
        <v>#REF!</v>
      </c>
      <c r="D1050" s="1108" t="s">
        <v>306</v>
      </c>
      <c r="E1050" s="1240"/>
      <c r="F1050" s="1097" t="e">
        <f t="shared" si="86"/>
        <v>#REF!</v>
      </c>
      <c r="G1050" s="1103"/>
      <c r="H1050" s="1096" t="e">
        <f t="shared" si="87"/>
        <v>#REF!</v>
      </c>
      <c r="I1050" s="1103"/>
      <c r="J1050" s="1096" t="e">
        <f t="shared" si="88"/>
        <v>#REF!</v>
      </c>
      <c r="K1050" s="1096"/>
      <c r="L1050" s="1096" t="e">
        <f t="shared" si="89"/>
        <v>#REF!</v>
      </c>
      <c r="M1050" s="1103"/>
      <c r="N1050" s="1096" t="e">
        <f t="shared" si="90"/>
        <v>#REF!</v>
      </c>
      <c r="O1050" s="1098" t="e">
        <f>#REF!+E1050+G1050</f>
        <v>#REF!</v>
      </c>
      <c r="P1050" s="1096" t="e">
        <f t="shared" si="91"/>
        <v>#REF!</v>
      </c>
      <c r="Q1050" s="1107"/>
      <c r="R1050" s="1104"/>
    </row>
    <row r="1051" spans="1:18" s="1108" customFormat="1">
      <c r="A1051" s="1085"/>
      <c r="B1051" s="1322" t="s">
        <v>4478</v>
      </c>
      <c r="C1051" s="1085">
        <f>5000*8.2</f>
        <v>41000</v>
      </c>
      <c r="D1051" s="1108" t="s">
        <v>340</v>
      </c>
      <c r="E1051" s="1240"/>
      <c r="F1051" s="1097">
        <f t="shared" si="86"/>
        <v>0</v>
      </c>
      <c r="G1051" s="1103"/>
      <c r="H1051" s="1096">
        <f t="shared" si="87"/>
        <v>0</v>
      </c>
      <c r="I1051" s="1103"/>
      <c r="J1051" s="1096">
        <f t="shared" si="88"/>
        <v>0</v>
      </c>
      <c r="K1051" s="1096"/>
      <c r="L1051" s="1096">
        <f t="shared" si="89"/>
        <v>0</v>
      </c>
      <c r="M1051" s="1103"/>
      <c r="N1051" s="1096">
        <f t="shared" si="90"/>
        <v>0</v>
      </c>
      <c r="O1051" s="1098" t="e">
        <f>#REF!+E1051+G1051</f>
        <v>#REF!</v>
      </c>
      <c r="P1051" s="1096" t="e">
        <f t="shared" si="91"/>
        <v>#REF!</v>
      </c>
      <c r="Q1051" s="1107"/>
      <c r="R1051" s="1104"/>
    </row>
    <row r="1052" spans="1:18" s="1108" customFormat="1">
      <c r="A1052" s="1085"/>
      <c r="B1052" s="1322" t="e">
        <f>#REF!</f>
        <v>#REF!</v>
      </c>
      <c r="C1052" s="1085" t="e">
        <f>#REF!</f>
        <v>#REF!</v>
      </c>
      <c r="D1052" s="1108" t="s">
        <v>306</v>
      </c>
      <c r="E1052" s="1240"/>
      <c r="F1052" s="1097" t="e">
        <f t="shared" si="86"/>
        <v>#REF!</v>
      </c>
      <c r="G1052" s="1103"/>
      <c r="H1052" s="1096" t="e">
        <f t="shared" si="87"/>
        <v>#REF!</v>
      </c>
      <c r="I1052" s="1103"/>
      <c r="J1052" s="1096" t="e">
        <f t="shared" si="88"/>
        <v>#REF!</v>
      </c>
      <c r="K1052" s="1096"/>
      <c r="L1052" s="1096" t="e">
        <f t="shared" si="89"/>
        <v>#REF!</v>
      </c>
      <c r="M1052" s="1103"/>
      <c r="N1052" s="1096" t="e">
        <f t="shared" si="90"/>
        <v>#REF!</v>
      </c>
      <c r="O1052" s="1098" t="e">
        <f>#REF!+E1052+G1052</f>
        <v>#REF!</v>
      </c>
      <c r="P1052" s="1096" t="e">
        <f t="shared" si="91"/>
        <v>#REF!</v>
      </c>
      <c r="Q1052" s="1107"/>
      <c r="R1052" s="1104"/>
    </row>
    <row r="1053" spans="1:18" s="1108" customFormat="1">
      <c r="A1053" s="1085"/>
      <c r="B1053" s="1322" t="s">
        <v>1794</v>
      </c>
      <c r="C1053" s="1085" t="e">
        <f>#REF!</f>
        <v>#REF!</v>
      </c>
      <c r="D1053" s="1108" t="s">
        <v>306</v>
      </c>
      <c r="E1053" s="1240"/>
      <c r="F1053" s="1097" t="e">
        <f t="shared" si="86"/>
        <v>#REF!</v>
      </c>
      <c r="G1053" s="1103"/>
      <c r="H1053" s="1096" t="e">
        <f t="shared" si="87"/>
        <v>#REF!</v>
      </c>
      <c r="I1053" s="1103"/>
      <c r="J1053" s="1096" t="e">
        <f t="shared" si="88"/>
        <v>#REF!</v>
      </c>
      <c r="K1053" s="1096"/>
      <c r="L1053" s="1096" t="e">
        <f t="shared" si="89"/>
        <v>#REF!</v>
      </c>
      <c r="M1053" s="1103"/>
      <c r="N1053" s="1096" t="e">
        <f t="shared" si="90"/>
        <v>#REF!</v>
      </c>
      <c r="O1053" s="1098" t="e">
        <f>#REF!+E1053+G1053</f>
        <v>#REF!</v>
      </c>
      <c r="P1053" s="1096" t="e">
        <f t="shared" si="91"/>
        <v>#REF!</v>
      </c>
      <c r="Q1053" s="1107"/>
      <c r="R1053" s="1104"/>
    </row>
    <row r="1054" spans="1:18" s="1108" customFormat="1">
      <c r="A1054" s="1085"/>
      <c r="B1054" s="1322" t="s">
        <v>4479</v>
      </c>
      <c r="C1054" s="1085" t="e">
        <f>#REF!</f>
        <v>#REF!</v>
      </c>
      <c r="D1054" s="1108" t="s">
        <v>306</v>
      </c>
      <c r="E1054" s="1240"/>
      <c r="F1054" s="1097" t="e">
        <f t="shared" si="86"/>
        <v>#REF!</v>
      </c>
      <c r="G1054" s="1103"/>
      <c r="H1054" s="1096" t="e">
        <f t="shared" si="87"/>
        <v>#REF!</v>
      </c>
      <c r="I1054" s="1103"/>
      <c r="J1054" s="1096" t="e">
        <f t="shared" si="88"/>
        <v>#REF!</v>
      </c>
      <c r="K1054" s="1096"/>
      <c r="L1054" s="1096" t="e">
        <f t="shared" si="89"/>
        <v>#REF!</v>
      </c>
      <c r="M1054" s="1103"/>
      <c r="N1054" s="1096" t="e">
        <f t="shared" si="90"/>
        <v>#REF!</v>
      </c>
      <c r="O1054" s="1098" t="e">
        <f>#REF!+E1054+G1054</f>
        <v>#REF!</v>
      </c>
      <c r="P1054" s="1096" t="e">
        <f t="shared" si="91"/>
        <v>#REF!</v>
      </c>
      <c r="Q1054" s="1107"/>
      <c r="R1054" s="1104"/>
    </row>
    <row r="1055" spans="1:18" s="1108" customFormat="1">
      <c r="A1055" s="1085"/>
      <c r="B1055" s="1322" t="s">
        <v>4480</v>
      </c>
      <c r="C1055" s="1085" t="e">
        <f>#REF!</f>
        <v>#REF!</v>
      </c>
      <c r="D1055" s="1108" t="s">
        <v>306</v>
      </c>
      <c r="E1055" s="1240"/>
      <c r="F1055" s="1097" t="e">
        <f t="shared" si="86"/>
        <v>#REF!</v>
      </c>
      <c r="G1055" s="1103"/>
      <c r="H1055" s="1096" t="e">
        <f t="shared" si="87"/>
        <v>#REF!</v>
      </c>
      <c r="I1055" s="1103"/>
      <c r="J1055" s="1096" t="e">
        <f t="shared" si="88"/>
        <v>#REF!</v>
      </c>
      <c r="K1055" s="1096"/>
      <c r="L1055" s="1096" t="e">
        <f t="shared" si="89"/>
        <v>#REF!</v>
      </c>
      <c r="M1055" s="1103"/>
      <c r="N1055" s="1096" t="e">
        <f t="shared" si="90"/>
        <v>#REF!</v>
      </c>
      <c r="O1055" s="1098" t="e">
        <f>#REF!+E1055+G1055</f>
        <v>#REF!</v>
      </c>
      <c r="P1055" s="1096" t="e">
        <f t="shared" si="91"/>
        <v>#REF!</v>
      </c>
      <c r="Q1055" s="1107"/>
      <c r="R1055" s="1104"/>
    </row>
    <row r="1056" spans="1:18" s="1108" customFormat="1">
      <c r="A1056" s="1085"/>
      <c r="B1056" s="1322" t="s">
        <v>4481</v>
      </c>
      <c r="C1056" s="1085" t="e">
        <f>#REF!</f>
        <v>#REF!</v>
      </c>
      <c r="D1056" s="1108" t="s">
        <v>306</v>
      </c>
      <c r="E1056" s="1240"/>
      <c r="F1056" s="1097" t="e">
        <f t="shared" si="86"/>
        <v>#REF!</v>
      </c>
      <c r="G1056" s="1103"/>
      <c r="H1056" s="1096" t="e">
        <f t="shared" si="87"/>
        <v>#REF!</v>
      </c>
      <c r="I1056" s="1103"/>
      <c r="J1056" s="1096" t="e">
        <f t="shared" si="88"/>
        <v>#REF!</v>
      </c>
      <c r="K1056" s="1096"/>
      <c r="L1056" s="1096" t="e">
        <f t="shared" si="89"/>
        <v>#REF!</v>
      </c>
      <c r="M1056" s="1103"/>
      <c r="N1056" s="1096" t="e">
        <f t="shared" si="90"/>
        <v>#REF!</v>
      </c>
      <c r="O1056" s="1098" t="e">
        <f>#REF!+E1056+G1056</f>
        <v>#REF!</v>
      </c>
      <c r="P1056" s="1096" t="e">
        <f t="shared" si="91"/>
        <v>#REF!</v>
      </c>
      <c r="Q1056" s="1107"/>
      <c r="R1056" s="1104"/>
    </row>
    <row r="1057" spans="1:18" s="1108" customFormat="1" ht="69.75">
      <c r="A1057" s="1085"/>
      <c r="B1057" s="1262" t="s">
        <v>4482</v>
      </c>
      <c r="C1057" s="1085" t="e">
        <f>#REF!</f>
        <v>#REF!</v>
      </c>
      <c r="D1057" s="1108" t="s">
        <v>306</v>
      </c>
      <c r="E1057" s="1240"/>
      <c r="F1057" s="1097" t="e">
        <f t="shared" si="86"/>
        <v>#REF!</v>
      </c>
      <c r="G1057" s="1103"/>
      <c r="H1057" s="1096" t="e">
        <f t="shared" si="87"/>
        <v>#REF!</v>
      </c>
      <c r="I1057" s="1103"/>
      <c r="J1057" s="1096" t="e">
        <f t="shared" si="88"/>
        <v>#REF!</v>
      </c>
      <c r="K1057" s="1096"/>
      <c r="L1057" s="1096" t="e">
        <f t="shared" si="89"/>
        <v>#REF!</v>
      </c>
      <c r="M1057" s="1103"/>
      <c r="N1057" s="1096" t="e">
        <f t="shared" si="90"/>
        <v>#REF!</v>
      </c>
      <c r="O1057" s="1098" t="e">
        <f>#REF!+E1057+G1057</f>
        <v>#REF!</v>
      </c>
      <c r="P1057" s="1096" t="e">
        <f t="shared" si="91"/>
        <v>#REF!</v>
      </c>
      <c r="Q1057" s="1107"/>
      <c r="R1057" s="1104"/>
    </row>
    <row r="1058" spans="1:18" s="1108" customFormat="1" ht="69.75">
      <c r="A1058" s="1085"/>
      <c r="B1058" s="1262" t="s">
        <v>4483</v>
      </c>
      <c r="C1058" s="1085" t="e">
        <f>#REF!</f>
        <v>#REF!</v>
      </c>
      <c r="D1058" s="1108" t="s">
        <v>306</v>
      </c>
      <c r="E1058" s="1240"/>
      <c r="F1058" s="1097" t="e">
        <f t="shared" si="86"/>
        <v>#REF!</v>
      </c>
      <c r="G1058" s="1103"/>
      <c r="H1058" s="1096" t="e">
        <f t="shared" si="87"/>
        <v>#REF!</v>
      </c>
      <c r="I1058" s="1103"/>
      <c r="J1058" s="1096" t="e">
        <f t="shared" si="88"/>
        <v>#REF!</v>
      </c>
      <c r="K1058" s="1096"/>
      <c r="L1058" s="1096" t="e">
        <f t="shared" si="89"/>
        <v>#REF!</v>
      </c>
      <c r="M1058" s="1103"/>
      <c r="N1058" s="1096" t="e">
        <f t="shared" si="90"/>
        <v>#REF!</v>
      </c>
      <c r="O1058" s="1098" t="e">
        <f>#REF!+E1058+G1058</f>
        <v>#REF!</v>
      </c>
      <c r="P1058" s="1096" t="e">
        <f t="shared" si="91"/>
        <v>#REF!</v>
      </c>
      <c r="Q1058" s="1107"/>
      <c r="R1058" s="1104"/>
    </row>
    <row r="1059" spans="1:18" s="1108" customFormat="1" ht="46.5">
      <c r="A1059" s="1085"/>
      <c r="B1059" s="933" t="s">
        <v>2893</v>
      </c>
      <c r="C1059" s="1085" t="e">
        <f>#REF!</f>
        <v>#REF!</v>
      </c>
      <c r="D1059" s="1108" t="s">
        <v>306</v>
      </c>
      <c r="E1059" s="1240"/>
      <c r="F1059" s="1097" t="e">
        <f t="shared" si="86"/>
        <v>#REF!</v>
      </c>
      <c r="G1059" s="1103"/>
      <c r="H1059" s="1096" t="e">
        <f t="shared" si="87"/>
        <v>#REF!</v>
      </c>
      <c r="I1059" s="1103"/>
      <c r="J1059" s="1096" t="e">
        <f t="shared" si="88"/>
        <v>#REF!</v>
      </c>
      <c r="K1059" s="1096"/>
      <c r="L1059" s="1096" t="e">
        <f t="shared" si="89"/>
        <v>#REF!</v>
      </c>
      <c r="M1059" s="1103"/>
      <c r="N1059" s="1096" t="e">
        <f t="shared" si="90"/>
        <v>#REF!</v>
      </c>
      <c r="O1059" s="1098" t="e">
        <f>#REF!+E1059+G1059</f>
        <v>#REF!</v>
      </c>
      <c r="P1059" s="1096" t="e">
        <f t="shared" si="91"/>
        <v>#REF!</v>
      </c>
      <c r="Q1059" s="1107"/>
      <c r="R1059" s="1104"/>
    </row>
    <row r="1060" spans="1:18" s="1108" customFormat="1">
      <c r="A1060" s="1085"/>
      <c r="B1060" s="1322" t="s">
        <v>4484</v>
      </c>
      <c r="C1060" s="1085" t="e">
        <f>#REF!</f>
        <v>#REF!</v>
      </c>
      <c r="D1060" s="1108" t="s">
        <v>306</v>
      </c>
      <c r="E1060" s="1240"/>
      <c r="F1060" s="1097" t="e">
        <f t="shared" si="86"/>
        <v>#REF!</v>
      </c>
      <c r="G1060" s="1103"/>
      <c r="H1060" s="1096" t="e">
        <f t="shared" si="87"/>
        <v>#REF!</v>
      </c>
      <c r="I1060" s="1103"/>
      <c r="J1060" s="1096" t="e">
        <f t="shared" si="88"/>
        <v>#REF!</v>
      </c>
      <c r="K1060" s="1096"/>
      <c r="L1060" s="1096" t="e">
        <f t="shared" si="89"/>
        <v>#REF!</v>
      </c>
      <c r="M1060" s="1103"/>
      <c r="N1060" s="1096" t="e">
        <f t="shared" si="90"/>
        <v>#REF!</v>
      </c>
      <c r="O1060" s="1098" t="e">
        <f>#REF!+E1060+G1060</f>
        <v>#REF!</v>
      </c>
      <c r="P1060" s="1096" t="e">
        <f t="shared" si="91"/>
        <v>#REF!</v>
      </c>
      <c r="Q1060" s="1107"/>
      <c r="R1060" s="1104"/>
    </row>
    <row r="1061" spans="1:18" s="1108" customFormat="1">
      <c r="A1061" s="1085"/>
      <c r="B1061" s="1322" t="s">
        <v>4485</v>
      </c>
      <c r="C1061" s="1085" t="e">
        <f>#REF!</f>
        <v>#REF!</v>
      </c>
      <c r="D1061" s="1108" t="s">
        <v>306</v>
      </c>
      <c r="E1061" s="1240"/>
      <c r="F1061" s="1097" t="e">
        <f t="shared" si="86"/>
        <v>#REF!</v>
      </c>
      <c r="G1061" s="1103"/>
      <c r="H1061" s="1096" t="e">
        <f t="shared" si="87"/>
        <v>#REF!</v>
      </c>
      <c r="I1061" s="1103"/>
      <c r="J1061" s="1096" t="e">
        <f t="shared" si="88"/>
        <v>#REF!</v>
      </c>
      <c r="K1061" s="1096"/>
      <c r="L1061" s="1096" t="e">
        <f t="shared" si="89"/>
        <v>#REF!</v>
      </c>
      <c r="M1061" s="1103"/>
      <c r="N1061" s="1096" t="e">
        <f t="shared" si="90"/>
        <v>#REF!</v>
      </c>
      <c r="O1061" s="1098" t="e">
        <f>#REF!+E1061+G1061</f>
        <v>#REF!</v>
      </c>
      <c r="P1061" s="1096" t="e">
        <f t="shared" si="91"/>
        <v>#REF!</v>
      </c>
      <c r="Q1061" s="1107"/>
      <c r="R1061" s="1104"/>
    </row>
    <row r="1062" spans="1:18" s="1108" customFormat="1">
      <c r="A1062" s="1085"/>
      <c r="B1062" s="1322" t="s">
        <v>4486</v>
      </c>
      <c r="C1062" s="1085" t="e">
        <f>#REF!</f>
        <v>#REF!</v>
      </c>
      <c r="D1062" s="1108" t="s">
        <v>306</v>
      </c>
      <c r="E1062" s="1240"/>
      <c r="F1062" s="1097" t="e">
        <f t="shared" si="86"/>
        <v>#REF!</v>
      </c>
      <c r="G1062" s="1103"/>
      <c r="H1062" s="1096" t="e">
        <f t="shared" si="87"/>
        <v>#REF!</v>
      </c>
      <c r="I1062" s="1103"/>
      <c r="J1062" s="1096" t="e">
        <f t="shared" si="88"/>
        <v>#REF!</v>
      </c>
      <c r="K1062" s="1096"/>
      <c r="L1062" s="1096" t="e">
        <f t="shared" si="89"/>
        <v>#REF!</v>
      </c>
      <c r="M1062" s="1103"/>
      <c r="N1062" s="1096" t="e">
        <f t="shared" si="90"/>
        <v>#REF!</v>
      </c>
      <c r="O1062" s="1098" t="e">
        <f>#REF!+E1062+G1062</f>
        <v>#REF!</v>
      </c>
      <c r="P1062" s="1096" t="e">
        <f t="shared" si="91"/>
        <v>#REF!</v>
      </c>
      <c r="Q1062" s="1107"/>
      <c r="R1062" s="1104"/>
    </row>
    <row r="1063" spans="1:18" s="1108" customFormat="1">
      <c r="A1063" s="1085"/>
      <c r="B1063" s="1322" t="s">
        <v>4487</v>
      </c>
      <c r="C1063" s="1085" t="e">
        <f>#REF!</f>
        <v>#REF!</v>
      </c>
      <c r="D1063" s="1108" t="s">
        <v>306</v>
      </c>
      <c r="E1063" s="1240"/>
      <c r="F1063" s="1097" t="e">
        <f t="shared" si="86"/>
        <v>#REF!</v>
      </c>
      <c r="G1063" s="1103"/>
      <c r="H1063" s="1096" t="e">
        <f t="shared" si="87"/>
        <v>#REF!</v>
      </c>
      <c r="I1063" s="1103"/>
      <c r="J1063" s="1096" t="e">
        <f t="shared" si="88"/>
        <v>#REF!</v>
      </c>
      <c r="K1063" s="1096"/>
      <c r="L1063" s="1096" t="e">
        <f t="shared" si="89"/>
        <v>#REF!</v>
      </c>
      <c r="M1063" s="1103"/>
      <c r="N1063" s="1096" t="e">
        <f t="shared" si="90"/>
        <v>#REF!</v>
      </c>
      <c r="O1063" s="1098" t="e">
        <f>#REF!+E1063+G1063</f>
        <v>#REF!</v>
      </c>
      <c r="P1063" s="1096" t="e">
        <f t="shared" si="91"/>
        <v>#REF!</v>
      </c>
      <c r="Q1063" s="1107"/>
      <c r="R1063" s="1104"/>
    </row>
    <row r="1064" spans="1:18" s="1108" customFormat="1">
      <c r="A1064" s="1085"/>
      <c r="B1064" s="1322" t="s">
        <v>4488</v>
      </c>
      <c r="C1064" s="1085" t="e">
        <f>#REF!</f>
        <v>#REF!</v>
      </c>
      <c r="D1064" s="1108" t="s">
        <v>340</v>
      </c>
      <c r="E1064" s="1240"/>
      <c r="F1064" s="1097" t="e">
        <f t="shared" si="86"/>
        <v>#REF!</v>
      </c>
      <c r="G1064" s="1103"/>
      <c r="H1064" s="1096" t="e">
        <f t="shared" si="87"/>
        <v>#REF!</v>
      </c>
      <c r="I1064" s="1103"/>
      <c r="J1064" s="1096" t="e">
        <f t="shared" si="88"/>
        <v>#REF!</v>
      </c>
      <c r="K1064" s="1096"/>
      <c r="L1064" s="1096" t="e">
        <f t="shared" si="89"/>
        <v>#REF!</v>
      </c>
      <c r="M1064" s="1103"/>
      <c r="N1064" s="1096" t="e">
        <f t="shared" si="90"/>
        <v>#REF!</v>
      </c>
      <c r="O1064" s="1098" t="e">
        <f>#REF!+E1064+G1064</f>
        <v>#REF!</v>
      </c>
      <c r="P1064" s="1096" t="e">
        <f t="shared" si="91"/>
        <v>#REF!</v>
      </c>
      <c r="Q1064" s="1107"/>
      <c r="R1064" s="1104"/>
    </row>
    <row r="1065" spans="1:18" s="1108" customFormat="1">
      <c r="A1065" s="1085"/>
      <c r="B1065" s="1322" t="s">
        <v>4489</v>
      </c>
      <c r="C1065" s="1085" t="e">
        <f>#REF!</f>
        <v>#REF!</v>
      </c>
      <c r="D1065" s="1108" t="s">
        <v>303</v>
      </c>
      <c r="E1065" s="1240"/>
      <c r="F1065" s="1097" t="e">
        <f t="shared" si="86"/>
        <v>#REF!</v>
      </c>
      <c r="G1065" s="1103"/>
      <c r="H1065" s="1096" t="e">
        <f t="shared" si="87"/>
        <v>#REF!</v>
      </c>
      <c r="I1065" s="1103"/>
      <c r="J1065" s="1096" t="e">
        <f t="shared" si="88"/>
        <v>#REF!</v>
      </c>
      <c r="K1065" s="1096"/>
      <c r="L1065" s="1096" t="e">
        <f t="shared" si="89"/>
        <v>#REF!</v>
      </c>
      <c r="M1065" s="1103"/>
      <c r="N1065" s="1096" t="e">
        <f t="shared" si="90"/>
        <v>#REF!</v>
      </c>
      <c r="O1065" s="1098" t="e">
        <f>#REF!+E1065+G1065</f>
        <v>#REF!</v>
      </c>
      <c r="P1065" s="1096" t="e">
        <f t="shared" si="91"/>
        <v>#REF!</v>
      </c>
      <c r="Q1065" s="1107"/>
      <c r="R1065" s="1104"/>
    </row>
    <row r="1066" spans="1:18" s="1108" customFormat="1">
      <c r="A1066" s="1085"/>
      <c r="B1066" s="1323" t="s">
        <v>4490</v>
      </c>
      <c r="C1066" s="1085" t="e">
        <f>#REF!</f>
        <v>#REF!</v>
      </c>
      <c r="D1066" s="1108" t="s">
        <v>340</v>
      </c>
      <c r="E1066" s="1240"/>
      <c r="F1066" s="1097" t="e">
        <f t="shared" si="86"/>
        <v>#REF!</v>
      </c>
      <c r="G1066" s="1103"/>
      <c r="H1066" s="1096" t="e">
        <f t="shared" si="87"/>
        <v>#REF!</v>
      </c>
      <c r="I1066" s="1103"/>
      <c r="J1066" s="1096" t="e">
        <f t="shared" si="88"/>
        <v>#REF!</v>
      </c>
      <c r="K1066" s="1096"/>
      <c r="L1066" s="1096" t="e">
        <f t="shared" si="89"/>
        <v>#REF!</v>
      </c>
      <c r="M1066" s="1103"/>
      <c r="N1066" s="1096" t="e">
        <f t="shared" si="90"/>
        <v>#REF!</v>
      </c>
      <c r="O1066" s="1098" t="e">
        <f>#REF!+E1066+G1066</f>
        <v>#REF!</v>
      </c>
      <c r="P1066" s="1096" t="e">
        <f t="shared" si="91"/>
        <v>#REF!</v>
      </c>
      <c r="Q1066" s="1107"/>
      <c r="R1066" s="1104"/>
    </row>
    <row r="1067" spans="1:18" s="1108" customFormat="1">
      <c r="A1067" s="1085"/>
      <c r="B1067" s="1322" t="s">
        <v>4491</v>
      </c>
      <c r="C1067" s="1085" t="e">
        <f>#REF!</f>
        <v>#REF!</v>
      </c>
      <c r="D1067" s="1108" t="s">
        <v>306</v>
      </c>
      <c r="E1067" s="1240"/>
      <c r="F1067" s="1097" t="e">
        <f t="shared" si="86"/>
        <v>#REF!</v>
      </c>
      <c r="G1067" s="1103"/>
      <c r="H1067" s="1096" t="e">
        <f t="shared" si="87"/>
        <v>#REF!</v>
      </c>
      <c r="I1067" s="1103"/>
      <c r="J1067" s="1096" t="e">
        <f t="shared" si="88"/>
        <v>#REF!</v>
      </c>
      <c r="K1067" s="1096"/>
      <c r="L1067" s="1096" t="e">
        <f t="shared" si="89"/>
        <v>#REF!</v>
      </c>
      <c r="M1067" s="1103"/>
      <c r="N1067" s="1096" t="e">
        <f t="shared" si="90"/>
        <v>#REF!</v>
      </c>
      <c r="O1067" s="1098" t="e">
        <f>#REF!+E1067+G1067</f>
        <v>#REF!</v>
      </c>
      <c r="P1067" s="1096" t="e">
        <f t="shared" si="91"/>
        <v>#REF!</v>
      </c>
      <c r="Q1067" s="1107"/>
      <c r="R1067" s="1104"/>
    </row>
    <row r="1068" spans="1:18" s="1108" customFormat="1">
      <c r="A1068" s="1085"/>
      <c r="B1068" s="1322" t="s">
        <v>4492</v>
      </c>
      <c r="C1068" s="1085" t="e">
        <f>#REF!</f>
        <v>#REF!</v>
      </c>
      <c r="D1068" s="1108" t="s">
        <v>306</v>
      </c>
      <c r="E1068" s="1240"/>
      <c r="F1068" s="1097" t="e">
        <f t="shared" si="86"/>
        <v>#REF!</v>
      </c>
      <c r="G1068" s="1103"/>
      <c r="H1068" s="1096" t="e">
        <f t="shared" si="87"/>
        <v>#REF!</v>
      </c>
      <c r="I1068" s="1103"/>
      <c r="J1068" s="1096" t="e">
        <f t="shared" si="88"/>
        <v>#REF!</v>
      </c>
      <c r="K1068" s="1096"/>
      <c r="L1068" s="1096" t="e">
        <f t="shared" si="89"/>
        <v>#REF!</v>
      </c>
      <c r="M1068" s="1103"/>
      <c r="N1068" s="1096" t="e">
        <f t="shared" si="90"/>
        <v>#REF!</v>
      </c>
      <c r="O1068" s="1098" t="e">
        <f>#REF!+E1068+G1068</f>
        <v>#REF!</v>
      </c>
      <c r="P1068" s="1096" t="e">
        <f t="shared" si="91"/>
        <v>#REF!</v>
      </c>
      <c r="Q1068" s="1107"/>
      <c r="R1068" s="1104"/>
    </row>
    <row r="1069" spans="1:18" s="1108" customFormat="1">
      <c r="A1069" s="1085"/>
      <c r="B1069" s="1322" t="s">
        <v>4493</v>
      </c>
      <c r="C1069" s="1085" t="e">
        <f>#REF!</f>
        <v>#REF!</v>
      </c>
      <c r="D1069" s="1108" t="s">
        <v>306</v>
      </c>
      <c r="E1069" s="1240"/>
      <c r="F1069" s="1097" t="e">
        <f t="shared" si="86"/>
        <v>#REF!</v>
      </c>
      <c r="G1069" s="1103"/>
      <c r="H1069" s="1096" t="e">
        <f t="shared" si="87"/>
        <v>#REF!</v>
      </c>
      <c r="I1069" s="1103"/>
      <c r="J1069" s="1096" t="e">
        <f t="shared" si="88"/>
        <v>#REF!</v>
      </c>
      <c r="K1069" s="1096"/>
      <c r="L1069" s="1096" t="e">
        <f t="shared" si="89"/>
        <v>#REF!</v>
      </c>
      <c r="M1069" s="1103"/>
      <c r="N1069" s="1096" t="e">
        <f t="shared" si="90"/>
        <v>#REF!</v>
      </c>
      <c r="O1069" s="1098" t="e">
        <f>#REF!+E1069+G1069</f>
        <v>#REF!</v>
      </c>
      <c r="P1069" s="1096" t="e">
        <f t="shared" si="91"/>
        <v>#REF!</v>
      </c>
      <c r="Q1069" s="1107"/>
      <c r="R1069" s="1104"/>
    </row>
    <row r="1070" spans="1:18" s="1108" customFormat="1">
      <c r="A1070" s="1085"/>
      <c r="B1070" s="1322" t="s">
        <v>4494</v>
      </c>
      <c r="C1070" s="1085" t="e">
        <f>#REF!</f>
        <v>#REF!</v>
      </c>
      <c r="D1070" s="1108" t="s">
        <v>306</v>
      </c>
      <c r="E1070" s="1240"/>
      <c r="F1070" s="1097" t="e">
        <f t="shared" si="86"/>
        <v>#REF!</v>
      </c>
      <c r="G1070" s="1103"/>
      <c r="H1070" s="1096" t="e">
        <f t="shared" si="87"/>
        <v>#REF!</v>
      </c>
      <c r="I1070" s="1103"/>
      <c r="J1070" s="1096" t="e">
        <f t="shared" si="88"/>
        <v>#REF!</v>
      </c>
      <c r="K1070" s="1096"/>
      <c r="L1070" s="1096" t="e">
        <f t="shared" si="89"/>
        <v>#REF!</v>
      </c>
      <c r="M1070" s="1103"/>
      <c r="N1070" s="1096" t="e">
        <f t="shared" si="90"/>
        <v>#REF!</v>
      </c>
      <c r="O1070" s="1098" t="e">
        <f>#REF!+E1070+G1070</f>
        <v>#REF!</v>
      </c>
      <c r="P1070" s="1096" t="e">
        <f t="shared" si="91"/>
        <v>#REF!</v>
      </c>
      <c r="Q1070" s="1107"/>
      <c r="R1070" s="1104"/>
    </row>
    <row r="1071" spans="1:18" s="1108" customFormat="1">
      <c r="A1071" s="1085"/>
      <c r="B1071" s="1322" t="s">
        <v>4495</v>
      </c>
      <c r="C1071" s="1085" t="e">
        <f>#REF!</f>
        <v>#REF!</v>
      </c>
      <c r="D1071" s="1108" t="s">
        <v>306</v>
      </c>
      <c r="E1071" s="1240"/>
      <c r="F1071" s="1097" t="e">
        <f t="shared" si="86"/>
        <v>#REF!</v>
      </c>
      <c r="G1071" s="1103"/>
      <c r="H1071" s="1096" t="e">
        <f t="shared" si="87"/>
        <v>#REF!</v>
      </c>
      <c r="I1071" s="1103"/>
      <c r="J1071" s="1096" t="e">
        <f t="shared" si="88"/>
        <v>#REF!</v>
      </c>
      <c r="K1071" s="1096"/>
      <c r="L1071" s="1096" t="e">
        <f t="shared" si="89"/>
        <v>#REF!</v>
      </c>
      <c r="M1071" s="1103"/>
      <c r="N1071" s="1096" t="e">
        <f t="shared" si="90"/>
        <v>#REF!</v>
      </c>
      <c r="O1071" s="1098" t="e">
        <f>#REF!+E1071+G1071</f>
        <v>#REF!</v>
      </c>
      <c r="P1071" s="1096" t="e">
        <f t="shared" ref="P1071:P1102" si="92">O1071*C1071</f>
        <v>#REF!</v>
      </c>
      <c r="Q1071" s="1107"/>
      <c r="R1071" s="1104"/>
    </row>
    <row r="1072" spans="1:18" s="1108" customFormat="1">
      <c r="A1072" s="1085"/>
      <c r="B1072" s="1322" t="s">
        <v>4496</v>
      </c>
      <c r="C1072" s="1085" t="e">
        <f>#REF!</f>
        <v>#REF!</v>
      </c>
      <c r="D1072" s="1108" t="s">
        <v>306</v>
      </c>
      <c r="E1072" s="1240"/>
      <c r="F1072" s="1097" t="e">
        <f t="shared" si="86"/>
        <v>#REF!</v>
      </c>
      <c r="G1072" s="1103"/>
      <c r="H1072" s="1096" t="e">
        <f t="shared" si="87"/>
        <v>#REF!</v>
      </c>
      <c r="I1072" s="1103"/>
      <c r="J1072" s="1096" t="e">
        <f t="shared" si="88"/>
        <v>#REF!</v>
      </c>
      <c r="K1072" s="1096"/>
      <c r="L1072" s="1096" t="e">
        <f t="shared" si="89"/>
        <v>#REF!</v>
      </c>
      <c r="M1072" s="1103"/>
      <c r="N1072" s="1096" t="e">
        <f t="shared" si="90"/>
        <v>#REF!</v>
      </c>
      <c r="O1072" s="1098" t="e">
        <f>#REF!+E1072+G1072</f>
        <v>#REF!</v>
      </c>
      <c r="P1072" s="1096" t="e">
        <f t="shared" si="92"/>
        <v>#REF!</v>
      </c>
      <c r="Q1072" s="1107"/>
      <c r="R1072" s="1104"/>
    </row>
    <row r="1073" spans="1:18" s="1108" customFormat="1" ht="46.5">
      <c r="A1073" s="1085"/>
      <c r="B1073" s="1270" t="s">
        <v>2659</v>
      </c>
      <c r="C1073" s="1085" t="e">
        <f>#REF!</f>
        <v>#REF!</v>
      </c>
      <c r="D1073" s="1108" t="s">
        <v>306</v>
      </c>
      <c r="E1073" s="1240"/>
      <c r="F1073" s="1097" t="e">
        <f t="shared" si="86"/>
        <v>#REF!</v>
      </c>
      <c r="G1073" s="1103"/>
      <c r="H1073" s="1096" t="e">
        <f t="shared" si="87"/>
        <v>#REF!</v>
      </c>
      <c r="I1073" s="1103"/>
      <c r="J1073" s="1096" t="e">
        <f t="shared" si="88"/>
        <v>#REF!</v>
      </c>
      <c r="K1073" s="1096"/>
      <c r="L1073" s="1096" t="e">
        <f t="shared" si="89"/>
        <v>#REF!</v>
      </c>
      <c r="M1073" s="1103"/>
      <c r="N1073" s="1096" t="e">
        <f t="shared" si="90"/>
        <v>#REF!</v>
      </c>
      <c r="O1073" s="1098" t="e">
        <f>#REF!+E1073+G1073</f>
        <v>#REF!</v>
      </c>
      <c r="P1073" s="1096" t="e">
        <f t="shared" si="92"/>
        <v>#REF!</v>
      </c>
      <c r="Q1073" s="1107"/>
      <c r="R1073" s="1104"/>
    </row>
    <row r="1074" spans="1:18" s="1108" customFormat="1">
      <c r="A1074" s="1085"/>
      <c r="B1074" s="1322" t="s">
        <v>4497</v>
      </c>
      <c r="C1074" s="1085" t="e">
        <f>#REF!</f>
        <v>#REF!</v>
      </c>
      <c r="E1074" s="1240"/>
      <c r="F1074" s="1097" t="e">
        <f t="shared" si="86"/>
        <v>#REF!</v>
      </c>
      <c r="G1074" s="1103"/>
      <c r="H1074" s="1096" t="e">
        <f t="shared" si="87"/>
        <v>#REF!</v>
      </c>
      <c r="I1074" s="1103"/>
      <c r="J1074" s="1096" t="e">
        <f t="shared" si="88"/>
        <v>#REF!</v>
      </c>
      <c r="K1074" s="1096"/>
      <c r="L1074" s="1096" t="e">
        <f t="shared" si="89"/>
        <v>#REF!</v>
      </c>
      <c r="M1074" s="1103"/>
      <c r="N1074" s="1096" t="e">
        <f t="shared" si="90"/>
        <v>#REF!</v>
      </c>
      <c r="O1074" s="1098" t="e">
        <f>#REF!+E1074+G1074</f>
        <v>#REF!</v>
      </c>
      <c r="P1074" s="1096" t="e">
        <f t="shared" si="92"/>
        <v>#REF!</v>
      </c>
      <c r="Q1074" s="1107"/>
      <c r="R1074" s="1104"/>
    </row>
    <row r="1075" spans="1:18" s="1108" customFormat="1">
      <c r="A1075" s="1085"/>
      <c r="B1075" s="1322" t="s">
        <v>4498</v>
      </c>
      <c r="C1075" s="1085" t="e">
        <f>#REF!</f>
        <v>#REF!</v>
      </c>
      <c r="E1075" s="1240"/>
      <c r="F1075" s="1097" t="e">
        <f t="shared" si="86"/>
        <v>#REF!</v>
      </c>
      <c r="G1075" s="1103"/>
      <c r="H1075" s="1096" t="e">
        <f t="shared" si="87"/>
        <v>#REF!</v>
      </c>
      <c r="I1075" s="1103"/>
      <c r="J1075" s="1096" t="e">
        <f t="shared" si="88"/>
        <v>#REF!</v>
      </c>
      <c r="K1075" s="1096"/>
      <c r="L1075" s="1096" t="e">
        <f t="shared" si="89"/>
        <v>#REF!</v>
      </c>
      <c r="M1075" s="1103"/>
      <c r="N1075" s="1096" t="e">
        <f t="shared" si="90"/>
        <v>#REF!</v>
      </c>
      <c r="O1075" s="1098" t="e">
        <f>#REF!+E1075+G1075</f>
        <v>#REF!</v>
      </c>
      <c r="P1075" s="1096" t="e">
        <f t="shared" si="92"/>
        <v>#REF!</v>
      </c>
      <c r="Q1075" s="1107"/>
      <c r="R1075" s="1104"/>
    </row>
    <row r="1076" spans="1:18" s="1108" customFormat="1">
      <c r="A1076" s="1085"/>
      <c r="B1076" s="1322" t="s">
        <v>4499</v>
      </c>
      <c r="C1076" s="1085" t="e">
        <f>#REF!</f>
        <v>#REF!</v>
      </c>
      <c r="E1076" s="1240"/>
      <c r="F1076" s="1097" t="e">
        <f t="shared" si="86"/>
        <v>#REF!</v>
      </c>
      <c r="G1076" s="1103"/>
      <c r="H1076" s="1096" t="e">
        <f t="shared" si="87"/>
        <v>#REF!</v>
      </c>
      <c r="I1076" s="1103"/>
      <c r="J1076" s="1096" t="e">
        <f t="shared" si="88"/>
        <v>#REF!</v>
      </c>
      <c r="K1076" s="1096"/>
      <c r="L1076" s="1096" t="e">
        <f t="shared" si="89"/>
        <v>#REF!</v>
      </c>
      <c r="M1076" s="1103"/>
      <c r="N1076" s="1096" t="e">
        <f t="shared" si="90"/>
        <v>#REF!</v>
      </c>
      <c r="O1076" s="1098" t="e">
        <f>#REF!+E1076+G1076</f>
        <v>#REF!</v>
      </c>
      <c r="P1076" s="1096" t="e">
        <f t="shared" si="92"/>
        <v>#REF!</v>
      </c>
      <c r="Q1076" s="1107"/>
      <c r="R1076" s="1104"/>
    </row>
    <row r="1077" spans="1:18" s="1108" customFormat="1">
      <c r="A1077" s="1085"/>
      <c r="B1077" s="1322" t="s">
        <v>4500</v>
      </c>
      <c r="C1077" s="1085" t="e">
        <f>#REF!</f>
        <v>#REF!</v>
      </c>
      <c r="E1077" s="1240"/>
      <c r="F1077" s="1097" t="e">
        <f t="shared" si="86"/>
        <v>#REF!</v>
      </c>
      <c r="G1077" s="1103"/>
      <c r="H1077" s="1096" t="e">
        <f t="shared" si="87"/>
        <v>#REF!</v>
      </c>
      <c r="I1077" s="1103"/>
      <c r="J1077" s="1096" t="e">
        <f t="shared" si="88"/>
        <v>#REF!</v>
      </c>
      <c r="K1077" s="1096"/>
      <c r="L1077" s="1096" t="e">
        <f t="shared" si="89"/>
        <v>#REF!</v>
      </c>
      <c r="M1077" s="1103"/>
      <c r="N1077" s="1096" t="e">
        <f t="shared" si="90"/>
        <v>#REF!</v>
      </c>
      <c r="O1077" s="1098" t="e">
        <f>#REF!+E1077+G1077</f>
        <v>#REF!</v>
      </c>
      <c r="P1077" s="1096" t="e">
        <f t="shared" si="92"/>
        <v>#REF!</v>
      </c>
      <c r="Q1077" s="1107"/>
      <c r="R1077" s="1104"/>
    </row>
    <row r="1078" spans="1:18" s="1108" customFormat="1" ht="69.75">
      <c r="A1078" s="1085"/>
      <c r="B1078" s="1270" t="s">
        <v>4501</v>
      </c>
      <c r="C1078" s="1085" t="e">
        <f>#REF!</f>
        <v>#REF!</v>
      </c>
      <c r="E1078" s="1240"/>
      <c r="F1078" s="1097" t="e">
        <f t="shared" si="86"/>
        <v>#REF!</v>
      </c>
      <c r="G1078" s="1103"/>
      <c r="H1078" s="1096" t="e">
        <f t="shared" si="87"/>
        <v>#REF!</v>
      </c>
      <c r="I1078" s="1103"/>
      <c r="J1078" s="1096" t="e">
        <f t="shared" si="88"/>
        <v>#REF!</v>
      </c>
      <c r="K1078" s="1096"/>
      <c r="L1078" s="1096" t="e">
        <f t="shared" si="89"/>
        <v>#REF!</v>
      </c>
      <c r="M1078" s="1103"/>
      <c r="N1078" s="1096" t="e">
        <f t="shared" si="90"/>
        <v>#REF!</v>
      </c>
      <c r="O1078" s="1098" t="e">
        <f>#REF!+E1078+G1078</f>
        <v>#REF!</v>
      </c>
      <c r="P1078" s="1096" t="e">
        <f t="shared" si="92"/>
        <v>#REF!</v>
      </c>
      <c r="Q1078" s="1107"/>
      <c r="R1078" s="1104"/>
    </row>
    <row r="1079" spans="1:18" s="1108" customFormat="1" ht="69.75">
      <c r="A1079" s="1085"/>
      <c r="B1079" s="1270" t="s">
        <v>4502</v>
      </c>
      <c r="C1079" s="1085" t="e">
        <f>#REF!</f>
        <v>#REF!</v>
      </c>
      <c r="E1079" s="1240"/>
      <c r="F1079" s="1097" t="e">
        <f t="shared" si="86"/>
        <v>#REF!</v>
      </c>
      <c r="G1079" s="1103"/>
      <c r="H1079" s="1096" t="e">
        <f t="shared" si="87"/>
        <v>#REF!</v>
      </c>
      <c r="I1079" s="1103"/>
      <c r="J1079" s="1096" t="e">
        <f t="shared" si="88"/>
        <v>#REF!</v>
      </c>
      <c r="K1079" s="1096"/>
      <c r="L1079" s="1096" t="e">
        <f t="shared" si="89"/>
        <v>#REF!</v>
      </c>
      <c r="M1079" s="1103"/>
      <c r="N1079" s="1096" t="e">
        <f t="shared" si="90"/>
        <v>#REF!</v>
      </c>
      <c r="O1079" s="1098" t="e">
        <f>#REF!+E1079+G1079</f>
        <v>#REF!</v>
      </c>
      <c r="P1079" s="1096" t="e">
        <f t="shared" si="92"/>
        <v>#REF!</v>
      </c>
      <c r="Q1079" s="1107"/>
      <c r="R1079" s="1104"/>
    </row>
    <row r="1080" spans="1:18" s="1108" customFormat="1" ht="46.5">
      <c r="A1080" s="1085"/>
      <c r="B1080" s="1270" t="s">
        <v>4503</v>
      </c>
      <c r="C1080" s="1085" t="e">
        <f>#REF!</f>
        <v>#REF!</v>
      </c>
      <c r="E1080" s="1240"/>
      <c r="F1080" s="1097" t="e">
        <f t="shared" si="86"/>
        <v>#REF!</v>
      </c>
      <c r="G1080" s="1103"/>
      <c r="H1080" s="1096" t="e">
        <f t="shared" si="87"/>
        <v>#REF!</v>
      </c>
      <c r="I1080" s="1103"/>
      <c r="J1080" s="1096" t="e">
        <f t="shared" si="88"/>
        <v>#REF!</v>
      </c>
      <c r="K1080" s="1096"/>
      <c r="L1080" s="1096" t="e">
        <f t="shared" si="89"/>
        <v>#REF!</v>
      </c>
      <c r="M1080" s="1103"/>
      <c r="N1080" s="1096" t="e">
        <f t="shared" si="90"/>
        <v>#REF!</v>
      </c>
      <c r="O1080" s="1098" t="e">
        <f>#REF!+E1080+G1080</f>
        <v>#REF!</v>
      </c>
      <c r="P1080" s="1096" t="e">
        <f t="shared" si="92"/>
        <v>#REF!</v>
      </c>
      <c r="Q1080" s="1107"/>
      <c r="R1080" s="1104"/>
    </row>
    <row r="1081" spans="1:18" s="1108" customFormat="1" ht="69.75">
      <c r="A1081" s="1085"/>
      <c r="B1081" s="1270" t="s">
        <v>4504</v>
      </c>
      <c r="C1081" s="1085" t="e">
        <f>#REF!</f>
        <v>#REF!</v>
      </c>
      <c r="E1081" s="1240"/>
      <c r="F1081" s="1097" t="e">
        <f t="shared" si="86"/>
        <v>#REF!</v>
      </c>
      <c r="G1081" s="1103"/>
      <c r="H1081" s="1096" t="e">
        <f t="shared" si="87"/>
        <v>#REF!</v>
      </c>
      <c r="I1081" s="1103"/>
      <c r="J1081" s="1096" t="e">
        <f t="shared" si="88"/>
        <v>#REF!</v>
      </c>
      <c r="K1081" s="1096"/>
      <c r="L1081" s="1096" t="e">
        <f t="shared" si="89"/>
        <v>#REF!</v>
      </c>
      <c r="M1081" s="1103"/>
      <c r="N1081" s="1096" t="e">
        <f t="shared" si="90"/>
        <v>#REF!</v>
      </c>
      <c r="O1081" s="1098" t="e">
        <f>#REF!+E1081+G1081</f>
        <v>#REF!</v>
      </c>
      <c r="P1081" s="1096" t="e">
        <f t="shared" si="92"/>
        <v>#REF!</v>
      </c>
      <c r="Q1081" s="1107"/>
      <c r="R1081" s="1104"/>
    </row>
    <row r="1082" spans="1:18" s="1108" customFormat="1">
      <c r="A1082" s="1085"/>
      <c r="B1082" s="1270" t="s">
        <v>4505</v>
      </c>
      <c r="C1082" s="1085" t="e">
        <f>#REF!</f>
        <v>#REF!</v>
      </c>
      <c r="E1082" s="1240"/>
      <c r="F1082" s="1097" t="e">
        <f t="shared" si="86"/>
        <v>#REF!</v>
      </c>
      <c r="G1082" s="1103"/>
      <c r="H1082" s="1096" t="e">
        <f t="shared" si="87"/>
        <v>#REF!</v>
      </c>
      <c r="I1082" s="1103"/>
      <c r="J1082" s="1096" t="e">
        <f t="shared" si="88"/>
        <v>#REF!</v>
      </c>
      <c r="K1082" s="1096"/>
      <c r="L1082" s="1096" t="e">
        <f t="shared" si="89"/>
        <v>#REF!</v>
      </c>
      <c r="M1082" s="1103"/>
      <c r="N1082" s="1096" t="e">
        <f t="shared" si="90"/>
        <v>#REF!</v>
      </c>
      <c r="O1082" s="1098" t="e">
        <f>#REF!+E1082+G1082</f>
        <v>#REF!</v>
      </c>
      <c r="P1082" s="1096" t="e">
        <f t="shared" si="92"/>
        <v>#REF!</v>
      </c>
      <c r="Q1082" s="1107"/>
      <c r="R1082" s="1104"/>
    </row>
    <row r="1083" spans="1:18" s="1108" customFormat="1">
      <c r="A1083" s="1085"/>
      <c r="B1083" s="1270" t="s">
        <v>4506</v>
      </c>
      <c r="C1083" s="1085" t="e">
        <f>#REF!</f>
        <v>#REF!</v>
      </c>
      <c r="E1083" s="1240"/>
      <c r="F1083" s="1097" t="e">
        <f t="shared" si="86"/>
        <v>#REF!</v>
      </c>
      <c r="G1083" s="1103"/>
      <c r="H1083" s="1096" t="e">
        <f t="shared" si="87"/>
        <v>#REF!</v>
      </c>
      <c r="I1083" s="1103"/>
      <c r="J1083" s="1096" t="e">
        <f t="shared" si="88"/>
        <v>#REF!</v>
      </c>
      <c r="K1083" s="1096"/>
      <c r="L1083" s="1096" t="e">
        <f t="shared" si="89"/>
        <v>#REF!</v>
      </c>
      <c r="M1083" s="1103"/>
      <c r="N1083" s="1096" t="e">
        <f t="shared" si="90"/>
        <v>#REF!</v>
      </c>
      <c r="O1083" s="1098" t="e">
        <f>#REF!+E1083+G1083</f>
        <v>#REF!</v>
      </c>
      <c r="P1083" s="1096" t="e">
        <f t="shared" si="92"/>
        <v>#REF!</v>
      </c>
      <c r="Q1083" s="1107"/>
      <c r="R1083" s="1104"/>
    </row>
    <row r="1084" spans="1:18" s="1108" customFormat="1">
      <c r="A1084" s="1085"/>
      <c r="B1084" s="1270" t="s">
        <v>4507</v>
      </c>
      <c r="C1084" s="1085" t="e">
        <f>#REF!</f>
        <v>#REF!</v>
      </c>
      <c r="E1084" s="1240"/>
      <c r="F1084" s="1097" t="e">
        <f t="shared" si="86"/>
        <v>#REF!</v>
      </c>
      <c r="G1084" s="1103"/>
      <c r="H1084" s="1096" t="e">
        <f t="shared" si="87"/>
        <v>#REF!</v>
      </c>
      <c r="I1084" s="1103"/>
      <c r="J1084" s="1096" t="e">
        <f t="shared" si="88"/>
        <v>#REF!</v>
      </c>
      <c r="K1084" s="1096"/>
      <c r="L1084" s="1096" t="e">
        <f t="shared" si="89"/>
        <v>#REF!</v>
      </c>
      <c r="M1084" s="1103"/>
      <c r="N1084" s="1096" t="e">
        <f t="shared" si="90"/>
        <v>#REF!</v>
      </c>
      <c r="O1084" s="1098" t="e">
        <f>#REF!+E1084+G1084</f>
        <v>#REF!</v>
      </c>
      <c r="P1084" s="1096" t="e">
        <f t="shared" si="92"/>
        <v>#REF!</v>
      </c>
      <c r="Q1084" s="1107"/>
      <c r="R1084" s="1104"/>
    </row>
    <row r="1085" spans="1:18" s="1108" customFormat="1" ht="93">
      <c r="A1085" s="1085"/>
      <c r="B1085" s="1270" t="s">
        <v>4508</v>
      </c>
      <c r="C1085" s="1085" t="e">
        <f>#REF!</f>
        <v>#REF!</v>
      </c>
      <c r="E1085" s="1240"/>
      <c r="F1085" s="1097" t="e">
        <f t="shared" si="86"/>
        <v>#REF!</v>
      </c>
      <c r="G1085" s="1103"/>
      <c r="H1085" s="1096" t="e">
        <f t="shared" si="87"/>
        <v>#REF!</v>
      </c>
      <c r="I1085" s="1103"/>
      <c r="J1085" s="1096" t="e">
        <f t="shared" si="88"/>
        <v>#REF!</v>
      </c>
      <c r="K1085" s="1096"/>
      <c r="L1085" s="1096" t="e">
        <f t="shared" si="89"/>
        <v>#REF!</v>
      </c>
      <c r="M1085" s="1103"/>
      <c r="N1085" s="1096" t="e">
        <f t="shared" si="90"/>
        <v>#REF!</v>
      </c>
      <c r="O1085" s="1098" t="e">
        <f>#REF!+E1085+G1085</f>
        <v>#REF!</v>
      </c>
      <c r="P1085" s="1096" t="e">
        <f t="shared" si="92"/>
        <v>#REF!</v>
      </c>
      <c r="Q1085" s="1107"/>
      <c r="R1085" s="1104"/>
    </row>
    <row r="1086" spans="1:18" s="1108" customFormat="1" ht="93">
      <c r="A1086" s="1085"/>
      <c r="B1086" s="1270" t="s">
        <v>4509</v>
      </c>
      <c r="C1086" s="1085" t="e">
        <f>#REF!</f>
        <v>#REF!</v>
      </c>
      <c r="E1086" s="1240"/>
      <c r="F1086" s="1097" t="e">
        <f t="shared" si="86"/>
        <v>#REF!</v>
      </c>
      <c r="G1086" s="1103"/>
      <c r="H1086" s="1096" t="e">
        <f t="shared" si="87"/>
        <v>#REF!</v>
      </c>
      <c r="I1086" s="1103"/>
      <c r="J1086" s="1096" t="e">
        <f t="shared" si="88"/>
        <v>#REF!</v>
      </c>
      <c r="K1086" s="1096"/>
      <c r="L1086" s="1096" t="e">
        <f t="shared" si="89"/>
        <v>#REF!</v>
      </c>
      <c r="M1086" s="1103"/>
      <c r="N1086" s="1096" t="e">
        <f t="shared" si="90"/>
        <v>#REF!</v>
      </c>
      <c r="O1086" s="1098" t="e">
        <f>#REF!+E1086+G1086</f>
        <v>#REF!</v>
      </c>
      <c r="P1086" s="1096" t="e">
        <f t="shared" si="92"/>
        <v>#REF!</v>
      </c>
      <c r="Q1086" s="1107"/>
      <c r="R1086" s="1104"/>
    </row>
    <row r="1087" spans="1:18" s="1108" customFormat="1" ht="69.75">
      <c r="A1087" s="1085"/>
      <c r="B1087" s="1270" t="s">
        <v>4510</v>
      </c>
      <c r="C1087" s="1085" t="e">
        <f>#REF!</f>
        <v>#REF!</v>
      </c>
      <c r="E1087" s="1240"/>
      <c r="F1087" s="1097" t="e">
        <f t="shared" si="86"/>
        <v>#REF!</v>
      </c>
      <c r="G1087" s="1103"/>
      <c r="H1087" s="1096" t="e">
        <f t="shared" si="87"/>
        <v>#REF!</v>
      </c>
      <c r="I1087" s="1103"/>
      <c r="J1087" s="1096" t="e">
        <f t="shared" si="88"/>
        <v>#REF!</v>
      </c>
      <c r="K1087" s="1096"/>
      <c r="L1087" s="1096" t="e">
        <f t="shared" si="89"/>
        <v>#REF!</v>
      </c>
      <c r="M1087" s="1103"/>
      <c r="N1087" s="1096" t="e">
        <f t="shared" si="90"/>
        <v>#REF!</v>
      </c>
      <c r="O1087" s="1098" t="e">
        <f>#REF!+E1087+G1087</f>
        <v>#REF!</v>
      </c>
      <c r="P1087" s="1096" t="e">
        <f t="shared" si="92"/>
        <v>#REF!</v>
      </c>
      <c r="Q1087" s="1107"/>
      <c r="R1087" s="1104"/>
    </row>
    <row r="1088" spans="1:18" s="1108" customFormat="1" ht="69.75">
      <c r="A1088" s="1085"/>
      <c r="B1088" s="1270" t="s">
        <v>4511</v>
      </c>
      <c r="C1088" s="1085" t="e">
        <f>#REF!</f>
        <v>#REF!</v>
      </c>
      <c r="E1088" s="1240"/>
      <c r="F1088" s="1097" t="e">
        <f t="shared" si="86"/>
        <v>#REF!</v>
      </c>
      <c r="G1088" s="1103"/>
      <c r="H1088" s="1096" t="e">
        <f t="shared" si="87"/>
        <v>#REF!</v>
      </c>
      <c r="I1088" s="1103"/>
      <c r="J1088" s="1096" t="e">
        <f t="shared" si="88"/>
        <v>#REF!</v>
      </c>
      <c r="K1088" s="1096"/>
      <c r="L1088" s="1096" t="e">
        <f t="shared" si="89"/>
        <v>#REF!</v>
      </c>
      <c r="M1088" s="1103"/>
      <c r="N1088" s="1096" t="e">
        <f t="shared" si="90"/>
        <v>#REF!</v>
      </c>
      <c r="O1088" s="1098" t="e">
        <f>#REF!+E1088+G1088</f>
        <v>#REF!</v>
      </c>
      <c r="P1088" s="1096" t="e">
        <f t="shared" si="92"/>
        <v>#REF!</v>
      </c>
      <c r="Q1088" s="1107"/>
      <c r="R1088" s="1104"/>
    </row>
    <row r="1089" spans="1:18" s="1108" customFormat="1" ht="116.25">
      <c r="A1089" s="1085"/>
      <c r="B1089" s="1270" t="s">
        <v>4512</v>
      </c>
      <c r="C1089" s="1085" t="e">
        <f>#REF!</f>
        <v>#REF!</v>
      </c>
      <c r="E1089" s="1240"/>
      <c r="F1089" s="1097" t="e">
        <f t="shared" si="86"/>
        <v>#REF!</v>
      </c>
      <c r="G1089" s="1103"/>
      <c r="H1089" s="1096" t="e">
        <f t="shared" si="87"/>
        <v>#REF!</v>
      </c>
      <c r="I1089" s="1103"/>
      <c r="J1089" s="1096" t="e">
        <f t="shared" si="88"/>
        <v>#REF!</v>
      </c>
      <c r="K1089" s="1096"/>
      <c r="L1089" s="1096" t="e">
        <f t="shared" si="89"/>
        <v>#REF!</v>
      </c>
      <c r="M1089" s="1103"/>
      <c r="N1089" s="1096" t="e">
        <f t="shared" si="90"/>
        <v>#REF!</v>
      </c>
      <c r="O1089" s="1098" t="e">
        <f>#REF!+E1089+G1089</f>
        <v>#REF!</v>
      </c>
      <c r="P1089" s="1096" t="e">
        <f t="shared" si="92"/>
        <v>#REF!</v>
      </c>
      <c r="Q1089" s="1107"/>
      <c r="R1089" s="1104"/>
    </row>
    <row r="1090" spans="1:18" s="1108" customFormat="1" ht="93">
      <c r="A1090" s="1085"/>
      <c r="B1090" s="1270" t="s">
        <v>4513</v>
      </c>
      <c r="C1090" s="1085" t="e">
        <f>#REF!</f>
        <v>#REF!</v>
      </c>
      <c r="E1090" s="1240"/>
      <c r="F1090" s="1097" t="e">
        <f t="shared" si="86"/>
        <v>#REF!</v>
      </c>
      <c r="G1090" s="1103"/>
      <c r="H1090" s="1096" t="e">
        <f t="shared" si="87"/>
        <v>#REF!</v>
      </c>
      <c r="I1090" s="1103"/>
      <c r="J1090" s="1096" t="e">
        <f t="shared" si="88"/>
        <v>#REF!</v>
      </c>
      <c r="K1090" s="1096"/>
      <c r="L1090" s="1096" t="e">
        <f t="shared" si="89"/>
        <v>#REF!</v>
      </c>
      <c r="M1090" s="1103"/>
      <c r="N1090" s="1096" t="e">
        <f t="shared" si="90"/>
        <v>#REF!</v>
      </c>
      <c r="O1090" s="1098" t="e">
        <f>#REF!+E1090+G1090</f>
        <v>#REF!</v>
      </c>
      <c r="P1090" s="1096" t="e">
        <f t="shared" si="92"/>
        <v>#REF!</v>
      </c>
      <c r="Q1090" s="1107"/>
      <c r="R1090" s="1104"/>
    </row>
    <row r="1091" spans="1:18" s="1108" customFormat="1" ht="46.5">
      <c r="A1091" s="1085"/>
      <c r="B1091" s="1270" t="s">
        <v>4514</v>
      </c>
      <c r="C1091" s="1085" t="e">
        <f>#REF!</f>
        <v>#REF!</v>
      </c>
      <c r="E1091" s="1240"/>
      <c r="F1091" s="1097" t="e">
        <f t="shared" si="86"/>
        <v>#REF!</v>
      </c>
      <c r="G1091" s="1103"/>
      <c r="H1091" s="1096" t="e">
        <f t="shared" si="87"/>
        <v>#REF!</v>
      </c>
      <c r="I1091" s="1103"/>
      <c r="J1091" s="1096" t="e">
        <f t="shared" si="88"/>
        <v>#REF!</v>
      </c>
      <c r="K1091" s="1096"/>
      <c r="L1091" s="1096" t="e">
        <f t="shared" si="89"/>
        <v>#REF!</v>
      </c>
      <c r="M1091" s="1103"/>
      <c r="N1091" s="1096" t="e">
        <f t="shared" si="90"/>
        <v>#REF!</v>
      </c>
      <c r="O1091" s="1098" t="e">
        <f>#REF!+E1091+G1091</f>
        <v>#REF!</v>
      </c>
      <c r="P1091" s="1096" t="e">
        <f t="shared" si="92"/>
        <v>#REF!</v>
      </c>
      <c r="Q1091" s="1107"/>
      <c r="R1091" s="1104"/>
    </row>
    <row r="1092" spans="1:18" s="1108" customFormat="1" ht="46.5">
      <c r="A1092" s="1085"/>
      <c r="B1092" s="1270" t="s">
        <v>4515</v>
      </c>
      <c r="C1092" s="1085" t="e">
        <f>#REF!</f>
        <v>#REF!</v>
      </c>
      <c r="E1092" s="1240"/>
      <c r="F1092" s="1097" t="e">
        <f t="shared" si="86"/>
        <v>#REF!</v>
      </c>
      <c r="G1092" s="1103"/>
      <c r="H1092" s="1096" t="e">
        <f t="shared" si="87"/>
        <v>#REF!</v>
      </c>
      <c r="I1092" s="1103"/>
      <c r="J1092" s="1096" t="e">
        <f t="shared" si="88"/>
        <v>#REF!</v>
      </c>
      <c r="K1092" s="1096"/>
      <c r="L1092" s="1096" t="e">
        <f t="shared" si="89"/>
        <v>#REF!</v>
      </c>
      <c r="M1092" s="1103"/>
      <c r="N1092" s="1096" t="e">
        <f t="shared" si="90"/>
        <v>#REF!</v>
      </c>
      <c r="O1092" s="1098" t="e">
        <f>#REF!+E1092+G1092</f>
        <v>#REF!</v>
      </c>
      <c r="P1092" s="1096" t="e">
        <f t="shared" si="92"/>
        <v>#REF!</v>
      </c>
      <c r="Q1092" s="1107"/>
      <c r="R1092" s="1104"/>
    </row>
    <row r="1093" spans="1:18" s="1108" customFormat="1" ht="46.5">
      <c r="A1093" s="1085"/>
      <c r="B1093" s="1270" t="s">
        <v>4516</v>
      </c>
      <c r="C1093" s="1085" t="e">
        <f>#REF!</f>
        <v>#REF!</v>
      </c>
      <c r="E1093" s="1240"/>
      <c r="F1093" s="1097" t="e">
        <f t="shared" si="86"/>
        <v>#REF!</v>
      </c>
      <c r="G1093" s="1103"/>
      <c r="H1093" s="1096" t="e">
        <f t="shared" si="87"/>
        <v>#REF!</v>
      </c>
      <c r="I1093" s="1103"/>
      <c r="J1093" s="1096" t="e">
        <f t="shared" si="88"/>
        <v>#REF!</v>
      </c>
      <c r="K1093" s="1096"/>
      <c r="L1093" s="1096" t="e">
        <f t="shared" si="89"/>
        <v>#REF!</v>
      </c>
      <c r="M1093" s="1103"/>
      <c r="N1093" s="1096" t="e">
        <f t="shared" si="90"/>
        <v>#REF!</v>
      </c>
      <c r="O1093" s="1098" t="e">
        <f>#REF!+E1093+G1093</f>
        <v>#REF!</v>
      </c>
      <c r="P1093" s="1096" t="e">
        <f t="shared" si="92"/>
        <v>#REF!</v>
      </c>
      <c r="Q1093" s="1107"/>
      <c r="R1093" s="1104"/>
    </row>
    <row r="1094" spans="1:18" s="1108" customFormat="1" ht="46.5">
      <c r="A1094" s="1085"/>
      <c r="B1094" s="1270" t="s">
        <v>4517</v>
      </c>
      <c r="C1094" s="1085" t="e">
        <f>#REF!</f>
        <v>#REF!</v>
      </c>
      <c r="E1094" s="1240"/>
      <c r="F1094" s="1097" t="e">
        <f t="shared" si="86"/>
        <v>#REF!</v>
      </c>
      <c r="G1094" s="1103"/>
      <c r="H1094" s="1096" t="e">
        <f t="shared" si="87"/>
        <v>#REF!</v>
      </c>
      <c r="I1094" s="1103"/>
      <c r="J1094" s="1096" t="e">
        <f t="shared" si="88"/>
        <v>#REF!</v>
      </c>
      <c r="K1094" s="1096"/>
      <c r="L1094" s="1096" t="e">
        <f t="shared" si="89"/>
        <v>#REF!</v>
      </c>
      <c r="M1094" s="1103"/>
      <c r="N1094" s="1096" t="e">
        <f t="shared" si="90"/>
        <v>#REF!</v>
      </c>
      <c r="O1094" s="1098" t="e">
        <f>#REF!+E1094+G1094</f>
        <v>#REF!</v>
      </c>
      <c r="P1094" s="1096" t="e">
        <f t="shared" si="92"/>
        <v>#REF!</v>
      </c>
      <c r="Q1094" s="1107"/>
      <c r="R1094" s="1104"/>
    </row>
    <row r="1095" spans="1:18" s="1108" customFormat="1" ht="46.5">
      <c r="A1095" s="1085"/>
      <c r="B1095" s="1270" t="s">
        <v>4518</v>
      </c>
      <c r="C1095" s="1085" t="e">
        <f>#REF!</f>
        <v>#REF!</v>
      </c>
      <c r="E1095" s="1240"/>
      <c r="F1095" s="1097" t="e">
        <f t="shared" si="86"/>
        <v>#REF!</v>
      </c>
      <c r="G1095" s="1103"/>
      <c r="H1095" s="1096" t="e">
        <f t="shared" si="87"/>
        <v>#REF!</v>
      </c>
      <c r="I1095" s="1103"/>
      <c r="J1095" s="1096" t="e">
        <f t="shared" si="88"/>
        <v>#REF!</v>
      </c>
      <c r="K1095" s="1096"/>
      <c r="L1095" s="1096" t="e">
        <f t="shared" si="89"/>
        <v>#REF!</v>
      </c>
      <c r="M1095" s="1103"/>
      <c r="N1095" s="1096" t="e">
        <f t="shared" si="90"/>
        <v>#REF!</v>
      </c>
      <c r="O1095" s="1098" t="e">
        <f>#REF!+E1095+G1095</f>
        <v>#REF!</v>
      </c>
      <c r="P1095" s="1096" t="e">
        <f t="shared" si="92"/>
        <v>#REF!</v>
      </c>
      <c r="Q1095" s="1107"/>
      <c r="R1095" s="1104"/>
    </row>
    <row r="1096" spans="1:18" s="1108" customFormat="1" ht="46.5">
      <c r="A1096" s="1085"/>
      <c r="B1096" s="1270" t="s">
        <v>4519</v>
      </c>
      <c r="C1096" s="1085" t="e">
        <f>#REF!</f>
        <v>#REF!</v>
      </c>
      <c r="E1096" s="1240"/>
      <c r="F1096" s="1097" t="e">
        <f t="shared" si="86"/>
        <v>#REF!</v>
      </c>
      <c r="G1096" s="1103"/>
      <c r="H1096" s="1096" t="e">
        <f t="shared" si="87"/>
        <v>#REF!</v>
      </c>
      <c r="I1096" s="1103"/>
      <c r="J1096" s="1096" t="e">
        <f t="shared" si="88"/>
        <v>#REF!</v>
      </c>
      <c r="K1096" s="1096"/>
      <c r="L1096" s="1096" t="e">
        <f t="shared" si="89"/>
        <v>#REF!</v>
      </c>
      <c r="M1096" s="1103"/>
      <c r="N1096" s="1096" t="e">
        <f t="shared" si="90"/>
        <v>#REF!</v>
      </c>
      <c r="O1096" s="1098" t="e">
        <f>#REF!+E1096+G1096</f>
        <v>#REF!</v>
      </c>
      <c r="P1096" s="1096" t="e">
        <f t="shared" si="92"/>
        <v>#REF!</v>
      </c>
      <c r="Q1096" s="1107"/>
      <c r="R1096" s="1104"/>
    </row>
    <row r="1097" spans="1:18" s="1108" customFormat="1" ht="46.5">
      <c r="A1097" s="1085"/>
      <c r="B1097" s="1270" t="s">
        <v>4520</v>
      </c>
      <c r="C1097" s="1085" t="e">
        <f>#REF!</f>
        <v>#REF!</v>
      </c>
      <c r="E1097" s="1240"/>
      <c r="F1097" s="1097" t="e">
        <f t="shared" si="86"/>
        <v>#REF!</v>
      </c>
      <c r="G1097" s="1103"/>
      <c r="H1097" s="1096" t="e">
        <f t="shared" si="87"/>
        <v>#REF!</v>
      </c>
      <c r="I1097" s="1103"/>
      <c r="J1097" s="1096" t="e">
        <f t="shared" si="88"/>
        <v>#REF!</v>
      </c>
      <c r="K1097" s="1096"/>
      <c r="L1097" s="1096" t="e">
        <f t="shared" si="89"/>
        <v>#REF!</v>
      </c>
      <c r="M1097" s="1103"/>
      <c r="N1097" s="1096" t="e">
        <f t="shared" si="90"/>
        <v>#REF!</v>
      </c>
      <c r="O1097" s="1098" t="e">
        <f>#REF!+E1097+G1097</f>
        <v>#REF!</v>
      </c>
      <c r="P1097" s="1096" t="e">
        <f t="shared" si="92"/>
        <v>#REF!</v>
      </c>
      <c r="Q1097" s="1107"/>
      <c r="R1097" s="1104"/>
    </row>
    <row r="1098" spans="1:18" s="1108" customFormat="1" ht="46.5">
      <c r="A1098" s="1085"/>
      <c r="B1098" s="1270" t="s">
        <v>4521</v>
      </c>
      <c r="C1098" s="1085" t="e">
        <f>#REF!</f>
        <v>#REF!</v>
      </c>
      <c r="E1098" s="1240"/>
      <c r="F1098" s="1097" t="e">
        <f t="shared" ref="F1098:F1161" si="93">E1098*C1098</f>
        <v>#REF!</v>
      </c>
      <c r="G1098" s="1103"/>
      <c r="H1098" s="1096" t="e">
        <f t="shared" ref="H1098:H1154" si="94">G1098*C1098</f>
        <v>#REF!</v>
      </c>
      <c r="I1098" s="1103"/>
      <c r="J1098" s="1096" t="e">
        <f t="shared" ref="J1098:J1161" si="95">I1098*C1098</f>
        <v>#REF!</v>
      </c>
      <c r="K1098" s="1096"/>
      <c r="L1098" s="1096" t="e">
        <f t="shared" ref="L1098:L1158" si="96">K1098*C1098</f>
        <v>#REF!</v>
      </c>
      <c r="M1098" s="1103"/>
      <c r="N1098" s="1096" t="e">
        <f t="shared" ref="N1098:N1161" si="97">M1098*C1098</f>
        <v>#REF!</v>
      </c>
      <c r="O1098" s="1098" t="e">
        <f>#REF!+E1098+G1098</f>
        <v>#REF!</v>
      </c>
      <c r="P1098" s="1096" t="e">
        <f t="shared" si="92"/>
        <v>#REF!</v>
      </c>
      <c r="Q1098" s="1107"/>
      <c r="R1098" s="1104"/>
    </row>
    <row r="1099" spans="1:18" s="1108" customFormat="1" ht="69.75">
      <c r="A1099" s="1085"/>
      <c r="B1099" s="1270" t="s">
        <v>4522</v>
      </c>
      <c r="C1099" s="1085" t="e">
        <f>#REF!</f>
        <v>#REF!</v>
      </c>
      <c r="E1099" s="1240"/>
      <c r="F1099" s="1097" t="e">
        <f t="shared" si="93"/>
        <v>#REF!</v>
      </c>
      <c r="G1099" s="1103"/>
      <c r="H1099" s="1096" t="e">
        <f t="shared" si="94"/>
        <v>#REF!</v>
      </c>
      <c r="I1099" s="1103"/>
      <c r="J1099" s="1096" t="e">
        <f t="shared" si="95"/>
        <v>#REF!</v>
      </c>
      <c r="K1099" s="1096"/>
      <c r="L1099" s="1096" t="e">
        <f t="shared" si="96"/>
        <v>#REF!</v>
      </c>
      <c r="M1099" s="1103"/>
      <c r="N1099" s="1096" t="e">
        <f t="shared" si="97"/>
        <v>#REF!</v>
      </c>
      <c r="O1099" s="1098" t="e">
        <f>#REF!+E1099+G1099</f>
        <v>#REF!</v>
      </c>
      <c r="P1099" s="1096" t="e">
        <f t="shared" si="92"/>
        <v>#REF!</v>
      </c>
      <c r="Q1099" s="1107"/>
      <c r="R1099" s="1104"/>
    </row>
    <row r="1100" spans="1:18" s="1108" customFormat="1" ht="69.75">
      <c r="A1100" s="1085"/>
      <c r="B1100" s="1270" t="s">
        <v>4523</v>
      </c>
      <c r="C1100" s="1085" t="e">
        <f>#REF!</f>
        <v>#REF!</v>
      </c>
      <c r="E1100" s="1240"/>
      <c r="F1100" s="1097" t="e">
        <f t="shared" si="93"/>
        <v>#REF!</v>
      </c>
      <c r="G1100" s="1103"/>
      <c r="H1100" s="1096" t="e">
        <f t="shared" si="94"/>
        <v>#REF!</v>
      </c>
      <c r="I1100" s="1103"/>
      <c r="J1100" s="1096" t="e">
        <f t="shared" si="95"/>
        <v>#REF!</v>
      </c>
      <c r="K1100" s="1096"/>
      <c r="L1100" s="1096" t="e">
        <f t="shared" si="96"/>
        <v>#REF!</v>
      </c>
      <c r="M1100" s="1103"/>
      <c r="N1100" s="1096" t="e">
        <f t="shared" si="97"/>
        <v>#REF!</v>
      </c>
      <c r="O1100" s="1098" t="e">
        <f>#REF!+E1100+G1100</f>
        <v>#REF!</v>
      </c>
      <c r="P1100" s="1096" t="e">
        <f t="shared" si="92"/>
        <v>#REF!</v>
      </c>
      <c r="Q1100" s="1107"/>
      <c r="R1100" s="1104"/>
    </row>
    <row r="1101" spans="1:18" s="1108" customFormat="1">
      <c r="A1101" s="1085"/>
      <c r="B1101" s="1270" t="s">
        <v>4524</v>
      </c>
      <c r="C1101" s="1085" t="e">
        <f>#REF!</f>
        <v>#REF!</v>
      </c>
      <c r="E1101" s="1240"/>
      <c r="F1101" s="1097" t="e">
        <f t="shared" si="93"/>
        <v>#REF!</v>
      </c>
      <c r="G1101" s="1103"/>
      <c r="H1101" s="1096" t="e">
        <f t="shared" si="94"/>
        <v>#REF!</v>
      </c>
      <c r="I1101" s="1103"/>
      <c r="J1101" s="1096" t="e">
        <f t="shared" si="95"/>
        <v>#REF!</v>
      </c>
      <c r="K1101" s="1096"/>
      <c r="L1101" s="1096" t="e">
        <f t="shared" si="96"/>
        <v>#REF!</v>
      </c>
      <c r="M1101" s="1103"/>
      <c r="N1101" s="1096" t="e">
        <f t="shared" si="97"/>
        <v>#REF!</v>
      </c>
      <c r="O1101" s="1098" t="e">
        <f>#REF!+E1101+G1101</f>
        <v>#REF!</v>
      </c>
      <c r="P1101" s="1096" t="e">
        <f t="shared" si="92"/>
        <v>#REF!</v>
      </c>
      <c r="Q1101" s="1107"/>
      <c r="R1101" s="1104"/>
    </row>
    <row r="1102" spans="1:18" s="1108" customFormat="1">
      <c r="A1102" s="1085"/>
      <c r="B1102" s="1270" t="s">
        <v>4525</v>
      </c>
      <c r="C1102" s="1085" t="e">
        <f>#REF!</f>
        <v>#REF!</v>
      </c>
      <c r="E1102" s="1240"/>
      <c r="F1102" s="1097" t="e">
        <f t="shared" si="93"/>
        <v>#REF!</v>
      </c>
      <c r="G1102" s="1103"/>
      <c r="H1102" s="1096" t="e">
        <f t="shared" si="94"/>
        <v>#REF!</v>
      </c>
      <c r="I1102" s="1103"/>
      <c r="J1102" s="1096" t="e">
        <f t="shared" si="95"/>
        <v>#REF!</v>
      </c>
      <c r="K1102" s="1096"/>
      <c r="L1102" s="1096" t="e">
        <f t="shared" si="96"/>
        <v>#REF!</v>
      </c>
      <c r="M1102" s="1103"/>
      <c r="N1102" s="1096" t="e">
        <f t="shared" si="97"/>
        <v>#REF!</v>
      </c>
      <c r="O1102" s="1098" t="e">
        <f>#REF!+E1102+G1102</f>
        <v>#REF!</v>
      </c>
      <c r="P1102" s="1096" t="e">
        <f t="shared" si="92"/>
        <v>#REF!</v>
      </c>
      <c r="Q1102" s="1107"/>
      <c r="R1102" s="1104"/>
    </row>
    <row r="1103" spans="1:18" s="1108" customFormat="1">
      <c r="A1103" s="1085"/>
      <c r="B1103" s="1270" t="s">
        <v>4526</v>
      </c>
      <c r="C1103" s="1085" t="e">
        <f>#REF!</f>
        <v>#REF!</v>
      </c>
      <c r="E1103" s="1240"/>
      <c r="F1103" s="1097" t="e">
        <f t="shared" si="93"/>
        <v>#REF!</v>
      </c>
      <c r="G1103" s="1103"/>
      <c r="H1103" s="1096" t="e">
        <f t="shared" si="94"/>
        <v>#REF!</v>
      </c>
      <c r="I1103" s="1103"/>
      <c r="J1103" s="1096" t="e">
        <f t="shared" si="95"/>
        <v>#REF!</v>
      </c>
      <c r="K1103" s="1096"/>
      <c r="L1103" s="1096" t="e">
        <f t="shared" si="96"/>
        <v>#REF!</v>
      </c>
      <c r="M1103" s="1103"/>
      <c r="N1103" s="1096" t="e">
        <f t="shared" si="97"/>
        <v>#REF!</v>
      </c>
      <c r="O1103" s="1098" t="e">
        <f>#REF!+E1103+G1103</f>
        <v>#REF!</v>
      </c>
      <c r="P1103" s="1096" t="e">
        <f t="shared" ref="P1103:P1134" si="98">O1103*C1103</f>
        <v>#REF!</v>
      </c>
      <c r="Q1103" s="1107"/>
      <c r="R1103" s="1104"/>
    </row>
    <row r="1104" spans="1:18" s="1108" customFormat="1">
      <c r="A1104" s="1085"/>
      <c r="B1104" s="1270" t="s">
        <v>4527</v>
      </c>
      <c r="C1104" s="1085" t="e">
        <f>#REF!</f>
        <v>#REF!</v>
      </c>
      <c r="E1104" s="1240"/>
      <c r="F1104" s="1097" t="e">
        <f t="shared" si="93"/>
        <v>#REF!</v>
      </c>
      <c r="G1104" s="1103"/>
      <c r="H1104" s="1096" t="e">
        <f t="shared" si="94"/>
        <v>#REF!</v>
      </c>
      <c r="I1104" s="1103"/>
      <c r="J1104" s="1096" t="e">
        <f t="shared" si="95"/>
        <v>#REF!</v>
      </c>
      <c r="K1104" s="1096"/>
      <c r="L1104" s="1096" t="e">
        <f t="shared" si="96"/>
        <v>#REF!</v>
      </c>
      <c r="M1104" s="1103"/>
      <c r="N1104" s="1096" t="e">
        <f t="shared" si="97"/>
        <v>#REF!</v>
      </c>
      <c r="O1104" s="1098" t="e">
        <f>#REF!+E1104+G1104</f>
        <v>#REF!</v>
      </c>
      <c r="P1104" s="1096" t="e">
        <f t="shared" si="98"/>
        <v>#REF!</v>
      </c>
      <c r="Q1104" s="1107"/>
      <c r="R1104" s="1104"/>
    </row>
    <row r="1105" spans="1:18" s="1108" customFormat="1" ht="116.25">
      <c r="A1105" s="1085"/>
      <c r="B1105" s="1270" t="s">
        <v>4528</v>
      </c>
      <c r="C1105" s="1085" t="e">
        <f>#REF!</f>
        <v>#REF!</v>
      </c>
      <c r="E1105" s="1240"/>
      <c r="F1105" s="1097" t="e">
        <f t="shared" si="93"/>
        <v>#REF!</v>
      </c>
      <c r="G1105" s="1103"/>
      <c r="H1105" s="1096" t="e">
        <f t="shared" si="94"/>
        <v>#REF!</v>
      </c>
      <c r="I1105" s="1103"/>
      <c r="J1105" s="1096" t="e">
        <f t="shared" si="95"/>
        <v>#REF!</v>
      </c>
      <c r="K1105" s="1096"/>
      <c r="L1105" s="1096" t="e">
        <f t="shared" si="96"/>
        <v>#REF!</v>
      </c>
      <c r="M1105" s="1103"/>
      <c r="N1105" s="1096" t="e">
        <f t="shared" si="97"/>
        <v>#REF!</v>
      </c>
      <c r="O1105" s="1098" t="e">
        <f>#REF!+E1105+G1105</f>
        <v>#REF!</v>
      </c>
      <c r="P1105" s="1096" t="e">
        <f t="shared" si="98"/>
        <v>#REF!</v>
      </c>
      <c r="Q1105" s="1107"/>
      <c r="R1105" s="1104"/>
    </row>
    <row r="1106" spans="1:18" s="1108" customFormat="1" ht="69.75">
      <c r="A1106" s="1085"/>
      <c r="B1106" s="1270" t="s">
        <v>4529</v>
      </c>
      <c r="C1106" s="1085" t="e">
        <f>#REF!</f>
        <v>#REF!</v>
      </c>
      <c r="E1106" s="1240"/>
      <c r="F1106" s="1097" t="e">
        <f t="shared" si="93"/>
        <v>#REF!</v>
      </c>
      <c r="G1106" s="1103"/>
      <c r="H1106" s="1096" t="e">
        <f t="shared" si="94"/>
        <v>#REF!</v>
      </c>
      <c r="I1106" s="1103"/>
      <c r="J1106" s="1096" t="e">
        <f t="shared" si="95"/>
        <v>#REF!</v>
      </c>
      <c r="K1106" s="1096"/>
      <c r="L1106" s="1096" t="e">
        <f t="shared" si="96"/>
        <v>#REF!</v>
      </c>
      <c r="M1106" s="1103"/>
      <c r="N1106" s="1096" t="e">
        <f t="shared" si="97"/>
        <v>#REF!</v>
      </c>
      <c r="O1106" s="1098" t="e">
        <f>#REF!+E1106+G1106</f>
        <v>#REF!</v>
      </c>
      <c r="P1106" s="1096" t="e">
        <f t="shared" si="98"/>
        <v>#REF!</v>
      </c>
      <c r="Q1106" s="1107"/>
      <c r="R1106" s="1104"/>
    </row>
    <row r="1107" spans="1:18" s="1108" customFormat="1" ht="46.5">
      <c r="A1107" s="1085"/>
      <c r="B1107" s="1270" t="s">
        <v>4530</v>
      </c>
      <c r="C1107" s="1085" t="e">
        <f>#REF!</f>
        <v>#REF!</v>
      </c>
      <c r="E1107" s="1240"/>
      <c r="F1107" s="1097" t="e">
        <f t="shared" si="93"/>
        <v>#REF!</v>
      </c>
      <c r="G1107" s="1103"/>
      <c r="H1107" s="1096" t="e">
        <f t="shared" si="94"/>
        <v>#REF!</v>
      </c>
      <c r="I1107" s="1103"/>
      <c r="J1107" s="1096" t="e">
        <f t="shared" si="95"/>
        <v>#REF!</v>
      </c>
      <c r="K1107" s="1096"/>
      <c r="L1107" s="1096" t="e">
        <f t="shared" si="96"/>
        <v>#REF!</v>
      </c>
      <c r="M1107" s="1103"/>
      <c r="N1107" s="1096" t="e">
        <f t="shared" si="97"/>
        <v>#REF!</v>
      </c>
      <c r="O1107" s="1098" t="e">
        <f>#REF!+E1107+G1107</f>
        <v>#REF!</v>
      </c>
      <c r="P1107" s="1096" t="e">
        <f t="shared" si="98"/>
        <v>#REF!</v>
      </c>
      <c r="Q1107" s="1107"/>
      <c r="R1107" s="1104"/>
    </row>
    <row r="1108" spans="1:18" s="1108" customFormat="1">
      <c r="A1108" s="1085"/>
      <c r="B1108" s="1270" t="s">
        <v>4531</v>
      </c>
      <c r="C1108" s="1085" t="e">
        <f>#REF!</f>
        <v>#REF!</v>
      </c>
      <c r="E1108" s="1240"/>
      <c r="F1108" s="1097" t="e">
        <f t="shared" si="93"/>
        <v>#REF!</v>
      </c>
      <c r="G1108" s="1103"/>
      <c r="H1108" s="1096" t="e">
        <f t="shared" si="94"/>
        <v>#REF!</v>
      </c>
      <c r="I1108" s="1103"/>
      <c r="J1108" s="1096" t="e">
        <f t="shared" si="95"/>
        <v>#REF!</v>
      </c>
      <c r="K1108" s="1096"/>
      <c r="L1108" s="1096" t="e">
        <f t="shared" si="96"/>
        <v>#REF!</v>
      </c>
      <c r="M1108" s="1103"/>
      <c r="N1108" s="1096" t="e">
        <f t="shared" si="97"/>
        <v>#REF!</v>
      </c>
      <c r="O1108" s="1098" t="e">
        <f>#REF!+E1108+G1108</f>
        <v>#REF!</v>
      </c>
      <c r="P1108" s="1096" t="e">
        <f t="shared" si="98"/>
        <v>#REF!</v>
      </c>
      <c r="Q1108" s="1107"/>
      <c r="R1108" s="1104"/>
    </row>
    <row r="1109" spans="1:18" s="1108" customFormat="1" ht="93">
      <c r="A1109" s="1085"/>
      <c r="B1109" s="1270" t="s">
        <v>4532</v>
      </c>
      <c r="C1109" s="1085" t="e">
        <f>#REF!</f>
        <v>#REF!</v>
      </c>
      <c r="E1109" s="1240"/>
      <c r="F1109" s="1097" t="e">
        <f t="shared" si="93"/>
        <v>#REF!</v>
      </c>
      <c r="G1109" s="1103"/>
      <c r="H1109" s="1096" t="e">
        <f t="shared" si="94"/>
        <v>#REF!</v>
      </c>
      <c r="I1109" s="1103"/>
      <c r="J1109" s="1096" t="e">
        <f t="shared" si="95"/>
        <v>#REF!</v>
      </c>
      <c r="K1109" s="1096"/>
      <c r="L1109" s="1096" t="e">
        <f t="shared" si="96"/>
        <v>#REF!</v>
      </c>
      <c r="M1109" s="1103"/>
      <c r="N1109" s="1096" t="e">
        <f t="shared" si="97"/>
        <v>#REF!</v>
      </c>
      <c r="O1109" s="1098" t="e">
        <f>#REF!+E1109+G1109</f>
        <v>#REF!</v>
      </c>
      <c r="P1109" s="1096" t="e">
        <f t="shared" si="98"/>
        <v>#REF!</v>
      </c>
      <c r="Q1109" s="1107"/>
      <c r="R1109" s="1104"/>
    </row>
    <row r="1110" spans="1:18" s="1108" customFormat="1">
      <c r="A1110" s="1085"/>
      <c r="B1110" s="1270" t="s">
        <v>4533</v>
      </c>
      <c r="C1110" s="1085" t="e">
        <f>#REF!</f>
        <v>#REF!</v>
      </c>
      <c r="E1110" s="1240"/>
      <c r="F1110" s="1097" t="e">
        <f t="shared" si="93"/>
        <v>#REF!</v>
      </c>
      <c r="G1110" s="1103"/>
      <c r="H1110" s="1096" t="e">
        <f t="shared" si="94"/>
        <v>#REF!</v>
      </c>
      <c r="I1110" s="1103"/>
      <c r="J1110" s="1096" t="e">
        <f t="shared" si="95"/>
        <v>#REF!</v>
      </c>
      <c r="K1110" s="1096"/>
      <c r="L1110" s="1096" t="e">
        <f t="shared" si="96"/>
        <v>#REF!</v>
      </c>
      <c r="M1110" s="1103"/>
      <c r="N1110" s="1096" t="e">
        <f t="shared" si="97"/>
        <v>#REF!</v>
      </c>
      <c r="O1110" s="1098" t="e">
        <f>#REF!+E1110+G1110</f>
        <v>#REF!</v>
      </c>
      <c r="P1110" s="1096" t="e">
        <f t="shared" si="98"/>
        <v>#REF!</v>
      </c>
      <c r="Q1110" s="1107"/>
      <c r="R1110" s="1104"/>
    </row>
    <row r="1111" spans="1:18" s="1108" customFormat="1" ht="46.5">
      <c r="A1111" s="1085"/>
      <c r="B1111" s="1324" t="s">
        <v>4534</v>
      </c>
      <c r="C1111" s="1085" t="e">
        <f>#REF!</f>
        <v>#REF!</v>
      </c>
      <c r="E1111" s="1240"/>
      <c r="F1111" s="1097" t="e">
        <f t="shared" si="93"/>
        <v>#REF!</v>
      </c>
      <c r="G1111" s="1103"/>
      <c r="H1111" s="1096" t="e">
        <f t="shared" si="94"/>
        <v>#REF!</v>
      </c>
      <c r="I1111" s="1103"/>
      <c r="J1111" s="1096" t="e">
        <f t="shared" si="95"/>
        <v>#REF!</v>
      </c>
      <c r="K1111" s="1096"/>
      <c r="L1111" s="1096" t="e">
        <f t="shared" si="96"/>
        <v>#REF!</v>
      </c>
      <c r="M1111" s="1103"/>
      <c r="N1111" s="1096" t="e">
        <f t="shared" si="97"/>
        <v>#REF!</v>
      </c>
      <c r="O1111" s="1098" t="e">
        <f>#REF!+E1111+G1111</f>
        <v>#REF!</v>
      </c>
      <c r="P1111" s="1096" t="e">
        <f t="shared" si="98"/>
        <v>#REF!</v>
      </c>
      <c r="Q1111" s="1107"/>
      <c r="R1111" s="1104"/>
    </row>
    <row r="1112" spans="1:18" s="1108" customFormat="1" ht="46.5">
      <c r="A1112" s="1085"/>
      <c r="B1112" s="1270" t="s">
        <v>4535</v>
      </c>
      <c r="C1112" s="1085" t="e">
        <f>#REF!</f>
        <v>#REF!</v>
      </c>
      <c r="E1112" s="1240"/>
      <c r="F1112" s="1097" t="e">
        <f t="shared" si="93"/>
        <v>#REF!</v>
      </c>
      <c r="G1112" s="1103"/>
      <c r="H1112" s="1096" t="e">
        <f t="shared" si="94"/>
        <v>#REF!</v>
      </c>
      <c r="I1112" s="1103"/>
      <c r="J1112" s="1096" t="e">
        <f t="shared" si="95"/>
        <v>#REF!</v>
      </c>
      <c r="K1112" s="1096"/>
      <c r="L1112" s="1096" t="e">
        <f t="shared" si="96"/>
        <v>#REF!</v>
      </c>
      <c r="M1112" s="1103"/>
      <c r="N1112" s="1096" t="e">
        <f t="shared" si="97"/>
        <v>#REF!</v>
      </c>
      <c r="O1112" s="1098" t="e">
        <f>#REF!+E1112+G1112</f>
        <v>#REF!</v>
      </c>
      <c r="P1112" s="1096" t="e">
        <f t="shared" si="98"/>
        <v>#REF!</v>
      </c>
      <c r="Q1112" s="1107"/>
      <c r="R1112" s="1104"/>
    </row>
    <row r="1113" spans="1:18" s="1108" customFormat="1" ht="69.75">
      <c r="A1113" s="1085"/>
      <c r="B1113" s="1324" t="s">
        <v>4536</v>
      </c>
      <c r="C1113" s="1085" t="e">
        <f>#REF!</f>
        <v>#REF!</v>
      </c>
      <c r="E1113" s="1240"/>
      <c r="F1113" s="1097" t="e">
        <f t="shared" si="93"/>
        <v>#REF!</v>
      </c>
      <c r="G1113" s="1103"/>
      <c r="H1113" s="1096" t="e">
        <f t="shared" si="94"/>
        <v>#REF!</v>
      </c>
      <c r="I1113" s="1103"/>
      <c r="J1113" s="1096" t="e">
        <f t="shared" si="95"/>
        <v>#REF!</v>
      </c>
      <c r="K1113" s="1096"/>
      <c r="L1113" s="1096" t="e">
        <f t="shared" si="96"/>
        <v>#REF!</v>
      </c>
      <c r="M1113" s="1103"/>
      <c r="N1113" s="1096" t="e">
        <f t="shared" si="97"/>
        <v>#REF!</v>
      </c>
      <c r="O1113" s="1098" t="e">
        <f>#REF!+E1113+G1113</f>
        <v>#REF!</v>
      </c>
      <c r="P1113" s="1096" t="e">
        <f t="shared" si="98"/>
        <v>#REF!</v>
      </c>
      <c r="Q1113" s="1107"/>
      <c r="R1113" s="1104"/>
    </row>
    <row r="1114" spans="1:18" s="1108" customFormat="1" ht="69.75">
      <c r="A1114" s="1085"/>
      <c r="B1114" s="1324" t="s">
        <v>4537</v>
      </c>
      <c r="C1114" s="1085" t="e">
        <f>#REF!</f>
        <v>#REF!</v>
      </c>
      <c r="E1114" s="1240"/>
      <c r="F1114" s="1097" t="e">
        <f t="shared" si="93"/>
        <v>#REF!</v>
      </c>
      <c r="G1114" s="1103"/>
      <c r="H1114" s="1096" t="e">
        <f t="shared" si="94"/>
        <v>#REF!</v>
      </c>
      <c r="I1114" s="1103"/>
      <c r="J1114" s="1096" t="e">
        <f t="shared" si="95"/>
        <v>#REF!</v>
      </c>
      <c r="K1114" s="1096"/>
      <c r="L1114" s="1096" t="e">
        <f t="shared" si="96"/>
        <v>#REF!</v>
      </c>
      <c r="M1114" s="1103"/>
      <c r="N1114" s="1096" t="e">
        <f t="shared" si="97"/>
        <v>#REF!</v>
      </c>
      <c r="O1114" s="1098" t="e">
        <f>#REF!+E1114+G1114</f>
        <v>#REF!</v>
      </c>
      <c r="P1114" s="1096" t="e">
        <f t="shared" si="98"/>
        <v>#REF!</v>
      </c>
      <c r="Q1114" s="1107"/>
      <c r="R1114" s="1104"/>
    </row>
    <row r="1115" spans="1:18" s="1108" customFormat="1" ht="69.75">
      <c r="A1115" s="1085"/>
      <c r="B1115" s="1324" t="s">
        <v>4538</v>
      </c>
      <c r="C1115" s="1085" t="e">
        <f>#REF!</f>
        <v>#REF!</v>
      </c>
      <c r="E1115" s="1240"/>
      <c r="F1115" s="1097" t="e">
        <f t="shared" si="93"/>
        <v>#REF!</v>
      </c>
      <c r="G1115" s="1240"/>
      <c r="H1115" s="1096" t="e">
        <f t="shared" si="94"/>
        <v>#REF!</v>
      </c>
      <c r="I1115" s="1103"/>
      <c r="J1115" s="1096" t="e">
        <f t="shared" si="95"/>
        <v>#REF!</v>
      </c>
      <c r="K1115" s="1096"/>
      <c r="L1115" s="1096" t="e">
        <f t="shared" si="96"/>
        <v>#REF!</v>
      </c>
      <c r="M1115" s="1103"/>
      <c r="N1115" s="1096" t="e">
        <f t="shared" si="97"/>
        <v>#REF!</v>
      </c>
      <c r="O1115" s="1098" t="e">
        <f>#REF!+E1115+G1115</f>
        <v>#REF!</v>
      </c>
      <c r="P1115" s="1096" t="e">
        <f t="shared" si="98"/>
        <v>#REF!</v>
      </c>
      <c r="Q1115" s="1107"/>
      <c r="R1115" s="1104"/>
    </row>
    <row r="1116" spans="1:18" s="1108" customFormat="1" ht="69.75">
      <c r="A1116" s="1085"/>
      <c r="B1116" s="1324" t="s">
        <v>4539</v>
      </c>
      <c r="C1116" s="1085" t="e">
        <f>#REF!</f>
        <v>#REF!</v>
      </c>
      <c r="E1116" s="1240"/>
      <c r="F1116" s="1097" t="e">
        <f t="shared" si="93"/>
        <v>#REF!</v>
      </c>
      <c r="G1116" s="1240"/>
      <c r="H1116" s="1096" t="e">
        <f t="shared" si="94"/>
        <v>#REF!</v>
      </c>
      <c r="I1116" s="1103"/>
      <c r="J1116" s="1096" t="e">
        <f t="shared" si="95"/>
        <v>#REF!</v>
      </c>
      <c r="K1116" s="1096"/>
      <c r="L1116" s="1096" t="e">
        <f t="shared" si="96"/>
        <v>#REF!</v>
      </c>
      <c r="M1116" s="1103"/>
      <c r="N1116" s="1096" t="e">
        <f t="shared" si="97"/>
        <v>#REF!</v>
      </c>
      <c r="O1116" s="1098" t="e">
        <f>#REF!+E1116+G1116</f>
        <v>#REF!</v>
      </c>
      <c r="P1116" s="1096" t="e">
        <f t="shared" si="98"/>
        <v>#REF!</v>
      </c>
      <c r="Q1116" s="1107"/>
      <c r="R1116" s="1104"/>
    </row>
    <row r="1117" spans="1:18" s="1108" customFormat="1" ht="46.5">
      <c r="A1117" s="1085"/>
      <c r="B1117" s="1324" t="s">
        <v>4540</v>
      </c>
      <c r="C1117" s="1085" t="e">
        <f>#REF!</f>
        <v>#REF!</v>
      </c>
      <c r="E1117" s="1240"/>
      <c r="F1117" s="1097" t="e">
        <f t="shared" si="93"/>
        <v>#REF!</v>
      </c>
      <c r="G1117" s="1240"/>
      <c r="H1117" s="1096" t="e">
        <f t="shared" si="94"/>
        <v>#REF!</v>
      </c>
      <c r="I1117" s="1103"/>
      <c r="J1117" s="1096" t="e">
        <f t="shared" si="95"/>
        <v>#REF!</v>
      </c>
      <c r="K1117" s="1096"/>
      <c r="L1117" s="1096" t="e">
        <f t="shared" si="96"/>
        <v>#REF!</v>
      </c>
      <c r="M1117" s="1103"/>
      <c r="N1117" s="1096" t="e">
        <f t="shared" si="97"/>
        <v>#REF!</v>
      </c>
      <c r="O1117" s="1098" t="e">
        <f>#REF!+E1117+G1117</f>
        <v>#REF!</v>
      </c>
      <c r="P1117" s="1096" t="e">
        <f t="shared" si="98"/>
        <v>#REF!</v>
      </c>
      <c r="Q1117" s="1107"/>
      <c r="R1117" s="1104"/>
    </row>
    <row r="1118" spans="1:18" s="1108" customFormat="1" ht="46.5">
      <c r="A1118" s="1085"/>
      <c r="B1118" s="1270" t="s">
        <v>4541</v>
      </c>
      <c r="C1118" s="1085" t="e">
        <f>#REF!</f>
        <v>#REF!</v>
      </c>
      <c r="E1118" s="1240"/>
      <c r="F1118" s="1097" t="e">
        <f t="shared" si="93"/>
        <v>#REF!</v>
      </c>
      <c r="G1118" s="1240"/>
      <c r="H1118" s="1096" t="e">
        <f t="shared" si="94"/>
        <v>#REF!</v>
      </c>
      <c r="I1118" s="1103"/>
      <c r="J1118" s="1096" t="e">
        <f t="shared" si="95"/>
        <v>#REF!</v>
      </c>
      <c r="K1118" s="1096"/>
      <c r="L1118" s="1096" t="e">
        <f t="shared" si="96"/>
        <v>#REF!</v>
      </c>
      <c r="M1118" s="1103"/>
      <c r="N1118" s="1096" t="e">
        <f t="shared" si="97"/>
        <v>#REF!</v>
      </c>
      <c r="O1118" s="1098" t="e">
        <f>#REF!+E1118+G1118</f>
        <v>#REF!</v>
      </c>
      <c r="P1118" s="1096" t="e">
        <f t="shared" si="98"/>
        <v>#REF!</v>
      </c>
      <c r="Q1118" s="1107"/>
      <c r="R1118" s="1104"/>
    </row>
    <row r="1119" spans="1:18" s="1108" customFormat="1">
      <c r="A1119" s="1085"/>
      <c r="B1119" s="1270" t="s">
        <v>4542</v>
      </c>
      <c r="C1119" s="1085" t="e">
        <f>#REF!</f>
        <v>#REF!</v>
      </c>
      <c r="E1119" s="1240"/>
      <c r="F1119" s="1097" t="e">
        <f t="shared" si="93"/>
        <v>#REF!</v>
      </c>
      <c r="G1119" s="1240"/>
      <c r="H1119" s="1096" t="e">
        <f t="shared" si="94"/>
        <v>#REF!</v>
      </c>
      <c r="I1119" s="1103"/>
      <c r="J1119" s="1096" t="e">
        <f t="shared" si="95"/>
        <v>#REF!</v>
      </c>
      <c r="K1119" s="1096"/>
      <c r="L1119" s="1096" t="e">
        <f t="shared" si="96"/>
        <v>#REF!</v>
      </c>
      <c r="M1119" s="1103"/>
      <c r="N1119" s="1096" t="e">
        <f t="shared" si="97"/>
        <v>#REF!</v>
      </c>
      <c r="O1119" s="1098" t="e">
        <f>#REF!+E1119+G1119</f>
        <v>#REF!</v>
      </c>
      <c r="P1119" s="1096" t="e">
        <f t="shared" si="98"/>
        <v>#REF!</v>
      </c>
      <c r="Q1119" s="1107"/>
      <c r="R1119" s="1104"/>
    </row>
    <row r="1120" spans="1:18" s="1108" customFormat="1">
      <c r="A1120" s="1085"/>
      <c r="B1120" s="1270" t="s">
        <v>4543</v>
      </c>
      <c r="C1120" s="1085" t="e">
        <f>C1119+C1122</f>
        <v>#REF!</v>
      </c>
      <c r="E1120" s="1240"/>
      <c r="F1120" s="1097" t="e">
        <f t="shared" si="93"/>
        <v>#REF!</v>
      </c>
      <c r="G1120" s="1240"/>
      <c r="H1120" s="1096" t="e">
        <f t="shared" si="94"/>
        <v>#REF!</v>
      </c>
      <c r="I1120" s="1103"/>
      <c r="J1120" s="1096" t="e">
        <f t="shared" si="95"/>
        <v>#REF!</v>
      </c>
      <c r="K1120" s="1096"/>
      <c r="L1120" s="1096" t="e">
        <f t="shared" si="96"/>
        <v>#REF!</v>
      </c>
      <c r="M1120" s="1103"/>
      <c r="N1120" s="1096" t="e">
        <f t="shared" si="97"/>
        <v>#REF!</v>
      </c>
      <c r="O1120" s="1098" t="e">
        <f>#REF!+E1120+G1120</f>
        <v>#REF!</v>
      </c>
      <c r="P1120" s="1096" t="e">
        <f t="shared" si="98"/>
        <v>#REF!</v>
      </c>
      <c r="Q1120" s="1107"/>
      <c r="R1120" s="1104"/>
    </row>
    <row r="1121" spans="1:18" s="1108" customFormat="1">
      <c r="A1121" s="1085"/>
      <c r="B1121" s="1270" t="s">
        <v>4544</v>
      </c>
      <c r="C1121" s="1085" t="e">
        <f>#REF!</f>
        <v>#REF!</v>
      </c>
      <c r="E1121" s="1240"/>
      <c r="F1121" s="1097" t="e">
        <f t="shared" si="93"/>
        <v>#REF!</v>
      </c>
      <c r="G1121" s="1240"/>
      <c r="H1121" s="1096" t="e">
        <f t="shared" si="94"/>
        <v>#REF!</v>
      </c>
      <c r="I1121" s="1103"/>
      <c r="J1121" s="1096" t="e">
        <f t="shared" si="95"/>
        <v>#REF!</v>
      </c>
      <c r="K1121" s="1096"/>
      <c r="L1121" s="1096" t="e">
        <f t="shared" si="96"/>
        <v>#REF!</v>
      </c>
      <c r="M1121" s="1103"/>
      <c r="N1121" s="1096" t="e">
        <f t="shared" si="97"/>
        <v>#REF!</v>
      </c>
      <c r="O1121" s="1098" t="e">
        <f>#REF!+E1121+G1121</f>
        <v>#REF!</v>
      </c>
      <c r="P1121" s="1096" t="e">
        <f t="shared" si="98"/>
        <v>#REF!</v>
      </c>
      <c r="Q1121" s="1107"/>
      <c r="R1121" s="1104"/>
    </row>
    <row r="1122" spans="1:18" s="1108" customFormat="1">
      <c r="A1122" s="1085"/>
      <c r="B1122" s="1270" t="s">
        <v>4545</v>
      </c>
      <c r="C1122" s="1085" t="e">
        <f>#REF!</f>
        <v>#REF!</v>
      </c>
      <c r="E1122" s="1240"/>
      <c r="F1122" s="1097" t="e">
        <f t="shared" si="93"/>
        <v>#REF!</v>
      </c>
      <c r="G1122" s="1240"/>
      <c r="H1122" s="1096" t="e">
        <f t="shared" si="94"/>
        <v>#REF!</v>
      </c>
      <c r="I1122" s="1103"/>
      <c r="J1122" s="1096" t="e">
        <f t="shared" si="95"/>
        <v>#REF!</v>
      </c>
      <c r="K1122" s="1096"/>
      <c r="L1122" s="1096" t="e">
        <f t="shared" si="96"/>
        <v>#REF!</v>
      </c>
      <c r="M1122" s="1103"/>
      <c r="N1122" s="1096" t="e">
        <f t="shared" si="97"/>
        <v>#REF!</v>
      </c>
      <c r="O1122" s="1098" t="e">
        <f>#REF!+E1122+G1122</f>
        <v>#REF!</v>
      </c>
      <c r="P1122" s="1096" t="e">
        <f t="shared" si="98"/>
        <v>#REF!</v>
      </c>
      <c r="Q1122" s="1107"/>
      <c r="R1122" s="1104"/>
    </row>
    <row r="1123" spans="1:18" s="1108" customFormat="1">
      <c r="A1123" s="1085"/>
      <c r="B1123" s="1270" t="s">
        <v>4546</v>
      </c>
      <c r="C1123" s="1085" t="e">
        <f>#REF!</f>
        <v>#REF!</v>
      </c>
      <c r="E1123" s="1240"/>
      <c r="F1123" s="1097" t="e">
        <f t="shared" si="93"/>
        <v>#REF!</v>
      </c>
      <c r="G1123" s="1240"/>
      <c r="H1123" s="1096" t="e">
        <f t="shared" si="94"/>
        <v>#REF!</v>
      </c>
      <c r="I1123" s="1103"/>
      <c r="J1123" s="1096" t="e">
        <f t="shared" si="95"/>
        <v>#REF!</v>
      </c>
      <c r="K1123" s="1096"/>
      <c r="L1123" s="1096" t="e">
        <f t="shared" si="96"/>
        <v>#REF!</v>
      </c>
      <c r="M1123" s="1103"/>
      <c r="N1123" s="1096" t="e">
        <f t="shared" si="97"/>
        <v>#REF!</v>
      </c>
      <c r="O1123" s="1098" t="e">
        <f>#REF!+E1123+G1123</f>
        <v>#REF!</v>
      </c>
      <c r="P1123" s="1096" t="e">
        <f t="shared" si="98"/>
        <v>#REF!</v>
      </c>
      <c r="Q1123" s="1107"/>
      <c r="R1123" s="1104"/>
    </row>
    <row r="1124" spans="1:18" s="1108" customFormat="1">
      <c r="A1124" s="1085"/>
      <c r="B1124" s="1270" t="s">
        <v>4547</v>
      </c>
      <c r="C1124" s="1085" t="e">
        <f>#REF!</f>
        <v>#REF!</v>
      </c>
      <c r="E1124" s="1240"/>
      <c r="F1124" s="1097" t="e">
        <f t="shared" si="93"/>
        <v>#REF!</v>
      </c>
      <c r="G1124" s="1240"/>
      <c r="H1124" s="1096" t="e">
        <f t="shared" si="94"/>
        <v>#REF!</v>
      </c>
      <c r="I1124" s="1103"/>
      <c r="J1124" s="1096" t="e">
        <f t="shared" si="95"/>
        <v>#REF!</v>
      </c>
      <c r="K1124" s="1096"/>
      <c r="L1124" s="1096" t="e">
        <f t="shared" si="96"/>
        <v>#REF!</v>
      </c>
      <c r="M1124" s="1103"/>
      <c r="N1124" s="1096" t="e">
        <f t="shared" si="97"/>
        <v>#REF!</v>
      </c>
      <c r="O1124" s="1098" t="e">
        <f>#REF!+E1124+G1124</f>
        <v>#REF!</v>
      </c>
      <c r="P1124" s="1096" t="e">
        <f t="shared" si="98"/>
        <v>#REF!</v>
      </c>
      <c r="Q1124" s="1107"/>
      <c r="R1124" s="1104"/>
    </row>
    <row r="1125" spans="1:18" s="1108" customFormat="1">
      <c r="A1125" s="1085"/>
      <c r="B1125" s="1270" t="s">
        <v>4548</v>
      </c>
      <c r="C1125" s="1085" t="e">
        <f>#REF!</f>
        <v>#REF!</v>
      </c>
      <c r="E1125" s="1240"/>
      <c r="F1125" s="1097" t="e">
        <f t="shared" si="93"/>
        <v>#REF!</v>
      </c>
      <c r="G1125" s="1240"/>
      <c r="H1125" s="1096" t="e">
        <f t="shared" si="94"/>
        <v>#REF!</v>
      </c>
      <c r="I1125" s="1103"/>
      <c r="J1125" s="1096" t="e">
        <f t="shared" si="95"/>
        <v>#REF!</v>
      </c>
      <c r="K1125" s="1096"/>
      <c r="L1125" s="1096" t="e">
        <f t="shared" si="96"/>
        <v>#REF!</v>
      </c>
      <c r="M1125" s="1103"/>
      <c r="N1125" s="1096" t="e">
        <f t="shared" si="97"/>
        <v>#REF!</v>
      </c>
      <c r="O1125" s="1098" t="e">
        <f>#REF!+E1125+G1125</f>
        <v>#REF!</v>
      </c>
      <c r="P1125" s="1096" t="e">
        <f t="shared" si="98"/>
        <v>#REF!</v>
      </c>
      <c r="Q1125" s="1107"/>
      <c r="R1125" s="1104"/>
    </row>
    <row r="1126" spans="1:18" s="1108" customFormat="1">
      <c r="A1126" s="1085"/>
      <c r="B1126" s="1270" t="s">
        <v>4549</v>
      </c>
      <c r="C1126" s="1085" t="e">
        <f>#REF!</f>
        <v>#REF!</v>
      </c>
      <c r="E1126" s="1240"/>
      <c r="F1126" s="1097" t="e">
        <f t="shared" si="93"/>
        <v>#REF!</v>
      </c>
      <c r="G1126" s="1240"/>
      <c r="H1126" s="1096" t="e">
        <f t="shared" si="94"/>
        <v>#REF!</v>
      </c>
      <c r="I1126" s="1103"/>
      <c r="J1126" s="1096" t="e">
        <f t="shared" si="95"/>
        <v>#REF!</v>
      </c>
      <c r="K1126" s="1096"/>
      <c r="L1126" s="1096" t="e">
        <f t="shared" si="96"/>
        <v>#REF!</v>
      </c>
      <c r="M1126" s="1103"/>
      <c r="N1126" s="1096" t="e">
        <f t="shared" si="97"/>
        <v>#REF!</v>
      </c>
      <c r="O1126" s="1098" t="e">
        <f>#REF!+E1126+G1126</f>
        <v>#REF!</v>
      </c>
      <c r="P1126" s="1096" t="e">
        <f t="shared" si="98"/>
        <v>#REF!</v>
      </c>
      <c r="Q1126" s="1107"/>
      <c r="R1126" s="1104"/>
    </row>
    <row r="1127" spans="1:18" s="1108" customFormat="1">
      <c r="A1127" s="1085"/>
      <c r="B1127" s="1322" t="s">
        <v>4550</v>
      </c>
      <c r="C1127" s="1085" t="e">
        <f>#REF!</f>
        <v>#REF!</v>
      </c>
      <c r="E1127" s="1240"/>
      <c r="F1127" s="1097" t="e">
        <f t="shared" si="93"/>
        <v>#REF!</v>
      </c>
      <c r="G1127" s="1240"/>
      <c r="H1127" s="1096" t="e">
        <f t="shared" si="94"/>
        <v>#REF!</v>
      </c>
      <c r="I1127" s="1103"/>
      <c r="J1127" s="1096" t="e">
        <f t="shared" si="95"/>
        <v>#REF!</v>
      </c>
      <c r="K1127" s="1096"/>
      <c r="L1127" s="1096" t="e">
        <f t="shared" si="96"/>
        <v>#REF!</v>
      </c>
      <c r="M1127" s="1103"/>
      <c r="N1127" s="1096" t="e">
        <f t="shared" si="97"/>
        <v>#REF!</v>
      </c>
      <c r="O1127" s="1098" t="e">
        <f>#REF!+E1127+G1127</f>
        <v>#REF!</v>
      </c>
      <c r="P1127" s="1096" t="e">
        <f t="shared" si="98"/>
        <v>#REF!</v>
      </c>
      <c r="Q1127" s="1107"/>
      <c r="R1127" s="1104"/>
    </row>
    <row r="1128" spans="1:18" s="1108" customFormat="1">
      <c r="B1128" s="1325" t="s">
        <v>4551</v>
      </c>
      <c r="C1128" s="1108" t="e">
        <f>#REF!</f>
        <v>#REF!</v>
      </c>
      <c r="E1128" s="1240"/>
      <c r="F1128" s="1097" t="e">
        <f t="shared" si="93"/>
        <v>#REF!</v>
      </c>
      <c r="G1128" s="1240"/>
      <c r="H1128" s="1096" t="e">
        <f t="shared" si="94"/>
        <v>#REF!</v>
      </c>
      <c r="I1128" s="1103"/>
      <c r="J1128" s="1096" t="e">
        <f t="shared" si="95"/>
        <v>#REF!</v>
      </c>
      <c r="K1128" s="1096"/>
      <c r="L1128" s="1096" t="e">
        <f t="shared" si="96"/>
        <v>#REF!</v>
      </c>
      <c r="M1128" s="1103"/>
      <c r="N1128" s="1096" t="e">
        <f t="shared" si="97"/>
        <v>#REF!</v>
      </c>
      <c r="O1128" s="1098" t="e">
        <f>#REF!+E1128+G1128</f>
        <v>#REF!</v>
      </c>
      <c r="P1128" s="1096" t="e">
        <f t="shared" si="98"/>
        <v>#REF!</v>
      </c>
      <c r="Q1128" s="1107"/>
      <c r="R1128" s="1104"/>
    </row>
    <row r="1129" spans="1:18" s="1108" customFormat="1">
      <c r="B1129" s="1325" t="s">
        <v>4552</v>
      </c>
      <c r="C1129" s="1108" t="e">
        <f>#REF!</f>
        <v>#REF!</v>
      </c>
      <c r="E1129" s="1240"/>
      <c r="F1129" s="1097" t="e">
        <f t="shared" si="93"/>
        <v>#REF!</v>
      </c>
      <c r="G1129" s="1240"/>
      <c r="H1129" s="1096" t="e">
        <f t="shared" si="94"/>
        <v>#REF!</v>
      </c>
      <c r="I1129" s="1103"/>
      <c r="J1129" s="1096" t="e">
        <f t="shared" si="95"/>
        <v>#REF!</v>
      </c>
      <c r="K1129" s="1096"/>
      <c r="L1129" s="1096" t="e">
        <f t="shared" si="96"/>
        <v>#REF!</v>
      </c>
      <c r="M1129" s="1103"/>
      <c r="N1129" s="1096" t="e">
        <f t="shared" si="97"/>
        <v>#REF!</v>
      </c>
      <c r="O1129" s="1098" t="e">
        <f>#REF!+E1129+G1129</f>
        <v>#REF!</v>
      </c>
      <c r="P1129" s="1096" t="e">
        <f t="shared" si="98"/>
        <v>#REF!</v>
      </c>
      <c r="Q1129" s="1107"/>
      <c r="R1129" s="1104"/>
    </row>
    <row r="1130" spans="1:18" s="1108" customFormat="1">
      <c r="B1130" s="1325" t="s">
        <v>4553</v>
      </c>
      <c r="C1130" s="1108" t="e">
        <f>#REF!</f>
        <v>#REF!</v>
      </c>
      <c r="E1130" s="1240"/>
      <c r="F1130" s="1097" t="e">
        <f t="shared" si="93"/>
        <v>#REF!</v>
      </c>
      <c r="G1130" s="1240"/>
      <c r="H1130" s="1096" t="e">
        <f t="shared" si="94"/>
        <v>#REF!</v>
      </c>
      <c r="I1130" s="1103"/>
      <c r="J1130" s="1096" t="e">
        <f t="shared" si="95"/>
        <v>#REF!</v>
      </c>
      <c r="K1130" s="1096"/>
      <c r="L1130" s="1096" t="e">
        <f t="shared" si="96"/>
        <v>#REF!</v>
      </c>
      <c r="M1130" s="1103"/>
      <c r="N1130" s="1096" t="e">
        <f t="shared" si="97"/>
        <v>#REF!</v>
      </c>
      <c r="O1130" s="1098" t="e">
        <f>#REF!+E1130+G1130</f>
        <v>#REF!</v>
      </c>
      <c r="P1130" s="1096" t="e">
        <f t="shared" si="98"/>
        <v>#REF!</v>
      </c>
      <c r="Q1130" s="1107"/>
      <c r="R1130" s="1104"/>
    </row>
    <row r="1131" spans="1:18" s="1108" customFormat="1">
      <c r="B1131" s="1325" t="s">
        <v>4554</v>
      </c>
      <c r="C1131" s="1108" t="e">
        <f>#REF!</f>
        <v>#REF!</v>
      </c>
      <c r="E1131" s="1240"/>
      <c r="F1131" s="1097" t="e">
        <f t="shared" si="93"/>
        <v>#REF!</v>
      </c>
      <c r="G1131" s="1240"/>
      <c r="H1131" s="1096" t="e">
        <f t="shared" si="94"/>
        <v>#REF!</v>
      </c>
      <c r="I1131" s="1103"/>
      <c r="J1131" s="1096" t="e">
        <f t="shared" si="95"/>
        <v>#REF!</v>
      </c>
      <c r="K1131" s="1096"/>
      <c r="L1131" s="1096" t="e">
        <f t="shared" si="96"/>
        <v>#REF!</v>
      </c>
      <c r="M1131" s="1103"/>
      <c r="N1131" s="1096" t="e">
        <f t="shared" si="97"/>
        <v>#REF!</v>
      </c>
      <c r="O1131" s="1098" t="e">
        <f>#REF!+E1131+G1131</f>
        <v>#REF!</v>
      </c>
      <c r="P1131" s="1096" t="e">
        <f t="shared" si="98"/>
        <v>#REF!</v>
      </c>
      <c r="Q1131" s="1107"/>
      <c r="R1131" s="1104"/>
    </row>
    <row r="1132" spans="1:18" s="1108" customFormat="1">
      <c r="B1132" s="1325" t="e">
        <f>#REF!</f>
        <v>#REF!</v>
      </c>
      <c r="C1132" s="1108" t="e">
        <f>#REF!</f>
        <v>#REF!</v>
      </c>
      <c r="E1132" s="1240"/>
      <c r="F1132" s="1097" t="e">
        <f t="shared" si="93"/>
        <v>#REF!</v>
      </c>
      <c r="G1132" s="1240"/>
      <c r="H1132" s="1096" t="e">
        <f t="shared" si="94"/>
        <v>#REF!</v>
      </c>
      <c r="I1132" s="1103"/>
      <c r="J1132" s="1096" t="e">
        <f t="shared" si="95"/>
        <v>#REF!</v>
      </c>
      <c r="K1132" s="1096"/>
      <c r="L1132" s="1096" t="e">
        <f t="shared" si="96"/>
        <v>#REF!</v>
      </c>
      <c r="M1132" s="1103"/>
      <c r="N1132" s="1096" t="e">
        <f t="shared" si="97"/>
        <v>#REF!</v>
      </c>
      <c r="O1132" s="1098" t="e">
        <f>#REF!+E1132+G1132</f>
        <v>#REF!</v>
      </c>
      <c r="P1132" s="1096" t="e">
        <f t="shared" si="98"/>
        <v>#REF!</v>
      </c>
      <c r="Q1132" s="1107"/>
      <c r="R1132" s="1104"/>
    </row>
    <row r="1133" spans="1:18" s="1108" customFormat="1">
      <c r="B1133" s="1325" t="e">
        <f>#REF!</f>
        <v>#REF!</v>
      </c>
      <c r="C1133" s="1108" t="e">
        <f>#REF!</f>
        <v>#REF!</v>
      </c>
      <c r="E1133" s="1240"/>
      <c r="F1133" s="1097" t="e">
        <f t="shared" si="93"/>
        <v>#REF!</v>
      </c>
      <c r="G1133" s="1240"/>
      <c r="H1133" s="1096" t="e">
        <f t="shared" si="94"/>
        <v>#REF!</v>
      </c>
      <c r="I1133" s="1103"/>
      <c r="J1133" s="1096" t="e">
        <f t="shared" si="95"/>
        <v>#REF!</v>
      </c>
      <c r="K1133" s="1096"/>
      <c r="L1133" s="1096" t="e">
        <f t="shared" si="96"/>
        <v>#REF!</v>
      </c>
      <c r="M1133" s="1103"/>
      <c r="N1133" s="1096" t="e">
        <f t="shared" si="97"/>
        <v>#REF!</v>
      </c>
      <c r="O1133" s="1098" t="e">
        <f>#REF!+E1133+G1133</f>
        <v>#REF!</v>
      </c>
      <c r="P1133" s="1096" t="e">
        <f t="shared" si="98"/>
        <v>#REF!</v>
      </c>
      <c r="Q1133" s="1107"/>
      <c r="R1133" s="1104"/>
    </row>
    <row r="1134" spans="1:18" s="1108" customFormat="1">
      <c r="B1134" s="1325"/>
      <c r="E1134" s="1240"/>
      <c r="F1134" s="1097">
        <f t="shared" si="93"/>
        <v>0</v>
      </c>
      <c r="G1134" s="1240"/>
      <c r="H1134" s="1096">
        <f t="shared" si="94"/>
        <v>0</v>
      </c>
      <c r="I1134" s="1103"/>
      <c r="J1134" s="1096">
        <f t="shared" si="95"/>
        <v>0</v>
      </c>
      <c r="K1134" s="1096"/>
      <c r="L1134" s="1096">
        <f t="shared" si="96"/>
        <v>0</v>
      </c>
      <c r="M1134" s="1103"/>
      <c r="N1134" s="1096">
        <f t="shared" si="97"/>
        <v>0</v>
      </c>
      <c r="O1134" s="1098" t="e">
        <f>#REF!+E1134+G1134</f>
        <v>#REF!</v>
      </c>
      <c r="P1134" s="1096" t="e">
        <f t="shared" si="98"/>
        <v>#REF!</v>
      </c>
      <c r="Q1134" s="1107"/>
      <c r="R1134" s="1104"/>
    </row>
    <row r="1135" spans="1:18" s="1108" customFormat="1">
      <c r="B1135" s="1325"/>
      <c r="E1135" s="1240"/>
      <c r="F1135" s="1097">
        <f t="shared" si="93"/>
        <v>0</v>
      </c>
      <c r="G1135" s="1240"/>
      <c r="H1135" s="1096">
        <f t="shared" si="94"/>
        <v>0</v>
      </c>
      <c r="I1135" s="1103"/>
      <c r="J1135" s="1096">
        <f t="shared" si="95"/>
        <v>0</v>
      </c>
      <c r="K1135" s="1096"/>
      <c r="L1135" s="1096">
        <f t="shared" si="96"/>
        <v>0</v>
      </c>
      <c r="M1135" s="1103"/>
      <c r="N1135" s="1096">
        <f t="shared" si="97"/>
        <v>0</v>
      </c>
      <c r="O1135" s="1098" t="e">
        <f>#REF!+E1135+G1135</f>
        <v>#REF!</v>
      </c>
      <c r="P1135" s="1096" t="e">
        <f t="shared" ref="P1135:P1143" si="99">O1135*C1135</f>
        <v>#REF!</v>
      </c>
      <c r="Q1135" s="1107"/>
      <c r="R1135" s="1104"/>
    </row>
    <row r="1136" spans="1:18" s="1108" customFormat="1">
      <c r="B1136" s="1325"/>
      <c r="E1136" s="1240"/>
      <c r="F1136" s="1097">
        <f t="shared" si="93"/>
        <v>0</v>
      </c>
      <c r="G1136" s="1240"/>
      <c r="H1136" s="1096">
        <f t="shared" si="94"/>
        <v>0</v>
      </c>
      <c r="I1136" s="1103"/>
      <c r="J1136" s="1096">
        <f t="shared" si="95"/>
        <v>0</v>
      </c>
      <c r="K1136" s="1096"/>
      <c r="L1136" s="1096">
        <f t="shared" si="96"/>
        <v>0</v>
      </c>
      <c r="M1136" s="1103"/>
      <c r="N1136" s="1096">
        <f t="shared" si="97"/>
        <v>0</v>
      </c>
      <c r="O1136" s="1098" t="e">
        <f>#REF!+E1136+G1136</f>
        <v>#REF!</v>
      </c>
      <c r="P1136" s="1096" t="e">
        <f t="shared" si="99"/>
        <v>#REF!</v>
      </c>
      <c r="Q1136" s="1107"/>
      <c r="R1136" s="1104"/>
    </row>
    <row r="1137" spans="2:18" s="1108" customFormat="1">
      <c r="B1137" s="1325"/>
      <c r="E1137" s="1240"/>
      <c r="F1137" s="1097">
        <f t="shared" si="93"/>
        <v>0</v>
      </c>
      <c r="G1137" s="1240"/>
      <c r="H1137" s="1096">
        <f t="shared" si="94"/>
        <v>0</v>
      </c>
      <c r="I1137" s="1103"/>
      <c r="J1137" s="1096">
        <f t="shared" si="95"/>
        <v>0</v>
      </c>
      <c r="K1137" s="1096"/>
      <c r="L1137" s="1096">
        <f t="shared" si="96"/>
        <v>0</v>
      </c>
      <c r="M1137" s="1103"/>
      <c r="N1137" s="1096">
        <f t="shared" si="97"/>
        <v>0</v>
      </c>
      <c r="O1137" s="1098" t="e">
        <f>#REF!+E1137+G1137</f>
        <v>#REF!</v>
      </c>
      <c r="P1137" s="1096" t="e">
        <f t="shared" si="99"/>
        <v>#REF!</v>
      </c>
      <c r="Q1137" s="1107"/>
      <c r="R1137" s="1104"/>
    </row>
    <row r="1138" spans="2:18" s="1108" customFormat="1">
      <c r="B1138" s="1325"/>
      <c r="E1138" s="1240"/>
      <c r="F1138" s="1097">
        <f t="shared" si="93"/>
        <v>0</v>
      </c>
      <c r="G1138" s="1240"/>
      <c r="H1138" s="1096">
        <f t="shared" si="94"/>
        <v>0</v>
      </c>
      <c r="I1138" s="1103"/>
      <c r="J1138" s="1096">
        <f t="shared" si="95"/>
        <v>0</v>
      </c>
      <c r="K1138" s="1096"/>
      <c r="L1138" s="1096">
        <f t="shared" si="96"/>
        <v>0</v>
      </c>
      <c r="M1138" s="1103"/>
      <c r="N1138" s="1096">
        <f t="shared" si="97"/>
        <v>0</v>
      </c>
      <c r="O1138" s="1098" t="e">
        <f>#REF!+E1138+G1138</f>
        <v>#REF!</v>
      </c>
      <c r="P1138" s="1096" t="e">
        <f t="shared" si="99"/>
        <v>#REF!</v>
      </c>
      <c r="Q1138" s="1107"/>
      <c r="R1138" s="1104"/>
    </row>
    <row r="1139" spans="2:18" s="1108" customFormat="1">
      <c r="B1139" s="1325"/>
      <c r="E1139" s="1240"/>
      <c r="F1139" s="1097">
        <f t="shared" si="93"/>
        <v>0</v>
      </c>
      <c r="G1139" s="1240"/>
      <c r="H1139" s="1096">
        <f t="shared" si="94"/>
        <v>0</v>
      </c>
      <c r="I1139" s="1103"/>
      <c r="J1139" s="1096">
        <f t="shared" si="95"/>
        <v>0</v>
      </c>
      <c r="K1139" s="1096"/>
      <c r="L1139" s="1096">
        <f t="shared" si="96"/>
        <v>0</v>
      </c>
      <c r="M1139" s="1103"/>
      <c r="N1139" s="1096">
        <f t="shared" si="97"/>
        <v>0</v>
      </c>
      <c r="O1139" s="1098" t="e">
        <f>#REF!+E1139+G1139</f>
        <v>#REF!</v>
      </c>
      <c r="P1139" s="1096" t="e">
        <f t="shared" si="99"/>
        <v>#REF!</v>
      </c>
      <c r="Q1139" s="1107"/>
      <c r="R1139" s="1104"/>
    </row>
    <row r="1140" spans="2:18" s="1108" customFormat="1">
      <c r="B1140" s="1325"/>
      <c r="E1140" s="1240"/>
      <c r="F1140" s="1097">
        <f t="shared" si="93"/>
        <v>0</v>
      </c>
      <c r="G1140" s="1240"/>
      <c r="H1140" s="1096">
        <f t="shared" si="94"/>
        <v>0</v>
      </c>
      <c r="I1140" s="1103"/>
      <c r="J1140" s="1096">
        <f t="shared" si="95"/>
        <v>0</v>
      </c>
      <c r="K1140" s="1096"/>
      <c r="L1140" s="1096">
        <f t="shared" si="96"/>
        <v>0</v>
      </c>
      <c r="M1140" s="1103"/>
      <c r="N1140" s="1096">
        <f t="shared" si="97"/>
        <v>0</v>
      </c>
      <c r="O1140" s="1098" t="e">
        <f>#REF!+E1140+G1140</f>
        <v>#REF!</v>
      </c>
      <c r="P1140" s="1096" t="e">
        <f t="shared" si="99"/>
        <v>#REF!</v>
      </c>
      <c r="Q1140" s="1107"/>
      <c r="R1140" s="1104"/>
    </row>
    <row r="1141" spans="2:18" s="1108" customFormat="1">
      <c r="B1141" s="1325"/>
      <c r="E1141" s="1240"/>
      <c r="F1141" s="1097">
        <f t="shared" si="93"/>
        <v>0</v>
      </c>
      <c r="G1141" s="1240"/>
      <c r="H1141" s="1096">
        <f t="shared" si="94"/>
        <v>0</v>
      </c>
      <c r="I1141" s="1103"/>
      <c r="J1141" s="1096">
        <f t="shared" si="95"/>
        <v>0</v>
      </c>
      <c r="K1141" s="1096"/>
      <c r="L1141" s="1096">
        <f t="shared" si="96"/>
        <v>0</v>
      </c>
      <c r="M1141" s="1103"/>
      <c r="N1141" s="1096">
        <f t="shared" si="97"/>
        <v>0</v>
      </c>
      <c r="O1141" s="1098" t="e">
        <f>#REF!+E1141+G1141</f>
        <v>#REF!</v>
      </c>
      <c r="P1141" s="1096" t="e">
        <f t="shared" si="99"/>
        <v>#REF!</v>
      </c>
      <c r="Q1141" s="1107"/>
      <c r="R1141" s="1104"/>
    </row>
    <row r="1142" spans="2:18">
      <c r="B1142" s="1326"/>
      <c r="E1142" s="1250"/>
      <c r="F1142" s="1097">
        <f t="shared" si="93"/>
        <v>0</v>
      </c>
      <c r="G1142" s="1250"/>
      <c r="H1142" s="1096">
        <f t="shared" si="94"/>
        <v>0</v>
      </c>
      <c r="I1142" s="1096"/>
      <c r="J1142" s="1096">
        <f t="shared" si="95"/>
        <v>0</v>
      </c>
      <c r="K1142" s="1096"/>
      <c r="L1142" s="1096">
        <f t="shared" si="96"/>
        <v>0</v>
      </c>
      <c r="M1142" s="1096"/>
      <c r="N1142" s="1096">
        <f t="shared" si="97"/>
        <v>0</v>
      </c>
      <c r="O1142" s="1098" t="e">
        <f>#REF!+E1142+G1142</f>
        <v>#REF!</v>
      </c>
      <c r="P1142" s="1096" t="e">
        <f t="shared" si="99"/>
        <v>#REF!</v>
      </c>
      <c r="Q1142" s="1099"/>
      <c r="R1142" s="1099"/>
    </row>
    <row r="1143" spans="2:18">
      <c r="B1143" s="1326"/>
      <c r="E1143" s="1250"/>
      <c r="F1143" s="1097">
        <f t="shared" si="93"/>
        <v>0</v>
      </c>
      <c r="G1143" s="1250"/>
      <c r="H1143" s="1096">
        <f t="shared" si="94"/>
        <v>0</v>
      </c>
      <c r="I1143" s="1096"/>
      <c r="J1143" s="1096">
        <f t="shared" si="95"/>
        <v>0</v>
      </c>
      <c r="K1143" s="1096"/>
      <c r="L1143" s="1096">
        <f t="shared" si="96"/>
        <v>0</v>
      </c>
      <c r="M1143" s="1096"/>
      <c r="N1143" s="1096">
        <f t="shared" si="97"/>
        <v>0</v>
      </c>
      <c r="O1143" s="1098" t="e">
        <f>#REF!+E1143+G1143</f>
        <v>#REF!</v>
      </c>
      <c r="P1143" s="1096" t="e">
        <f t="shared" si="99"/>
        <v>#REF!</v>
      </c>
      <c r="Q1143" s="1099"/>
      <c r="R1143" s="1099"/>
    </row>
    <row r="1144" spans="2:18">
      <c r="B1144" s="1326"/>
      <c r="E1144" s="1250"/>
      <c r="F1144" s="1097">
        <f t="shared" si="93"/>
        <v>0</v>
      </c>
      <c r="G1144" s="1250"/>
      <c r="H1144" s="1096">
        <f t="shared" si="94"/>
        <v>0</v>
      </c>
      <c r="I1144" s="1096"/>
      <c r="J1144" s="1096">
        <f t="shared" si="95"/>
        <v>0</v>
      </c>
      <c r="K1144" s="1096"/>
      <c r="L1144" s="1096">
        <f t="shared" si="96"/>
        <v>0</v>
      </c>
      <c r="M1144" s="1096"/>
      <c r="N1144" s="1096">
        <f t="shared" si="97"/>
        <v>0</v>
      </c>
      <c r="O1144" s="1098" t="e">
        <f>#REF!+E1144+G1144</f>
        <v>#REF!</v>
      </c>
      <c r="P1144" s="1096" t="e">
        <f>#REF!+H1033+F1033</f>
        <v>#REF!</v>
      </c>
      <c r="Q1144" s="1099"/>
      <c r="R1144" s="1099"/>
    </row>
    <row r="1145" spans="2:18">
      <c r="B1145" s="1326"/>
      <c r="E1145" s="1250"/>
      <c r="F1145" s="1097">
        <f t="shared" si="93"/>
        <v>0</v>
      </c>
      <c r="G1145" s="1250"/>
      <c r="H1145" s="1096">
        <f t="shared" si="94"/>
        <v>0</v>
      </c>
      <c r="I1145" s="1096"/>
      <c r="J1145" s="1096">
        <f t="shared" si="95"/>
        <v>0</v>
      </c>
      <c r="K1145" s="1096"/>
      <c r="L1145" s="1096">
        <f t="shared" si="96"/>
        <v>0</v>
      </c>
      <c r="M1145" s="1096"/>
      <c r="N1145" s="1096">
        <f t="shared" si="97"/>
        <v>0</v>
      </c>
      <c r="O1145" s="1098" t="e">
        <f>#REF!+E1145+G1145</f>
        <v>#REF!</v>
      </c>
      <c r="P1145" s="1096" t="e">
        <f>P1033-P1144</f>
        <v>#REF!</v>
      </c>
      <c r="Q1145" s="1099"/>
      <c r="R1145" s="1099"/>
    </row>
    <row r="1146" spans="2:18">
      <c r="B1146" s="1326"/>
      <c r="E1146" s="1250"/>
      <c r="F1146" s="1097">
        <f t="shared" si="93"/>
        <v>0</v>
      </c>
      <c r="G1146" s="1250"/>
      <c r="H1146" s="1096">
        <f t="shared" si="94"/>
        <v>0</v>
      </c>
      <c r="I1146" s="1096"/>
      <c r="J1146" s="1096">
        <f t="shared" si="95"/>
        <v>0</v>
      </c>
      <c r="K1146" s="1096"/>
      <c r="L1146" s="1096">
        <f t="shared" si="96"/>
        <v>0</v>
      </c>
      <c r="M1146" s="1096"/>
      <c r="N1146" s="1096">
        <f t="shared" si="97"/>
        <v>0</v>
      </c>
      <c r="O1146" s="1098" t="e">
        <f>#REF!+E1146+G1146</f>
        <v>#REF!</v>
      </c>
      <c r="P1146" s="1096" t="e">
        <f t="shared" ref="P1146:P1156" si="100">O1146*C1146</f>
        <v>#REF!</v>
      </c>
      <c r="Q1146" s="1099"/>
      <c r="R1146" s="1099"/>
    </row>
    <row r="1147" spans="2:18">
      <c r="B1147" s="1326"/>
      <c r="E1147" s="1250"/>
      <c r="F1147" s="1097">
        <f t="shared" si="93"/>
        <v>0</v>
      </c>
      <c r="G1147" s="1250"/>
      <c r="H1147" s="1096">
        <f t="shared" si="94"/>
        <v>0</v>
      </c>
      <c r="I1147" s="1096"/>
      <c r="J1147" s="1096">
        <f t="shared" si="95"/>
        <v>0</v>
      </c>
      <c r="K1147" s="1096"/>
      <c r="L1147" s="1096">
        <f t="shared" si="96"/>
        <v>0</v>
      </c>
      <c r="M1147" s="1096"/>
      <c r="N1147" s="1096">
        <f t="shared" si="97"/>
        <v>0</v>
      </c>
      <c r="O1147" s="1098" t="e">
        <f>#REF!+E1147+G1147</f>
        <v>#REF!</v>
      </c>
      <c r="P1147" s="1096" t="e">
        <f t="shared" si="100"/>
        <v>#REF!</v>
      </c>
      <c r="Q1147" s="1099"/>
      <c r="R1147" s="1099"/>
    </row>
    <row r="1148" spans="2:18">
      <c r="B1148" s="1326"/>
      <c r="E1148" s="1250"/>
      <c r="F1148" s="1097">
        <f t="shared" si="93"/>
        <v>0</v>
      </c>
      <c r="G1148" s="1250"/>
      <c r="H1148" s="1096">
        <f t="shared" si="94"/>
        <v>0</v>
      </c>
      <c r="I1148" s="1096"/>
      <c r="J1148" s="1096">
        <f t="shared" si="95"/>
        <v>0</v>
      </c>
      <c r="K1148" s="1096"/>
      <c r="L1148" s="1096">
        <f t="shared" si="96"/>
        <v>0</v>
      </c>
      <c r="M1148" s="1096"/>
      <c r="N1148" s="1096">
        <f t="shared" si="97"/>
        <v>0</v>
      </c>
      <c r="O1148" s="1098" t="e">
        <f>#REF!+E1148+G1148</f>
        <v>#REF!</v>
      </c>
      <c r="P1148" s="1096" t="e">
        <f t="shared" si="100"/>
        <v>#REF!</v>
      </c>
      <c r="Q1148" s="1099"/>
      <c r="R1148" s="1099"/>
    </row>
    <row r="1149" spans="2:18">
      <c r="B1149" s="1326"/>
      <c r="E1149" s="1250"/>
      <c r="F1149" s="1097">
        <f t="shared" si="93"/>
        <v>0</v>
      </c>
      <c r="G1149" s="1250"/>
      <c r="H1149" s="1096">
        <f t="shared" si="94"/>
        <v>0</v>
      </c>
      <c r="I1149" s="1096"/>
      <c r="J1149" s="1096">
        <f t="shared" si="95"/>
        <v>0</v>
      </c>
      <c r="K1149" s="1096"/>
      <c r="L1149" s="1096">
        <f t="shared" si="96"/>
        <v>0</v>
      </c>
      <c r="M1149" s="1096"/>
      <c r="N1149" s="1096">
        <f t="shared" si="97"/>
        <v>0</v>
      </c>
      <c r="O1149" s="1098" t="e">
        <f>#REF!+E1149+G1149</f>
        <v>#REF!</v>
      </c>
      <c r="P1149" s="1096" t="e">
        <f t="shared" si="100"/>
        <v>#REF!</v>
      </c>
      <c r="Q1149" s="1099"/>
      <c r="R1149" s="1099"/>
    </row>
    <row r="1150" spans="2:18">
      <c r="B1150" s="1326"/>
      <c r="E1150" s="1250"/>
      <c r="F1150" s="1097">
        <f t="shared" si="93"/>
        <v>0</v>
      </c>
      <c r="G1150" s="1250"/>
      <c r="H1150" s="1096">
        <f t="shared" si="94"/>
        <v>0</v>
      </c>
      <c r="I1150" s="1096"/>
      <c r="J1150" s="1096">
        <f t="shared" si="95"/>
        <v>0</v>
      </c>
      <c r="K1150" s="1096"/>
      <c r="L1150" s="1096">
        <f t="shared" si="96"/>
        <v>0</v>
      </c>
      <c r="M1150" s="1096"/>
      <c r="N1150" s="1096">
        <f t="shared" si="97"/>
        <v>0</v>
      </c>
      <c r="O1150" s="1098" t="e">
        <f>#REF!+E1150+G1150</f>
        <v>#REF!</v>
      </c>
      <c r="P1150" s="1096" t="e">
        <f t="shared" si="100"/>
        <v>#REF!</v>
      </c>
      <c r="Q1150" s="1099"/>
      <c r="R1150" s="1099"/>
    </row>
    <row r="1151" spans="2:18">
      <c r="B1151" s="1326"/>
      <c r="E1151" s="1250"/>
      <c r="F1151" s="1097">
        <f t="shared" si="93"/>
        <v>0</v>
      </c>
      <c r="G1151" s="1250"/>
      <c r="H1151" s="1096">
        <f t="shared" si="94"/>
        <v>0</v>
      </c>
      <c r="I1151" s="1096"/>
      <c r="J1151" s="1096">
        <f t="shared" si="95"/>
        <v>0</v>
      </c>
      <c r="K1151" s="1096"/>
      <c r="L1151" s="1096">
        <f t="shared" si="96"/>
        <v>0</v>
      </c>
      <c r="M1151" s="1096"/>
      <c r="N1151" s="1096">
        <f t="shared" si="97"/>
        <v>0</v>
      </c>
      <c r="O1151" s="1098" t="e">
        <f>#REF!+E1151+G1151</f>
        <v>#REF!</v>
      </c>
      <c r="P1151" s="1096" t="e">
        <f t="shared" si="100"/>
        <v>#REF!</v>
      </c>
      <c r="Q1151" s="1099"/>
      <c r="R1151" s="1099"/>
    </row>
    <row r="1152" spans="2:18">
      <c r="B1152" s="1326"/>
      <c r="E1152" s="1250"/>
      <c r="F1152" s="1097">
        <f t="shared" si="93"/>
        <v>0</v>
      </c>
      <c r="G1152" s="1250"/>
      <c r="H1152" s="1096">
        <f t="shared" si="94"/>
        <v>0</v>
      </c>
      <c r="I1152" s="1096"/>
      <c r="J1152" s="1096">
        <f t="shared" si="95"/>
        <v>0</v>
      </c>
      <c r="K1152" s="1096"/>
      <c r="L1152" s="1096">
        <f t="shared" si="96"/>
        <v>0</v>
      </c>
      <c r="M1152" s="1096"/>
      <c r="N1152" s="1096">
        <f t="shared" si="97"/>
        <v>0</v>
      </c>
      <c r="O1152" s="1098" t="e">
        <f>#REF!+E1152+G1152</f>
        <v>#REF!</v>
      </c>
      <c r="P1152" s="1096" t="e">
        <f t="shared" si="100"/>
        <v>#REF!</v>
      </c>
      <c r="Q1152" s="1099"/>
      <c r="R1152" s="1099"/>
    </row>
    <row r="1153" spans="2:18">
      <c r="B1153" s="1326"/>
      <c r="E1153" s="1250"/>
      <c r="F1153" s="1097">
        <f t="shared" si="93"/>
        <v>0</v>
      </c>
      <c r="G1153" s="1250"/>
      <c r="H1153" s="1096">
        <f t="shared" si="94"/>
        <v>0</v>
      </c>
      <c r="I1153" s="1096"/>
      <c r="J1153" s="1096">
        <f t="shared" si="95"/>
        <v>0</v>
      </c>
      <c r="K1153" s="1096"/>
      <c r="L1153" s="1096">
        <f t="shared" si="96"/>
        <v>0</v>
      </c>
      <c r="M1153" s="1096"/>
      <c r="N1153" s="1096">
        <f t="shared" si="97"/>
        <v>0</v>
      </c>
      <c r="O1153" s="1098" t="e">
        <f>#REF!+E1153+G1153</f>
        <v>#REF!</v>
      </c>
      <c r="P1153" s="1096" t="e">
        <f t="shared" si="100"/>
        <v>#REF!</v>
      </c>
      <c r="Q1153" s="1099"/>
      <c r="R1153" s="1099"/>
    </row>
    <row r="1154" spans="2:18">
      <c r="B1154" s="1326"/>
      <c r="E1154" s="1250"/>
      <c r="F1154" s="1097">
        <f t="shared" si="93"/>
        <v>0</v>
      </c>
      <c r="G1154" s="1250"/>
      <c r="H1154" s="1096">
        <f t="shared" si="94"/>
        <v>0</v>
      </c>
      <c r="I1154" s="1096"/>
      <c r="J1154" s="1096">
        <f t="shared" si="95"/>
        <v>0</v>
      </c>
      <c r="K1154" s="1096"/>
      <c r="L1154" s="1096">
        <f t="shared" si="96"/>
        <v>0</v>
      </c>
      <c r="M1154" s="1096"/>
      <c r="N1154" s="1096">
        <f t="shared" si="97"/>
        <v>0</v>
      </c>
      <c r="O1154" s="1098" t="e">
        <f>#REF!+E1154+G1154</f>
        <v>#REF!</v>
      </c>
      <c r="P1154" s="1096" t="e">
        <f t="shared" si="100"/>
        <v>#REF!</v>
      </c>
      <c r="Q1154" s="1250"/>
      <c r="R1154" s="1099"/>
    </row>
    <row r="1155" spans="2:18">
      <c r="B1155" s="1326"/>
      <c r="E1155" s="1250"/>
      <c r="F1155" s="1097">
        <f t="shared" si="93"/>
        <v>0</v>
      </c>
      <c r="G1155" s="1250"/>
      <c r="H1155" s="1096"/>
      <c r="I1155" s="1096"/>
      <c r="J1155" s="1096">
        <f t="shared" si="95"/>
        <v>0</v>
      </c>
      <c r="K1155" s="1096"/>
      <c r="L1155" s="1096">
        <f t="shared" si="96"/>
        <v>0</v>
      </c>
      <c r="M1155" s="1096"/>
      <c r="N1155" s="1096">
        <f t="shared" si="97"/>
        <v>0</v>
      </c>
      <c r="O1155" s="1098" t="e">
        <f>#REF!+E1155+G1155</f>
        <v>#REF!</v>
      </c>
      <c r="P1155" s="1096" t="e">
        <f t="shared" si="100"/>
        <v>#REF!</v>
      </c>
      <c r="Q1155" s="1250"/>
      <c r="R1155" s="1099"/>
    </row>
    <row r="1156" spans="2:18">
      <c r="B1156" s="1326"/>
      <c r="E1156" s="1250"/>
      <c r="F1156" s="1097">
        <f t="shared" si="93"/>
        <v>0</v>
      </c>
      <c r="G1156" s="1250"/>
      <c r="H1156" s="1096"/>
      <c r="I1156" s="1096"/>
      <c r="J1156" s="1096">
        <f t="shared" si="95"/>
        <v>0</v>
      </c>
      <c r="K1156" s="1096"/>
      <c r="L1156" s="1096">
        <f t="shared" si="96"/>
        <v>0</v>
      </c>
      <c r="M1156" s="1096"/>
      <c r="N1156" s="1096">
        <f t="shared" si="97"/>
        <v>0</v>
      </c>
      <c r="O1156" s="1098" t="e">
        <f>#REF!+E1156+G1156</f>
        <v>#REF!</v>
      </c>
      <c r="P1156" s="1096" t="e">
        <f t="shared" si="100"/>
        <v>#REF!</v>
      </c>
      <c r="Q1156" s="1250"/>
      <c r="R1156" s="1099"/>
    </row>
    <row r="1157" spans="2:18">
      <c r="B1157" s="1326"/>
      <c r="E1157" s="1250"/>
      <c r="F1157" s="1097">
        <f t="shared" si="93"/>
        <v>0</v>
      </c>
      <c r="G1157" s="1250"/>
      <c r="H1157" s="1096"/>
      <c r="I1157" s="1096"/>
      <c r="J1157" s="1096">
        <f t="shared" si="95"/>
        <v>0</v>
      </c>
      <c r="K1157" s="1096"/>
      <c r="L1157" s="1096">
        <f t="shared" si="96"/>
        <v>0</v>
      </c>
      <c r="M1157" s="1096"/>
      <c r="N1157" s="1096">
        <f t="shared" si="97"/>
        <v>0</v>
      </c>
      <c r="O1157" s="1098"/>
      <c r="P1157" s="1096"/>
      <c r="Q1157" s="1250"/>
      <c r="R1157" s="1099"/>
    </row>
    <row r="1158" spans="2:18">
      <c r="B1158" s="1326"/>
      <c r="E1158" s="1250"/>
      <c r="F1158" s="1097">
        <f t="shared" si="93"/>
        <v>0</v>
      </c>
      <c r="G1158" s="1250"/>
      <c r="H1158" s="1096"/>
      <c r="I1158" s="1096"/>
      <c r="J1158" s="1096">
        <f t="shared" si="95"/>
        <v>0</v>
      </c>
      <c r="K1158" s="1096"/>
      <c r="L1158" s="1096">
        <f t="shared" si="96"/>
        <v>0</v>
      </c>
      <c r="M1158" s="1096"/>
      <c r="N1158" s="1096">
        <f t="shared" si="97"/>
        <v>0</v>
      </c>
      <c r="O1158" s="1098"/>
      <c r="P1158" s="1096"/>
      <c r="Q1158" s="1250"/>
      <c r="R1158" s="1099"/>
    </row>
    <row r="1159" spans="2:18">
      <c r="E1159" s="1250"/>
      <c r="F1159" s="1097">
        <f t="shared" si="93"/>
        <v>0</v>
      </c>
      <c r="G1159" s="1250"/>
      <c r="H1159" s="1096"/>
      <c r="I1159" s="1096"/>
      <c r="J1159" s="1096">
        <f t="shared" si="95"/>
        <v>0</v>
      </c>
      <c r="K1159" s="1096"/>
      <c r="L1159" s="1096"/>
      <c r="M1159" s="1096"/>
      <c r="N1159" s="1096">
        <f t="shared" si="97"/>
        <v>0</v>
      </c>
      <c r="O1159" s="1096"/>
      <c r="P1159" s="1096"/>
      <c r="Q1159" s="1250"/>
      <c r="R1159" s="1099"/>
    </row>
    <row r="1160" spans="2:18">
      <c r="E1160" s="1250"/>
      <c r="F1160" s="1097">
        <f t="shared" si="93"/>
        <v>0</v>
      </c>
      <c r="G1160" s="1250"/>
      <c r="H1160" s="1096"/>
      <c r="I1160" s="1096"/>
      <c r="J1160" s="1096">
        <f t="shared" si="95"/>
        <v>0</v>
      </c>
      <c r="K1160" s="1096"/>
      <c r="L1160" s="1096"/>
      <c r="M1160" s="1096"/>
      <c r="N1160" s="1096">
        <f t="shared" si="97"/>
        <v>0</v>
      </c>
      <c r="O1160" s="1096"/>
      <c r="P1160" s="1096"/>
      <c r="Q1160" s="1250"/>
      <c r="R1160" s="1099"/>
    </row>
    <row r="1161" spans="2:18">
      <c r="E1161" s="1250"/>
      <c r="F1161" s="1097">
        <f t="shared" si="93"/>
        <v>0</v>
      </c>
      <c r="G1161" s="1250"/>
      <c r="H1161" s="1096"/>
      <c r="I1161" s="1096"/>
      <c r="J1161" s="1096">
        <f t="shared" si="95"/>
        <v>0</v>
      </c>
      <c r="K1161" s="1096"/>
      <c r="L1161" s="1096"/>
      <c r="M1161" s="1096"/>
      <c r="N1161" s="1096">
        <f t="shared" si="97"/>
        <v>0</v>
      </c>
      <c r="O1161" s="1096"/>
      <c r="P1161" s="1096"/>
      <c r="Q1161" s="1250"/>
      <c r="R1161" s="1099"/>
    </row>
    <row r="1162" spans="2:18">
      <c r="E1162" s="1250"/>
      <c r="F1162" s="1097">
        <f t="shared" ref="F1162" si="101">E1162*C1162</f>
        <v>0</v>
      </c>
      <c r="G1162" s="1250"/>
      <c r="H1162" s="1096"/>
      <c r="I1162" s="1096"/>
      <c r="J1162" s="1096">
        <f t="shared" ref="J1162" si="102">I1162*C1162</f>
        <v>0</v>
      </c>
      <c r="K1162" s="1096"/>
      <c r="L1162" s="1096"/>
      <c r="M1162" s="1096"/>
      <c r="N1162" s="1096">
        <f t="shared" ref="N1162:N1164" si="103">M1162*C1162</f>
        <v>0</v>
      </c>
      <c r="O1162" s="1096"/>
      <c r="P1162" s="1096"/>
      <c r="Q1162" s="1250"/>
      <c r="R1162" s="1099"/>
    </row>
    <row r="1163" spans="2:18">
      <c r="F1163" s="1097"/>
      <c r="H1163" s="1096"/>
      <c r="I1163" s="1096"/>
      <c r="J1163" s="1092"/>
      <c r="K1163" s="1092"/>
      <c r="L1163" s="1092"/>
      <c r="M1163" s="1092"/>
      <c r="N1163" s="1096">
        <f t="shared" si="103"/>
        <v>0</v>
      </c>
      <c r="O1163" s="1096"/>
      <c r="P1163" s="1096"/>
      <c r="Q1163" s="1084"/>
    </row>
    <row r="1164" spans="2:18">
      <c r="F1164" s="1097"/>
      <c r="H1164" s="1096"/>
      <c r="I1164" s="1096"/>
      <c r="J1164" s="1092"/>
      <c r="K1164" s="1092"/>
      <c r="L1164" s="1092"/>
      <c r="M1164" s="1092"/>
      <c r="N1164" s="1096">
        <f t="shared" si="103"/>
        <v>0</v>
      </c>
      <c r="O1164" s="1096"/>
      <c r="P1164" s="1096"/>
      <c r="Q1164" s="1084"/>
    </row>
    <row r="1165" spans="2:18">
      <c r="H1165" s="1096"/>
      <c r="J1165" s="1092"/>
      <c r="K1165" s="1254"/>
      <c r="L1165" s="1254"/>
      <c r="M1165" s="1254"/>
      <c r="N1165" s="1254"/>
      <c r="O1165" s="1084"/>
      <c r="P1165" s="1084"/>
      <c r="Q1165" s="1084"/>
    </row>
    <row r="1166" spans="2:18">
      <c r="H1166" s="1096"/>
      <c r="J1166" s="1092"/>
      <c r="K1166" s="1254"/>
      <c r="L1166" s="1254"/>
      <c r="M1166" s="1254"/>
      <c r="N1166" s="1254"/>
      <c r="O1166" s="1084"/>
      <c r="P1166" s="1084"/>
      <c r="Q1166" s="1084"/>
      <c r="R1166" s="1084"/>
    </row>
    <row r="1167" spans="2:18">
      <c r="O1167" s="1084"/>
      <c r="P1167" s="1084"/>
      <c r="Q1167" s="1084"/>
      <c r="R1167" s="1084"/>
    </row>
    <row r="1168" spans="2:18">
      <c r="O1168" s="1084"/>
      <c r="P1168" s="1084"/>
      <c r="Q1168" s="1084"/>
      <c r="R1168" s="1084"/>
    </row>
    <row r="1169" spans="15:18">
      <c r="O1169" s="1084"/>
      <c r="P1169" s="1084"/>
      <c r="Q1169" s="1084"/>
      <c r="R1169" s="1084"/>
    </row>
    <row r="1170" spans="15:18">
      <c r="O1170" s="1084"/>
      <c r="P1170" s="1084"/>
      <c r="Q1170" s="1084"/>
      <c r="R1170" s="1084"/>
    </row>
    <row r="1171" spans="15:18">
      <c r="O1171" s="1084"/>
      <c r="P1171" s="1084"/>
      <c r="Q1171" s="1084"/>
      <c r="R1171" s="1084"/>
    </row>
    <row r="1172" spans="15:18">
      <c r="O1172" s="1084"/>
      <c r="P1172" s="1084"/>
      <c r="Q1172" s="1084"/>
      <c r="R1172" s="1084"/>
    </row>
  </sheetData>
  <autoFilter ref="A5:Z1141"/>
  <mergeCells count="12">
    <mergeCell ref="M3:N3"/>
    <mergeCell ref="O3:P3"/>
    <mergeCell ref="A1:P1"/>
    <mergeCell ref="A2:P2"/>
    <mergeCell ref="A3:A4"/>
    <mergeCell ref="B3:B4"/>
    <mergeCell ref="C3:C4"/>
    <mergeCell ref="D3:D4"/>
    <mergeCell ref="E3:F3"/>
    <mergeCell ref="G3:H3"/>
    <mergeCell ref="I3:J3"/>
    <mergeCell ref="K3:L3"/>
  </mergeCells>
  <printOptions horizontalCentered="1"/>
  <pageMargins left="0.23622047244094491" right="0.19685039370078741" top="0.6692913385826772" bottom="0.55118110236220474" header="0.27559055118110237" footer="0.27559055118110237"/>
  <pageSetup paperSize="8" scale="35" orientation="landscape" r:id="rId1"/>
  <headerFooter alignWithMargins="0">
    <oddHeader>&amp;R&amp;P</oddHeader>
  </headerFooter>
  <drawing r:id="rId2"/>
</worksheet>
</file>

<file path=xl/worksheets/sheet5.xml><?xml version="1.0" encoding="utf-8"?>
<worksheet xmlns="http://schemas.openxmlformats.org/spreadsheetml/2006/main" xmlns:r="http://schemas.openxmlformats.org/officeDocument/2006/relationships">
  <sheetPr codeName="Sheet40">
    <tabColor rgb="FFFFFF00"/>
  </sheetPr>
  <dimension ref="A1:P117"/>
  <sheetViews>
    <sheetView showZeros="0" view="pageBreakPreview" zoomScale="79" zoomScaleSheetLayoutView="79" workbookViewId="0">
      <selection activeCell="B6" sqref="B6"/>
    </sheetView>
  </sheetViews>
  <sheetFormatPr defaultColWidth="10.85546875" defaultRowHeight="45" customHeight="1"/>
  <cols>
    <col min="1" max="1" width="7.85546875" style="944" customWidth="1"/>
    <col min="2" max="2" width="10.5703125" style="1380" customWidth="1"/>
    <col min="3" max="3" width="50.140625" style="954" customWidth="1"/>
    <col min="4" max="4" width="14.5703125" style="955" customWidth="1"/>
    <col min="5" max="5" width="7.5703125" style="944" customWidth="1"/>
    <col min="6" max="6" width="17.140625" style="955" customWidth="1"/>
    <col min="7" max="254" width="10.85546875" style="944"/>
    <col min="255" max="255" width="7.85546875" style="944" customWidth="1"/>
    <col min="256" max="256" width="10.5703125" style="944" customWidth="1"/>
    <col min="257" max="257" width="50.140625" style="944" customWidth="1"/>
    <col min="258" max="258" width="14.5703125" style="944" customWidth="1"/>
    <col min="259" max="259" width="7.5703125" style="944" customWidth="1"/>
    <col min="260" max="261" width="17.140625" style="944" customWidth="1"/>
    <col min="262" max="262" width="14.140625" style="944" bestFit="1" customWidth="1"/>
    <col min="263" max="510" width="10.85546875" style="944"/>
    <col min="511" max="511" width="7.85546875" style="944" customWidth="1"/>
    <col min="512" max="512" width="10.5703125" style="944" customWidth="1"/>
    <col min="513" max="513" width="50.140625" style="944" customWidth="1"/>
    <col min="514" max="514" width="14.5703125" style="944" customWidth="1"/>
    <col min="515" max="515" width="7.5703125" style="944" customWidth="1"/>
    <col min="516" max="517" width="17.140625" style="944" customWidth="1"/>
    <col min="518" max="518" width="14.140625" style="944" bestFit="1" customWidth="1"/>
    <col min="519" max="766" width="10.85546875" style="944"/>
    <col min="767" max="767" width="7.85546875" style="944" customWidth="1"/>
    <col min="768" max="768" width="10.5703125" style="944" customWidth="1"/>
    <col min="769" max="769" width="50.140625" style="944" customWidth="1"/>
    <col min="770" max="770" width="14.5703125" style="944" customWidth="1"/>
    <col min="771" max="771" width="7.5703125" style="944" customWidth="1"/>
    <col min="772" max="773" width="17.140625" style="944" customWidth="1"/>
    <col min="774" max="774" width="14.140625" style="944" bestFit="1" customWidth="1"/>
    <col min="775" max="1022" width="10.85546875" style="944"/>
    <col min="1023" max="1023" width="7.85546875" style="944" customWidth="1"/>
    <col min="1024" max="1024" width="10.5703125" style="944" customWidth="1"/>
    <col min="1025" max="1025" width="50.140625" style="944" customWidth="1"/>
    <col min="1026" max="1026" width="14.5703125" style="944" customWidth="1"/>
    <col min="1027" max="1027" width="7.5703125" style="944" customWidth="1"/>
    <col min="1028" max="1029" width="17.140625" style="944" customWidth="1"/>
    <col min="1030" max="1030" width="14.140625" style="944" bestFit="1" customWidth="1"/>
    <col min="1031" max="1278" width="10.85546875" style="944"/>
    <col min="1279" max="1279" width="7.85546875" style="944" customWidth="1"/>
    <col min="1280" max="1280" width="10.5703125" style="944" customWidth="1"/>
    <col min="1281" max="1281" width="50.140625" style="944" customWidth="1"/>
    <col min="1282" max="1282" width="14.5703125" style="944" customWidth="1"/>
    <col min="1283" max="1283" width="7.5703125" style="944" customWidth="1"/>
    <col min="1284" max="1285" width="17.140625" style="944" customWidth="1"/>
    <col min="1286" max="1286" width="14.140625" style="944" bestFit="1" customWidth="1"/>
    <col min="1287" max="1534" width="10.85546875" style="944"/>
    <col min="1535" max="1535" width="7.85546875" style="944" customWidth="1"/>
    <col min="1536" max="1536" width="10.5703125" style="944" customWidth="1"/>
    <col min="1537" max="1537" width="50.140625" style="944" customWidth="1"/>
    <col min="1538" max="1538" width="14.5703125" style="944" customWidth="1"/>
    <col min="1539" max="1539" width="7.5703125" style="944" customWidth="1"/>
    <col min="1540" max="1541" width="17.140625" style="944" customWidth="1"/>
    <col min="1542" max="1542" width="14.140625" style="944" bestFit="1" customWidth="1"/>
    <col min="1543" max="1790" width="10.85546875" style="944"/>
    <col min="1791" max="1791" width="7.85546875" style="944" customWidth="1"/>
    <col min="1792" max="1792" width="10.5703125" style="944" customWidth="1"/>
    <col min="1793" max="1793" width="50.140625" style="944" customWidth="1"/>
    <col min="1794" max="1794" width="14.5703125" style="944" customWidth="1"/>
    <col min="1795" max="1795" width="7.5703125" style="944" customWidth="1"/>
    <col min="1796" max="1797" width="17.140625" style="944" customWidth="1"/>
    <col min="1798" max="1798" width="14.140625" style="944" bestFit="1" customWidth="1"/>
    <col min="1799" max="2046" width="10.85546875" style="944"/>
    <col min="2047" max="2047" width="7.85546875" style="944" customWidth="1"/>
    <col min="2048" max="2048" width="10.5703125" style="944" customWidth="1"/>
    <col min="2049" max="2049" width="50.140625" style="944" customWidth="1"/>
    <col min="2050" max="2050" width="14.5703125" style="944" customWidth="1"/>
    <col min="2051" max="2051" width="7.5703125" style="944" customWidth="1"/>
    <col min="2052" max="2053" width="17.140625" style="944" customWidth="1"/>
    <col min="2054" max="2054" width="14.140625" style="944" bestFit="1" customWidth="1"/>
    <col min="2055" max="2302" width="10.85546875" style="944"/>
    <col min="2303" max="2303" width="7.85546875" style="944" customWidth="1"/>
    <col min="2304" max="2304" width="10.5703125" style="944" customWidth="1"/>
    <col min="2305" max="2305" width="50.140625" style="944" customWidth="1"/>
    <col min="2306" max="2306" width="14.5703125" style="944" customWidth="1"/>
    <col min="2307" max="2307" width="7.5703125" style="944" customWidth="1"/>
    <col min="2308" max="2309" width="17.140625" style="944" customWidth="1"/>
    <col min="2310" max="2310" width="14.140625" style="944" bestFit="1" customWidth="1"/>
    <col min="2311" max="2558" width="10.85546875" style="944"/>
    <col min="2559" max="2559" width="7.85546875" style="944" customWidth="1"/>
    <col min="2560" max="2560" width="10.5703125" style="944" customWidth="1"/>
    <col min="2561" max="2561" width="50.140625" style="944" customWidth="1"/>
    <col min="2562" max="2562" width="14.5703125" style="944" customWidth="1"/>
    <col min="2563" max="2563" width="7.5703125" style="944" customWidth="1"/>
    <col min="2564" max="2565" width="17.140625" style="944" customWidth="1"/>
    <col min="2566" max="2566" width="14.140625" style="944" bestFit="1" customWidth="1"/>
    <col min="2567" max="2814" width="10.85546875" style="944"/>
    <col min="2815" max="2815" width="7.85546875" style="944" customWidth="1"/>
    <col min="2816" max="2816" width="10.5703125" style="944" customWidth="1"/>
    <col min="2817" max="2817" width="50.140625" style="944" customWidth="1"/>
    <col min="2818" max="2818" width="14.5703125" style="944" customWidth="1"/>
    <col min="2819" max="2819" width="7.5703125" style="944" customWidth="1"/>
    <col min="2820" max="2821" width="17.140625" style="944" customWidth="1"/>
    <col min="2822" max="2822" width="14.140625" style="944" bestFit="1" customWidth="1"/>
    <col min="2823" max="3070" width="10.85546875" style="944"/>
    <col min="3071" max="3071" width="7.85546875" style="944" customWidth="1"/>
    <col min="3072" max="3072" width="10.5703125" style="944" customWidth="1"/>
    <col min="3073" max="3073" width="50.140625" style="944" customWidth="1"/>
    <col min="3074" max="3074" width="14.5703125" style="944" customWidth="1"/>
    <col min="3075" max="3075" width="7.5703125" style="944" customWidth="1"/>
    <col min="3076" max="3077" width="17.140625" style="944" customWidth="1"/>
    <col min="3078" max="3078" width="14.140625" style="944" bestFit="1" customWidth="1"/>
    <col min="3079" max="3326" width="10.85546875" style="944"/>
    <col min="3327" max="3327" width="7.85546875" style="944" customWidth="1"/>
    <col min="3328" max="3328" width="10.5703125" style="944" customWidth="1"/>
    <col min="3329" max="3329" width="50.140625" style="944" customWidth="1"/>
    <col min="3330" max="3330" width="14.5703125" style="944" customWidth="1"/>
    <col min="3331" max="3331" width="7.5703125" style="944" customWidth="1"/>
    <col min="3332" max="3333" width="17.140625" style="944" customWidth="1"/>
    <col min="3334" max="3334" width="14.140625" style="944" bestFit="1" customWidth="1"/>
    <col min="3335" max="3582" width="10.85546875" style="944"/>
    <col min="3583" max="3583" width="7.85546875" style="944" customWidth="1"/>
    <col min="3584" max="3584" width="10.5703125" style="944" customWidth="1"/>
    <col min="3585" max="3585" width="50.140625" style="944" customWidth="1"/>
    <col min="3586" max="3586" width="14.5703125" style="944" customWidth="1"/>
    <col min="3587" max="3587" width="7.5703125" style="944" customWidth="1"/>
    <col min="3588" max="3589" width="17.140625" style="944" customWidth="1"/>
    <col min="3590" max="3590" width="14.140625" style="944" bestFit="1" customWidth="1"/>
    <col min="3591" max="3838" width="10.85546875" style="944"/>
    <col min="3839" max="3839" width="7.85546875" style="944" customWidth="1"/>
    <col min="3840" max="3840" width="10.5703125" style="944" customWidth="1"/>
    <col min="3841" max="3841" width="50.140625" style="944" customWidth="1"/>
    <col min="3842" max="3842" width="14.5703125" style="944" customWidth="1"/>
    <col min="3843" max="3843" width="7.5703125" style="944" customWidth="1"/>
    <col min="3844" max="3845" width="17.140625" style="944" customWidth="1"/>
    <col min="3846" max="3846" width="14.140625" style="944" bestFit="1" customWidth="1"/>
    <col min="3847" max="4094" width="10.85546875" style="944"/>
    <col min="4095" max="4095" width="7.85546875" style="944" customWidth="1"/>
    <col min="4096" max="4096" width="10.5703125" style="944" customWidth="1"/>
    <col min="4097" max="4097" width="50.140625" style="944" customWidth="1"/>
    <col min="4098" max="4098" width="14.5703125" style="944" customWidth="1"/>
    <col min="4099" max="4099" width="7.5703125" style="944" customWidth="1"/>
    <col min="4100" max="4101" width="17.140625" style="944" customWidth="1"/>
    <col min="4102" max="4102" width="14.140625" style="944" bestFit="1" customWidth="1"/>
    <col min="4103" max="4350" width="10.85546875" style="944"/>
    <col min="4351" max="4351" width="7.85546875" style="944" customWidth="1"/>
    <col min="4352" max="4352" width="10.5703125" style="944" customWidth="1"/>
    <col min="4353" max="4353" width="50.140625" style="944" customWidth="1"/>
    <col min="4354" max="4354" width="14.5703125" style="944" customWidth="1"/>
    <col min="4355" max="4355" width="7.5703125" style="944" customWidth="1"/>
    <col min="4356" max="4357" width="17.140625" style="944" customWidth="1"/>
    <col min="4358" max="4358" width="14.140625" style="944" bestFit="1" customWidth="1"/>
    <col min="4359" max="4606" width="10.85546875" style="944"/>
    <col min="4607" max="4607" width="7.85546875" style="944" customWidth="1"/>
    <col min="4608" max="4608" width="10.5703125" style="944" customWidth="1"/>
    <col min="4609" max="4609" width="50.140625" style="944" customWidth="1"/>
    <col min="4610" max="4610" width="14.5703125" style="944" customWidth="1"/>
    <col min="4611" max="4611" width="7.5703125" style="944" customWidth="1"/>
    <col min="4612" max="4613" width="17.140625" style="944" customWidth="1"/>
    <col min="4614" max="4614" width="14.140625" style="944" bestFit="1" customWidth="1"/>
    <col min="4615" max="4862" width="10.85546875" style="944"/>
    <col min="4863" max="4863" width="7.85546875" style="944" customWidth="1"/>
    <col min="4864" max="4864" width="10.5703125" style="944" customWidth="1"/>
    <col min="4865" max="4865" width="50.140625" style="944" customWidth="1"/>
    <col min="4866" max="4866" width="14.5703125" style="944" customWidth="1"/>
    <col min="4867" max="4867" width="7.5703125" style="944" customWidth="1"/>
    <col min="4868" max="4869" width="17.140625" style="944" customWidth="1"/>
    <col min="4870" max="4870" width="14.140625" style="944" bestFit="1" customWidth="1"/>
    <col min="4871" max="5118" width="10.85546875" style="944"/>
    <col min="5119" max="5119" width="7.85546875" style="944" customWidth="1"/>
    <col min="5120" max="5120" width="10.5703125" style="944" customWidth="1"/>
    <col min="5121" max="5121" width="50.140625" style="944" customWidth="1"/>
    <col min="5122" max="5122" width="14.5703125" style="944" customWidth="1"/>
    <col min="5123" max="5123" width="7.5703125" style="944" customWidth="1"/>
    <col min="5124" max="5125" width="17.140625" style="944" customWidth="1"/>
    <col min="5126" max="5126" width="14.140625" style="944" bestFit="1" customWidth="1"/>
    <col min="5127" max="5374" width="10.85546875" style="944"/>
    <col min="5375" max="5375" width="7.85546875" style="944" customWidth="1"/>
    <col min="5376" max="5376" width="10.5703125" style="944" customWidth="1"/>
    <col min="5377" max="5377" width="50.140625" style="944" customWidth="1"/>
    <col min="5378" max="5378" width="14.5703125" style="944" customWidth="1"/>
    <col min="5379" max="5379" width="7.5703125" style="944" customWidth="1"/>
    <col min="5380" max="5381" width="17.140625" style="944" customWidth="1"/>
    <col min="5382" max="5382" width="14.140625" style="944" bestFit="1" customWidth="1"/>
    <col min="5383" max="5630" width="10.85546875" style="944"/>
    <col min="5631" max="5631" width="7.85546875" style="944" customWidth="1"/>
    <col min="5632" max="5632" width="10.5703125" style="944" customWidth="1"/>
    <col min="5633" max="5633" width="50.140625" style="944" customWidth="1"/>
    <col min="5634" max="5634" width="14.5703125" style="944" customWidth="1"/>
    <col min="5635" max="5635" width="7.5703125" style="944" customWidth="1"/>
    <col min="5636" max="5637" width="17.140625" style="944" customWidth="1"/>
    <col min="5638" max="5638" width="14.140625" style="944" bestFit="1" customWidth="1"/>
    <col min="5639" max="5886" width="10.85546875" style="944"/>
    <col min="5887" max="5887" width="7.85546875" style="944" customWidth="1"/>
    <col min="5888" max="5888" width="10.5703125" style="944" customWidth="1"/>
    <col min="5889" max="5889" width="50.140625" style="944" customWidth="1"/>
    <col min="5890" max="5890" width="14.5703125" style="944" customWidth="1"/>
    <col min="5891" max="5891" width="7.5703125" style="944" customWidth="1"/>
    <col min="5892" max="5893" width="17.140625" style="944" customWidth="1"/>
    <col min="5894" max="5894" width="14.140625" style="944" bestFit="1" customWidth="1"/>
    <col min="5895" max="6142" width="10.85546875" style="944"/>
    <col min="6143" max="6143" width="7.85546875" style="944" customWidth="1"/>
    <col min="6144" max="6144" width="10.5703125" style="944" customWidth="1"/>
    <col min="6145" max="6145" width="50.140625" style="944" customWidth="1"/>
    <col min="6146" max="6146" width="14.5703125" style="944" customWidth="1"/>
    <col min="6147" max="6147" width="7.5703125" style="944" customWidth="1"/>
    <col min="6148" max="6149" width="17.140625" style="944" customWidth="1"/>
    <col min="6150" max="6150" width="14.140625" style="944" bestFit="1" customWidth="1"/>
    <col min="6151" max="6398" width="10.85546875" style="944"/>
    <col min="6399" max="6399" width="7.85546875" style="944" customWidth="1"/>
    <col min="6400" max="6400" width="10.5703125" style="944" customWidth="1"/>
    <col min="6401" max="6401" width="50.140625" style="944" customWidth="1"/>
    <col min="6402" max="6402" width="14.5703125" style="944" customWidth="1"/>
    <col min="6403" max="6403" width="7.5703125" style="944" customWidth="1"/>
    <col min="6404" max="6405" width="17.140625" style="944" customWidth="1"/>
    <col min="6406" max="6406" width="14.140625" style="944" bestFit="1" customWidth="1"/>
    <col min="6407" max="6654" width="10.85546875" style="944"/>
    <col min="6655" max="6655" width="7.85546875" style="944" customWidth="1"/>
    <col min="6656" max="6656" width="10.5703125" style="944" customWidth="1"/>
    <col min="6657" max="6657" width="50.140625" style="944" customWidth="1"/>
    <col min="6658" max="6658" width="14.5703125" style="944" customWidth="1"/>
    <col min="6659" max="6659" width="7.5703125" style="944" customWidth="1"/>
    <col min="6660" max="6661" width="17.140625" style="944" customWidth="1"/>
    <col min="6662" max="6662" width="14.140625" style="944" bestFit="1" customWidth="1"/>
    <col min="6663" max="6910" width="10.85546875" style="944"/>
    <col min="6911" max="6911" width="7.85546875" style="944" customWidth="1"/>
    <col min="6912" max="6912" width="10.5703125" style="944" customWidth="1"/>
    <col min="6913" max="6913" width="50.140625" style="944" customWidth="1"/>
    <col min="6914" max="6914" width="14.5703125" style="944" customWidth="1"/>
    <col min="6915" max="6915" width="7.5703125" style="944" customWidth="1"/>
    <col min="6916" max="6917" width="17.140625" style="944" customWidth="1"/>
    <col min="6918" max="6918" width="14.140625" style="944" bestFit="1" customWidth="1"/>
    <col min="6919" max="7166" width="10.85546875" style="944"/>
    <col min="7167" max="7167" width="7.85546875" style="944" customWidth="1"/>
    <col min="7168" max="7168" width="10.5703125" style="944" customWidth="1"/>
    <col min="7169" max="7169" width="50.140625" style="944" customWidth="1"/>
    <col min="7170" max="7170" width="14.5703125" style="944" customWidth="1"/>
    <col min="7171" max="7171" width="7.5703125" style="944" customWidth="1"/>
    <col min="7172" max="7173" width="17.140625" style="944" customWidth="1"/>
    <col min="7174" max="7174" width="14.140625" style="944" bestFit="1" customWidth="1"/>
    <col min="7175" max="7422" width="10.85546875" style="944"/>
    <col min="7423" max="7423" width="7.85546875" style="944" customWidth="1"/>
    <col min="7424" max="7424" width="10.5703125" style="944" customWidth="1"/>
    <col min="7425" max="7425" width="50.140625" style="944" customWidth="1"/>
    <col min="7426" max="7426" width="14.5703125" style="944" customWidth="1"/>
    <col min="7427" max="7427" width="7.5703125" style="944" customWidth="1"/>
    <col min="7428" max="7429" width="17.140625" style="944" customWidth="1"/>
    <col min="7430" max="7430" width="14.140625" style="944" bestFit="1" customWidth="1"/>
    <col min="7431" max="7678" width="10.85546875" style="944"/>
    <col min="7679" max="7679" width="7.85546875" style="944" customWidth="1"/>
    <col min="7680" max="7680" width="10.5703125" style="944" customWidth="1"/>
    <col min="7681" max="7681" width="50.140625" style="944" customWidth="1"/>
    <col min="7682" max="7682" width="14.5703125" style="944" customWidth="1"/>
    <col min="7683" max="7683" width="7.5703125" style="944" customWidth="1"/>
    <col min="7684" max="7685" width="17.140625" style="944" customWidth="1"/>
    <col min="7686" max="7686" width="14.140625" style="944" bestFit="1" customWidth="1"/>
    <col min="7687" max="7934" width="10.85546875" style="944"/>
    <col min="7935" max="7935" width="7.85546875" style="944" customWidth="1"/>
    <col min="7936" max="7936" width="10.5703125" style="944" customWidth="1"/>
    <col min="7937" max="7937" width="50.140625" style="944" customWidth="1"/>
    <col min="7938" max="7938" width="14.5703125" style="944" customWidth="1"/>
    <col min="7939" max="7939" width="7.5703125" style="944" customWidth="1"/>
    <col min="7940" max="7941" width="17.140625" style="944" customWidth="1"/>
    <col min="7942" max="7942" width="14.140625" style="944" bestFit="1" customWidth="1"/>
    <col min="7943" max="8190" width="10.85546875" style="944"/>
    <col min="8191" max="8191" width="7.85546875" style="944" customWidth="1"/>
    <col min="8192" max="8192" width="10.5703125" style="944" customWidth="1"/>
    <col min="8193" max="8193" width="50.140625" style="944" customWidth="1"/>
    <col min="8194" max="8194" width="14.5703125" style="944" customWidth="1"/>
    <col min="8195" max="8195" width="7.5703125" style="944" customWidth="1"/>
    <col min="8196" max="8197" width="17.140625" style="944" customWidth="1"/>
    <col min="8198" max="8198" width="14.140625" style="944" bestFit="1" customWidth="1"/>
    <col min="8199" max="8446" width="10.85546875" style="944"/>
    <col min="8447" max="8447" width="7.85546875" style="944" customWidth="1"/>
    <col min="8448" max="8448" width="10.5703125" style="944" customWidth="1"/>
    <col min="8449" max="8449" width="50.140625" style="944" customWidth="1"/>
    <col min="8450" max="8450" width="14.5703125" style="944" customWidth="1"/>
    <col min="8451" max="8451" width="7.5703125" style="944" customWidth="1"/>
    <col min="8452" max="8453" width="17.140625" style="944" customWidth="1"/>
    <col min="8454" max="8454" width="14.140625" style="944" bestFit="1" customWidth="1"/>
    <col min="8455" max="8702" width="10.85546875" style="944"/>
    <col min="8703" max="8703" width="7.85546875" style="944" customWidth="1"/>
    <col min="8704" max="8704" width="10.5703125" style="944" customWidth="1"/>
    <col min="8705" max="8705" width="50.140625" style="944" customWidth="1"/>
    <col min="8706" max="8706" width="14.5703125" style="944" customWidth="1"/>
    <col min="8707" max="8707" width="7.5703125" style="944" customWidth="1"/>
    <col min="8708" max="8709" width="17.140625" style="944" customWidth="1"/>
    <col min="8710" max="8710" width="14.140625" style="944" bestFit="1" customWidth="1"/>
    <col min="8711" max="8958" width="10.85546875" style="944"/>
    <col min="8959" max="8959" width="7.85546875" style="944" customWidth="1"/>
    <col min="8960" max="8960" width="10.5703125" style="944" customWidth="1"/>
    <col min="8961" max="8961" width="50.140625" style="944" customWidth="1"/>
    <col min="8962" max="8962" width="14.5703125" style="944" customWidth="1"/>
    <col min="8963" max="8963" width="7.5703125" style="944" customWidth="1"/>
    <col min="8964" max="8965" width="17.140625" style="944" customWidth="1"/>
    <col min="8966" max="8966" width="14.140625" style="944" bestFit="1" customWidth="1"/>
    <col min="8967" max="9214" width="10.85546875" style="944"/>
    <col min="9215" max="9215" width="7.85546875" style="944" customWidth="1"/>
    <col min="9216" max="9216" width="10.5703125" style="944" customWidth="1"/>
    <col min="9217" max="9217" width="50.140625" style="944" customWidth="1"/>
    <col min="9218" max="9218" width="14.5703125" style="944" customWidth="1"/>
    <col min="9219" max="9219" width="7.5703125" style="944" customWidth="1"/>
    <col min="9220" max="9221" width="17.140625" style="944" customWidth="1"/>
    <col min="9222" max="9222" width="14.140625" style="944" bestFit="1" customWidth="1"/>
    <col min="9223" max="9470" width="10.85546875" style="944"/>
    <col min="9471" max="9471" width="7.85546875" style="944" customWidth="1"/>
    <col min="9472" max="9472" width="10.5703125" style="944" customWidth="1"/>
    <col min="9473" max="9473" width="50.140625" style="944" customWidth="1"/>
    <col min="9474" max="9474" width="14.5703125" style="944" customWidth="1"/>
    <col min="9475" max="9475" width="7.5703125" style="944" customWidth="1"/>
    <col min="9476" max="9477" width="17.140625" style="944" customWidth="1"/>
    <col min="9478" max="9478" width="14.140625" style="944" bestFit="1" customWidth="1"/>
    <col min="9479" max="9726" width="10.85546875" style="944"/>
    <col min="9727" max="9727" width="7.85546875" style="944" customWidth="1"/>
    <col min="9728" max="9728" width="10.5703125" style="944" customWidth="1"/>
    <col min="9729" max="9729" width="50.140625" style="944" customWidth="1"/>
    <col min="9730" max="9730" width="14.5703125" style="944" customWidth="1"/>
    <col min="9731" max="9731" width="7.5703125" style="944" customWidth="1"/>
    <col min="9732" max="9733" width="17.140625" style="944" customWidth="1"/>
    <col min="9734" max="9734" width="14.140625" style="944" bestFit="1" customWidth="1"/>
    <col min="9735" max="9982" width="10.85546875" style="944"/>
    <col min="9983" max="9983" width="7.85546875" style="944" customWidth="1"/>
    <col min="9984" max="9984" width="10.5703125" style="944" customWidth="1"/>
    <col min="9985" max="9985" width="50.140625" style="944" customWidth="1"/>
    <col min="9986" max="9986" width="14.5703125" style="944" customWidth="1"/>
    <col min="9987" max="9987" width="7.5703125" style="944" customWidth="1"/>
    <col min="9988" max="9989" width="17.140625" style="944" customWidth="1"/>
    <col min="9990" max="9990" width="14.140625" style="944" bestFit="1" customWidth="1"/>
    <col min="9991" max="10238" width="10.85546875" style="944"/>
    <col min="10239" max="10239" width="7.85546875" style="944" customWidth="1"/>
    <col min="10240" max="10240" width="10.5703125" style="944" customWidth="1"/>
    <col min="10241" max="10241" width="50.140625" style="944" customWidth="1"/>
    <col min="10242" max="10242" width="14.5703125" style="944" customWidth="1"/>
    <col min="10243" max="10243" width="7.5703125" style="944" customWidth="1"/>
    <col min="10244" max="10245" width="17.140625" style="944" customWidth="1"/>
    <col min="10246" max="10246" width="14.140625" style="944" bestFit="1" customWidth="1"/>
    <col min="10247" max="10494" width="10.85546875" style="944"/>
    <col min="10495" max="10495" width="7.85546875" style="944" customWidth="1"/>
    <col min="10496" max="10496" width="10.5703125" style="944" customWidth="1"/>
    <col min="10497" max="10497" width="50.140625" style="944" customWidth="1"/>
    <col min="10498" max="10498" width="14.5703125" style="944" customWidth="1"/>
    <col min="10499" max="10499" width="7.5703125" style="944" customWidth="1"/>
    <col min="10500" max="10501" width="17.140625" style="944" customWidth="1"/>
    <col min="10502" max="10502" width="14.140625" style="944" bestFit="1" customWidth="1"/>
    <col min="10503" max="10750" width="10.85546875" style="944"/>
    <col min="10751" max="10751" width="7.85546875" style="944" customWidth="1"/>
    <col min="10752" max="10752" width="10.5703125" style="944" customWidth="1"/>
    <col min="10753" max="10753" width="50.140625" style="944" customWidth="1"/>
    <col min="10754" max="10754" width="14.5703125" style="944" customWidth="1"/>
    <col min="10755" max="10755" width="7.5703125" style="944" customWidth="1"/>
    <col min="10756" max="10757" width="17.140625" style="944" customWidth="1"/>
    <col min="10758" max="10758" width="14.140625" style="944" bestFit="1" customWidth="1"/>
    <col min="10759" max="11006" width="10.85546875" style="944"/>
    <col min="11007" max="11007" width="7.85546875" style="944" customWidth="1"/>
    <col min="11008" max="11008" width="10.5703125" style="944" customWidth="1"/>
    <col min="11009" max="11009" width="50.140625" style="944" customWidth="1"/>
    <col min="11010" max="11010" width="14.5703125" style="944" customWidth="1"/>
    <col min="11011" max="11011" width="7.5703125" style="944" customWidth="1"/>
    <col min="11012" max="11013" width="17.140625" style="944" customWidth="1"/>
    <col min="11014" max="11014" width="14.140625" style="944" bestFit="1" customWidth="1"/>
    <col min="11015" max="11262" width="10.85546875" style="944"/>
    <col min="11263" max="11263" width="7.85546875" style="944" customWidth="1"/>
    <col min="11264" max="11264" width="10.5703125" style="944" customWidth="1"/>
    <col min="11265" max="11265" width="50.140625" style="944" customWidth="1"/>
    <col min="11266" max="11266" width="14.5703125" style="944" customWidth="1"/>
    <col min="11267" max="11267" width="7.5703125" style="944" customWidth="1"/>
    <col min="11268" max="11269" width="17.140625" style="944" customWidth="1"/>
    <col min="11270" max="11270" width="14.140625" style="944" bestFit="1" customWidth="1"/>
    <col min="11271" max="11518" width="10.85546875" style="944"/>
    <col min="11519" max="11519" width="7.85546875" style="944" customWidth="1"/>
    <col min="11520" max="11520" width="10.5703125" style="944" customWidth="1"/>
    <col min="11521" max="11521" width="50.140625" style="944" customWidth="1"/>
    <col min="11522" max="11522" width="14.5703125" style="944" customWidth="1"/>
    <col min="11523" max="11523" width="7.5703125" style="944" customWidth="1"/>
    <col min="11524" max="11525" width="17.140625" style="944" customWidth="1"/>
    <col min="11526" max="11526" width="14.140625" style="944" bestFit="1" customWidth="1"/>
    <col min="11527" max="11774" width="10.85546875" style="944"/>
    <col min="11775" max="11775" width="7.85546875" style="944" customWidth="1"/>
    <col min="11776" max="11776" width="10.5703125" style="944" customWidth="1"/>
    <col min="11777" max="11777" width="50.140625" style="944" customWidth="1"/>
    <col min="11778" max="11778" width="14.5703125" style="944" customWidth="1"/>
    <col min="11779" max="11779" width="7.5703125" style="944" customWidth="1"/>
    <col min="11780" max="11781" width="17.140625" style="944" customWidth="1"/>
    <col min="11782" max="11782" width="14.140625" style="944" bestFit="1" customWidth="1"/>
    <col min="11783" max="12030" width="10.85546875" style="944"/>
    <col min="12031" max="12031" width="7.85546875" style="944" customWidth="1"/>
    <col min="12032" max="12032" width="10.5703125" style="944" customWidth="1"/>
    <col min="12033" max="12033" width="50.140625" style="944" customWidth="1"/>
    <col min="12034" max="12034" width="14.5703125" style="944" customWidth="1"/>
    <col min="12035" max="12035" width="7.5703125" style="944" customWidth="1"/>
    <col min="12036" max="12037" width="17.140625" style="944" customWidth="1"/>
    <col min="12038" max="12038" width="14.140625" style="944" bestFit="1" customWidth="1"/>
    <col min="12039" max="12286" width="10.85546875" style="944"/>
    <col min="12287" max="12287" width="7.85546875" style="944" customWidth="1"/>
    <col min="12288" max="12288" width="10.5703125" style="944" customWidth="1"/>
    <col min="12289" max="12289" width="50.140625" style="944" customWidth="1"/>
    <col min="12290" max="12290" width="14.5703125" style="944" customWidth="1"/>
    <col min="12291" max="12291" width="7.5703125" style="944" customWidth="1"/>
    <col min="12292" max="12293" width="17.140625" style="944" customWidth="1"/>
    <col min="12294" max="12294" width="14.140625" style="944" bestFit="1" customWidth="1"/>
    <col min="12295" max="12542" width="10.85546875" style="944"/>
    <col min="12543" max="12543" width="7.85546875" style="944" customWidth="1"/>
    <col min="12544" max="12544" width="10.5703125" style="944" customWidth="1"/>
    <col min="12545" max="12545" width="50.140625" style="944" customWidth="1"/>
    <col min="12546" max="12546" width="14.5703125" style="944" customWidth="1"/>
    <col min="12547" max="12547" width="7.5703125" style="944" customWidth="1"/>
    <col min="12548" max="12549" width="17.140625" style="944" customWidth="1"/>
    <col min="12550" max="12550" width="14.140625" style="944" bestFit="1" customWidth="1"/>
    <col min="12551" max="12798" width="10.85546875" style="944"/>
    <col min="12799" max="12799" width="7.85546875" style="944" customWidth="1"/>
    <col min="12800" max="12800" width="10.5703125" style="944" customWidth="1"/>
    <col min="12801" max="12801" width="50.140625" style="944" customWidth="1"/>
    <col min="12802" max="12802" width="14.5703125" style="944" customWidth="1"/>
    <col min="12803" max="12803" width="7.5703125" style="944" customWidth="1"/>
    <col min="12804" max="12805" width="17.140625" style="944" customWidth="1"/>
    <col min="12806" max="12806" width="14.140625" style="944" bestFit="1" customWidth="1"/>
    <col min="12807" max="13054" width="10.85546875" style="944"/>
    <col min="13055" max="13055" width="7.85546875" style="944" customWidth="1"/>
    <col min="13056" max="13056" width="10.5703125" style="944" customWidth="1"/>
    <col min="13057" max="13057" width="50.140625" style="944" customWidth="1"/>
    <col min="13058" max="13058" width="14.5703125" style="944" customWidth="1"/>
    <col min="13059" max="13059" width="7.5703125" style="944" customWidth="1"/>
    <col min="13060" max="13061" width="17.140625" style="944" customWidth="1"/>
    <col min="13062" max="13062" width="14.140625" style="944" bestFit="1" customWidth="1"/>
    <col min="13063" max="13310" width="10.85546875" style="944"/>
    <col min="13311" max="13311" width="7.85546875" style="944" customWidth="1"/>
    <col min="13312" max="13312" width="10.5703125" style="944" customWidth="1"/>
    <col min="13313" max="13313" width="50.140625" style="944" customWidth="1"/>
    <col min="13314" max="13314" width="14.5703125" style="944" customWidth="1"/>
    <col min="13315" max="13315" width="7.5703125" style="944" customWidth="1"/>
    <col min="13316" max="13317" width="17.140625" style="944" customWidth="1"/>
    <col min="13318" max="13318" width="14.140625" style="944" bestFit="1" customWidth="1"/>
    <col min="13319" max="13566" width="10.85546875" style="944"/>
    <col min="13567" max="13567" width="7.85546875" style="944" customWidth="1"/>
    <col min="13568" max="13568" width="10.5703125" style="944" customWidth="1"/>
    <col min="13569" max="13569" width="50.140625" style="944" customWidth="1"/>
    <col min="13570" max="13570" width="14.5703125" style="944" customWidth="1"/>
    <col min="13571" max="13571" width="7.5703125" style="944" customWidth="1"/>
    <col min="13572" max="13573" width="17.140625" style="944" customWidth="1"/>
    <col min="13574" max="13574" width="14.140625" style="944" bestFit="1" customWidth="1"/>
    <col min="13575" max="13822" width="10.85546875" style="944"/>
    <col min="13823" max="13823" width="7.85546875" style="944" customWidth="1"/>
    <col min="13824" max="13824" width="10.5703125" style="944" customWidth="1"/>
    <col min="13825" max="13825" width="50.140625" style="944" customWidth="1"/>
    <col min="13826" max="13826" width="14.5703125" style="944" customWidth="1"/>
    <col min="13827" max="13827" width="7.5703125" style="944" customWidth="1"/>
    <col min="13828" max="13829" width="17.140625" style="944" customWidth="1"/>
    <col min="13830" max="13830" width="14.140625" style="944" bestFit="1" customWidth="1"/>
    <col min="13831" max="14078" width="10.85546875" style="944"/>
    <col min="14079" max="14079" width="7.85546875" style="944" customWidth="1"/>
    <col min="14080" max="14080" width="10.5703125" style="944" customWidth="1"/>
    <col min="14081" max="14081" width="50.140625" style="944" customWidth="1"/>
    <col min="14082" max="14082" width="14.5703125" style="944" customWidth="1"/>
    <col min="14083" max="14083" width="7.5703125" style="944" customWidth="1"/>
    <col min="14084" max="14085" width="17.140625" style="944" customWidth="1"/>
    <col min="14086" max="14086" width="14.140625" style="944" bestFit="1" customWidth="1"/>
    <col min="14087" max="14334" width="10.85546875" style="944"/>
    <col min="14335" max="14335" width="7.85546875" style="944" customWidth="1"/>
    <col min="14336" max="14336" width="10.5703125" style="944" customWidth="1"/>
    <col min="14337" max="14337" width="50.140625" style="944" customWidth="1"/>
    <col min="14338" max="14338" width="14.5703125" style="944" customWidth="1"/>
    <col min="14339" max="14339" width="7.5703125" style="944" customWidth="1"/>
    <col min="14340" max="14341" width="17.140625" style="944" customWidth="1"/>
    <col min="14342" max="14342" width="14.140625" style="944" bestFit="1" customWidth="1"/>
    <col min="14343" max="14590" width="10.85546875" style="944"/>
    <col min="14591" max="14591" width="7.85546875" style="944" customWidth="1"/>
    <col min="14592" max="14592" width="10.5703125" style="944" customWidth="1"/>
    <col min="14593" max="14593" width="50.140625" style="944" customWidth="1"/>
    <col min="14594" max="14594" width="14.5703125" style="944" customWidth="1"/>
    <col min="14595" max="14595" width="7.5703125" style="944" customWidth="1"/>
    <col min="14596" max="14597" width="17.140625" style="944" customWidth="1"/>
    <col min="14598" max="14598" width="14.140625" style="944" bestFit="1" customWidth="1"/>
    <col min="14599" max="14846" width="10.85546875" style="944"/>
    <col min="14847" max="14847" width="7.85546875" style="944" customWidth="1"/>
    <col min="14848" max="14848" width="10.5703125" style="944" customWidth="1"/>
    <col min="14849" max="14849" width="50.140625" style="944" customWidth="1"/>
    <col min="14850" max="14850" width="14.5703125" style="944" customWidth="1"/>
    <col min="14851" max="14851" width="7.5703125" style="944" customWidth="1"/>
    <col min="14852" max="14853" width="17.140625" style="944" customWidth="1"/>
    <col min="14854" max="14854" width="14.140625" style="944" bestFit="1" customWidth="1"/>
    <col min="14855" max="15102" width="10.85546875" style="944"/>
    <col min="15103" max="15103" width="7.85546875" style="944" customWidth="1"/>
    <col min="15104" max="15104" width="10.5703125" style="944" customWidth="1"/>
    <col min="15105" max="15105" width="50.140625" style="944" customWidth="1"/>
    <col min="15106" max="15106" width="14.5703125" style="944" customWidth="1"/>
    <col min="15107" max="15107" width="7.5703125" style="944" customWidth="1"/>
    <col min="15108" max="15109" width="17.140625" style="944" customWidth="1"/>
    <col min="15110" max="15110" width="14.140625" style="944" bestFit="1" customWidth="1"/>
    <col min="15111" max="15358" width="10.85546875" style="944"/>
    <col min="15359" max="15359" width="7.85546875" style="944" customWidth="1"/>
    <col min="15360" max="15360" width="10.5703125" style="944" customWidth="1"/>
    <col min="15361" max="15361" width="50.140625" style="944" customWidth="1"/>
    <col min="15362" max="15362" width="14.5703125" style="944" customWidth="1"/>
    <col min="15363" max="15363" width="7.5703125" style="944" customWidth="1"/>
    <col min="15364" max="15365" width="17.140625" style="944" customWidth="1"/>
    <col min="15366" max="15366" width="14.140625" style="944" bestFit="1" customWidth="1"/>
    <col min="15367" max="15614" width="10.85546875" style="944"/>
    <col min="15615" max="15615" width="7.85546875" style="944" customWidth="1"/>
    <col min="15616" max="15616" width="10.5703125" style="944" customWidth="1"/>
    <col min="15617" max="15617" width="50.140625" style="944" customWidth="1"/>
    <col min="15618" max="15618" width="14.5703125" style="944" customWidth="1"/>
    <col min="15619" max="15619" width="7.5703125" style="944" customWidth="1"/>
    <col min="15620" max="15621" width="17.140625" style="944" customWidth="1"/>
    <col min="15622" max="15622" width="14.140625" style="944" bestFit="1" customWidth="1"/>
    <col min="15623" max="15870" width="10.85546875" style="944"/>
    <col min="15871" max="15871" width="7.85546875" style="944" customWidth="1"/>
    <col min="15872" max="15872" width="10.5703125" style="944" customWidth="1"/>
    <col min="15873" max="15873" width="50.140625" style="944" customWidth="1"/>
    <col min="15874" max="15874" width="14.5703125" style="944" customWidth="1"/>
    <col min="15875" max="15875" width="7.5703125" style="944" customWidth="1"/>
    <col min="15876" max="15877" width="17.140625" style="944" customWidth="1"/>
    <col min="15878" max="15878" width="14.140625" style="944" bestFit="1" customWidth="1"/>
    <col min="15879" max="16126" width="10.85546875" style="944"/>
    <col min="16127" max="16127" width="7.85546875" style="944" customWidth="1"/>
    <col min="16128" max="16128" width="10.5703125" style="944" customWidth="1"/>
    <col min="16129" max="16129" width="50.140625" style="944" customWidth="1"/>
    <col min="16130" max="16130" width="14.5703125" style="944" customWidth="1"/>
    <col min="16131" max="16131" width="7.5703125" style="944" customWidth="1"/>
    <col min="16132" max="16133" width="17.140625" style="944" customWidth="1"/>
    <col min="16134" max="16134" width="14.140625" style="944" bestFit="1" customWidth="1"/>
    <col min="16135" max="16384" width="10.85546875" style="944"/>
  </cols>
  <sheetData>
    <row r="1" spans="1:16" ht="31.5" customHeight="1">
      <c r="A1" s="1978" t="s">
        <v>4556</v>
      </c>
      <c r="B1" s="1979"/>
      <c r="C1" s="1980"/>
      <c r="D1" s="1981"/>
      <c r="E1" s="1978"/>
      <c r="F1" s="1981"/>
    </row>
    <row r="2" spans="1:16" ht="18.75" customHeight="1">
      <c r="A2" s="1978" t="s">
        <v>4557</v>
      </c>
      <c r="B2" s="1979"/>
      <c r="C2" s="1980"/>
      <c r="D2" s="1981"/>
      <c r="E2" s="1978"/>
      <c r="F2" s="1981"/>
      <c r="G2" s="945"/>
      <c r="H2" s="945"/>
      <c r="I2" s="945"/>
      <c r="J2" s="945"/>
      <c r="K2" s="945"/>
      <c r="L2" s="945"/>
      <c r="M2" s="945"/>
      <c r="N2" s="945"/>
      <c r="O2" s="945"/>
      <c r="P2" s="945"/>
    </row>
    <row r="3" spans="1:16" ht="45" customHeight="1">
      <c r="A3" s="1982" t="str">
        <f>'Ins Abs'!A1</f>
        <v>Name of work: Providing Special Repair works for 5 Nos INS, 8 Nos SI, 24 Nos PC/HC Quarters  at Church Hill Ooty in the Nilgiri District</v>
      </c>
      <c r="B3" s="1983"/>
      <c r="C3" s="1984"/>
      <c r="D3" s="1985"/>
      <c r="E3" s="1982"/>
      <c r="F3" s="1985"/>
      <c r="G3" s="945"/>
      <c r="H3" s="945"/>
      <c r="I3" s="945"/>
      <c r="J3" s="945"/>
      <c r="K3" s="945"/>
      <c r="L3" s="945"/>
      <c r="M3" s="945"/>
      <c r="N3" s="945"/>
      <c r="O3" s="945"/>
      <c r="P3" s="945"/>
    </row>
    <row r="4" spans="1:16" s="949" customFormat="1" ht="46.5" customHeight="1">
      <c r="A4" s="946" t="s">
        <v>3613</v>
      </c>
      <c r="B4" s="1378" t="s">
        <v>4558</v>
      </c>
      <c r="C4" s="947" t="s">
        <v>3546</v>
      </c>
      <c r="D4" s="948" t="s">
        <v>217</v>
      </c>
      <c r="E4" s="946" t="s">
        <v>10</v>
      </c>
      <c r="F4" s="946" t="s">
        <v>4559</v>
      </c>
      <c r="G4" s="1977"/>
      <c r="H4" s="1977"/>
      <c r="I4" s="1977"/>
      <c r="J4" s="1977"/>
      <c r="K4" s="1977"/>
      <c r="L4" s="1977"/>
      <c r="M4" s="1977"/>
      <c r="N4" s="1977"/>
      <c r="O4" s="1977"/>
      <c r="P4" s="1977"/>
    </row>
    <row r="5" spans="1:16" ht="36">
      <c r="A5" s="1370">
        <v>1.1000000000000001</v>
      </c>
      <c r="B5" s="1379"/>
      <c r="C5" s="1333" t="s">
        <v>5309</v>
      </c>
      <c r="D5" s="1334"/>
      <c r="E5" s="1244" t="s">
        <v>150</v>
      </c>
      <c r="F5" s="950"/>
    </row>
    <row r="6" spans="1:16" ht="36">
      <c r="A6" s="1370"/>
      <c r="B6" s="1379">
        <f>'Ins Abs'!Q7+'SI Abs '!Q7+'PC Abs'!Q7</f>
        <v>51.5</v>
      </c>
      <c r="C6" s="1333" t="s">
        <v>3769</v>
      </c>
      <c r="D6" s="1335">
        <v>286.16000000000003</v>
      </c>
      <c r="E6" s="1244" t="s">
        <v>3770</v>
      </c>
      <c r="F6" s="950"/>
    </row>
    <row r="7" spans="1:16" s="953" customFormat="1" ht="54">
      <c r="A7" s="1370">
        <v>1.6</v>
      </c>
      <c r="B7" s="1379" t="e">
        <f>'Ins Abs'!#REF!+'SI Abs '!#REF!+'PC Abs'!#REF!</f>
        <v>#REF!</v>
      </c>
      <c r="C7" s="1333" t="s">
        <v>5310</v>
      </c>
      <c r="D7" s="1335"/>
      <c r="E7" s="1244"/>
      <c r="F7" s="950"/>
    </row>
    <row r="8" spans="1:16" s="953" customFormat="1" ht="45.75" customHeight="1">
      <c r="A8" s="1370"/>
      <c r="B8" s="1379" t="e">
        <f>'Ins Abs'!#REF!+'SI Abs '!#REF!+'PC Abs'!#REF!</f>
        <v>#REF!</v>
      </c>
      <c r="C8" s="1333" t="s">
        <v>3769</v>
      </c>
      <c r="D8" s="1335">
        <v>202.86</v>
      </c>
      <c r="E8" s="1244" t="s">
        <v>3770</v>
      </c>
      <c r="F8" s="950"/>
    </row>
    <row r="9" spans="1:16" s="953" customFormat="1" ht="28.9" customHeight="1">
      <c r="A9" s="1370">
        <v>2.1</v>
      </c>
      <c r="B9" s="1379">
        <f>'Ins Abs'!Q12+'SI Abs '!Q13+'PC Abs'!Q12</f>
        <v>17.8065</v>
      </c>
      <c r="C9" s="1333" t="s">
        <v>908</v>
      </c>
      <c r="D9" s="1335">
        <v>2248.48</v>
      </c>
      <c r="E9" s="1244" t="s">
        <v>3770</v>
      </c>
      <c r="F9" s="950"/>
    </row>
    <row r="10" spans="1:16" s="953" customFormat="1" ht="33" customHeight="1">
      <c r="A10" s="1370">
        <v>3.1</v>
      </c>
      <c r="B10" s="1379">
        <f>'Ins Abs'!Q13+'SI Abs '!Q14+'PC Abs'!Q13</f>
        <v>67.77000000000001</v>
      </c>
      <c r="C10" s="1333" t="s">
        <v>3794</v>
      </c>
      <c r="D10" s="1335">
        <v>6117.42</v>
      </c>
      <c r="E10" s="1244" t="s">
        <v>3770</v>
      </c>
      <c r="F10" s="950"/>
    </row>
    <row r="11" spans="1:16" s="953" customFormat="1" ht="36">
      <c r="A11" s="1370">
        <v>3.2</v>
      </c>
      <c r="B11" s="1379">
        <f>'Ins Abs'!Q14+'SI Abs '!Q15+'PC Abs'!Q14</f>
        <v>40.073</v>
      </c>
      <c r="C11" s="1333" t="s">
        <v>3795</v>
      </c>
      <c r="D11" s="1335">
        <v>7638.74</v>
      </c>
      <c r="E11" s="1244" t="s">
        <v>3770</v>
      </c>
      <c r="F11" s="950"/>
    </row>
    <row r="12" spans="1:16" s="953" customFormat="1" ht="54">
      <c r="A12" s="1370">
        <v>6.2</v>
      </c>
      <c r="B12" s="1379">
        <f>'Ins Abs'!Q15+'SI Abs '!Q16+'PC Abs'!Q15</f>
        <v>17.349499999999999</v>
      </c>
      <c r="C12" s="1336" t="s">
        <v>5311</v>
      </c>
      <c r="D12" s="1335">
        <v>7794.65</v>
      </c>
      <c r="E12" s="1244" t="s">
        <v>3770</v>
      </c>
      <c r="F12" s="950"/>
    </row>
    <row r="13" spans="1:16" s="953" customFormat="1" ht="54">
      <c r="A13" s="1370">
        <v>9.1999999999999993</v>
      </c>
      <c r="B13" s="1379"/>
      <c r="C13" s="1336" t="s">
        <v>5312</v>
      </c>
      <c r="D13" s="1335"/>
      <c r="E13" s="1244"/>
      <c r="F13" s="950"/>
    </row>
    <row r="14" spans="1:16" ht="36">
      <c r="A14" s="1370"/>
      <c r="B14" s="1379"/>
      <c r="C14" s="1333" t="s">
        <v>3834</v>
      </c>
      <c r="D14" s="1335">
        <v>7832.63</v>
      </c>
      <c r="E14" s="1244" t="s">
        <v>3770</v>
      </c>
      <c r="F14" s="950"/>
    </row>
    <row r="15" spans="1:16" s="953" customFormat="1" ht="72">
      <c r="A15" s="1370">
        <v>10.199999999999999</v>
      </c>
      <c r="B15" s="1379"/>
      <c r="C15" s="1336" t="s">
        <v>5313</v>
      </c>
      <c r="D15" s="1335"/>
      <c r="E15" s="1244"/>
      <c r="F15" s="950"/>
    </row>
    <row r="16" spans="1:16" ht="37.5" customHeight="1">
      <c r="A16" s="1370"/>
      <c r="B16" s="1379"/>
      <c r="C16" s="1333" t="s">
        <v>3841</v>
      </c>
      <c r="D16" s="1335">
        <v>984.71</v>
      </c>
      <c r="E16" s="1244" t="s">
        <v>3798</v>
      </c>
      <c r="F16" s="950"/>
    </row>
    <row r="17" spans="1:6" ht="30" customHeight="1">
      <c r="A17" s="1371">
        <v>13.1</v>
      </c>
      <c r="B17" s="1379"/>
      <c r="C17" s="1337" t="s">
        <v>3861</v>
      </c>
      <c r="D17" s="1338">
        <v>47.04</v>
      </c>
      <c r="E17" s="1339" t="s">
        <v>3770</v>
      </c>
      <c r="F17" s="950"/>
    </row>
    <row r="18" spans="1:6" s="953" customFormat="1" ht="22.5" customHeight="1">
      <c r="A18" s="1370">
        <v>22.2</v>
      </c>
      <c r="B18" s="1379"/>
      <c r="C18" s="1336" t="s">
        <v>3893</v>
      </c>
      <c r="D18" s="1335"/>
      <c r="E18" s="1244"/>
      <c r="F18" s="950"/>
    </row>
    <row r="19" spans="1:6" s="953" customFormat="1" ht="36">
      <c r="A19" s="1244"/>
      <c r="B19" s="1379"/>
      <c r="C19" s="1333" t="s">
        <v>3894</v>
      </c>
      <c r="D19" s="1335">
        <v>3859.67</v>
      </c>
      <c r="E19" s="1244" t="s">
        <v>3798</v>
      </c>
      <c r="F19" s="950"/>
    </row>
    <row r="20" spans="1:6" s="953" customFormat="1" ht="72">
      <c r="A20" s="1370"/>
      <c r="B20" s="1379"/>
      <c r="C20" s="1333" t="s">
        <v>3208</v>
      </c>
      <c r="D20" s="1335">
        <v>44.38</v>
      </c>
      <c r="E20" s="1244" t="s">
        <v>3798</v>
      </c>
      <c r="F20" s="950"/>
    </row>
    <row r="21" spans="1:6" ht="36">
      <c r="A21" s="1370">
        <v>28</v>
      </c>
      <c r="B21" s="1379"/>
      <c r="C21" s="1336" t="s">
        <v>5314</v>
      </c>
      <c r="D21" s="1335">
        <v>609.9</v>
      </c>
      <c r="E21" s="1244" t="s">
        <v>3798</v>
      </c>
      <c r="F21" s="950"/>
    </row>
    <row r="22" spans="1:6" ht="46.9" customHeight="1">
      <c r="A22" s="1372"/>
      <c r="B22" s="1379"/>
      <c r="C22" s="1340" t="s">
        <v>508</v>
      </c>
      <c r="D22" s="1341">
        <v>36.1</v>
      </c>
      <c r="E22" s="1342" t="s">
        <v>3798</v>
      </c>
      <c r="F22" s="950"/>
    </row>
    <row r="23" spans="1:6" s="953" customFormat="1" ht="32.450000000000003" customHeight="1">
      <c r="A23" s="1370">
        <v>32.1</v>
      </c>
      <c r="B23" s="1379"/>
      <c r="C23" s="1333" t="s">
        <v>3933</v>
      </c>
      <c r="D23" s="1335">
        <v>1366.88</v>
      </c>
      <c r="E23" s="1244" t="s">
        <v>3798</v>
      </c>
      <c r="F23" s="950"/>
    </row>
    <row r="24" spans="1:6" s="953" customFormat="1" ht="32.450000000000003" customHeight="1">
      <c r="A24" s="1370"/>
      <c r="B24" s="1379"/>
      <c r="C24" s="1333" t="s">
        <v>510</v>
      </c>
      <c r="D24" s="1335">
        <v>378.8</v>
      </c>
      <c r="E24" s="1244" t="s">
        <v>3798</v>
      </c>
      <c r="F24" s="950"/>
    </row>
    <row r="25" spans="1:6" s="953" customFormat="1" ht="126">
      <c r="A25" s="1370"/>
      <c r="B25" s="1379"/>
      <c r="C25" s="1333" t="s">
        <v>3424</v>
      </c>
      <c r="D25" s="1335">
        <v>9.31</v>
      </c>
      <c r="E25" s="1244" t="s">
        <v>3798</v>
      </c>
      <c r="F25" s="950"/>
    </row>
    <row r="26" spans="1:6" s="953" customFormat="1" ht="36">
      <c r="A26" s="1370">
        <v>33</v>
      </c>
      <c r="B26" s="1379"/>
      <c r="C26" s="1333" t="s">
        <v>3935</v>
      </c>
      <c r="D26" s="1335">
        <v>300.32</v>
      </c>
      <c r="E26" s="1244" t="s">
        <v>3798</v>
      </c>
      <c r="F26" s="950"/>
    </row>
    <row r="27" spans="1:6" s="953" customFormat="1" ht="36">
      <c r="A27" s="1370">
        <v>34</v>
      </c>
      <c r="B27" s="1379"/>
      <c r="C27" s="1333" t="s">
        <v>3936</v>
      </c>
      <c r="D27" s="1335">
        <v>305.83</v>
      </c>
      <c r="E27" s="1244" t="s">
        <v>3798</v>
      </c>
      <c r="F27" s="950"/>
    </row>
    <row r="28" spans="1:6" s="953" customFormat="1" ht="36">
      <c r="A28" s="1370">
        <v>35</v>
      </c>
      <c r="B28" s="1379"/>
      <c r="C28" s="1333" t="s">
        <v>3937</v>
      </c>
      <c r="D28" s="1335">
        <v>342.22</v>
      </c>
      <c r="E28" s="1244" t="s">
        <v>3798</v>
      </c>
      <c r="F28" s="950"/>
    </row>
    <row r="29" spans="1:6" s="953" customFormat="1" ht="36">
      <c r="A29" s="1370"/>
      <c r="B29" s="1379"/>
      <c r="C29" s="1343" t="s">
        <v>4544</v>
      </c>
      <c r="D29" s="1344">
        <v>40.32</v>
      </c>
      <c r="E29" s="1244" t="s">
        <v>3798</v>
      </c>
      <c r="F29" s="950"/>
    </row>
    <row r="30" spans="1:6" s="953" customFormat="1" ht="36">
      <c r="A30" s="1370">
        <v>40</v>
      </c>
      <c r="B30" s="1379"/>
      <c r="C30" s="1333" t="s">
        <v>3944</v>
      </c>
      <c r="D30" s="1335">
        <v>264.52999999999997</v>
      </c>
      <c r="E30" s="1244" t="s">
        <v>3798</v>
      </c>
      <c r="F30" s="950"/>
    </row>
    <row r="31" spans="1:6" s="953" customFormat="1" ht="36">
      <c r="A31" s="1372"/>
      <c r="B31" s="1379"/>
      <c r="C31" s="1340" t="s">
        <v>5289</v>
      </c>
      <c r="D31" s="1341">
        <v>159.80259999999998</v>
      </c>
      <c r="E31" s="1244" t="s">
        <v>3798</v>
      </c>
      <c r="F31" s="950"/>
    </row>
    <row r="32" spans="1:6" s="953" customFormat="1" ht="22.5" customHeight="1">
      <c r="A32" s="1372"/>
      <c r="B32" s="1379"/>
      <c r="C32" s="1340" t="s">
        <v>5290</v>
      </c>
      <c r="D32" s="1341">
        <v>180.67420000000001</v>
      </c>
      <c r="E32" s="1244" t="s">
        <v>3798</v>
      </c>
      <c r="F32" s="950"/>
    </row>
    <row r="33" spans="1:6" s="953" customFormat="1" ht="24.75" customHeight="1">
      <c r="A33" s="1370">
        <v>43</v>
      </c>
      <c r="B33" s="1379"/>
      <c r="C33" s="1333" t="s">
        <v>5315</v>
      </c>
      <c r="D33" s="1335"/>
      <c r="E33" s="1244"/>
      <c r="F33" s="950"/>
    </row>
    <row r="34" spans="1:6" s="953" customFormat="1" ht="24.75" customHeight="1">
      <c r="A34" s="1244"/>
      <c r="B34" s="1379"/>
      <c r="C34" s="1333" t="s">
        <v>3947</v>
      </c>
      <c r="D34" s="1335">
        <v>88856</v>
      </c>
      <c r="E34" s="1244" t="s">
        <v>277</v>
      </c>
      <c r="F34" s="950"/>
    </row>
    <row r="35" spans="1:6" s="953" customFormat="1" ht="18">
      <c r="A35" s="1373"/>
      <c r="B35" s="1379"/>
      <c r="C35" s="1333" t="s">
        <v>3948</v>
      </c>
      <c r="D35" s="1335">
        <v>88856</v>
      </c>
      <c r="E35" s="1244" t="s">
        <v>277</v>
      </c>
      <c r="F35" s="950"/>
    </row>
    <row r="36" spans="1:6" ht="30" customHeight="1">
      <c r="A36" s="1370">
        <v>44.1</v>
      </c>
      <c r="B36" s="1379"/>
      <c r="C36" s="1333" t="s">
        <v>5316</v>
      </c>
      <c r="D36" s="1335">
        <v>371.54</v>
      </c>
      <c r="E36" s="1244" t="s">
        <v>303</v>
      </c>
      <c r="F36" s="950"/>
    </row>
    <row r="37" spans="1:6" s="953" customFormat="1" ht="30" customHeight="1">
      <c r="A37" s="1370">
        <v>44.2</v>
      </c>
      <c r="B37" s="1379"/>
      <c r="C37" s="1333" t="s">
        <v>3951</v>
      </c>
      <c r="D37" s="1335"/>
      <c r="E37" s="1244" t="s">
        <v>340</v>
      </c>
      <c r="F37" s="950"/>
    </row>
    <row r="38" spans="1:6" s="953" customFormat="1" ht="31.5" customHeight="1">
      <c r="A38" s="1374">
        <v>45</v>
      </c>
      <c r="B38" s="1379"/>
      <c r="C38" s="1345" t="s">
        <v>5317</v>
      </c>
      <c r="D38" s="1346">
        <v>380.21</v>
      </c>
      <c r="E38" s="1347" t="s">
        <v>3798</v>
      </c>
      <c r="F38" s="950"/>
    </row>
    <row r="39" spans="1:6" ht="18">
      <c r="A39" s="1370">
        <v>46</v>
      </c>
      <c r="B39" s="1379"/>
      <c r="C39" s="1333" t="s">
        <v>3953</v>
      </c>
      <c r="D39" s="1335">
        <v>58</v>
      </c>
      <c r="E39" s="1244" t="s">
        <v>303</v>
      </c>
      <c r="F39" s="950"/>
    </row>
    <row r="40" spans="1:6" ht="18">
      <c r="A40" s="1370">
        <v>47</v>
      </c>
      <c r="B40" s="1379"/>
      <c r="C40" s="1333" t="s">
        <v>3954</v>
      </c>
      <c r="D40" s="1335">
        <v>95</v>
      </c>
      <c r="E40" s="1244" t="s">
        <v>340</v>
      </c>
      <c r="F40" s="950"/>
    </row>
    <row r="41" spans="1:6" ht="18">
      <c r="A41" s="1370">
        <v>48</v>
      </c>
      <c r="B41" s="1379"/>
      <c r="C41" s="1333" t="s">
        <v>3955</v>
      </c>
      <c r="D41" s="1335">
        <v>55</v>
      </c>
      <c r="E41" s="1244" t="s">
        <v>340</v>
      </c>
      <c r="F41" s="950"/>
    </row>
    <row r="42" spans="1:6" ht="36">
      <c r="A42" s="1370">
        <v>49</v>
      </c>
      <c r="B42" s="1379"/>
      <c r="C42" s="1333" t="s">
        <v>3956</v>
      </c>
      <c r="D42" s="1335">
        <v>1.5</v>
      </c>
      <c r="E42" s="1244" t="s">
        <v>340</v>
      </c>
      <c r="F42" s="950"/>
    </row>
    <row r="43" spans="1:6" ht="36">
      <c r="A43" s="1372">
        <v>50.1</v>
      </c>
      <c r="B43" s="1379"/>
      <c r="C43" s="1340" t="s">
        <v>3957</v>
      </c>
      <c r="D43" s="1341"/>
      <c r="E43" s="1342" t="s">
        <v>3798</v>
      </c>
      <c r="F43" s="950"/>
    </row>
    <row r="44" spans="1:6" ht="36">
      <c r="A44" s="1370">
        <v>50.2</v>
      </c>
      <c r="B44" s="1379"/>
      <c r="C44" s="1333" t="s">
        <v>127</v>
      </c>
      <c r="D44" s="1335">
        <v>320.18</v>
      </c>
      <c r="E44" s="1244" t="s">
        <v>303</v>
      </c>
      <c r="F44" s="950"/>
    </row>
    <row r="45" spans="1:6" s="953" customFormat="1" ht="24.75" customHeight="1">
      <c r="A45" s="1370">
        <v>50.3</v>
      </c>
      <c r="B45" s="1379"/>
      <c r="C45" s="1333" t="s">
        <v>3958</v>
      </c>
      <c r="D45" s="1335">
        <v>403.13</v>
      </c>
      <c r="E45" s="1244" t="s">
        <v>340</v>
      </c>
      <c r="F45" s="950"/>
    </row>
    <row r="46" spans="1:6" s="953" customFormat="1" ht="18">
      <c r="A46" s="1370">
        <v>50.4</v>
      </c>
      <c r="B46" s="1379"/>
      <c r="C46" s="1333" t="s">
        <v>3959</v>
      </c>
      <c r="D46" s="1335">
        <v>960.18</v>
      </c>
      <c r="E46" s="1244" t="s">
        <v>340</v>
      </c>
      <c r="F46" s="950"/>
    </row>
    <row r="47" spans="1:6" s="953" customFormat="1" ht="36">
      <c r="A47" s="1370">
        <v>50.5</v>
      </c>
      <c r="B47" s="1379"/>
      <c r="C47" s="1333" t="s">
        <v>3960</v>
      </c>
      <c r="D47" s="1335">
        <v>20592.259999999998</v>
      </c>
      <c r="E47" s="1244" t="s">
        <v>340</v>
      </c>
      <c r="F47" s="950"/>
    </row>
    <row r="48" spans="1:6" s="953" customFormat="1" ht="36">
      <c r="A48" s="1375">
        <v>51</v>
      </c>
      <c r="B48" s="1379"/>
      <c r="C48" s="1348" t="s">
        <v>3961</v>
      </c>
      <c r="D48" s="1349">
        <v>6720</v>
      </c>
      <c r="E48" s="1350" t="s">
        <v>340</v>
      </c>
      <c r="F48" s="950"/>
    </row>
    <row r="49" spans="1:6" s="953" customFormat="1" ht="45.75" customHeight="1">
      <c r="A49" s="1374">
        <v>52</v>
      </c>
      <c r="B49" s="1379"/>
      <c r="C49" s="1345" t="s">
        <v>3962</v>
      </c>
      <c r="D49" s="1346"/>
      <c r="E49" s="1347"/>
      <c r="F49" s="950"/>
    </row>
    <row r="50" spans="1:6" s="953" customFormat="1" ht="18">
      <c r="A50" s="1347"/>
      <c r="B50" s="1379"/>
      <c r="C50" s="1351" t="s">
        <v>3963</v>
      </c>
      <c r="D50" s="1346">
        <v>284.06</v>
      </c>
      <c r="E50" s="1347" t="s">
        <v>303</v>
      </c>
      <c r="F50" s="950"/>
    </row>
    <row r="51" spans="1:6" ht="40.5" customHeight="1">
      <c r="A51" s="1347"/>
      <c r="B51" s="1379"/>
      <c r="C51" s="1351" t="s">
        <v>3964</v>
      </c>
      <c r="D51" s="1346">
        <v>266.83</v>
      </c>
      <c r="E51" s="1347" t="s">
        <v>303</v>
      </c>
      <c r="F51" s="950"/>
    </row>
    <row r="52" spans="1:6" s="953" customFormat="1" ht="18">
      <c r="A52" s="1372">
        <v>53.1</v>
      </c>
      <c r="B52" s="1379"/>
      <c r="C52" s="1340" t="s">
        <v>3967</v>
      </c>
      <c r="D52" s="1341">
        <v>3621.22</v>
      </c>
      <c r="E52" s="1342" t="s">
        <v>340</v>
      </c>
      <c r="F52" s="950"/>
    </row>
    <row r="53" spans="1:6" s="953" customFormat="1" ht="18">
      <c r="A53" s="1370">
        <v>54.1</v>
      </c>
      <c r="B53" s="1379"/>
      <c r="C53" s="1333" t="s">
        <v>3971</v>
      </c>
      <c r="D53" s="1335">
        <v>300</v>
      </c>
      <c r="E53" s="1244" t="s">
        <v>340</v>
      </c>
      <c r="F53" s="950"/>
    </row>
    <row r="54" spans="1:6" s="953" customFormat="1" ht="18">
      <c r="A54" s="1370">
        <v>54.2</v>
      </c>
      <c r="B54" s="1379"/>
      <c r="C54" s="1333" t="s">
        <v>3972</v>
      </c>
      <c r="D54" s="1335">
        <v>250</v>
      </c>
      <c r="E54" s="1244" t="s">
        <v>340</v>
      </c>
      <c r="F54" s="950"/>
    </row>
    <row r="55" spans="1:6" ht="18">
      <c r="A55" s="1374">
        <v>69</v>
      </c>
      <c r="B55" s="1379"/>
      <c r="C55" s="1351" t="s">
        <v>4007</v>
      </c>
      <c r="D55" s="1346">
        <v>138.69999999999999</v>
      </c>
      <c r="E55" s="1347" t="s">
        <v>340</v>
      </c>
      <c r="F55" s="950"/>
    </row>
    <row r="56" spans="1:6" s="953" customFormat="1" ht="18">
      <c r="A56" s="1370"/>
      <c r="B56" s="1379"/>
      <c r="C56" s="1352" t="s">
        <v>4039</v>
      </c>
      <c r="D56" s="1335"/>
      <c r="E56" s="1244"/>
      <c r="F56" s="950"/>
    </row>
    <row r="57" spans="1:6" s="953" customFormat="1" ht="54">
      <c r="A57" s="1373"/>
      <c r="B57" s="1379"/>
      <c r="C57" s="1333" t="s">
        <v>3563</v>
      </c>
      <c r="D57" s="1335">
        <v>168.56</v>
      </c>
      <c r="E57" s="1244" t="s">
        <v>306</v>
      </c>
      <c r="F57" s="950"/>
    </row>
    <row r="58" spans="1:6" s="953" customFormat="1" ht="36">
      <c r="A58" s="1370" t="s">
        <v>4132</v>
      </c>
      <c r="B58" s="1379"/>
      <c r="C58" s="1333" t="s">
        <v>4133</v>
      </c>
      <c r="D58" s="1335">
        <v>3167</v>
      </c>
      <c r="E58" s="1244" t="s">
        <v>306</v>
      </c>
      <c r="F58" s="950"/>
    </row>
    <row r="59" spans="1:6" s="953" customFormat="1" ht="36">
      <c r="A59" s="1376" t="s">
        <v>4134</v>
      </c>
      <c r="B59" s="1379"/>
      <c r="C59" s="1351" t="s">
        <v>4135</v>
      </c>
      <c r="D59" s="1346">
        <v>782.5</v>
      </c>
      <c r="E59" s="1347" t="s">
        <v>306</v>
      </c>
      <c r="F59" s="950"/>
    </row>
    <row r="60" spans="1:6" s="953" customFormat="1" ht="36">
      <c r="A60" s="1244"/>
      <c r="B60" s="1379"/>
      <c r="C60" s="1336" t="s">
        <v>4136</v>
      </c>
      <c r="D60" s="1335"/>
      <c r="E60" s="1244"/>
      <c r="F60" s="950"/>
    </row>
    <row r="61" spans="1:6" s="953" customFormat="1" ht="36">
      <c r="A61" s="1244"/>
      <c r="B61" s="1379"/>
      <c r="C61" s="1333" t="s">
        <v>3815</v>
      </c>
      <c r="D61" s="1335">
        <v>637.64</v>
      </c>
      <c r="E61" s="1244" t="s">
        <v>3798</v>
      </c>
      <c r="F61" s="950"/>
    </row>
    <row r="62" spans="1:6" s="953" customFormat="1" ht="36">
      <c r="A62" s="1244"/>
      <c r="B62" s="1379"/>
      <c r="C62" s="1333" t="s">
        <v>3816</v>
      </c>
      <c r="D62" s="1335">
        <v>643.34</v>
      </c>
      <c r="E62" s="1244" t="s">
        <v>3798</v>
      </c>
      <c r="F62" s="950"/>
    </row>
    <row r="63" spans="1:6" s="953" customFormat="1" ht="36">
      <c r="A63" s="1370">
        <v>29.8</v>
      </c>
      <c r="B63" s="1379"/>
      <c r="C63" s="1333" t="s">
        <v>4141</v>
      </c>
      <c r="D63" s="1335">
        <v>1550.22</v>
      </c>
      <c r="E63" s="1244" t="s">
        <v>306</v>
      </c>
      <c r="F63" s="950"/>
    </row>
    <row r="64" spans="1:6" s="953" customFormat="1" ht="36">
      <c r="A64" s="1370">
        <v>29.9</v>
      </c>
      <c r="B64" s="1379"/>
      <c r="C64" s="1333" t="s">
        <v>4143</v>
      </c>
      <c r="D64" s="1335">
        <v>1353.77</v>
      </c>
      <c r="E64" s="1244" t="s">
        <v>306</v>
      </c>
      <c r="F64" s="950"/>
    </row>
    <row r="65" spans="1:6" s="953" customFormat="1" ht="72">
      <c r="A65" s="1374">
        <v>43</v>
      </c>
      <c r="B65" s="1379"/>
      <c r="C65" s="1351" t="s">
        <v>5318</v>
      </c>
      <c r="D65" s="1346">
        <v>88856</v>
      </c>
      <c r="E65" s="1347" t="s">
        <v>277</v>
      </c>
      <c r="F65" s="950"/>
    </row>
    <row r="66" spans="1:6" s="953" customFormat="1" ht="36">
      <c r="A66" s="1374">
        <v>44.6</v>
      </c>
      <c r="B66" s="1379"/>
      <c r="C66" s="1351" t="s">
        <v>5319</v>
      </c>
      <c r="D66" s="1346">
        <v>371.54</v>
      </c>
      <c r="E66" s="1347" t="s">
        <v>303</v>
      </c>
      <c r="F66" s="950"/>
    </row>
    <row r="67" spans="1:6" s="953" customFormat="1" ht="36">
      <c r="A67" s="1374">
        <v>50.6</v>
      </c>
      <c r="B67" s="1379"/>
      <c r="C67" s="1351" t="s">
        <v>4149</v>
      </c>
      <c r="D67" s="1346">
        <v>486.35</v>
      </c>
      <c r="E67" s="1347" t="s">
        <v>306</v>
      </c>
      <c r="F67" s="950"/>
    </row>
    <row r="68" spans="1:6" s="953" customFormat="1" ht="54">
      <c r="A68" s="1370">
        <v>56.3</v>
      </c>
      <c r="B68" s="1379"/>
      <c r="C68" s="1333" t="s">
        <v>354</v>
      </c>
      <c r="D68" s="1335">
        <v>3826.52</v>
      </c>
      <c r="E68" s="1244" t="s">
        <v>340</v>
      </c>
      <c r="F68" s="950"/>
    </row>
    <row r="69" spans="1:6" s="953" customFormat="1" ht="54">
      <c r="A69" s="1377">
        <v>56.4</v>
      </c>
      <c r="B69" s="1379"/>
      <c r="C69" s="1353" t="s">
        <v>355</v>
      </c>
      <c r="D69" s="1354">
        <v>6375.11</v>
      </c>
      <c r="E69" s="1355" t="s">
        <v>340</v>
      </c>
      <c r="F69" s="950"/>
    </row>
    <row r="70" spans="1:6" s="953" customFormat="1" ht="36">
      <c r="A70" s="1370">
        <v>58.3</v>
      </c>
      <c r="B70" s="1379"/>
      <c r="C70" s="1336" t="s">
        <v>4154</v>
      </c>
      <c r="D70" s="1335"/>
      <c r="E70" s="1356"/>
      <c r="F70" s="950"/>
    </row>
    <row r="71" spans="1:6" s="953" customFormat="1" ht="18">
      <c r="A71" s="1370"/>
      <c r="B71" s="1379"/>
      <c r="C71" s="1333" t="s">
        <v>3980</v>
      </c>
      <c r="D71" s="1335">
        <v>798.15</v>
      </c>
      <c r="E71" s="1244" t="s">
        <v>303</v>
      </c>
      <c r="F71" s="950"/>
    </row>
    <row r="72" spans="1:6" s="953" customFormat="1" ht="18">
      <c r="A72" s="1335"/>
      <c r="B72" s="1379"/>
      <c r="C72" s="1333" t="s">
        <v>3981</v>
      </c>
      <c r="D72" s="1335">
        <v>682.28</v>
      </c>
      <c r="E72" s="1244" t="s">
        <v>303</v>
      </c>
      <c r="F72" s="950"/>
    </row>
    <row r="73" spans="1:6" s="953" customFormat="1" ht="90">
      <c r="A73" s="1374">
        <v>66.099999999999994</v>
      </c>
      <c r="B73" s="1379"/>
      <c r="C73" s="1351" t="s">
        <v>5320</v>
      </c>
      <c r="D73" s="1346">
        <v>2802.4916666666668</v>
      </c>
      <c r="E73" s="1346" t="s">
        <v>340</v>
      </c>
      <c r="F73" s="950"/>
    </row>
    <row r="74" spans="1:6" s="953" customFormat="1" ht="72">
      <c r="A74" s="1335"/>
      <c r="B74" s="1379"/>
      <c r="C74" s="1333" t="s">
        <v>4164</v>
      </c>
      <c r="D74" s="1335">
        <v>246.7</v>
      </c>
      <c r="E74" s="1356" t="s">
        <v>303</v>
      </c>
      <c r="F74" s="950"/>
    </row>
    <row r="75" spans="1:6" s="953" customFormat="1" ht="72">
      <c r="A75" s="1370"/>
      <c r="B75" s="1379"/>
      <c r="C75" s="1333" t="s">
        <v>4166</v>
      </c>
      <c r="D75" s="1335">
        <v>209.8</v>
      </c>
      <c r="E75" s="1357" t="s">
        <v>303</v>
      </c>
      <c r="F75" s="950"/>
    </row>
    <row r="76" spans="1:6" s="953" customFormat="1" ht="54">
      <c r="A76" s="1370"/>
      <c r="B76" s="1379"/>
      <c r="C76" s="1333" t="s">
        <v>5321</v>
      </c>
      <c r="D76" s="1335">
        <v>251.2</v>
      </c>
      <c r="E76" s="1356" t="s">
        <v>303</v>
      </c>
      <c r="F76" s="950"/>
    </row>
    <row r="77" spans="1:6" s="953" customFormat="1" ht="36">
      <c r="A77" s="1370">
        <v>344.2</v>
      </c>
      <c r="B77" s="1379"/>
      <c r="C77" s="1333" t="s">
        <v>4178</v>
      </c>
      <c r="D77" s="1335">
        <v>379.4</v>
      </c>
      <c r="E77" s="1335" t="s">
        <v>340</v>
      </c>
      <c r="F77" s="950"/>
    </row>
    <row r="78" spans="1:6" s="953" customFormat="1" ht="54">
      <c r="A78" s="1370"/>
      <c r="B78" s="1379"/>
      <c r="C78" s="1333" t="s">
        <v>3284</v>
      </c>
      <c r="D78" s="1335">
        <v>272.57</v>
      </c>
      <c r="E78" s="1357" t="s">
        <v>306</v>
      </c>
      <c r="F78" s="950"/>
    </row>
    <row r="79" spans="1:6" s="953" customFormat="1" ht="33" customHeight="1">
      <c r="A79" s="1370" t="s">
        <v>4190</v>
      </c>
      <c r="B79" s="1379"/>
      <c r="C79" s="1333" t="s">
        <v>3271</v>
      </c>
      <c r="D79" s="1335">
        <v>154.30000000000001</v>
      </c>
      <c r="E79" s="1357" t="s">
        <v>306</v>
      </c>
      <c r="F79" s="950"/>
    </row>
    <row r="80" spans="1:6" s="953" customFormat="1" ht="18">
      <c r="A80" s="1370"/>
      <c r="B80" s="1379"/>
      <c r="C80" s="1333" t="s">
        <v>4310</v>
      </c>
      <c r="D80" s="1358">
        <v>423.10090666666662</v>
      </c>
      <c r="E80" s="1244" t="s">
        <v>303</v>
      </c>
      <c r="F80" s="950"/>
    </row>
    <row r="81" spans="1:6" s="953" customFormat="1" ht="18">
      <c r="A81" s="1370"/>
      <c r="B81" s="1379"/>
      <c r="C81" s="1333" t="s">
        <v>4311</v>
      </c>
      <c r="D81" s="1358">
        <v>650.21346666666648</v>
      </c>
      <c r="E81" s="1244" t="s">
        <v>303</v>
      </c>
      <c r="F81" s="950"/>
    </row>
    <row r="82" spans="1:6" s="953" customFormat="1" ht="90">
      <c r="A82" s="1370"/>
      <c r="B82" s="1379"/>
      <c r="C82" s="1336" t="s">
        <v>4351</v>
      </c>
      <c r="D82" s="1359"/>
      <c r="E82" s="1244"/>
      <c r="F82" s="950"/>
    </row>
    <row r="83" spans="1:6" s="953" customFormat="1" ht="18">
      <c r="A83" s="1370"/>
      <c r="B83" s="1379"/>
      <c r="C83" s="1333" t="s">
        <v>4000</v>
      </c>
      <c r="D83" s="1359">
        <v>830.09466666666663</v>
      </c>
      <c r="E83" s="1244" t="s">
        <v>340</v>
      </c>
      <c r="F83" s="950"/>
    </row>
    <row r="84" spans="1:6" s="953" customFormat="1" ht="18">
      <c r="A84" s="1370"/>
      <c r="B84" s="1379"/>
      <c r="C84" s="1333" t="s">
        <v>4001</v>
      </c>
      <c r="D84" s="1359">
        <v>833.19466666666665</v>
      </c>
      <c r="E84" s="1244" t="s">
        <v>340</v>
      </c>
      <c r="F84" s="950"/>
    </row>
    <row r="85" spans="1:6" s="953" customFormat="1" ht="108">
      <c r="A85" s="1370"/>
      <c r="B85" s="1379"/>
      <c r="C85" s="1333" t="s">
        <v>5322</v>
      </c>
      <c r="D85" s="1359">
        <v>638.49644444444448</v>
      </c>
      <c r="E85" s="1244" t="s">
        <v>340</v>
      </c>
      <c r="F85" s="950"/>
    </row>
    <row r="86" spans="1:6" s="953" customFormat="1" ht="108">
      <c r="A86" s="1370"/>
      <c r="B86" s="1379"/>
      <c r="C86" s="1333" t="s">
        <v>5323</v>
      </c>
      <c r="D86" s="1359">
        <v>765.00000000000011</v>
      </c>
      <c r="E86" s="1244" t="s">
        <v>340</v>
      </c>
      <c r="F86" s="950"/>
    </row>
    <row r="87" spans="1:6" s="953" customFormat="1" ht="36">
      <c r="A87" s="1357"/>
      <c r="B87" s="1379"/>
      <c r="C87" s="1333" t="s">
        <v>4367</v>
      </c>
      <c r="D87" s="1360">
        <v>134</v>
      </c>
      <c r="E87" s="1244" t="s">
        <v>340</v>
      </c>
      <c r="F87" s="950"/>
    </row>
    <row r="88" spans="1:6" s="953" customFormat="1" ht="54">
      <c r="A88" s="1357"/>
      <c r="B88" s="1379"/>
      <c r="C88" s="1333" t="s">
        <v>4368</v>
      </c>
      <c r="D88" s="1244">
        <v>642</v>
      </c>
      <c r="E88" s="1244" t="s">
        <v>340</v>
      </c>
      <c r="F88" s="950"/>
    </row>
    <row r="89" spans="1:6" s="953" customFormat="1" ht="36">
      <c r="A89" s="1357"/>
      <c r="B89" s="1379"/>
      <c r="C89" s="1333" t="s">
        <v>4369</v>
      </c>
      <c r="D89" s="1244">
        <v>462</v>
      </c>
      <c r="E89" s="1244" t="s">
        <v>340</v>
      </c>
      <c r="F89" s="950"/>
    </row>
    <row r="90" spans="1:6" s="953" customFormat="1" ht="36">
      <c r="A90" s="1357"/>
      <c r="B90" s="1379"/>
      <c r="C90" s="1333" t="s">
        <v>4370</v>
      </c>
      <c r="D90" s="1244">
        <v>2991</v>
      </c>
      <c r="E90" s="1244" t="s">
        <v>340</v>
      </c>
      <c r="F90" s="950"/>
    </row>
    <row r="91" spans="1:6" s="953" customFormat="1" ht="36">
      <c r="A91" s="1357"/>
      <c r="B91" s="1379"/>
      <c r="C91" s="1333" t="s">
        <v>5324</v>
      </c>
      <c r="D91" s="1244">
        <v>170</v>
      </c>
      <c r="E91" s="1244" t="s">
        <v>340</v>
      </c>
      <c r="F91" s="950"/>
    </row>
    <row r="92" spans="1:6" s="953" customFormat="1" ht="144">
      <c r="A92" s="1357"/>
      <c r="B92" s="1379"/>
      <c r="C92" s="1361" t="s">
        <v>3565</v>
      </c>
      <c r="D92" s="1362">
        <v>11750</v>
      </c>
      <c r="E92" s="1244" t="s">
        <v>340</v>
      </c>
      <c r="F92" s="950"/>
    </row>
    <row r="93" spans="1:6" s="953" customFormat="1" ht="54">
      <c r="A93" s="1357"/>
      <c r="B93" s="1379"/>
      <c r="C93" s="1361" t="s">
        <v>4395</v>
      </c>
      <c r="D93" s="1363"/>
      <c r="E93" s="1364"/>
      <c r="F93" s="950"/>
    </row>
    <row r="94" spans="1:6" s="953" customFormat="1" ht="36">
      <c r="A94" s="1357"/>
      <c r="B94" s="1379"/>
      <c r="C94" s="1361" t="s">
        <v>4397</v>
      </c>
      <c r="D94" s="1362">
        <v>380</v>
      </c>
      <c r="E94" s="1364" t="s">
        <v>552</v>
      </c>
      <c r="F94" s="950"/>
    </row>
    <row r="95" spans="1:6" s="953" customFormat="1" ht="54">
      <c r="A95" s="1357"/>
      <c r="B95" s="1379"/>
      <c r="C95" s="1365" t="s">
        <v>4426</v>
      </c>
      <c r="D95" s="1362"/>
      <c r="E95" s="1244"/>
      <c r="F95" s="950"/>
    </row>
    <row r="96" spans="1:6" s="953" customFormat="1" ht="18">
      <c r="A96" s="1357"/>
      <c r="B96" s="1379"/>
      <c r="C96" s="1366" t="s">
        <v>4427</v>
      </c>
      <c r="D96" s="1367">
        <v>2675</v>
      </c>
      <c r="E96" s="1244" t="s">
        <v>340</v>
      </c>
      <c r="F96" s="950"/>
    </row>
    <row r="97" spans="1:6" s="953" customFormat="1" ht="54">
      <c r="A97" s="1357"/>
      <c r="B97" s="1379"/>
      <c r="C97" s="1366" t="s">
        <v>5304</v>
      </c>
      <c r="D97" s="1368">
        <v>310</v>
      </c>
      <c r="E97" s="1244" t="s">
        <v>2757</v>
      </c>
      <c r="F97" s="950"/>
    </row>
    <row r="98" spans="1:6" s="953" customFormat="1" ht="72">
      <c r="A98" s="1357"/>
      <c r="B98" s="1379"/>
      <c r="C98" s="1369" t="s">
        <v>5308</v>
      </c>
      <c r="D98" s="1362">
        <v>4312</v>
      </c>
      <c r="E98" s="1244" t="s">
        <v>340</v>
      </c>
      <c r="F98" s="950"/>
    </row>
    <row r="99" spans="1:6" s="953" customFormat="1" ht="18">
      <c r="A99" s="1373"/>
      <c r="B99" s="1379"/>
      <c r="C99" s="952"/>
      <c r="D99" s="950"/>
      <c r="E99" s="951"/>
      <c r="F99" s="950"/>
    </row>
    <row r="100" spans="1:6" s="953" customFormat="1" ht="18">
      <c r="A100" s="1344"/>
      <c r="B100" s="1379"/>
      <c r="C100" s="952"/>
      <c r="D100" s="950"/>
      <c r="E100" s="951"/>
      <c r="F100" s="950"/>
    </row>
    <row r="101" spans="1:6" ht="45" customHeight="1">
      <c r="A101" s="1344"/>
    </row>
    <row r="102" spans="1:6" ht="45" customHeight="1">
      <c r="A102" s="1344"/>
    </row>
    <row r="103" spans="1:6" ht="45" customHeight="1">
      <c r="A103" s="1344"/>
    </row>
    <row r="104" spans="1:6" ht="45" customHeight="1">
      <c r="A104" s="1344"/>
    </row>
    <row r="105" spans="1:6" ht="45" customHeight="1">
      <c r="A105" s="1344"/>
    </row>
    <row r="106" spans="1:6" ht="45" customHeight="1">
      <c r="A106" s="1344"/>
    </row>
    <row r="107" spans="1:6" ht="45" customHeight="1">
      <c r="A107" s="1344"/>
    </row>
    <row r="108" spans="1:6" ht="45" customHeight="1">
      <c r="A108" s="1344"/>
    </row>
    <row r="109" spans="1:6" ht="45" customHeight="1">
      <c r="A109" s="1344"/>
    </row>
    <row r="110" spans="1:6" ht="45" customHeight="1">
      <c r="A110" s="1344"/>
    </row>
    <row r="111" spans="1:6" ht="45" customHeight="1">
      <c r="A111" s="1344"/>
    </row>
    <row r="112" spans="1:6" ht="45" customHeight="1">
      <c r="A112" s="1344"/>
    </row>
    <row r="113" spans="1:1" ht="45" customHeight="1">
      <c r="A113" s="1344"/>
    </row>
    <row r="114" spans="1:1" ht="45" customHeight="1">
      <c r="A114" s="1344"/>
    </row>
    <row r="115" spans="1:1" ht="45" customHeight="1">
      <c r="A115" s="1344"/>
    </row>
    <row r="116" spans="1:1" ht="45" customHeight="1">
      <c r="A116" s="1344"/>
    </row>
    <row r="117" spans="1:1" ht="45" customHeight="1">
      <c r="A117" s="1344"/>
    </row>
  </sheetData>
  <mergeCells count="8">
    <mergeCell ref="M4:N4"/>
    <mergeCell ref="O4:P4"/>
    <mergeCell ref="A1:F1"/>
    <mergeCell ref="A2:F2"/>
    <mergeCell ref="A3:F3"/>
    <mergeCell ref="G4:H4"/>
    <mergeCell ref="I4:J4"/>
    <mergeCell ref="K4:L4"/>
  </mergeCells>
  <printOptions horizontalCentered="1"/>
  <pageMargins left="0.25" right="0.2" top="0.52" bottom="0.48" header="0.31496062992126" footer="0.31496062992126"/>
  <pageSetup paperSize="9" scale="73" orientation="portrait" r:id="rId1"/>
  <headerFooter>
    <oddHeader>&amp;C&amp;"-,Regular"&amp;8 &amp;R&amp;P</oddHeader>
  </headerFooter>
  <drawing r:id="rId2"/>
</worksheet>
</file>

<file path=xl/worksheets/sheet6.xml><?xml version="1.0" encoding="utf-8"?>
<worksheet xmlns="http://schemas.openxmlformats.org/spreadsheetml/2006/main" xmlns:r="http://schemas.openxmlformats.org/officeDocument/2006/relationships">
  <dimension ref="A1:V151"/>
  <sheetViews>
    <sheetView view="pageBreakPreview" zoomScaleNormal="70" zoomScaleSheetLayoutView="100" workbookViewId="0">
      <pane ySplit="1" topLeftCell="A8" activePane="bottomLeft" state="frozen"/>
      <selection pane="bottomLeft" activeCell="J52" sqref="J52"/>
    </sheetView>
  </sheetViews>
  <sheetFormatPr defaultColWidth="9.140625" defaultRowHeight="12.75"/>
  <cols>
    <col min="1" max="3" width="9.140625" style="1907"/>
    <col min="4" max="4" width="14.42578125" style="1907" customWidth="1"/>
    <col min="5" max="5" width="9.140625" style="1907"/>
    <col min="6" max="6" width="6.28515625" style="1907" customWidth="1"/>
    <col min="7" max="7" width="10.28515625" style="1907" customWidth="1"/>
    <col min="8" max="8" width="8.28515625" style="1907" customWidth="1"/>
    <col min="9" max="9" width="5.42578125" style="1907" customWidth="1"/>
    <col min="10" max="10" width="10.5703125" style="1907" customWidth="1"/>
    <col min="11" max="11" width="7.5703125" style="1907" customWidth="1"/>
    <col min="12" max="12" width="7.85546875" style="1907" customWidth="1"/>
    <col min="13" max="16384" width="9.140625" style="1907"/>
  </cols>
  <sheetData>
    <row r="1" spans="1:22" s="1905" customFormat="1" ht="178.5">
      <c r="B1" s="1906" t="s">
        <v>4560</v>
      </c>
      <c r="C1" s="1906"/>
      <c r="D1" s="1906" t="s">
        <v>4561</v>
      </c>
      <c r="E1" s="1906"/>
      <c r="F1" s="1906"/>
      <c r="G1" s="1906" t="s">
        <v>4562</v>
      </c>
      <c r="H1" s="1906"/>
      <c r="I1" s="1906"/>
      <c r="J1" s="1906" t="s">
        <v>4563</v>
      </c>
      <c r="K1" s="1906"/>
      <c r="L1" s="1906"/>
      <c r="M1" s="1906" t="s">
        <v>4564</v>
      </c>
      <c r="N1" s="1906"/>
      <c r="O1" s="1906"/>
      <c r="P1" s="1906" t="s">
        <v>4565</v>
      </c>
      <c r="Q1" s="1906"/>
    </row>
    <row r="2" spans="1:22">
      <c r="B2" s="1908" t="s">
        <v>4566</v>
      </c>
      <c r="C2" s="1908"/>
      <c r="D2" s="1909" t="s">
        <v>4567</v>
      </c>
      <c r="G2" s="1910" t="s">
        <v>4568</v>
      </c>
    </row>
    <row r="3" spans="1:22">
      <c r="A3" s="1911" t="s">
        <v>4569</v>
      </c>
      <c r="B3" s="1912">
        <v>7.16</v>
      </c>
      <c r="C3" s="1911">
        <f>10*B3</f>
        <v>71.599999999999994</v>
      </c>
      <c r="D3" s="1912">
        <v>11.45</v>
      </c>
      <c r="E3" s="1911">
        <f>10*D3</f>
        <v>114.5</v>
      </c>
      <c r="F3" s="1911"/>
      <c r="G3" s="1912">
        <v>9.66</v>
      </c>
      <c r="H3" s="1911">
        <f>10*G3</f>
        <v>96.6</v>
      </c>
      <c r="I3" s="1911"/>
      <c r="J3" s="1912">
        <v>12.88</v>
      </c>
      <c r="K3" s="1911">
        <f>10*J3</f>
        <v>128.80000000000001</v>
      </c>
      <c r="L3" s="1911"/>
      <c r="M3" s="1912">
        <v>16.09</v>
      </c>
      <c r="N3" s="1911">
        <f>10*M3</f>
        <v>160.9</v>
      </c>
      <c r="O3" s="1911"/>
      <c r="P3" s="1912">
        <v>7.86</v>
      </c>
      <c r="Q3" s="1913">
        <f>10*P3</f>
        <v>78.600000000000009</v>
      </c>
      <c r="R3" s="1911"/>
    </row>
    <row r="4" spans="1:22">
      <c r="A4" s="1914" t="s">
        <v>4570</v>
      </c>
      <c r="B4" s="1912">
        <v>6.13</v>
      </c>
      <c r="C4" s="1911">
        <f>+C3+10*B4</f>
        <v>132.89999999999998</v>
      </c>
      <c r="D4" s="1912">
        <v>9.7899999999999991</v>
      </c>
      <c r="E4" s="1911">
        <f>+E3+10*D4</f>
        <v>212.39999999999998</v>
      </c>
      <c r="F4" s="1911"/>
      <c r="G4" s="1915">
        <v>8.27</v>
      </c>
      <c r="H4" s="1911">
        <f>+H3+10*G4</f>
        <v>179.29999999999998</v>
      </c>
      <c r="I4" s="1911"/>
      <c r="J4" s="1912">
        <v>11.03</v>
      </c>
      <c r="K4" s="1911">
        <f>+K3+10*J4</f>
        <v>239.10000000000002</v>
      </c>
      <c r="L4" s="1911"/>
      <c r="M4" s="1916">
        <v>13.78</v>
      </c>
      <c r="N4" s="1911">
        <f>+N3+10*M4</f>
        <v>298.7</v>
      </c>
      <c r="O4" s="1911"/>
      <c r="P4" s="1912">
        <v>6.73</v>
      </c>
      <c r="Q4" s="1911">
        <f>+Q3+10*P4</f>
        <v>145.90000000000003</v>
      </c>
      <c r="R4" s="1911"/>
    </row>
    <row r="5" spans="1:22">
      <c r="A5" s="1911" t="s">
        <v>4571</v>
      </c>
      <c r="B5" s="1912">
        <v>5.27</v>
      </c>
      <c r="C5" s="1911">
        <f>+C4+20*B5</f>
        <v>238.29999999999995</v>
      </c>
      <c r="D5" s="1912">
        <v>8.43</v>
      </c>
      <c r="E5" s="1911">
        <f>+E4+20*D5</f>
        <v>381</v>
      </c>
      <c r="F5" s="1911"/>
      <c r="G5" s="1912">
        <v>7.1</v>
      </c>
      <c r="H5" s="1911">
        <f>+H4+20*G5</f>
        <v>321.29999999999995</v>
      </c>
      <c r="I5" s="1911"/>
      <c r="J5" s="1912">
        <v>9.49</v>
      </c>
      <c r="K5" s="1911">
        <f>+K4+20*J5</f>
        <v>428.90000000000003</v>
      </c>
      <c r="L5" s="1911"/>
      <c r="M5" s="1912">
        <v>11.85</v>
      </c>
      <c r="N5" s="1911">
        <f>+N4+20*M5</f>
        <v>535.70000000000005</v>
      </c>
      <c r="O5" s="1911"/>
      <c r="P5" s="1912">
        <v>5.8</v>
      </c>
      <c r="Q5" s="1911">
        <f>+Q4+20*P5</f>
        <v>261.90000000000003</v>
      </c>
      <c r="R5" s="1911"/>
    </row>
    <row r="6" spans="1:22">
      <c r="A6" s="1911" t="s">
        <v>4572</v>
      </c>
      <c r="B6" s="1912">
        <v>4.54</v>
      </c>
      <c r="C6" s="1911">
        <f>+C5+40*B6</f>
        <v>419.9</v>
      </c>
      <c r="D6" s="1912">
        <v>7.91</v>
      </c>
      <c r="E6" s="1911">
        <f>+E5+40*D6</f>
        <v>697.4</v>
      </c>
      <c r="F6" s="1911"/>
      <c r="G6" s="1912">
        <v>6.13</v>
      </c>
      <c r="H6" s="1911">
        <f>+H5+40*G6</f>
        <v>566.5</v>
      </c>
      <c r="I6" s="1911"/>
      <c r="J6" s="1912">
        <v>8.17</v>
      </c>
      <c r="K6" s="1911">
        <f>+K5+40*J6</f>
        <v>755.7</v>
      </c>
      <c r="L6" s="1911"/>
      <c r="M6" s="1912">
        <v>10.23</v>
      </c>
      <c r="N6" s="1911">
        <f>+N5+40*M6</f>
        <v>944.90000000000009</v>
      </c>
      <c r="O6" s="1911"/>
      <c r="P6" s="1912">
        <v>5.01</v>
      </c>
      <c r="Q6" s="1911">
        <f>+Q5+40*P6</f>
        <v>462.3</v>
      </c>
      <c r="R6" s="1911"/>
    </row>
    <row r="7" spans="1:22">
      <c r="A7" s="1911" t="s">
        <v>4573</v>
      </c>
      <c r="B7" s="1912">
        <v>4.1399999999999997</v>
      </c>
      <c r="C7" s="1911"/>
      <c r="D7" s="1912">
        <v>6.63</v>
      </c>
      <c r="E7" s="1911"/>
      <c r="F7" s="1911"/>
      <c r="G7" s="1912">
        <v>5.61</v>
      </c>
      <c r="H7" s="1911"/>
      <c r="I7" s="1911"/>
      <c r="J7" s="1912">
        <v>7.46</v>
      </c>
      <c r="K7" s="1911"/>
      <c r="L7" s="1911"/>
      <c r="M7" s="1912">
        <v>9.33</v>
      </c>
      <c r="N7" s="1911"/>
      <c r="O7" s="1911"/>
      <c r="P7" s="1912">
        <v>4.5599999999999996</v>
      </c>
      <c r="Q7" s="1911"/>
      <c r="R7" s="1911"/>
    </row>
    <row r="8" spans="1:22" ht="5.25" customHeight="1">
      <c r="A8" s="1911"/>
      <c r="B8" s="1911"/>
      <c r="C8" s="1911"/>
      <c r="D8" s="1911"/>
      <c r="E8" s="1911"/>
      <c r="F8" s="1911"/>
      <c r="G8" s="1911"/>
      <c r="H8" s="1911"/>
      <c r="I8" s="1911"/>
      <c r="J8" s="1911"/>
      <c r="K8" s="1911"/>
      <c r="L8" s="1911"/>
      <c r="M8" s="1911"/>
      <c r="N8" s="1911"/>
      <c r="O8" s="1911"/>
      <c r="P8" s="1911"/>
      <c r="Q8" s="1911"/>
      <c r="R8" s="1911"/>
    </row>
    <row r="9" spans="1:22" ht="6.75" customHeight="1">
      <c r="A9" s="1911"/>
      <c r="B9" s="1917"/>
      <c r="C9" s="1917"/>
      <c r="D9" s="1911"/>
      <c r="E9" s="1911"/>
      <c r="F9" s="1911"/>
      <c r="G9" s="1911"/>
      <c r="H9" s="1911"/>
      <c r="I9" s="1911"/>
      <c r="J9" s="1911"/>
      <c r="K9" s="1911"/>
      <c r="L9" s="1911"/>
      <c r="M9" s="1911"/>
      <c r="N9" s="1911"/>
      <c r="O9" s="1911"/>
      <c r="P9" s="1911"/>
      <c r="Q9" s="1911"/>
      <c r="R9" s="1911"/>
    </row>
    <row r="10" spans="1:22" ht="28.5" customHeight="1">
      <c r="A10" s="1911"/>
      <c r="B10" s="1911" t="s">
        <v>4574</v>
      </c>
      <c r="C10" s="1911"/>
      <c r="D10" s="1911">
        <v>10</v>
      </c>
      <c r="E10" s="1913">
        <f>IF(D10&lt;11,D10*$D$3,IF(D10&lt;21,($E$3+(D10-10)*$D$4),IF(D10&lt;41,$E$4+(D10-20)*$D$5,IF(D10&lt;81,($E$5+(D10-40)*$D$6),$E$6+(D10-80)*$D$7))))</f>
        <v>114.5</v>
      </c>
      <c r="F10" s="1911"/>
      <c r="G10" s="1911">
        <v>35</v>
      </c>
      <c r="H10" s="1911">
        <f>IF(G10&lt;11,G10*$G$3,IF(G10&lt;21,($H$3+(G10-10)*$G$4),IF(G10&lt;41,$H$4+(G10-20)*$G$5,IF(G10&lt;81,($H$5+(G10-40)*$G$6),$H$6+(G10-80)*$G$7))))</f>
        <v>285.79999999999995</v>
      </c>
      <c r="I10" s="1911"/>
      <c r="J10" s="1911"/>
      <c r="K10" s="1911"/>
      <c r="L10" s="1918" t="s">
        <v>4575</v>
      </c>
      <c r="M10" s="1911">
        <v>35</v>
      </c>
      <c r="N10" s="1911">
        <f>IF(M10&lt;11,M10*$M$3,IF(M10&lt;21,($N$3+(M10-10)*$M$4),IF(M10&lt;41,$N$4+(M10-20)*$M$5,IF(M10&lt;81,($N$5+(M10-40)*$M$6),$N$6+(M10-80)*$M$7))))</f>
        <v>476.45</v>
      </c>
      <c r="O10" s="1911"/>
      <c r="P10" s="1911">
        <v>35</v>
      </c>
      <c r="Q10" s="1907">
        <f>IF(P10&lt;11,P10*$P$3,IF(P10&lt;21,($Q$3+(P10-10)*$P$4),IF(P10&lt;41,$Q$4+(P10-20)*$P$5,IF(P10&lt;81,($Q$5+(P10-40)*$P$6),$Q$6+(P10-80)*$P$7))))</f>
        <v>232.90000000000003</v>
      </c>
      <c r="R10" s="1911" t="s">
        <v>4576</v>
      </c>
    </row>
    <row r="11" spans="1:22">
      <c r="A11" s="1911"/>
      <c r="B11" s="1911" t="s">
        <v>1600</v>
      </c>
      <c r="C11" s="1911"/>
      <c r="D11" s="1911">
        <v>4</v>
      </c>
      <c r="E11" s="1913">
        <f>IF(D11&lt;11,D11*$D$3,(IF(D11&lt;21,($E$3+(D11-10)*$D$4),(IF(D11&lt;41,$E$4+(D11-20)*$D$5,IF(D11&lt;81,($E$5+(D11-40)*$D$6),$E$6+(D11-80)*$D$7))))))</f>
        <v>45.8</v>
      </c>
      <c r="F11" s="1911"/>
      <c r="G11" s="1911"/>
      <c r="H11" s="1911">
        <f>IF(G11&lt;11,G11*$G$3,IF(G11&lt;21,($H$3+(G11-10)*$G$4),IF(G11&lt;41,$H$4+(G11-20)*$G$5,IF(G11&lt;81,($H$5+(G11-40)*$G$6),$H$6+(G11-80)*$G$7))))</f>
        <v>0</v>
      </c>
      <c r="I11" s="1911"/>
      <c r="J11" s="1911">
        <v>0</v>
      </c>
      <c r="K11" s="1911">
        <f>IF(J11&lt;11,J11*$J$3,IF(J11&lt;21,($K$3+(J11-10)*$J$4),IF(J11&lt;41,$K$4+(J11-20)*$J$5,IF(J11&lt;81,($K$5+(J11-40)*$J$6),$K$6+(J11-80)*$J$7))))/2</f>
        <v>0</v>
      </c>
      <c r="L11" s="1919" t="s">
        <v>4577</v>
      </c>
      <c r="M11" s="1911"/>
      <c r="N11" s="1911"/>
      <c r="O11" s="1911"/>
      <c r="P11" s="1911">
        <v>0</v>
      </c>
      <c r="Q11" s="1907">
        <f>IF(P11&lt;11,P11*$P$3,IF(P11&lt;21,($Q$3+(P11-10)*$P$4),IF(P11&lt;41,$Q$4+(P11-20)*$P$5,IF(P11&lt;81,($Q$5+(P11-40)*$P$6),$Q$6+(P11-80)*$P$7))))</f>
        <v>0</v>
      </c>
      <c r="R11" s="1911" t="s">
        <v>4578</v>
      </c>
      <c r="T11" s="1911" t="s">
        <v>4579</v>
      </c>
    </row>
    <row r="12" spans="1:22" ht="21" customHeight="1">
      <c r="A12" s="1911"/>
      <c r="B12" s="1918" t="s">
        <v>4580</v>
      </c>
      <c r="C12" s="1918"/>
      <c r="D12" s="1911">
        <v>10</v>
      </c>
      <c r="E12" s="1911">
        <f>IF(D12&lt;11,D12*$D$3,(IF(D12&lt;21,($E$3+(D12-10)*$D$4),(IF(D12&lt;41,$E$4+(D12-20)*$D$5,IF(D12&lt;81,($E$5+(D12-40)*$D$6),$E$6+(D12-80)*$D$7))))))</f>
        <v>114.5</v>
      </c>
      <c r="F12" s="1911"/>
      <c r="G12" s="1911"/>
      <c r="H12" s="1911"/>
      <c r="I12" s="1911"/>
      <c r="J12" s="1911">
        <v>0</v>
      </c>
      <c r="K12" s="1911">
        <f>IF(J12&lt;11,J12*$J$3,IF(J12&lt;21,($K$3+(J12-10)*$J$4),IF(J12&lt;41,$K$4+(J12-20)*$J$5,IF(J12&lt;81,($K$5+(J12-40)*$J$6),$K$6+(J12-80)*$J$7))))/2</f>
        <v>0</v>
      </c>
      <c r="L12" s="1911"/>
      <c r="M12" s="1911"/>
      <c r="N12" s="1911">
        <f>90+77.5+6.85*20+5.7*23</f>
        <v>435.6</v>
      </c>
      <c r="O12" s="1911"/>
      <c r="P12" s="1911">
        <v>0</v>
      </c>
      <c r="Q12" s="1907">
        <f>IF(P12&lt;11,P12*$P$3,IF(P12&lt;21,($Q$3+(P12-10)*$P$4),IF(P12&lt;41,$Q$4+(P12-20)*$P$5,IF(P12&lt;81,($Q$5+(P12-40)*$P$6),$Q$6+(P12-80)*$P$7))))</f>
        <v>0</v>
      </c>
      <c r="R12" s="1911" t="s">
        <v>4581</v>
      </c>
      <c r="T12" s="1907">
        <f>8.69*6</f>
        <v>52.14</v>
      </c>
      <c r="U12" s="1910" t="s">
        <v>4582</v>
      </c>
    </row>
    <row r="13" spans="1:22">
      <c r="A13" s="1911"/>
      <c r="B13" s="1911" t="s">
        <v>710</v>
      </c>
      <c r="C13" s="1911"/>
      <c r="D13" s="1911">
        <v>0</v>
      </c>
      <c r="E13" s="1913">
        <f>IF(D13&lt;11,D13*$D$3,(IF(D13&lt;21,($E$3+(D13-10)*$D$4),(IF(D13&lt;41,$E$4+(D13-20)*$D$5,IF(D13&lt;81,($E$5+(D13-40)*$D$6),$E$6+(D13-80)*$D$7))))))</f>
        <v>0</v>
      </c>
      <c r="F13" s="1911"/>
      <c r="G13" s="1911"/>
      <c r="H13" s="1911"/>
      <c r="I13" s="1911"/>
      <c r="J13" s="1911"/>
      <c r="K13" s="1911"/>
      <c r="L13" s="1911"/>
      <c r="M13" s="1911"/>
      <c r="N13" s="1911"/>
      <c r="O13" s="1911"/>
      <c r="P13" s="1911">
        <v>0</v>
      </c>
      <c r="Q13" s="1907">
        <f>IF(P13&lt;11,P13*$P$3,IF(P13&lt;21,($Q$3+(P13-10)*$P$4),IF(P13&lt;41,$Q$4+(P13-20)*$P$5,IF(P13&lt;81,($Q$5+(P13-40)*$P$6),$Q$6+(P13-80)*$P$7))))</f>
        <v>0</v>
      </c>
      <c r="R13" s="1911" t="s">
        <v>4583</v>
      </c>
    </row>
    <row r="14" spans="1:22">
      <c r="A14" s="1911"/>
      <c r="B14" s="1911" t="s">
        <v>278</v>
      </c>
      <c r="C14" s="1911"/>
      <c r="D14" s="1911">
        <v>0</v>
      </c>
      <c r="E14" s="1911">
        <f>IF(D14&lt;11,D14*$B$3,(IF(D14&lt;21,($C$3+(D14-10)*$B$4),(IF(D14&lt;41,$C$4+(D14-20)*$B$5,IF(D14&lt;81,($C$5+(D14-40)*$B$6),$C$6+(D14-80)*$B$7))))))</f>
        <v>0</v>
      </c>
      <c r="F14" s="1911"/>
      <c r="G14" s="1911"/>
      <c r="H14" s="1911"/>
      <c r="I14" s="1911"/>
      <c r="J14" s="1911"/>
      <c r="K14" s="1911"/>
      <c r="L14" s="1911"/>
      <c r="M14" s="1911"/>
      <c r="N14" s="1911"/>
      <c r="O14" s="1911"/>
      <c r="P14" s="1911"/>
      <c r="R14" s="1911"/>
      <c r="S14" s="1907" t="s">
        <v>150</v>
      </c>
      <c r="T14" s="1911" t="s">
        <v>150</v>
      </c>
      <c r="U14" s="1907">
        <f>8.69+7.44+6.4+6</f>
        <v>28.53</v>
      </c>
      <c r="V14" s="1907">
        <f>U14*44</f>
        <v>1255.3200000000002</v>
      </c>
    </row>
    <row r="15" spans="1:22">
      <c r="A15" s="1911"/>
      <c r="B15" s="1911" t="s">
        <v>2481</v>
      </c>
      <c r="C15" s="1911"/>
      <c r="D15" s="1911">
        <v>0</v>
      </c>
      <c r="E15" s="1911">
        <f>IF(D15&lt;11,D15*$B$3,(IF(D15&lt;21,($C$3+(D15-10)*$B$4),(IF(D15&lt;41,$C$4+(D15-20)*$B$5,IF(D15&lt;81,($C$5+(D15-40)*$B$6),$C$6+(D15-80)*$B$7))))))</f>
        <v>0</v>
      </c>
      <c r="F15" s="1911"/>
      <c r="G15" s="1911"/>
      <c r="H15" s="1911"/>
      <c r="I15" s="1911"/>
      <c r="J15" s="1911"/>
      <c r="K15" s="1911"/>
      <c r="L15" s="1911"/>
      <c r="M15" s="1911"/>
      <c r="N15" s="1911"/>
      <c r="O15" s="1911"/>
      <c r="P15" s="1911"/>
      <c r="R15" s="1911"/>
    </row>
    <row r="16" spans="1:22">
      <c r="A16" s="1911"/>
      <c r="B16" s="1911" t="s">
        <v>4584</v>
      </c>
      <c r="C16" s="1911"/>
      <c r="D16" s="1911">
        <v>0</v>
      </c>
      <c r="E16" s="1913">
        <f t="shared" ref="E16:E21" si="0">IF(D16&lt;11,D16*$D$3,(IF(D16&lt;21,($E$3+(D16-10)*$D$4),(IF(D16&lt;41,$E$4+(D16-20)*$D$5,IF(D16&lt;81,($E$5+(D16-40)*$D$6),$E$6+(D16-80)*$D$7))))))</f>
        <v>0</v>
      </c>
      <c r="F16" s="1911"/>
      <c r="G16" s="1911"/>
      <c r="H16" s="1911"/>
      <c r="I16" s="1911"/>
      <c r="J16" s="1911"/>
      <c r="K16" s="1911"/>
      <c r="L16" s="1911"/>
      <c r="M16" s="1911"/>
      <c r="N16" s="1911"/>
      <c r="O16" s="1911"/>
      <c r="P16" s="1911"/>
      <c r="R16" s="1911"/>
      <c r="U16" s="1907">
        <f>8.69*10</f>
        <v>86.899999999999991</v>
      </c>
    </row>
    <row r="17" spans="1:21">
      <c r="A17" s="1911"/>
      <c r="B17" s="1911"/>
      <c r="C17" s="1911"/>
      <c r="D17" s="1911">
        <v>0</v>
      </c>
      <c r="E17" s="1911">
        <f t="shared" si="0"/>
        <v>0</v>
      </c>
      <c r="F17" s="1911"/>
      <c r="G17" s="1911"/>
      <c r="H17" s="1911"/>
      <c r="I17" s="1911"/>
      <c r="J17" s="1911"/>
      <c r="K17" s="1911"/>
      <c r="L17" s="1911"/>
      <c r="M17" s="1911"/>
      <c r="N17" s="1911"/>
      <c r="O17" s="1911"/>
      <c r="P17" s="1911"/>
      <c r="Q17" s="1911"/>
      <c r="R17" s="1911"/>
      <c r="U17" s="1907">
        <f>7.44*10</f>
        <v>74.400000000000006</v>
      </c>
    </row>
    <row r="18" spans="1:21">
      <c r="A18" s="1911"/>
      <c r="B18" s="1911"/>
      <c r="C18" s="1911"/>
      <c r="D18" s="1911">
        <v>0</v>
      </c>
      <c r="E18" s="1911">
        <f t="shared" si="0"/>
        <v>0</v>
      </c>
      <c r="F18" s="1911"/>
      <c r="G18" s="1913"/>
      <c r="H18" s="1913">
        <f>(G18+G19)/2</f>
        <v>0</v>
      </c>
      <c r="I18" s="1911"/>
      <c r="J18" s="1911"/>
      <c r="K18" s="1911"/>
      <c r="L18" s="1911"/>
      <c r="M18" s="1911"/>
      <c r="N18" s="1911"/>
      <c r="O18" s="1911"/>
      <c r="P18" s="1911"/>
      <c r="Q18" s="1911"/>
      <c r="R18" s="1911"/>
      <c r="U18" s="1907">
        <f>6.4*20</f>
        <v>128</v>
      </c>
    </row>
    <row r="19" spans="1:21">
      <c r="A19" s="1911"/>
      <c r="B19" s="1911"/>
      <c r="C19" s="1911"/>
      <c r="D19" s="1911">
        <v>0</v>
      </c>
      <c r="E19" s="1911">
        <f t="shared" si="0"/>
        <v>0</v>
      </c>
      <c r="F19" s="1911"/>
      <c r="G19" s="1913"/>
      <c r="H19" s="1911">
        <f>15+20+25+0.2</f>
        <v>60.2</v>
      </c>
      <c r="I19" s="1911"/>
      <c r="J19" s="1911"/>
      <c r="K19" s="1911"/>
      <c r="L19" s="1911"/>
      <c r="M19" s="1911"/>
      <c r="N19" s="1911"/>
      <c r="O19" s="1911"/>
      <c r="P19" s="1911"/>
      <c r="Q19" s="1911"/>
      <c r="R19" s="1911"/>
      <c r="U19" s="1907">
        <f>6*4</f>
        <v>24</v>
      </c>
    </row>
    <row r="20" spans="1:21">
      <c r="D20" s="1911">
        <v>0</v>
      </c>
      <c r="E20" s="1907">
        <f t="shared" si="0"/>
        <v>0</v>
      </c>
      <c r="G20" s="1920"/>
      <c r="U20" s="1910">
        <f>SUM(U16:U19)</f>
        <v>313.3</v>
      </c>
    </row>
    <row r="21" spans="1:21">
      <c r="D21" s="1911">
        <v>0</v>
      </c>
      <c r="E21" s="1907">
        <f t="shared" si="0"/>
        <v>0</v>
      </c>
      <c r="G21" s="1920"/>
    </row>
    <row r="22" spans="1:21">
      <c r="G22" s="1920"/>
    </row>
    <row r="23" spans="1:21" s="1923" customFormat="1">
      <c r="A23" s="1921" t="s">
        <v>4585</v>
      </c>
      <c r="B23" s="1921"/>
      <c r="C23" s="1921"/>
      <c r="D23" s="1921"/>
      <c r="E23" s="1921"/>
      <c r="F23" s="1922"/>
      <c r="G23" s="1921"/>
      <c r="H23" s="1921"/>
      <c r="I23" s="1921"/>
      <c r="J23" s="1921"/>
      <c r="K23" s="1921"/>
      <c r="L23" s="1921"/>
      <c r="M23" s="1921"/>
      <c r="N23" s="1921"/>
      <c r="O23" s="1921"/>
      <c r="P23" s="1921"/>
    </row>
    <row r="24" spans="1:21" s="1923" customFormat="1">
      <c r="A24" s="1924">
        <v>14.32</v>
      </c>
      <c r="B24" s="1921">
        <f>10*A24</f>
        <v>143.19999999999999</v>
      </c>
      <c r="C24" s="1924">
        <v>22.9</v>
      </c>
      <c r="D24" s="1921">
        <f>10*C24</f>
        <v>229</v>
      </c>
      <c r="E24" s="1921"/>
      <c r="F24" s="1924">
        <v>19.32</v>
      </c>
      <c r="G24" s="1921">
        <f>10*F24</f>
        <v>193.2</v>
      </c>
      <c r="H24" s="1921"/>
      <c r="I24" s="1924">
        <v>25.76</v>
      </c>
      <c r="J24" s="1921">
        <f>10*I24</f>
        <v>257.60000000000002</v>
      </c>
      <c r="K24" s="1921"/>
      <c r="L24" s="1924">
        <v>32.18</v>
      </c>
      <c r="M24" s="1921">
        <f>10*L24</f>
        <v>321.8</v>
      </c>
      <c r="N24" s="1921"/>
      <c r="O24" s="1924">
        <v>15.72</v>
      </c>
      <c r="P24" s="1922">
        <f>10*O24</f>
        <v>157.20000000000002</v>
      </c>
    </row>
    <row r="25" spans="1:21" s="1923" customFormat="1">
      <c r="A25" s="1924">
        <v>12.26</v>
      </c>
      <c r="B25" s="1921">
        <f>+B24+10*A25</f>
        <v>265.79999999999995</v>
      </c>
      <c r="C25" s="1924">
        <v>19.579999999999998</v>
      </c>
      <c r="D25" s="1921">
        <f>+D24+10*C25</f>
        <v>424.79999999999995</v>
      </c>
      <c r="E25" s="1921"/>
      <c r="F25" s="1924">
        <v>16.54</v>
      </c>
      <c r="G25" s="1921">
        <f>+G24+10*F25</f>
        <v>358.59999999999997</v>
      </c>
      <c r="H25" s="1921"/>
      <c r="I25" s="1924">
        <v>22.06</v>
      </c>
      <c r="J25" s="1921">
        <f>+J24+10*I25</f>
        <v>478.20000000000005</v>
      </c>
      <c r="K25" s="1921"/>
      <c r="L25" s="1925">
        <v>27.56</v>
      </c>
      <c r="M25" s="1921">
        <f>+M24+10*L25</f>
        <v>597.4</v>
      </c>
      <c r="N25" s="1921"/>
      <c r="O25" s="1924">
        <v>13.46</v>
      </c>
      <c r="P25" s="1921">
        <f>+P24+10*O25</f>
        <v>291.80000000000007</v>
      </c>
    </row>
    <row r="26" spans="1:21" s="1923" customFormat="1">
      <c r="A26" s="1924">
        <v>10.54</v>
      </c>
      <c r="B26" s="1921">
        <f>+B25+20*A26</f>
        <v>476.59999999999991</v>
      </c>
      <c r="C26" s="1924">
        <v>16.86</v>
      </c>
      <c r="D26" s="1921">
        <f>+D25+20*C26</f>
        <v>762</v>
      </c>
      <c r="E26" s="1921"/>
      <c r="F26" s="1924">
        <v>14.2</v>
      </c>
      <c r="G26" s="1921">
        <f>+G25+20*F26</f>
        <v>642.59999999999991</v>
      </c>
      <c r="H26" s="1921"/>
      <c r="I26" s="1924">
        <v>18.98</v>
      </c>
      <c r="J26" s="1921">
        <f>+J25+20*I26</f>
        <v>857.80000000000007</v>
      </c>
      <c r="K26" s="1921"/>
      <c r="L26" s="1924">
        <v>23.7</v>
      </c>
      <c r="M26" s="1921">
        <f>+M25+20*L26</f>
        <v>1071.4000000000001</v>
      </c>
      <c r="N26" s="1921"/>
      <c r="O26" s="1924">
        <v>11.6</v>
      </c>
      <c r="P26" s="1921">
        <f>+P25+20*O26</f>
        <v>523.80000000000007</v>
      </c>
    </row>
    <row r="27" spans="1:21" s="1923" customFormat="1">
      <c r="A27" s="1924">
        <v>9.08</v>
      </c>
      <c r="B27" s="1921">
        <f>+B26+40*A27</f>
        <v>839.8</v>
      </c>
      <c r="C27" s="1924">
        <v>15.82</v>
      </c>
      <c r="D27" s="1921">
        <f>+D26+40*C27</f>
        <v>1394.8</v>
      </c>
      <c r="E27" s="1921"/>
      <c r="F27" s="1924">
        <v>12.26</v>
      </c>
      <c r="G27" s="1921">
        <f>+G26+40*F27</f>
        <v>1133</v>
      </c>
      <c r="H27" s="1921"/>
      <c r="I27" s="1924">
        <v>16.34</v>
      </c>
      <c r="J27" s="1921">
        <f>+J26+40*I27</f>
        <v>1511.4</v>
      </c>
      <c r="K27" s="1921"/>
      <c r="L27" s="1924">
        <v>20.46</v>
      </c>
      <c r="M27" s="1921">
        <f>+M26+40*L27</f>
        <v>1889.8000000000002</v>
      </c>
      <c r="N27" s="1921"/>
      <c r="O27" s="1924">
        <v>10.02</v>
      </c>
      <c r="P27" s="1921">
        <f>+P26+40*O27</f>
        <v>924.6</v>
      </c>
    </row>
    <row r="28" spans="1:21" s="1923" customFormat="1">
      <c r="A28" s="1924">
        <v>8.2799999999999994</v>
      </c>
      <c r="B28" s="1921">
        <f>+B27+40*A28</f>
        <v>1171</v>
      </c>
      <c r="C28" s="1924">
        <v>13.26</v>
      </c>
      <c r="D28" s="1921">
        <f>+D27+40*C28</f>
        <v>1925.1999999999998</v>
      </c>
      <c r="E28" s="1921"/>
      <c r="F28" s="1924">
        <v>11.22</v>
      </c>
      <c r="G28" s="1921">
        <f>+G27+40*F28</f>
        <v>1581.8</v>
      </c>
      <c r="H28" s="1921"/>
      <c r="I28" s="1924">
        <v>14.92</v>
      </c>
      <c r="J28" s="1921">
        <f>+J27+40*I28</f>
        <v>2108.1999999999998</v>
      </c>
      <c r="K28" s="1921"/>
      <c r="L28" s="1924">
        <v>18.66</v>
      </c>
      <c r="M28" s="1921">
        <f>+M27+40*L28</f>
        <v>2636.2000000000003</v>
      </c>
      <c r="N28" s="1921"/>
      <c r="O28" s="1924">
        <v>9.1199999999999992</v>
      </c>
      <c r="P28" s="1921">
        <f>+P27+40*O28</f>
        <v>1289.4000000000001</v>
      </c>
    </row>
    <row r="29" spans="1:21" s="1923" customFormat="1">
      <c r="A29" s="1921"/>
      <c r="B29" s="1921"/>
      <c r="C29" s="1921"/>
      <c r="D29" s="1921"/>
      <c r="E29" s="1921"/>
      <c r="F29" s="1921"/>
      <c r="G29" s="1921"/>
      <c r="H29" s="1921"/>
      <c r="I29" s="1921"/>
      <c r="J29" s="1921"/>
      <c r="K29" s="1921"/>
      <c r="L29" s="1921"/>
      <c r="M29" s="1921"/>
      <c r="N29" s="1921"/>
      <c r="O29" s="1921"/>
      <c r="P29" s="1921"/>
    </row>
    <row r="30" spans="1:21" s="1923" customFormat="1">
      <c r="A30" s="1986" t="s">
        <v>278</v>
      </c>
      <c r="B30" s="1986"/>
      <c r="C30" s="1986" t="s">
        <v>4586</v>
      </c>
      <c r="D30" s="1986"/>
      <c r="E30" s="1926"/>
      <c r="F30" s="1987" t="s">
        <v>4587</v>
      </c>
      <c r="G30" s="1987"/>
      <c r="H30" s="1921"/>
      <c r="I30" s="1986" t="s">
        <v>4588</v>
      </c>
      <c r="J30" s="1986"/>
      <c r="K30" s="1921"/>
      <c r="L30" s="1921"/>
      <c r="M30" s="1921"/>
      <c r="N30" s="1921"/>
      <c r="O30" s="1921"/>
      <c r="P30" s="1921"/>
    </row>
    <row r="31" spans="1:21" s="1923" customFormat="1">
      <c r="A31" s="1921">
        <v>0</v>
      </c>
      <c r="B31" s="1922">
        <f>A31*A24</f>
        <v>0</v>
      </c>
      <c r="C31" s="1921">
        <v>0</v>
      </c>
      <c r="D31" s="1922">
        <f>C31*C24</f>
        <v>0</v>
      </c>
      <c r="E31" s="1921"/>
      <c r="F31" s="1921">
        <v>0</v>
      </c>
      <c r="G31" s="1922">
        <f>F31*F24</f>
        <v>0</v>
      </c>
      <c r="H31" s="1922"/>
      <c r="I31" s="1921">
        <v>0</v>
      </c>
      <c r="J31" s="1922">
        <f>I31*I24</f>
        <v>0</v>
      </c>
      <c r="K31" s="1921"/>
      <c r="L31" s="1921">
        <v>0</v>
      </c>
      <c r="M31" s="1922">
        <f>L31*L24</f>
        <v>0</v>
      </c>
      <c r="N31" s="1921"/>
      <c r="O31" s="1921">
        <v>0</v>
      </c>
      <c r="P31" s="1922">
        <f>O31*O24</f>
        <v>0</v>
      </c>
    </row>
    <row r="32" spans="1:21" s="1923" customFormat="1">
      <c r="A32" s="1921">
        <v>0</v>
      </c>
      <c r="B32" s="1922">
        <f>A32*A25</f>
        <v>0</v>
      </c>
      <c r="C32" s="1921">
        <v>10</v>
      </c>
      <c r="D32" s="1922">
        <f>C32*C25</f>
        <v>195.79999999999998</v>
      </c>
      <c r="E32" s="1921"/>
      <c r="F32" s="1921">
        <v>0</v>
      </c>
      <c r="G32" s="1922">
        <f>F32*F25</f>
        <v>0</v>
      </c>
      <c r="H32" s="1922"/>
      <c r="I32" s="1921">
        <v>0</v>
      </c>
      <c r="J32" s="1922">
        <f>I32*I25</f>
        <v>0</v>
      </c>
      <c r="K32" s="1921"/>
      <c r="L32" s="1921">
        <v>0</v>
      </c>
      <c r="M32" s="1922">
        <f>L32*L25</f>
        <v>0</v>
      </c>
      <c r="N32" s="1921"/>
      <c r="O32" s="1921">
        <v>0</v>
      </c>
      <c r="P32" s="1922">
        <f>O32*O25</f>
        <v>0</v>
      </c>
    </row>
    <row r="33" spans="1:16" s="1923" customFormat="1">
      <c r="A33" s="1921">
        <v>0</v>
      </c>
      <c r="B33" s="1922">
        <f>A33*A26</f>
        <v>0</v>
      </c>
      <c r="C33" s="1921">
        <v>20</v>
      </c>
      <c r="D33" s="1922">
        <f>C33*C26</f>
        <v>337.2</v>
      </c>
      <c r="E33" s="1927"/>
      <c r="F33" s="1921">
        <v>5</v>
      </c>
      <c r="G33" s="1922">
        <f>F33*F26</f>
        <v>71</v>
      </c>
      <c r="H33" s="1921"/>
      <c r="I33" s="1921">
        <v>0</v>
      </c>
      <c r="J33" s="1922">
        <f>I33*I26</f>
        <v>0</v>
      </c>
      <c r="K33" s="1921"/>
      <c r="L33" s="1921">
        <v>5</v>
      </c>
      <c r="M33" s="1922">
        <f>L33*L26</f>
        <v>118.5</v>
      </c>
      <c r="N33" s="1921"/>
      <c r="O33" s="1921">
        <v>5</v>
      </c>
      <c r="P33" s="1922">
        <f>O33*O26</f>
        <v>58</v>
      </c>
    </row>
    <row r="34" spans="1:16" s="1923" customFormat="1">
      <c r="A34" s="1921">
        <v>0</v>
      </c>
      <c r="B34" s="1928">
        <f>A34*A27</f>
        <v>0</v>
      </c>
      <c r="C34" s="1921">
        <v>21</v>
      </c>
      <c r="D34" s="1922">
        <f>C34*C27</f>
        <v>332.22</v>
      </c>
      <c r="E34" s="1921"/>
      <c r="F34" s="1921">
        <v>40</v>
      </c>
      <c r="G34" s="1922">
        <f>F34*F27</f>
        <v>490.4</v>
      </c>
      <c r="H34" s="1922"/>
      <c r="I34" s="1921">
        <v>0</v>
      </c>
      <c r="J34" s="1922">
        <f>I34*I27</f>
        <v>0</v>
      </c>
      <c r="K34" s="1921"/>
      <c r="L34" s="1921">
        <v>40</v>
      </c>
      <c r="M34" s="1922">
        <f>L34*L27</f>
        <v>818.40000000000009</v>
      </c>
      <c r="N34" s="1921"/>
      <c r="O34" s="1921">
        <v>40</v>
      </c>
      <c r="P34" s="1922">
        <f>O34*O27</f>
        <v>400.79999999999995</v>
      </c>
    </row>
    <row r="35" spans="1:16" s="1923" customFormat="1">
      <c r="A35" s="1921">
        <v>0</v>
      </c>
      <c r="B35" s="1922">
        <f>A35*A28</f>
        <v>0</v>
      </c>
      <c r="C35" s="1921"/>
      <c r="D35" s="1922">
        <f>C35*C28</f>
        <v>0</v>
      </c>
      <c r="E35" s="1921"/>
      <c r="F35" s="1921">
        <v>6</v>
      </c>
      <c r="G35" s="1922">
        <f>F35*F28</f>
        <v>67.320000000000007</v>
      </c>
      <c r="H35" s="1921"/>
      <c r="I35" s="1921">
        <v>0</v>
      </c>
      <c r="J35" s="1922">
        <f>I35*I28</f>
        <v>0</v>
      </c>
      <c r="K35" s="1921"/>
      <c r="L35" s="1921">
        <v>6</v>
      </c>
      <c r="M35" s="1922">
        <f>L35*L28</f>
        <v>111.96000000000001</v>
      </c>
      <c r="N35" s="1921"/>
      <c r="O35" s="1921">
        <v>6</v>
      </c>
      <c r="P35" s="1922">
        <f>O35*O28</f>
        <v>54.72</v>
      </c>
    </row>
    <row r="36" spans="1:16" s="1923" customFormat="1">
      <c r="A36" s="1921">
        <f>SUM(A31:A35)</f>
        <v>0</v>
      </c>
      <c r="B36" s="1928">
        <f>SUM(B31:B35)</f>
        <v>0</v>
      </c>
      <c r="C36" s="1921">
        <f>SUM(C31:C35)</f>
        <v>51</v>
      </c>
      <c r="D36" s="1928">
        <f>SUM(D31:D35)</f>
        <v>865.22</v>
      </c>
      <c r="E36" s="1921"/>
      <c r="F36" s="1921">
        <f>SUM(F31:F35)</f>
        <v>51</v>
      </c>
      <c r="G36" s="1928">
        <f>SUM(G31:G35)</f>
        <v>628.72</v>
      </c>
      <c r="H36" s="1921"/>
      <c r="I36" s="1921">
        <f>SUM(I31:I35)</f>
        <v>0</v>
      </c>
      <c r="J36" s="1928">
        <f>SUM(J31:J35)</f>
        <v>0</v>
      </c>
      <c r="K36" s="1921"/>
      <c r="L36" s="1921">
        <f>SUM(L31:L35)</f>
        <v>51</v>
      </c>
      <c r="M36" s="1928">
        <f>SUM(M31:M35)</f>
        <v>1048.8600000000001</v>
      </c>
      <c r="N36" s="1921"/>
      <c r="O36" s="1921">
        <f>SUM(O31:O35)</f>
        <v>51</v>
      </c>
      <c r="P36" s="1928">
        <f>SUM(P31:P35)</f>
        <v>513.52</v>
      </c>
    </row>
    <row r="37" spans="1:16" s="1923" customFormat="1">
      <c r="A37" s="1921"/>
      <c r="B37" s="1921"/>
      <c r="C37" s="1986" t="s">
        <v>4589</v>
      </c>
      <c r="D37" s="1986"/>
      <c r="E37" s="1921"/>
      <c r="F37" s="1921"/>
      <c r="G37" s="1921"/>
      <c r="H37" s="1922"/>
      <c r="I37" s="1921"/>
      <c r="J37" s="1921"/>
      <c r="K37" s="1921"/>
      <c r="L37" s="1921"/>
      <c r="M37" s="1921"/>
      <c r="N37" s="1921"/>
      <c r="O37" s="1921" t="s">
        <v>4590</v>
      </c>
      <c r="P37" s="1921"/>
    </row>
    <row r="38" spans="1:16" s="1923" customFormat="1">
      <c r="A38" s="1921"/>
      <c r="B38" s="1921"/>
      <c r="C38" s="1921">
        <v>0</v>
      </c>
      <c r="D38" s="1922">
        <f>C38*C24</f>
        <v>0</v>
      </c>
      <c r="E38" s="1921"/>
      <c r="F38" s="1921"/>
      <c r="G38" s="1921"/>
      <c r="H38" s="1921"/>
      <c r="I38" s="1921"/>
      <c r="J38" s="1921"/>
      <c r="K38" s="1921"/>
      <c r="L38" s="1921"/>
      <c r="M38" s="1921"/>
      <c r="N38" s="1921"/>
      <c r="O38" s="1921">
        <v>0</v>
      </c>
      <c r="P38" s="1922">
        <f>O38*O24</f>
        <v>0</v>
      </c>
    </row>
    <row r="39" spans="1:16" s="1923" customFormat="1">
      <c r="A39" s="1921"/>
      <c r="B39" s="1921"/>
      <c r="C39" s="1921">
        <v>0</v>
      </c>
      <c r="D39" s="1922">
        <f>C39*C25</f>
        <v>0</v>
      </c>
      <c r="E39" s="1921"/>
      <c r="F39" s="1921">
        <f>124-F36</f>
        <v>73</v>
      </c>
      <c r="G39" s="1921"/>
      <c r="H39" s="1921"/>
      <c r="I39" s="1921"/>
      <c r="J39" s="1922"/>
      <c r="K39" s="1922"/>
      <c r="L39" s="1921"/>
      <c r="M39" s="1921"/>
      <c r="N39" s="1921"/>
      <c r="O39" s="1921">
        <v>10</v>
      </c>
      <c r="P39" s="1922">
        <f>O39*O25</f>
        <v>134.60000000000002</v>
      </c>
    </row>
    <row r="40" spans="1:16" s="1923" customFormat="1">
      <c r="A40" s="1921"/>
      <c r="B40" s="1921"/>
      <c r="C40" s="1921">
        <v>0</v>
      </c>
      <c r="D40" s="1922">
        <f>C40*C26</f>
        <v>0</v>
      </c>
      <c r="E40" s="1921"/>
      <c r="F40" s="1921"/>
      <c r="G40" s="1921"/>
      <c r="H40" s="1921"/>
      <c r="I40" s="1921"/>
      <c r="J40" s="1922"/>
      <c r="K40" s="1921"/>
      <c r="L40" s="1921"/>
      <c r="M40" s="1921"/>
      <c r="N40" s="1921"/>
      <c r="O40" s="1921">
        <v>0</v>
      </c>
      <c r="P40" s="1922">
        <f>O40*O26</f>
        <v>0</v>
      </c>
    </row>
    <row r="41" spans="1:16" s="1923" customFormat="1">
      <c r="A41" s="1921"/>
      <c r="B41" s="1921"/>
      <c r="C41" s="1921">
        <v>0</v>
      </c>
      <c r="D41" s="1922">
        <f>C41*C27</f>
        <v>0</v>
      </c>
      <c r="E41" s="1921"/>
      <c r="F41" s="1921"/>
      <c r="G41" s="1921"/>
      <c r="H41" s="1921"/>
      <c r="I41" s="1921"/>
      <c r="J41" s="1922"/>
      <c r="K41" s="1921"/>
      <c r="L41" s="1921"/>
      <c r="M41" s="1921"/>
      <c r="N41" s="1921"/>
      <c r="O41" s="1921">
        <v>0</v>
      </c>
      <c r="P41" s="1922">
        <f>O41*O27</f>
        <v>0</v>
      </c>
    </row>
    <row r="42" spans="1:16" s="1923" customFormat="1">
      <c r="A42" s="1921"/>
      <c r="B42" s="1921"/>
      <c r="C42" s="1921">
        <v>0</v>
      </c>
      <c r="D42" s="1922">
        <f>C42*C28</f>
        <v>0</v>
      </c>
      <c r="E42" s="1921"/>
      <c r="F42" s="1921"/>
      <c r="G42" s="1921"/>
      <c r="H42" s="1921"/>
      <c r="I42" s="1921"/>
      <c r="J42" s="1922"/>
      <c r="K42" s="1921"/>
      <c r="L42" s="1921"/>
      <c r="M42" s="1921"/>
      <c r="N42" s="1921"/>
      <c r="O42" s="1921">
        <v>0</v>
      </c>
      <c r="P42" s="1922">
        <f>O42*O28</f>
        <v>0</v>
      </c>
    </row>
    <row r="43" spans="1:16" s="1923" customFormat="1">
      <c r="A43" s="1921"/>
      <c r="B43" s="1921"/>
      <c r="C43" s="1921">
        <f>SUM(C39:C42)</f>
        <v>0</v>
      </c>
      <c r="D43" s="1928">
        <f>SUM(D38:D42)</f>
        <v>0</v>
      </c>
      <c r="E43" s="1921"/>
      <c r="F43" s="1921"/>
      <c r="G43" s="1921"/>
      <c r="H43" s="1921"/>
      <c r="I43" s="1921"/>
      <c r="J43" s="1922"/>
      <c r="K43" s="1921"/>
      <c r="L43" s="1921"/>
      <c r="M43" s="1921"/>
      <c r="N43" s="1921"/>
      <c r="O43" s="1921">
        <f>SUM(O38:O42)</f>
        <v>10</v>
      </c>
      <c r="P43" s="1928">
        <f>SUM(P38:P42)</f>
        <v>134.60000000000002</v>
      </c>
    </row>
    <row r="44" spans="1:16" s="1923" customFormat="1">
      <c r="A44" s="1921"/>
      <c r="B44" s="1921"/>
      <c r="C44" s="1929" t="s">
        <v>4591</v>
      </c>
      <c r="D44" s="1921"/>
      <c r="E44" s="1921"/>
      <c r="F44" s="1921"/>
      <c r="G44" s="1921"/>
      <c r="H44" s="1921"/>
      <c r="I44" s="1921"/>
      <c r="J44" s="1922"/>
      <c r="K44" s="1921"/>
      <c r="L44" s="1921"/>
      <c r="M44" s="1921"/>
      <c r="N44" s="1921"/>
      <c r="O44" s="1921"/>
      <c r="P44" s="1921"/>
    </row>
    <row r="45" spans="1:16" s="1923" customFormat="1">
      <c r="A45" s="1921"/>
      <c r="B45" s="1921"/>
      <c r="C45" s="1921">
        <v>6</v>
      </c>
      <c r="D45" s="1922">
        <f>C45*C24</f>
        <v>137.39999999999998</v>
      </c>
      <c r="E45" s="1921"/>
      <c r="F45" s="1921"/>
      <c r="G45" s="1921"/>
      <c r="H45" s="1921"/>
      <c r="I45" s="1921"/>
      <c r="J45" s="1922"/>
      <c r="K45" s="1921"/>
      <c r="L45" s="1921"/>
      <c r="M45" s="1921"/>
      <c r="N45" s="1921"/>
      <c r="O45" s="1921"/>
      <c r="P45" s="1921"/>
    </row>
    <row r="46" spans="1:16" s="1923" customFormat="1">
      <c r="A46" s="1921"/>
      <c r="B46" s="1921"/>
      <c r="C46" s="1921">
        <v>10</v>
      </c>
      <c r="D46" s="1922">
        <f>C46*C25</f>
        <v>195.79999999999998</v>
      </c>
      <c r="E46" s="1921"/>
      <c r="F46" s="1921"/>
      <c r="G46" s="1921"/>
      <c r="H46" s="1921"/>
      <c r="I46" s="1921"/>
      <c r="J46" s="1922"/>
      <c r="K46" s="1921"/>
      <c r="L46" s="1921"/>
      <c r="M46" s="1921"/>
      <c r="N46" s="1921"/>
      <c r="O46" s="1921"/>
      <c r="P46" s="1921"/>
    </row>
    <row r="47" spans="1:16" s="1923" customFormat="1">
      <c r="A47" s="1921"/>
      <c r="B47" s="1921"/>
      <c r="C47" s="1921">
        <v>20</v>
      </c>
      <c r="D47" s="1922">
        <f>C47*C26</f>
        <v>337.2</v>
      </c>
      <c r="E47" s="1921"/>
      <c r="F47" s="1921"/>
      <c r="G47" s="1921"/>
      <c r="H47" s="1921"/>
      <c r="I47" s="1921"/>
      <c r="J47" s="1921"/>
      <c r="K47" s="1921"/>
      <c r="L47" s="1921"/>
      <c r="M47" s="1921"/>
      <c r="N47" s="1921"/>
      <c r="O47" s="1921"/>
      <c r="P47" s="1921"/>
    </row>
    <row r="48" spans="1:16" s="1923" customFormat="1">
      <c r="A48" s="1921"/>
      <c r="B48" s="1921"/>
      <c r="C48" s="1921">
        <v>15</v>
      </c>
      <c r="D48" s="1922">
        <f>C48*C27</f>
        <v>237.3</v>
      </c>
      <c r="E48" s="1921"/>
      <c r="F48" s="1921"/>
      <c r="G48" s="1921"/>
      <c r="H48" s="1921"/>
      <c r="I48" s="1921"/>
      <c r="J48" s="1921"/>
      <c r="K48" s="1921"/>
      <c r="L48" s="1921"/>
      <c r="M48" s="1921"/>
      <c r="N48" s="1921"/>
      <c r="O48" s="1921"/>
      <c r="P48" s="1921"/>
    </row>
    <row r="49" spans="1:16" s="1923" customFormat="1">
      <c r="A49" s="1921"/>
      <c r="B49" s="1921"/>
      <c r="C49" s="1921"/>
      <c r="D49" s="1922">
        <f>C49*C28</f>
        <v>0</v>
      </c>
      <c r="E49" s="1921"/>
      <c r="F49" s="1921"/>
      <c r="G49" s="1921"/>
      <c r="H49" s="1921"/>
      <c r="I49" s="1921"/>
      <c r="J49" s="1921"/>
      <c r="K49" s="1921"/>
      <c r="L49" s="1921"/>
      <c r="M49" s="1921"/>
      <c r="N49" s="1921"/>
      <c r="O49" s="1921"/>
      <c r="P49" s="1921"/>
    </row>
    <row r="50" spans="1:16" s="1923" customFormat="1">
      <c r="A50" s="1921"/>
      <c r="B50" s="1921"/>
      <c r="C50" s="1921">
        <f>SUM(C45:C49)</f>
        <v>51</v>
      </c>
      <c r="D50" s="1928">
        <f>SUM(D45:D49)</f>
        <v>907.69999999999982</v>
      </c>
      <c r="E50" s="1921"/>
      <c r="F50" s="1921"/>
      <c r="G50" s="1921"/>
      <c r="H50" s="1921"/>
      <c r="I50" s="1921"/>
      <c r="J50" s="1921"/>
      <c r="K50" s="1921"/>
      <c r="L50" s="1921"/>
      <c r="M50" s="1921"/>
      <c r="N50" s="1921"/>
      <c r="O50" s="1921"/>
      <c r="P50" s="1921"/>
    </row>
    <row r="51" spans="1:16" s="1923" customFormat="1">
      <c r="A51" s="1921"/>
      <c r="B51" s="1921"/>
      <c r="C51" s="1921"/>
      <c r="D51" s="1921"/>
      <c r="E51" s="1921"/>
      <c r="F51" s="1921"/>
      <c r="G51" s="1921"/>
      <c r="H51" s="1921"/>
      <c r="I51" s="1921"/>
      <c r="J51" s="1921"/>
      <c r="K51" s="1921"/>
      <c r="L51" s="1921"/>
      <c r="M51" s="1921"/>
      <c r="N51" s="1921"/>
      <c r="O51" s="1921"/>
      <c r="P51" s="1921"/>
    </row>
    <row r="52" spans="1:16" s="1923" customFormat="1">
      <c r="A52" s="1921"/>
      <c r="B52" s="1921"/>
      <c r="C52" s="1929" t="s">
        <v>4584</v>
      </c>
      <c r="D52" s="1921"/>
      <c r="E52" s="1921"/>
      <c r="F52" s="1921"/>
      <c r="G52" s="1921"/>
      <c r="H52" s="1921"/>
      <c r="I52" s="1921"/>
      <c r="J52" s="1921"/>
      <c r="K52" s="1921"/>
      <c r="L52" s="1921"/>
      <c r="M52" s="1921"/>
      <c r="N52" s="1921"/>
      <c r="O52" s="1921"/>
      <c r="P52" s="1921"/>
    </row>
    <row r="53" spans="1:16" s="1923" customFormat="1">
      <c r="A53" s="1921"/>
      <c r="B53" s="1921"/>
      <c r="C53" s="1921">
        <v>0</v>
      </c>
      <c r="D53" s="1922">
        <f>C53*C24</f>
        <v>0</v>
      </c>
      <c r="E53" s="1921"/>
      <c r="F53" s="1921"/>
      <c r="G53" s="1921"/>
      <c r="H53" s="1921"/>
      <c r="I53" s="1921"/>
      <c r="J53" s="1921"/>
      <c r="K53" s="1921"/>
      <c r="L53" s="1921"/>
      <c r="M53" s="1921"/>
      <c r="N53" s="1921"/>
      <c r="O53" s="1921"/>
      <c r="P53" s="1921"/>
    </row>
    <row r="54" spans="1:16" s="1923" customFormat="1">
      <c r="A54" s="1921"/>
      <c r="B54" s="1921"/>
      <c r="C54" s="1921">
        <v>0</v>
      </c>
      <c r="D54" s="1922">
        <f>C54*C25</f>
        <v>0</v>
      </c>
      <c r="E54" s="1921"/>
      <c r="F54" s="1921"/>
      <c r="G54" s="1921"/>
      <c r="H54" s="1921"/>
      <c r="I54" s="1921"/>
      <c r="J54" s="1921"/>
      <c r="K54" s="1921"/>
      <c r="L54" s="1921"/>
      <c r="M54" s="1921"/>
      <c r="N54" s="1921"/>
      <c r="O54" s="1921"/>
      <c r="P54" s="1921"/>
    </row>
    <row r="55" spans="1:16" s="1923" customFormat="1">
      <c r="A55" s="1921"/>
      <c r="B55" s="1921"/>
      <c r="C55" s="1921">
        <v>0</v>
      </c>
      <c r="D55" s="1922">
        <f>C55*C26</f>
        <v>0</v>
      </c>
      <c r="E55" s="1921"/>
      <c r="F55" s="1921"/>
      <c r="G55" s="1921"/>
      <c r="H55" s="1921"/>
      <c r="I55" s="1921"/>
      <c r="J55" s="1921"/>
      <c r="K55" s="1921"/>
      <c r="L55" s="1921"/>
      <c r="M55" s="1921"/>
      <c r="N55" s="1921"/>
      <c r="O55" s="1921"/>
      <c r="P55" s="1921"/>
    </row>
    <row r="56" spans="1:16" s="1923" customFormat="1">
      <c r="A56" s="1921"/>
      <c r="B56" s="1921"/>
      <c r="C56" s="1921">
        <v>0</v>
      </c>
      <c r="D56" s="1922">
        <f>C56*C27</f>
        <v>0</v>
      </c>
      <c r="E56" s="1921"/>
      <c r="F56" s="1921"/>
      <c r="G56" s="1921"/>
      <c r="H56" s="1921"/>
      <c r="I56" s="1921"/>
      <c r="J56" s="1921"/>
      <c r="K56" s="1921"/>
      <c r="L56" s="1921"/>
      <c r="M56" s="1921"/>
      <c r="N56" s="1921"/>
      <c r="O56" s="1921"/>
      <c r="P56" s="1921"/>
    </row>
    <row r="57" spans="1:16" s="1923" customFormat="1">
      <c r="A57" s="1921"/>
      <c r="B57" s="1921"/>
      <c r="C57" s="1921"/>
      <c r="D57" s="1922">
        <f>C57*C28</f>
        <v>0</v>
      </c>
      <c r="E57" s="1921"/>
      <c r="F57" s="1921"/>
      <c r="G57" s="1921"/>
      <c r="H57" s="1921"/>
      <c r="I57" s="1921"/>
      <c r="J57" s="1921"/>
      <c r="K57" s="1921"/>
      <c r="L57" s="1921"/>
      <c r="M57" s="1921"/>
      <c r="N57" s="1921"/>
      <c r="O57" s="1921"/>
      <c r="P57" s="1921"/>
    </row>
    <row r="58" spans="1:16" s="1923" customFormat="1">
      <c r="A58" s="1921"/>
      <c r="B58" s="1921"/>
      <c r="C58" s="1921">
        <f>SUM(C53:C57)</f>
        <v>0</v>
      </c>
      <c r="D58" s="1928">
        <f>SUM(D53:D57)</f>
        <v>0</v>
      </c>
      <c r="E58" s="1921"/>
      <c r="F58" s="1921"/>
      <c r="G58" s="1921"/>
      <c r="H58" s="1921"/>
      <c r="I58" s="1921"/>
      <c r="J58" s="1921"/>
      <c r="K58" s="1921"/>
      <c r="L58" s="1921"/>
      <c r="M58" s="1921"/>
      <c r="N58" s="1921"/>
      <c r="O58" s="1921"/>
      <c r="P58" s="1921"/>
    </row>
    <row r="59" spans="1:16">
      <c r="G59" s="1920"/>
    </row>
    <row r="60" spans="1:16">
      <c r="G60" s="1920"/>
    </row>
    <row r="61" spans="1:16">
      <c r="G61" s="1920"/>
    </row>
    <row r="62" spans="1:16">
      <c r="G62" s="1920"/>
    </row>
    <row r="63" spans="1:16">
      <c r="G63" s="1920"/>
    </row>
    <row r="64" spans="1:16">
      <c r="G64" s="1920"/>
    </row>
    <row r="65" spans="7:7">
      <c r="G65" s="1920"/>
    </row>
    <row r="66" spans="7:7">
      <c r="G66" s="1920"/>
    </row>
    <row r="67" spans="7:7">
      <c r="G67" s="1920"/>
    </row>
    <row r="68" spans="7:7">
      <c r="G68" s="1920"/>
    </row>
    <row r="69" spans="7:7">
      <c r="G69" s="1920"/>
    </row>
    <row r="70" spans="7:7">
      <c r="G70" s="1920"/>
    </row>
    <row r="71" spans="7:7">
      <c r="G71" s="1920"/>
    </row>
    <row r="72" spans="7:7">
      <c r="G72" s="1920"/>
    </row>
    <row r="73" spans="7:7">
      <c r="G73" s="1920"/>
    </row>
    <row r="74" spans="7:7">
      <c r="G74" s="1920"/>
    </row>
    <row r="75" spans="7:7">
      <c r="G75" s="1920"/>
    </row>
    <row r="76" spans="7:7">
      <c r="G76" s="1920"/>
    </row>
    <row r="77" spans="7:7">
      <c r="G77" s="1920"/>
    </row>
    <row r="78" spans="7:7">
      <c r="G78" s="1920"/>
    </row>
    <row r="79" spans="7:7">
      <c r="G79" s="1920"/>
    </row>
    <row r="80" spans="7:7">
      <c r="G80" s="1920"/>
    </row>
    <row r="81" spans="7:7">
      <c r="G81" s="1920"/>
    </row>
    <row r="82" spans="7:7">
      <c r="G82" s="1920"/>
    </row>
    <row r="83" spans="7:7">
      <c r="G83" s="1920"/>
    </row>
    <row r="84" spans="7:7">
      <c r="G84" s="1920"/>
    </row>
    <row r="85" spans="7:7">
      <c r="G85" s="1920"/>
    </row>
    <row r="86" spans="7:7">
      <c r="G86" s="1920"/>
    </row>
    <row r="87" spans="7:7">
      <c r="G87" s="1920"/>
    </row>
    <row r="88" spans="7:7">
      <c r="G88" s="1920"/>
    </row>
    <row r="89" spans="7:7">
      <c r="G89" s="1920"/>
    </row>
    <row r="90" spans="7:7">
      <c r="G90" s="1920"/>
    </row>
    <row r="91" spans="7:7">
      <c r="G91" s="1920"/>
    </row>
    <row r="92" spans="7:7">
      <c r="G92" s="1920"/>
    </row>
    <row r="93" spans="7:7">
      <c r="G93" s="1920"/>
    </row>
    <row r="94" spans="7:7">
      <c r="G94" s="1920"/>
    </row>
    <row r="95" spans="7:7">
      <c r="G95" s="1920"/>
    </row>
    <row r="96" spans="7:7">
      <c r="G96" s="1920"/>
    </row>
    <row r="97" spans="1:16">
      <c r="G97" s="1920"/>
    </row>
    <row r="98" spans="1:16">
      <c r="G98" s="1920"/>
    </row>
    <row r="99" spans="1:16">
      <c r="G99" s="1920"/>
    </row>
    <row r="100" spans="1:16">
      <c r="G100" s="1920"/>
    </row>
    <row r="101" spans="1:16">
      <c r="G101" s="1920"/>
    </row>
    <row r="102" spans="1:16">
      <c r="G102" s="1920"/>
    </row>
    <row r="103" spans="1:16">
      <c r="G103" s="1920"/>
    </row>
    <row r="104" spans="1:16">
      <c r="G104" s="1920"/>
    </row>
    <row r="105" spans="1:16">
      <c r="G105" s="1920"/>
    </row>
    <row r="106" spans="1:16" s="1923" customFormat="1">
      <c r="A106" s="1921" t="s">
        <v>4585</v>
      </c>
      <c r="B106" s="1921"/>
      <c r="C106" s="1921"/>
      <c r="D106" s="1921"/>
      <c r="E106" s="1921"/>
      <c r="F106" s="1922"/>
      <c r="G106" s="1921"/>
      <c r="H106" s="1921"/>
      <c r="I106" s="1921"/>
      <c r="J106" s="1921"/>
      <c r="K106" s="1921"/>
      <c r="L106" s="1921"/>
      <c r="M106" s="1921"/>
      <c r="N106" s="1921"/>
      <c r="O106" s="1921"/>
      <c r="P106" s="1921"/>
    </row>
    <row r="107" spans="1:16" s="1923" customFormat="1">
      <c r="A107" s="1924">
        <v>14.32</v>
      </c>
      <c r="B107" s="1921">
        <f>10*A107</f>
        <v>143.19999999999999</v>
      </c>
      <c r="C107" s="1924">
        <v>22.9</v>
      </c>
      <c r="D107" s="1921">
        <f>10*C107</f>
        <v>229</v>
      </c>
      <c r="E107" s="1921"/>
      <c r="F107" s="1924">
        <v>19.32</v>
      </c>
      <c r="G107" s="1921">
        <f>10*F107</f>
        <v>193.2</v>
      </c>
      <c r="H107" s="1921"/>
      <c r="I107" s="1924">
        <v>25.76</v>
      </c>
      <c r="J107" s="1921">
        <f>10*I107</f>
        <v>257.60000000000002</v>
      </c>
      <c r="K107" s="1921"/>
      <c r="L107" s="1924">
        <v>32.18</v>
      </c>
      <c r="M107" s="1921">
        <f>10*L107</f>
        <v>321.8</v>
      </c>
      <c r="N107" s="1921"/>
      <c r="O107" s="1924">
        <v>15.72</v>
      </c>
      <c r="P107" s="1922">
        <f>10*O107</f>
        <v>157.20000000000002</v>
      </c>
    </row>
    <row r="108" spans="1:16" s="1923" customFormat="1">
      <c r="A108" s="1924">
        <v>12.26</v>
      </c>
      <c r="B108" s="1921">
        <f>+B107+10*A108</f>
        <v>265.79999999999995</v>
      </c>
      <c r="C108" s="1924">
        <v>19.579999999999998</v>
      </c>
      <c r="D108" s="1921">
        <f>+D107+10*C108</f>
        <v>424.79999999999995</v>
      </c>
      <c r="E108" s="1921"/>
      <c r="F108" s="1924">
        <v>16.54</v>
      </c>
      <c r="G108" s="1921">
        <f>+G107+10*F108</f>
        <v>358.59999999999997</v>
      </c>
      <c r="H108" s="1921"/>
      <c r="I108" s="1924">
        <v>22.06</v>
      </c>
      <c r="J108" s="1921">
        <f>+J107+10*I108</f>
        <v>478.20000000000005</v>
      </c>
      <c r="K108" s="1921"/>
      <c r="L108" s="1925">
        <v>27.56</v>
      </c>
      <c r="M108" s="1921">
        <f>+M107+10*L108</f>
        <v>597.4</v>
      </c>
      <c r="N108" s="1921"/>
      <c r="O108" s="1924">
        <v>13.46</v>
      </c>
      <c r="P108" s="1921">
        <f>+P107+10*O108</f>
        <v>291.80000000000007</v>
      </c>
    </row>
    <row r="109" spans="1:16" s="1923" customFormat="1">
      <c r="A109" s="1924">
        <v>10.54</v>
      </c>
      <c r="B109" s="1921">
        <f>+B108+20*A109</f>
        <v>476.59999999999991</v>
      </c>
      <c r="C109" s="1924">
        <v>16.86</v>
      </c>
      <c r="D109" s="1921">
        <f>+D108+20*C109</f>
        <v>762</v>
      </c>
      <c r="E109" s="1921"/>
      <c r="F109" s="1924">
        <v>14.2</v>
      </c>
      <c r="G109" s="1921">
        <f>+G108+20*F109</f>
        <v>642.59999999999991</v>
      </c>
      <c r="H109" s="1921"/>
      <c r="I109" s="1924">
        <v>18.98</v>
      </c>
      <c r="J109" s="1921">
        <f>+J108+20*I109</f>
        <v>857.80000000000007</v>
      </c>
      <c r="K109" s="1921"/>
      <c r="L109" s="1924">
        <v>23.7</v>
      </c>
      <c r="M109" s="1921">
        <f>+M108+20*L109</f>
        <v>1071.4000000000001</v>
      </c>
      <c r="N109" s="1921"/>
      <c r="O109" s="1924">
        <v>11.6</v>
      </c>
      <c r="P109" s="1921">
        <f>+P108+20*O109</f>
        <v>523.80000000000007</v>
      </c>
    </row>
    <row r="110" spans="1:16" s="1923" customFormat="1">
      <c r="A110" s="1924">
        <v>9.08</v>
      </c>
      <c r="B110" s="1921">
        <f>+B109+40*A110</f>
        <v>839.8</v>
      </c>
      <c r="C110" s="1924">
        <v>15.82</v>
      </c>
      <c r="D110" s="1921">
        <f>+D109+40*C110</f>
        <v>1394.8</v>
      </c>
      <c r="E110" s="1921"/>
      <c r="F110" s="1924">
        <v>12.26</v>
      </c>
      <c r="G110" s="1921">
        <f>+G109+40*F110</f>
        <v>1133</v>
      </c>
      <c r="H110" s="1921"/>
      <c r="I110" s="1924">
        <v>16.34</v>
      </c>
      <c r="J110" s="1921">
        <f>+J109+40*I110</f>
        <v>1511.4</v>
      </c>
      <c r="K110" s="1921"/>
      <c r="L110" s="1924">
        <v>20.46</v>
      </c>
      <c r="M110" s="1921">
        <f>+M109+40*L110</f>
        <v>1889.8000000000002</v>
      </c>
      <c r="N110" s="1921"/>
      <c r="O110" s="1924">
        <v>10.02</v>
      </c>
      <c r="P110" s="1921">
        <f>+P109+40*O110</f>
        <v>924.6</v>
      </c>
    </row>
    <row r="111" spans="1:16" s="1923" customFormat="1">
      <c r="A111" s="1924">
        <v>8.2799999999999994</v>
      </c>
      <c r="B111" s="1921">
        <f>+B110+40*A111</f>
        <v>1171</v>
      </c>
      <c r="C111" s="1924">
        <v>13.26</v>
      </c>
      <c r="D111" s="1921">
        <f>+D110+40*C111</f>
        <v>1925.1999999999998</v>
      </c>
      <c r="E111" s="1921"/>
      <c r="F111" s="1924">
        <v>11.22</v>
      </c>
      <c r="G111" s="1921">
        <f>+G110+40*F111</f>
        <v>1581.8</v>
      </c>
      <c r="H111" s="1921"/>
      <c r="I111" s="1924">
        <v>14.92</v>
      </c>
      <c r="J111" s="1921">
        <f>+J110+40*I111</f>
        <v>2108.1999999999998</v>
      </c>
      <c r="K111" s="1921"/>
      <c r="L111" s="1924">
        <v>18.66</v>
      </c>
      <c r="M111" s="1921">
        <f>+M110+40*L111</f>
        <v>2636.2000000000003</v>
      </c>
      <c r="N111" s="1921"/>
      <c r="O111" s="1924">
        <v>9.1199999999999992</v>
      </c>
      <c r="P111" s="1921">
        <f>+P110+40*O111</f>
        <v>1289.4000000000001</v>
      </c>
    </row>
    <row r="112" spans="1:16">
      <c r="G112" s="1920"/>
    </row>
    <row r="113" spans="1:16">
      <c r="G113" s="1920"/>
    </row>
    <row r="114" spans="1:16">
      <c r="G114" s="1920"/>
      <c r="H114" s="1907">
        <f>SUM(G20:G114)/6</f>
        <v>1512.6399999999996</v>
      </c>
    </row>
    <row r="115" spans="1:16">
      <c r="G115" s="1920"/>
    </row>
    <row r="116" spans="1:16">
      <c r="G116" s="1920"/>
    </row>
    <row r="117" spans="1:16">
      <c r="G117" s="1920"/>
    </row>
    <row r="118" spans="1:16">
      <c r="G118" s="1920"/>
    </row>
    <row r="119" spans="1:16" s="1923" customFormat="1">
      <c r="A119" s="1986" t="s">
        <v>278</v>
      </c>
      <c r="B119" s="1986"/>
      <c r="C119" s="1986" t="s">
        <v>4586</v>
      </c>
      <c r="D119" s="1986"/>
      <c r="E119" s="1926"/>
      <c r="F119" s="1987" t="s">
        <v>4587</v>
      </c>
      <c r="G119" s="1987"/>
      <c r="H119" s="1921"/>
      <c r="I119" s="1986" t="s">
        <v>4588</v>
      </c>
      <c r="J119" s="1986"/>
      <c r="K119" s="1921"/>
      <c r="L119" s="1921"/>
      <c r="M119" s="1921"/>
      <c r="N119" s="1921"/>
      <c r="O119" s="1921"/>
      <c r="P119" s="1921"/>
    </row>
    <row r="120" spans="1:16" s="1923" customFormat="1">
      <c r="A120" s="1921">
        <v>0</v>
      </c>
      <c r="B120" s="1922">
        <f>A120*A113</f>
        <v>0</v>
      </c>
      <c r="C120" s="1921">
        <v>0</v>
      </c>
      <c r="D120" s="1922">
        <f>C120*C113</f>
        <v>0</v>
      </c>
      <c r="E120" s="1921"/>
      <c r="F120" s="1921">
        <v>0</v>
      </c>
      <c r="G120" s="1922">
        <f>F120*F113</f>
        <v>0</v>
      </c>
      <c r="H120" s="1922"/>
      <c r="I120" s="1921">
        <v>0</v>
      </c>
      <c r="J120" s="1922">
        <f>I120*I113</f>
        <v>0</v>
      </c>
      <c r="K120" s="1921"/>
      <c r="L120" s="1921">
        <v>0</v>
      </c>
      <c r="M120" s="1922">
        <f>L120*L113</f>
        <v>0</v>
      </c>
      <c r="N120" s="1921"/>
      <c r="O120" s="1921">
        <v>0</v>
      </c>
      <c r="P120" s="1922">
        <f>O120*O113</f>
        <v>0</v>
      </c>
    </row>
    <row r="121" spans="1:16" s="1923" customFormat="1">
      <c r="A121" s="1921">
        <v>0</v>
      </c>
      <c r="B121" s="1922">
        <f>A121*A114</f>
        <v>0</v>
      </c>
      <c r="C121" s="1921">
        <v>10</v>
      </c>
      <c r="D121" s="1922">
        <f>C121*C114</f>
        <v>0</v>
      </c>
      <c r="E121" s="1921"/>
      <c r="F121" s="1921">
        <v>0</v>
      </c>
      <c r="G121" s="1922">
        <f>F121*F114</f>
        <v>0</v>
      </c>
      <c r="H121" s="1922"/>
      <c r="I121" s="1921">
        <v>0</v>
      </c>
      <c r="J121" s="1922">
        <f>I121*I114</f>
        <v>0</v>
      </c>
      <c r="K121" s="1921"/>
      <c r="L121" s="1921">
        <v>0</v>
      </c>
      <c r="M121" s="1922">
        <f>L121*L114</f>
        <v>0</v>
      </c>
      <c r="N121" s="1921"/>
      <c r="O121" s="1921">
        <v>0</v>
      </c>
      <c r="P121" s="1922">
        <f>O121*O114</f>
        <v>0</v>
      </c>
    </row>
    <row r="122" spans="1:16" s="1923" customFormat="1">
      <c r="A122" s="1921">
        <v>0</v>
      </c>
      <c r="B122" s="1922">
        <f>A122*A115</f>
        <v>0</v>
      </c>
      <c r="C122" s="1921">
        <v>20</v>
      </c>
      <c r="D122" s="1922">
        <f>C122*C115</f>
        <v>0</v>
      </c>
      <c r="E122" s="1927"/>
      <c r="F122" s="1921">
        <v>5</v>
      </c>
      <c r="G122" s="1922">
        <f>F122*F115</f>
        <v>0</v>
      </c>
      <c r="H122" s="1921"/>
      <c r="I122" s="1921">
        <v>0</v>
      </c>
      <c r="J122" s="1922">
        <f>I122*I115</f>
        <v>0</v>
      </c>
      <c r="K122" s="1921"/>
      <c r="L122" s="1921">
        <v>5</v>
      </c>
      <c r="M122" s="1922">
        <f>L122*L115</f>
        <v>0</v>
      </c>
      <c r="N122" s="1921"/>
      <c r="O122" s="1921">
        <v>5</v>
      </c>
      <c r="P122" s="1922">
        <f>O122*O115</f>
        <v>0</v>
      </c>
    </row>
    <row r="123" spans="1:16" s="1923" customFormat="1">
      <c r="A123" s="1921">
        <v>0</v>
      </c>
      <c r="B123" s="1928">
        <f>A123*A116</f>
        <v>0</v>
      </c>
      <c r="C123" s="1921">
        <v>40</v>
      </c>
      <c r="D123" s="1922">
        <f>C123*C116</f>
        <v>0</v>
      </c>
      <c r="E123" s="1921"/>
      <c r="F123" s="1921">
        <v>40</v>
      </c>
      <c r="G123" s="1922">
        <f>F123*F116</f>
        <v>0</v>
      </c>
      <c r="H123" s="1922"/>
      <c r="I123" s="1921">
        <v>0</v>
      </c>
      <c r="J123" s="1922">
        <f>I123*I116</f>
        <v>0</v>
      </c>
      <c r="K123" s="1921"/>
      <c r="L123" s="1921">
        <v>40</v>
      </c>
      <c r="M123" s="1922">
        <f>L123*L116</f>
        <v>0</v>
      </c>
      <c r="N123" s="1921"/>
      <c r="O123" s="1921">
        <v>40</v>
      </c>
      <c r="P123" s="1922">
        <f>O123*O116</f>
        <v>0</v>
      </c>
    </row>
    <row r="124" spans="1:16" s="1923" customFormat="1">
      <c r="A124" s="1921">
        <v>0</v>
      </c>
      <c r="B124" s="1922">
        <f>A124*A117</f>
        <v>0</v>
      </c>
      <c r="C124" s="1921">
        <v>30</v>
      </c>
      <c r="D124" s="1922">
        <f>C124*C117</f>
        <v>0</v>
      </c>
      <c r="E124" s="1921"/>
      <c r="F124" s="1921">
        <v>55</v>
      </c>
      <c r="G124" s="1922">
        <f>F124*F117</f>
        <v>0</v>
      </c>
      <c r="H124" s="1921"/>
      <c r="I124" s="1921">
        <v>0</v>
      </c>
      <c r="J124" s="1922">
        <f>I124*I117</f>
        <v>0</v>
      </c>
      <c r="K124" s="1921"/>
      <c r="L124" s="1921">
        <v>55</v>
      </c>
      <c r="M124" s="1922">
        <f>L124*L117</f>
        <v>0</v>
      </c>
      <c r="N124" s="1921"/>
      <c r="O124" s="1921">
        <v>55</v>
      </c>
      <c r="P124" s="1922">
        <f>O124*O117</f>
        <v>0</v>
      </c>
    </row>
    <row r="125" spans="1:16" s="1923" customFormat="1">
      <c r="A125" s="1921">
        <f>SUM(A120:A124)</f>
        <v>0</v>
      </c>
      <c r="B125" s="1928">
        <f>SUM(B120:B124)</f>
        <v>0</v>
      </c>
      <c r="C125" s="1921">
        <f>SUM(C120:C124)</f>
        <v>100</v>
      </c>
      <c r="D125" s="1928">
        <f>SUM(D120:D124)</f>
        <v>0</v>
      </c>
      <c r="E125" s="1921"/>
      <c r="F125" s="1921">
        <f>SUM(F120:F124)</f>
        <v>100</v>
      </c>
      <c r="G125" s="1928">
        <f>SUM(G120:G124)</f>
        <v>0</v>
      </c>
      <c r="H125" s="1921"/>
      <c r="I125" s="1921">
        <f>SUM(I120:I124)</f>
        <v>0</v>
      </c>
      <c r="J125" s="1928">
        <f>SUM(J120:J124)</f>
        <v>0</v>
      </c>
      <c r="K125" s="1921"/>
      <c r="L125" s="1921">
        <f>SUM(L120:L124)</f>
        <v>100</v>
      </c>
      <c r="M125" s="1928">
        <f>SUM(M120:M124)</f>
        <v>0</v>
      </c>
      <c r="N125" s="1921"/>
      <c r="O125" s="1921">
        <f>SUM(O120:O124)</f>
        <v>100</v>
      </c>
      <c r="P125" s="1928">
        <f>SUM(P120:P124)</f>
        <v>0</v>
      </c>
    </row>
    <row r="126" spans="1:16" s="1923" customFormat="1">
      <c r="A126" s="1921"/>
      <c r="B126" s="1921"/>
      <c r="C126" s="1986" t="s">
        <v>4589</v>
      </c>
      <c r="D126" s="1986"/>
      <c r="E126" s="1921"/>
      <c r="F126" s="1921"/>
      <c r="G126" s="1921"/>
      <c r="H126" s="1922"/>
      <c r="I126" s="1921"/>
      <c r="J126" s="1921"/>
      <c r="K126" s="1921"/>
      <c r="L126" s="1921"/>
      <c r="M126" s="1921"/>
      <c r="N126" s="1921"/>
      <c r="O126" s="1921" t="s">
        <v>4590</v>
      </c>
      <c r="P126" s="1921"/>
    </row>
    <row r="127" spans="1:16" s="1923" customFormat="1">
      <c r="A127" s="1921"/>
      <c r="B127" s="1921"/>
      <c r="C127" s="1921">
        <v>0</v>
      </c>
      <c r="D127" s="1922">
        <f>C127*C113</f>
        <v>0</v>
      </c>
      <c r="E127" s="1921"/>
      <c r="F127" s="1921"/>
      <c r="G127" s="1921"/>
      <c r="H127" s="1921"/>
      <c r="I127" s="1921"/>
      <c r="J127" s="1921"/>
      <c r="K127" s="1921"/>
      <c r="L127" s="1921"/>
      <c r="M127" s="1921"/>
      <c r="N127" s="1921"/>
      <c r="O127" s="1921">
        <v>0</v>
      </c>
      <c r="P127" s="1922">
        <f>O127*O113</f>
        <v>0</v>
      </c>
    </row>
    <row r="128" spans="1:16" s="1923" customFormat="1">
      <c r="A128" s="1921"/>
      <c r="B128" s="1921"/>
      <c r="C128" s="1921">
        <v>0</v>
      </c>
      <c r="D128" s="1922">
        <f>C128*C114</f>
        <v>0</v>
      </c>
      <c r="E128" s="1921"/>
      <c r="F128" s="1921">
        <f>124-F125</f>
        <v>24</v>
      </c>
      <c r="G128" s="1921"/>
      <c r="H128" s="1921"/>
      <c r="I128" s="1921"/>
      <c r="J128" s="1922"/>
      <c r="K128" s="1922"/>
      <c r="L128" s="1921"/>
      <c r="M128" s="1921"/>
      <c r="N128" s="1921"/>
      <c r="O128" s="1921">
        <v>10</v>
      </c>
      <c r="P128" s="1922">
        <f>O128*O114</f>
        <v>0</v>
      </c>
    </row>
    <row r="129" spans="1:16" s="1923" customFormat="1">
      <c r="A129" s="1921"/>
      <c r="B129" s="1921"/>
      <c r="C129" s="1921">
        <v>0</v>
      </c>
      <c r="D129" s="1922">
        <f>C129*C115</f>
        <v>0</v>
      </c>
      <c r="E129" s="1921"/>
      <c r="F129" s="1921"/>
      <c r="G129" s="1921"/>
      <c r="H129" s="1921"/>
      <c r="I129" s="1921"/>
      <c r="J129" s="1922"/>
      <c r="K129" s="1921"/>
      <c r="L129" s="1921"/>
      <c r="M129" s="1921"/>
      <c r="N129" s="1921"/>
      <c r="O129" s="1921">
        <v>0</v>
      </c>
      <c r="P129" s="1922">
        <f>O129*O115</f>
        <v>0</v>
      </c>
    </row>
    <row r="130" spans="1:16" s="1923" customFormat="1">
      <c r="A130" s="1921"/>
      <c r="B130" s="1921"/>
      <c r="C130" s="1921">
        <v>0</v>
      </c>
      <c r="D130" s="1922">
        <f>C130*C116</f>
        <v>0</v>
      </c>
      <c r="E130" s="1921"/>
      <c r="F130" s="1921"/>
      <c r="G130" s="1921"/>
      <c r="H130" s="1921"/>
      <c r="I130" s="1921"/>
      <c r="J130" s="1922"/>
      <c r="K130" s="1921"/>
      <c r="L130" s="1921"/>
      <c r="M130" s="1921"/>
      <c r="N130" s="1921"/>
      <c r="O130" s="1921">
        <v>0</v>
      </c>
      <c r="P130" s="1922">
        <f>O130*O116</f>
        <v>0</v>
      </c>
    </row>
    <row r="131" spans="1:16" s="1923" customFormat="1">
      <c r="A131" s="1921"/>
      <c r="B131" s="1921"/>
      <c r="C131" s="1921">
        <v>0</v>
      </c>
      <c r="D131" s="1922">
        <f>C131*C117</f>
        <v>0</v>
      </c>
      <c r="E131" s="1921"/>
      <c r="F131" s="1921"/>
      <c r="G131" s="1921"/>
      <c r="H131" s="1921"/>
      <c r="I131" s="1921"/>
      <c r="J131" s="1922"/>
      <c r="K131" s="1921"/>
      <c r="L131" s="1921"/>
      <c r="M131" s="1921"/>
      <c r="N131" s="1921"/>
      <c r="O131" s="1921">
        <v>0</v>
      </c>
      <c r="P131" s="1922">
        <f>O131*O117</f>
        <v>0</v>
      </c>
    </row>
    <row r="132" spans="1:16" s="1923" customFormat="1">
      <c r="A132" s="1921"/>
      <c r="B132" s="1921"/>
      <c r="C132" s="1921">
        <f>SUM(C128:C131)</f>
        <v>0</v>
      </c>
      <c r="D132" s="1928">
        <f>SUM(D127:D131)</f>
        <v>0</v>
      </c>
      <c r="E132" s="1921"/>
      <c r="F132" s="1921"/>
      <c r="G132" s="1921"/>
      <c r="H132" s="1921"/>
      <c r="I132" s="1921"/>
      <c r="J132" s="1922"/>
      <c r="K132" s="1921"/>
      <c r="L132" s="1921"/>
      <c r="M132" s="1921"/>
      <c r="N132" s="1921"/>
      <c r="O132" s="1921">
        <f>SUM(O127:O131)</f>
        <v>10</v>
      </c>
      <c r="P132" s="1928">
        <f>SUM(P127:P131)</f>
        <v>0</v>
      </c>
    </row>
    <row r="133" spans="1:16" s="1923" customFormat="1">
      <c r="A133" s="1921"/>
      <c r="B133" s="1921"/>
      <c r="C133" s="1929" t="s">
        <v>4591</v>
      </c>
      <c r="D133" s="1921"/>
      <c r="E133" s="1921"/>
      <c r="F133" s="1921"/>
      <c r="G133" s="1921"/>
      <c r="H133" s="1921"/>
      <c r="I133" s="1921"/>
      <c r="J133" s="1922"/>
      <c r="K133" s="1921"/>
      <c r="L133" s="1921"/>
      <c r="M133" s="1921"/>
      <c r="N133" s="1921"/>
      <c r="O133" s="1921"/>
      <c r="P133" s="1921"/>
    </row>
    <row r="134" spans="1:16" s="1923" customFormat="1">
      <c r="A134" s="1921"/>
      <c r="B134" s="1921"/>
      <c r="C134" s="1921">
        <v>6</v>
      </c>
      <c r="D134" s="1922">
        <f>C134*C113</f>
        <v>0</v>
      </c>
      <c r="E134" s="1921"/>
      <c r="F134" s="1921"/>
      <c r="G134" s="1921"/>
      <c r="H134" s="1921"/>
      <c r="I134" s="1921"/>
      <c r="J134" s="1922"/>
      <c r="K134" s="1921"/>
      <c r="L134" s="1921"/>
      <c r="M134" s="1921"/>
      <c r="N134" s="1921"/>
      <c r="O134" s="1921"/>
      <c r="P134" s="1921"/>
    </row>
    <row r="135" spans="1:16" s="1923" customFormat="1">
      <c r="A135" s="1921"/>
      <c r="B135" s="1921"/>
      <c r="C135" s="1921">
        <v>10</v>
      </c>
      <c r="D135" s="1922">
        <f>C135*C114</f>
        <v>0</v>
      </c>
      <c r="E135" s="1921"/>
      <c r="F135" s="1921"/>
      <c r="G135" s="1921"/>
      <c r="H135" s="1921"/>
      <c r="I135" s="1921"/>
      <c r="J135" s="1922"/>
      <c r="K135" s="1921"/>
      <c r="L135" s="1921"/>
      <c r="M135" s="1921"/>
      <c r="N135" s="1921"/>
      <c r="O135" s="1921"/>
      <c r="P135" s="1921"/>
    </row>
    <row r="136" spans="1:16" s="1923" customFormat="1">
      <c r="A136" s="1921"/>
      <c r="B136" s="1921"/>
      <c r="C136" s="1921">
        <v>20</v>
      </c>
      <c r="D136" s="1922">
        <f>C136*C115</f>
        <v>0</v>
      </c>
      <c r="E136" s="1921"/>
      <c r="F136" s="1921"/>
      <c r="G136" s="1921"/>
      <c r="H136" s="1921"/>
      <c r="I136" s="1921"/>
      <c r="J136" s="1921"/>
      <c r="K136" s="1921"/>
      <c r="L136" s="1921"/>
      <c r="M136" s="1921"/>
      <c r="N136" s="1921"/>
      <c r="O136" s="1921"/>
      <c r="P136" s="1921"/>
    </row>
    <row r="137" spans="1:16" s="1923" customFormat="1">
      <c r="A137" s="1921"/>
      <c r="B137" s="1921"/>
      <c r="C137" s="1921">
        <v>40</v>
      </c>
      <c r="D137" s="1922">
        <f>C137*C116</f>
        <v>0</v>
      </c>
      <c r="E137" s="1921"/>
      <c r="F137" s="1921"/>
      <c r="G137" s="1921"/>
      <c r="H137" s="1921"/>
      <c r="I137" s="1921"/>
      <c r="J137" s="1921"/>
      <c r="K137" s="1921"/>
      <c r="L137" s="1921"/>
      <c r="M137" s="1921"/>
      <c r="N137" s="1921"/>
      <c r="O137" s="1921"/>
      <c r="P137" s="1921"/>
    </row>
    <row r="138" spans="1:16" s="1923" customFormat="1">
      <c r="A138" s="1921"/>
      <c r="B138" s="1921"/>
      <c r="C138" s="1921">
        <v>24</v>
      </c>
      <c r="D138" s="1922">
        <f>C138*C117</f>
        <v>0</v>
      </c>
      <c r="E138" s="1921"/>
      <c r="F138" s="1921"/>
      <c r="G138" s="1921"/>
      <c r="H138" s="1921"/>
      <c r="I138" s="1921"/>
      <c r="J138" s="1921"/>
      <c r="K138" s="1921"/>
      <c r="L138" s="1921"/>
      <c r="M138" s="1921"/>
      <c r="N138" s="1921"/>
      <c r="O138" s="1921"/>
      <c r="P138" s="1921"/>
    </row>
    <row r="139" spans="1:16" s="1923" customFormat="1">
      <c r="A139" s="1921"/>
      <c r="B139" s="1921"/>
      <c r="C139" s="1921">
        <f>SUM(C134:C138)</f>
        <v>100</v>
      </c>
      <c r="D139" s="1928">
        <f>SUM(D134:D138)</f>
        <v>0</v>
      </c>
      <c r="E139" s="1921"/>
      <c r="F139" s="1921"/>
      <c r="G139" s="1921"/>
      <c r="H139" s="1921"/>
      <c r="I139" s="1921"/>
      <c r="J139" s="1921"/>
      <c r="K139" s="1921"/>
      <c r="L139" s="1921"/>
      <c r="M139" s="1921"/>
      <c r="N139" s="1921"/>
      <c r="O139" s="1921"/>
      <c r="P139" s="1921"/>
    </row>
    <row r="140" spans="1:16" s="1923" customFormat="1">
      <c r="A140" s="1921"/>
      <c r="B140" s="1921"/>
      <c r="C140" s="1921"/>
      <c r="D140" s="1921"/>
      <c r="E140" s="1921"/>
      <c r="F140" s="1921"/>
      <c r="G140" s="1921"/>
      <c r="H140" s="1921"/>
      <c r="I140" s="1921"/>
      <c r="J140" s="1921"/>
      <c r="K140" s="1921"/>
      <c r="L140" s="1921"/>
      <c r="M140" s="1921"/>
      <c r="N140" s="1921"/>
      <c r="O140" s="1921"/>
      <c r="P140" s="1921"/>
    </row>
    <row r="141" spans="1:16" s="1923" customFormat="1">
      <c r="A141" s="1921"/>
      <c r="B141" s="1921"/>
      <c r="C141" s="1929" t="s">
        <v>4584</v>
      </c>
      <c r="D141" s="1921"/>
      <c r="E141" s="1921"/>
      <c r="F141" s="1921"/>
      <c r="G141" s="1921"/>
      <c r="H141" s="1921"/>
      <c r="I141" s="1921"/>
      <c r="J141" s="1921"/>
      <c r="K141" s="1921"/>
      <c r="L141" s="1921"/>
      <c r="M141" s="1921"/>
      <c r="N141" s="1921"/>
      <c r="O141" s="1921"/>
      <c r="P141" s="1921"/>
    </row>
    <row r="142" spans="1:16" s="1923" customFormat="1">
      <c r="A142" s="1921"/>
      <c r="B142" s="1921"/>
      <c r="C142" s="1921">
        <v>0</v>
      </c>
      <c r="D142" s="1922">
        <f>C142*C113</f>
        <v>0</v>
      </c>
      <c r="E142" s="1921"/>
      <c r="F142" s="1921"/>
      <c r="G142" s="1921"/>
      <c r="H142" s="1921"/>
      <c r="I142" s="1921"/>
      <c r="J142" s="1921"/>
      <c r="K142" s="1921"/>
      <c r="L142" s="1921"/>
      <c r="M142" s="1921"/>
      <c r="N142" s="1921"/>
      <c r="O142" s="1921"/>
      <c r="P142" s="1921"/>
    </row>
    <row r="143" spans="1:16" s="1923" customFormat="1">
      <c r="A143" s="1921"/>
      <c r="B143" s="1921"/>
      <c r="C143" s="1921">
        <v>0</v>
      </c>
      <c r="D143" s="1922">
        <f>C143*C114</f>
        <v>0</v>
      </c>
      <c r="E143" s="1921"/>
      <c r="F143" s="1921"/>
      <c r="G143" s="1921"/>
      <c r="H143" s="1921"/>
      <c r="I143" s="1921"/>
      <c r="J143" s="1921"/>
      <c r="K143" s="1921"/>
      <c r="L143" s="1921"/>
      <c r="M143" s="1921"/>
      <c r="N143" s="1921"/>
      <c r="O143" s="1921"/>
      <c r="P143" s="1921"/>
    </row>
    <row r="144" spans="1:16" s="1923" customFormat="1">
      <c r="A144" s="1921"/>
      <c r="B144" s="1921"/>
      <c r="C144" s="1921">
        <v>0</v>
      </c>
      <c r="D144" s="1922">
        <f>C144*C115</f>
        <v>0</v>
      </c>
      <c r="E144" s="1921"/>
      <c r="F144" s="1921"/>
      <c r="G144" s="1921"/>
      <c r="H144" s="1921"/>
      <c r="I144" s="1921"/>
      <c r="J144" s="1921"/>
      <c r="K144" s="1921"/>
      <c r="L144" s="1921"/>
      <c r="M144" s="1921"/>
      <c r="N144" s="1921"/>
      <c r="O144" s="1921"/>
      <c r="P144" s="1921"/>
    </row>
    <row r="145" spans="1:16" s="1923" customFormat="1">
      <c r="A145" s="1921"/>
      <c r="B145" s="1921"/>
      <c r="C145" s="1921">
        <v>0</v>
      </c>
      <c r="D145" s="1922">
        <f>C145*C116</f>
        <v>0</v>
      </c>
      <c r="E145" s="1921"/>
      <c r="F145" s="1921"/>
      <c r="G145" s="1921"/>
      <c r="H145" s="1921"/>
      <c r="I145" s="1921"/>
      <c r="J145" s="1921"/>
      <c r="K145" s="1921"/>
      <c r="L145" s="1921"/>
      <c r="M145" s="1921"/>
      <c r="N145" s="1921"/>
      <c r="O145" s="1921"/>
      <c r="P145" s="1921"/>
    </row>
    <row r="146" spans="1:16" s="1923" customFormat="1">
      <c r="A146" s="1921"/>
      <c r="B146" s="1921"/>
      <c r="C146" s="1921"/>
      <c r="D146" s="1922">
        <f>C146*C117</f>
        <v>0</v>
      </c>
      <c r="E146" s="1921"/>
      <c r="F146" s="1921"/>
      <c r="G146" s="1921"/>
      <c r="H146" s="1921"/>
      <c r="I146" s="1921"/>
      <c r="J146" s="1921"/>
      <c r="K146" s="1921"/>
      <c r="L146" s="1921"/>
      <c r="M146" s="1921"/>
      <c r="N146" s="1921"/>
      <c r="O146" s="1921"/>
      <c r="P146" s="1921"/>
    </row>
    <row r="147" spans="1:16" s="1923" customFormat="1">
      <c r="A147" s="1921"/>
      <c r="B147" s="1921"/>
      <c r="C147" s="1921">
        <f>SUM(C142:C146)</f>
        <v>0</v>
      </c>
      <c r="D147" s="1928">
        <f>SUM(D142:D146)</f>
        <v>0</v>
      </c>
      <c r="E147" s="1921"/>
      <c r="F147" s="1921"/>
      <c r="G147" s="1921"/>
      <c r="H147" s="1921"/>
      <c r="I147" s="1921"/>
      <c r="J147" s="1921"/>
      <c r="K147" s="1921"/>
      <c r="L147" s="1921"/>
      <c r="M147" s="1921"/>
      <c r="N147" s="1921"/>
      <c r="O147" s="1921"/>
      <c r="P147" s="1921"/>
    </row>
    <row r="148" spans="1:16">
      <c r="G148" s="1920"/>
    </row>
    <row r="149" spans="1:16">
      <c r="G149" s="1920"/>
    </row>
    <row r="150" spans="1:16">
      <c r="G150" s="1920"/>
    </row>
    <row r="151" spans="1:16">
      <c r="G151" s="1920"/>
    </row>
  </sheetData>
  <mergeCells count="10">
    <mergeCell ref="C126:D126"/>
    <mergeCell ref="A30:B30"/>
    <mergeCell ref="C30:D30"/>
    <mergeCell ref="F30:G30"/>
    <mergeCell ref="I30:J30"/>
    <mergeCell ref="C37:D37"/>
    <mergeCell ref="A119:B119"/>
    <mergeCell ref="C119:D119"/>
    <mergeCell ref="F119:G119"/>
    <mergeCell ref="I119:J119"/>
  </mergeCells>
  <pageMargins left="0.46" right="0.19" top="1" bottom="1" header="0.5" footer="0.5"/>
  <pageSetup paperSize="9" scale="88" orientation="landscape" r:id="rId1"/>
  <headerFooter alignWithMargins="0"/>
</worksheet>
</file>

<file path=xl/worksheets/sheet7.xml><?xml version="1.0" encoding="utf-8"?>
<worksheet xmlns="http://schemas.openxmlformats.org/spreadsheetml/2006/main" xmlns:r="http://schemas.openxmlformats.org/officeDocument/2006/relationships">
  <dimension ref="A1:K34"/>
  <sheetViews>
    <sheetView workbookViewId="0">
      <selection activeCell="K24" sqref="K24"/>
    </sheetView>
  </sheetViews>
  <sheetFormatPr defaultColWidth="9.140625" defaultRowHeight="12.75"/>
  <cols>
    <col min="1" max="5" width="9.140625" style="1559"/>
    <col min="6" max="6" width="10.28515625" style="1559" bestFit="1" customWidth="1"/>
    <col min="7" max="7" width="12.28515625" style="1565" customWidth="1"/>
    <col min="8" max="16384" width="9.140625" style="1559"/>
  </cols>
  <sheetData>
    <row r="1" spans="1:11" s="1549" customFormat="1">
      <c r="D1" s="1550"/>
      <c r="E1" s="1550"/>
      <c r="F1" s="1550"/>
      <c r="G1" s="1551"/>
    </row>
    <row r="2" spans="1:11" s="1549" customFormat="1" ht="15">
      <c r="A2" s="1989" t="s">
        <v>3529</v>
      </c>
      <c r="B2" s="1989"/>
      <c r="C2" s="1989"/>
      <c r="D2" s="1989"/>
      <c r="E2" s="1989"/>
      <c r="F2" s="1989"/>
      <c r="G2" s="1989"/>
      <c r="H2" s="1989"/>
    </row>
    <row r="3" spans="1:11" s="1549" customFormat="1" ht="15">
      <c r="A3" s="1552"/>
      <c r="B3" s="1989" t="s">
        <v>3629</v>
      </c>
      <c r="C3" s="1989"/>
      <c r="D3" s="1989"/>
      <c r="E3" s="1989"/>
      <c r="F3" s="1989"/>
      <c r="G3" s="1989"/>
      <c r="H3" s="1553"/>
    </row>
    <row r="4" spans="1:11" s="1549" customFormat="1" ht="14.25">
      <c r="A4" s="1554"/>
      <c r="B4" s="1554"/>
      <c r="C4" s="1554"/>
      <c r="D4" s="1555"/>
      <c r="E4" s="1555"/>
      <c r="F4" s="1555"/>
      <c r="G4" s="1556"/>
      <c r="H4" s="1557"/>
    </row>
    <row r="5" spans="1:11" s="1549" customFormat="1" ht="15">
      <c r="A5" s="1990" t="str">
        <f>[4]Sheet1!A4</f>
        <v>NAME OF WORK:  SEPTIC TANK DESIGN FOR THE CONSTRUCTION OF 1 No SFO and 14 Nos Fire men quarters at Gudalur in the Nilgiris District</v>
      </c>
      <c r="B5" s="1990"/>
      <c r="C5" s="1990"/>
      <c r="D5" s="1990"/>
      <c r="E5" s="1990"/>
      <c r="F5" s="1990"/>
      <c r="G5" s="1990"/>
      <c r="H5" s="1990"/>
      <c r="I5" s="1558"/>
    </row>
    <row r="6" spans="1:11" ht="15">
      <c r="A6" s="1991" t="s">
        <v>5430</v>
      </c>
      <c r="B6" s="1991"/>
      <c r="C6" s="1991"/>
      <c r="D6" s="1991"/>
      <c r="E6" s="1991"/>
      <c r="F6" s="1991"/>
      <c r="G6" s="1991"/>
      <c r="H6" s="1991"/>
    </row>
    <row r="7" spans="1:11" ht="14.25">
      <c r="A7" s="1560"/>
      <c r="B7" s="1560"/>
      <c r="C7" s="1560"/>
      <c r="D7" s="1560"/>
      <c r="E7" s="1560"/>
      <c r="F7" s="1560"/>
      <c r="G7" s="1561"/>
      <c r="H7" s="1560"/>
    </row>
    <row r="8" spans="1:11" ht="15">
      <c r="A8" s="1988" t="s">
        <v>5431</v>
      </c>
      <c r="B8" s="1988"/>
      <c r="C8" s="1988"/>
      <c r="D8" s="1988"/>
      <c r="E8" s="1560" t="s">
        <v>5432</v>
      </c>
      <c r="F8" s="1560"/>
      <c r="G8" s="1562">
        <v>150</v>
      </c>
      <c r="H8" s="1560"/>
      <c r="K8" s="1559">
        <f>37*4</f>
        <v>148</v>
      </c>
    </row>
    <row r="9" spans="1:11" ht="14.25">
      <c r="A9" s="1988" t="s">
        <v>5433</v>
      </c>
      <c r="B9" s="1988"/>
      <c r="C9" s="1988"/>
      <c r="D9" s="1988"/>
      <c r="E9" s="1560" t="s">
        <v>5432</v>
      </c>
      <c r="F9" s="1560"/>
      <c r="G9" s="1561" t="s">
        <v>5434</v>
      </c>
      <c r="H9" s="1560"/>
    </row>
    <row r="10" spans="1:11" ht="14.25">
      <c r="A10" s="1560"/>
      <c r="B10" s="1560"/>
      <c r="C10" s="1560"/>
      <c r="D10" s="1560"/>
      <c r="E10" s="1560"/>
      <c r="F10" s="1560"/>
      <c r="G10" s="1561" t="s">
        <v>5435</v>
      </c>
      <c r="H10" s="1560"/>
    </row>
    <row r="11" spans="1:11" ht="15">
      <c r="A11" s="1563"/>
      <c r="B11" s="1563"/>
      <c r="C11" s="1563"/>
      <c r="D11" s="1563"/>
      <c r="E11" s="1560" t="s">
        <v>9</v>
      </c>
      <c r="F11" s="1560" t="s">
        <v>5436</v>
      </c>
      <c r="G11" s="1562"/>
      <c r="H11" s="1560"/>
    </row>
    <row r="12" spans="1:11" ht="15">
      <c r="A12" s="1563"/>
      <c r="B12" s="1563"/>
      <c r="C12" s="1563"/>
      <c r="D12" s="1563"/>
      <c r="E12" s="1560"/>
      <c r="F12" s="1560"/>
      <c r="G12" s="1562"/>
      <c r="H12" s="1560"/>
    </row>
    <row r="13" spans="1:11" ht="15">
      <c r="A13" s="1563"/>
      <c r="B13" s="1993" t="s">
        <v>5437</v>
      </c>
      <c r="C13" s="1993"/>
      <c r="D13" s="1993"/>
      <c r="E13" s="1560" t="s">
        <v>5432</v>
      </c>
      <c r="F13" s="1560"/>
      <c r="G13" s="1562" t="s">
        <v>5438</v>
      </c>
      <c r="H13" s="1560"/>
    </row>
    <row r="14" spans="1:11" ht="15">
      <c r="A14" s="1563"/>
      <c r="B14" s="1563"/>
      <c r="C14" s="1563"/>
      <c r="D14" s="1563"/>
      <c r="E14" s="1560"/>
      <c r="F14" s="1560"/>
      <c r="G14" s="1562"/>
      <c r="H14" s="1560"/>
    </row>
    <row r="15" spans="1:11" ht="15">
      <c r="A15" s="1563"/>
      <c r="B15" s="1993" t="s">
        <v>5439</v>
      </c>
      <c r="C15" s="1993"/>
      <c r="D15" s="1993"/>
      <c r="E15" s="1560"/>
      <c r="F15" s="1560"/>
      <c r="G15" s="1562" t="s">
        <v>5471</v>
      </c>
      <c r="H15" s="1560"/>
    </row>
    <row r="16" spans="1:11" ht="15">
      <c r="A16" s="1563"/>
      <c r="B16" s="1563"/>
      <c r="C16" s="1563"/>
      <c r="D16" s="1563"/>
      <c r="E16" s="1560"/>
      <c r="F16" s="1560"/>
      <c r="G16" s="1562"/>
      <c r="H16" s="1560"/>
    </row>
    <row r="17" spans="1:8" ht="15">
      <c r="A17" s="1563"/>
      <c r="B17" s="1993" t="s">
        <v>5440</v>
      </c>
      <c r="C17" s="1993"/>
      <c r="D17" s="1993"/>
      <c r="E17" s="1560" t="s">
        <v>5432</v>
      </c>
      <c r="F17" s="1560"/>
      <c r="G17" s="1562" t="s">
        <v>5472</v>
      </c>
      <c r="H17" s="1560"/>
    </row>
    <row r="18" spans="1:8" ht="15">
      <c r="A18" s="1563"/>
      <c r="B18" s="1563"/>
      <c r="C18" s="1563"/>
      <c r="D18" s="1563"/>
      <c r="E18" s="1560"/>
      <c r="F18" s="1560"/>
      <c r="G18" s="1562"/>
      <c r="H18" s="1560"/>
    </row>
    <row r="19" spans="1:8" ht="15">
      <c r="A19" s="1563"/>
      <c r="B19" s="1993" t="s">
        <v>5473</v>
      </c>
      <c r="C19" s="1993"/>
      <c r="D19" s="1993"/>
      <c r="E19" s="1560" t="s">
        <v>5432</v>
      </c>
      <c r="F19" s="1560"/>
      <c r="G19" s="1562" t="s">
        <v>5474</v>
      </c>
      <c r="H19" s="1560"/>
    </row>
    <row r="20" spans="1:8" ht="15">
      <c r="A20" s="1563"/>
      <c r="B20" s="1563"/>
      <c r="C20" s="1563"/>
      <c r="D20" s="1563"/>
      <c r="E20" s="1560"/>
      <c r="F20" s="1560"/>
      <c r="G20" s="1562"/>
      <c r="H20" s="1560"/>
    </row>
    <row r="21" spans="1:8" ht="15">
      <c r="A21" s="1563"/>
      <c r="B21" s="1993" t="s">
        <v>5441</v>
      </c>
      <c r="C21" s="1993"/>
      <c r="D21" s="1993"/>
      <c r="E21" s="1993"/>
      <c r="F21" s="1560"/>
      <c r="G21" s="1562">
        <v>2.2999999999999998</v>
      </c>
      <c r="H21" s="1560"/>
    </row>
    <row r="22" spans="1:8" ht="15">
      <c r="A22" s="1563"/>
      <c r="B22" s="1563"/>
      <c r="C22" s="1563"/>
      <c r="D22" s="1563"/>
      <c r="E22" s="1560"/>
      <c r="F22" s="1560"/>
      <c r="G22" s="1562"/>
      <c r="H22" s="1560"/>
    </row>
    <row r="23" spans="1:8" ht="15">
      <c r="A23" s="1563"/>
      <c r="B23" s="1563"/>
      <c r="C23" s="1563"/>
      <c r="D23" s="1563"/>
      <c r="E23" s="1560"/>
      <c r="F23" s="1560"/>
      <c r="G23" s="1562"/>
      <c r="H23" s="1560"/>
    </row>
    <row r="24" spans="1:8" ht="27" customHeight="1">
      <c r="A24" s="1560"/>
      <c r="B24" s="1994" t="s">
        <v>5489</v>
      </c>
      <c r="C24" s="1994"/>
      <c r="D24" s="1994"/>
      <c r="E24" s="1994"/>
      <c r="F24" s="1994"/>
      <c r="G24" s="1994"/>
      <c r="H24" s="1560"/>
    </row>
    <row r="25" spans="1:8" ht="14.25">
      <c r="A25" s="1992"/>
      <c r="B25" s="1992"/>
      <c r="C25" s="1992"/>
      <c r="D25" s="1992"/>
      <c r="E25" s="1992"/>
      <c r="F25" s="1560"/>
      <c r="G25" s="1561"/>
      <c r="H25" s="1560"/>
    </row>
    <row r="26" spans="1:8" ht="14.25">
      <c r="A26" s="1564"/>
      <c r="B26" s="1564"/>
      <c r="C26" s="1564"/>
      <c r="D26" s="1564"/>
      <c r="E26" s="1564"/>
      <c r="F26" s="1564"/>
      <c r="G26" s="1561"/>
      <c r="H26" s="1564"/>
    </row>
    <row r="27" spans="1:8" ht="14.25">
      <c r="A27" s="1564"/>
      <c r="B27" s="1564"/>
      <c r="C27" s="1564"/>
      <c r="D27" s="1564"/>
      <c r="E27" s="1564"/>
      <c r="F27" s="1564"/>
      <c r="G27" s="1561"/>
      <c r="H27" s="1564"/>
    </row>
    <row r="28" spans="1:8" ht="14.25">
      <c r="A28" s="1564"/>
      <c r="B28" s="1564"/>
      <c r="C28" s="1564"/>
      <c r="D28" s="1564"/>
      <c r="E28" s="1564"/>
      <c r="F28" s="1564"/>
      <c r="G28" s="1561"/>
      <c r="H28" s="1564"/>
    </row>
    <row r="29" spans="1:8" ht="14.25">
      <c r="A29" s="1564"/>
      <c r="B29" s="1564"/>
      <c r="C29" s="1564"/>
      <c r="D29" s="1564"/>
      <c r="E29" s="1564"/>
      <c r="F29" s="1564"/>
      <c r="G29" s="1561"/>
      <c r="H29" s="1564"/>
    </row>
    <row r="30" spans="1:8" ht="14.25">
      <c r="A30" s="1564"/>
      <c r="B30" s="1564"/>
      <c r="C30" s="1564"/>
      <c r="D30" s="1564"/>
      <c r="E30" s="1564"/>
      <c r="F30" s="1564"/>
      <c r="G30" s="1561"/>
      <c r="H30" s="1564"/>
    </row>
    <row r="31" spans="1:8" ht="14.25">
      <c r="A31" s="1564"/>
      <c r="B31" s="1564"/>
      <c r="C31" s="1564"/>
      <c r="D31" s="1564"/>
      <c r="E31" s="1564"/>
      <c r="F31" s="1564"/>
      <c r="G31" s="1561"/>
      <c r="H31" s="1564"/>
    </row>
    <row r="32" spans="1:8" ht="14.25">
      <c r="A32" s="1564"/>
      <c r="B32" s="1564"/>
      <c r="C32" s="1564"/>
      <c r="D32" s="1564"/>
      <c r="E32" s="1564"/>
      <c r="F32" s="1564"/>
      <c r="G32" s="1561"/>
      <c r="H32" s="1564"/>
    </row>
    <row r="33" spans="1:8" ht="14.25">
      <c r="A33" s="1564"/>
      <c r="B33" s="1564"/>
      <c r="C33" s="1564"/>
      <c r="D33" s="1564"/>
      <c r="E33" s="1564"/>
      <c r="F33" s="1564"/>
      <c r="G33" s="1561"/>
      <c r="H33" s="1564"/>
    </row>
    <row r="34" spans="1:8" ht="14.25">
      <c r="A34" s="1564"/>
      <c r="B34" s="1564"/>
      <c r="C34" s="1564"/>
      <c r="D34" s="1564"/>
      <c r="E34" s="1564"/>
      <c r="F34" s="1564"/>
      <c r="G34" s="1561"/>
      <c r="H34" s="1564"/>
    </row>
  </sheetData>
  <mergeCells count="13">
    <mergeCell ref="A25:E25"/>
    <mergeCell ref="B13:D13"/>
    <mergeCell ref="B15:D15"/>
    <mergeCell ref="B17:D17"/>
    <mergeCell ref="B19:D19"/>
    <mergeCell ref="B21:E21"/>
    <mergeCell ref="B24:G24"/>
    <mergeCell ref="A9:D9"/>
    <mergeCell ref="A2:H2"/>
    <mergeCell ref="B3:G3"/>
    <mergeCell ref="A5:H5"/>
    <mergeCell ref="A6:H6"/>
    <mergeCell ref="A8:D8"/>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J82"/>
  <sheetViews>
    <sheetView topLeftCell="A66" workbookViewId="0">
      <selection activeCell="H66" sqref="H66"/>
    </sheetView>
  </sheetViews>
  <sheetFormatPr defaultColWidth="9.140625" defaultRowHeight="15.75"/>
  <cols>
    <col min="1" max="1" width="9.140625" style="1577"/>
    <col min="2" max="2" width="45.42578125" style="1577" customWidth="1"/>
    <col min="3" max="3" width="7.42578125" style="1620" customWidth="1"/>
    <col min="4" max="4" width="5.140625" style="1620" customWidth="1"/>
    <col min="5" max="5" width="14.7109375" style="1620" customWidth="1"/>
    <col min="6" max="6" width="9.140625" style="1620"/>
    <col min="7" max="7" width="9.7109375" style="1620" customWidth="1"/>
    <col min="8" max="8" width="12.85546875" style="1577" customWidth="1"/>
    <col min="9" max="16384" width="9.140625" style="1577"/>
  </cols>
  <sheetData>
    <row r="1" spans="1:10">
      <c r="A1" s="1995" t="s">
        <v>3529</v>
      </c>
      <c r="B1" s="1995"/>
      <c r="C1" s="1995"/>
      <c r="D1" s="1995"/>
      <c r="E1" s="1995"/>
      <c r="F1" s="1995"/>
      <c r="G1" s="1995"/>
      <c r="H1" s="1995"/>
      <c r="I1" s="1575"/>
      <c r="J1" s="1576"/>
    </row>
    <row r="2" spans="1:10">
      <c r="A2" s="1995" t="s">
        <v>3629</v>
      </c>
      <c r="B2" s="1995"/>
      <c r="C2" s="1995"/>
      <c r="D2" s="1995"/>
      <c r="E2" s="1995"/>
      <c r="F2" s="1995"/>
      <c r="G2" s="1995"/>
      <c r="H2" s="1995"/>
      <c r="I2" s="1575"/>
      <c r="J2" s="1576"/>
    </row>
    <row r="3" spans="1:10">
      <c r="A3" s="1996" t="s">
        <v>5487</v>
      </c>
      <c r="B3" s="1996"/>
      <c r="C3" s="1996"/>
      <c r="D3" s="1996"/>
      <c r="E3" s="1996"/>
      <c r="F3" s="1996"/>
      <c r="G3" s="1996"/>
      <c r="H3" s="1996"/>
    </row>
    <row r="4" spans="1:10">
      <c r="A4" s="1996" t="s">
        <v>3631</v>
      </c>
      <c r="B4" s="1996"/>
      <c r="C4" s="1996"/>
      <c r="D4" s="1996"/>
      <c r="E4" s="1996"/>
      <c r="F4" s="1996"/>
      <c r="G4" s="1996"/>
      <c r="H4" s="1996"/>
    </row>
    <row r="5" spans="1:10">
      <c r="A5" s="1997" t="s">
        <v>3545</v>
      </c>
      <c r="B5" s="1997" t="s">
        <v>3497</v>
      </c>
      <c r="C5" s="1998" t="s">
        <v>154</v>
      </c>
      <c r="D5" s="1998"/>
      <c r="E5" s="1997" t="s">
        <v>3498</v>
      </c>
      <c r="F5" s="1997"/>
      <c r="G5" s="1997"/>
      <c r="H5" s="1997" t="s">
        <v>3</v>
      </c>
    </row>
    <row r="6" spans="1:10">
      <c r="A6" s="1997"/>
      <c r="B6" s="1997"/>
      <c r="C6" s="1998"/>
      <c r="D6" s="1998"/>
      <c r="E6" s="1997"/>
      <c r="F6" s="1997"/>
      <c r="G6" s="1997"/>
      <c r="H6" s="1997"/>
    </row>
    <row r="7" spans="1:10" ht="41.25" customHeight="1">
      <c r="A7" s="1579">
        <v>1</v>
      </c>
      <c r="B7" s="1580" t="s">
        <v>3632</v>
      </c>
      <c r="C7" s="1595"/>
      <c r="D7" s="1595"/>
      <c r="E7" s="1579"/>
      <c r="F7" s="1579"/>
      <c r="G7" s="1579"/>
      <c r="H7" s="1579"/>
    </row>
    <row r="8" spans="1:10" ht="24.75" customHeight="1">
      <c r="A8" s="1579"/>
      <c r="B8" s="1580" t="s">
        <v>3633</v>
      </c>
      <c r="C8" s="1595"/>
      <c r="D8" s="1595"/>
      <c r="E8" s="1579"/>
      <c r="F8" s="1579"/>
      <c r="G8" s="1579"/>
      <c r="H8" s="1581"/>
    </row>
    <row r="9" spans="1:10">
      <c r="A9" s="1579"/>
      <c r="B9" s="1582" t="s">
        <v>3634</v>
      </c>
      <c r="C9" s="1595">
        <v>1</v>
      </c>
      <c r="D9" s="1595">
        <v>1</v>
      </c>
      <c r="E9" s="731">
        <v>6.1</v>
      </c>
      <c r="F9" s="731">
        <v>3.4</v>
      </c>
      <c r="G9" s="731">
        <v>2</v>
      </c>
      <c r="H9" s="804">
        <f>PRODUCT(E9:G9)</f>
        <v>41.48</v>
      </c>
    </row>
    <row r="10" spans="1:10">
      <c r="A10" s="1579"/>
      <c r="B10" s="1582" t="s">
        <v>337</v>
      </c>
      <c r="C10" s="1595"/>
      <c r="D10" s="1595"/>
      <c r="E10" s="1579"/>
      <c r="F10" s="1579"/>
      <c r="G10" s="1579"/>
      <c r="H10" s="804"/>
    </row>
    <row r="11" spans="1:10">
      <c r="A11" s="1579"/>
      <c r="B11" s="1582"/>
      <c r="C11" s="1595"/>
      <c r="D11" s="1595"/>
      <c r="E11" s="1579"/>
      <c r="F11" s="1579"/>
      <c r="G11" s="1583" t="s">
        <v>5423</v>
      </c>
      <c r="H11" s="808">
        <v>41.5</v>
      </c>
    </row>
    <row r="12" spans="1:10" ht="39" customHeight="1">
      <c r="A12" s="1579">
        <v>2</v>
      </c>
      <c r="B12" s="1580" t="s">
        <v>5424</v>
      </c>
      <c r="C12" s="1595"/>
      <c r="D12" s="1595"/>
      <c r="E12" s="1579"/>
      <c r="F12" s="1579"/>
      <c r="G12" s="1579"/>
      <c r="H12" s="1581"/>
    </row>
    <row r="13" spans="1:10">
      <c r="A13" s="1579"/>
      <c r="B13" s="1582" t="s">
        <v>3634</v>
      </c>
      <c r="C13" s="1595">
        <v>1</v>
      </c>
      <c r="D13" s="1595">
        <v>1</v>
      </c>
      <c r="E13" s="731">
        <f>E9</f>
        <v>6.1</v>
      </c>
      <c r="F13" s="731">
        <v>3.4</v>
      </c>
      <c r="G13" s="731">
        <v>0.1</v>
      </c>
      <c r="H13" s="804">
        <f>PRODUCT(E13:G13)</f>
        <v>2.0739999999999998</v>
      </c>
    </row>
    <row r="14" spans="1:10">
      <c r="A14" s="1579"/>
      <c r="B14" s="1582" t="s">
        <v>337</v>
      </c>
      <c r="C14" s="1595"/>
      <c r="D14" s="1595"/>
      <c r="E14" s="1579"/>
      <c r="F14" s="1579"/>
      <c r="G14" s="1579"/>
      <c r="H14" s="804"/>
    </row>
    <row r="15" spans="1:10">
      <c r="A15" s="1579"/>
      <c r="B15" s="1582"/>
      <c r="C15" s="1595"/>
      <c r="D15" s="1595"/>
      <c r="E15" s="1579"/>
      <c r="F15" s="1579"/>
      <c r="G15" s="1583" t="s">
        <v>5423</v>
      </c>
      <c r="H15" s="808">
        <v>2.1</v>
      </c>
    </row>
    <row r="16" spans="1:10" ht="31.5">
      <c r="A16" s="1579">
        <v>3</v>
      </c>
      <c r="B16" s="1584" t="s">
        <v>3640</v>
      </c>
      <c r="C16" s="1595"/>
      <c r="D16" s="1595"/>
      <c r="E16" s="1579"/>
      <c r="F16" s="1579"/>
      <c r="G16" s="1579"/>
      <c r="H16" s="1581"/>
    </row>
    <row r="17" spans="1:8">
      <c r="A17" s="1579"/>
      <c r="B17" s="1582" t="s">
        <v>5425</v>
      </c>
      <c r="C17" s="1595">
        <v>1</v>
      </c>
      <c r="D17" s="1595">
        <v>1</v>
      </c>
      <c r="E17" s="731">
        <v>5.6</v>
      </c>
      <c r="F17" s="731">
        <v>2.9</v>
      </c>
      <c r="G17" s="1579">
        <v>0.125</v>
      </c>
      <c r="H17" s="804">
        <f>PRODUCT(E17:G17)</f>
        <v>2.0299999999999998</v>
      </c>
    </row>
    <row r="18" spans="1:8">
      <c r="A18" s="1579"/>
      <c r="B18" s="1582" t="s">
        <v>3668</v>
      </c>
      <c r="C18" s="1595">
        <v>-1</v>
      </c>
      <c r="D18" s="1595">
        <v>2</v>
      </c>
      <c r="E18" s="731">
        <v>0.6</v>
      </c>
      <c r="F18" s="731">
        <v>0.6</v>
      </c>
      <c r="G18" s="1579">
        <v>0.125</v>
      </c>
      <c r="H18" s="804">
        <f>PRODUCT(C18:G18)</f>
        <v>-0.09</v>
      </c>
    </row>
    <row r="19" spans="1:8">
      <c r="A19" s="1579"/>
      <c r="B19" s="1582"/>
      <c r="C19" s="1595"/>
      <c r="D19" s="1595"/>
      <c r="E19" s="1579"/>
      <c r="F19" s="1579"/>
      <c r="G19" s="1579"/>
      <c r="H19" s="804">
        <f>SUM(H17:H18)</f>
        <v>1.9399999999999997</v>
      </c>
    </row>
    <row r="20" spans="1:8">
      <c r="A20" s="1579"/>
      <c r="B20" s="1582"/>
      <c r="C20" s="1595"/>
      <c r="D20" s="1595"/>
      <c r="E20" s="1579"/>
      <c r="F20" s="1579"/>
      <c r="G20" s="1583" t="s">
        <v>5423</v>
      </c>
      <c r="H20" s="808">
        <v>2</v>
      </c>
    </row>
    <row r="21" spans="1:8" ht="35.450000000000003" customHeight="1">
      <c r="A21" s="1579">
        <v>4</v>
      </c>
      <c r="B21" s="1584" t="s">
        <v>5426</v>
      </c>
      <c r="C21" s="1595"/>
      <c r="D21" s="1595"/>
      <c r="E21" s="1579"/>
      <c r="F21" s="1579"/>
      <c r="G21" s="1579"/>
      <c r="H21" s="1581"/>
    </row>
    <row r="22" spans="1:8">
      <c r="A22" s="1579"/>
      <c r="B22" s="1582" t="s">
        <v>5427</v>
      </c>
      <c r="C22" s="1595">
        <v>1</v>
      </c>
      <c r="D22" s="1595">
        <v>1</v>
      </c>
      <c r="E22" s="731">
        <v>5.9</v>
      </c>
      <c r="F22" s="731">
        <v>3.2</v>
      </c>
      <c r="G22" s="731">
        <v>0.2</v>
      </c>
      <c r="H22" s="804">
        <f>PRODUCT(E22:G22)</f>
        <v>3.7760000000000007</v>
      </c>
    </row>
    <row r="23" spans="1:8">
      <c r="A23" s="1579"/>
      <c r="B23" s="1582" t="s">
        <v>5428</v>
      </c>
      <c r="C23" s="1595">
        <v>1</v>
      </c>
      <c r="D23" s="1595">
        <v>1</v>
      </c>
      <c r="E23" s="731">
        <v>16.2</v>
      </c>
      <c r="F23" s="731">
        <v>0.2</v>
      </c>
      <c r="G23" s="731">
        <v>2.2999999999999998</v>
      </c>
      <c r="H23" s="804">
        <f t="shared" ref="H23:H24" si="0">PRODUCT(E23:G23)</f>
        <v>7.452</v>
      </c>
    </row>
    <row r="24" spans="1:8">
      <c r="A24" s="1579"/>
      <c r="B24" s="1582" t="s">
        <v>5442</v>
      </c>
      <c r="C24" s="1595">
        <v>1</v>
      </c>
      <c r="D24" s="1595">
        <v>1</v>
      </c>
      <c r="E24" s="1579">
        <v>2.5</v>
      </c>
      <c r="F24" s="731">
        <v>0.2</v>
      </c>
      <c r="G24" s="731">
        <v>2.2999999999999998</v>
      </c>
      <c r="H24" s="804">
        <f t="shared" si="0"/>
        <v>1.1499999999999999</v>
      </c>
    </row>
    <row r="25" spans="1:8">
      <c r="A25" s="1579"/>
      <c r="B25" s="1582"/>
      <c r="C25" s="1595"/>
      <c r="D25" s="1595"/>
      <c r="E25" s="1579"/>
      <c r="F25" s="1579"/>
      <c r="G25" s="1579"/>
      <c r="H25" s="804">
        <f>SUM(H22:H24)</f>
        <v>12.378000000000002</v>
      </c>
    </row>
    <row r="26" spans="1:8">
      <c r="A26" s="1579"/>
      <c r="B26" s="1582"/>
      <c r="C26" s="1595"/>
      <c r="D26" s="1595"/>
      <c r="E26" s="1579"/>
      <c r="F26" s="1579"/>
      <c r="G26" s="1583"/>
      <c r="H26" s="808">
        <v>12.4</v>
      </c>
    </row>
    <row r="27" spans="1:8">
      <c r="A27" s="1579">
        <v>5</v>
      </c>
      <c r="B27" s="1585" t="s">
        <v>3650</v>
      </c>
      <c r="C27" s="1595"/>
      <c r="D27" s="1595"/>
      <c r="E27" s="1595"/>
      <c r="F27" s="1595"/>
      <c r="G27" s="1595"/>
      <c r="H27" s="1587"/>
    </row>
    <row r="28" spans="1:8">
      <c r="A28" s="1579"/>
      <c r="B28" s="1582" t="s">
        <v>3634</v>
      </c>
      <c r="C28" s="1595">
        <v>1</v>
      </c>
      <c r="D28" s="1595">
        <v>1</v>
      </c>
      <c r="E28" s="731">
        <v>19</v>
      </c>
      <c r="F28" s="731">
        <v>0.5</v>
      </c>
      <c r="G28" s="731">
        <v>1.7</v>
      </c>
      <c r="H28" s="808">
        <f t="shared" ref="H28" si="1">PRODUCT(E28:G28)</f>
        <v>16.149999999999999</v>
      </c>
    </row>
    <row r="29" spans="1:8">
      <c r="A29" s="1579"/>
      <c r="B29" s="1582"/>
      <c r="C29" s="1595"/>
      <c r="D29" s="1595"/>
      <c r="E29" s="731"/>
      <c r="F29" s="731"/>
      <c r="G29" s="1583"/>
      <c r="H29" s="808"/>
    </row>
    <row r="30" spans="1:8">
      <c r="A30" s="1579">
        <v>6</v>
      </c>
      <c r="B30" s="1584" t="s">
        <v>3654</v>
      </c>
      <c r="C30" s="1595"/>
      <c r="D30" s="1595"/>
      <c r="E30" s="1595"/>
      <c r="F30" s="1595"/>
      <c r="G30" s="1595"/>
      <c r="H30" s="1587"/>
    </row>
    <row r="31" spans="1:8">
      <c r="A31" s="1579"/>
      <c r="B31" s="1589" t="s">
        <v>3655</v>
      </c>
      <c r="C31" s="1595">
        <v>1</v>
      </c>
      <c r="D31" s="1595">
        <v>2</v>
      </c>
      <c r="E31" s="731">
        <v>10</v>
      </c>
      <c r="F31" s="1594"/>
      <c r="G31" s="731">
        <v>2.2999999999999998</v>
      </c>
      <c r="H31" s="804">
        <f>PRODUCT(C31:G31)</f>
        <v>46</v>
      </c>
    </row>
    <row r="32" spans="1:8">
      <c r="A32" s="1579"/>
      <c r="B32" s="1589" t="s">
        <v>5475</v>
      </c>
      <c r="C32" s="1595">
        <v>1</v>
      </c>
      <c r="D32" s="1595">
        <v>1</v>
      </c>
      <c r="E32" s="731">
        <v>17</v>
      </c>
      <c r="F32" s="1594" t="s">
        <v>21</v>
      </c>
      <c r="G32" s="731">
        <v>2.2999999999999998</v>
      </c>
      <c r="H32" s="804">
        <f t="shared" ref="H32:H33" si="2">PRODUCT(C32:G32)</f>
        <v>39.099999999999994</v>
      </c>
    </row>
    <row r="33" spans="1:8">
      <c r="A33" s="1579"/>
      <c r="B33" s="1590" t="s">
        <v>3658</v>
      </c>
      <c r="C33" s="1595">
        <v>1</v>
      </c>
      <c r="D33" s="1595">
        <v>2</v>
      </c>
      <c r="E33" s="731">
        <v>2.5</v>
      </c>
      <c r="F33" s="1594">
        <v>2.5</v>
      </c>
      <c r="G33" s="1595"/>
      <c r="H33" s="804">
        <f t="shared" si="2"/>
        <v>12.5</v>
      </c>
    </row>
    <row r="34" spans="1:8">
      <c r="A34" s="1579"/>
      <c r="B34" s="1590"/>
      <c r="C34" s="1595"/>
      <c r="D34" s="1595"/>
      <c r="E34" s="1579"/>
      <c r="F34" s="1595"/>
      <c r="G34" s="1595"/>
      <c r="H34" s="1591">
        <f>SUM(H31:H33)</f>
        <v>97.6</v>
      </c>
    </row>
    <row r="35" spans="1:8">
      <c r="A35" s="1579"/>
      <c r="B35" s="1586"/>
      <c r="C35" s="1595"/>
      <c r="D35" s="1595"/>
      <c r="E35" s="1595"/>
      <c r="F35" s="1595"/>
      <c r="G35" s="1583" t="s">
        <v>5423</v>
      </c>
      <c r="H35" s="1592">
        <v>97.6</v>
      </c>
    </row>
    <row r="36" spans="1:8">
      <c r="A36" s="1579">
        <v>7</v>
      </c>
      <c r="B36" s="1593" t="s">
        <v>3660</v>
      </c>
      <c r="C36" s="1595"/>
      <c r="D36" s="1595"/>
      <c r="E36" s="1595"/>
      <c r="F36" s="1595"/>
      <c r="G36" s="1595"/>
      <c r="H36" s="1587"/>
    </row>
    <row r="37" spans="1:8">
      <c r="A37" s="1579"/>
      <c r="B37" s="1586" t="s">
        <v>3661</v>
      </c>
      <c r="C37" s="1595">
        <v>1</v>
      </c>
      <c r="D37" s="1595">
        <v>10</v>
      </c>
      <c r="E37" s="1595"/>
      <c r="F37" s="1595"/>
      <c r="G37" s="1578"/>
      <c r="H37" s="808">
        <f t="shared" ref="H37" si="3">PRODUCT(C37:G37)</f>
        <v>10</v>
      </c>
    </row>
    <row r="38" spans="1:8">
      <c r="A38" s="1579">
        <v>8</v>
      </c>
      <c r="B38" s="1593" t="s">
        <v>3662</v>
      </c>
      <c r="C38" s="1595"/>
      <c r="D38" s="1595"/>
      <c r="E38" s="1595"/>
      <c r="F38" s="1595"/>
      <c r="G38" s="1595"/>
      <c r="H38" s="1587"/>
    </row>
    <row r="39" spans="1:8">
      <c r="A39" s="1579"/>
      <c r="B39" s="1625" t="s">
        <v>5484</v>
      </c>
      <c r="C39" s="1606"/>
      <c r="D39" s="1606"/>
      <c r="E39" s="1606"/>
      <c r="F39" s="1606"/>
      <c r="G39" s="1606"/>
      <c r="H39" s="1606"/>
    </row>
    <row r="40" spans="1:8">
      <c r="A40" s="1579"/>
      <c r="B40" s="1586" t="s">
        <v>5485</v>
      </c>
      <c r="C40" s="1595">
        <v>1</v>
      </c>
      <c r="D40" s="1595">
        <v>1</v>
      </c>
      <c r="E40" s="1594">
        <v>18.2</v>
      </c>
      <c r="F40" s="1595"/>
      <c r="G40" s="1594">
        <v>0.2</v>
      </c>
      <c r="H40" s="804">
        <f t="shared" ref="H40" si="4">PRODUCT(C40:G40)</f>
        <v>3.64</v>
      </c>
    </row>
    <row r="41" spans="1:8">
      <c r="A41" s="1579"/>
      <c r="B41" s="1586" t="s">
        <v>5477</v>
      </c>
      <c r="C41" s="1595">
        <v>1</v>
      </c>
      <c r="D41" s="1595">
        <v>1</v>
      </c>
      <c r="E41" s="1594">
        <v>2.5</v>
      </c>
      <c r="F41" s="1594">
        <v>2.5</v>
      </c>
      <c r="G41" s="1595"/>
      <c r="H41" s="804">
        <f t="shared" ref="H41:H44" si="5">PRODUCT(C41:G41)</f>
        <v>6.25</v>
      </c>
    </row>
    <row r="42" spans="1:8">
      <c r="A42" s="1579"/>
      <c r="B42" s="1586" t="s">
        <v>5478</v>
      </c>
      <c r="C42" s="1595">
        <v>1</v>
      </c>
      <c r="D42" s="1595">
        <v>1</v>
      </c>
      <c r="E42" s="1594">
        <v>17</v>
      </c>
      <c r="F42" s="1595"/>
      <c r="G42" s="1595">
        <v>0.125</v>
      </c>
      <c r="H42" s="804">
        <f t="shared" si="5"/>
        <v>2.125</v>
      </c>
    </row>
    <row r="43" spans="1:8">
      <c r="A43" s="1579"/>
      <c r="B43" s="1586" t="s">
        <v>5479</v>
      </c>
      <c r="C43" s="1595">
        <v>-1</v>
      </c>
      <c r="D43" s="1595">
        <v>2</v>
      </c>
      <c r="E43" s="1594">
        <v>0.6</v>
      </c>
      <c r="F43" s="1594">
        <v>0.6</v>
      </c>
      <c r="G43" s="1595">
        <v>0.125</v>
      </c>
      <c r="H43" s="804">
        <f t="shared" si="5"/>
        <v>-0.09</v>
      </c>
    </row>
    <row r="44" spans="1:8">
      <c r="A44" s="1579"/>
      <c r="B44" s="1586" t="s">
        <v>5480</v>
      </c>
      <c r="C44" s="1595">
        <v>1</v>
      </c>
      <c r="D44" s="1595">
        <v>2</v>
      </c>
      <c r="E44" s="1594">
        <v>2.4</v>
      </c>
      <c r="F44" s="1594"/>
      <c r="G44" s="1595">
        <v>0.125</v>
      </c>
      <c r="H44" s="804">
        <f t="shared" si="5"/>
        <v>0.6</v>
      </c>
    </row>
    <row r="45" spans="1:8">
      <c r="A45" s="1579"/>
      <c r="B45" s="1586"/>
      <c r="C45" s="1595"/>
      <c r="D45" s="1595"/>
      <c r="E45" s="1594"/>
      <c r="F45" s="1594"/>
      <c r="G45" s="1595"/>
      <c r="H45" s="804">
        <f>SUM(H40:H44)</f>
        <v>12.525</v>
      </c>
    </row>
    <row r="46" spans="1:8">
      <c r="A46" s="1579"/>
      <c r="B46" s="1586"/>
      <c r="C46" s="1595"/>
      <c r="D46" s="1595"/>
      <c r="E46" s="1594"/>
      <c r="F46" s="1594"/>
      <c r="G46" s="1595" t="s">
        <v>9</v>
      </c>
      <c r="H46" s="808">
        <v>12.6</v>
      </c>
    </row>
    <row r="47" spans="1:8">
      <c r="A47" s="1579"/>
      <c r="B47" s="1593" t="s">
        <v>5476</v>
      </c>
      <c r="C47" s="1595"/>
      <c r="D47" s="1595"/>
      <c r="E47" s="1595"/>
      <c r="F47" s="1595"/>
      <c r="G47" s="1595"/>
      <c r="H47" s="1592"/>
    </row>
    <row r="48" spans="1:8">
      <c r="A48" s="1579"/>
      <c r="B48" s="1586" t="s">
        <v>5481</v>
      </c>
      <c r="C48" s="1595">
        <v>1</v>
      </c>
      <c r="D48" s="1595">
        <v>1</v>
      </c>
      <c r="E48" s="731">
        <v>17</v>
      </c>
      <c r="F48" s="1595" t="s">
        <v>21</v>
      </c>
      <c r="G48" s="1594">
        <v>2.2999999999999998</v>
      </c>
      <c r="H48" s="804">
        <f t="shared" ref="H48:H49" si="6">PRODUCT(C48:G48)</f>
        <v>39.099999999999994</v>
      </c>
    </row>
    <row r="49" spans="1:10">
      <c r="A49" s="1579"/>
      <c r="B49" s="1586" t="s">
        <v>5482</v>
      </c>
      <c r="C49" s="1595">
        <v>1</v>
      </c>
      <c r="D49" s="1595">
        <v>2</v>
      </c>
      <c r="E49" s="731">
        <v>10</v>
      </c>
      <c r="F49" s="1594" t="s">
        <v>21</v>
      </c>
      <c r="G49" s="1594">
        <v>2.2999999999999998</v>
      </c>
      <c r="H49" s="804">
        <f t="shared" si="6"/>
        <v>46</v>
      </c>
    </row>
    <row r="50" spans="1:10">
      <c r="A50" s="1579"/>
      <c r="B50" s="1586"/>
      <c r="C50" s="1595"/>
      <c r="D50" s="1595"/>
      <c r="E50" s="1595"/>
      <c r="F50" s="1595"/>
      <c r="G50" s="1595"/>
      <c r="H50" s="1592">
        <f>SUM(H48:H49)</f>
        <v>85.1</v>
      </c>
    </row>
    <row r="51" spans="1:10" ht="31.5">
      <c r="A51" s="1579">
        <v>9</v>
      </c>
      <c r="B51" s="1588" t="s">
        <v>3669</v>
      </c>
      <c r="C51" s="1595"/>
      <c r="D51" s="1595"/>
      <c r="E51" s="1595"/>
      <c r="F51" s="1595"/>
      <c r="G51" s="1595"/>
      <c r="H51" s="1587"/>
    </row>
    <row r="52" spans="1:10">
      <c r="A52" s="1579"/>
      <c r="B52" s="1586" t="s">
        <v>3670</v>
      </c>
      <c r="C52" s="1594">
        <f>H20</f>
        <v>2</v>
      </c>
      <c r="D52" s="1595"/>
      <c r="E52" s="1595"/>
      <c r="F52" s="1595"/>
      <c r="G52" s="1595"/>
      <c r="H52" s="1587"/>
      <c r="J52" s="1577">
        <f>F54/1000</f>
        <v>1.44</v>
      </c>
    </row>
    <row r="53" spans="1:10">
      <c r="A53" s="1579"/>
      <c r="B53" s="1586" t="s">
        <v>5429</v>
      </c>
      <c r="C53" s="1594">
        <f>H26</f>
        <v>12.4</v>
      </c>
      <c r="D53" s="1595"/>
      <c r="E53" s="1595"/>
      <c r="F53" s="1595"/>
      <c r="G53" s="1595"/>
      <c r="H53" s="1587"/>
    </row>
    <row r="54" spans="1:10">
      <c r="A54" s="1579"/>
      <c r="B54" s="1586"/>
      <c r="C54" s="1594">
        <f>SUM(C52:C53)</f>
        <v>14.4</v>
      </c>
      <c r="D54" s="1595" t="s">
        <v>3671</v>
      </c>
      <c r="E54" s="1595">
        <v>100</v>
      </c>
      <c r="F54" s="1594">
        <f>C54*E54</f>
        <v>1440</v>
      </c>
      <c r="G54" s="1595" t="s">
        <v>3673</v>
      </c>
      <c r="H54" s="1596" t="s">
        <v>5483</v>
      </c>
    </row>
    <row r="55" spans="1:10">
      <c r="A55" s="1579"/>
      <c r="B55" s="1586"/>
      <c r="C55" s="1594"/>
      <c r="D55" s="1595"/>
      <c r="E55" s="1595"/>
      <c r="F55" s="1595"/>
      <c r="G55" s="1578" t="s">
        <v>9</v>
      </c>
      <c r="H55" s="1596">
        <v>1.5</v>
      </c>
    </row>
    <row r="56" spans="1:10" ht="31.5">
      <c r="A56" s="1579">
        <v>10</v>
      </c>
      <c r="B56" s="1588" t="s">
        <v>3674</v>
      </c>
      <c r="C56" s="1595"/>
      <c r="D56" s="1595"/>
      <c r="E56" s="1595"/>
      <c r="F56" s="1595"/>
      <c r="G56" s="1595"/>
      <c r="H56" s="1587"/>
    </row>
    <row r="57" spans="1:10">
      <c r="A57" s="1579"/>
      <c r="B57" s="1586" t="s">
        <v>3661</v>
      </c>
      <c r="C57" s="1595">
        <v>1</v>
      </c>
      <c r="D57" s="1595">
        <v>2</v>
      </c>
      <c r="E57" s="1595"/>
      <c r="F57" s="1595"/>
      <c r="G57" s="1595"/>
      <c r="H57" s="1592">
        <v>2</v>
      </c>
    </row>
    <row r="58" spans="1:10" s="703" customFormat="1" ht="31.5">
      <c r="A58" s="1597">
        <v>11</v>
      </c>
      <c r="B58" s="1598" t="s">
        <v>5443</v>
      </c>
      <c r="C58" s="1621"/>
      <c r="D58" s="1621"/>
      <c r="E58" s="1597"/>
      <c r="F58" s="1597"/>
      <c r="G58" s="1597"/>
      <c r="H58" s="14"/>
      <c r="I58" s="703">
        <v>29823</v>
      </c>
    </row>
    <row r="59" spans="1:10" s="703" customFormat="1">
      <c r="A59" s="1597"/>
      <c r="B59" s="805" t="s">
        <v>5444</v>
      </c>
      <c r="C59" s="1621">
        <v>1</v>
      </c>
      <c r="D59" s="1621">
        <v>2</v>
      </c>
      <c r="E59" s="1597" t="s">
        <v>21</v>
      </c>
      <c r="F59" s="1597" t="s">
        <v>21</v>
      </c>
      <c r="G59" s="1597" t="s">
        <v>21</v>
      </c>
      <c r="H59" s="14">
        <f>D59</f>
        <v>2</v>
      </c>
    </row>
    <row r="60" spans="1:10" s="703" customFormat="1">
      <c r="A60" s="1597"/>
      <c r="B60" s="805"/>
      <c r="C60" s="1621"/>
      <c r="D60" s="1621"/>
      <c r="E60" s="1597"/>
      <c r="F60" s="1597"/>
      <c r="G60" s="1597"/>
      <c r="H60" s="14"/>
    </row>
    <row r="61" spans="1:10" s="703" customFormat="1" ht="110.25">
      <c r="A61" s="2">
        <v>12</v>
      </c>
      <c r="B61" s="1599" t="s">
        <v>5445</v>
      </c>
      <c r="C61" s="1622"/>
      <c r="D61" s="1622"/>
      <c r="E61" s="3"/>
      <c r="F61" s="3"/>
      <c r="G61" s="3"/>
      <c r="H61" s="13"/>
    </row>
    <row r="62" spans="1:10" s="703" customFormat="1">
      <c r="A62" s="2"/>
      <c r="B62" s="1" t="s">
        <v>5446</v>
      </c>
      <c r="C62" s="1622">
        <v>1</v>
      </c>
      <c r="D62" s="1622">
        <v>2</v>
      </c>
      <c r="E62" s="3"/>
      <c r="F62" s="3"/>
      <c r="G62" s="3"/>
      <c r="H62" s="14">
        <f>PRODUCT(C62:G62)</f>
        <v>2</v>
      </c>
    </row>
    <row r="63" spans="1:10" s="703" customFormat="1">
      <c r="A63" s="2"/>
      <c r="B63" s="1"/>
      <c r="C63" s="1622"/>
      <c r="D63" s="1622"/>
      <c r="E63" s="3"/>
      <c r="F63" s="3"/>
      <c r="G63" s="3"/>
      <c r="H63" s="14"/>
    </row>
    <row r="64" spans="1:10" s="703" customFormat="1" ht="252">
      <c r="A64" s="2">
        <v>13</v>
      </c>
      <c r="B64" s="7" t="s">
        <v>4388</v>
      </c>
      <c r="C64" s="1622"/>
      <c r="D64" s="1622"/>
      <c r="E64" s="3"/>
      <c r="F64" s="3"/>
      <c r="G64" s="3"/>
      <c r="H64" s="14"/>
    </row>
    <row r="65" spans="1:8" s="703" customFormat="1">
      <c r="A65" s="2"/>
      <c r="B65" s="1" t="s">
        <v>5447</v>
      </c>
      <c r="C65" s="1622">
        <v>1</v>
      </c>
      <c r="D65" s="1622">
        <v>2</v>
      </c>
      <c r="E65" s="3"/>
      <c r="F65" s="3"/>
      <c r="G65" s="3"/>
      <c r="H65" s="14">
        <f>PRODUCT(C65:G65)</f>
        <v>2</v>
      </c>
    </row>
    <row r="66" spans="1:8" s="703" customFormat="1" ht="47.25">
      <c r="A66" s="2">
        <v>14</v>
      </c>
      <c r="B66" s="1599" t="s">
        <v>5448</v>
      </c>
      <c r="C66" s="1622"/>
      <c r="D66" s="1622"/>
      <c r="E66" s="3"/>
      <c r="F66" s="3"/>
      <c r="G66" s="3"/>
      <c r="H66" s="14"/>
    </row>
    <row r="67" spans="1:8" s="703" customFormat="1" ht="31.5">
      <c r="A67" s="2"/>
      <c r="B67" s="1" t="s">
        <v>5449</v>
      </c>
      <c r="C67" s="1622">
        <v>1</v>
      </c>
      <c r="D67" s="1622">
        <v>1</v>
      </c>
      <c r="E67" s="3">
        <v>30</v>
      </c>
      <c r="F67" s="3"/>
      <c r="G67" s="3"/>
      <c r="H67" s="14">
        <f>PRODUCT(C67:G67)</f>
        <v>30</v>
      </c>
    </row>
    <row r="68" spans="1:8" s="703" customFormat="1">
      <c r="A68" s="1600"/>
      <c r="B68" s="1601"/>
      <c r="C68" s="1623"/>
      <c r="D68" s="1623"/>
      <c r="E68" s="1602"/>
      <c r="F68" s="1602"/>
      <c r="G68" s="1602"/>
      <c r="H68" s="1603"/>
    </row>
    <row r="69" spans="1:8" s="703" customFormat="1" ht="47.25">
      <c r="A69" s="2">
        <v>15</v>
      </c>
      <c r="B69" s="1604" t="s">
        <v>5450</v>
      </c>
      <c r="C69" s="1622"/>
      <c r="D69" s="1622"/>
      <c r="E69" s="3"/>
      <c r="F69" s="3"/>
      <c r="G69" s="3"/>
      <c r="H69" s="14"/>
    </row>
    <row r="70" spans="1:8" s="703" customFormat="1">
      <c r="A70" s="2"/>
      <c r="B70" s="1" t="s">
        <v>5451</v>
      </c>
      <c r="C70" s="1622">
        <v>1</v>
      </c>
      <c r="D70" s="1622">
        <v>1</v>
      </c>
      <c r="E70" s="3">
        <v>30</v>
      </c>
      <c r="F70" s="3"/>
      <c r="G70" s="3"/>
      <c r="H70" s="14">
        <f>PRODUCT(C70:G70)</f>
        <v>30</v>
      </c>
    </row>
    <row r="71" spans="1:8" s="703" customFormat="1">
      <c r="A71" s="2"/>
      <c r="B71" s="1"/>
      <c r="C71" s="1622"/>
      <c r="D71" s="1622"/>
      <c r="E71" s="3"/>
      <c r="F71" s="3"/>
      <c r="G71" s="3"/>
      <c r="H71" s="14"/>
    </row>
    <row r="72" spans="1:8" s="703" customFormat="1" ht="47.25">
      <c r="A72" s="1568">
        <v>16</v>
      </c>
      <c r="B72" s="735" t="s">
        <v>5452</v>
      </c>
      <c r="C72" s="1624"/>
      <c r="D72" s="1624"/>
      <c r="E72" s="1568"/>
      <c r="F72" s="1568"/>
      <c r="G72" s="1568"/>
      <c r="H72" s="1567"/>
    </row>
    <row r="73" spans="1:8" s="703" customFormat="1">
      <c r="A73" s="1567"/>
      <c r="B73" s="1567" t="s">
        <v>5453</v>
      </c>
      <c r="C73" s="1624">
        <v>1</v>
      </c>
      <c r="D73" s="1624">
        <v>1</v>
      </c>
      <c r="E73" s="1568">
        <v>150</v>
      </c>
      <c r="F73" s="1568" t="s">
        <v>21</v>
      </c>
      <c r="G73" s="1568"/>
      <c r="H73" s="14">
        <f>PRODUCT(C73:G73)</f>
        <v>150</v>
      </c>
    </row>
    <row r="74" spans="1:8" s="703" customFormat="1">
      <c r="A74" s="1567"/>
      <c r="B74" s="1567"/>
      <c r="C74" s="1624"/>
      <c r="D74" s="1624"/>
      <c r="E74" s="1568"/>
      <c r="F74" s="1568"/>
      <c r="G74" s="1568"/>
      <c r="H74" s="14"/>
    </row>
    <row r="75" spans="1:8" s="1605" customFormat="1" ht="31.5">
      <c r="A75" s="1579">
        <v>17</v>
      </c>
      <c r="B75" s="1618" t="str">
        <f>Abstarct!B102</f>
        <v>Steel grill for Verandah Enclousure PWD SR p20/ Item 138/131</v>
      </c>
      <c r="C75" s="1595"/>
      <c r="D75" s="1595"/>
      <c r="E75" s="1595"/>
      <c r="F75" s="1595"/>
      <c r="G75" s="1595"/>
      <c r="H75" s="14"/>
    </row>
    <row r="76" spans="1:8" s="1605" customFormat="1">
      <c r="A76" s="1586"/>
      <c r="B76" s="1582" t="s">
        <v>5455</v>
      </c>
      <c r="C76" s="1595">
        <v>1</v>
      </c>
      <c r="D76" s="1595">
        <v>5</v>
      </c>
      <c r="E76" s="731">
        <v>1.5</v>
      </c>
      <c r="F76" s="731">
        <v>1.5</v>
      </c>
      <c r="G76" s="731">
        <v>0.75</v>
      </c>
      <c r="H76" s="13">
        <f t="shared" ref="H76:H78" si="7">PRODUCT(C76:G76)</f>
        <v>8.4375</v>
      </c>
    </row>
    <row r="77" spans="1:8" s="1605" customFormat="1">
      <c r="A77" s="1586"/>
      <c r="B77" s="1582" t="s">
        <v>5454</v>
      </c>
      <c r="C77" s="1595">
        <v>1</v>
      </c>
      <c r="D77" s="1595">
        <v>8</v>
      </c>
      <c r="E77" s="731">
        <v>1.5</v>
      </c>
      <c r="F77" s="731">
        <v>1.5</v>
      </c>
      <c r="G77" s="731">
        <v>0.75</v>
      </c>
      <c r="H77" s="13">
        <f t="shared" si="7"/>
        <v>13.5</v>
      </c>
    </row>
    <row r="78" spans="1:8" s="1605" customFormat="1">
      <c r="A78" s="1586"/>
      <c r="B78" s="1582" t="s">
        <v>5456</v>
      </c>
      <c r="C78" s="1595">
        <v>1</v>
      </c>
      <c r="D78" s="1595">
        <v>24</v>
      </c>
      <c r="E78" s="731">
        <v>1.5</v>
      </c>
      <c r="F78" s="731">
        <v>1.5</v>
      </c>
      <c r="G78" s="731">
        <v>0.75</v>
      </c>
      <c r="H78" s="13">
        <f t="shared" si="7"/>
        <v>40.5</v>
      </c>
    </row>
    <row r="79" spans="1:8" s="1605" customFormat="1">
      <c r="A79" s="1586"/>
      <c r="B79" s="1586"/>
      <c r="C79" s="1595"/>
      <c r="D79" s="1595"/>
      <c r="E79" s="1579"/>
      <c r="F79" s="1579"/>
      <c r="G79" s="1579"/>
      <c r="H79" s="800">
        <f>SUM(H76:H78)</f>
        <v>62.4375</v>
      </c>
    </row>
    <row r="80" spans="1:8">
      <c r="A80" s="1606"/>
      <c r="B80" s="1606"/>
      <c r="C80" s="1619"/>
      <c r="D80" s="1619"/>
      <c r="E80" s="731">
        <f>H79</f>
        <v>62.4375</v>
      </c>
      <c r="F80" s="1579" t="s">
        <v>3671</v>
      </c>
      <c r="G80" s="731">
        <v>45</v>
      </c>
      <c r="H80" s="800">
        <f>E80*G80</f>
        <v>2809.6875</v>
      </c>
    </row>
    <row r="81" spans="1:8">
      <c r="A81" s="1606"/>
      <c r="B81" s="1606"/>
      <c r="C81" s="1619"/>
      <c r="D81" s="1619"/>
      <c r="E81" s="1619"/>
      <c r="F81" s="1619"/>
      <c r="G81" s="1595" t="s">
        <v>9</v>
      </c>
      <c r="H81" s="1607">
        <v>2810</v>
      </c>
    </row>
    <row r="82" spans="1:8">
      <c r="A82" s="1606"/>
      <c r="B82" s="1606"/>
      <c r="C82" s="1619"/>
      <c r="D82" s="1619"/>
      <c r="E82" s="1619"/>
      <c r="F82" s="1619"/>
      <c r="G82" s="1619"/>
      <c r="H82" s="1606"/>
    </row>
  </sheetData>
  <mergeCells count="9">
    <mergeCell ref="A1:H1"/>
    <mergeCell ref="A2:H2"/>
    <mergeCell ref="A3:H3"/>
    <mergeCell ref="A4:H4"/>
    <mergeCell ref="A5:A6"/>
    <mergeCell ref="B5:B6"/>
    <mergeCell ref="C5:D6"/>
    <mergeCell ref="E5:G6"/>
    <mergeCell ref="H5:H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dimension ref="A1:XFB45"/>
  <sheetViews>
    <sheetView view="pageBreakPreview" topLeftCell="A22" zoomScale="85" zoomScaleNormal="85" zoomScaleSheetLayoutView="85" workbookViewId="0">
      <selection activeCell="M30" sqref="M30"/>
    </sheetView>
  </sheetViews>
  <sheetFormatPr defaultRowHeight="18.75"/>
  <cols>
    <col min="1" max="1" width="10.28515625" style="1496" customWidth="1"/>
    <col min="2" max="2" width="45.42578125" style="1499" customWidth="1"/>
    <col min="3" max="4" width="4.7109375" style="1497" customWidth="1"/>
    <col min="5" max="5" width="16.28515625" style="1497" customWidth="1"/>
    <col min="6" max="6" width="12.7109375" style="1497" customWidth="1"/>
    <col min="7" max="7" width="8.42578125" style="1497" customWidth="1"/>
    <col min="8" max="8" width="11.42578125" style="1498" customWidth="1"/>
    <col min="9" max="10" width="8.85546875" style="1469"/>
    <col min="11" max="11" width="10.140625" style="1469" customWidth="1"/>
    <col min="12" max="254" width="8.85546875" style="1469"/>
    <col min="255" max="255" width="5.7109375" style="1469" customWidth="1"/>
    <col min="256" max="256" width="44.42578125" style="1469" customWidth="1"/>
    <col min="257" max="258" width="3.7109375" style="1469" customWidth="1"/>
    <col min="259" max="259" width="9.5703125" style="1469" customWidth="1"/>
    <col min="260" max="261" width="8.42578125" style="1469" customWidth="1"/>
    <col min="262" max="262" width="11.42578125" style="1469" customWidth="1"/>
    <col min="263" max="510" width="8.85546875" style="1469"/>
    <col min="511" max="511" width="5.7109375" style="1469" customWidth="1"/>
    <col min="512" max="512" width="44.42578125" style="1469" customWidth="1"/>
    <col min="513" max="514" width="3.7109375" style="1469" customWidth="1"/>
    <col min="515" max="515" width="9.5703125" style="1469" customWidth="1"/>
    <col min="516" max="517" width="8.42578125" style="1469" customWidth="1"/>
    <col min="518" max="518" width="11.42578125" style="1469" customWidth="1"/>
    <col min="519" max="766" width="8.85546875" style="1469"/>
    <col min="767" max="767" width="5.7109375" style="1469" customWidth="1"/>
    <col min="768" max="768" width="44.42578125" style="1469" customWidth="1"/>
    <col min="769" max="770" width="3.7109375" style="1469" customWidth="1"/>
    <col min="771" max="771" width="9.5703125" style="1469" customWidth="1"/>
    <col min="772" max="773" width="8.42578125" style="1469" customWidth="1"/>
    <col min="774" max="774" width="11.42578125" style="1469" customWidth="1"/>
    <col min="775" max="1022" width="8.85546875" style="1469"/>
    <col min="1023" max="1023" width="5.7109375" style="1469" customWidth="1"/>
    <col min="1024" max="1024" width="44.42578125" style="1469" customWidth="1"/>
    <col min="1025" max="1026" width="3.7109375" style="1469" customWidth="1"/>
    <col min="1027" max="1027" width="9.5703125" style="1469" customWidth="1"/>
    <col min="1028" max="1029" width="8.42578125" style="1469" customWidth="1"/>
    <col min="1030" max="1030" width="11.42578125" style="1469" customWidth="1"/>
    <col min="1031" max="1278" width="8.85546875" style="1469"/>
    <col min="1279" max="1279" width="5.7109375" style="1469" customWidth="1"/>
    <col min="1280" max="1280" width="44.42578125" style="1469" customWidth="1"/>
    <col min="1281" max="1282" width="3.7109375" style="1469" customWidth="1"/>
    <col min="1283" max="1283" width="9.5703125" style="1469" customWidth="1"/>
    <col min="1284" max="1285" width="8.42578125" style="1469" customWidth="1"/>
    <col min="1286" max="1286" width="11.42578125" style="1469" customWidth="1"/>
    <col min="1287" max="1534" width="8.85546875" style="1469"/>
    <col min="1535" max="1535" width="5.7109375" style="1469" customWidth="1"/>
    <col min="1536" max="1536" width="44.42578125" style="1469" customWidth="1"/>
    <col min="1537" max="1538" width="3.7109375" style="1469" customWidth="1"/>
    <col min="1539" max="1539" width="9.5703125" style="1469" customWidth="1"/>
    <col min="1540" max="1541" width="8.42578125" style="1469" customWidth="1"/>
    <col min="1542" max="1542" width="11.42578125" style="1469" customWidth="1"/>
    <col min="1543" max="1790" width="8.85546875" style="1469"/>
    <col min="1791" max="1791" width="5.7109375" style="1469" customWidth="1"/>
    <col min="1792" max="1792" width="44.42578125" style="1469" customWidth="1"/>
    <col min="1793" max="1794" width="3.7109375" style="1469" customWidth="1"/>
    <col min="1795" max="1795" width="9.5703125" style="1469" customWidth="1"/>
    <col min="1796" max="1797" width="8.42578125" style="1469" customWidth="1"/>
    <col min="1798" max="1798" width="11.42578125" style="1469" customWidth="1"/>
    <col min="1799" max="2046" width="8.85546875" style="1469"/>
    <col min="2047" max="2047" width="5.7109375" style="1469" customWidth="1"/>
    <col min="2048" max="2048" width="44.42578125" style="1469" customWidth="1"/>
    <col min="2049" max="2050" width="3.7109375" style="1469" customWidth="1"/>
    <col min="2051" max="2051" width="9.5703125" style="1469" customWidth="1"/>
    <col min="2052" max="2053" width="8.42578125" style="1469" customWidth="1"/>
    <col min="2054" max="2054" width="11.42578125" style="1469" customWidth="1"/>
    <col min="2055" max="2302" width="8.85546875" style="1469"/>
    <col min="2303" max="2303" width="5.7109375" style="1469" customWidth="1"/>
    <col min="2304" max="2304" width="44.42578125" style="1469" customWidth="1"/>
    <col min="2305" max="2306" width="3.7109375" style="1469" customWidth="1"/>
    <col min="2307" max="2307" width="9.5703125" style="1469" customWidth="1"/>
    <col min="2308" max="2309" width="8.42578125" style="1469" customWidth="1"/>
    <col min="2310" max="2310" width="11.42578125" style="1469" customWidth="1"/>
    <col min="2311" max="2558" width="8.85546875" style="1469"/>
    <col min="2559" max="2559" width="5.7109375" style="1469" customWidth="1"/>
    <col min="2560" max="2560" width="44.42578125" style="1469" customWidth="1"/>
    <col min="2561" max="2562" width="3.7109375" style="1469" customWidth="1"/>
    <col min="2563" max="2563" width="9.5703125" style="1469" customWidth="1"/>
    <col min="2564" max="2565" width="8.42578125" style="1469" customWidth="1"/>
    <col min="2566" max="2566" width="11.42578125" style="1469" customWidth="1"/>
    <col min="2567" max="2814" width="8.85546875" style="1469"/>
    <col min="2815" max="2815" width="5.7109375" style="1469" customWidth="1"/>
    <col min="2816" max="2816" width="44.42578125" style="1469" customWidth="1"/>
    <col min="2817" max="2818" width="3.7109375" style="1469" customWidth="1"/>
    <col min="2819" max="2819" width="9.5703125" style="1469" customWidth="1"/>
    <col min="2820" max="2821" width="8.42578125" style="1469" customWidth="1"/>
    <col min="2822" max="2822" width="11.42578125" style="1469" customWidth="1"/>
    <col min="2823" max="3070" width="8.85546875" style="1469"/>
    <col min="3071" max="3071" width="5.7109375" style="1469" customWidth="1"/>
    <col min="3072" max="3072" width="44.42578125" style="1469" customWidth="1"/>
    <col min="3073" max="3074" width="3.7109375" style="1469" customWidth="1"/>
    <col min="3075" max="3075" width="9.5703125" style="1469" customWidth="1"/>
    <col min="3076" max="3077" width="8.42578125" style="1469" customWidth="1"/>
    <col min="3078" max="3078" width="11.42578125" style="1469" customWidth="1"/>
    <col min="3079" max="3326" width="8.85546875" style="1469"/>
    <col min="3327" max="3327" width="5.7109375" style="1469" customWidth="1"/>
    <col min="3328" max="3328" width="44.42578125" style="1469" customWidth="1"/>
    <col min="3329" max="3330" width="3.7109375" style="1469" customWidth="1"/>
    <col min="3331" max="3331" width="9.5703125" style="1469" customWidth="1"/>
    <col min="3332" max="3333" width="8.42578125" style="1469" customWidth="1"/>
    <col min="3334" max="3334" width="11.42578125" style="1469" customWidth="1"/>
    <col min="3335" max="3582" width="8.85546875" style="1469"/>
    <col min="3583" max="3583" width="5.7109375" style="1469" customWidth="1"/>
    <col min="3584" max="3584" width="44.42578125" style="1469" customWidth="1"/>
    <col min="3585" max="3586" width="3.7109375" style="1469" customWidth="1"/>
    <col min="3587" max="3587" width="9.5703125" style="1469" customWidth="1"/>
    <col min="3588" max="3589" width="8.42578125" style="1469" customWidth="1"/>
    <col min="3590" max="3590" width="11.42578125" style="1469" customWidth="1"/>
    <col min="3591" max="3838" width="8.85546875" style="1469"/>
    <col min="3839" max="3839" width="5.7109375" style="1469" customWidth="1"/>
    <col min="3840" max="3840" width="44.42578125" style="1469" customWidth="1"/>
    <col min="3841" max="3842" width="3.7109375" style="1469" customWidth="1"/>
    <col min="3843" max="3843" width="9.5703125" style="1469" customWidth="1"/>
    <col min="3844" max="3845" width="8.42578125" style="1469" customWidth="1"/>
    <col min="3846" max="3846" width="11.42578125" style="1469" customWidth="1"/>
    <col min="3847" max="4094" width="8.85546875" style="1469"/>
    <col min="4095" max="4095" width="5.7109375" style="1469" customWidth="1"/>
    <col min="4096" max="4096" width="44.42578125" style="1469" customWidth="1"/>
    <col min="4097" max="4098" width="3.7109375" style="1469" customWidth="1"/>
    <col min="4099" max="4099" width="9.5703125" style="1469" customWidth="1"/>
    <col min="4100" max="4101" width="8.42578125" style="1469" customWidth="1"/>
    <col min="4102" max="4102" width="11.42578125" style="1469" customWidth="1"/>
    <col min="4103" max="4350" width="8.85546875" style="1469"/>
    <col min="4351" max="4351" width="5.7109375" style="1469" customWidth="1"/>
    <col min="4352" max="4352" width="44.42578125" style="1469" customWidth="1"/>
    <col min="4353" max="4354" width="3.7109375" style="1469" customWidth="1"/>
    <col min="4355" max="4355" width="9.5703125" style="1469" customWidth="1"/>
    <col min="4356" max="4357" width="8.42578125" style="1469" customWidth="1"/>
    <col min="4358" max="4358" width="11.42578125" style="1469" customWidth="1"/>
    <col min="4359" max="4606" width="8.85546875" style="1469"/>
    <col min="4607" max="4607" width="5.7109375" style="1469" customWidth="1"/>
    <col min="4608" max="4608" width="44.42578125" style="1469" customWidth="1"/>
    <col min="4609" max="4610" width="3.7109375" style="1469" customWidth="1"/>
    <col min="4611" max="4611" width="9.5703125" style="1469" customWidth="1"/>
    <col min="4612" max="4613" width="8.42578125" style="1469" customWidth="1"/>
    <col min="4614" max="4614" width="11.42578125" style="1469" customWidth="1"/>
    <col min="4615" max="4862" width="8.85546875" style="1469"/>
    <col min="4863" max="4863" width="5.7109375" style="1469" customWidth="1"/>
    <col min="4864" max="4864" width="44.42578125" style="1469" customWidth="1"/>
    <col min="4865" max="4866" width="3.7109375" style="1469" customWidth="1"/>
    <col min="4867" max="4867" width="9.5703125" style="1469" customWidth="1"/>
    <col min="4868" max="4869" width="8.42578125" style="1469" customWidth="1"/>
    <col min="4870" max="4870" width="11.42578125" style="1469" customWidth="1"/>
    <col min="4871" max="5118" width="8.85546875" style="1469"/>
    <col min="5119" max="5119" width="5.7109375" style="1469" customWidth="1"/>
    <col min="5120" max="5120" width="44.42578125" style="1469" customWidth="1"/>
    <col min="5121" max="5122" width="3.7109375" style="1469" customWidth="1"/>
    <col min="5123" max="5123" width="9.5703125" style="1469" customWidth="1"/>
    <col min="5124" max="5125" width="8.42578125" style="1469" customWidth="1"/>
    <col min="5126" max="5126" width="11.42578125" style="1469" customWidth="1"/>
    <col min="5127" max="5374" width="8.85546875" style="1469"/>
    <col min="5375" max="5375" width="5.7109375" style="1469" customWidth="1"/>
    <col min="5376" max="5376" width="44.42578125" style="1469" customWidth="1"/>
    <col min="5377" max="5378" width="3.7109375" style="1469" customWidth="1"/>
    <col min="5379" max="5379" width="9.5703125" style="1469" customWidth="1"/>
    <col min="5380" max="5381" width="8.42578125" style="1469" customWidth="1"/>
    <col min="5382" max="5382" width="11.42578125" style="1469" customWidth="1"/>
    <col min="5383" max="5630" width="8.85546875" style="1469"/>
    <col min="5631" max="5631" width="5.7109375" style="1469" customWidth="1"/>
    <col min="5632" max="5632" width="44.42578125" style="1469" customWidth="1"/>
    <col min="5633" max="5634" width="3.7109375" style="1469" customWidth="1"/>
    <col min="5635" max="5635" width="9.5703125" style="1469" customWidth="1"/>
    <col min="5636" max="5637" width="8.42578125" style="1469" customWidth="1"/>
    <col min="5638" max="5638" width="11.42578125" style="1469" customWidth="1"/>
    <col min="5639" max="5886" width="8.85546875" style="1469"/>
    <col min="5887" max="5887" width="5.7109375" style="1469" customWidth="1"/>
    <col min="5888" max="5888" width="44.42578125" style="1469" customWidth="1"/>
    <col min="5889" max="5890" width="3.7109375" style="1469" customWidth="1"/>
    <col min="5891" max="5891" width="9.5703125" style="1469" customWidth="1"/>
    <col min="5892" max="5893" width="8.42578125" style="1469" customWidth="1"/>
    <col min="5894" max="5894" width="11.42578125" style="1469" customWidth="1"/>
    <col min="5895" max="6142" width="8.85546875" style="1469"/>
    <col min="6143" max="6143" width="5.7109375" style="1469" customWidth="1"/>
    <col min="6144" max="6144" width="44.42578125" style="1469" customWidth="1"/>
    <col min="6145" max="6146" width="3.7109375" style="1469" customWidth="1"/>
    <col min="6147" max="6147" width="9.5703125" style="1469" customWidth="1"/>
    <col min="6148" max="6149" width="8.42578125" style="1469" customWidth="1"/>
    <col min="6150" max="6150" width="11.42578125" style="1469" customWidth="1"/>
    <col min="6151" max="6398" width="8.85546875" style="1469"/>
    <col min="6399" max="6399" width="5.7109375" style="1469" customWidth="1"/>
    <col min="6400" max="6400" width="44.42578125" style="1469" customWidth="1"/>
    <col min="6401" max="6402" width="3.7109375" style="1469" customWidth="1"/>
    <col min="6403" max="6403" width="9.5703125" style="1469" customWidth="1"/>
    <col min="6404" max="6405" width="8.42578125" style="1469" customWidth="1"/>
    <col min="6406" max="6406" width="11.42578125" style="1469" customWidth="1"/>
    <col min="6407" max="6654" width="8.85546875" style="1469"/>
    <col min="6655" max="6655" width="5.7109375" style="1469" customWidth="1"/>
    <col min="6656" max="6656" width="44.42578125" style="1469" customWidth="1"/>
    <col min="6657" max="6658" width="3.7109375" style="1469" customWidth="1"/>
    <col min="6659" max="6659" width="9.5703125" style="1469" customWidth="1"/>
    <col min="6660" max="6661" width="8.42578125" style="1469" customWidth="1"/>
    <col min="6662" max="6662" width="11.42578125" style="1469" customWidth="1"/>
    <col min="6663" max="6910" width="8.85546875" style="1469"/>
    <col min="6911" max="6911" width="5.7109375" style="1469" customWidth="1"/>
    <col min="6912" max="6912" width="44.42578125" style="1469" customWidth="1"/>
    <col min="6913" max="6914" width="3.7109375" style="1469" customWidth="1"/>
    <col min="6915" max="6915" width="9.5703125" style="1469" customWidth="1"/>
    <col min="6916" max="6917" width="8.42578125" style="1469" customWidth="1"/>
    <col min="6918" max="6918" width="11.42578125" style="1469" customWidth="1"/>
    <col min="6919" max="7166" width="8.85546875" style="1469"/>
    <col min="7167" max="7167" width="5.7109375" style="1469" customWidth="1"/>
    <col min="7168" max="7168" width="44.42578125" style="1469" customWidth="1"/>
    <col min="7169" max="7170" width="3.7109375" style="1469" customWidth="1"/>
    <col min="7171" max="7171" width="9.5703125" style="1469" customWidth="1"/>
    <col min="7172" max="7173" width="8.42578125" style="1469" customWidth="1"/>
    <col min="7174" max="7174" width="11.42578125" style="1469" customWidth="1"/>
    <col min="7175" max="7422" width="8.85546875" style="1469"/>
    <col min="7423" max="7423" width="5.7109375" style="1469" customWidth="1"/>
    <col min="7424" max="7424" width="44.42578125" style="1469" customWidth="1"/>
    <col min="7425" max="7426" width="3.7109375" style="1469" customWidth="1"/>
    <col min="7427" max="7427" width="9.5703125" style="1469" customWidth="1"/>
    <col min="7428" max="7429" width="8.42578125" style="1469" customWidth="1"/>
    <col min="7430" max="7430" width="11.42578125" style="1469" customWidth="1"/>
    <col min="7431" max="7678" width="8.85546875" style="1469"/>
    <col min="7679" max="7679" width="5.7109375" style="1469" customWidth="1"/>
    <col min="7680" max="7680" width="44.42578125" style="1469" customWidth="1"/>
    <col min="7681" max="7682" width="3.7109375" style="1469" customWidth="1"/>
    <col min="7683" max="7683" width="9.5703125" style="1469" customWidth="1"/>
    <col min="7684" max="7685" width="8.42578125" style="1469" customWidth="1"/>
    <col min="7686" max="7686" width="11.42578125" style="1469" customWidth="1"/>
    <col min="7687" max="7934" width="8.85546875" style="1469"/>
    <col min="7935" max="7935" width="5.7109375" style="1469" customWidth="1"/>
    <col min="7936" max="7936" width="44.42578125" style="1469" customWidth="1"/>
    <col min="7937" max="7938" width="3.7109375" style="1469" customWidth="1"/>
    <col min="7939" max="7939" width="9.5703125" style="1469" customWidth="1"/>
    <col min="7940" max="7941" width="8.42578125" style="1469" customWidth="1"/>
    <col min="7942" max="7942" width="11.42578125" style="1469" customWidth="1"/>
    <col min="7943" max="8190" width="8.85546875" style="1469"/>
    <col min="8191" max="8191" width="5.7109375" style="1469" customWidth="1"/>
    <col min="8192" max="8192" width="44.42578125" style="1469" customWidth="1"/>
    <col min="8193" max="8194" width="3.7109375" style="1469" customWidth="1"/>
    <col min="8195" max="8195" width="9.5703125" style="1469" customWidth="1"/>
    <col min="8196" max="8197" width="8.42578125" style="1469" customWidth="1"/>
    <col min="8198" max="8198" width="11.42578125" style="1469" customWidth="1"/>
    <col min="8199" max="8446" width="8.85546875" style="1469"/>
    <col min="8447" max="8447" width="5.7109375" style="1469" customWidth="1"/>
    <col min="8448" max="8448" width="44.42578125" style="1469" customWidth="1"/>
    <col min="8449" max="8450" width="3.7109375" style="1469" customWidth="1"/>
    <col min="8451" max="8451" width="9.5703125" style="1469" customWidth="1"/>
    <col min="8452" max="8453" width="8.42578125" style="1469" customWidth="1"/>
    <col min="8454" max="8454" width="11.42578125" style="1469" customWidth="1"/>
    <col min="8455" max="8702" width="8.85546875" style="1469"/>
    <col min="8703" max="8703" width="5.7109375" style="1469" customWidth="1"/>
    <col min="8704" max="8704" width="44.42578125" style="1469" customWidth="1"/>
    <col min="8705" max="8706" width="3.7109375" style="1469" customWidth="1"/>
    <col min="8707" max="8707" width="9.5703125" style="1469" customWidth="1"/>
    <col min="8708" max="8709" width="8.42578125" style="1469" customWidth="1"/>
    <col min="8710" max="8710" width="11.42578125" style="1469" customWidth="1"/>
    <col min="8711" max="8958" width="8.85546875" style="1469"/>
    <col min="8959" max="8959" width="5.7109375" style="1469" customWidth="1"/>
    <col min="8960" max="8960" width="44.42578125" style="1469" customWidth="1"/>
    <col min="8961" max="8962" width="3.7109375" style="1469" customWidth="1"/>
    <col min="8963" max="8963" width="9.5703125" style="1469" customWidth="1"/>
    <col min="8964" max="8965" width="8.42578125" style="1469" customWidth="1"/>
    <col min="8966" max="8966" width="11.42578125" style="1469" customWidth="1"/>
    <col min="8967" max="9214" width="8.85546875" style="1469"/>
    <col min="9215" max="9215" width="5.7109375" style="1469" customWidth="1"/>
    <col min="9216" max="9216" width="44.42578125" style="1469" customWidth="1"/>
    <col min="9217" max="9218" width="3.7109375" style="1469" customWidth="1"/>
    <col min="9219" max="9219" width="9.5703125" style="1469" customWidth="1"/>
    <col min="9220" max="9221" width="8.42578125" style="1469" customWidth="1"/>
    <col min="9222" max="9222" width="11.42578125" style="1469" customWidth="1"/>
    <col min="9223" max="9470" width="8.85546875" style="1469"/>
    <col min="9471" max="9471" width="5.7109375" style="1469" customWidth="1"/>
    <col min="9472" max="9472" width="44.42578125" style="1469" customWidth="1"/>
    <col min="9473" max="9474" width="3.7109375" style="1469" customWidth="1"/>
    <col min="9475" max="9475" width="9.5703125" style="1469" customWidth="1"/>
    <col min="9476" max="9477" width="8.42578125" style="1469" customWidth="1"/>
    <col min="9478" max="9478" width="11.42578125" style="1469" customWidth="1"/>
    <col min="9479" max="9726" width="8.85546875" style="1469"/>
    <col min="9727" max="9727" width="5.7109375" style="1469" customWidth="1"/>
    <col min="9728" max="9728" width="44.42578125" style="1469" customWidth="1"/>
    <col min="9729" max="9730" width="3.7109375" style="1469" customWidth="1"/>
    <col min="9731" max="9731" width="9.5703125" style="1469" customWidth="1"/>
    <col min="9732" max="9733" width="8.42578125" style="1469" customWidth="1"/>
    <col min="9734" max="9734" width="11.42578125" style="1469" customWidth="1"/>
    <col min="9735" max="9982" width="8.85546875" style="1469"/>
    <col min="9983" max="9983" width="5.7109375" style="1469" customWidth="1"/>
    <col min="9984" max="9984" width="44.42578125" style="1469" customWidth="1"/>
    <col min="9985" max="9986" width="3.7109375" style="1469" customWidth="1"/>
    <col min="9987" max="9987" width="9.5703125" style="1469" customWidth="1"/>
    <col min="9988" max="9989" width="8.42578125" style="1469" customWidth="1"/>
    <col min="9990" max="9990" width="11.42578125" style="1469" customWidth="1"/>
    <col min="9991" max="10238" width="8.85546875" style="1469"/>
    <col min="10239" max="10239" width="5.7109375" style="1469" customWidth="1"/>
    <col min="10240" max="10240" width="44.42578125" style="1469" customWidth="1"/>
    <col min="10241" max="10242" width="3.7109375" style="1469" customWidth="1"/>
    <col min="10243" max="10243" width="9.5703125" style="1469" customWidth="1"/>
    <col min="10244" max="10245" width="8.42578125" style="1469" customWidth="1"/>
    <col min="10246" max="10246" width="11.42578125" style="1469" customWidth="1"/>
    <col min="10247" max="10494" width="8.85546875" style="1469"/>
    <col min="10495" max="10495" width="5.7109375" style="1469" customWidth="1"/>
    <col min="10496" max="10496" width="44.42578125" style="1469" customWidth="1"/>
    <col min="10497" max="10498" width="3.7109375" style="1469" customWidth="1"/>
    <col min="10499" max="10499" width="9.5703125" style="1469" customWidth="1"/>
    <col min="10500" max="10501" width="8.42578125" style="1469" customWidth="1"/>
    <col min="10502" max="10502" width="11.42578125" style="1469" customWidth="1"/>
    <col min="10503" max="10750" width="8.85546875" style="1469"/>
    <col min="10751" max="10751" width="5.7109375" style="1469" customWidth="1"/>
    <col min="10752" max="10752" width="44.42578125" style="1469" customWidth="1"/>
    <col min="10753" max="10754" width="3.7109375" style="1469" customWidth="1"/>
    <col min="10755" max="10755" width="9.5703125" style="1469" customWidth="1"/>
    <col min="10756" max="10757" width="8.42578125" style="1469" customWidth="1"/>
    <col min="10758" max="10758" width="11.42578125" style="1469" customWidth="1"/>
    <col min="10759" max="11006" width="8.85546875" style="1469"/>
    <col min="11007" max="11007" width="5.7109375" style="1469" customWidth="1"/>
    <col min="11008" max="11008" width="44.42578125" style="1469" customWidth="1"/>
    <col min="11009" max="11010" width="3.7109375" style="1469" customWidth="1"/>
    <col min="11011" max="11011" width="9.5703125" style="1469" customWidth="1"/>
    <col min="11012" max="11013" width="8.42578125" style="1469" customWidth="1"/>
    <col min="11014" max="11014" width="11.42578125" style="1469" customWidth="1"/>
    <col min="11015" max="11262" width="8.85546875" style="1469"/>
    <col min="11263" max="11263" width="5.7109375" style="1469" customWidth="1"/>
    <col min="11264" max="11264" width="44.42578125" style="1469" customWidth="1"/>
    <col min="11265" max="11266" width="3.7109375" style="1469" customWidth="1"/>
    <col min="11267" max="11267" width="9.5703125" style="1469" customWidth="1"/>
    <col min="11268" max="11269" width="8.42578125" style="1469" customWidth="1"/>
    <col min="11270" max="11270" width="11.42578125" style="1469" customWidth="1"/>
    <col min="11271" max="11518" width="8.85546875" style="1469"/>
    <col min="11519" max="11519" width="5.7109375" style="1469" customWidth="1"/>
    <col min="11520" max="11520" width="44.42578125" style="1469" customWidth="1"/>
    <col min="11521" max="11522" width="3.7109375" style="1469" customWidth="1"/>
    <col min="11523" max="11523" width="9.5703125" style="1469" customWidth="1"/>
    <col min="11524" max="11525" width="8.42578125" style="1469" customWidth="1"/>
    <col min="11526" max="11526" width="11.42578125" style="1469" customWidth="1"/>
    <col min="11527" max="11774" width="8.85546875" style="1469"/>
    <col min="11775" max="11775" width="5.7109375" style="1469" customWidth="1"/>
    <col min="11776" max="11776" width="44.42578125" style="1469" customWidth="1"/>
    <col min="11777" max="11778" width="3.7109375" style="1469" customWidth="1"/>
    <col min="11779" max="11779" width="9.5703125" style="1469" customWidth="1"/>
    <col min="11780" max="11781" width="8.42578125" style="1469" customWidth="1"/>
    <col min="11782" max="11782" width="11.42578125" style="1469" customWidth="1"/>
    <col min="11783" max="12030" width="8.85546875" style="1469"/>
    <col min="12031" max="12031" width="5.7109375" style="1469" customWidth="1"/>
    <col min="12032" max="12032" width="44.42578125" style="1469" customWidth="1"/>
    <col min="12033" max="12034" width="3.7109375" style="1469" customWidth="1"/>
    <col min="12035" max="12035" width="9.5703125" style="1469" customWidth="1"/>
    <col min="12036" max="12037" width="8.42578125" style="1469" customWidth="1"/>
    <col min="12038" max="12038" width="11.42578125" style="1469" customWidth="1"/>
    <col min="12039" max="12286" width="8.85546875" style="1469"/>
    <col min="12287" max="12287" width="5.7109375" style="1469" customWidth="1"/>
    <col min="12288" max="12288" width="44.42578125" style="1469" customWidth="1"/>
    <col min="12289" max="12290" width="3.7109375" style="1469" customWidth="1"/>
    <col min="12291" max="12291" width="9.5703125" style="1469" customWidth="1"/>
    <col min="12292" max="12293" width="8.42578125" style="1469" customWidth="1"/>
    <col min="12294" max="12294" width="11.42578125" style="1469" customWidth="1"/>
    <col min="12295" max="12542" width="8.85546875" style="1469"/>
    <col min="12543" max="12543" width="5.7109375" style="1469" customWidth="1"/>
    <col min="12544" max="12544" width="44.42578125" style="1469" customWidth="1"/>
    <col min="12545" max="12546" width="3.7109375" style="1469" customWidth="1"/>
    <col min="12547" max="12547" width="9.5703125" style="1469" customWidth="1"/>
    <col min="12548" max="12549" width="8.42578125" style="1469" customWidth="1"/>
    <col min="12550" max="12550" width="11.42578125" style="1469" customWidth="1"/>
    <col min="12551" max="12798" width="8.85546875" style="1469"/>
    <col min="12799" max="12799" width="5.7109375" style="1469" customWidth="1"/>
    <col min="12800" max="12800" width="44.42578125" style="1469" customWidth="1"/>
    <col min="12801" max="12802" width="3.7109375" style="1469" customWidth="1"/>
    <col min="12803" max="12803" width="9.5703125" style="1469" customWidth="1"/>
    <col min="12804" max="12805" width="8.42578125" style="1469" customWidth="1"/>
    <col min="12806" max="12806" width="11.42578125" style="1469" customWidth="1"/>
    <col min="12807" max="13054" width="8.85546875" style="1469"/>
    <col min="13055" max="13055" width="5.7109375" style="1469" customWidth="1"/>
    <col min="13056" max="13056" width="44.42578125" style="1469" customWidth="1"/>
    <col min="13057" max="13058" width="3.7109375" style="1469" customWidth="1"/>
    <col min="13059" max="13059" width="9.5703125" style="1469" customWidth="1"/>
    <col min="13060" max="13061" width="8.42578125" style="1469" customWidth="1"/>
    <col min="13062" max="13062" width="11.42578125" style="1469" customWidth="1"/>
    <col min="13063" max="13310" width="8.85546875" style="1469"/>
    <col min="13311" max="13311" width="5.7109375" style="1469" customWidth="1"/>
    <col min="13312" max="13312" width="44.42578125" style="1469" customWidth="1"/>
    <col min="13313" max="13314" width="3.7109375" style="1469" customWidth="1"/>
    <col min="13315" max="13315" width="9.5703125" style="1469" customWidth="1"/>
    <col min="13316" max="13317" width="8.42578125" style="1469" customWidth="1"/>
    <col min="13318" max="13318" width="11.42578125" style="1469" customWidth="1"/>
    <col min="13319" max="13566" width="8.85546875" style="1469"/>
    <col min="13567" max="13567" width="5.7109375" style="1469" customWidth="1"/>
    <col min="13568" max="13568" width="44.42578125" style="1469" customWidth="1"/>
    <col min="13569" max="13570" width="3.7109375" style="1469" customWidth="1"/>
    <col min="13571" max="13571" width="9.5703125" style="1469" customWidth="1"/>
    <col min="13572" max="13573" width="8.42578125" style="1469" customWidth="1"/>
    <col min="13574" max="13574" width="11.42578125" style="1469" customWidth="1"/>
    <col min="13575" max="13822" width="8.85546875" style="1469"/>
    <col min="13823" max="13823" width="5.7109375" style="1469" customWidth="1"/>
    <col min="13824" max="13824" width="44.42578125" style="1469" customWidth="1"/>
    <col min="13825" max="13826" width="3.7109375" style="1469" customWidth="1"/>
    <col min="13827" max="13827" width="9.5703125" style="1469" customWidth="1"/>
    <col min="13828" max="13829" width="8.42578125" style="1469" customWidth="1"/>
    <col min="13830" max="13830" width="11.42578125" style="1469" customWidth="1"/>
    <col min="13831" max="14078" width="8.85546875" style="1469"/>
    <col min="14079" max="14079" width="5.7109375" style="1469" customWidth="1"/>
    <col min="14080" max="14080" width="44.42578125" style="1469" customWidth="1"/>
    <col min="14081" max="14082" width="3.7109375" style="1469" customWidth="1"/>
    <col min="14083" max="14083" width="9.5703125" style="1469" customWidth="1"/>
    <col min="14084" max="14085" width="8.42578125" style="1469" customWidth="1"/>
    <col min="14086" max="14086" width="11.42578125" style="1469" customWidth="1"/>
    <col min="14087" max="14334" width="8.85546875" style="1469"/>
    <col min="14335" max="14335" width="5.7109375" style="1469" customWidth="1"/>
    <col min="14336" max="14336" width="44.42578125" style="1469" customWidth="1"/>
    <col min="14337" max="14338" width="3.7109375" style="1469" customWidth="1"/>
    <col min="14339" max="14339" width="9.5703125" style="1469" customWidth="1"/>
    <col min="14340" max="14341" width="8.42578125" style="1469" customWidth="1"/>
    <col min="14342" max="14342" width="11.42578125" style="1469" customWidth="1"/>
    <col min="14343" max="14590" width="8.85546875" style="1469"/>
    <col min="14591" max="14591" width="5.7109375" style="1469" customWidth="1"/>
    <col min="14592" max="14592" width="44.42578125" style="1469" customWidth="1"/>
    <col min="14593" max="14594" width="3.7109375" style="1469" customWidth="1"/>
    <col min="14595" max="14595" width="9.5703125" style="1469" customWidth="1"/>
    <col min="14596" max="14597" width="8.42578125" style="1469" customWidth="1"/>
    <col min="14598" max="14598" width="11.42578125" style="1469" customWidth="1"/>
    <col min="14599" max="14846" width="8.85546875" style="1469"/>
    <col min="14847" max="14847" width="5.7109375" style="1469" customWidth="1"/>
    <col min="14848" max="14848" width="44.42578125" style="1469" customWidth="1"/>
    <col min="14849" max="14850" width="3.7109375" style="1469" customWidth="1"/>
    <col min="14851" max="14851" width="9.5703125" style="1469" customWidth="1"/>
    <col min="14852" max="14853" width="8.42578125" style="1469" customWidth="1"/>
    <col min="14854" max="14854" width="11.42578125" style="1469" customWidth="1"/>
    <col min="14855" max="15102" width="8.85546875" style="1469"/>
    <col min="15103" max="15103" width="5.7109375" style="1469" customWidth="1"/>
    <col min="15104" max="15104" width="44.42578125" style="1469" customWidth="1"/>
    <col min="15105" max="15106" width="3.7109375" style="1469" customWidth="1"/>
    <col min="15107" max="15107" width="9.5703125" style="1469" customWidth="1"/>
    <col min="15108" max="15109" width="8.42578125" style="1469" customWidth="1"/>
    <col min="15110" max="15110" width="11.42578125" style="1469" customWidth="1"/>
    <col min="15111" max="15358" width="8.85546875" style="1469"/>
    <col min="15359" max="15359" width="5.7109375" style="1469" customWidth="1"/>
    <col min="15360" max="15360" width="44.42578125" style="1469" customWidth="1"/>
    <col min="15361" max="15362" width="3.7109375" style="1469" customWidth="1"/>
    <col min="15363" max="15363" width="9.5703125" style="1469" customWidth="1"/>
    <col min="15364" max="15365" width="8.42578125" style="1469" customWidth="1"/>
    <col min="15366" max="15366" width="11.42578125" style="1469" customWidth="1"/>
    <col min="15367" max="15614" width="8.85546875" style="1469"/>
    <col min="15615" max="15615" width="5.7109375" style="1469" customWidth="1"/>
    <col min="15616" max="15616" width="44.42578125" style="1469" customWidth="1"/>
    <col min="15617" max="15618" width="3.7109375" style="1469" customWidth="1"/>
    <col min="15619" max="15619" width="9.5703125" style="1469" customWidth="1"/>
    <col min="15620" max="15621" width="8.42578125" style="1469" customWidth="1"/>
    <col min="15622" max="15622" width="11.42578125" style="1469" customWidth="1"/>
    <col min="15623" max="15870" width="8.85546875" style="1469"/>
    <col min="15871" max="15871" width="5.7109375" style="1469" customWidth="1"/>
    <col min="15872" max="15872" width="44.42578125" style="1469" customWidth="1"/>
    <col min="15873" max="15874" width="3.7109375" style="1469" customWidth="1"/>
    <col min="15875" max="15875" width="9.5703125" style="1469" customWidth="1"/>
    <col min="15876" max="15877" width="8.42578125" style="1469" customWidth="1"/>
    <col min="15878" max="15878" width="11.42578125" style="1469" customWidth="1"/>
    <col min="15879" max="16126" width="8.85546875" style="1469"/>
    <col min="16127" max="16127" width="5.7109375" style="1469" customWidth="1"/>
    <col min="16128" max="16128" width="44.42578125" style="1469" customWidth="1"/>
    <col min="16129" max="16130" width="3.7109375" style="1469" customWidth="1"/>
    <col min="16131" max="16131" width="9.5703125" style="1469" customWidth="1"/>
    <col min="16132" max="16133" width="8.42578125" style="1469" customWidth="1"/>
    <col min="16134" max="16134" width="11.42578125" style="1469" customWidth="1"/>
    <col min="16135" max="16382" width="8.85546875" style="1469"/>
    <col min="16383" max="16384" width="10.85546875" style="1469" customWidth="1"/>
  </cols>
  <sheetData>
    <row r="1" spans="1:9" ht="55.9" customHeight="1">
      <c r="A1" s="1999" t="s">
        <v>5488</v>
      </c>
      <c r="B1" s="2000"/>
      <c r="C1" s="2000"/>
      <c r="D1" s="2000"/>
      <c r="E1" s="2000"/>
      <c r="F1" s="2000"/>
      <c r="G1" s="2000"/>
      <c r="H1" s="2001"/>
      <c r="I1" s="754"/>
    </row>
    <row r="2" spans="1:9" ht="19.5" customHeight="1">
      <c r="A2" s="1961" t="s">
        <v>3495</v>
      </c>
      <c r="B2" s="1961"/>
      <c r="C2" s="1961"/>
      <c r="D2" s="1961"/>
      <c r="E2" s="1961"/>
      <c r="F2" s="1961"/>
      <c r="G2" s="1961"/>
      <c r="H2" s="1961"/>
    </row>
    <row r="3" spans="1:9">
      <c r="A3" s="1470" t="s">
        <v>5394</v>
      </c>
      <c r="B3" s="1471" t="s">
        <v>11</v>
      </c>
      <c r="C3" s="2002" t="s">
        <v>68</v>
      </c>
      <c r="D3" s="2002"/>
      <c r="E3" s="1472" t="s">
        <v>5</v>
      </c>
      <c r="F3" s="1472" t="s">
        <v>6</v>
      </c>
      <c r="G3" s="1472" t="s">
        <v>7</v>
      </c>
      <c r="H3" s="1473" t="s">
        <v>3</v>
      </c>
    </row>
    <row r="4" spans="1:9" ht="84" customHeight="1">
      <c r="A4" s="1470">
        <v>1.1000000000000001</v>
      </c>
      <c r="B4" s="1474" t="s">
        <v>5395</v>
      </c>
      <c r="C4" s="1475"/>
      <c r="D4" s="1475"/>
      <c r="E4" s="1476"/>
      <c r="F4" s="1476"/>
      <c r="G4" s="1476"/>
      <c r="H4" s="1477"/>
    </row>
    <row r="5" spans="1:9">
      <c r="A5" s="1470"/>
      <c r="B5" s="1478" t="s">
        <v>5396</v>
      </c>
      <c r="C5" s="1475">
        <v>1</v>
      </c>
      <c r="D5" s="1475">
        <v>1</v>
      </c>
      <c r="E5" s="1476">
        <v>45</v>
      </c>
      <c r="F5" s="1476">
        <v>1.75</v>
      </c>
      <c r="G5" s="1476">
        <v>0.6</v>
      </c>
      <c r="H5" s="1477">
        <f>PRODUCT(C5:G5)</f>
        <v>47.25</v>
      </c>
    </row>
    <row r="6" spans="1:9">
      <c r="A6" s="1470"/>
      <c r="B6" s="1478"/>
      <c r="C6" s="1475"/>
      <c r="D6" s="1475"/>
      <c r="E6" s="1476"/>
      <c r="F6" s="1476"/>
      <c r="G6" s="1476"/>
      <c r="H6" s="1477"/>
    </row>
    <row r="7" spans="1:9" ht="77.45" customHeight="1">
      <c r="A7" s="1470">
        <v>1.5</v>
      </c>
      <c r="B7" s="1479" t="s">
        <v>5397</v>
      </c>
      <c r="C7" s="1475"/>
      <c r="D7" s="1475"/>
      <c r="E7" s="1476"/>
      <c r="F7" s="1476"/>
      <c r="G7" s="1476"/>
      <c r="H7" s="1477"/>
    </row>
    <row r="8" spans="1:9">
      <c r="A8" s="1470"/>
      <c r="B8" s="1478" t="s">
        <v>5398</v>
      </c>
      <c r="C8" s="1475">
        <v>1</v>
      </c>
      <c r="D8" s="1475">
        <v>1</v>
      </c>
      <c r="E8" s="1476">
        <v>45</v>
      </c>
      <c r="F8" s="1476">
        <v>0.5</v>
      </c>
      <c r="G8" s="1476">
        <v>3</v>
      </c>
      <c r="H8" s="1477">
        <f>PRODUCT(C8:G8)</f>
        <v>67.5</v>
      </c>
    </row>
    <row r="9" spans="1:9">
      <c r="A9" s="1470"/>
      <c r="B9" s="1478"/>
      <c r="C9" s="1475"/>
      <c r="D9" s="1475"/>
      <c r="E9" s="1476"/>
      <c r="F9" s="1476"/>
      <c r="G9" s="1476"/>
      <c r="H9" s="1477"/>
    </row>
    <row r="10" spans="1:9">
      <c r="A10" s="1470"/>
      <c r="B10" s="1478"/>
      <c r="C10" s="1475"/>
      <c r="D10" s="1475"/>
      <c r="E10" s="1476"/>
      <c r="F10" s="1476"/>
      <c r="G10" s="1476"/>
      <c r="H10" s="1477"/>
    </row>
    <row r="11" spans="1:9" ht="52.9" customHeight="1">
      <c r="A11" s="1470" t="s">
        <v>5399</v>
      </c>
      <c r="B11" s="1480" t="s">
        <v>3414</v>
      </c>
      <c r="C11" s="1475"/>
      <c r="D11" s="1475"/>
      <c r="E11" s="1476"/>
      <c r="F11" s="1476"/>
      <c r="G11" s="1476"/>
      <c r="H11" s="1477"/>
    </row>
    <row r="12" spans="1:9">
      <c r="A12" s="1470"/>
      <c r="B12" s="1478" t="s">
        <v>5400</v>
      </c>
      <c r="C12" s="1475">
        <v>1</v>
      </c>
      <c r="D12" s="1475">
        <v>1</v>
      </c>
      <c r="E12" s="1476">
        <f>E8</f>
        <v>45</v>
      </c>
      <c r="F12" s="1476">
        <v>1.75</v>
      </c>
      <c r="G12" s="1476">
        <v>0.1</v>
      </c>
      <c r="H12" s="1481">
        <f>PRODUCT(C12:G12)</f>
        <v>7.875</v>
      </c>
    </row>
    <row r="13" spans="1:9">
      <c r="A13" s="1470"/>
      <c r="B13" s="1478"/>
      <c r="C13" s="1475"/>
      <c r="D13" s="1475"/>
      <c r="E13" s="1476"/>
      <c r="F13" s="1476"/>
      <c r="G13" s="1476"/>
      <c r="H13" s="1477">
        <v>6.2</v>
      </c>
    </row>
    <row r="14" spans="1:9" ht="56.25">
      <c r="A14" s="1470">
        <v>18.100000000000001</v>
      </c>
      <c r="B14" s="1482" t="s">
        <v>5401</v>
      </c>
      <c r="C14" s="1475"/>
      <c r="D14" s="1475"/>
      <c r="E14" s="1476"/>
      <c r="F14" s="1476"/>
      <c r="G14" s="1476"/>
      <c r="H14" s="1477"/>
    </row>
    <row r="15" spans="1:9">
      <c r="A15" s="1470"/>
      <c r="B15" s="1471" t="s">
        <v>5402</v>
      </c>
      <c r="C15" s="1475"/>
      <c r="D15" s="1475"/>
      <c r="E15" s="1476"/>
      <c r="F15" s="1476"/>
      <c r="G15" s="1476"/>
      <c r="H15" s="1477"/>
    </row>
    <row r="16" spans="1:9">
      <c r="A16" s="1470"/>
      <c r="B16" s="807" t="s">
        <v>5403</v>
      </c>
      <c r="C16" s="1475"/>
      <c r="D16" s="1475"/>
      <c r="E16" s="1476"/>
      <c r="F16" s="1476"/>
      <c r="G16" s="1476"/>
      <c r="H16" s="1477"/>
    </row>
    <row r="17" spans="1:11">
      <c r="A17" s="1470"/>
      <c r="B17" s="1478" t="s">
        <v>5404</v>
      </c>
      <c r="C17" s="1475">
        <v>2</v>
      </c>
      <c r="D17" s="1475">
        <v>1</v>
      </c>
      <c r="E17" s="1476">
        <f>E12</f>
        <v>45</v>
      </c>
      <c r="F17" s="1476" t="s">
        <v>21</v>
      </c>
      <c r="G17" s="1476">
        <v>0.5</v>
      </c>
      <c r="H17" s="1481">
        <f>PRODUCT(C17:G17)</f>
        <v>45</v>
      </c>
    </row>
    <row r="18" spans="1:11">
      <c r="A18" s="1470"/>
      <c r="B18" s="1478" t="s">
        <v>5405</v>
      </c>
      <c r="C18" s="1475">
        <v>2</v>
      </c>
      <c r="D18" s="1475">
        <v>1</v>
      </c>
      <c r="E18" s="1476">
        <v>1.55</v>
      </c>
      <c r="F18" s="1476" t="s">
        <v>21</v>
      </c>
      <c r="G18" s="1476">
        <v>0.5</v>
      </c>
      <c r="H18" s="1481">
        <f>PRODUCT(C18:G18)</f>
        <v>1.55</v>
      </c>
    </row>
    <row r="19" spans="1:11">
      <c r="A19" s="1470"/>
      <c r="B19" s="1478"/>
      <c r="C19" s="1475"/>
      <c r="D19" s="1475"/>
      <c r="E19" s="1476"/>
      <c r="F19" s="1476"/>
      <c r="G19" s="1476"/>
      <c r="H19" s="1477">
        <f>SUM(H17:H18)</f>
        <v>46.55</v>
      </c>
    </row>
    <row r="20" spans="1:11">
      <c r="A20" s="1470"/>
      <c r="B20" s="1483" t="s">
        <v>5406</v>
      </c>
      <c r="C20" s="1475"/>
      <c r="D20" s="1475"/>
      <c r="E20" s="1476"/>
      <c r="F20" s="1476"/>
      <c r="G20" s="1476"/>
      <c r="H20" s="1477"/>
    </row>
    <row r="21" spans="1:11">
      <c r="A21" s="1470"/>
      <c r="B21" s="690" t="s">
        <v>5407</v>
      </c>
      <c r="C21" s="1475"/>
      <c r="D21" s="1475"/>
      <c r="E21" s="1476"/>
      <c r="F21" s="1476"/>
      <c r="G21" s="1476"/>
      <c r="H21" s="1477"/>
    </row>
    <row r="22" spans="1:11">
      <c r="A22" s="1470"/>
      <c r="B22" s="1478" t="s">
        <v>5404</v>
      </c>
      <c r="C22" s="1475">
        <v>2</v>
      </c>
      <c r="D22" s="1475">
        <v>1</v>
      </c>
      <c r="E22" s="1476">
        <f>E17</f>
        <v>45</v>
      </c>
      <c r="F22" s="1476" t="s">
        <v>21</v>
      </c>
      <c r="G22" s="1476">
        <v>3</v>
      </c>
      <c r="H22" s="1481">
        <f>PRODUCT(C22:G22)</f>
        <v>270</v>
      </c>
    </row>
    <row r="23" spans="1:11">
      <c r="A23" s="1470"/>
      <c r="B23" s="1478" t="s">
        <v>5405</v>
      </c>
      <c r="C23" s="1475">
        <v>2</v>
      </c>
      <c r="D23" s="1475">
        <v>1</v>
      </c>
      <c r="E23" s="1484" t="s">
        <v>5418</v>
      </c>
      <c r="F23" s="1476" t="s">
        <v>21</v>
      </c>
      <c r="G23" s="1476">
        <v>3</v>
      </c>
      <c r="H23" s="1481">
        <f>K23</f>
        <v>5.4</v>
      </c>
      <c r="I23" s="1469">
        <f>1.55+0.25</f>
        <v>1.8</v>
      </c>
      <c r="J23" s="1469">
        <f>I23/2</f>
        <v>0.9</v>
      </c>
      <c r="K23" s="1469">
        <f>J23*G23*C23</f>
        <v>5.4</v>
      </c>
    </row>
    <row r="24" spans="1:11">
      <c r="A24" s="1470"/>
      <c r="B24" s="1478"/>
      <c r="C24" s="1475"/>
      <c r="D24" s="1475"/>
      <c r="E24" s="1476"/>
      <c r="F24" s="1476"/>
      <c r="G24" s="1476"/>
      <c r="H24" s="1477">
        <f>SUM(H22:H23)</f>
        <v>275.39999999999998</v>
      </c>
    </row>
    <row r="25" spans="1:11" ht="45.6" customHeight="1">
      <c r="A25" s="1485" t="s">
        <v>5408</v>
      </c>
      <c r="B25" s="1482" t="s">
        <v>5409</v>
      </c>
      <c r="C25" s="1475"/>
      <c r="D25" s="1475"/>
      <c r="E25" s="1476"/>
      <c r="F25" s="1476"/>
      <c r="G25" s="1476"/>
      <c r="H25" s="1477"/>
    </row>
    <row r="26" spans="1:11">
      <c r="A26" s="1486"/>
      <c r="B26" s="1487" t="s">
        <v>5403</v>
      </c>
      <c r="C26" s="1475">
        <v>1</v>
      </c>
      <c r="D26" s="1475">
        <v>1</v>
      </c>
      <c r="E26" s="1476">
        <f>E22</f>
        <v>45</v>
      </c>
      <c r="F26" s="1476">
        <v>1.55</v>
      </c>
      <c r="G26" s="1476">
        <v>0.5</v>
      </c>
      <c r="H26" s="1481">
        <f>PRODUCT(C26:G26)</f>
        <v>34.875</v>
      </c>
    </row>
    <row r="27" spans="1:11" ht="37.5">
      <c r="A27" s="1470"/>
      <c r="B27" s="1487" t="s">
        <v>5407</v>
      </c>
      <c r="C27" s="1475">
        <v>1</v>
      </c>
      <c r="D27" s="1475">
        <v>1</v>
      </c>
      <c r="E27" s="1476">
        <f>E22</f>
        <v>45</v>
      </c>
      <c r="F27" s="1484" t="s">
        <v>5418</v>
      </c>
      <c r="G27" s="1484">
        <v>3</v>
      </c>
      <c r="H27" s="1481">
        <f>K27</f>
        <v>121.50000000000001</v>
      </c>
      <c r="I27" s="1469">
        <f>1.55+0.25</f>
        <v>1.8</v>
      </c>
      <c r="J27" s="1469">
        <f>I27/2</f>
        <v>0.9</v>
      </c>
      <c r="K27" s="1469">
        <f>J27*G27*C27*E27</f>
        <v>121.50000000000001</v>
      </c>
    </row>
    <row r="28" spans="1:11">
      <c r="A28" s="1470"/>
      <c r="B28" s="1478"/>
      <c r="C28" s="1475"/>
      <c r="D28" s="1475"/>
      <c r="E28" s="1476"/>
      <c r="F28" s="1476"/>
      <c r="G28" s="1476"/>
      <c r="H28" s="1481">
        <f>SUM(H26:H27)</f>
        <v>156.375</v>
      </c>
    </row>
    <row r="29" spans="1:11">
      <c r="A29" s="1470"/>
      <c r="B29" s="1478"/>
      <c r="C29" s="1475"/>
      <c r="D29" s="1475"/>
      <c r="E29" s="1476"/>
      <c r="F29" s="1476"/>
      <c r="G29" s="1476" t="s">
        <v>9</v>
      </c>
      <c r="H29" s="1477">
        <v>121.7</v>
      </c>
    </row>
    <row r="30" spans="1:11" ht="37.5">
      <c r="A30" s="1486" t="s">
        <v>230</v>
      </c>
      <c r="B30" s="1488" t="s">
        <v>5410</v>
      </c>
      <c r="C30" s="1475"/>
      <c r="D30" s="1475"/>
      <c r="E30" s="1476"/>
      <c r="F30" s="1476"/>
      <c r="G30" s="1476"/>
      <c r="H30" s="1477"/>
    </row>
    <row r="31" spans="1:11">
      <c r="A31" s="1470"/>
      <c r="B31" s="1478" t="s">
        <v>5411</v>
      </c>
      <c r="C31" s="1475">
        <v>1</v>
      </c>
      <c r="D31" s="1475">
        <v>16</v>
      </c>
      <c r="E31" s="1476">
        <v>0.9</v>
      </c>
      <c r="F31" s="1476" t="s">
        <v>21</v>
      </c>
      <c r="G31" s="1476" t="s">
        <v>21</v>
      </c>
      <c r="H31" s="1481">
        <f>PRODUCT(C31:G31)</f>
        <v>14.4</v>
      </c>
    </row>
    <row r="32" spans="1:11">
      <c r="A32" s="1470"/>
      <c r="B32" s="1478" t="s">
        <v>5411</v>
      </c>
      <c r="C32" s="1475">
        <v>1</v>
      </c>
      <c r="D32" s="1475">
        <v>16</v>
      </c>
      <c r="E32" s="1476">
        <v>0.45</v>
      </c>
      <c r="F32" s="1476" t="s">
        <v>21</v>
      </c>
      <c r="G32" s="1476" t="s">
        <v>21</v>
      </c>
      <c r="H32" s="1481">
        <f>PRODUCT(C32:G32)</f>
        <v>7.2</v>
      </c>
    </row>
    <row r="33" spans="1:16382">
      <c r="A33" s="1470"/>
      <c r="B33" s="1478" t="s">
        <v>5411</v>
      </c>
      <c r="C33" s="1475">
        <v>1</v>
      </c>
      <c r="D33" s="1475">
        <v>16</v>
      </c>
      <c r="E33" s="1476">
        <v>0.25</v>
      </c>
      <c r="F33" s="1476" t="s">
        <v>21</v>
      </c>
      <c r="G33" s="1476" t="s">
        <v>21</v>
      </c>
      <c r="H33" s="1481">
        <f>PRODUCT(C33:G33)</f>
        <v>4</v>
      </c>
    </row>
    <row r="34" spans="1:16382">
      <c r="A34" s="1470"/>
      <c r="B34" s="1478"/>
      <c r="C34" s="1475"/>
      <c r="D34" s="1475"/>
      <c r="E34" s="1475"/>
      <c r="F34" s="1475"/>
      <c r="G34" s="1475"/>
      <c r="H34" s="1477">
        <f>SUM(H31:H33)</f>
        <v>25.6</v>
      </c>
    </row>
    <row r="35" spans="1:16382">
      <c r="A35" s="1470"/>
      <c r="B35" s="1478"/>
      <c r="C35" s="1475"/>
      <c r="D35" s="1475"/>
      <c r="E35" s="1475"/>
      <c r="F35" s="1475"/>
      <c r="G35" s="1475"/>
      <c r="H35" s="1477"/>
    </row>
    <row r="36" spans="1:16382">
      <c r="A36" s="1490"/>
      <c r="B36" s="1491"/>
      <c r="C36" s="1492"/>
      <c r="D36" s="1492"/>
      <c r="E36" s="1493"/>
      <c r="F36" s="1493"/>
      <c r="G36" s="1493"/>
      <c r="H36" s="1494"/>
    </row>
    <row r="37" spans="1:16382">
      <c r="A37" s="1490"/>
      <c r="B37" s="1491"/>
      <c r="C37" s="1492"/>
      <c r="D37" s="1492"/>
      <c r="E37" s="1493"/>
      <c r="F37" s="1493"/>
      <c r="G37" s="1493"/>
      <c r="H37" s="1494"/>
    </row>
    <row r="38" spans="1:16382">
      <c r="A38" s="1490"/>
      <c r="B38" s="1491"/>
      <c r="C38" s="1492"/>
      <c r="D38" s="1492"/>
      <c r="E38" s="1493"/>
      <c r="F38" s="1493"/>
      <c r="G38" s="1493"/>
      <c r="H38" s="1494"/>
    </row>
    <row r="39" spans="1:16382">
      <c r="A39" s="1490"/>
      <c r="B39" s="1491"/>
      <c r="C39" s="1492"/>
      <c r="D39" s="1492"/>
      <c r="E39" s="1493"/>
      <c r="F39" s="1493"/>
      <c r="G39" s="1493"/>
      <c r="H39" s="1494"/>
    </row>
    <row r="40" spans="1:16382">
      <c r="A40" s="1490"/>
      <c r="B40" s="1495"/>
      <c r="C40" s="1492"/>
      <c r="D40" s="1492"/>
      <c r="E40" s="1493"/>
      <c r="F40" s="1493"/>
      <c r="G40" s="1493"/>
      <c r="H40" s="1494"/>
    </row>
    <row r="41" spans="1:16382">
      <c r="B41" s="1491"/>
      <c r="C41" s="1492"/>
      <c r="D41" s="1492"/>
      <c r="E41" s="1493"/>
      <c r="F41" s="1493"/>
      <c r="G41" s="1493"/>
      <c r="H41" s="1494"/>
    </row>
    <row r="42" spans="1:16382">
      <c r="B42" s="1491"/>
      <c r="C42" s="1492"/>
      <c r="D42" s="1492"/>
      <c r="E42" s="1493"/>
      <c r="F42" s="1493"/>
      <c r="G42" s="1493"/>
      <c r="H42" s="1494"/>
    </row>
    <row r="43" spans="1:16382">
      <c r="B43" s="1495"/>
      <c r="C43" s="1492"/>
      <c r="D43" s="1492"/>
      <c r="E43" s="1493"/>
      <c r="F43" s="1493"/>
      <c r="G43" s="1493"/>
      <c r="H43" s="1494"/>
    </row>
    <row r="44" spans="1:16382" s="1499" customFormat="1">
      <c r="A44" s="1496"/>
      <c r="B44" s="1491"/>
      <c r="C44" s="1497"/>
      <c r="D44" s="1497"/>
      <c r="E44" s="1497"/>
      <c r="F44" s="1497"/>
      <c r="G44" s="1497"/>
      <c r="H44" s="1498"/>
      <c r="I44" s="1469"/>
      <c r="J44" s="1469"/>
      <c r="K44" s="1469"/>
      <c r="L44" s="1469"/>
      <c r="M44" s="1469"/>
      <c r="N44" s="1469"/>
      <c r="O44" s="1469"/>
      <c r="P44" s="1469"/>
      <c r="Q44" s="1469"/>
      <c r="R44" s="1469"/>
      <c r="S44" s="1469"/>
      <c r="T44" s="1469"/>
      <c r="U44" s="1469"/>
      <c r="V44" s="1469"/>
      <c r="W44" s="1469"/>
      <c r="X44" s="1469"/>
      <c r="Y44" s="1469"/>
      <c r="Z44" s="1469"/>
      <c r="AA44" s="1469"/>
      <c r="AB44" s="1469"/>
      <c r="AC44" s="1469"/>
      <c r="AD44" s="1469"/>
      <c r="AE44" s="1469"/>
      <c r="AF44" s="1469"/>
      <c r="AG44" s="1469"/>
      <c r="AH44" s="1469"/>
      <c r="AI44" s="1469"/>
      <c r="AJ44" s="1469"/>
      <c r="AK44" s="1469"/>
      <c r="AL44" s="1469"/>
      <c r="AM44" s="1469"/>
      <c r="AN44" s="1469"/>
      <c r="AO44" s="1469"/>
      <c r="AP44" s="1469"/>
      <c r="AQ44" s="1469"/>
      <c r="AR44" s="1469"/>
      <c r="AS44" s="1469"/>
      <c r="AT44" s="1469"/>
      <c r="AU44" s="1469"/>
      <c r="AV44" s="1469"/>
      <c r="AW44" s="1469"/>
      <c r="AX44" s="1469"/>
      <c r="AY44" s="1469"/>
      <c r="AZ44" s="1469"/>
      <c r="BA44" s="1469"/>
      <c r="BB44" s="1469"/>
      <c r="BC44" s="1469"/>
      <c r="BD44" s="1469"/>
      <c r="BE44" s="1469"/>
      <c r="BF44" s="1469"/>
      <c r="BG44" s="1469"/>
      <c r="BH44" s="1469"/>
      <c r="BI44" s="1469"/>
      <c r="BJ44" s="1469"/>
      <c r="BK44" s="1469"/>
      <c r="BL44" s="1469"/>
      <c r="BM44" s="1469"/>
      <c r="BN44" s="1469"/>
      <c r="BO44" s="1469"/>
      <c r="BP44" s="1469"/>
      <c r="BQ44" s="1469"/>
      <c r="BR44" s="1469"/>
      <c r="BS44" s="1469"/>
      <c r="BT44" s="1469"/>
      <c r="BU44" s="1469"/>
      <c r="BV44" s="1469"/>
      <c r="BW44" s="1469"/>
      <c r="BX44" s="1469"/>
      <c r="BY44" s="1469"/>
      <c r="BZ44" s="1469"/>
      <c r="CA44" s="1469"/>
      <c r="CB44" s="1469"/>
      <c r="CC44" s="1469"/>
      <c r="CD44" s="1469"/>
      <c r="CE44" s="1469"/>
      <c r="CF44" s="1469"/>
      <c r="CG44" s="1469"/>
      <c r="CH44" s="1469"/>
      <c r="CI44" s="1469"/>
      <c r="CJ44" s="1469"/>
      <c r="CK44" s="1469"/>
      <c r="CL44" s="1469"/>
      <c r="CM44" s="1469"/>
      <c r="CN44" s="1469"/>
      <c r="CO44" s="1469"/>
      <c r="CP44" s="1469"/>
      <c r="CQ44" s="1469"/>
      <c r="CR44" s="1469"/>
      <c r="CS44" s="1469"/>
      <c r="CT44" s="1469"/>
      <c r="CU44" s="1469"/>
      <c r="CV44" s="1469"/>
      <c r="CW44" s="1469"/>
      <c r="CX44" s="1469"/>
      <c r="CY44" s="1469"/>
      <c r="CZ44" s="1469"/>
      <c r="DA44" s="1469"/>
      <c r="DB44" s="1469"/>
      <c r="DC44" s="1469"/>
      <c r="DD44" s="1469"/>
      <c r="DE44" s="1469"/>
      <c r="DF44" s="1469"/>
      <c r="DG44" s="1469"/>
      <c r="DH44" s="1469"/>
      <c r="DI44" s="1469"/>
      <c r="DJ44" s="1469"/>
      <c r="DK44" s="1469"/>
      <c r="DL44" s="1469"/>
      <c r="DM44" s="1469"/>
      <c r="DN44" s="1469"/>
      <c r="DO44" s="1469"/>
      <c r="DP44" s="1469"/>
      <c r="DQ44" s="1469"/>
      <c r="DR44" s="1469"/>
      <c r="DS44" s="1469"/>
      <c r="DT44" s="1469"/>
      <c r="DU44" s="1469"/>
      <c r="DV44" s="1469"/>
      <c r="DW44" s="1469"/>
      <c r="DX44" s="1469"/>
      <c r="DY44" s="1469"/>
      <c r="DZ44" s="1469"/>
      <c r="EA44" s="1469"/>
      <c r="EB44" s="1469"/>
      <c r="EC44" s="1469"/>
      <c r="ED44" s="1469"/>
      <c r="EE44" s="1469"/>
      <c r="EF44" s="1469"/>
      <c r="EG44" s="1469"/>
      <c r="EH44" s="1469"/>
      <c r="EI44" s="1469"/>
      <c r="EJ44" s="1469"/>
      <c r="EK44" s="1469"/>
      <c r="EL44" s="1469"/>
      <c r="EM44" s="1469"/>
      <c r="EN44" s="1469"/>
      <c r="EO44" s="1469"/>
      <c r="EP44" s="1469"/>
      <c r="EQ44" s="1469"/>
      <c r="ER44" s="1469"/>
      <c r="ES44" s="1469"/>
      <c r="ET44" s="1469"/>
      <c r="EU44" s="1469"/>
      <c r="EV44" s="1469"/>
      <c r="EW44" s="1469"/>
      <c r="EX44" s="1469"/>
      <c r="EY44" s="1469"/>
      <c r="EZ44" s="1469"/>
      <c r="FA44" s="1469"/>
      <c r="FB44" s="1469"/>
      <c r="FC44" s="1469"/>
      <c r="FD44" s="1469"/>
      <c r="FE44" s="1469"/>
      <c r="FF44" s="1469"/>
      <c r="FG44" s="1469"/>
      <c r="FH44" s="1469"/>
      <c r="FI44" s="1469"/>
      <c r="FJ44" s="1469"/>
      <c r="FK44" s="1469"/>
      <c r="FL44" s="1469"/>
      <c r="FM44" s="1469"/>
      <c r="FN44" s="1469"/>
      <c r="FO44" s="1469"/>
      <c r="FP44" s="1469"/>
      <c r="FQ44" s="1469"/>
      <c r="FR44" s="1469"/>
      <c r="FS44" s="1469"/>
      <c r="FT44" s="1469"/>
      <c r="FU44" s="1469"/>
      <c r="FV44" s="1469"/>
      <c r="FW44" s="1469"/>
      <c r="FX44" s="1469"/>
      <c r="FY44" s="1469"/>
      <c r="FZ44" s="1469"/>
      <c r="GA44" s="1469"/>
      <c r="GB44" s="1469"/>
      <c r="GC44" s="1469"/>
      <c r="GD44" s="1469"/>
      <c r="GE44" s="1469"/>
      <c r="GF44" s="1469"/>
      <c r="GG44" s="1469"/>
      <c r="GH44" s="1469"/>
      <c r="GI44" s="1469"/>
      <c r="GJ44" s="1469"/>
      <c r="GK44" s="1469"/>
      <c r="GL44" s="1469"/>
      <c r="GM44" s="1469"/>
      <c r="GN44" s="1469"/>
      <c r="GO44" s="1469"/>
      <c r="GP44" s="1469"/>
      <c r="GQ44" s="1469"/>
      <c r="GR44" s="1469"/>
      <c r="GS44" s="1469"/>
      <c r="GT44" s="1469"/>
      <c r="GU44" s="1469"/>
      <c r="GV44" s="1469"/>
      <c r="GW44" s="1469"/>
      <c r="GX44" s="1469"/>
      <c r="GY44" s="1469"/>
      <c r="GZ44" s="1469"/>
      <c r="HA44" s="1469"/>
      <c r="HB44" s="1469"/>
      <c r="HC44" s="1469"/>
      <c r="HD44" s="1469"/>
      <c r="HE44" s="1469"/>
      <c r="HF44" s="1469"/>
      <c r="HG44" s="1469"/>
      <c r="HH44" s="1469"/>
      <c r="HI44" s="1469"/>
      <c r="HJ44" s="1469"/>
      <c r="HK44" s="1469"/>
      <c r="HL44" s="1469"/>
      <c r="HM44" s="1469"/>
      <c r="HN44" s="1469"/>
      <c r="HO44" s="1469"/>
      <c r="HP44" s="1469"/>
      <c r="HQ44" s="1469"/>
      <c r="HR44" s="1469"/>
      <c r="HS44" s="1469"/>
      <c r="HT44" s="1469"/>
      <c r="HU44" s="1469"/>
      <c r="HV44" s="1469"/>
      <c r="HW44" s="1469"/>
      <c r="HX44" s="1469"/>
      <c r="HY44" s="1469"/>
      <c r="HZ44" s="1469"/>
      <c r="IA44" s="1469"/>
      <c r="IB44" s="1469"/>
      <c r="IC44" s="1469"/>
      <c r="ID44" s="1469"/>
      <c r="IE44" s="1469"/>
      <c r="IF44" s="1469"/>
      <c r="IG44" s="1469"/>
      <c r="IH44" s="1469"/>
      <c r="II44" s="1469"/>
      <c r="IJ44" s="1469"/>
      <c r="IK44" s="1469"/>
      <c r="IL44" s="1469"/>
      <c r="IM44" s="1469"/>
      <c r="IN44" s="1469"/>
      <c r="IO44" s="1469"/>
      <c r="IP44" s="1469"/>
      <c r="IQ44" s="1469"/>
      <c r="IR44" s="1469"/>
      <c r="IS44" s="1469"/>
      <c r="IT44" s="1469"/>
      <c r="IU44" s="1469"/>
      <c r="IV44" s="1469"/>
      <c r="IW44" s="1469"/>
      <c r="IX44" s="1469"/>
      <c r="IY44" s="1469"/>
      <c r="IZ44" s="1469"/>
      <c r="JA44" s="1469"/>
      <c r="JB44" s="1469"/>
      <c r="JC44" s="1469"/>
      <c r="JD44" s="1469"/>
      <c r="JE44" s="1469"/>
      <c r="JF44" s="1469"/>
      <c r="JG44" s="1469"/>
      <c r="JH44" s="1469"/>
      <c r="JI44" s="1469"/>
      <c r="JJ44" s="1469"/>
      <c r="JK44" s="1469"/>
      <c r="JL44" s="1469"/>
      <c r="JM44" s="1469"/>
      <c r="JN44" s="1469"/>
      <c r="JO44" s="1469"/>
      <c r="JP44" s="1469"/>
      <c r="JQ44" s="1469"/>
      <c r="JR44" s="1469"/>
      <c r="JS44" s="1469"/>
      <c r="JT44" s="1469"/>
      <c r="JU44" s="1469"/>
      <c r="JV44" s="1469"/>
      <c r="JW44" s="1469"/>
      <c r="JX44" s="1469"/>
      <c r="JY44" s="1469"/>
      <c r="JZ44" s="1469"/>
      <c r="KA44" s="1469"/>
      <c r="KB44" s="1469"/>
      <c r="KC44" s="1469"/>
      <c r="KD44" s="1469"/>
      <c r="KE44" s="1469"/>
      <c r="KF44" s="1469"/>
      <c r="KG44" s="1469"/>
      <c r="KH44" s="1469"/>
      <c r="KI44" s="1469"/>
      <c r="KJ44" s="1469"/>
      <c r="KK44" s="1469"/>
      <c r="KL44" s="1469"/>
      <c r="KM44" s="1469"/>
      <c r="KN44" s="1469"/>
      <c r="KO44" s="1469"/>
      <c r="KP44" s="1469"/>
      <c r="KQ44" s="1469"/>
      <c r="KR44" s="1469"/>
      <c r="KS44" s="1469"/>
      <c r="KT44" s="1469"/>
      <c r="KU44" s="1469"/>
      <c r="KV44" s="1469"/>
      <c r="KW44" s="1469"/>
      <c r="KX44" s="1469"/>
      <c r="KY44" s="1469"/>
      <c r="KZ44" s="1469"/>
      <c r="LA44" s="1469"/>
      <c r="LB44" s="1469"/>
      <c r="LC44" s="1469"/>
      <c r="LD44" s="1469"/>
      <c r="LE44" s="1469"/>
      <c r="LF44" s="1469"/>
      <c r="LG44" s="1469"/>
      <c r="LH44" s="1469"/>
      <c r="LI44" s="1469"/>
      <c r="LJ44" s="1469"/>
      <c r="LK44" s="1469"/>
      <c r="LL44" s="1469"/>
      <c r="LM44" s="1469"/>
      <c r="LN44" s="1469"/>
      <c r="LO44" s="1469"/>
      <c r="LP44" s="1469"/>
      <c r="LQ44" s="1469"/>
      <c r="LR44" s="1469"/>
      <c r="LS44" s="1469"/>
      <c r="LT44" s="1469"/>
      <c r="LU44" s="1469"/>
      <c r="LV44" s="1469"/>
      <c r="LW44" s="1469"/>
      <c r="LX44" s="1469"/>
      <c r="LY44" s="1469"/>
      <c r="LZ44" s="1469"/>
      <c r="MA44" s="1469"/>
      <c r="MB44" s="1469"/>
      <c r="MC44" s="1469"/>
      <c r="MD44" s="1469"/>
      <c r="ME44" s="1469"/>
      <c r="MF44" s="1469"/>
      <c r="MG44" s="1469"/>
      <c r="MH44" s="1469"/>
      <c r="MI44" s="1469"/>
      <c r="MJ44" s="1469"/>
      <c r="MK44" s="1469"/>
      <c r="ML44" s="1469"/>
      <c r="MM44" s="1469"/>
      <c r="MN44" s="1469"/>
      <c r="MO44" s="1469"/>
      <c r="MP44" s="1469"/>
      <c r="MQ44" s="1469"/>
      <c r="MR44" s="1469"/>
      <c r="MS44" s="1469"/>
      <c r="MT44" s="1469"/>
      <c r="MU44" s="1469"/>
      <c r="MV44" s="1469"/>
      <c r="MW44" s="1469"/>
      <c r="MX44" s="1469"/>
      <c r="MY44" s="1469"/>
      <c r="MZ44" s="1469"/>
      <c r="NA44" s="1469"/>
      <c r="NB44" s="1469"/>
      <c r="NC44" s="1469"/>
      <c r="ND44" s="1469"/>
      <c r="NE44" s="1469"/>
      <c r="NF44" s="1469"/>
      <c r="NG44" s="1469"/>
      <c r="NH44" s="1469"/>
      <c r="NI44" s="1469"/>
      <c r="NJ44" s="1469"/>
      <c r="NK44" s="1469"/>
      <c r="NL44" s="1469"/>
      <c r="NM44" s="1469"/>
      <c r="NN44" s="1469"/>
      <c r="NO44" s="1469"/>
      <c r="NP44" s="1469"/>
      <c r="NQ44" s="1469"/>
      <c r="NR44" s="1469"/>
      <c r="NS44" s="1469"/>
      <c r="NT44" s="1469"/>
      <c r="NU44" s="1469"/>
      <c r="NV44" s="1469"/>
      <c r="NW44" s="1469"/>
      <c r="NX44" s="1469"/>
      <c r="NY44" s="1469"/>
      <c r="NZ44" s="1469"/>
      <c r="OA44" s="1469"/>
      <c r="OB44" s="1469"/>
      <c r="OC44" s="1469"/>
      <c r="OD44" s="1469"/>
      <c r="OE44" s="1469"/>
      <c r="OF44" s="1469"/>
      <c r="OG44" s="1469"/>
      <c r="OH44" s="1469"/>
      <c r="OI44" s="1469"/>
      <c r="OJ44" s="1469"/>
      <c r="OK44" s="1469"/>
      <c r="OL44" s="1469"/>
      <c r="OM44" s="1469"/>
      <c r="ON44" s="1469"/>
      <c r="OO44" s="1469"/>
      <c r="OP44" s="1469"/>
      <c r="OQ44" s="1469"/>
      <c r="OR44" s="1469"/>
      <c r="OS44" s="1469"/>
      <c r="OT44" s="1469"/>
      <c r="OU44" s="1469"/>
      <c r="OV44" s="1469"/>
      <c r="OW44" s="1469"/>
      <c r="OX44" s="1469"/>
      <c r="OY44" s="1469"/>
      <c r="OZ44" s="1469"/>
      <c r="PA44" s="1469"/>
      <c r="PB44" s="1469"/>
      <c r="PC44" s="1469"/>
      <c r="PD44" s="1469"/>
      <c r="PE44" s="1469"/>
      <c r="PF44" s="1469"/>
      <c r="PG44" s="1469"/>
      <c r="PH44" s="1469"/>
      <c r="PI44" s="1469"/>
      <c r="PJ44" s="1469"/>
      <c r="PK44" s="1469"/>
      <c r="PL44" s="1469"/>
      <c r="PM44" s="1469"/>
      <c r="PN44" s="1469"/>
      <c r="PO44" s="1469"/>
      <c r="PP44" s="1469"/>
      <c r="PQ44" s="1469"/>
      <c r="PR44" s="1469"/>
      <c r="PS44" s="1469"/>
      <c r="PT44" s="1469"/>
      <c r="PU44" s="1469"/>
      <c r="PV44" s="1469"/>
      <c r="PW44" s="1469"/>
      <c r="PX44" s="1469"/>
      <c r="PY44" s="1469"/>
      <c r="PZ44" s="1469"/>
      <c r="QA44" s="1469"/>
      <c r="QB44" s="1469"/>
      <c r="QC44" s="1469"/>
      <c r="QD44" s="1469"/>
      <c r="QE44" s="1469"/>
      <c r="QF44" s="1469"/>
      <c r="QG44" s="1469"/>
      <c r="QH44" s="1469"/>
      <c r="QI44" s="1469"/>
      <c r="QJ44" s="1469"/>
      <c r="QK44" s="1469"/>
      <c r="QL44" s="1469"/>
      <c r="QM44" s="1469"/>
      <c r="QN44" s="1469"/>
      <c r="QO44" s="1469"/>
      <c r="QP44" s="1469"/>
      <c r="QQ44" s="1469"/>
      <c r="QR44" s="1469"/>
      <c r="QS44" s="1469"/>
      <c r="QT44" s="1469"/>
      <c r="QU44" s="1469"/>
      <c r="QV44" s="1469"/>
      <c r="QW44" s="1469"/>
      <c r="QX44" s="1469"/>
      <c r="QY44" s="1469"/>
      <c r="QZ44" s="1469"/>
      <c r="RA44" s="1469"/>
      <c r="RB44" s="1469"/>
      <c r="RC44" s="1469"/>
      <c r="RD44" s="1469"/>
      <c r="RE44" s="1469"/>
      <c r="RF44" s="1469"/>
      <c r="RG44" s="1469"/>
      <c r="RH44" s="1469"/>
      <c r="RI44" s="1469"/>
      <c r="RJ44" s="1469"/>
      <c r="RK44" s="1469"/>
      <c r="RL44" s="1469"/>
      <c r="RM44" s="1469"/>
      <c r="RN44" s="1469"/>
      <c r="RO44" s="1469"/>
      <c r="RP44" s="1469"/>
      <c r="RQ44" s="1469"/>
      <c r="RR44" s="1469"/>
      <c r="RS44" s="1469"/>
      <c r="RT44" s="1469"/>
      <c r="RU44" s="1469"/>
      <c r="RV44" s="1469"/>
      <c r="RW44" s="1469"/>
      <c r="RX44" s="1469"/>
      <c r="RY44" s="1469"/>
      <c r="RZ44" s="1469"/>
      <c r="SA44" s="1469"/>
      <c r="SB44" s="1469"/>
      <c r="SC44" s="1469"/>
      <c r="SD44" s="1469"/>
      <c r="SE44" s="1469"/>
      <c r="SF44" s="1469"/>
      <c r="SG44" s="1469"/>
      <c r="SH44" s="1469"/>
      <c r="SI44" s="1469"/>
      <c r="SJ44" s="1469"/>
      <c r="SK44" s="1469"/>
      <c r="SL44" s="1469"/>
      <c r="SM44" s="1469"/>
      <c r="SN44" s="1469"/>
      <c r="SO44" s="1469"/>
      <c r="SP44" s="1469"/>
      <c r="SQ44" s="1469"/>
      <c r="SR44" s="1469"/>
      <c r="SS44" s="1469"/>
      <c r="ST44" s="1469"/>
      <c r="SU44" s="1469"/>
      <c r="SV44" s="1469"/>
      <c r="SW44" s="1469"/>
      <c r="SX44" s="1469"/>
      <c r="SY44" s="1469"/>
      <c r="SZ44" s="1469"/>
      <c r="TA44" s="1469"/>
      <c r="TB44" s="1469"/>
      <c r="TC44" s="1469"/>
      <c r="TD44" s="1469"/>
      <c r="TE44" s="1469"/>
      <c r="TF44" s="1469"/>
      <c r="TG44" s="1469"/>
      <c r="TH44" s="1469"/>
      <c r="TI44" s="1469"/>
      <c r="TJ44" s="1469"/>
      <c r="TK44" s="1469"/>
      <c r="TL44" s="1469"/>
      <c r="TM44" s="1469"/>
      <c r="TN44" s="1469"/>
      <c r="TO44" s="1469"/>
      <c r="TP44" s="1469"/>
      <c r="TQ44" s="1469"/>
      <c r="TR44" s="1469"/>
      <c r="TS44" s="1469"/>
      <c r="TT44" s="1469"/>
      <c r="TU44" s="1469"/>
      <c r="TV44" s="1469"/>
      <c r="TW44" s="1469"/>
      <c r="TX44" s="1469"/>
      <c r="TY44" s="1469"/>
      <c r="TZ44" s="1469"/>
      <c r="UA44" s="1469"/>
      <c r="UB44" s="1469"/>
      <c r="UC44" s="1469"/>
      <c r="UD44" s="1469"/>
      <c r="UE44" s="1469"/>
      <c r="UF44" s="1469"/>
      <c r="UG44" s="1469"/>
      <c r="UH44" s="1469"/>
      <c r="UI44" s="1469"/>
      <c r="UJ44" s="1469"/>
      <c r="UK44" s="1469"/>
      <c r="UL44" s="1469"/>
      <c r="UM44" s="1469"/>
      <c r="UN44" s="1469"/>
      <c r="UO44" s="1469"/>
      <c r="UP44" s="1469"/>
      <c r="UQ44" s="1469"/>
      <c r="UR44" s="1469"/>
      <c r="US44" s="1469"/>
      <c r="UT44" s="1469"/>
      <c r="UU44" s="1469"/>
      <c r="UV44" s="1469"/>
      <c r="UW44" s="1469"/>
      <c r="UX44" s="1469"/>
      <c r="UY44" s="1469"/>
      <c r="UZ44" s="1469"/>
      <c r="VA44" s="1469"/>
      <c r="VB44" s="1469"/>
      <c r="VC44" s="1469"/>
      <c r="VD44" s="1469"/>
      <c r="VE44" s="1469"/>
      <c r="VF44" s="1469"/>
      <c r="VG44" s="1469"/>
      <c r="VH44" s="1469"/>
      <c r="VI44" s="1469"/>
      <c r="VJ44" s="1469"/>
      <c r="VK44" s="1469"/>
      <c r="VL44" s="1469"/>
      <c r="VM44" s="1469"/>
      <c r="VN44" s="1469"/>
      <c r="VO44" s="1469"/>
      <c r="VP44" s="1469"/>
      <c r="VQ44" s="1469"/>
      <c r="VR44" s="1469"/>
      <c r="VS44" s="1469"/>
      <c r="VT44" s="1469"/>
      <c r="VU44" s="1469"/>
      <c r="VV44" s="1469"/>
      <c r="VW44" s="1469"/>
      <c r="VX44" s="1469"/>
      <c r="VY44" s="1469"/>
      <c r="VZ44" s="1469"/>
      <c r="WA44" s="1469"/>
      <c r="WB44" s="1469"/>
      <c r="WC44" s="1469"/>
      <c r="WD44" s="1469"/>
      <c r="WE44" s="1469"/>
      <c r="WF44" s="1469"/>
      <c r="WG44" s="1469"/>
      <c r="WH44" s="1469"/>
      <c r="WI44" s="1469"/>
      <c r="WJ44" s="1469"/>
      <c r="WK44" s="1469"/>
      <c r="WL44" s="1469"/>
      <c r="WM44" s="1469"/>
      <c r="WN44" s="1469"/>
      <c r="WO44" s="1469"/>
      <c r="WP44" s="1469"/>
      <c r="WQ44" s="1469"/>
      <c r="WR44" s="1469"/>
      <c r="WS44" s="1469"/>
      <c r="WT44" s="1469"/>
      <c r="WU44" s="1469"/>
      <c r="WV44" s="1469"/>
      <c r="WW44" s="1469"/>
      <c r="WX44" s="1469"/>
      <c r="WY44" s="1469"/>
      <c r="WZ44" s="1469"/>
      <c r="XA44" s="1469"/>
      <c r="XB44" s="1469"/>
      <c r="XC44" s="1469"/>
      <c r="XD44" s="1469"/>
      <c r="XE44" s="1469"/>
      <c r="XF44" s="1469"/>
      <c r="XG44" s="1469"/>
      <c r="XH44" s="1469"/>
      <c r="XI44" s="1469"/>
      <c r="XJ44" s="1469"/>
      <c r="XK44" s="1469"/>
      <c r="XL44" s="1469"/>
      <c r="XM44" s="1469"/>
      <c r="XN44" s="1469"/>
      <c r="XO44" s="1469"/>
      <c r="XP44" s="1469"/>
      <c r="XQ44" s="1469"/>
      <c r="XR44" s="1469"/>
      <c r="XS44" s="1469"/>
      <c r="XT44" s="1469"/>
      <c r="XU44" s="1469"/>
      <c r="XV44" s="1469"/>
      <c r="XW44" s="1469"/>
      <c r="XX44" s="1469"/>
      <c r="XY44" s="1469"/>
      <c r="XZ44" s="1469"/>
      <c r="YA44" s="1469"/>
      <c r="YB44" s="1469"/>
      <c r="YC44" s="1469"/>
      <c r="YD44" s="1469"/>
      <c r="YE44" s="1469"/>
      <c r="YF44" s="1469"/>
      <c r="YG44" s="1469"/>
      <c r="YH44" s="1469"/>
      <c r="YI44" s="1469"/>
      <c r="YJ44" s="1469"/>
      <c r="YK44" s="1469"/>
      <c r="YL44" s="1469"/>
      <c r="YM44" s="1469"/>
      <c r="YN44" s="1469"/>
      <c r="YO44" s="1469"/>
      <c r="YP44" s="1469"/>
      <c r="YQ44" s="1469"/>
      <c r="YR44" s="1469"/>
      <c r="YS44" s="1469"/>
      <c r="YT44" s="1469"/>
      <c r="YU44" s="1469"/>
      <c r="YV44" s="1469"/>
      <c r="YW44" s="1469"/>
      <c r="YX44" s="1469"/>
      <c r="YY44" s="1469"/>
      <c r="YZ44" s="1469"/>
      <c r="ZA44" s="1469"/>
      <c r="ZB44" s="1469"/>
      <c r="ZC44" s="1469"/>
      <c r="ZD44" s="1469"/>
      <c r="ZE44" s="1469"/>
      <c r="ZF44" s="1469"/>
      <c r="ZG44" s="1469"/>
      <c r="ZH44" s="1469"/>
      <c r="ZI44" s="1469"/>
      <c r="ZJ44" s="1469"/>
      <c r="ZK44" s="1469"/>
      <c r="ZL44" s="1469"/>
      <c r="ZM44" s="1469"/>
      <c r="ZN44" s="1469"/>
      <c r="ZO44" s="1469"/>
      <c r="ZP44" s="1469"/>
      <c r="ZQ44" s="1469"/>
      <c r="ZR44" s="1469"/>
      <c r="ZS44" s="1469"/>
      <c r="ZT44" s="1469"/>
      <c r="ZU44" s="1469"/>
      <c r="ZV44" s="1469"/>
      <c r="ZW44" s="1469"/>
      <c r="ZX44" s="1469"/>
      <c r="ZY44" s="1469"/>
      <c r="ZZ44" s="1469"/>
      <c r="AAA44" s="1469"/>
      <c r="AAB44" s="1469"/>
      <c r="AAC44" s="1469"/>
      <c r="AAD44" s="1469"/>
      <c r="AAE44" s="1469"/>
      <c r="AAF44" s="1469"/>
      <c r="AAG44" s="1469"/>
      <c r="AAH44" s="1469"/>
      <c r="AAI44" s="1469"/>
      <c r="AAJ44" s="1469"/>
      <c r="AAK44" s="1469"/>
      <c r="AAL44" s="1469"/>
      <c r="AAM44" s="1469"/>
      <c r="AAN44" s="1469"/>
      <c r="AAO44" s="1469"/>
      <c r="AAP44" s="1469"/>
      <c r="AAQ44" s="1469"/>
      <c r="AAR44" s="1469"/>
      <c r="AAS44" s="1469"/>
      <c r="AAT44" s="1469"/>
      <c r="AAU44" s="1469"/>
      <c r="AAV44" s="1469"/>
      <c r="AAW44" s="1469"/>
      <c r="AAX44" s="1469"/>
      <c r="AAY44" s="1469"/>
      <c r="AAZ44" s="1469"/>
      <c r="ABA44" s="1469"/>
      <c r="ABB44" s="1469"/>
      <c r="ABC44" s="1469"/>
      <c r="ABD44" s="1469"/>
      <c r="ABE44" s="1469"/>
      <c r="ABF44" s="1469"/>
      <c r="ABG44" s="1469"/>
      <c r="ABH44" s="1469"/>
      <c r="ABI44" s="1469"/>
      <c r="ABJ44" s="1469"/>
      <c r="ABK44" s="1469"/>
      <c r="ABL44" s="1469"/>
      <c r="ABM44" s="1469"/>
      <c r="ABN44" s="1469"/>
      <c r="ABO44" s="1469"/>
      <c r="ABP44" s="1469"/>
      <c r="ABQ44" s="1469"/>
      <c r="ABR44" s="1469"/>
      <c r="ABS44" s="1469"/>
      <c r="ABT44" s="1469"/>
      <c r="ABU44" s="1469"/>
      <c r="ABV44" s="1469"/>
      <c r="ABW44" s="1469"/>
      <c r="ABX44" s="1469"/>
      <c r="ABY44" s="1469"/>
      <c r="ABZ44" s="1469"/>
      <c r="ACA44" s="1469"/>
      <c r="ACB44" s="1469"/>
      <c r="ACC44" s="1469"/>
      <c r="ACD44" s="1469"/>
      <c r="ACE44" s="1469"/>
      <c r="ACF44" s="1469"/>
      <c r="ACG44" s="1469"/>
      <c r="ACH44" s="1469"/>
      <c r="ACI44" s="1469"/>
      <c r="ACJ44" s="1469"/>
      <c r="ACK44" s="1469"/>
      <c r="ACL44" s="1469"/>
      <c r="ACM44" s="1469"/>
      <c r="ACN44" s="1469"/>
      <c r="ACO44" s="1469"/>
      <c r="ACP44" s="1469"/>
      <c r="ACQ44" s="1469"/>
      <c r="ACR44" s="1469"/>
      <c r="ACS44" s="1469"/>
      <c r="ACT44" s="1469"/>
      <c r="ACU44" s="1469"/>
      <c r="ACV44" s="1469"/>
      <c r="ACW44" s="1469"/>
      <c r="ACX44" s="1469"/>
      <c r="ACY44" s="1469"/>
      <c r="ACZ44" s="1469"/>
      <c r="ADA44" s="1469"/>
      <c r="ADB44" s="1469"/>
      <c r="ADC44" s="1469"/>
      <c r="ADD44" s="1469"/>
      <c r="ADE44" s="1469"/>
      <c r="ADF44" s="1469"/>
      <c r="ADG44" s="1469"/>
      <c r="ADH44" s="1469"/>
      <c r="ADI44" s="1469"/>
      <c r="ADJ44" s="1469"/>
      <c r="ADK44" s="1469"/>
      <c r="ADL44" s="1469"/>
      <c r="ADM44" s="1469"/>
      <c r="ADN44" s="1469"/>
      <c r="ADO44" s="1469"/>
      <c r="ADP44" s="1469"/>
      <c r="ADQ44" s="1469"/>
      <c r="ADR44" s="1469"/>
      <c r="ADS44" s="1469"/>
      <c r="ADT44" s="1469"/>
      <c r="ADU44" s="1469"/>
      <c r="ADV44" s="1469"/>
      <c r="ADW44" s="1469"/>
      <c r="ADX44" s="1469"/>
      <c r="ADY44" s="1469"/>
      <c r="ADZ44" s="1469"/>
      <c r="AEA44" s="1469"/>
      <c r="AEB44" s="1469"/>
      <c r="AEC44" s="1469"/>
      <c r="AED44" s="1469"/>
      <c r="AEE44" s="1469"/>
      <c r="AEF44" s="1469"/>
      <c r="AEG44" s="1469"/>
      <c r="AEH44" s="1469"/>
      <c r="AEI44" s="1469"/>
      <c r="AEJ44" s="1469"/>
      <c r="AEK44" s="1469"/>
      <c r="AEL44" s="1469"/>
      <c r="AEM44" s="1469"/>
      <c r="AEN44" s="1469"/>
      <c r="AEO44" s="1469"/>
      <c r="AEP44" s="1469"/>
      <c r="AEQ44" s="1469"/>
      <c r="AER44" s="1469"/>
      <c r="AES44" s="1469"/>
      <c r="AET44" s="1469"/>
      <c r="AEU44" s="1469"/>
      <c r="AEV44" s="1469"/>
      <c r="AEW44" s="1469"/>
      <c r="AEX44" s="1469"/>
      <c r="AEY44" s="1469"/>
      <c r="AEZ44" s="1469"/>
      <c r="AFA44" s="1469"/>
      <c r="AFB44" s="1469"/>
      <c r="AFC44" s="1469"/>
      <c r="AFD44" s="1469"/>
      <c r="AFE44" s="1469"/>
      <c r="AFF44" s="1469"/>
      <c r="AFG44" s="1469"/>
      <c r="AFH44" s="1469"/>
      <c r="AFI44" s="1469"/>
      <c r="AFJ44" s="1469"/>
      <c r="AFK44" s="1469"/>
      <c r="AFL44" s="1469"/>
      <c r="AFM44" s="1469"/>
      <c r="AFN44" s="1469"/>
      <c r="AFO44" s="1469"/>
      <c r="AFP44" s="1469"/>
      <c r="AFQ44" s="1469"/>
      <c r="AFR44" s="1469"/>
      <c r="AFS44" s="1469"/>
      <c r="AFT44" s="1469"/>
      <c r="AFU44" s="1469"/>
      <c r="AFV44" s="1469"/>
      <c r="AFW44" s="1469"/>
      <c r="AFX44" s="1469"/>
      <c r="AFY44" s="1469"/>
      <c r="AFZ44" s="1469"/>
      <c r="AGA44" s="1469"/>
      <c r="AGB44" s="1469"/>
      <c r="AGC44" s="1469"/>
      <c r="AGD44" s="1469"/>
      <c r="AGE44" s="1469"/>
      <c r="AGF44" s="1469"/>
      <c r="AGG44" s="1469"/>
      <c r="AGH44" s="1469"/>
      <c r="AGI44" s="1469"/>
      <c r="AGJ44" s="1469"/>
      <c r="AGK44" s="1469"/>
      <c r="AGL44" s="1469"/>
      <c r="AGM44" s="1469"/>
      <c r="AGN44" s="1469"/>
      <c r="AGO44" s="1469"/>
      <c r="AGP44" s="1469"/>
      <c r="AGQ44" s="1469"/>
      <c r="AGR44" s="1469"/>
      <c r="AGS44" s="1469"/>
      <c r="AGT44" s="1469"/>
      <c r="AGU44" s="1469"/>
      <c r="AGV44" s="1469"/>
      <c r="AGW44" s="1469"/>
      <c r="AGX44" s="1469"/>
      <c r="AGY44" s="1469"/>
      <c r="AGZ44" s="1469"/>
      <c r="AHA44" s="1469"/>
      <c r="AHB44" s="1469"/>
      <c r="AHC44" s="1469"/>
      <c r="AHD44" s="1469"/>
      <c r="AHE44" s="1469"/>
      <c r="AHF44" s="1469"/>
      <c r="AHG44" s="1469"/>
      <c r="AHH44" s="1469"/>
      <c r="AHI44" s="1469"/>
      <c r="AHJ44" s="1469"/>
      <c r="AHK44" s="1469"/>
      <c r="AHL44" s="1469"/>
      <c r="AHM44" s="1469"/>
      <c r="AHN44" s="1469"/>
      <c r="AHO44" s="1469"/>
      <c r="AHP44" s="1469"/>
      <c r="AHQ44" s="1469"/>
      <c r="AHR44" s="1469"/>
      <c r="AHS44" s="1469"/>
      <c r="AHT44" s="1469"/>
      <c r="AHU44" s="1469"/>
      <c r="AHV44" s="1469"/>
      <c r="AHW44" s="1469"/>
      <c r="AHX44" s="1469"/>
      <c r="AHY44" s="1469"/>
      <c r="AHZ44" s="1469"/>
      <c r="AIA44" s="1469"/>
      <c r="AIB44" s="1469"/>
      <c r="AIC44" s="1469"/>
      <c r="AID44" s="1469"/>
      <c r="AIE44" s="1469"/>
      <c r="AIF44" s="1469"/>
      <c r="AIG44" s="1469"/>
      <c r="AIH44" s="1469"/>
      <c r="AII44" s="1469"/>
      <c r="AIJ44" s="1469"/>
      <c r="AIK44" s="1469"/>
      <c r="AIL44" s="1469"/>
      <c r="AIM44" s="1469"/>
      <c r="AIN44" s="1469"/>
      <c r="AIO44" s="1469"/>
      <c r="AIP44" s="1469"/>
      <c r="AIQ44" s="1469"/>
      <c r="AIR44" s="1469"/>
      <c r="AIS44" s="1469"/>
      <c r="AIT44" s="1469"/>
      <c r="AIU44" s="1469"/>
      <c r="AIV44" s="1469"/>
      <c r="AIW44" s="1469"/>
      <c r="AIX44" s="1469"/>
      <c r="AIY44" s="1469"/>
      <c r="AIZ44" s="1469"/>
      <c r="AJA44" s="1469"/>
      <c r="AJB44" s="1469"/>
      <c r="AJC44" s="1469"/>
      <c r="AJD44" s="1469"/>
      <c r="AJE44" s="1469"/>
      <c r="AJF44" s="1469"/>
      <c r="AJG44" s="1469"/>
      <c r="AJH44" s="1469"/>
      <c r="AJI44" s="1469"/>
      <c r="AJJ44" s="1469"/>
      <c r="AJK44" s="1469"/>
      <c r="AJL44" s="1469"/>
      <c r="AJM44" s="1469"/>
      <c r="AJN44" s="1469"/>
      <c r="AJO44" s="1469"/>
      <c r="AJP44" s="1469"/>
      <c r="AJQ44" s="1469"/>
      <c r="AJR44" s="1469"/>
      <c r="AJS44" s="1469"/>
      <c r="AJT44" s="1469"/>
      <c r="AJU44" s="1469"/>
      <c r="AJV44" s="1469"/>
      <c r="AJW44" s="1469"/>
      <c r="AJX44" s="1469"/>
      <c r="AJY44" s="1469"/>
      <c r="AJZ44" s="1469"/>
      <c r="AKA44" s="1469"/>
      <c r="AKB44" s="1469"/>
      <c r="AKC44" s="1469"/>
      <c r="AKD44" s="1469"/>
      <c r="AKE44" s="1469"/>
      <c r="AKF44" s="1469"/>
      <c r="AKG44" s="1469"/>
      <c r="AKH44" s="1469"/>
      <c r="AKI44" s="1469"/>
      <c r="AKJ44" s="1469"/>
      <c r="AKK44" s="1469"/>
      <c r="AKL44" s="1469"/>
      <c r="AKM44" s="1469"/>
      <c r="AKN44" s="1469"/>
      <c r="AKO44" s="1469"/>
      <c r="AKP44" s="1469"/>
      <c r="AKQ44" s="1469"/>
      <c r="AKR44" s="1469"/>
      <c r="AKS44" s="1469"/>
      <c r="AKT44" s="1469"/>
      <c r="AKU44" s="1469"/>
      <c r="AKV44" s="1469"/>
      <c r="AKW44" s="1469"/>
      <c r="AKX44" s="1469"/>
      <c r="AKY44" s="1469"/>
      <c r="AKZ44" s="1469"/>
      <c r="ALA44" s="1469"/>
      <c r="ALB44" s="1469"/>
      <c r="ALC44" s="1469"/>
      <c r="ALD44" s="1469"/>
      <c r="ALE44" s="1469"/>
      <c r="ALF44" s="1469"/>
      <c r="ALG44" s="1469"/>
      <c r="ALH44" s="1469"/>
      <c r="ALI44" s="1469"/>
      <c r="ALJ44" s="1469"/>
      <c r="ALK44" s="1469"/>
      <c r="ALL44" s="1469"/>
      <c r="ALM44" s="1469"/>
      <c r="ALN44" s="1469"/>
      <c r="ALO44" s="1469"/>
      <c r="ALP44" s="1469"/>
      <c r="ALQ44" s="1469"/>
      <c r="ALR44" s="1469"/>
      <c r="ALS44" s="1469"/>
      <c r="ALT44" s="1469"/>
      <c r="ALU44" s="1469"/>
      <c r="ALV44" s="1469"/>
      <c r="ALW44" s="1469"/>
      <c r="ALX44" s="1469"/>
      <c r="ALY44" s="1469"/>
      <c r="ALZ44" s="1469"/>
      <c r="AMA44" s="1469"/>
      <c r="AMB44" s="1469"/>
      <c r="AMC44" s="1469"/>
      <c r="AMD44" s="1469"/>
      <c r="AME44" s="1469"/>
      <c r="AMF44" s="1469"/>
      <c r="AMG44" s="1469"/>
      <c r="AMH44" s="1469"/>
      <c r="AMI44" s="1469"/>
      <c r="AMJ44" s="1469"/>
      <c r="AMK44" s="1469"/>
      <c r="AML44" s="1469"/>
      <c r="AMM44" s="1469"/>
      <c r="AMN44" s="1469"/>
      <c r="AMO44" s="1469"/>
      <c r="AMP44" s="1469"/>
      <c r="AMQ44" s="1469"/>
      <c r="AMR44" s="1469"/>
      <c r="AMS44" s="1469"/>
      <c r="AMT44" s="1469"/>
      <c r="AMU44" s="1469"/>
      <c r="AMV44" s="1469"/>
      <c r="AMW44" s="1469"/>
      <c r="AMX44" s="1469"/>
      <c r="AMY44" s="1469"/>
      <c r="AMZ44" s="1469"/>
      <c r="ANA44" s="1469"/>
      <c r="ANB44" s="1469"/>
      <c r="ANC44" s="1469"/>
      <c r="AND44" s="1469"/>
      <c r="ANE44" s="1469"/>
      <c r="ANF44" s="1469"/>
      <c r="ANG44" s="1469"/>
      <c r="ANH44" s="1469"/>
      <c r="ANI44" s="1469"/>
      <c r="ANJ44" s="1469"/>
      <c r="ANK44" s="1469"/>
      <c r="ANL44" s="1469"/>
      <c r="ANM44" s="1469"/>
      <c r="ANN44" s="1469"/>
      <c r="ANO44" s="1469"/>
      <c r="ANP44" s="1469"/>
      <c r="ANQ44" s="1469"/>
      <c r="ANR44" s="1469"/>
      <c r="ANS44" s="1469"/>
      <c r="ANT44" s="1469"/>
      <c r="ANU44" s="1469"/>
      <c r="ANV44" s="1469"/>
      <c r="ANW44" s="1469"/>
      <c r="ANX44" s="1469"/>
      <c r="ANY44" s="1469"/>
      <c r="ANZ44" s="1469"/>
      <c r="AOA44" s="1469"/>
      <c r="AOB44" s="1469"/>
      <c r="AOC44" s="1469"/>
      <c r="AOD44" s="1469"/>
      <c r="AOE44" s="1469"/>
      <c r="AOF44" s="1469"/>
      <c r="AOG44" s="1469"/>
      <c r="AOH44" s="1469"/>
      <c r="AOI44" s="1469"/>
      <c r="AOJ44" s="1469"/>
      <c r="AOK44" s="1469"/>
      <c r="AOL44" s="1469"/>
      <c r="AOM44" s="1469"/>
      <c r="AON44" s="1469"/>
      <c r="AOO44" s="1469"/>
      <c r="AOP44" s="1469"/>
      <c r="AOQ44" s="1469"/>
      <c r="AOR44" s="1469"/>
      <c r="AOS44" s="1469"/>
      <c r="AOT44" s="1469"/>
      <c r="AOU44" s="1469"/>
      <c r="AOV44" s="1469"/>
      <c r="AOW44" s="1469"/>
      <c r="AOX44" s="1469"/>
      <c r="AOY44" s="1469"/>
      <c r="AOZ44" s="1469"/>
      <c r="APA44" s="1469"/>
      <c r="APB44" s="1469"/>
      <c r="APC44" s="1469"/>
      <c r="APD44" s="1469"/>
      <c r="APE44" s="1469"/>
      <c r="APF44" s="1469"/>
      <c r="APG44" s="1469"/>
      <c r="APH44" s="1469"/>
      <c r="API44" s="1469"/>
      <c r="APJ44" s="1469"/>
      <c r="APK44" s="1469"/>
      <c r="APL44" s="1469"/>
      <c r="APM44" s="1469"/>
      <c r="APN44" s="1469"/>
      <c r="APO44" s="1469"/>
      <c r="APP44" s="1469"/>
      <c r="APQ44" s="1469"/>
      <c r="APR44" s="1469"/>
      <c r="APS44" s="1469"/>
      <c r="APT44" s="1469"/>
      <c r="APU44" s="1469"/>
      <c r="APV44" s="1469"/>
      <c r="APW44" s="1469"/>
      <c r="APX44" s="1469"/>
      <c r="APY44" s="1469"/>
      <c r="APZ44" s="1469"/>
      <c r="AQA44" s="1469"/>
      <c r="AQB44" s="1469"/>
      <c r="AQC44" s="1469"/>
      <c r="AQD44" s="1469"/>
      <c r="AQE44" s="1469"/>
      <c r="AQF44" s="1469"/>
      <c r="AQG44" s="1469"/>
      <c r="AQH44" s="1469"/>
      <c r="AQI44" s="1469"/>
      <c r="AQJ44" s="1469"/>
      <c r="AQK44" s="1469"/>
      <c r="AQL44" s="1469"/>
      <c r="AQM44" s="1469"/>
      <c r="AQN44" s="1469"/>
      <c r="AQO44" s="1469"/>
      <c r="AQP44" s="1469"/>
      <c r="AQQ44" s="1469"/>
      <c r="AQR44" s="1469"/>
      <c r="AQS44" s="1469"/>
      <c r="AQT44" s="1469"/>
      <c r="AQU44" s="1469"/>
      <c r="AQV44" s="1469"/>
      <c r="AQW44" s="1469"/>
      <c r="AQX44" s="1469"/>
      <c r="AQY44" s="1469"/>
      <c r="AQZ44" s="1469"/>
      <c r="ARA44" s="1469"/>
      <c r="ARB44" s="1469"/>
      <c r="ARC44" s="1469"/>
      <c r="ARD44" s="1469"/>
      <c r="ARE44" s="1469"/>
      <c r="ARF44" s="1469"/>
      <c r="ARG44" s="1469"/>
      <c r="ARH44" s="1469"/>
      <c r="ARI44" s="1469"/>
      <c r="ARJ44" s="1469"/>
      <c r="ARK44" s="1469"/>
      <c r="ARL44" s="1469"/>
      <c r="ARM44" s="1469"/>
      <c r="ARN44" s="1469"/>
      <c r="ARO44" s="1469"/>
      <c r="ARP44" s="1469"/>
      <c r="ARQ44" s="1469"/>
      <c r="ARR44" s="1469"/>
      <c r="ARS44" s="1469"/>
      <c r="ART44" s="1469"/>
      <c r="ARU44" s="1469"/>
      <c r="ARV44" s="1469"/>
      <c r="ARW44" s="1469"/>
      <c r="ARX44" s="1469"/>
      <c r="ARY44" s="1469"/>
      <c r="ARZ44" s="1469"/>
      <c r="ASA44" s="1469"/>
      <c r="ASB44" s="1469"/>
      <c r="ASC44" s="1469"/>
      <c r="ASD44" s="1469"/>
      <c r="ASE44" s="1469"/>
      <c r="ASF44" s="1469"/>
      <c r="ASG44" s="1469"/>
      <c r="ASH44" s="1469"/>
      <c r="ASI44" s="1469"/>
      <c r="ASJ44" s="1469"/>
      <c r="ASK44" s="1469"/>
      <c r="ASL44" s="1469"/>
      <c r="ASM44" s="1469"/>
      <c r="ASN44" s="1469"/>
      <c r="ASO44" s="1469"/>
      <c r="ASP44" s="1469"/>
      <c r="ASQ44" s="1469"/>
      <c r="ASR44" s="1469"/>
      <c r="ASS44" s="1469"/>
      <c r="AST44" s="1469"/>
      <c r="ASU44" s="1469"/>
      <c r="ASV44" s="1469"/>
      <c r="ASW44" s="1469"/>
      <c r="ASX44" s="1469"/>
      <c r="ASY44" s="1469"/>
      <c r="ASZ44" s="1469"/>
      <c r="ATA44" s="1469"/>
      <c r="ATB44" s="1469"/>
      <c r="ATC44" s="1469"/>
      <c r="ATD44" s="1469"/>
      <c r="ATE44" s="1469"/>
      <c r="ATF44" s="1469"/>
      <c r="ATG44" s="1469"/>
      <c r="ATH44" s="1469"/>
      <c r="ATI44" s="1469"/>
      <c r="ATJ44" s="1469"/>
      <c r="ATK44" s="1469"/>
      <c r="ATL44" s="1469"/>
      <c r="ATM44" s="1469"/>
      <c r="ATN44" s="1469"/>
      <c r="ATO44" s="1469"/>
      <c r="ATP44" s="1469"/>
      <c r="ATQ44" s="1469"/>
      <c r="ATR44" s="1469"/>
      <c r="ATS44" s="1469"/>
      <c r="ATT44" s="1469"/>
      <c r="ATU44" s="1469"/>
      <c r="ATV44" s="1469"/>
      <c r="ATW44" s="1469"/>
      <c r="ATX44" s="1469"/>
      <c r="ATY44" s="1469"/>
      <c r="ATZ44" s="1469"/>
      <c r="AUA44" s="1469"/>
      <c r="AUB44" s="1469"/>
      <c r="AUC44" s="1469"/>
      <c r="AUD44" s="1469"/>
      <c r="AUE44" s="1469"/>
      <c r="AUF44" s="1469"/>
      <c r="AUG44" s="1469"/>
      <c r="AUH44" s="1469"/>
      <c r="AUI44" s="1469"/>
      <c r="AUJ44" s="1469"/>
      <c r="AUK44" s="1469"/>
      <c r="AUL44" s="1469"/>
      <c r="AUM44" s="1469"/>
      <c r="AUN44" s="1469"/>
      <c r="AUO44" s="1469"/>
      <c r="AUP44" s="1469"/>
      <c r="AUQ44" s="1469"/>
      <c r="AUR44" s="1469"/>
      <c r="AUS44" s="1469"/>
      <c r="AUT44" s="1469"/>
      <c r="AUU44" s="1469"/>
      <c r="AUV44" s="1469"/>
      <c r="AUW44" s="1469"/>
      <c r="AUX44" s="1469"/>
      <c r="AUY44" s="1469"/>
      <c r="AUZ44" s="1469"/>
      <c r="AVA44" s="1469"/>
      <c r="AVB44" s="1469"/>
      <c r="AVC44" s="1469"/>
      <c r="AVD44" s="1469"/>
      <c r="AVE44" s="1469"/>
      <c r="AVF44" s="1469"/>
      <c r="AVG44" s="1469"/>
      <c r="AVH44" s="1469"/>
      <c r="AVI44" s="1469"/>
      <c r="AVJ44" s="1469"/>
      <c r="AVK44" s="1469"/>
      <c r="AVL44" s="1469"/>
      <c r="AVM44" s="1469"/>
      <c r="AVN44" s="1469"/>
      <c r="AVO44" s="1469"/>
      <c r="AVP44" s="1469"/>
      <c r="AVQ44" s="1469"/>
      <c r="AVR44" s="1469"/>
      <c r="AVS44" s="1469"/>
      <c r="AVT44" s="1469"/>
      <c r="AVU44" s="1469"/>
      <c r="AVV44" s="1469"/>
      <c r="AVW44" s="1469"/>
      <c r="AVX44" s="1469"/>
      <c r="AVY44" s="1469"/>
      <c r="AVZ44" s="1469"/>
      <c r="AWA44" s="1469"/>
      <c r="AWB44" s="1469"/>
      <c r="AWC44" s="1469"/>
      <c r="AWD44" s="1469"/>
      <c r="AWE44" s="1469"/>
      <c r="AWF44" s="1469"/>
      <c r="AWG44" s="1469"/>
      <c r="AWH44" s="1469"/>
      <c r="AWI44" s="1469"/>
      <c r="AWJ44" s="1469"/>
      <c r="AWK44" s="1469"/>
      <c r="AWL44" s="1469"/>
      <c r="AWM44" s="1469"/>
      <c r="AWN44" s="1469"/>
      <c r="AWO44" s="1469"/>
      <c r="AWP44" s="1469"/>
      <c r="AWQ44" s="1469"/>
      <c r="AWR44" s="1469"/>
      <c r="AWS44" s="1469"/>
      <c r="AWT44" s="1469"/>
      <c r="AWU44" s="1469"/>
      <c r="AWV44" s="1469"/>
      <c r="AWW44" s="1469"/>
      <c r="AWX44" s="1469"/>
      <c r="AWY44" s="1469"/>
      <c r="AWZ44" s="1469"/>
      <c r="AXA44" s="1469"/>
      <c r="AXB44" s="1469"/>
      <c r="AXC44" s="1469"/>
      <c r="AXD44" s="1469"/>
      <c r="AXE44" s="1469"/>
      <c r="AXF44" s="1469"/>
      <c r="AXG44" s="1469"/>
      <c r="AXH44" s="1469"/>
      <c r="AXI44" s="1469"/>
      <c r="AXJ44" s="1469"/>
      <c r="AXK44" s="1469"/>
      <c r="AXL44" s="1469"/>
      <c r="AXM44" s="1469"/>
      <c r="AXN44" s="1469"/>
      <c r="AXO44" s="1469"/>
      <c r="AXP44" s="1469"/>
      <c r="AXQ44" s="1469"/>
      <c r="AXR44" s="1469"/>
      <c r="AXS44" s="1469"/>
      <c r="AXT44" s="1469"/>
      <c r="AXU44" s="1469"/>
      <c r="AXV44" s="1469"/>
      <c r="AXW44" s="1469"/>
      <c r="AXX44" s="1469"/>
      <c r="AXY44" s="1469"/>
      <c r="AXZ44" s="1469"/>
      <c r="AYA44" s="1469"/>
      <c r="AYB44" s="1469"/>
      <c r="AYC44" s="1469"/>
      <c r="AYD44" s="1469"/>
      <c r="AYE44" s="1469"/>
      <c r="AYF44" s="1469"/>
      <c r="AYG44" s="1469"/>
      <c r="AYH44" s="1469"/>
      <c r="AYI44" s="1469"/>
      <c r="AYJ44" s="1469"/>
      <c r="AYK44" s="1469"/>
      <c r="AYL44" s="1469"/>
      <c r="AYM44" s="1469"/>
      <c r="AYN44" s="1469"/>
      <c r="AYO44" s="1469"/>
      <c r="AYP44" s="1469"/>
      <c r="AYQ44" s="1469"/>
      <c r="AYR44" s="1469"/>
      <c r="AYS44" s="1469"/>
      <c r="AYT44" s="1469"/>
      <c r="AYU44" s="1469"/>
      <c r="AYV44" s="1469"/>
      <c r="AYW44" s="1469"/>
      <c r="AYX44" s="1469"/>
      <c r="AYY44" s="1469"/>
      <c r="AYZ44" s="1469"/>
      <c r="AZA44" s="1469"/>
      <c r="AZB44" s="1469"/>
      <c r="AZC44" s="1469"/>
      <c r="AZD44" s="1469"/>
      <c r="AZE44" s="1469"/>
      <c r="AZF44" s="1469"/>
      <c r="AZG44" s="1469"/>
      <c r="AZH44" s="1469"/>
      <c r="AZI44" s="1469"/>
      <c r="AZJ44" s="1469"/>
      <c r="AZK44" s="1469"/>
      <c r="AZL44" s="1469"/>
      <c r="AZM44" s="1469"/>
      <c r="AZN44" s="1469"/>
      <c r="AZO44" s="1469"/>
      <c r="AZP44" s="1469"/>
      <c r="AZQ44" s="1469"/>
      <c r="AZR44" s="1469"/>
      <c r="AZS44" s="1469"/>
      <c r="AZT44" s="1469"/>
      <c r="AZU44" s="1469"/>
      <c r="AZV44" s="1469"/>
      <c r="AZW44" s="1469"/>
      <c r="AZX44" s="1469"/>
      <c r="AZY44" s="1469"/>
      <c r="AZZ44" s="1469"/>
      <c r="BAA44" s="1469"/>
      <c r="BAB44" s="1469"/>
      <c r="BAC44" s="1469"/>
      <c r="BAD44" s="1469"/>
      <c r="BAE44" s="1469"/>
      <c r="BAF44" s="1469"/>
      <c r="BAG44" s="1469"/>
      <c r="BAH44" s="1469"/>
      <c r="BAI44" s="1469"/>
      <c r="BAJ44" s="1469"/>
      <c r="BAK44" s="1469"/>
      <c r="BAL44" s="1469"/>
      <c r="BAM44" s="1469"/>
      <c r="BAN44" s="1469"/>
      <c r="BAO44" s="1469"/>
      <c r="BAP44" s="1469"/>
      <c r="BAQ44" s="1469"/>
      <c r="BAR44" s="1469"/>
      <c r="BAS44" s="1469"/>
      <c r="BAT44" s="1469"/>
      <c r="BAU44" s="1469"/>
      <c r="BAV44" s="1469"/>
      <c r="BAW44" s="1469"/>
      <c r="BAX44" s="1469"/>
      <c r="BAY44" s="1469"/>
      <c r="BAZ44" s="1469"/>
      <c r="BBA44" s="1469"/>
      <c r="BBB44" s="1469"/>
      <c r="BBC44" s="1469"/>
      <c r="BBD44" s="1469"/>
      <c r="BBE44" s="1469"/>
      <c r="BBF44" s="1469"/>
      <c r="BBG44" s="1469"/>
      <c r="BBH44" s="1469"/>
      <c r="BBI44" s="1469"/>
      <c r="BBJ44" s="1469"/>
      <c r="BBK44" s="1469"/>
      <c r="BBL44" s="1469"/>
      <c r="BBM44" s="1469"/>
      <c r="BBN44" s="1469"/>
      <c r="BBO44" s="1469"/>
      <c r="BBP44" s="1469"/>
      <c r="BBQ44" s="1469"/>
      <c r="BBR44" s="1469"/>
      <c r="BBS44" s="1469"/>
      <c r="BBT44" s="1469"/>
      <c r="BBU44" s="1469"/>
      <c r="BBV44" s="1469"/>
      <c r="BBW44" s="1469"/>
      <c r="BBX44" s="1469"/>
      <c r="BBY44" s="1469"/>
      <c r="BBZ44" s="1469"/>
      <c r="BCA44" s="1469"/>
      <c r="BCB44" s="1469"/>
      <c r="BCC44" s="1469"/>
      <c r="BCD44" s="1469"/>
      <c r="BCE44" s="1469"/>
      <c r="BCF44" s="1469"/>
      <c r="BCG44" s="1469"/>
      <c r="BCH44" s="1469"/>
      <c r="BCI44" s="1469"/>
      <c r="BCJ44" s="1469"/>
      <c r="BCK44" s="1469"/>
      <c r="BCL44" s="1469"/>
      <c r="BCM44" s="1469"/>
      <c r="BCN44" s="1469"/>
      <c r="BCO44" s="1469"/>
      <c r="BCP44" s="1469"/>
      <c r="BCQ44" s="1469"/>
      <c r="BCR44" s="1469"/>
      <c r="BCS44" s="1469"/>
      <c r="BCT44" s="1469"/>
      <c r="BCU44" s="1469"/>
      <c r="BCV44" s="1469"/>
      <c r="BCW44" s="1469"/>
      <c r="BCX44" s="1469"/>
      <c r="BCY44" s="1469"/>
      <c r="BCZ44" s="1469"/>
      <c r="BDA44" s="1469"/>
      <c r="BDB44" s="1469"/>
      <c r="BDC44" s="1469"/>
      <c r="BDD44" s="1469"/>
      <c r="BDE44" s="1469"/>
      <c r="BDF44" s="1469"/>
      <c r="BDG44" s="1469"/>
      <c r="BDH44" s="1469"/>
      <c r="BDI44" s="1469"/>
      <c r="BDJ44" s="1469"/>
      <c r="BDK44" s="1469"/>
      <c r="BDL44" s="1469"/>
      <c r="BDM44" s="1469"/>
      <c r="BDN44" s="1469"/>
      <c r="BDO44" s="1469"/>
      <c r="BDP44" s="1469"/>
      <c r="BDQ44" s="1469"/>
      <c r="BDR44" s="1469"/>
      <c r="BDS44" s="1469"/>
      <c r="BDT44" s="1469"/>
      <c r="BDU44" s="1469"/>
      <c r="BDV44" s="1469"/>
      <c r="BDW44" s="1469"/>
      <c r="BDX44" s="1469"/>
      <c r="BDY44" s="1469"/>
      <c r="BDZ44" s="1469"/>
      <c r="BEA44" s="1469"/>
      <c r="BEB44" s="1469"/>
      <c r="BEC44" s="1469"/>
      <c r="BED44" s="1469"/>
      <c r="BEE44" s="1469"/>
      <c r="BEF44" s="1469"/>
      <c r="BEG44" s="1469"/>
      <c r="BEH44" s="1469"/>
      <c r="BEI44" s="1469"/>
      <c r="BEJ44" s="1469"/>
      <c r="BEK44" s="1469"/>
      <c r="BEL44" s="1469"/>
      <c r="BEM44" s="1469"/>
      <c r="BEN44" s="1469"/>
      <c r="BEO44" s="1469"/>
      <c r="BEP44" s="1469"/>
      <c r="BEQ44" s="1469"/>
      <c r="BER44" s="1469"/>
      <c r="BES44" s="1469"/>
      <c r="BET44" s="1469"/>
      <c r="BEU44" s="1469"/>
      <c r="BEV44" s="1469"/>
      <c r="BEW44" s="1469"/>
      <c r="BEX44" s="1469"/>
      <c r="BEY44" s="1469"/>
      <c r="BEZ44" s="1469"/>
      <c r="BFA44" s="1469"/>
      <c r="BFB44" s="1469"/>
      <c r="BFC44" s="1469"/>
      <c r="BFD44" s="1469"/>
      <c r="BFE44" s="1469"/>
      <c r="BFF44" s="1469"/>
      <c r="BFG44" s="1469"/>
      <c r="BFH44" s="1469"/>
      <c r="BFI44" s="1469"/>
      <c r="BFJ44" s="1469"/>
      <c r="BFK44" s="1469"/>
      <c r="BFL44" s="1469"/>
      <c r="BFM44" s="1469"/>
      <c r="BFN44" s="1469"/>
      <c r="BFO44" s="1469"/>
      <c r="BFP44" s="1469"/>
      <c r="BFQ44" s="1469"/>
      <c r="BFR44" s="1469"/>
      <c r="BFS44" s="1469"/>
      <c r="BFT44" s="1469"/>
      <c r="BFU44" s="1469"/>
      <c r="BFV44" s="1469"/>
      <c r="BFW44" s="1469"/>
      <c r="BFX44" s="1469"/>
      <c r="BFY44" s="1469"/>
      <c r="BFZ44" s="1469"/>
      <c r="BGA44" s="1469"/>
      <c r="BGB44" s="1469"/>
      <c r="BGC44" s="1469"/>
      <c r="BGD44" s="1469"/>
      <c r="BGE44" s="1469"/>
      <c r="BGF44" s="1469"/>
      <c r="BGG44" s="1469"/>
      <c r="BGH44" s="1469"/>
      <c r="BGI44" s="1469"/>
      <c r="BGJ44" s="1469"/>
      <c r="BGK44" s="1469"/>
      <c r="BGL44" s="1469"/>
      <c r="BGM44" s="1469"/>
      <c r="BGN44" s="1469"/>
      <c r="BGO44" s="1469"/>
      <c r="BGP44" s="1469"/>
      <c r="BGQ44" s="1469"/>
      <c r="BGR44" s="1469"/>
      <c r="BGS44" s="1469"/>
      <c r="BGT44" s="1469"/>
      <c r="BGU44" s="1469"/>
      <c r="BGV44" s="1469"/>
      <c r="BGW44" s="1469"/>
      <c r="BGX44" s="1469"/>
      <c r="BGY44" s="1469"/>
      <c r="BGZ44" s="1469"/>
      <c r="BHA44" s="1469"/>
      <c r="BHB44" s="1469"/>
      <c r="BHC44" s="1469"/>
      <c r="BHD44" s="1469"/>
      <c r="BHE44" s="1469"/>
      <c r="BHF44" s="1469"/>
      <c r="BHG44" s="1469"/>
      <c r="BHH44" s="1469"/>
      <c r="BHI44" s="1469"/>
      <c r="BHJ44" s="1469"/>
      <c r="BHK44" s="1469"/>
      <c r="BHL44" s="1469"/>
      <c r="BHM44" s="1469"/>
      <c r="BHN44" s="1469"/>
      <c r="BHO44" s="1469"/>
      <c r="BHP44" s="1469"/>
      <c r="BHQ44" s="1469"/>
      <c r="BHR44" s="1469"/>
      <c r="BHS44" s="1469"/>
      <c r="BHT44" s="1469"/>
      <c r="BHU44" s="1469"/>
      <c r="BHV44" s="1469"/>
      <c r="BHW44" s="1469"/>
      <c r="BHX44" s="1469"/>
      <c r="BHY44" s="1469"/>
      <c r="BHZ44" s="1469"/>
      <c r="BIA44" s="1469"/>
      <c r="BIB44" s="1469"/>
      <c r="BIC44" s="1469"/>
      <c r="BID44" s="1469"/>
      <c r="BIE44" s="1469"/>
      <c r="BIF44" s="1469"/>
      <c r="BIG44" s="1469"/>
      <c r="BIH44" s="1469"/>
      <c r="BII44" s="1469"/>
      <c r="BIJ44" s="1469"/>
      <c r="BIK44" s="1469"/>
      <c r="BIL44" s="1469"/>
      <c r="BIM44" s="1469"/>
      <c r="BIN44" s="1469"/>
      <c r="BIO44" s="1469"/>
      <c r="BIP44" s="1469"/>
      <c r="BIQ44" s="1469"/>
      <c r="BIR44" s="1469"/>
      <c r="BIS44" s="1469"/>
      <c r="BIT44" s="1469"/>
      <c r="BIU44" s="1469"/>
      <c r="BIV44" s="1469"/>
      <c r="BIW44" s="1469"/>
      <c r="BIX44" s="1469"/>
      <c r="BIY44" s="1469"/>
      <c r="BIZ44" s="1469"/>
      <c r="BJA44" s="1469"/>
      <c r="BJB44" s="1469"/>
      <c r="BJC44" s="1469"/>
      <c r="BJD44" s="1469"/>
      <c r="BJE44" s="1469"/>
      <c r="BJF44" s="1469"/>
      <c r="BJG44" s="1469"/>
      <c r="BJH44" s="1469"/>
      <c r="BJI44" s="1469"/>
      <c r="BJJ44" s="1469"/>
      <c r="BJK44" s="1469"/>
      <c r="BJL44" s="1469"/>
      <c r="BJM44" s="1469"/>
      <c r="BJN44" s="1469"/>
      <c r="BJO44" s="1469"/>
      <c r="BJP44" s="1469"/>
      <c r="BJQ44" s="1469"/>
      <c r="BJR44" s="1469"/>
      <c r="BJS44" s="1469"/>
      <c r="BJT44" s="1469"/>
      <c r="BJU44" s="1469"/>
      <c r="BJV44" s="1469"/>
      <c r="BJW44" s="1469"/>
      <c r="BJX44" s="1469"/>
      <c r="BJY44" s="1469"/>
      <c r="BJZ44" s="1469"/>
      <c r="BKA44" s="1469"/>
      <c r="BKB44" s="1469"/>
      <c r="BKC44" s="1469"/>
      <c r="BKD44" s="1469"/>
      <c r="BKE44" s="1469"/>
      <c r="BKF44" s="1469"/>
      <c r="BKG44" s="1469"/>
      <c r="BKH44" s="1469"/>
      <c r="BKI44" s="1469"/>
      <c r="BKJ44" s="1469"/>
      <c r="BKK44" s="1469"/>
      <c r="BKL44" s="1469"/>
      <c r="BKM44" s="1469"/>
      <c r="BKN44" s="1469"/>
      <c r="BKO44" s="1469"/>
      <c r="BKP44" s="1469"/>
      <c r="BKQ44" s="1469"/>
      <c r="BKR44" s="1469"/>
      <c r="BKS44" s="1469"/>
      <c r="BKT44" s="1469"/>
      <c r="BKU44" s="1469"/>
      <c r="BKV44" s="1469"/>
      <c r="BKW44" s="1469"/>
      <c r="BKX44" s="1469"/>
      <c r="BKY44" s="1469"/>
      <c r="BKZ44" s="1469"/>
      <c r="BLA44" s="1469"/>
      <c r="BLB44" s="1469"/>
      <c r="BLC44" s="1469"/>
      <c r="BLD44" s="1469"/>
      <c r="BLE44" s="1469"/>
      <c r="BLF44" s="1469"/>
      <c r="BLG44" s="1469"/>
      <c r="BLH44" s="1469"/>
      <c r="BLI44" s="1469"/>
      <c r="BLJ44" s="1469"/>
      <c r="BLK44" s="1469"/>
      <c r="BLL44" s="1469"/>
      <c r="BLM44" s="1469"/>
      <c r="BLN44" s="1469"/>
      <c r="BLO44" s="1469"/>
      <c r="BLP44" s="1469"/>
      <c r="BLQ44" s="1469"/>
      <c r="BLR44" s="1469"/>
      <c r="BLS44" s="1469"/>
      <c r="BLT44" s="1469"/>
      <c r="BLU44" s="1469"/>
      <c r="BLV44" s="1469"/>
      <c r="BLW44" s="1469"/>
      <c r="BLX44" s="1469"/>
      <c r="BLY44" s="1469"/>
      <c r="BLZ44" s="1469"/>
      <c r="BMA44" s="1469"/>
      <c r="BMB44" s="1469"/>
      <c r="BMC44" s="1469"/>
      <c r="BMD44" s="1469"/>
      <c r="BME44" s="1469"/>
      <c r="BMF44" s="1469"/>
      <c r="BMG44" s="1469"/>
      <c r="BMH44" s="1469"/>
      <c r="BMI44" s="1469"/>
      <c r="BMJ44" s="1469"/>
      <c r="BMK44" s="1469"/>
      <c r="BML44" s="1469"/>
      <c r="BMM44" s="1469"/>
      <c r="BMN44" s="1469"/>
      <c r="BMO44" s="1469"/>
      <c r="BMP44" s="1469"/>
      <c r="BMQ44" s="1469"/>
      <c r="BMR44" s="1469"/>
      <c r="BMS44" s="1469"/>
      <c r="BMT44" s="1469"/>
      <c r="BMU44" s="1469"/>
      <c r="BMV44" s="1469"/>
      <c r="BMW44" s="1469"/>
      <c r="BMX44" s="1469"/>
      <c r="BMY44" s="1469"/>
      <c r="BMZ44" s="1469"/>
      <c r="BNA44" s="1469"/>
      <c r="BNB44" s="1469"/>
      <c r="BNC44" s="1469"/>
      <c r="BND44" s="1469"/>
      <c r="BNE44" s="1469"/>
      <c r="BNF44" s="1469"/>
      <c r="BNG44" s="1469"/>
      <c r="BNH44" s="1469"/>
      <c r="BNI44" s="1469"/>
      <c r="BNJ44" s="1469"/>
      <c r="BNK44" s="1469"/>
      <c r="BNL44" s="1469"/>
      <c r="BNM44" s="1469"/>
      <c r="BNN44" s="1469"/>
      <c r="BNO44" s="1469"/>
      <c r="BNP44" s="1469"/>
      <c r="BNQ44" s="1469"/>
      <c r="BNR44" s="1469"/>
      <c r="BNS44" s="1469"/>
      <c r="BNT44" s="1469"/>
      <c r="BNU44" s="1469"/>
      <c r="BNV44" s="1469"/>
      <c r="BNW44" s="1469"/>
      <c r="BNX44" s="1469"/>
      <c r="BNY44" s="1469"/>
      <c r="BNZ44" s="1469"/>
      <c r="BOA44" s="1469"/>
      <c r="BOB44" s="1469"/>
      <c r="BOC44" s="1469"/>
      <c r="BOD44" s="1469"/>
      <c r="BOE44" s="1469"/>
      <c r="BOF44" s="1469"/>
      <c r="BOG44" s="1469"/>
      <c r="BOH44" s="1469"/>
      <c r="BOI44" s="1469"/>
      <c r="BOJ44" s="1469"/>
      <c r="BOK44" s="1469"/>
      <c r="BOL44" s="1469"/>
      <c r="BOM44" s="1469"/>
      <c r="BON44" s="1469"/>
      <c r="BOO44" s="1469"/>
      <c r="BOP44" s="1469"/>
      <c r="BOQ44" s="1469"/>
      <c r="BOR44" s="1469"/>
      <c r="BOS44" s="1469"/>
      <c r="BOT44" s="1469"/>
      <c r="BOU44" s="1469"/>
      <c r="BOV44" s="1469"/>
      <c r="BOW44" s="1469"/>
      <c r="BOX44" s="1469"/>
      <c r="BOY44" s="1469"/>
      <c r="BOZ44" s="1469"/>
      <c r="BPA44" s="1469"/>
      <c r="BPB44" s="1469"/>
      <c r="BPC44" s="1469"/>
      <c r="BPD44" s="1469"/>
      <c r="BPE44" s="1469"/>
      <c r="BPF44" s="1469"/>
      <c r="BPG44" s="1469"/>
      <c r="BPH44" s="1469"/>
      <c r="BPI44" s="1469"/>
      <c r="BPJ44" s="1469"/>
      <c r="BPK44" s="1469"/>
      <c r="BPL44" s="1469"/>
      <c r="BPM44" s="1469"/>
      <c r="BPN44" s="1469"/>
      <c r="BPO44" s="1469"/>
      <c r="BPP44" s="1469"/>
      <c r="BPQ44" s="1469"/>
      <c r="BPR44" s="1469"/>
      <c r="BPS44" s="1469"/>
      <c r="BPT44" s="1469"/>
      <c r="BPU44" s="1469"/>
      <c r="BPV44" s="1469"/>
      <c r="BPW44" s="1469"/>
      <c r="BPX44" s="1469"/>
      <c r="BPY44" s="1469"/>
      <c r="BPZ44" s="1469"/>
      <c r="BQA44" s="1469"/>
      <c r="BQB44" s="1469"/>
      <c r="BQC44" s="1469"/>
      <c r="BQD44" s="1469"/>
      <c r="BQE44" s="1469"/>
      <c r="BQF44" s="1469"/>
      <c r="BQG44" s="1469"/>
      <c r="BQH44" s="1469"/>
      <c r="BQI44" s="1469"/>
      <c r="BQJ44" s="1469"/>
      <c r="BQK44" s="1469"/>
      <c r="BQL44" s="1469"/>
      <c r="BQM44" s="1469"/>
      <c r="BQN44" s="1469"/>
      <c r="BQO44" s="1469"/>
      <c r="BQP44" s="1469"/>
      <c r="BQQ44" s="1469"/>
      <c r="BQR44" s="1469"/>
      <c r="BQS44" s="1469"/>
      <c r="BQT44" s="1469"/>
      <c r="BQU44" s="1469"/>
      <c r="BQV44" s="1469"/>
      <c r="BQW44" s="1469"/>
      <c r="BQX44" s="1469"/>
      <c r="BQY44" s="1469"/>
      <c r="BQZ44" s="1469"/>
      <c r="BRA44" s="1469"/>
      <c r="BRB44" s="1469"/>
      <c r="BRC44" s="1469"/>
      <c r="BRD44" s="1469"/>
      <c r="BRE44" s="1469"/>
      <c r="BRF44" s="1469"/>
      <c r="BRG44" s="1469"/>
      <c r="BRH44" s="1469"/>
      <c r="BRI44" s="1469"/>
      <c r="BRJ44" s="1469"/>
      <c r="BRK44" s="1469"/>
      <c r="BRL44" s="1469"/>
      <c r="BRM44" s="1469"/>
      <c r="BRN44" s="1469"/>
      <c r="BRO44" s="1469"/>
      <c r="BRP44" s="1469"/>
      <c r="BRQ44" s="1469"/>
      <c r="BRR44" s="1469"/>
      <c r="BRS44" s="1469"/>
      <c r="BRT44" s="1469"/>
      <c r="BRU44" s="1469"/>
      <c r="BRV44" s="1469"/>
      <c r="BRW44" s="1469"/>
      <c r="BRX44" s="1469"/>
      <c r="BRY44" s="1469"/>
      <c r="BRZ44" s="1469"/>
      <c r="BSA44" s="1469"/>
      <c r="BSB44" s="1469"/>
      <c r="BSC44" s="1469"/>
      <c r="BSD44" s="1469"/>
      <c r="BSE44" s="1469"/>
      <c r="BSF44" s="1469"/>
      <c r="BSG44" s="1469"/>
      <c r="BSH44" s="1469"/>
      <c r="BSI44" s="1469"/>
      <c r="BSJ44" s="1469"/>
      <c r="BSK44" s="1469"/>
      <c r="BSL44" s="1469"/>
      <c r="BSM44" s="1469"/>
      <c r="BSN44" s="1469"/>
      <c r="BSO44" s="1469"/>
      <c r="BSP44" s="1469"/>
      <c r="BSQ44" s="1469"/>
      <c r="BSR44" s="1469"/>
      <c r="BSS44" s="1469"/>
      <c r="BST44" s="1469"/>
      <c r="BSU44" s="1469"/>
      <c r="BSV44" s="1469"/>
      <c r="BSW44" s="1469"/>
      <c r="BSX44" s="1469"/>
      <c r="BSY44" s="1469"/>
      <c r="BSZ44" s="1469"/>
      <c r="BTA44" s="1469"/>
      <c r="BTB44" s="1469"/>
      <c r="BTC44" s="1469"/>
      <c r="BTD44" s="1469"/>
      <c r="BTE44" s="1469"/>
      <c r="BTF44" s="1469"/>
      <c r="BTG44" s="1469"/>
      <c r="BTH44" s="1469"/>
      <c r="BTI44" s="1469"/>
      <c r="BTJ44" s="1469"/>
      <c r="BTK44" s="1469"/>
      <c r="BTL44" s="1469"/>
      <c r="BTM44" s="1469"/>
      <c r="BTN44" s="1469"/>
      <c r="BTO44" s="1469"/>
      <c r="BTP44" s="1469"/>
      <c r="BTQ44" s="1469"/>
      <c r="BTR44" s="1469"/>
      <c r="BTS44" s="1469"/>
      <c r="BTT44" s="1469"/>
      <c r="BTU44" s="1469"/>
      <c r="BTV44" s="1469"/>
      <c r="BTW44" s="1469"/>
      <c r="BTX44" s="1469"/>
      <c r="BTY44" s="1469"/>
      <c r="BTZ44" s="1469"/>
      <c r="BUA44" s="1469"/>
      <c r="BUB44" s="1469"/>
      <c r="BUC44" s="1469"/>
      <c r="BUD44" s="1469"/>
      <c r="BUE44" s="1469"/>
      <c r="BUF44" s="1469"/>
      <c r="BUG44" s="1469"/>
      <c r="BUH44" s="1469"/>
      <c r="BUI44" s="1469"/>
      <c r="BUJ44" s="1469"/>
      <c r="BUK44" s="1469"/>
      <c r="BUL44" s="1469"/>
      <c r="BUM44" s="1469"/>
      <c r="BUN44" s="1469"/>
      <c r="BUO44" s="1469"/>
      <c r="BUP44" s="1469"/>
      <c r="BUQ44" s="1469"/>
      <c r="BUR44" s="1469"/>
      <c r="BUS44" s="1469"/>
      <c r="BUT44" s="1469"/>
      <c r="BUU44" s="1469"/>
      <c r="BUV44" s="1469"/>
      <c r="BUW44" s="1469"/>
      <c r="BUX44" s="1469"/>
      <c r="BUY44" s="1469"/>
      <c r="BUZ44" s="1469"/>
      <c r="BVA44" s="1469"/>
      <c r="BVB44" s="1469"/>
      <c r="BVC44" s="1469"/>
      <c r="BVD44" s="1469"/>
      <c r="BVE44" s="1469"/>
      <c r="BVF44" s="1469"/>
      <c r="BVG44" s="1469"/>
      <c r="BVH44" s="1469"/>
      <c r="BVI44" s="1469"/>
      <c r="BVJ44" s="1469"/>
      <c r="BVK44" s="1469"/>
      <c r="BVL44" s="1469"/>
      <c r="BVM44" s="1469"/>
      <c r="BVN44" s="1469"/>
      <c r="BVO44" s="1469"/>
      <c r="BVP44" s="1469"/>
      <c r="BVQ44" s="1469"/>
      <c r="BVR44" s="1469"/>
      <c r="BVS44" s="1469"/>
      <c r="BVT44" s="1469"/>
      <c r="BVU44" s="1469"/>
      <c r="BVV44" s="1469"/>
      <c r="BVW44" s="1469"/>
      <c r="BVX44" s="1469"/>
      <c r="BVY44" s="1469"/>
      <c r="BVZ44" s="1469"/>
      <c r="BWA44" s="1469"/>
      <c r="BWB44" s="1469"/>
      <c r="BWC44" s="1469"/>
      <c r="BWD44" s="1469"/>
      <c r="BWE44" s="1469"/>
      <c r="BWF44" s="1469"/>
      <c r="BWG44" s="1469"/>
      <c r="BWH44" s="1469"/>
      <c r="BWI44" s="1469"/>
      <c r="BWJ44" s="1469"/>
      <c r="BWK44" s="1469"/>
      <c r="BWL44" s="1469"/>
      <c r="BWM44" s="1469"/>
      <c r="BWN44" s="1469"/>
      <c r="BWO44" s="1469"/>
      <c r="BWP44" s="1469"/>
      <c r="BWQ44" s="1469"/>
      <c r="BWR44" s="1469"/>
      <c r="BWS44" s="1469"/>
      <c r="BWT44" s="1469"/>
      <c r="BWU44" s="1469"/>
      <c r="BWV44" s="1469"/>
      <c r="BWW44" s="1469"/>
      <c r="BWX44" s="1469"/>
      <c r="BWY44" s="1469"/>
      <c r="BWZ44" s="1469"/>
      <c r="BXA44" s="1469"/>
      <c r="BXB44" s="1469"/>
      <c r="BXC44" s="1469"/>
      <c r="BXD44" s="1469"/>
      <c r="BXE44" s="1469"/>
      <c r="BXF44" s="1469"/>
      <c r="BXG44" s="1469"/>
      <c r="BXH44" s="1469"/>
      <c r="BXI44" s="1469"/>
      <c r="BXJ44" s="1469"/>
      <c r="BXK44" s="1469"/>
      <c r="BXL44" s="1469"/>
      <c r="BXM44" s="1469"/>
      <c r="BXN44" s="1469"/>
      <c r="BXO44" s="1469"/>
      <c r="BXP44" s="1469"/>
      <c r="BXQ44" s="1469"/>
      <c r="BXR44" s="1469"/>
      <c r="BXS44" s="1469"/>
      <c r="BXT44" s="1469"/>
      <c r="BXU44" s="1469"/>
      <c r="BXV44" s="1469"/>
      <c r="BXW44" s="1469"/>
      <c r="BXX44" s="1469"/>
      <c r="BXY44" s="1469"/>
      <c r="BXZ44" s="1469"/>
      <c r="BYA44" s="1469"/>
      <c r="BYB44" s="1469"/>
      <c r="BYC44" s="1469"/>
      <c r="BYD44" s="1469"/>
      <c r="BYE44" s="1469"/>
      <c r="BYF44" s="1469"/>
      <c r="BYG44" s="1469"/>
      <c r="BYH44" s="1469"/>
      <c r="BYI44" s="1469"/>
      <c r="BYJ44" s="1469"/>
      <c r="BYK44" s="1469"/>
      <c r="BYL44" s="1469"/>
      <c r="BYM44" s="1469"/>
      <c r="BYN44" s="1469"/>
      <c r="BYO44" s="1469"/>
      <c r="BYP44" s="1469"/>
      <c r="BYQ44" s="1469"/>
      <c r="BYR44" s="1469"/>
      <c r="BYS44" s="1469"/>
      <c r="BYT44" s="1469"/>
      <c r="BYU44" s="1469"/>
      <c r="BYV44" s="1469"/>
      <c r="BYW44" s="1469"/>
      <c r="BYX44" s="1469"/>
      <c r="BYY44" s="1469"/>
      <c r="BYZ44" s="1469"/>
      <c r="BZA44" s="1469"/>
      <c r="BZB44" s="1469"/>
      <c r="BZC44" s="1469"/>
      <c r="BZD44" s="1469"/>
      <c r="BZE44" s="1469"/>
      <c r="BZF44" s="1469"/>
      <c r="BZG44" s="1469"/>
      <c r="BZH44" s="1469"/>
      <c r="BZI44" s="1469"/>
      <c r="BZJ44" s="1469"/>
      <c r="BZK44" s="1469"/>
      <c r="BZL44" s="1469"/>
      <c r="BZM44" s="1469"/>
      <c r="BZN44" s="1469"/>
      <c r="BZO44" s="1469"/>
      <c r="BZP44" s="1469"/>
      <c r="BZQ44" s="1469"/>
      <c r="BZR44" s="1469"/>
      <c r="BZS44" s="1469"/>
      <c r="BZT44" s="1469"/>
      <c r="BZU44" s="1469"/>
      <c r="BZV44" s="1469"/>
      <c r="BZW44" s="1469"/>
      <c r="BZX44" s="1469"/>
      <c r="BZY44" s="1469"/>
      <c r="BZZ44" s="1469"/>
      <c r="CAA44" s="1469"/>
      <c r="CAB44" s="1469"/>
      <c r="CAC44" s="1469"/>
      <c r="CAD44" s="1469"/>
      <c r="CAE44" s="1469"/>
      <c r="CAF44" s="1469"/>
      <c r="CAG44" s="1469"/>
      <c r="CAH44" s="1469"/>
      <c r="CAI44" s="1469"/>
      <c r="CAJ44" s="1469"/>
      <c r="CAK44" s="1469"/>
      <c r="CAL44" s="1469"/>
      <c r="CAM44" s="1469"/>
      <c r="CAN44" s="1469"/>
      <c r="CAO44" s="1469"/>
      <c r="CAP44" s="1469"/>
      <c r="CAQ44" s="1469"/>
      <c r="CAR44" s="1469"/>
      <c r="CAS44" s="1469"/>
      <c r="CAT44" s="1469"/>
      <c r="CAU44" s="1469"/>
      <c r="CAV44" s="1469"/>
      <c r="CAW44" s="1469"/>
      <c r="CAX44" s="1469"/>
      <c r="CAY44" s="1469"/>
      <c r="CAZ44" s="1469"/>
      <c r="CBA44" s="1469"/>
      <c r="CBB44" s="1469"/>
      <c r="CBC44" s="1469"/>
      <c r="CBD44" s="1469"/>
      <c r="CBE44" s="1469"/>
      <c r="CBF44" s="1469"/>
      <c r="CBG44" s="1469"/>
      <c r="CBH44" s="1469"/>
      <c r="CBI44" s="1469"/>
      <c r="CBJ44" s="1469"/>
      <c r="CBK44" s="1469"/>
      <c r="CBL44" s="1469"/>
      <c r="CBM44" s="1469"/>
      <c r="CBN44" s="1469"/>
      <c r="CBO44" s="1469"/>
      <c r="CBP44" s="1469"/>
      <c r="CBQ44" s="1469"/>
      <c r="CBR44" s="1469"/>
      <c r="CBS44" s="1469"/>
      <c r="CBT44" s="1469"/>
      <c r="CBU44" s="1469"/>
      <c r="CBV44" s="1469"/>
      <c r="CBW44" s="1469"/>
      <c r="CBX44" s="1469"/>
      <c r="CBY44" s="1469"/>
      <c r="CBZ44" s="1469"/>
      <c r="CCA44" s="1469"/>
      <c r="CCB44" s="1469"/>
      <c r="CCC44" s="1469"/>
      <c r="CCD44" s="1469"/>
      <c r="CCE44" s="1469"/>
      <c r="CCF44" s="1469"/>
      <c r="CCG44" s="1469"/>
      <c r="CCH44" s="1469"/>
      <c r="CCI44" s="1469"/>
      <c r="CCJ44" s="1469"/>
      <c r="CCK44" s="1469"/>
      <c r="CCL44" s="1469"/>
      <c r="CCM44" s="1469"/>
      <c r="CCN44" s="1469"/>
      <c r="CCO44" s="1469"/>
      <c r="CCP44" s="1469"/>
      <c r="CCQ44" s="1469"/>
      <c r="CCR44" s="1469"/>
      <c r="CCS44" s="1469"/>
      <c r="CCT44" s="1469"/>
      <c r="CCU44" s="1469"/>
      <c r="CCV44" s="1469"/>
      <c r="CCW44" s="1469"/>
      <c r="CCX44" s="1469"/>
      <c r="CCY44" s="1469"/>
      <c r="CCZ44" s="1469"/>
      <c r="CDA44" s="1469"/>
      <c r="CDB44" s="1469"/>
      <c r="CDC44" s="1469"/>
      <c r="CDD44" s="1469"/>
      <c r="CDE44" s="1469"/>
      <c r="CDF44" s="1469"/>
      <c r="CDG44" s="1469"/>
      <c r="CDH44" s="1469"/>
      <c r="CDI44" s="1469"/>
      <c r="CDJ44" s="1469"/>
      <c r="CDK44" s="1469"/>
      <c r="CDL44" s="1469"/>
      <c r="CDM44" s="1469"/>
      <c r="CDN44" s="1469"/>
      <c r="CDO44" s="1469"/>
      <c r="CDP44" s="1469"/>
      <c r="CDQ44" s="1469"/>
      <c r="CDR44" s="1469"/>
      <c r="CDS44" s="1469"/>
      <c r="CDT44" s="1469"/>
      <c r="CDU44" s="1469"/>
      <c r="CDV44" s="1469"/>
      <c r="CDW44" s="1469"/>
      <c r="CDX44" s="1469"/>
      <c r="CDY44" s="1469"/>
      <c r="CDZ44" s="1469"/>
      <c r="CEA44" s="1469"/>
      <c r="CEB44" s="1469"/>
      <c r="CEC44" s="1469"/>
      <c r="CED44" s="1469"/>
      <c r="CEE44" s="1469"/>
      <c r="CEF44" s="1469"/>
      <c r="CEG44" s="1469"/>
      <c r="CEH44" s="1469"/>
      <c r="CEI44" s="1469"/>
      <c r="CEJ44" s="1469"/>
      <c r="CEK44" s="1469"/>
      <c r="CEL44" s="1469"/>
      <c r="CEM44" s="1469"/>
      <c r="CEN44" s="1469"/>
      <c r="CEO44" s="1469"/>
      <c r="CEP44" s="1469"/>
      <c r="CEQ44" s="1469"/>
      <c r="CER44" s="1469"/>
      <c r="CES44" s="1469"/>
      <c r="CET44" s="1469"/>
      <c r="CEU44" s="1469"/>
      <c r="CEV44" s="1469"/>
      <c r="CEW44" s="1469"/>
      <c r="CEX44" s="1469"/>
      <c r="CEY44" s="1469"/>
      <c r="CEZ44" s="1469"/>
      <c r="CFA44" s="1469"/>
      <c r="CFB44" s="1469"/>
      <c r="CFC44" s="1469"/>
      <c r="CFD44" s="1469"/>
      <c r="CFE44" s="1469"/>
      <c r="CFF44" s="1469"/>
      <c r="CFG44" s="1469"/>
      <c r="CFH44" s="1469"/>
      <c r="CFI44" s="1469"/>
      <c r="CFJ44" s="1469"/>
      <c r="CFK44" s="1469"/>
      <c r="CFL44" s="1469"/>
      <c r="CFM44" s="1469"/>
      <c r="CFN44" s="1469"/>
      <c r="CFO44" s="1469"/>
      <c r="CFP44" s="1469"/>
      <c r="CFQ44" s="1469"/>
      <c r="CFR44" s="1469"/>
      <c r="CFS44" s="1469"/>
      <c r="CFT44" s="1469"/>
      <c r="CFU44" s="1469"/>
      <c r="CFV44" s="1469"/>
      <c r="CFW44" s="1469"/>
      <c r="CFX44" s="1469"/>
      <c r="CFY44" s="1469"/>
      <c r="CFZ44" s="1469"/>
      <c r="CGA44" s="1469"/>
      <c r="CGB44" s="1469"/>
      <c r="CGC44" s="1469"/>
      <c r="CGD44" s="1469"/>
      <c r="CGE44" s="1469"/>
      <c r="CGF44" s="1469"/>
      <c r="CGG44" s="1469"/>
      <c r="CGH44" s="1469"/>
      <c r="CGI44" s="1469"/>
      <c r="CGJ44" s="1469"/>
      <c r="CGK44" s="1469"/>
      <c r="CGL44" s="1469"/>
      <c r="CGM44" s="1469"/>
      <c r="CGN44" s="1469"/>
      <c r="CGO44" s="1469"/>
      <c r="CGP44" s="1469"/>
      <c r="CGQ44" s="1469"/>
      <c r="CGR44" s="1469"/>
      <c r="CGS44" s="1469"/>
      <c r="CGT44" s="1469"/>
      <c r="CGU44" s="1469"/>
      <c r="CGV44" s="1469"/>
      <c r="CGW44" s="1469"/>
      <c r="CGX44" s="1469"/>
      <c r="CGY44" s="1469"/>
      <c r="CGZ44" s="1469"/>
      <c r="CHA44" s="1469"/>
      <c r="CHB44" s="1469"/>
      <c r="CHC44" s="1469"/>
      <c r="CHD44" s="1469"/>
      <c r="CHE44" s="1469"/>
      <c r="CHF44" s="1469"/>
      <c r="CHG44" s="1469"/>
      <c r="CHH44" s="1469"/>
      <c r="CHI44" s="1469"/>
      <c r="CHJ44" s="1469"/>
      <c r="CHK44" s="1469"/>
      <c r="CHL44" s="1469"/>
      <c r="CHM44" s="1469"/>
      <c r="CHN44" s="1469"/>
      <c r="CHO44" s="1469"/>
      <c r="CHP44" s="1469"/>
      <c r="CHQ44" s="1469"/>
      <c r="CHR44" s="1469"/>
      <c r="CHS44" s="1469"/>
      <c r="CHT44" s="1469"/>
      <c r="CHU44" s="1469"/>
      <c r="CHV44" s="1469"/>
      <c r="CHW44" s="1469"/>
      <c r="CHX44" s="1469"/>
      <c r="CHY44" s="1469"/>
      <c r="CHZ44" s="1469"/>
      <c r="CIA44" s="1469"/>
      <c r="CIB44" s="1469"/>
      <c r="CIC44" s="1469"/>
      <c r="CID44" s="1469"/>
      <c r="CIE44" s="1469"/>
      <c r="CIF44" s="1469"/>
      <c r="CIG44" s="1469"/>
      <c r="CIH44" s="1469"/>
      <c r="CII44" s="1469"/>
      <c r="CIJ44" s="1469"/>
      <c r="CIK44" s="1469"/>
      <c r="CIL44" s="1469"/>
      <c r="CIM44" s="1469"/>
      <c r="CIN44" s="1469"/>
      <c r="CIO44" s="1469"/>
      <c r="CIP44" s="1469"/>
      <c r="CIQ44" s="1469"/>
      <c r="CIR44" s="1469"/>
      <c r="CIS44" s="1469"/>
      <c r="CIT44" s="1469"/>
      <c r="CIU44" s="1469"/>
      <c r="CIV44" s="1469"/>
      <c r="CIW44" s="1469"/>
      <c r="CIX44" s="1469"/>
      <c r="CIY44" s="1469"/>
      <c r="CIZ44" s="1469"/>
      <c r="CJA44" s="1469"/>
      <c r="CJB44" s="1469"/>
      <c r="CJC44" s="1469"/>
      <c r="CJD44" s="1469"/>
      <c r="CJE44" s="1469"/>
      <c r="CJF44" s="1469"/>
      <c r="CJG44" s="1469"/>
      <c r="CJH44" s="1469"/>
      <c r="CJI44" s="1469"/>
      <c r="CJJ44" s="1469"/>
      <c r="CJK44" s="1469"/>
      <c r="CJL44" s="1469"/>
      <c r="CJM44" s="1469"/>
      <c r="CJN44" s="1469"/>
      <c r="CJO44" s="1469"/>
      <c r="CJP44" s="1469"/>
      <c r="CJQ44" s="1469"/>
      <c r="CJR44" s="1469"/>
      <c r="CJS44" s="1469"/>
      <c r="CJT44" s="1469"/>
      <c r="CJU44" s="1469"/>
      <c r="CJV44" s="1469"/>
      <c r="CJW44" s="1469"/>
      <c r="CJX44" s="1469"/>
      <c r="CJY44" s="1469"/>
      <c r="CJZ44" s="1469"/>
      <c r="CKA44" s="1469"/>
      <c r="CKB44" s="1469"/>
      <c r="CKC44" s="1469"/>
      <c r="CKD44" s="1469"/>
      <c r="CKE44" s="1469"/>
      <c r="CKF44" s="1469"/>
      <c r="CKG44" s="1469"/>
      <c r="CKH44" s="1469"/>
      <c r="CKI44" s="1469"/>
      <c r="CKJ44" s="1469"/>
      <c r="CKK44" s="1469"/>
      <c r="CKL44" s="1469"/>
      <c r="CKM44" s="1469"/>
      <c r="CKN44" s="1469"/>
      <c r="CKO44" s="1469"/>
      <c r="CKP44" s="1469"/>
      <c r="CKQ44" s="1469"/>
      <c r="CKR44" s="1469"/>
      <c r="CKS44" s="1469"/>
      <c r="CKT44" s="1469"/>
      <c r="CKU44" s="1469"/>
      <c r="CKV44" s="1469"/>
      <c r="CKW44" s="1469"/>
      <c r="CKX44" s="1469"/>
      <c r="CKY44" s="1469"/>
      <c r="CKZ44" s="1469"/>
      <c r="CLA44" s="1469"/>
      <c r="CLB44" s="1469"/>
      <c r="CLC44" s="1469"/>
      <c r="CLD44" s="1469"/>
      <c r="CLE44" s="1469"/>
      <c r="CLF44" s="1469"/>
      <c r="CLG44" s="1469"/>
      <c r="CLH44" s="1469"/>
      <c r="CLI44" s="1469"/>
      <c r="CLJ44" s="1469"/>
      <c r="CLK44" s="1469"/>
      <c r="CLL44" s="1469"/>
      <c r="CLM44" s="1469"/>
      <c r="CLN44" s="1469"/>
      <c r="CLO44" s="1469"/>
      <c r="CLP44" s="1469"/>
      <c r="CLQ44" s="1469"/>
      <c r="CLR44" s="1469"/>
      <c r="CLS44" s="1469"/>
      <c r="CLT44" s="1469"/>
      <c r="CLU44" s="1469"/>
      <c r="CLV44" s="1469"/>
      <c r="CLW44" s="1469"/>
      <c r="CLX44" s="1469"/>
      <c r="CLY44" s="1469"/>
      <c r="CLZ44" s="1469"/>
      <c r="CMA44" s="1469"/>
      <c r="CMB44" s="1469"/>
      <c r="CMC44" s="1469"/>
      <c r="CMD44" s="1469"/>
      <c r="CME44" s="1469"/>
      <c r="CMF44" s="1469"/>
      <c r="CMG44" s="1469"/>
      <c r="CMH44" s="1469"/>
      <c r="CMI44" s="1469"/>
      <c r="CMJ44" s="1469"/>
      <c r="CMK44" s="1469"/>
      <c r="CML44" s="1469"/>
      <c r="CMM44" s="1469"/>
      <c r="CMN44" s="1469"/>
      <c r="CMO44" s="1469"/>
      <c r="CMP44" s="1469"/>
      <c r="CMQ44" s="1469"/>
      <c r="CMR44" s="1469"/>
      <c r="CMS44" s="1469"/>
      <c r="CMT44" s="1469"/>
      <c r="CMU44" s="1469"/>
      <c r="CMV44" s="1469"/>
      <c r="CMW44" s="1469"/>
      <c r="CMX44" s="1469"/>
      <c r="CMY44" s="1469"/>
      <c r="CMZ44" s="1469"/>
      <c r="CNA44" s="1469"/>
      <c r="CNB44" s="1469"/>
      <c r="CNC44" s="1469"/>
      <c r="CND44" s="1469"/>
      <c r="CNE44" s="1469"/>
      <c r="CNF44" s="1469"/>
      <c r="CNG44" s="1469"/>
      <c r="CNH44" s="1469"/>
      <c r="CNI44" s="1469"/>
      <c r="CNJ44" s="1469"/>
      <c r="CNK44" s="1469"/>
      <c r="CNL44" s="1469"/>
      <c r="CNM44" s="1469"/>
      <c r="CNN44" s="1469"/>
      <c r="CNO44" s="1469"/>
      <c r="CNP44" s="1469"/>
      <c r="CNQ44" s="1469"/>
      <c r="CNR44" s="1469"/>
      <c r="CNS44" s="1469"/>
      <c r="CNT44" s="1469"/>
      <c r="CNU44" s="1469"/>
      <c r="CNV44" s="1469"/>
      <c r="CNW44" s="1469"/>
      <c r="CNX44" s="1469"/>
      <c r="CNY44" s="1469"/>
      <c r="CNZ44" s="1469"/>
      <c r="COA44" s="1469"/>
      <c r="COB44" s="1469"/>
      <c r="COC44" s="1469"/>
      <c r="COD44" s="1469"/>
      <c r="COE44" s="1469"/>
      <c r="COF44" s="1469"/>
      <c r="COG44" s="1469"/>
      <c r="COH44" s="1469"/>
      <c r="COI44" s="1469"/>
      <c r="COJ44" s="1469"/>
      <c r="COK44" s="1469"/>
      <c r="COL44" s="1469"/>
      <c r="COM44" s="1469"/>
      <c r="CON44" s="1469"/>
      <c r="COO44" s="1469"/>
      <c r="COP44" s="1469"/>
      <c r="COQ44" s="1469"/>
      <c r="COR44" s="1469"/>
      <c r="COS44" s="1469"/>
      <c r="COT44" s="1469"/>
      <c r="COU44" s="1469"/>
      <c r="COV44" s="1469"/>
      <c r="COW44" s="1469"/>
      <c r="COX44" s="1469"/>
      <c r="COY44" s="1469"/>
      <c r="COZ44" s="1469"/>
      <c r="CPA44" s="1469"/>
      <c r="CPB44" s="1469"/>
      <c r="CPC44" s="1469"/>
      <c r="CPD44" s="1469"/>
      <c r="CPE44" s="1469"/>
      <c r="CPF44" s="1469"/>
      <c r="CPG44" s="1469"/>
      <c r="CPH44" s="1469"/>
      <c r="CPI44" s="1469"/>
      <c r="CPJ44" s="1469"/>
      <c r="CPK44" s="1469"/>
      <c r="CPL44" s="1469"/>
      <c r="CPM44" s="1469"/>
      <c r="CPN44" s="1469"/>
      <c r="CPO44" s="1469"/>
      <c r="CPP44" s="1469"/>
      <c r="CPQ44" s="1469"/>
      <c r="CPR44" s="1469"/>
      <c r="CPS44" s="1469"/>
      <c r="CPT44" s="1469"/>
      <c r="CPU44" s="1469"/>
      <c r="CPV44" s="1469"/>
      <c r="CPW44" s="1469"/>
      <c r="CPX44" s="1469"/>
      <c r="CPY44" s="1469"/>
      <c r="CPZ44" s="1469"/>
      <c r="CQA44" s="1469"/>
      <c r="CQB44" s="1469"/>
      <c r="CQC44" s="1469"/>
      <c r="CQD44" s="1469"/>
      <c r="CQE44" s="1469"/>
      <c r="CQF44" s="1469"/>
      <c r="CQG44" s="1469"/>
      <c r="CQH44" s="1469"/>
      <c r="CQI44" s="1469"/>
      <c r="CQJ44" s="1469"/>
      <c r="CQK44" s="1469"/>
      <c r="CQL44" s="1469"/>
      <c r="CQM44" s="1469"/>
      <c r="CQN44" s="1469"/>
      <c r="CQO44" s="1469"/>
      <c r="CQP44" s="1469"/>
      <c r="CQQ44" s="1469"/>
      <c r="CQR44" s="1469"/>
      <c r="CQS44" s="1469"/>
      <c r="CQT44" s="1469"/>
      <c r="CQU44" s="1469"/>
      <c r="CQV44" s="1469"/>
      <c r="CQW44" s="1469"/>
      <c r="CQX44" s="1469"/>
      <c r="CQY44" s="1469"/>
      <c r="CQZ44" s="1469"/>
      <c r="CRA44" s="1469"/>
      <c r="CRB44" s="1469"/>
      <c r="CRC44" s="1469"/>
      <c r="CRD44" s="1469"/>
      <c r="CRE44" s="1469"/>
      <c r="CRF44" s="1469"/>
      <c r="CRG44" s="1469"/>
      <c r="CRH44" s="1469"/>
      <c r="CRI44" s="1469"/>
      <c r="CRJ44" s="1469"/>
      <c r="CRK44" s="1469"/>
      <c r="CRL44" s="1469"/>
      <c r="CRM44" s="1469"/>
      <c r="CRN44" s="1469"/>
      <c r="CRO44" s="1469"/>
      <c r="CRP44" s="1469"/>
      <c r="CRQ44" s="1469"/>
      <c r="CRR44" s="1469"/>
      <c r="CRS44" s="1469"/>
      <c r="CRT44" s="1469"/>
      <c r="CRU44" s="1469"/>
      <c r="CRV44" s="1469"/>
      <c r="CRW44" s="1469"/>
      <c r="CRX44" s="1469"/>
      <c r="CRY44" s="1469"/>
      <c r="CRZ44" s="1469"/>
      <c r="CSA44" s="1469"/>
      <c r="CSB44" s="1469"/>
      <c r="CSC44" s="1469"/>
      <c r="CSD44" s="1469"/>
      <c r="CSE44" s="1469"/>
      <c r="CSF44" s="1469"/>
      <c r="CSG44" s="1469"/>
      <c r="CSH44" s="1469"/>
      <c r="CSI44" s="1469"/>
      <c r="CSJ44" s="1469"/>
      <c r="CSK44" s="1469"/>
      <c r="CSL44" s="1469"/>
      <c r="CSM44" s="1469"/>
      <c r="CSN44" s="1469"/>
      <c r="CSO44" s="1469"/>
      <c r="CSP44" s="1469"/>
      <c r="CSQ44" s="1469"/>
      <c r="CSR44" s="1469"/>
      <c r="CSS44" s="1469"/>
      <c r="CST44" s="1469"/>
      <c r="CSU44" s="1469"/>
      <c r="CSV44" s="1469"/>
      <c r="CSW44" s="1469"/>
      <c r="CSX44" s="1469"/>
      <c r="CSY44" s="1469"/>
      <c r="CSZ44" s="1469"/>
      <c r="CTA44" s="1469"/>
      <c r="CTB44" s="1469"/>
      <c r="CTC44" s="1469"/>
      <c r="CTD44" s="1469"/>
      <c r="CTE44" s="1469"/>
      <c r="CTF44" s="1469"/>
      <c r="CTG44" s="1469"/>
      <c r="CTH44" s="1469"/>
      <c r="CTI44" s="1469"/>
      <c r="CTJ44" s="1469"/>
      <c r="CTK44" s="1469"/>
      <c r="CTL44" s="1469"/>
      <c r="CTM44" s="1469"/>
      <c r="CTN44" s="1469"/>
      <c r="CTO44" s="1469"/>
      <c r="CTP44" s="1469"/>
      <c r="CTQ44" s="1469"/>
      <c r="CTR44" s="1469"/>
      <c r="CTS44" s="1469"/>
      <c r="CTT44" s="1469"/>
      <c r="CTU44" s="1469"/>
      <c r="CTV44" s="1469"/>
      <c r="CTW44" s="1469"/>
      <c r="CTX44" s="1469"/>
      <c r="CTY44" s="1469"/>
      <c r="CTZ44" s="1469"/>
      <c r="CUA44" s="1469"/>
      <c r="CUB44" s="1469"/>
      <c r="CUC44" s="1469"/>
      <c r="CUD44" s="1469"/>
      <c r="CUE44" s="1469"/>
      <c r="CUF44" s="1469"/>
      <c r="CUG44" s="1469"/>
      <c r="CUH44" s="1469"/>
      <c r="CUI44" s="1469"/>
      <c r="CUJ44" s="1469"/>
      <c r="CUK44" s="1469"/>
      <c r="CUL44" s="1469"/>
      <c r="CUM44" s="1469"/>
      <c r="CUN44" s="1469"/>
      <c r="CUO44" s="1469"/>
      <c r="CUP44" s="1469"/>
      <c r="CUQ44" s="1469"/>
      <c r="CUR44" s="1469"/>
      <c r="CUS44" s="1469"/>
      <c r="CUT44" s="1469"/>
      <c r="CUU44" s="1469"/>
      <c r="CUV44" s="1469"/>
      <c r="CUW44" s="1469"/>
      <c r="CUX44" s="1469"/>
      <c r="CUY44" s="1469"/>
      <c r="CUZ44" s="1469"/>
      <c r="CVA44" s="1469"/>
      <c r="CVB44" s="1469"/>
      <c r="CVC44" s="1469"/>
      <c r="CVD44" s="1469"/>
      <c r="CVE44" s="1469"/>
      <c r="CVF44" s="1469"/>
      <c r="CVG44" s="1469"/>
      <c r="CVH44" s="1469"/>
      <c r="CVI44" s="1469"/>
      <c r="CVJ44" s="1469"/>
      <c r="CVK44" s="1469"/>
      <c r="CVL44" s="1469"/>
      <c r="CVM44" s="1469"/>
      <c r="CVN44" s="1469"/>
      <c r="CVO44" s="1469"/>
      <c r="CVP44" s="1469"/>
      <c r="CVQ44" s="1469"/>
      <c r="CVR44" s="1469"/>
      <c r="CVS44" s="1469"/>
      <c r="CVT44" s="1469"/>
      <c r="CVU44" s="1469"/>
      <c r="CVV44" s="1469"/>
      <c r="CVW44" s="1469"/>
      <c r="CVX44" s="1469"/>
      <c r="CVY44" s="1469"/>
      <c r="CVZ44" s="1469"/>
      <c r="CWA44" s="1469"/>
      <c r="CWB44" s="1469"/>
      <c r="CWC44" s="1469"/>
      <c r="CWD44" s="1469"/>
      <c r="CWE44" s="1469"/>
      <c r="CWF44" s="1469"/>
      <c r="CWG44" s="1469"/>
      <c r="CWH44" s="1469"/>
      <c r="CWI44" s="1469"/>
      <c r="CWJ44" s="1469"/>
      <c r="CWK44" s="1469"/>
      <c r="CWL44" s="1469"/>
      <c r="CWM44" s="1469"/>
      <c r="CWN44" s="1469"/>
      <c r="CWO44" s="1469"/>
      <c r="CWP44" s="1469"/>
      <c r="CWQ44" s="1469"/>
      <c r="CWR44" s="1469"/>
      <c r="CWS44" s="1469"/>
      <c r="CWT44" s="1469"/>
      <c r="CWU44" s="1469"/>
      <c r="CWV44" s="1469"/>
      <c r="CWW44" s="1469"/>
      <c r="CWX44" s="1469"/>
      <c r="CWY44" s="1469"/>
      <c r="CWZ44" s="1469"/>
      <c r="CXA44" s="1469"/>
      <c r="CXB44" s="1469"/>
      <c r="CXC44" s="1469"/>
      <c r="CXD44" s="1469"/>
      <c r="CXE44" s="1469"/>
      <c r="CXF44" s="1469"/>
      <c r="CXG44" s="1469"/>
      <c r="CXH44" s="1469"/>
      <c r="CXI44" s="1469"/>
      <c r="CXJ44" s="1469"/>
      <c r="CXK44" s="1469"/>
      <c r="CXL44" s="1469"/>
      <c r="CXM44" s="1469"/>
      <c r="CXN44" s="1469"/>
      <c r="CXO44" s="1469"/>
      <c r="CXP44" s="1469"/>
      <c r="CXQ44" s="1469"/>
      <c r="CXR44" s="1469"/>
      <c r="CXS44" s="1469"/>
      <c r="CXT44" s="1469"/>
      <c r="CXU44" s="1469"/>
      <c r="CXV44" s="1469"/>
      <c r="CXW44" s="1469"/>
      <c r="CXX44" s="1469"/>
      <c r="CXY44" s="1469"/>
      <c r="CXZ44" s="1469"/>
      <c r="CYA44" s="1469"/>
      <c r="CYB44" s="1469"/>
      <c r="CYC44" s="1469"/>
      <c r="CYD44" s="1469"/>
      <c r="CYE44" s="1469"/>
      <c r="CYF44" s="1469"/>
      <c r="CYG44" s="1469"/>
      <c r="CYH44" s="1469"/>
      <c r="CYI44" s="1469"/>
      <c r="CYJ44" s="1469"/>
      <c r="CYK44" s="1469"/>
      <c r="CYL44" s="1469"/>
      <c r="CYM44" s="1469"/>
      <c r="CYN44" s="1469"/>
      <c r="CYO44" s="1469"/>
      <c r="CYP44" s="1469"/>
      <c r="CYQ44" s="1469"/>
      <c r="CYR44" s="1469"/>
      <c r="CYS44" s="1469"/>
      <c r="CYT44" s="1469"/>
      <c r="CYU44" s="1469"/>
      <c r="CYV44" s="1469"/>
      <c r="CYW44" s="1469"/>
      <c r="CYX44" s="1469"/>
      <c r="CYY44" s="1469"/>
      <c r="CYZ44" s="1469"/>
      <c r="CZA44" s="1469"/>
      <c r="CZB44" s="1469"/>
      <c r="CZC44" s="1469"/>
      <c r="CZD44" s="1469"/>
      <c r="CZE44" s="1469"/>
      <c r="CZF44" s="1469"/>
      <c r="CZG44" s="1469"/>
      <c r="CZH44" s="1469"/>
      <c r="CZI44" s="1469"/>
      <c r="CZJ44" s="1469"/>
      <c r="CZK44" s="1469"/>
      <c r="CZL44" s="1469"/>
      <c r="CZM44" s="1469"/>
      <c r="CZN44" s="1469"/>
      <c r="CZO44" s="1469"/>
      <c r="CZP44" s="1469"/>
      <c r="CZQ44" s="1469"/>
      <c r="CZR44" s="1469"/>
      <c r="CZS44" s="1469"/>
      <c r="CZT44" s="1469"/>
      <c r="CZU44" s="1469"/>
      <c r="CZV44" s="1469"/>
      <c r="CZW44" s="1469"/>
      <c r="CZX44" s="1469"/>
      <c r="CZY44" s="1469"/>
      <c r="CZZ44" s="1469"/>
      <c r="DAA44" s="1469"/>
      <c r="DAB44" s="1469"/>
      <c r="DAC44" s="1469"/>
      <c r="DAD44" s="1469"/>
      <c r="DAE44" s="1469"/>
      <c r="DAF44" s="1469"/>
      <c r="DAG44" s="1469"/>
      <c r="DAH44" s="1469"/>
      <c r="DAI44" s="1469"/>
      <c r="DAJ44" s="1469"/>
      <c r="DAK44" s="1469"/>
      <c r="DAL44" s="1469"/>
      <c r="DAM44" s="1469"/>
      <c r="DAN44" s="1469"/>
      <c r="DAO44" s="1469"/>
      <c r="DAP44" s="1469"/>
      <c r="DAQ44" s="1469"/>
      <c r="DAR44" s="1469"/>
      <c r="DAS44" s="1469"/>
      <c r="DAT44" s="1469"/>
      <c r="DAU44" s="1469"/>
      <c r="DAV44" s="1469"/>
      <c r="DAW44" s="1469"/>
      <c r="DAX44" s="1469"/>
      <c r="DAY44" s="1469"/>
      <c r="DAZ44" s="1469"/>
      <c r="DBA44" s="1469"/>
      <c r="DBB44" s="1469"/>
      <c r="DBC44" s="1469"/>
      <c r="DBD44" s="1469"/>
      <c r="DBE44" s="1469"/>
      <c r="DBF44" s="1469"/>
      <c r="DBG44" s="1469"/>
      <c r="DBH44" s="1469"/>
      <c r="DBI44" s="1469"/>
      <c r="DBJ44" s="1469"/>
      <c r="DBK44" s="1469"/>
      <c r="DBL44" s="1469"/>
      <c r="DBM44" s="1469"/>
      <c r="DBN44" s="1469"/>
      <c r="DBO44" s="1469"/>
      <c r="DBP44" s="1469"/>
      <c r="DBQ44" s="1469"/>
      <c r="DBR44" s="1469"/>
      <c r="DBS44" s="1469"/>
      <c r="DBT44" s="1469"/>
      <c r="DBU44" s="1469"/>
      <c r="DBV44" s="1469"/>
      <c r="DBW44" s="1469"/>
      <c r="DBX44" s="1469"/>
      <c r="DBY44" s="1469"/>
      <c r="DBZ44" s="1469"/>
      <c r="DCA44" s="1469"/>
      <c r="DCB44" s="1469"/>
      <c r="DCC44" s="1469"/>
      <c r="DCD44" s="1469"/>
      <c r="DCE44" s="1469"/>
      <c r="DCF44" s="1469"/>
      <c r="DCG44" s="1469"/>
      <c r="DCH44" s="1469"/>
      <c r="DCI44" s="1469"/>
      <c r="DCJ44" s="1469"/>
      <c r="DCK44" s="1469"/>
      <c r="DCL44" s="1469"/>
      <c r="DCM44" s="1469"/>
      <c r="DCN44" s="1469"/>
      <c r="DCO44" s="1469"/>
      <c r="DCP44" s="1469"/>
      <c r="DCQ44" s="1469"/>
      <c r="DCR44" s="1469"/>
      <c r="DCS44" s="1469"/>
      <c r="DCT44" s="1469"/>
      <c r="DCU44" s="1469"/>
      <c r="DCV44" s="1469"/>
      <c r="DCW44" s="1469"/>
      <c r="DCX44" s="1469"/>
      <c r="DCY44" s="1469"/>
      <c r="DCZ44" s="1469"/>
      <c r="DDA44" s="1469"/>
      <c r="DDB44" s="1469"/>
      <c r="DDC44" s="1469"/>
      <c r="DDD44" s="1469"/>
      <c r="DDE44" s="1469"/>
      <c r="DDF44" s="1469"/>
      <c r="DDG44" s="1469"/>
      <c r="DDH44" s="1469"/>
      <c r="DDI44" s="1469"/>
      <c r="DDJ44" s="1469"/>
      <c r="DDK44" s="1469"/>
      <c r="DDL44" s="1469"/>
      <c r="DDM44" s="1469"/>
      <c r="DDN44" s="1469"/>
      <c r="DDO44" s="1469"/>
      <c r="DDP44" s="1469"/>
      <c r="DDQ44" s="1469"/>
      <c r="DDR44" s="1469"/>
      <c r="DDS44" s="1469"/>
      <c r="DDT44" s="1469"/>
      <c r="DDU44" s="1469"/>
      <c r="DDV44" s="1469"/>
      <c r="DDW44" s="1469"/>
      <c r="DDX44" s="1469"/>
      <c r="DDY44" s="1469"/>
      <c r="DDZ44" s="1469"/>
      <c r="DEA44" s="1469"/>
      <c r="DEB44" s="1469"/>
      <c r="DEC44" s="1469"/>
      <c r="DED44" s="1469"/>
      <c r="DEE44" s="1469"/>
      <c r="DEF44" s="1469"/>
      <c r="DEG44" s="1469"/>
      <c r="DEH44" s="1469"/>
      <c r="DEI44" s="1469"/>
      <c r="DEJ44" s="1469"/>
      <c r="DEK44" s="1469"/>
      <c r="DEL44" s="1469"/>
      <c r="DEM44" s="1469"/>
      <c r="DEN44" s="1469"/>
      <c r="DEO44" s="1469"/>
      <c r="DEP44" s="1469"/>
      <c r="DEQ44" s="1469"/>
      <c r="DER44" s="1469"/>
      <c r="DES44" s="1469"/>
      <c r="DET44" s="1469"/>
      <c r="DEU44" s="1469"/>
      <c r="DEV44" s="1469"/>
      <c r="DEW44" s="1469"/>
      <c r="DEX44" s="1469"/>
      <c r="DEY44" s="1469"/>
      <c r="DEZ44" s="1469"/>
      <c r="DFA44" s="1469"/>
      <c r="DFB44" s="1469"/>
      <c r="DFC44" s="1469"/>
      <c r="DFD44" s="1469"/>
      <c r="DFE44" s="1469"/>
      <c r="DFF44" s="1469"/>
      <c r="DFG44" s="1469"/>
      <c r="DFH44" s="1469"/>
      <c r="DFI44" s="1469"/>
      <c r="DFJ44" s="1469"/>
      <c r="DFK44" s="1469"/>
      <c r="DFL44" s="1469"/>
      <c r="DFM44" s="1469"/>
      <c r="DFN44" s="1469"/>
      <c r="DFO44" s="1469"/>
      <c r="DFP44" s="1469"/>
      <c r="DFQ44" s="1469"/>
      <c r="DFR44" s="1469"/>
      <c r="DFS44" s="1469"/>
      <c r="DFT44" s="1469"/>
      <c r="DFU44" s="1469"/>
      <c r="DFV44" s="1469"/>
      <c r="DFW44" s="1469"/>
      <c r="DFX44" s="1469"/>
      <c r="DFY44" s="1469"/>
      <c r="DFZ44" s="1469"/>
      <c r="DGA44" s="1469"/>
      <c r="DGB44" s="1469"/>
      <c r="DGC44" s="1469"/>
      <c r="DGD44" s="1469"/>
      <c r="DGE44" s="1469"/>
      <c r="DGF44" s="1469"/>
      <c r="DGG44" s="1469"/>
      <c r="DGH44" s="1469"/>
      <c r="DGI44" s="1469"/>
      <c r="DGJ44" s="1469"/>
      <c r="DGK44" s="1469"/>
      <c r="DGL44" s="1469"/>
      <c r="DGM44" s="1469"/>
      <c r="DGN44" s="1469"/>
      <c r="DGO44" s="1469"/>
      <c r="DGP44" s="1469"/>
      <c r="DGQ44" s="1469"/>
      <c r="DGR44" s="1469"/>
      <c r="DGS44" s="1469"/>
      <c r="DGT44" s="1469"/>
      <c r="DGU44" s="1469"/>
      <c r="DGV44" s="1469"/>
      <c r="DGW44" s="1469"/>
      <c r="DGX44" s="1469"/>
      <c r="DGY44" s="1469"/>
      <c r="DGZ44" s="1469"/>
      <c r="DHA44" s="1469"/>
      <c r="DHB44" s="1469"/>
      <c r="DHC44" s="1469"/>
      <c r="DHD44" s="1469"/>
      <c r="DHE44" s="1469"/>
      <c r="DHF44" s="1469"/>
      <c r="DHG44" s="1469"/>
      <c r="DHH44" s="1469"/>
      <c r="DHI44" s="1469"/>
      <c r="DHJ44" s="1469"/>
      <c r="DHK44" s="1469"/>
      <c r="DHL44" s="1469"/>
      <c r="DHM44" s="1469"/>
      <c r="DHN44" s="1469"/>
      <c r="DHO44" s="1469"/>
      <c r="DHP44" s="1469"/>
      <c r="DHQ44" s="1469"/>
      <c r="DHR44" s="1469"/>
      <c r="DHS44" s="1469"/>
      <c r="DHT44" s="1469"/>
      <c r="DHU44" s="1469"/>
      <c r="DHV44" s="1469"/>
      <c r="DHW44" s="1469"/>
      <c r="DHX44" s="1469"/>
      <c r="DHY44" s="1469"/>
      <c r="DHZ44" s="1469"/>
      <c r="DIA44" s="1469"/>
      <c r="DIB44" s="1469"/>
      <c r="DIC44" s="1469"/>
      <c r="DID44" s="1469"/>
      <c r="DIE44" s="1469"/>
      <c r="DIF44" s="1469"/>
      <c r="DIG44" s="1469"/>
      <c r="DIH44" s="1469"/>
      <c r="DII44" s="1469"/>
      <c r="DIJ44" s="1469"/>
      <c r="DIK44" s="1469"/>
      <c r="DIL44" s="1469"/>
      <c r="DIM44" s="1469"/>
      <c r="DIN44" s="1469"/>
      <c r="DIO44" s="1469"/>
      <c r="DIP44" s="1469"/>
      <c r="DIQ44" s="1469"/>
      <c r="DIR44" s="1469"/>
      <c r="DIS44" s="1469"/>
      <c r="DIT44" s="1469"/>
      <c r="DIU44" s="1469"/>
      <c r="DIV44" s="1469"/>
      <c r="DIW44" s="1469"/>
      <c r="DIX44" s="1469"/>
      <c r="DIY44" s="1469"/>
      <c r="DIZ44" s="1469"/>
      <c r="DJA44" s="1469"/>
      <c r="DJB44" s="1469"/>
      <c r="DJC44" s="1469"/>
      <c r="DJD44" s="1469"/>
      <c r="DJE44" s="1469"/>
      <c r="DJF44" s="1469"/>
      <c r="DJG44" s="1469"/>
      <c r="DJH44" s="1469"/>
      <c r="DJI44" s="1469"/>
      <c r="DJJ44" s="1469"/>
      <c r="DJK44" s="1469"/>
      <c r="DJL44" s="1469"/>
      <c r="DJM44" s="1469"/>
      <c r="DJN44" s="1469"/>
      <c r="DJO44" s="1469"/>
      <c r="DJP44" s="1469"/>
      <c r="DJQ44" s="1469"/>
      <c r="DJR44" s="1469"/>
      <c r="DJS44" s="1469"/>
      <c r="DJT44" s="1469"/>
      <c r="DJU44" s="1469"/>
      <c r="DJV44" s="1469"/>
      <c r="DJW44" s="1469"/>
      <c r="DJX44" s="1469"/>
      <c r="DJY44" s="1469"/>
      <c r="DJZ44" s="1469"/>
      <c r="DKA44" s="1469"/>
      <c r="DKB44" s="1469"/>
      <c r="DKC44" s="1469"/>
      <c r="DKD44" s="1469"/>
      <c r="DKE44" s="1469"/>
      <c r="DKF44" s="1469"/>
      <c r="DKG44" s="1469"/>
      <c r="DKH44" s="1469"/>
      <c r="DKI44" s="1469"/>
      <c r="DKJ44" s="1469"/>
      <c r="DKK44" s="1469"/>
      <c r="DKL44" s="1469"/>
      <c r="DKM44" s="1469"/>
      <c r="DKN44" s="1469"/>
      <c r="DKO44" s="1469"/>
      <c r="DKP44" s="1469"/>
      <c r="DKQ44" s="1469"/>
      <c r="DKR44" s="1469"/>
      <c r="DKS44" s="1469"/>
      <c r="DKT44" s="1469"/>
      <c r="DKU44" s="1469"/>
      <c r="DKV44" s="1469"/>
      <c r="DKW44" s="1469"/>
      <c r="DKX44" s="1469"/>
      <c r="DKY44" s="1469"/>
      <c r="DKZ44" s="1469"/>
      <c r="DLA44" s="1469"/>
      <c r="DLB44" s="1469"/>
      <c r="DLC44" s="1469"/>
      <c r="DLD44" s="1469"/>
      <c r="DLE44" s="1469"/>
      <c r="DLF44" s="1469"/>
      <c r="DLG44" s="1469"/>
      <c r="DLH44" s="1469"/>
      <c r="DLI44" s="1469"/>
      <c r="DLJ44" s="1469"/>
      <c r="DLK44" s="1469"/>
      <c r="DLL44" s="1469"/>
      <c r="DLM44" s="1469"/>
      <c r="DLN44" s="1469"/>
      <c r="DLO44" s="1469"/>
      <c r="DLP44" s="1469"/>
      <c r="DLQ44" s="1469"/>
      <c r="DLR44" s="1469"/>
      <c r="DLS44" s="1469"/>
      <c r="DLT44" s="1469"/>
      <c r="DLU44" s="1469"/>
      <c r="DLV44" s="1469"/>
      <c r="DLW44" s="1469"/>
      <c r="DLX44" s="1469"/>
      <c r="DLY44" s="1469"/>
      <c r="DLZ44" s="1469"/>
      <c r="DMA44" s="1469"/>
      <c r="DMB44" s="1469"/>
      <c r="DMC44" s="1469"/>
      <c r="DMD44" s="1469"/>
      <c r="DME44" s="1469"/>
      <c r="DMF44" s="1469"/>
      <c r="DMG44" s="1469"/>
      <c r="DMH44" s="1469"/>
      <c r="DMI44" s="1469"/>
      <c r="DMJ44" s="1469"/>
      <c r="DMK44" s="1469"/>
      <c r="DML44" s="1469"/>
      <c r="DMM44" s="1469"/>
      <c r="DMN44" s="1469"/>
      <c r="DMO44" s="1469"/>
      <c r="DMP44" s="1469"/>
      <c r="DMQ44" s="1469"/>
      <c r="DMR44" s="1469"/>
      <c r="DMS44" s="1469"/>
      <c r="DMT44" s="1469"/>
      <c r="DMU44" s="1469"/>
      <c r="DMV44" s="1469"/>
      <c r="DMW44" s="1469"/>
      <c r="DMX44" s="1469"/>
      <c r="DMY44" s="1469"/>
      <c r="DMZ44" s="1469"/>
      <c r="DNA44" s="1469"/>
      <c r="DNB44" s="1469"/>
      <c r="DNC44" s="1469"/>
      <c r="DND44" s="1469"/>
      <c r="DNE44" s="1469"/>
      <c r="DNF44" s="1469"/>
      <c r="DNG44" s="1469"/>
      <c r="DNH44" s="1469"/>
      <c r="DNI44" s="1469"/>
      <c r="DNJ44" s="1469"/>
      <c r="DNK44" s="1469"/>
      <c r="DNL44" s="1469"/>
      <c r="DNM44" s="1469"/>
      <c r="DNN44" s="1469"/>
      <c r="DNO44" s="1469"/>
      <c r="DNP44" s="1469"/>
      <c r="DNQ44" s="1469"/>
      <c r="DNR44" s="1469"/>
      <c r="DNS44" s="1469"/>
      <c r="DNT44" s="1469"/>
      <c r="DNU44" s="1469"/>
      <c r="DNV44" s="1469"/>
      <c r="DNW44" s="1469"/>
      <c r="DNX44" s="1469"/>
      <c r="DNY44" s="1469"/>
      <c r="DNZ44" s="1469"/>
      <c r="DOA44" s="1469"/>
      <c r="DOB44" s="1469"/>
      <c r="DOC44" s="1469"/>
      <c r="DOD44" s="1469"/>
      <c r="DOE44" s="1469"/>
      <c r="DOF44" s="1469"/>
      <c r="DOG44" s="1469"/>
      <c r="DOH44" s="1469"/>
      <c r="DOI44" s="1469"/>
      <c r="DOJ44" s="1469"/>
      <c r="DOK44" s="1469"/>
      <c r="DOL44" s="1469"/>
      <c r="DOM44" s="1469"/>
      <c r="DON44" s="1469"/>
      <c r="DOO44" s="1469"/>
      <c r="DOP44" s="1469"/>
      <c r="DOQ44" s="1469"/>
      <c r="DOR44" s="1469"/>
      <c r="DOS44" s="1469"/>
      <c r="DOT44" s="1469"/>
      <c r="DOU44" s="1469"/>
      <c r="DOV44" s="1469"/>
      <c r="DOW44" s="1469"/>
      <c r="DOX44" s="1469"/>
      <c r="DOY44" s="1469"/>
      <c r="DOZ44" s="1469"/>
      <c r="DPA44" s="1469"/>
      <c r="DPB44" s="1469"/>
      <c r="DPC44" s="1469"/>
      <c r="DPD44" s="1469"/>
      <c r="DPE44" s="1469"/>
      <c r="DPF44" s="1469"/>
      <c r="DPG44" s="1469"/>
      <c r="DPH44" s="1469"/>
      <c r="DPI44" s="1469"/>
      <c r="DPJ44" s="1469"/>
      <c r="DPK44" s="1469"/>
      <c r="DPL44" s="1469"/>
      <c r="DPM44" s="1469"/>
      <c r="DPN44" s="1469"/>
      <c r="DPO44" s="1469"/>
      <c r="DPP44" s="1469"/>
      <c r="DPQ44" s="1469"/>
      <c r="DPR44" s="1469"/>
      <c r="DPS44" s="1469"/>
      <c r="DPT44" s="1469"/>
      <c r="DPU44" s="1469"/>
      <c r="DPV44" s="1469"/>
      <c r="DPW44" s="1469"/>
      <c r="DPX44" s="1469"/>
      <c r="DPY44" s="1469"/>
      <c r="DPZ44" s="1469"/>
      <c r="DQA44" s="1469"/>
      <c r="DQB44" s="1469"/>
      <c r="DQC44" s="1469"/>
      <c r="DQD44" s="1469"/>
      <c r="DQE44" s="1469"/>
      <c r="DQF44" s="1469"/>
      <c r="DQG44" s="1469"/>
      <c r="DQH44" s="1469"/>
      <c r="DQI44" s="1469"/>
      <c r="DQJ44" s="1469"/>
      <c r="DQK44" s="1469"/>
      <c r="DQL44" s="1469"/>
      <c r="DQM44" s="1469"/>
      <c r="DQN44" s="1469"/>
      <c r="DQO44" s="1469"/>
      <c r="DQP44" s="1469"/>
      <c r="DQQ44" s="1469"/>
      <c r="DQR44" s="1469"/>
      <c r="DQS44" s="1469"/>
      <c r="DQT44" s="1469"/>
      <c r="DQU44" s="1469"/>
      <c r="DQV44" s="1469"/>
      <c r="DQW44" s="1469"/>
      <c r="DQX44" s="1469"/>
      <c r="DQY44" s="1469"/>
      <c r="DQZ44" s="1469"/>
      <c r="DRA44" s="1469"/>
      <c r="DRB44" s="1469"/>
      <c r="DRC44" s="1469"/>
      <c r="DRD44" s="1469"/>
      <c r="DRE44" s="1469"/>
      <c r="DRF44" s="1469"/>
      <c r="DRG44" s="1469"/>
      <c r="DRH44" s="1469"/>
      <c r="DRI44" s="1469"/>
      <c r="DRJ44" s="1469"/>
      <c r="DRK44" s="1469"/>
      <c r="DRL44" s="1469"/>
      <c r="DRM44" s="1469"/>
      <c r="DRN44" s="1469"/>
      <c r="DRO44" s="1469"/>
      <c r="DRP44" s="1469"/>
      <c r="DRQ44" s="1469"/>
      <c r="DRR44" s="1469"/>
      <c r="DRS44" s="1469"/>
      <c r="DRT44" s="1469"/>
      <c r="DRU44" s="1469"/>
      <c r="DRV44" s="1469"/>
      <c r="DRW44" s="1469"/>
      <c r="DRX44" s="1469"/>
      <c r="DRY44" s="1469"/>
      <c r="DRZ44" s="1469"/>
      <c r="DSA44" s="1469"/>
      <c r="DSB44" s="1469"/>
      <c r="DSC44" s="1469"/>
      <c r="DSD44" s="1469"/>
      <c r="DSE44" s="1469"/>
      <c r="DSF44" s="1469"/>
      <c r="DSG44" s="1469"/>
      <c r="DSH44" s="1469"/>
      <c r="DSI44" s="1469"/>
      <c r="DSJ44" s="1469"/>
      <c r="DSK44" s="1469"/>
      <c r="DSL44" s="1469"/>
      <c r="DSM44" s="1469"/>
      <c r="DSN44" s="1469"/>
      <c r="DSO44" s="1469"/>
      <c r="DSP44" s="1469"/>
      <c r="DSQ44" s="1469"/>
      <c r="DSR44" s="1469"/>
      <c r="DSS44" s="1469"/>
      <c r="DST44" s="1469"/>
      <c r="DSU44" s="1469"/>
      <c r="DSV44" s="1469"/>
      <c r="DSW44" s="1469"/>
      <c r="DSX44" s="1469"/>
      <c r="DSY44" s="1469"/>
      <c r="DSZ44" s="1469"/>
      <c r="DTA44" s="1469"/>
      <c r="DTB44" s="1469"/>
      <c r="DTC44" s="1469"/>
      <c r="DTD44" s="1469"/>
      <c r="DTE44" s="1469"/>
      <c r="DTF44" s="1469"/>
      <c r="DTG44" s="1469"/>
      <c r="DTH44" s="1469"/>
      <c r="DTI44" s="1469"/>
      <c r="DTJ44" s="1469"/>
      <c r="DTK44" s="1469"/>
      <c r="DTL44" s="1469"/>
      <c r="DTM44" s="1469"/>
      <c r="DTN44" s="1469"/>
      <c r="DTO44" s="1469"/>
      <c r="DTP44" s="1469"/>
      <c r="DTQ44" s="1469"/>
      <c r="DTR44" s="1469"/>
      <c r="DTS44" s="1469"/>
      <c r="DTT44" s="1469"/>
      <c r="DTU44" s="1469"/>
      <c r="DTV44" s="1469"/>
      <c r="DTW44" s="1469"/>
      <c r="DTX44" s="1469"/>
      <c r="DTY44" s="1469"/>
      <c r="DTZ44" s="1469"/>
      <c r="DUA44" s="1469"/>
      <c r="DUB44" s="1469"/>
      <c r="DUC44" s="1469"/>
      <c r="DUD44" s="1469"/>
      <c r="DUE44" s="1469"/>
      <c r="DUF44" s="1469"/>
      <c r="DUG44" s="1469"/>
      <c r="DUH44" s="1469"/>
      <c r="DUI44" s="1469"/>
      <c r="DUJ44" s="1469"/>
      <c r="DUK44" s="1469"/>
      <c r="DUL44" s="1469"/>
      <c r="DUM44" s="1469"/>
      <c r="DUN44" s="1469"/>
      <c r="DUO44" s="1469"/>
      <c r="DUP44" s="1469"/>
      <c r="DUQ44" s="1469"/>
      <c r="DUR44" s="1469"/>
      <c r="DUS44" s="1469"/>
      <c r="DUT44" s="1469"/>
      <c r="DUU44" s="1469"/>
      <c r="DUV44" s="1469"/>
      <c r="DUW44" s="1469"/>
      <c r="DUX44" s="1469"/>
      <c r="DUY44" s="1469"/>
      <c r="DUZ44" s="1469"/>
      <c r="DVA44" s="1469"/>
      <c r="DVB44" s="1469"/>
      <c r="DVC44" s="1469"/>
      <c r="DVD44" s="1469"/>
      <c r="DVE44" s="1469"/>
      <c r="DVF44" s="1469"/>
      <c r="DVG44" s="1469"/>
      <c r="DVH44" s="1469"/>
      <c r="DVI44" s="1469"/>
      <c r="DVJ44" s="1469"/>
      <c r="DVK44" s="1469"/>
      <c r="DVL44" s="1469"/>
      <c r="DVM44" s="1469"/>
      <c r="DVN44" s="1469"/>
      <c r="DVO44" s="1469"/>
      <c r="DVP44" s="1469"/>
      <c r="DVQ44" s="1469"/>
      <c r="DVR44" s="1469"/>
      <c r="DVS44" s="1469"/>
      <c r="DVT44" s="1469"/>
      <c r="DVU44" s="1469"/>
      <c r="DVV44" s="1469"/>
      <c r="DVW44" s="1469"/>
      <c r="DVX44" s="1469"/>
      <c r="DVY44" s="1469"/>
      <c r="DVZ44" s="1469"/>
      <c r="DWA44" s="1469"/>
      <c r="DWB44" s="1469"/>
      <c r="DWC44" s="1469"/>
      <c r="DWD44" s="1469"/>
      <c r="DWE44" s="1469"/>
      <c r="DWF44" s="1469"/>
      <c r="DWG44" s="1469"/>
      <c r="DWH44" s="1469"/>
      <c r="DWI44" s="1469"/>
      <c r="DWJ44" s="1469"/>
      <c r="DWK44" s="1469"/>
      <c r="DWL44" s="1469"/>
      <c r="DWM44" s="1469"/>
      <c r="DWN44" s="1469"/>
      <c r="DWO44" s="1469"/>
      <c r="DWP44" s="1469"/>
      <c r="DWQ44" s="1469"/>
      <c r="DWR44" s="1469"/>
      <c r="DWS44" s="1469"/>
      <c r="DWT44" s="1469"/>
      <c r="DWU44" s="1469"/>
      <c r="DWV44" s="1469"/>
      <c r="DWW44" s="1469"/>
      <c r="DWX44" s="1469"/>
      <c r="DWY44" s="1469"/>
      <c r="DWZ44" s="1469"/>
      <c r="DXA44" s="1469"/>
      <c r="DXB44" s="1469"/>
      <c r="DXC44" s="1469"/>
      <c r="DXD44" s="1469"/>
      <c r="DXE44" s="1469"/>
      <c r="DXF44" s="1469"/>
      <c r="DXG44" s="1469"/>
      <c r="DXH44" s="1469"/>
      <c r="DXI44" s="1469"/>
      <c r="DXJ44" s="1469"/>
      <c r="DXK44" s="1469"/>
      <c r="DXL44" s="1469"/>
      <c r="DXM44" s="1469"/>
      <c r="DXN44" s="1469"/>
      <c r="DXO44" s="1469"/>
      <c r="DXP44" s="1469"/>
      <c r="DXQ44" s="1469"/>
      <c r="DXR44" s="1469"/>
      <c r="DXS44" s="1469"/>
      <c r="DXT44" s="1469"/>
      <c r="DXU44" s="1469"/>
      <c r="DXV44" s="1469"/>
      <c r="DXW44" s="1469"/>
      <c r="DXX44" s="1469"/>
      <c r="DXY44" s="1469"/>
      <c r="DXZ44" s="1469"/>
      <c r="DYA44" s="1469"/>
      <c r="DYB44" s="1469"/>
      <c r="DYC44" s="1469"/>
      <c r="DYD44" s="1469"/>
      <c r="DYE44" s="1469"/>
      <c r="DYF44" s="1469"/>
      <c r="DYG44" s="1469"/>
      <c r="DYH44" s="1469"/>
      <c r="DYI44" s="1469"/>
      <c r="DYJ44" s="1469"/>
      <c r="DYK44" s="1469"/>
      <c r="DYL44" s="1469"/>
      <c r="DYM44" s="1469"/>
      <c r="DYN44" s="1469"/>
      <c r="DYO44" s="1469"/>
      <c r="DYP44" s="1469"/>
      <c r="DYQ44" s="1469"/>
      <c r="DYR44" s="1469"/>
      <c r="DYS44" s="1469"/>
      <c r="DYT44" s="1469"/>
      <c r="DYU44" s="1469"/>
      <c r="DYV44" s="1469"/>
      <c r="DYW44" s="1469"/>
      <c r="DYX44" s="1469"/>
      <c r="DYY44" s="1469"/>
      <c r="DYZ44" s="1469"/>
      <c r="DZA44" s="1469"/>
      <c r="DZB44" s="1469"/>
      <c r="DZC44" s="1469"/>
      <c r="DZD44" s="1469"/>
      <c r="DZE44" s="1469"/>
      <c r="DZF44" s="1469"/>
      <c r="DZG44" s="1469"/>
      <c r="DZH44" s="1469"/>
      <c r="DZI44" s="1469"/>
      <c r="DZJ44" s="1469"/>
      <c r="DZK44" s="1469"/>
      <c r="DZL44" s="1469"/>
      <c r="DZM44" s="1469"/>
      <c r="DZN44" s="1469"/>
      <c r="DZO44" s="1469"/>
      <c r="DZP44" s="1469"/>
      <c r="DZQ44" s="1469"/>
      <c r="DZR44" s="1469"/>
      <c r="DZS44" s="1469"/>
      <c r="DZT44" s="1469"/>
      <c r="DZU44" s="1469"/>
      <c r="DZV44" s="1469"/>
      <c r="DZW44" s="1469"/>
      <c r="DZX44" s="1469"/>
      <c r="DZY44" s="1469"/>
      <c r="DZZ44" s="1469"/>
      <c r="EAA44" s="1469"/>
      <c r="EAB44" s="1469"/>
      <c r="EAC44" s="1469"/>
      <c r="EAD44" s="1469"/>
      <c r="EAE44" s="1469"/>
      <c r="EAF44" s="1469"/>
      <c r="EAG44" s="1469"/>
      <c r="EAH44" s="1469"/>
      <c r="EAI44" s="1469"/>
      <c r="EAJ44" s="1469"/>
      <c r="EAK44" s="1469"/>
      <c r="EAL44" s="1469"/>
      <c r="EAM44" s="1469"/>
      <c r="EAN44" s="1469"/>
      <c r="EAO44" s="1469"/>
      <c r="EAP44" s="1469"/>
      <c r="EAQ44" s="1469"/>
      <c r="EAR44" s="1469"/>
      <c r="EAS44" s="1469"/>
      <c r="EAT44" s="1469"/>
      <c r="EAU44" s="1469"/>
      <c r="EAV44" s="1469"/>
      <c r="EAW44" s="1469"/>
      <c r="EAX44" s="1469"/>
      <c r="EAY44" s="1469"/>
      <c r="EAZ44" s="1469"/>
      <c r="EBA44" s="1469"/>
      <c r="EBB44" s="1469"/>
      <c r="EBC44" s="1469"/>
      <c r="EBD44" s="1469"/>
      <c r="EBE44" s="1469"/>
      <c r="EBF44" s="1469"/>
      <c r="EBG44" s="1469"/>
      <c r="EBH44" s="1469"/>
      <c r="EBI44" s="1469"/>
      <c r="EBJ44" s="1469"/>
      <c r="EBK44" s="1469"/>
      <c r="EBL44" s="1469"/>
      <c r="EBM44" s="1469"/>
      <c r="EBN44" s="1469"/>
      <c r="EBO44" s="1469"/>
      <c r="EBP44" s="1469"/>
      <c r="EBQ44" s="1469"/>
      <c r="EBR44" s="1469"/>
      <c r="EBS44" s="1469"/>
      <c r="EBT44" s="1469"/>
      <c r="EBU44" s="1469"/>
      <c r="EBV44" s="1469"/>
      <c r="EBW44" s="1469"/>
      <c r="EBX44" s="1469"/>
      <c r="EBY44" s="1469"/>
      <c r="EBZ44" s="1469"/>
      <c r="ECA44" s="1469"/>
      <c r="ECB44" s="1469"/>
      <c r="ECC44" s="1469"/>
      <c r="ECD44" s="1469"/>
      <c r="ECE44" s="1469"/>
      <c r="ECF44" s="1469"/>
      <c r="ECG44" s="1469"/>
      <c r="ECH44" s="1469"/>
      <c r="ECI44" s="1469"/>
      <c r="ECJ44" s="1469"/>
      <c r="ECK44" s="1469"/>
      <c r="ECL44" s="1469"/>
      <c r="ECM44" s="1469"/>
      <c r="ECN44" s="1469"/>
      <c r="ECO44" s="1469"/>
      <c r="ECP44" s="1469"/>
      <c r="ECQ44" s="1469"/>
      <c r="ECR44" s="1469"/>
      <c r="ECS44" s="1469"/>
      <c r="ECT44" s="1469"/>
      <c r="ECU44" s="1469"/>
      <c r="ECV44" s="1469"/>
      <c r="ECW44" s="1469"/>
      <c r="ECX44" s="1469"/>
      <c r="ECY44" s="1469"/>
      <c r="ECZ44" s="1469"/>
      <c r="EDA44" s="1469"/>
      <c r="EDB44" s="1469"/>
      <c r="EDC44" s="1469"/>
      <c r="EDD44" s="1469"/>
      <c r="EDE44" s="1469"/>
      <c r="EDF44" s="1469"/>
      <c r="EDG44" s="1469"/>
      <c r="EDH44" s="1469"/>
      <c r="EDI44" s="1469"/>
      <c r="EDJ44" s="1469"/>
      <c r="EDK44" s="1469"/>
      <c r="EDL44" s="1469"/>
      <c r="EDM44" s="1469"/>
      <c r="EDN44" s="1469"/>
      <c r="EDO44" s="1469"/>
      <c r="EDP44" s="1469"/>
      <c r="EDQ44" s="1469"/>
      <c r="EDR44" s="1469"/>
      <c r="EDS44" s="1469"/>
      <c r="EDT44" s="1469"/>
      <c r="EDU44" s="1469"/>
      <c r="EDV44" s="1469"/>
      <c r="EDW44" s="1469"/>
      <c r="EDX44" s="1469"/>
      <c r="EDY44" s="1469"/>
      <c r="EDZ44" s="1469"/>
      <c r="EEA44" s="1469"/>
      <c r="EEB44" s="1469"/>
      <c r="EEC44" s="1469"/>
      <c r="EED44" s="1469"/>
      <c r="EEE44" s="1469"/>
      <c r="EEF44" s="1469"/>
      <c r="EEG44" s="1469"/>
      <c r="EEH44" s="1469"/>
      <c r="EEI44" s="1469"/>
      <c r="EEJ44" s="1469"/>
      <c r="EEK44" s="1469"/>
      <c r="EEL44" s="1469"/>
      <c r="EEM44" s="1469"/>
      <c r="EEN44" s="1469"/>
      <c r="EEO44" s="1469"/>
      <c r="EEP44" s="1469"/>
      <c r="EEQ44" s="1469"/>
      <c r="EER44" s="1469"/>
      <c r="EES44" s="1469"/>
      <c r="EET44" s="1469"/>
      <c r="EEU44" s="1469"/>
      <c r="EEV44" s="1469"/>
      <c r="EEW44" s="1469"/>
      <c r="EEX44" s="1469"/>
      <c r="EEY44" s="1469"/>
      <c r="EEZ44" s="1469"/>
      <c r="EFA44" s="1469"/>
      <c r="EFB44" s="1469"/>
      <c r="EFC44" s="1469"/>
      <c r="EFD44" s="1469"/>
      <c r="EFE44" s="1469"/>
      <c r="EFF44" s="1469"/>
      <c r="EFG44" s="1469"/>
      <c r="EFH44" s="1469"/>
      <c r="EFI44" s="1469"/>
      <c r="EFJ44" s="1469"/>
      <c r="EFK44" s="1469"/>
      <c r="EFL44" s="1469"/>
      <c r="EFM44" s="1469"/>
      <c r="EFN44" s="1469"/>
      <c r="EFO44" s="1469"/>
      <c r="EFP44" s="1469"/>
      <c r="EFQ44" s="1469"/>
      <c r="EFR44" s="1469"/>
      <c r="EFS44" s="1469"/>
      <c r="EFT44" s="1469"/>
      <c r="EFU44" s="1469"/>
      <c r="EFV44" s="1469"/>
      <c r="EFW44" s="1469"/>
      <c r="EFX44" s="1469"/>
      <c r="EFY44" s="1469"/>
      <c r="EFZ44" s="1469"/>
      <c r="EGA44" s="1469"/>
      <c r="EGB44" s="1469"/>
      <c r="EGC44" s="1469"/>
      <c r="EGD44" s="1469"/>
      <c r="EGE44" s="1469"/>
      <c r="EGF44" s="1469"/>
      <c r="EGG44" s="1469"/>
      <c r="EGH44" s="1469"/>
      <c r="EGI44" s="1469"/>
      <c r="EGJ44" s="1469"/>
      <c r="EGK44" s="1469"/>
      <c r="EGL44" s="1469"/>
      <c r="EGM44" s="1469"/>
      <c r="EGN44" s="1469"/>
      <c r="EGO44" s="1469"/>
      <c r="EGP44" s="1469"/>
      <c r="EGQ44" s="1469"/>
      <c r="EGR44" s="1469"/>
      <c r="EGS44" s="1469"/>
      <c r="EGT44" s="1469"/>
      <c r="EGU44" s="1469"/>
      <c r="EGV44" s="1469"/>
      <c r="EGW44" s="1469"/>
      <c r="EGX44" s="1469"/>
      <c r="EGY44" s="1469"/>
      <c r="EGZ44" s="1469"/>
      <c r="EHA44" s="1469"/>
      <c r="EHB44" s="1469"/>
      <c r="EHC44" s="1469"/>
      <c r="EHD44" s="1469"/>
      <c r="EHE44" s="1469"/>
      <c r="EHF44" s="1469"/>
      <c r="EHG44" s="1469"/>
      <c r="EHH44" s="1469"/>
      <c r="EHI44" s="1469"/>
      <c r="EHJ44" s="1469"/>
      <c r="EHK44" s="1469"/>
      <c r="EHL44" s="1469"/>
      <c r="EHM44" s="1469"/>
      <c r="EHN44" s="1469"/>
      <c r="EHO44" s="1469"/>
      <c r="EHP44" s="1469"/>
      <c r="EHQ44" s="1469"/>
      <c r="EHR44" s="1469"/>
      <c r="EHS44" s="1469"/>
      <c r="EHT44" s="1469"/>
      <c r="EHU44" s="1469"/>
      <c r="EHV44" s="1469"/>
      <c r="EHW44" s="1469"/>
      <c r="EHX44" s="1469"/>
      <c r="EHY44" s="1469"/>
      <c r="EHZ44" s="1469"/>
      <c r="EIA44" s="1469"/>
      <c r="EIB44" s="1469"/>
      <c r="EIC44" s="1469"/>
      <c r="EID44" s="1469"/>
      <c r="EIE44" s="1469"/>
      <c r="EIF44" s="1469"/>
      <c r="EIG44" s="1469"/>
      <c r="EIH44" s="1469"/>
      <c r="EII44" s="1469"/>
      <c r="EIJ44" s="1469"/>
      <c r="EIK44" s="1469"/>
      <c r="EIL44" s="1469"/>
      <c r="EIM44" s="1469"/>
      <c r="EIN44" s="1469"/>
      <c r="EIO44" s="1469"/>
      <c r="EIP44" s="1469"/>
      <c r="EIQ44" s="1469"/>
      <c r="EIR44" s="1469"/>
      <c r="EIS44" s="1469"/>
      <c r="EIT44" s="1469"/>
      <c r="EIU44" s="1469"/>
      <c r="EIV44" s="1469"/>
      <c r="EIW44" s="1469"/>
      <c r="EIX44" s="1469"/>
      <c r="EIY44" s="1469"/>
      <c r="EIZ44" s="1469"/>
      <c r="EJA44" s="1469"/>
      <c r="EJB44" s="1469"/>
      <c r="EJC44" s="1469"/>
      <c r="EJD44" s="1469"/>
      <c r="EJE44" s="1469"/>
      <c r="EJF44" s="1469"/>
      <c r="EJG44" s="1469"/>
      <c r="EJH44" s="1469"/>
      <c r="EJI44" s="1469"/>
      <c r="EJJ44" s="1469"/>
      <c r="EJK44" s="1469"/>
      <c r="EJL44" s="1469"/>
      <c r="EJM44" s="1469"/>
      <c r="EJN44" s="1469"/>
      <c r="EJO44" s="1469"/>
      <c r="EJP44" s="1469"/>
      <c r="EJQ44" s="1469"/>
      <c r="EJR44" s="1469"/>
      <c r="EJS44" s="1469"/>
      <c r="EJT44" s="1469"/>
      <c r="EJU44" s="1469"/>
      <c r="EJV44" s="1469"/>
      <c r="EJW44" s="1469"/>
      <c r="EJX44" s="1469"/>
      <c r="EJY44" s="1469"/>
      <c r="EJZ44" s="1469"/>
      <c r="EKA44" s="1469"/>
      <c r="EKB44" s="1469"/>
      <c r="EKC44" s="1469"/>
      <c r="EKD44" s="1469"/>
      <c r="EKE44" s="1469"/>
      <c r="EKF44" s="1469"/>
      <c r="EKG44" s="1469"/>
      <c r="EKH44" s="1469"/>
      <c r="EKI44" s="1469"/>
      <c r="EKJ44" s="1469"/>
      <c r="EKK44" s="1469"/>
      <c r="EKL44" s="1469"/>
      <c r="EKM44" s="1469"/>
      <c r="EKN44" s="1469"/>
      <c r="EKO44" s="1469"/>
      <c r="EKP44" s="1469"/>
      <c r="EKQ44" s="1469"/>
      <c r="EKR44" s="1469"/>
      <c r="EKS44" s="1469"/>
      <c r="EKT44" s="1469"/>
      <c r="EKU44" s="1469"/>
      <c r="EKV44" s="1469"/>
      <c r="EKW44" s="1469"/>
      <c r="EKX44" s="1469"/>
      <c r="EKY44" s="1469"/>
      <c r="EKZ44" s="1469"/>
      <c r="ELA44" s="1469"/>
      <c r="ELB44" s="1469"/>
      <c r="ELC44" s="1469"/>
      <c r="ELD44" s="1469"/>
      <c r="ELE44" s="1469"/>
      <c r="ELF44" s="1469"/>
      <c r="ELG44" s="1469"/>
      <c r="ELH44" s="1469"/>
      <c r="ELI44" s="1469"/>
      <c r="ELJ44" s="1469"/>
      <c r="ELK44" s="1469"/>
      <c r="ELL44" s="1469"/>
      <c r="ELM44" s="1469"/>
      <c r="ELN44" s="1469"/>
      <c r="ELO44" s="1469"/>
      <c r="ELP44" s="1469"/>
      <c r="ELQ44" s="1469"/>
      <c r="ELR44" s="1469"/>
      <c r="ELS44" s="1469"/>
      <c r="ELT44" s="1469"/>
      <c r="ELU44" s="1469"/>
      <c r="ELV44" s="1469"/>
      <c r="ELW44" s="1469"/>
      <c r="ELX44" s="1469"/>
      <c r="ELY44" s="1469"/>
      <c r="ELZ44" s="1469"/>
      <c r="EMA44" s="1469"/>
      <c r="EMB44" s="1469"/>
      <c r="EMC44" s="1469"/>
      <c r="EMD44" s="1469"/>
      <c r="EME44" s="1469"/>
      <c r="EMF44" s="1469"/>
      <c r="EMG44" s="1469"/>
      <c r="EMH44" s="1469"/>
      <c r="EMI44" s="1469"/>
      <c r="EMJ44" s="1469"/>
      <c r="EMK44" s="1469"/>
      <c r="EML44" s="1469"/>
      <c r="EMM44" s="1469"/>
      <c r="EMN44" s="1469"/>
      <c r="EMO44" s="1469"/>
      <c r="EMP44" s="1469"/>
      <c r="EMQ44" s="1469"/>
      <c r="EMR44" s="1469"/>
      <c r="EMS44" s="1469"/>
      <c r="EMT44" s="1469"/>
      <c r="EMU44" s="1469"/>
      <c r="EMV44" s="1469"/>
      <c r="EMW44" s="1469"/>
      <c r="EMX44" s="1469"/>
      <c r="EMY44" s="1469"/>
      <c r="EMZ44" s="1469"/>
      <c r="ENA44" s="1469"/>
      <c r="ENB44" s="1469"/>
      <c r="ENC44" s="1469"/>
      <c r="END44" s="1469"/>
      <c r="ENE44" s="1469"/>
      <c r="ENF44" s="1469"/>
      <c r="ENG44" s="1469"/>
      <c r="ENH44" s="1469"/>
      <c r="ENI44" s="1469"/>
      <c r="ENJ44" s="1469"/>
      <c r="ENK44" s="1469"/>
      <c r="ENL44" s="1469"/>
      <c r="ENM44" s="1469"/>
      <c r="ENN44" s="1469"/>
      <c r="ENO44" s="1469"/>
      <c r="ENP44" s="1469"/>
      <c r="ENQ44" s="1469"/>
      <c r="ENR44" s="1469"/>
      <c r="ENS44" s="1469"/>
      <c r="ENT44" s="1469"/>
      <c r="ENU44" s="1469"/>
      <c r="ENV44" s="1469"/>
      <c r="ENW44" s="1469"/>
      <c r="ENX44" s="1469"/>
      <c r="ENY44" s="1469"/>
      <c r="ENZ44" s="1469"/>
      <c r="EOA44" s="1469"/>
      <c r="EOB44" s="1469"/>
      <c r="EOC44" s="1469"/>
      <c r="EOD44" s="1469"/>
      <c r="EOE44" s="1469"/>
      <c r="EOF44" s="1469"/>
      <c r="EOG44" s="1469"/>
      <c r="EOH44" s="1469"/>
      <c r="EOI44" s="1469"/>
      <c r="EOJ44" s="1469"/>
      <c r="EOK44" s="1469"/>
      <c r="EOL44" s="1469"/>
      <c r="EOM44" s="1469"/>
      <c r="EON44" s="1469"/>
      <c r="EOO44" s="1469"/>
      <c r="EOP44" s="1469"/>
      <c r="EOQ44" s="1469"/>
      <c r="EOR44" s="1469"/>
      <c r="EOS44" s="1469"/>
      <c r="EOT44" s="1469"/>
      <c r="EOU44" s="1469"/>
      <c r="EOV44" s="1469"/>
      <c r="EOW44" s="1469"/>
      <c r="EOX44" s="1469"/>
      <c r="EOY44" s="1469"/>
      <c r="EOZ44" s="1469"/>
      <c r="EPA44" s="1469"/>
      <c r="EPB44" s="1469"/>
      <c r="EPC44" s="1469"/>
      <c r="EPD44" s="1469"/>
      <c r="EPE44" s="1469"/>
      <c r="EPF44" s="1469"/>
      <c r="EPG44" s="1469"/>
      <c r="EPH44" s="1469"/>
      <c r="EPI44" s="1469"/>
      <c r="EPJ44" s="1469"/>
      <c r="EPK44" s="1469"/>
      <c r="EPL44" s="1469"/>
      <c r="EPM44" s="1469"/>
      <c r="EPN44" s="1469"/>
      <c r="EPO44" s="1469"/>
      <c r="EPP44" s="1469"/>
      <c r="EPQ44" s="1469"/>
      <c r="EPR44" s="1469"/>
      <c r="EPS44" s="1469"/>
      <c r="EPT44" s="1469"/>
      <c r="EPU44" s="1469"/>
      <c r="EPV44" s="1469"/>
      <c r="EPW44" s="1469"/>
      <c r="EPX44" s="1469"/>
      <c r="EPY44" s="1469"/>
      <c r="EPZ44" s="1469"/>
      <c r="EQA44" s="1469"/>
      <c r="EQB44" s="1469"/>
      <c r="EQC44" s="1469"/>
      <c r="EQD44" s="1469"/>
      <c r="EQE44" s="1469"/>
      <c r="EQF44" s="1469"/>
      <c r="EQG44" s="1469"/>
      <c r="EQH44" s="1469"/>
      <c r="EQI44" s="1469"/>
      <c r="EQJ44" s="1469"/>
      <c r="EQK44" s="1469"/>
      <c r="EQL44" s="1469"/>
      <c r="EQM44" s="1469"/>
      <c r="EQN44" s="1469"/>
      <c r="EQO44" s="1469"/>
      <c r="EQP44" s="1469"/>
      <c r="EQQ44" s="1469"/>
      <c r="EQR44" s="1469"/>
      <c r="EQS44" s="1469"/>
      <c r="EQT44" s="1469"/>
      <c r="EQU44" s="1469"/>
      <c r="EQV44" s="1469"/>
      <c r="EQW44" s="1469"/>
      <c r="EQX44" s="1469"/>
      <c r="EQY44" s="1469"/>
      <c r="EQZ44" s="1469"/>
      <c r="ERA44" s="1469"/>
      <c r="ERB44" s="1469"/>
      <c r="ERC44" s="1469"/>
      <c r="ERD44" s="1469"/>
      <c r="ERE44" s="1469"/>
      <c r="ERF44" s="1469"/>
      <c r="ERG44" s="1469"/>
      <c r="ERH44" s="1469"/>
      <c r="ERI44" s="1469"/>
      <c r="ERJ44" s="1469"/>
      <c r="ERK44" s="1469"/>
      <c r="ERL44" s="1469"/>
      <c r="ERM44" s="1469"/>
      <c r="ERN44" s="1469"/>
      <c r="ERO44" s="1469"/>
      <c r="ERP44" s="1469"/>
      <c r="ERQ44" s="1469"/>
      <c r="ERR44" s="1469"/>
      <c r="ERS44" s="1469"/>
      <c r="ERT44" s="1469"/>
      <c r="ERU44" s="1469"/>
      <c r="ERV44" s="1469"/>
      <c r="ERW44" s="1469"/>
      <c r="ERX44" s="1469"/>
      <c r="ERY44" s="1469"/>
      <c r="ERZ44" s="1469"/>
      <c r="ESA44" s="1469"/>
      <c r="ESB44" s="1469"/>
      <c r="ESC44" s="1469"/>
      <c r="ESD44" s="1469"/>
      <c r="ESE44" s="1469"/>
      <c r="ESF44" s="1469"/>
      <c r="ESG44" s="1469"/>
      <c r="ESH44" s="1469"/>
      <c r="ESI44" s="1469"/>
      <c r="ESJ44" s="1469"/>
      <c r="ESK44" s="1469"/>
      <c r="ESL44" s="1469"/>
      <c r="ESM44" s="1469"/>
      <c r="ESN44" s="1469"/>
      <c r="ESO44" s="1469"/>
      <c r="ESP44" s="1469"/>
      <c r="ESQ44" s="1469"/>
      <c r="ESR44" s="1469"/>
      <c r="ESS44" s="1469"/>
      <c r="EST44" s="1469"/>
      <c r="ESU44" s="1469"/>
      <c r="ESV44" s="1469"/>
      <c r="ESW44" s="1469"/>
      <c r="ESX44" s="1469"/>
      <c r="ESY44" s="1469"/>
      <c r="ESZ44" s="1469"/>
      <c r="ETA44" s="1469"/>
      <c r="ETB44" s="1469"/>
      <c r="ETC44" s="1469"/>
      <c r="ETD44" s="1469"/>
      <c r="ETE44" s="1469"/>
      <c r="ETF44" s="1469"/>
      <c r="ETG44" s="1469"/>
      <c r="ETH44" s="1469"/>
      <c r="ETI44" s="1469"/>
      <c r="ETJ44" s="1469"/>
      <c r="ETK44" s="1469"/>
      <c r="ETL44" s="1469"/>
      <c r="ETM44" s="1469"/>
      <c r="ETN44" s="1469"/>
      <c r="ETO44" s="1469"/>
      <c r="ETP44" s="1469"/>
      <c r="ETQ44" s="1469"/>
      <c r="ETR44" s="1469"/>
      <c r="ETS44" s="1469"/>
      <c r="ETT44" s="1469"/>
      <c r="ETU44" s="1469"/>
      <c r="ETV44" s="1469"/>
      <c r="ETW44" s="1469"/>
      <c r="ETX44" s="1469"/>
      <c r="ETY44" s="1469"/>
      <c r="ETZ44" s="1469"/>
      <c r="EUA44" s="1469"/>
      <c r="EUB44" s="1469"/>
      <c r="EUC44" s="1469"/>
      <c r="EUD44" s="1469"/>
      <c r="EUE44" s="1469"/>
      <c r="EUF44" s="1469"/>
      <c r="EUG44" s="1469"/>
      <c r="EUH44" s="1469"/>
      <c r="EUI44" s="1469"/>
      <c r="EUJ44" s="1469"/>
      <c r="EUK44" s="1469"/>
      <c r="EUL44" s="1469"/>
      <c r="EUM44" s="1469"/>
      <c r="EUN44" s="1469"/>
      <c r="EUO44" s="1469"/>
      <c r="EUP44" s="1469"/>
      <c r="EUQ44" s="1469"/>
      <c r="EUR44" s="1469"/>
      <c r="EUS44" s="1469"/>
      <c r="EUT44" s="1469"/>
      <c r="EUU44" s="1469"/>
      <c r="EUV44" s="1469"/>
      <c r="EUW44" s="1469"/>
      <c r="EUX44" s="1469"/>
      <c r="EUY44" s="1469"/>
      <c r="EUZ44" s="1469"/>
      <c r="EVA44" s="1469"/>
      <c r="EVB44" s="1469"/>
      <c r="EVC44" s="1469"/>
      <c r="EVD44" s="1469"/>
      <c r="EVE44" s="1469"/>
      <c r="EVF44" s="1469"/>
      <c r="EVG44" s="1469"/>
      <c r="EVH44" s="1469"/>
      <c r="EVI44" s="1469"/>
      <c r="EVJ44" s="1469"/>
      <c r="EVK44" s="1469"/>
      <c r="EVL44" s="1469"/>
      <c r="EVM44" s="1469"/>
      <c r="EVN44" s="1469"/>
      <c r="EVO44" s="1469"/>
      <c r="EVP44" s="1469"/>
      <c r="EVQ44" s="1469"/>
      <c r="EVR44" s="1469"/>
      <c r="EVS44" s="1469"/>
      <c r="EVT44" s="1469"/>
      <c r="EVU44" s="1469"/>
      <c r="EVV44" s="1469"/>
      <c r="EVW44" s="1469"/>
      <c r="EVX44" s="1469"/>
      <c r="EVY44" s="1469"/>
      <c r="EVZ44" s="1469"/>
      <c r="EWA44" s="1469"/>
      <c r="EWB44" s="1469"/>
      <c r="EWC44" s="1469"/>
      <c r="EWD44" s="1469"/>
      <c r="EWE44" s="1469"/>
      <c r="EWF44" s="1469"/>
      <c r="EWG44" s="1469"/>
      <c r="EWH44" s="1469"/>
      <c r="EWI44" s="1469"/>
      <c r="EWJ44" s="1469"/>
      <c r="EWK44" s="1469"/>
      <c r="EWL44" s="1469"/>
      <c r="EWM44" s="1469"/>
      <c r="EWN44" s="1469"/>
      <c r="EWO44" s="1469"/>
      <c r="EWP44" s="1469"/>
      <c r="EWQ44" s="1469"/>
      <c r="EWR44" s="1469"/>
      <c r="EWS44" s="1469"/>
      <c r="EWT44" s="1469"/>
      <c r="EWU44" s="1469"/>
      <c r="EWV44" s="1469"/>
      <c r="EWW44" s="1469"/>
      <c r="EWX44" s="1469"/>
      <c r="EWY44" s="1469"/>
      <c r="EWZ44" s="1469"/>
      <c r="EXA44" s="1469"/>
      <c r="EXB44" s="1469"/>
      <c r="EXC44" s="1469"/>
      <c r="EXD44" s="1469"/>
      <c r="EXE44" s="1469"/>
      <c r="EXF44" s="1469"/>
      <c r="EXG44" s="1469"/>
      <c r="EXH44" s="1469"/>
      <c r="EXI44" s="1469"/>
      <c r="EXJ44" s="1469"/>
      <c r="EXK44" s="1469"/>
      <c r="EXL44" s="1469"/>
      <c r="EXM44" s="1469"/>
      <c r="EXN44" s="1469"/>
      <c r="EXO44" s="1469"/>
      <c r="EXP44" s="1469"/>
      <c r="EXQ44" s="1469"/>
      <c r="EXR44" s="1469"/>
      <c r="EXS44" s="1469"/>
      <c r="EXT44" s="1469"/>
      <c r="EXU44" s="1469"/>
      <c r="EXV44" s="1469"/>
      <c r="EXW44" s="1469"/>
      <c r="EXX44" s="1469"/>
      <c r="EXY44" s="1469"/>
      <c r="EXZ44" s="1469"/>
      <c r="EYA44" s="1469"/>
      <c r="EYB44" s="1469"/>
      <c r="EYC44" s="1469"/>
      <c r="EYD44" s="1469"/>
      <c r="EYE44" s="1469"/>
      <c r="EYF44" s="1469"/>
      <c r="EYG44" s="1469"/>
      <c r="EYH44" s="1469"/>
      <c r="EYI44" s="1469"/>
      <c r="EYJ44" s="1469"/>
      <c r="EYK44" s="1469"/>
      <c r="EYL44" s="1469"/>
      <c r="EYM44" s="1469"/>
      <c r="EYN44" s="1469"/>
      <c r="EYO44" s="1469"/>
      <c r="EYP44" s="1469"/>
      <c r="EYQ44" s="1469"/>
      <c r="EYR44" s="1469"/>
      <c r="EYS44" s="1469"/>
      <c r="EYT44" s="1469"/>
      <c r="EYU44" s="1469"/>
      <c r="EYV44" s="1469"/>
      <c r="EYW44" s="1469"/>
      <c r="EYX44" s="1469"/>
      <c r="EYY44" s="1469"/>
      <c r="EYZ44" s="1469"/>
      <c r="EZA44" s="1469"/>
      <c r="EZB44" s="1469"/>
      <c r="EZC44" s="1469"/>
      <c r="EZD44" s="1469"/>
      <c r="EZE44" s="1469"/>
      <c r="EZF44" s="1469"/>
      <c r="EZG44" s="1469"/>
      <c r="EZH44" s="1469"/>
      <c r="EZI44" s="1469"/>
      <c r="EZJ44" s="1469"/>
      <c r="EZK44" s="1469"/>
      <c r="EZL44" s="1469"/>
      <c r="EZM44" s="1469"/>
      <c r="EZN44" s="1469"/>
      <c r="EZO44" s="1469"/>
      <c r="EZP44" s="1469"/>
      <c r="EZQ44" s="1469"/>
      <c r="EZR44" s="1469"/>
      <c r="EZS44" s="1469"/>
      <c r="EZT44" s="1469"/>
      <c r="EZU44" s="1469"/>
      <c r="EZV44" s="1469"/>
      <c r="EZW44" s="1469"/>
      <c r="EZX44" s="1469"/>
      <c r="EZY44" s="1469"/>
      <c r="EZZ44" s="1469"/>
      <c r="FAA44" s="1469"/>
      <c r="FAB44" s="1469"/>
      <c r="FAC44" s="1469"/>
      <c r="FAD44" s="1469"/>
      <c r="FAE44" s="1469"/>
      <c r="FAF44" s="1469"/>
      <c r="FAG44" s="1469"/>
      <c r="FAH44" s="1469"/>
      <c r="FAI44" s="1469"/>
      <c r="FAJ44" s="1469"/>
      <c r="FAK44" s="1469"/>
      <c r="FAL44" s="1469"/>
      <c r="FAM44" s="1469"/>
      <c r="FAN44" s="1469"/>
      <c r="FAO44" s="1469"/>
      <c r="FAP44" s="1469"/>
      <c r="FAQ44" s="1469"/>
      <c r="FAR44" s="1469"/>
      <c r="FAS44" s="1469"/>
      <c r="FAT44" s="1469"/>
      <c r="FAU44" s="1469"/>
      <c r="FAV44" s="1469"/>
      <c r="FAW44" s="1469"/>
      <c r="FAX44" s="1469"/>
      <c r="FAY44" s="1469"/>
      <c r="FAZ44" s="1469"/>
      <c r="FBA44" s="1469"/>
      <c r="FBB44" s="1469"/>
      <c r="FBC44" s="1469"/>
      <c r="FBD44" s="1469"/>
      <c r="FBE44" s="1469"/>
      <c r="FBF44" s="1469"/>
      <c r="FBG44" s="1469"/>
      <c r="FBH44" s="1469"/>
      <c r="FBI44" s="1469"/>
      <c r="FBJ44" s="1469"/>
      <c r="FBK44" s="1469"/>
      <c r="FBL44" s="1469"/>
      <c r="FBM44" s="1469"/>
      <c r="FBN44" s="1469"/>
      <c r="FBO44" s="1469"/>
      <c r="FBP44" s="1469"/>
      <c r="FBQ44" s="1469"/>
      <c r="FBR44" s="1469"/>
      <c r="FBS44" s="1469"/>
      <c r="FBT44" s="1469"/>
      <c r="FBU44" s="1469"/>
      <c r="FBV44" s="1469"/>
      <c r="FBW44" s="1469"/>
      <c r="FBX44" s="1469"/>
      <c r="FBY44" s="1469"/>
      <c r="FBZ44" s="1469"/>
      <c r="FCA44" s="1469"/>
      <c r="FCB44" s="1469"/>
      <c r="FCC44" s="1469"/>
      <c r="FCD44" s="1469"/>
      <c r="FCE44" s="1469"/>
      <c r="FCF44" s="1469"/>
      <c r="FCG44" s="1469"/>
      <c r="FCH44" s="1469"/>
      <c r="FCI44" s="1469"/>
      <c r="FCJ44" s="1469"/>
      <c r="FCK44" s="1469"/>
      <c r="FCL44" s="1469"/>
      <c r="FCM44" s="1469"/>
      <c r="FCN44" s="1469"/>
      <c r="FCO44" s="1469"/>
      <c r="FCP44" s="1469"/>
      <c r="FCQ44" s="1469"/>
      <c r="FCR44" s="1469"/>
      <c r="FCS44" s="1469"/>
      <c r="FCT44" s="1469"/>
      <c r="FCU44" s="1469"/>
      <c r="FCV44" s="1469"/>
      <c r="FCW44" s="1469"/>
      <c r="FCX44" s="1469"/>
      <c r="FCY44" s="1469"/>
      <c r="FCZ44" s="1469"/>
      <c r="FDA44" s="1469"/>
      <c r="FDB44" s="1469"/>
      <c r="FDC44" s="1469"/>
      <c r="FDD44" s="1469"/>
      <c r="FDE44" s="1469"/>
      <c r="FDF44" s="1469"/>
      <c r="FDG44" s="1469"/>
      <c r="FDH44" s="1469"/>
      <c r="FDI44" s="1469"/>
      <c r="FDJ44" s="1469"/>
      <c r="FDK44" s="1469"/>
      <c r="FDL44" s="1469"/>
      <c r="FDM44" s="1469"/>
      <c r="FDN44" s="1469"/>
      <c r="FDO44" s="1469"/>
      <c r="FDP44" s="1469"/>
      <c r="FDQ44" s="1469"/>
      <c r="FDR44" s="1469"/>
      <c r="FDS44" s="1469"/>
      <c r="FDT44" s="1469"/>
      <c r="FDU44" s="1469"/>
      <c r="FDV44" s="1469"/>
      <c r="FDW44" s="1469"/>
      <c r="FDX44" s="1469"/>
      <c r="FDY44" s="1469"/>
      <c r="FDZ44" s="1469"/>
      <c r="FEA44" s="1469"/>
      <c r="FEB44" s="1469"/>
      <c r="FEC44" s="1469"/>
      <c r="FED44" s="1469"/>
      <c r="FEE44" s="1469"/>
      <c r="FEF44" s="1469"/>
      <c r="FEG44" s="1469"/>
      <c r="FEH44" s="1469"/>
      <c r="FEI44" s="1469"/>
      <c r="FEJ44" s="1469"/>
      <c r="FEK44" s="1469"/>
      <c r="FEL44" s="1469"/>
      <c r="FEM44" s="1469"/>
      <c r="FEN44" s="1469"/>
      <c r="FEO44" s="1469"/>
      <c r="FEP44" s="1469"/>
      <c r="FEQ44" s="1469"/>
      <c r="FER44" s="1469"/>
      <c r="FES44" s="1469"/>
      <c r="FET44" s="1469"/>
      <c r="FEU44" s="1469"/>
      <c r="FEV44" s="1469"/>
      <c r="FEW44" s="1469"/>
      <c r="FEX44" s="1469"/>
      <c r="FEY44" s="1469"/>
      <c r="FEZ44" s="1469"/>
      <c r="FFA44" s="1469"/>
      <c r="FFB44" s="1469"/>
      <c r="FFC44" s="1469"/>
      <c r="FFD44" s="1469"/>
      <c r="FFE44" s="1469"/>
      <c r="FFF44" s="1469"/>
      <c r="FFG44" s="1469"/>
      <c r="FFH44" s="1469"/>
      <c r="FFI44" s="1469"/>
      <c r="FFJ44" s="1469"/>
      <c r="FFK44" s="1469"/>
      <c r="FFL44" s="1469"/>
      <c r="FFM44" s="1469"/>
      <c r="FFN44" s="1469"/>
      <c r="FFO44" s="1469"/>
      <c r="FFP44" s="1469"/>
      <c r="FFQ44" s="1469"/>
      <c r="FFR44" s="1469"/>
      <c r="FFS44" s="1469"/>
      <c r="FFT44" s="1469"/>
      <c r="FFU44" s="1469"/>
      <c r="FFV44" s="1469"/>
      <c r="FFW44" s="1469"/>
      <c r="FFX44" s="1469"/>
      <c r="FFY44" s="1469"/>
      <c r="FFZ44" s="1469"/>
      <c r="FGA44" s="1469"/>
      <c r="FGB44" s="1469"/>
      <c r="FGC44" s="1469"/>
      <c r="FGD44" s="1469"/>
      <c r="FGE44" s="1469"/>
      <c r="FGF44" s="1469"/>
      <c r="FGG44" s="1469"/>
      <c r="FGH44" s="1469"/>
      <c r="FGI44" s="1469"/>
      <c r="FGJ44" s="1469"/>
      <c r="FGK44" s="1469"/>
      <c r="FGL44" s="1469"/>
      <c r="FGM44" s="1469"/>
      <c r="FGN44" s="1469"/>
      <c r="FGO44" s="1469"/>
      <c r="FGP44" s="1469"/>
      <c r="FGQ44" s="1469"/>
      <c r="FGR44" s="1469"/>
      <c r="FGS44" s="1469"/>
      <c r="FGT44" s="1469"/>
      <c r="FGU44" s="1469"/>
      <c r="FGV44" s="1469"/>
      <c r="FGW44" s="1469"/>
      <c r="FGX44" s="1469"/>
      <c r="FGY44" s="1469"/>
      <c r="FGZ44" s="1469"/>
      <c r="FHA44" s="1469"/>
      <c r="FHB44" s="1469"/>
      <c r="FHC44" s="1469"/>
      <c r="FHD44" s="1469"/>
      <c r="FHE44" s="1469"/>
      <c r="FHF44" s="1469"/>
      <c r="FHG44" s="1469"/>
      <c r="FHH44" s="1469"/>
      <c r="FHI44" s="1469"/>
      <c r="FHJ44" s="1469"/>
      <c r="FHK44" s="1469"/>
      <c r="FHL44" s="1469"/>
      <c r="FHM44" s="1469"/>
      <c r="FHN44" s="1469"/>
      <c r="FHO44" s="1469"/>
      <c r="FHP44" s="1469"/>
      <c r="FHQ44" s="1469"/>
      <c r="FHR44" s="1469"/>
      <c r="FHS44" s="1469"/>
      <c r="FHT44" s="1469"/>
      <c r="FHU44" s="1469"/>
      <c r="FHV44" s="1469"/>
      <c r="FHW44" s="1469"/>
      <c r="FHX44" s="1469"/>
      <c r="FHY44" s="1469"/>
      <c r="FHZ44" s="1469"/>
      <c r="FIA44" s="1469"/>
      <c r="FIB44" s="1469"/>
      <c r="FIC44" s="1469"/>
      <c r="FID44" s="1469"/>
      <c r="FIE44" s="1469"/>
      <c r="FIF44" s="1469"/>
      <c r="FIG44" s="1469"/>
      <c r="FIH44" s="1469"/>
      <c r="FII44" s="1469"/>
      <c r="FIJ44" s="1469"/>
      <c r="FIK44" s="1469"/>
      <c r="FIL44" s="1469"/>
      <c r="FIM44" s="1469"/>
      <c r="FIN44" s="1469"/>
      <c r="FIO44" s="1469"/>
      <c r="FIP44" s="1469"/>
      <c r="FIQ44" s="1469"/>
      <c r="FIR44" s="1469"/>
      <c r="FIS44" s="1469"/>
      <c r="FIT44" s="1469"/>
      <c r="FIU44" s="1469"/>
      <c r="FIV44" s="1469"/>
      <c r="FIW44" s="1469"/>
      <c r="FIX44" s="1469"/>
      <c r="FIY44" s="1469"/>
      <c r="FIZ44" s="1469"/>
      <c r="FJA44" s="1469"/>
      <c r="FJB44" s="1469"/>
      <c r="FJC44" s="1469"/>
      <c r="FJD44" s="1469"/>
      <c r="FJE44" s="1469"/>
      <c r="FJF44" s="1469"/>
      <c r="FJG44" s="1469"/>
      <c r="FJH44" s="1469"/>
      <c r="FJI44" s="1469"/>
      <c r="FJJ44" s="1469"/>
      <c r="FJK44" s="1469"/>
      <c r="FJL44" s="1469"/>
      <c r="FJM44" s="1469"/>
      <c r="FJN44" s="1469"/>
      <c r="FJO44" s="1469"/>
      <c r="FJP44" s="1469"/>
      <c r="FJQ44" s="1469"/>
      <c r="FJR44" s="1469"/>
      <c r="FJS44" s="1469"/>
      <c r="FJT44" s="1469"/>
      <c r="FJU44" s="1469"/>
      <c r="FJV44" s="1469"/>
      <c r="FJW44" s="1469"/>
      <c r="FJX44" s="1469"/>
      <c r="FJY44" s="1469"/>
      <c r="FJZ44" s="1469"/>
      <c r="FKA44" s="1469"/>
      <c r="FKB44" s="1469"/>
      <c r="FKC44" s="1469"/>
      <c r="FKD44" s="1469"/>
      <c r="FKE44" s="1469"/>
      <c r="FKF44" s="1469"/>
      <c r="FKG44" s="1469"/>
      <c r="FKH44" s="1469"/>
      <c r="FKI44" s="1469"/>
      <c r="FKJ44" s="1469"/>
      <c r="FKK44" s="1469"/>
      <c r="FKL44" s="1469"/>
      <c r="FKM44" s="1469"/>
      <c r="FKN44" s="1469"/>
      <c r="FKO44" s="1469"/>
      <c r="FKP44" s="1469"/>
      <c r="FKQ44" s="1469"/>
      <c r="FKR44" s="1469"/>
      <c r="FKS44" s="1469"/>
      <c r="FKT44" s="1469"/>
      <c r="FKU44" s="1469"/>
      <c r="FKV44" s="1469"/>
      <c r="FKW44" s="1469"/>
      <c r="FKX44" s="1469"/>
      <c r="FKY44" s="1469"/>
      <c r="FKZ44" s="1469"/>
      <c r="FLA44" s="1469"/>
      <c r="FLB44" s="1469"/>
      <c r="FLC44" s="1469"/>
      <c r="FLD44" s="1469"/>
      <c r="FLE44" s="1469"/>
      <c r="FLF44" s="1469"/>
      <c r="FLG44" s="1469"/>
      <c r="FLH44" s="1469"/>
      <c r="FLI44" s="1469"/>
      <c r="FLJ44" s="1469"/>
      <c r="FLK44" s="1469"/>
      <c r="FLL44" s="1469"/>
      <c r="FLM44" s="1469"/>
      <c r="FLN44" s="1469"/>
      <c r="FLO44" s="1469"/>
      <c r="FLP44" s="1469"/>
      <c r="FLQ44" s="1469"/>
      <c r="FLR44" s="1469"/>
      <c r="FLS44" s="1469"/>
      <c r="FLT44" s="1469"/>
      <c r="FLU44" s="1469"/>
      <c r="FLV44" s="1469"/>
      <c r="FLW44" s="1469"/>
      <c r="FLX44" s="1469"/>
      <c r="FLY44" s="1469"/>
      <c r="FLZ44" s="1469"/>
      <c r="FMA44" s="1469"/>
      <c r="FMB44" s="1469"/>
      <c r="FMC44" s="1469"/>
      <c r="FMD44" s="1469"/>
      <c r="FME44" s="1469"/>
      <c r="FMF44" s="1469"/>
      <c r="FMG44" s="1469"/>
      <c r="FMH44" s="1469"/>
      <c r="FMI44" s="1469"/>
      <c r="FMJ44" s="1469"/>
      <c r="FMK44" s="1469"/>
      <c r="FML44" s="1469"/>
      <c r="FMM44" s="1469"/>
      <c r="FMN44" s="1469"/>
      <c r="FMO44" s="1469"/>
      <c r="FMP44" s="1469"/>
      <c r="FMQ44" s="1469"/>
      <c r="FMR44" s="1469"/>
      <c r="FMS44" s="1469"/>
      <c r="FMT44" s="1469"/>
      <c r="FMU44" s="1469"/>
      <c r="FMV44" s="1469"/>
      <c r="FMW44" s="1469"/>
      <c r="FMX44" s="1469"/>
      <c r="FMY44" s="1469"/>
      <c r="FMZ44" s="1469"/>
      <c r="FNA44" s="1469"/>
      <c r="FNB44" s="1469"/>
      <c r="FNC44" s="1469"/>
      <c r="FND44" s="1469"/>
      <c r="FNE44" s="1469"/>
      <c r="FNF44" s="1469"/>
      <c r="FNG44" s="1469"/>
      <c r="FNH44" s="1469"/>
      <c r="FNI44" s="1469"/>
      <c r="FNJ44" s="1469"/>
      <c r="FNK44" s="1469"/>
      <c r="FNL44" s="1469"/>
      <c r="FNM44" s="1469"/>
      <c r="FNN44" s="1469"/>
      <c r="FNO44" s="1469"/>
      <c r="FNP44" s="1469"/>
      <c r="FNQ44" s="1469"/>
      <c r="FNR44" s="1469"/>
      <c r="FNS44" s="1469"/>
      <c r="FNT44" s="1469"/>
      <c r="FNU44" s="1469"/>
      <c r="FNV44" s="1469"/>
      <c r="FNW44" s="1469"/>
      <c r="FNX44" s="1469"/>
      <c r="FNY44" s="1469"/>
      <c r="FNZ44" s="1469"/>
      <c r="FOA44" s="1469"/>
      <c r="FOB44" s="1469"/>
      <c r="FOC44" s="1469"/>
      <c r="FOD44" s="1469"/>
      <c r="FOE44" s="1469"/>
      <c r="FOF44" s="1469"/>
      <c r="FOG44" s="1469"/>
      <c r="FOH44" s="1469"/>
      <c r="FOI44" s="1469"/>
      <c r="FOJ44" s="1469"/>
      <c r="FOK44" s="1469"/>
      <c r="FOL44" s="1469"/>
      <c r="FOM44" s="1469"/>
      <c r="FON44" s="1469"/>
      <c r="FOO44" s="1469"/>
      <c r="FOP44" s="1469"/>
      <c r="FOQ44" s="1469"/>
      <c r="FOR44" s="1469"/>
      <c r="FOS44" s="1469"/>
      <c r="FOT44" s="1469"/>
      <c r="FOU44" s="1469"/>
      <c r="FOV44" s="1469"/>
      <c r="FOW44" s="1469"/>
      <c r="FOX44" s="1469"/>
      <c r="FOY44" s="1469"/>
      <c r="FOZ44" s="1469"/>
      <c r="FPA44" s="1469"/>
      <c r="FPB44" s="1469"/>
      <c r="FPC44" s="1469"/>
      <c r="FPD44" s="1469"/>
      <c r="FPE44" s="1469"/>
      <c r="FPF44" s="1469"/>
      <c r="FPG44" s="1469"/>
      <c r="FPH44" s="1469"/>
      <c r="FPI44" s="1469"/>
      <c r="FPJ44" s="1469"/>
      <c r="FPK44" s="1469"/>
      <c r="FPL44" s="1469"/>
      <c r="FPM44" s="1469"/>
      <c r="FPN44" s="1469"/>
      <c r="FPO44" s="1469"/>
      <c r="FPP44" s="1469"/>
      <c r="FPQ44" s="1469"/>
      <c r="FPR44" s="1469"/>
      <c r="FPS44" s="1469"/>
      <c r="FPT44" s="1469"/>
      <c r="FPU44" s="1469"/>
      <c r="FPV44" s="1469"/>
      <c r="FPW44" s="1469"/>
      <c r="FPX44" s="1469"/>
      <c r="FPY44" s="1469"/>
      <c r="FPZ44" s="1469"/>
      <c r="FQA44" s="1469"/>
      <c r="FQB44" s="1469"/>
      <c r="FQC44" s="1469"/>
      <c r="FQD44" s="1469"/>
      <c r="FQE44" s="1469"/>
      <c r="FQF44" s="1469"/>
      <c r="FQG44" s="1469"/>
      <c r="FQH44" s="1469"/>
      <c r="FQI44" s="1469"/>
      <c r="FQJ44" s="1469"/>
      <c r="FQK44" s="1469"/>
      <c r="FQL44" s="1469"/>
      <c r="FQM44" s="1469"/>
      <c r="FQN44" s="1469"/>
      <c r="FQO44" s="1469"/>
      <c r="FQP44" s="1469"/>
      <c r="FQQ44" s="1469"/>
      <c r="FQR44" s="1469"/>
      <c r="FQS44" s="1469"/>
      <c r="FQT44" s="1469"/>
      <c r="FQU44" s="1469"/>
      <c r="FQV44" s="1469"/>
      <c r="FQW44" s="1469"/>
      <c r="FQX44" s="1469"/>
      <c r="FQY44" s="1469"/>
      <c r="FQZ44" s="1469"/>
      <c r="FRA44" s="1469"/>
      <c r="FRB44" s="1469"/>
      <c r="FRC44" s="1469"/>
      <c r="FRD44" s="1469"/>
      <c r="FRE44" s="1469"/>
      <c r="FRF44" s="1469"/>
      <c r="FRG44" s="1469"/>
      <c r="FRH44" s="1469"/>
      <c r="FRI44" s="1469"/>
      <c r="FRJ44" s="1469"/>
      <c r="FRK44" s="1469"/>
      <c r="FRL44" s="1469"/>
      <c r="FRM44" s="1469"/>
      <c r="FRN44" s="1469"/>
      <c r="FRO44" s="1469"/>
      <c r="FRP44" s="1469"/>
      <c r="FRQ44" s="1469"/>
      <c r="FRR44" s="1469"/>
      <c r="FRS44" s="1469"/>
      <c r="FRT44" s="1469"/>
      <c r="FRU44" s="1469"/>
      <c r="FRV44" s="1469"/>
      <c r="FRW44" s="1469"/>
      <c r="FRX44" s="1469"/>
      <c r="FRY44" s="1469"/>
      <c r="FRZ44" s="1469"/>
      <c r="FSA44" s="1469"/>
      <c r="FSB44" s="1469"/>
      <c r="FSC44" s="1469"/>
      <c r="FSD44" s="1469"/>
      <c r="FSE44" s="1469"/>
      <c r="FSF44" s="1469"/>
      <c r="FSG44" s="1469"/>
      <c r="FSH44" s="1469"/>
      <c r="FSI44" s="1469"/>
      <c r="FSJ44" s="1469"/>
      <c r="FSK44" s="1469"/>
      <c r="FSL44" s="1469"/>
      <c r="FSM44" s="1469"/>
      <c r="FSN44" s="1469"/>
      <c r="FSO44" s="1469"/>
      <c r="FSP44" s="1469"/>
      <c r="FSQ44" s="1469"/>
      <c r="FSR44" s="1469"/>
      <c r="FSS44" s="1469"/>
      <c r="FST44" s="1469"/>
      <c r="FSU44" s="1469"/>
      <c r="FSV44" s="1469"/>
      <c r="FSW44" s="1469"/>
      <c r="FSX44" s="1469"/>
      <c r="FSY44" s="1469"/>
      <c r="FSZ44" s="1469"/>
      <c r="FTA44" s="1469"/>
      <c r="FTB44" s="1469"/>
      <c r="FTC44" s="1469"/>
      <c r="FTD44" s="1469"/>
      <c r="FTE44" s="1469"/>
      <c r="FTF44" s="1469"/>
      <c r="FTG44" s="1469"/>
      <c r="FTH44" s="1469"/>
      <c r="FTI44" s="1469"/>
      <c r="FTJ44" s="1469"/>
      <c r="FTK44" s="1469"/>
      <c r="FTL44" s="1469"/>
      <c r="FTM44" s="1469"/>
      <c r="FTN44" s="1469"/>
      <c r="FTO44" s="1469"/>
      <c r="FTP44" s="1469"/>
      <c r="FTQ44" s="1469"/>
      <c r="FTR44" s="1469"/>
      <c r="FTS44" s="1469"/>
      <c r="FTT44" s="1469"/>
      <c r="FTU44" s="1469"/>
      <c r="FTV44" s="1469"/>
      <c r="FTW44" s="1469"/>
      <c r="FTX44" s="1469"/>
      <c r="FTY44" s="1469"/>
      <c r="FTZ44" s="1469"/>
      <c r="FUA44" s="1469"/>
      <c r="FUB44" s="1469"/>
      <c r="FUC44" s="1469"/>
      <c r="FUD44" s="1469"/>
      <c r="FUE44" s="1469"/>
      <c r="FUF44" s="1469"/>
      <c r="FUG44" s="1469"/>
      <c r="FUH44" s="1469"/>
      <c r="FUI44" s="1469"/>
      <c r="FUJ44" s="1469"/>
      <c r="FUK44" s="1469"/>
      <c r="FUL44" s="1469"/>
      <c r="FUM44" s="1469"/>
      <c r="FUN44" s="1469"/>
      <c r="FUO44" s="1469"/>
      <c r="FUP44" s="1469"/>
      <c r="FUQ44" s="1469"/>
      <c r="FUR44" s="1469"/>
      <c r="FUS44" s="1469"/>
      <c r="FUT44" s="1469"/>
      <c r="FUU44" s="1469"/>
      <c r="FUV44" s="1469"/>
      <c r="FUW44" s="1469"/>
      <c r="FUX44" s="1469"/>
      <c r="FUY44" s="1469"/>
      <c r="FUZ44" s="1469"/>
      <c r="FVA44" s="1469"/>
      <c r="FVB44" s="1469"/>
      <c r="FVC44" s="1469"/>
      <c r="FVD44" s="1469"/>
      <c r="FVE44" s="1469"/>
      <c r="FVF44" s="1469"/>
      <c r="FVG44" s="1469"/>
      <c r="FVH44" s="1469"/>
      <c r="FVI44" s="1469"/>
      <c r="FVJ44" s="1469"/>
      <c r="FVK44" s="1469"/>
      <c r="FVL44" s="1469"/>
      <c r="FVM44" s="1469"/>
      <c r="FVN44" s="1469"/>
      <c r="FVO44" s="1469"/>
      <c r="FVP44" s="1469"/>
      <c r="FVQ44" s="1469"/>
      <c r="FVR44" s="1469"/>
      <c r="FVS44" s="1469"/>
      <c r="FVT44" s="1469"/>
      <c r="FVU44" s="1469"/>
      <c r="FVV44" s="1469"/>
      <c r="FVW44" s="1469"/>
      <c r="FVX44" s="1469"/>
      <c r="FVY44" s="1469"/>
      <c r="FVZ44" s="1469"/>
      <c r="FWA44" s="1469"/>
      <c r="FWB44" s="1469"/>
      <c r="FWC44" s="1469"/>
      <c r="FWD44" s="1469"/>
      <c r="FWE44" s="1469"/>
      <c r="FWF44" s="1469"/>
      <c r="FWG44" s="1469"/>
      <c r="FWH44" s="1469"/>
      <c r="FWI44" s="1469"/>
      <c r="FWJ44" s="1469"/>
      <c r="FWK44" s="1469"/>
      <c r="FWL44" s="1469"/>
      <c r="FWM44" s="1469"/>
      <c r="FWN44" s="1469"/>
      <c r="FWO44" s="1469"/>
      <c r="FWP44" s="1469"/>
      <c r="FWQ44" s="1469"/>
      <c r="FWR44" s="1469"/>
      <c r="FWS44" s="1469"/>
      <c r="FWT44" s="1469"/>
      <c r="FWU44" s="1469"/>
      <c r="FWV44" s="1469"/>
      <c r="FWW44" s="1469"/>
      <c r="FWX44" s="1469"/>
      <c r="FWY44" s="1469"/>
      <c r="FWZ44" s="1469"/>
      <c r="FXA44" s="1469"/>
      <c r="FXB44" s="1469"/>
      <c r="FXC44" s="1469"/>
      <c r="FXD44" s="1469"/>
      <c r="FXE44" s="1469"/>
      <c r="FXF44" s="1469"/>
      <c r="FXG44" s="1469"/>
      <c r="FXH44" s="1469"/>
      <c r="FXI44" s="1469"/>
      <c r="FXJ44" s="1469"/>
      <c r="FXK44" s="1469"/>
      <c r="FXL44" s="1469"/>
      <c r="FXM44" s="1469"/>
      <c r="FXN44" s="1469"/>
      <c r="FXO44" s="1469"/>
      <c r="FXP44" s="1469"/>
      <c r="FXQ44" s="1469"/>
      <c r="FXR44" s="1469"/>
      <c r="FXS44" s="1469"/>
      <c r="FXT44" s="1469"/>
      <c r="FXU44" s="1469"/>
      <c r="FXV44" s="1469"/>
      <c r="FXW44" s="1469"/>
      <c r="FXX44" s="1469"/>
      <c r="FXY44" s="1469"/>
      <c r="FXZ44" s="1469"/>
      <c r="FYA44" s="1469"/>
      <c r="FYB44" s="1469"/>
      <c r="FYC44" s="1469"/>
      <c r="FYD44" s="1469"/>
      <c r="FYE44" s="1469"/>
      <c r="FYF44" s="1469"/>
      <c r="FYG44" s="1469"/>
      <c r="FYH44" s="1469"/>
      <c r="FYI44" s="1469"/>
      <c r="FYJ44" s="1469"/>
      <c r="FYK44" s="1469"/>
      <c r="FYL44" s="1469"/>
      <c r="FYM44" s="1469"/>
      <c r="FYN44" s="1469"/>
      <c r="FYO44" s="1469"/>
      <c r="FYP44" s="1469"/>
      <c r="FYQ44" s="1469"/>
      <c r="FYR44" s="1469"/>
      <c r="FYS44" s="1469"/>
      <c r="FYT44" s="1469"/>
      <c r="FYU44" s="1469"/>
      <c r="FYV44" s="1469"/>
      <c r="FYW44" s="1469"/>
      <c r="FYX44" s="1469"/>
      <c r="FYY44" s="1469"/>
      <c r="FYZ44" s="1469"/>
      <c r="FZA44" s="1469"/>
      <c r="FZB44" s="1469"/>
      <c r="FZC44" s="1469"/>
      <c r="FZD44" s="1469"/>
      <c r="FZE44" s="1469"/>
      <c r="FZF44" s="1469"/>
      <c r="FZG44" s="1469"/>
      <c r="FZH44" s="1469"/>
      <c r="FZI44" s="1469"/>
      <c r="FZJ44" s="1469"/>
      <c r="FZK44" s="1469"/>
      <c r="FZL44" s="1469"/>
      <c r="FZM44" s="1469"/>
      <c r="FZN44" s="1469"/>
      <c r="FZO44" s="1469"/>
      <c r="FZP44" s="1469"/>
      <c r="FZQ44" s="1469"/>
      <c r="FZR44" s="1469"/>
      <c r="FZS44" s="1469"/>
      <c r="FZT44" s="1469"/>
      <c r="FZU44" s="1469"/>
      <c r="FZV44" s="1469"/>
      <c r="FZW44" s="1469"/>
      <c r="FZX44" s="1469"/>
      <c r="FZY44" s="1469"/>
      <c r="FZZ44" s="1469"/>
      <c r="GAA44" s="1469"/>
      <c r="GAB44" s="1469"/>
      <c r="GAC44" s="1469"/>
      <c r="GAD44" s="1469"/>
      <c r="GAE44" s="1469"/>
      <c r="GAF44" s="1469"/>
      <c r="GAG44" s="1469"/>
      <c r="GAH44" s="1469"/>
      <c r="GAI44" s="1469"/>
      <c r="GAJ44" s="1469"/>
      <c r="GAK44" s="1469"/>
      <c r="GAL44" s="1469"/>
      <c r="GAM44" s="1469"/>
      <c r="GAN44" s="1469"/>
      <c r="GAO44" s="1469"/>
      <c r="GAP44" s="1469"/>
      <c r="GAQ44" s="1469"/>
      <c r="GAR44" s="1469"/>
      <c r="GAS44" s="1469"/>
      <c r="GAT44" s="1469"/>
      <c r="GAU44" s="1469"/>
      <c r="GAV44" s="1469"/>
      <c r="GAW44" s="1469"/>
      <c r="GAX44" s="1469"/>
      <c r="GAY44" s="1469"/>
      <c r="GAZ44" s="1469"/>
      <c r="GBA44" s="1469"/>
      <c r="GBB44" s="1469"/>
      <c r="GBC44" s="1469"/>
      <c r="GBD44" s="1469"/>
      <c r="GBE44" s="1469"/>
      <c r="GBF44" s="1469"/>
      <c r="GBG44" s="1469"/>
      <c r="GBH44" s="1469"/>
      <c r="GBI44" s="1469"/>
      <c r="GBJ44" s="1469"/>
      <c r="GBK44" s="1469"/>
      <c r="GBL44" s="1469"/>
      <c r="GBM44" s="1469"/>
      <c r="GBN44" s="1469"/>
      <c r="GBO44" s="1469"/>
      <c r="GBP44" s="1469"/>
      <c r="GBQ44" s="1469"/>
      <c r="GBR44" s="1469"/>
      <c r="GBS44" s="1469"/>
      <c r="GBT44" s="1469"/>
      <c r="GBU44" s="1469"/>
      <c r="GBV44" s="1469"/>
      <c r="GBW44" s="1469"/>
      <c r="GBX44" s="1469"/>
      <c r="GBY44" s="1469"/>
      <c r="GBZ44" s="1469"/>
      <c r="GCA44" s="1469"/>
      <c r="GCB44" s="1469"/>
      <c r="GCC44" s="1469"/>
      <c r="GCD44" s="1469"/>
      <c r="GCE44" s="1469"/>
      <c r="GCF44" s="1469"/>
      <c r="GCG44" s="1469"/>
      <c r="GCH44" s="1469"/>
      <c r="GCI44" s="1469"/>
      <c r="GCJ44" s="1469"/>
      <c r="GCK44" s="1469"/>
      <c r="GCL44" s="1469"/>
      <c r="GCM44" s="1469"/>
      <c r="GCN44" s="1469"/>
      <c r="GCO44" s="1469"/>
      <c r="GCP44" s="1469"/>
      <c r="GCQ44" s="1469"/>
      <c r="GCR44" s="1469"/>
      <c r="GCS44" s="1469"/>
      <c r="GCT44" s="1469"/>
      <c r="GCU44" s="1469"/>
      <c r="GCV44" s="1469"/>
      <c r="GCW44" s="1469"/>
      <c r="GCX44" s="1469"/>
      <c r="GCY44" s="1469"/>
      <c r="GCZ44" s="1469"/>
      <c r="GDA44" s="1469"/>
      <c r="GDB44" s="1469"/>
      <c r="GDC44" s="1469"/>
      <c r="GDD44" s="1469"/>
      <c r="GDE44" s="1469"/>
      <c r="GDF44" s="1469"/>
      <c r="GDG44" s="1469"/>
      <c r="GDH44" s="1469"/>
      <c r="GDI44" s="1469"/>
      <c r="GDJ44" s="1469"/>
      <c r="GDK44" s="1469"/>
      <c r="GDL44" s="1469"/>
      <c r="GDM44" s="1469"/>
      <c r="GDN44" s="1469"/>
      <c r="GDO44" s="1469"/>
      <c r="GDP44" s="1469"/>
      <c r="GDQ44" s="1469"/>
      <c r="GDR44" s="1469"/>
      <c r="GDS44" s="1469"/>
      <c r="GDT44" s="1469"/>
      <c r="GDU44" s="1469"/>
      <c r="GDV44" s="1469"/>
      <c r="GDW44" s="1469"/>
      <c r="GDX44" s="1469"/>
      <c r="GDY44" s="1469"/>
      <c r="GDZ44" s="1469"/>
      <c r="GEA44" s="1469"/>
      <c r="GEB44" s="1469"/>
      <c r="GEC44" s="1469"/>
      <c r="GED44" s="1469"/>
      <c r="GEE44" s="1469"/>
      <c r="GEF44" s="1469"/>
      <c r="GEG44" s="1469"/>
      <c r="GEH44" s="1469"/>
      <c r="GEI44" s="1469"/>
      <c r="GEJ44" s="1469"/>
      <c r="GEK44" s="1469"/>
      <c r="GEL44" s="1469"/>
      <c r="GEM44" s="1469"/>
      <c r="GEN44" s="1469"/>
      <c r="GEO44" s="1469"/>
      <c r="GEP44" s="1469"/>
      <c r="GEQ44" s="1469"/>
      <c r="GER44" s="1469"/>
      <c r="GES44" s="1469"/>
      <c r="GET44" s="1469"/>
      <c r="GEU44" s="1469"/>
      <c r="GEV44" s="1469"/>
      <c r="GEW44" s="1469"/>
      <c r="GEX44" s="1469"/>
      <c r="GEY44" s="1469"/>
      <c r="GEZ44" s="1469"/>
      <c r="GFA44" s="1469"/>
      <c r="GFB44" s="1469"/>
      <c r="GFC44" s="1469"/>
      <c r="GFD44" s="1469"/>
      <c r="GFE44" s="1469"/>
      <c r="GFF44" s="1469"/>
      <c r="GFG44" s="1469"/>
      <c r="GFH44" s="1469"/>
      <c r="GFI44" s="1469"/>
      <c r="GFJ44" s="1469"/>
      <c r="GFK44" s="1469"/>
      <c r="GFL44" s="1469"/>
      <c r="GFM44" s="1469"/>
      <c r="GFN44" s="1469"/>
      <c r="GFO44" s="1469"/>
      <c r="GFP44" s="1469"/>
      <c r="GFQ44" s="1469"/>
      <c r="GFR44" s="1469"/>
      <c r="GFS44" s="1469"/>
      <c r="GFT44" s="1469"/>
      <c r="GFU44" s="1469"/>
      <c r="GFV44" s="1469"/>
      <c r="GFW44" s="1469"/>
      <c r="GFX44" s="1469"/>
      <c r="GFY44" s="1469"/>
      <c r="GFZ44" s="1469"/>
      <c r="GGA44" s="1469"/>
      <c r="GGB44" s="1469"/>
      <c r="GGC44" s="1469"/>
      <c r="GGD44" s="1469"/>
      <c r="GGE44" s="1469"/>
      <c r="GGF44" s="1469"/>
      <c r="GGG44" s="1469"/>
      <c r="GGH44" s="1469"/>
      <c r="GGI44" s="1469"/>
      <c r="GGJ44" s="1469"/>
      <c r="GGK44" s="1469"/>
      <c r="GGL44" s="1469"/>
      <c r="GGM44" s="1469"/>
      <c r="GGN44" s="1469"/>
      <c r="GGO44" s="1469"/>
      <c r="GGP44" s="1469"/>
      <c r="GGQ44" s="1469"/>
      <c r="GGR44" s="1469"/>
      <c r="GGS44" s="1469"/>
      <c r="GGT44" s="1469"/>
      <c r="GGU44" s="1469"/>
      <c r="GGV44" s="1469"/>
      <c r="GGW44" s="1469"/>
      <c r="GGX44" s="1469"/>
      <c r="GGY44" s="1469"/>
      <c r="GGZ44" s="1469"/>
      <c r="GHA44" s="1469"/>
      <c r="GHB44" s="1469"/>
      <c r="GHC44" s="1469"/>
      <c r="GHD44" s="1469"/>
      <c r="GHE44" s="1469"/>
      <c r="GHF44" s="1469"/>
      <c r="GHG44" s="1469"/>
      <c r="GHH44" s="1469"/>
      <c r="GHI44" s="1469"/>
      <c r="GHJ44" s="1469"/>
      <c r="GHK44" s="1469"/>
      <c r="GHL44" s="1469"/>
      <c r="GHM44" s="1469"/>
      <c r="GHN44" s="1469"/>
      <c r="GHO44" s="1469"/>
      <c r="GHP44" s="1469"/>
      <c r="GHQ44" s="1469"/>
      <c r="GHR44" s="1469"/>
      <c r="GHS44" s="1469"/>
      <c r="GHT44" s="1469"/>
      <c r="GHU44" s="1469"/>
      <c r="GHV44" s="1469"/>
      <c r="GHW44" s="1469"/>
      <c r="GHX44" s="1469"/>
      <c r="GHY44" s="1469"/>
      <c r="GHZ44" s="1469"/>
      <c r="GIA44" s="1469"/>
      <c r="GIB44" s="1469"/>
      <c r="GIC44" s="1469"/>
      <c r="GID44" s="1469"/>
      <c r="GIE44" s="1469"/>
      <c r="GIF44" s="1469"/>
      <c r="GIG44" s="1469"/>
      <c r="GIH44" s="1469"/>
      <c r="GII44" s="1469"/>
      <c r="GIJ44" s="1469"/>
      <c r="GIK44" s="1469"/>
      <c r="GIL44" s="1469"/>
      <c r="GIM44" s="1469"/>
      <c r="GIN44" s="1469"/>
      <c r="GIO44" s="1469"/>
      <c r="GIP44" s="1469"/>
      <c r="GIQ44" s="1469"/>
      <c r="GIR44" s="1469"/>
      <c r="GIS44" s="1469"/>
      <c r="GIT44" s="1469"/>
      <c r="GIU44" s="1469"/>
      <c r="GIV44" s="1469"/>
      <c r="GIW44" s="1469"/>
      <c r="GIX44" s="1469"/>
      <c r="GIY44" s="1469"/>
      <c r="GIZ44" s="1469"/>
      <c r="GJA44" s="1469"/>
      <c r="GJB44" s="1469"/>
      <c r="GJC44" s="1469"/>
      <c r="GJD44" s="1469"/>
      <c r="GJE44" s="1469"/>
      <c r="GJF44" s="1469"/>
      <c r="GJG44" s="1469"/>
      <c r="GJH44" s="1469"/>
      <c r="GJI44" s="1469"/>
      <c r="GJJ44" s="1469"/>
      <c r="GJK44" s="1469"/>
      <c r="GJL44" s="1469"/>
      <c r="GJM44" s="1469"/>
      <c r="GJN44" s="1469"/>
      <c r="GJO44" s="1469"/>
      <c r="GJP44" s="1469"/>
      <c r="GJQ44" s="1469"/>
      <c r="GJR44" s="1469"/>
      <c r="GJS44" s="1469"/>
      <c r="GJT44" s="1469"/>
      <c r="GJU44" s="1469"/>
      <c r="GJV44" s="1469"/>
      <c r="GJW44" s="1469"/>
      <c r="GJX44" s="1469"/>
      <c r="GJY44" s="1469"/>
      <c r="GJZ44" s="1469"/>
      <c r="GKA44" s="1469"/>
      <c r="GKB44" s="1469"/>
      <c r="GKC44" s="1469"/>
      <c r="GKD44" s="1469"/>
      <c r="GKE44" s="1469"/>
      <c r="GKF44" s="1469"/>
      <c r="GKG44" s="1469"/>
      <c r="GKH44" s="1469"/>
      <c r="GKI44" s="1469"/>
      <c r="GKJ44" s="1469"/>
      <c r="GKK44" s="1469"/>
      <c r="GKL44" s="1469"/>
      <c r="GKM44" s="1469"/>
      <c r="GKN44" s="1469"/>
      <c r="GKO44" s="1469"/>
      <c r="GKP44" s="1469"/>
      <c r="GKQ44" s="1469"/>
      <c r="GKR44" s="1469"/>
      <c r="GKS44" s="1469"/>
      <c r="GKT44" s="1469"/>
      <c r="GKU44" s="1469"/>
      <c r="GKV44" s="1469"/>
      <c r="GKW44" s="1469"/>
      <c r="GKX44" s="1469"/>
      <c r="GKY44" s="1469"/>
      <c r="GKZ44" s="1469"/>
      <c r="GLA44" s="1469"/>
      <c r="GLB44" s="1469"/>
      <c r="GLC44" s="1469"/>
      <c r="GLD44" s="1469"/>
      <c r="GLE44" s="1469"/>
      <c r="GLF44" s="1469"/>
      <c r="GLG44" s="1469"/>
      <c r="GLH44" s="1469"/>
      <c r="GLI44" s="1469"/>
      <c r="GLJ44" s="1469"/>
      <c r="GLK44" s="1469"/>
      <c r="GLL44" s="1469"/>
      <c r="GLM44" s="1469"/>
      <c r="GLN44" s="1469"/>
      <c r="GLO44" s="1469"/>
      <c r="GLP44" s="1469"/>
      <c r="GLQ44" s="1469"/>
      <c r="GLR44" s="1469"/>
      <c r="GLS44" s="1469"/>
      <c r="GLT44" s="1469"/>
      <c r="GLU44" s="1469"/>
      <c r="GLV44" s="1469"/>
      <c r="GLW44" s="1469"/>
      <c r="GLX44" s="1469"/>
      <c r="GLY44" s="1469"/>
      <c r="GLZ44" s="1469"/>
      <c r="GMA44" s="1469"/>
      <c r="GMB44" s="1469"/>
      <c r="GMC44" s="1469"/>
      <c r="GMD44" s="1469"/>
      <c r="GME44" s="1469"/>
      <c r="GMF44" s="1469"/>
      <c r="GMG44" s="1469"/>
      <c r="GMH44" s="1469"/>
      <c r="GMI44" s="1469"/>
      <c r="GMJ44" s="1469"/>
      <c r="GMK44" s="1469"/>
      <c r="GML44" s="1469"/>
      <c r="GMM44" s="1469"/>
      <c r="GMN44" s="1469"/>
      <c r="GMO44" s="1469"/>
      <c r="GMP44" s="1469"/>
      <c r="GMQ44" s="1469"/>
      <c r="GMR44" s="1469"/>
      <c r="GMS44" s="1469"/>
      <c r="GMT44" s="1469"/>
      <c r="GMU44" s="1469"/>
      <c r="GMV44" s="1469"/>
      <c r="GMW44" s="1469"/>
      <c r="GMX44" s="1469"/>
      <c r="GMY44" s="1469"/>
      <c r="GMZ44" s="1469"/>
      <c r="GNA44" s="1469"/>
      <c r="GNB44" s="1469"/>
      <c r="GNC44" s="1469"/>
      <c r="GND44" s="1469"/>
      <c r="GNE44" s="1469"/>
      <c r="GNF44" s="1469"/>
      <c r="GNG44" s="1469"/>
      <c r="GNH44" s="1469"/>
      <c r="GNI44" s="1469"/>
      <c r="GNJ44" s="1469"/>
      <c r="GNK44" s="1469"/>
      <c r="GNL44" s="1469"/>
      <c r="GNM44" s="1469"/>
      <c r="GNN44" s="1469"/>
      <c r="GNO44" s="1469"/>
      <c r="GNP44" s="1469"/>
      <c r="GNQ44" s="1469"/>
      <c r="GNR44" s="1469"/>
      <c r="GNS44" s="1469"/>
      <c r="GNT44" s="1469"/>
      <c r="GNU44" s="1469"/>
      <c r="GNV44" s="1469"/>
      <c r="GNW44" s="1469"/>
      <c r="GNX44" s="1469"/>
      <c r="GNY44" s="1469"/>
      <c r="GNZ44" s="1469"/>
      <c r="GOA44" s="1469"/>
      <c r="GOB44" s="1469"/>
      <c r="GOC44" s="1469"/>
      <c r="GOD44" s="1469"/>
      <c r="GOE44" s="1469"/>
      <c r="GOF44" s="1469"/>
      <c r="GOG44" s="1469"/>
      <c r="GOH44" s="1469"/>
      <c r="GOI44" s="1469"/>
      <c r="GOJ44" s="1469"/>
      <c r="GOK44" s="1469"/>
      <c r="GOL44" s="1469"/>
      <c r="GOM44" s="1469"/>
      <c r="GON44" s="1469"/>
      <c r="GOO44" s="1469"/>
      <c r="GOP44" s="1469"/>
      <c r="GOQ44" s="1469"/>
      <c r="GOR44" s="1469"/>
      <c r="GOS44" s="1469"/>
      <c r="GOT44" s="1469"/>
      <c r="GOU44" s="1469"/>
      <c r="GOV44" s="1469"/>
      <c r="GOW44" s="1469"/>
      <c r="GOX44" s="1469"/>
      <c r="GOY44" s="1469"/>
      <c r="GOZ44" s="1469"/>
      <c r="GPA44" s="1469"/>
      <c r="GPB44" s="1469"/>
      <c r="GPC44" s="1469"/>
      <c r="GPD44" s="1469"/>
      <c r="GPE44" s="1469"/>
      <c r="GPF44" s="1469"/>
      <c r="GPG44" s="1469"/>
      <c r="GPH44" s="1469"/>
      <c r="GPI44" s="1469"/>
      <c r="GPJ44" s="1469"/>
      <c r="GPK44" s="1469"/>
      <c r="GPL44" s="1469"/>
      <c r="GPM44" s="1469"/>
      <c r="GPN44" s="1469"/>
      <c r="GPO44" s="1469"/>
      <c r="GPP44" s="1469"/>
      <c r="GPQ44" s="1469"/>
      <c r="GPR44" s="1469"/>
      <c r="GPS44" s="1469"/>
      <c r="GPT44" s="1469"/>
      <c r="GPU44" s="1469"/>
      <c r="GPV44" s="1469"/>
      <c r="GPW44" s="1469"/>
      <c r="GPX44" s="1469"/>
      <c r="GPY44" s="1469"/>
      <c r="GPZ44" s="1469"/>
      <c r="GQA44" s="1469"/>
      <c r="GQB44" s="1469"/>
      <c r="GQC44" s="1469"/>
      <c r="GQD44" s="1469"/>
      <c r="GQE44" s="1469"/>
      <c r="GQF44" s="1469"/>
      <c r="GQG44" s="1469"/>
      <c r="GQH44" s="1469"/>
      <c r="GQI44" s="1469"/>
      <c r="GQJ44" s="1469"/>
      <c r="GQK44" s="1469"/>
      <c r="GQL44" s="1469"/>
      <c r="GQM44" s="1469"/>
      <c r="GQN44" s="1469"/>
      <c r="GQO44" s="1469"/>
      <c r="GQP44" s="1469"/>
      <c r="GQQ44" s="1469"/>
      <c r="GQR44" s="1469"/>
      <c r="GQS44" s="1469"/>
      <c r="GQT44" s="1469"/>
      <c r="GQU44" s="1469"/>
      <c r="GQV44" s="1469"/>
      <c r="GQW44" s="1469"/>
      <c r="GQX44" s="1469"/>
      <c r="GQY44" s="1469"/>
      <c r="GQZ44" s="1469"/>
      <c r="GRA44" s="1469"/>
      <c r="GRB44" s="1469"/>
      <c r="GRC44" s="1469"/>
      <c r="GRD44" s="1469"/>
      <c r="GRE44" s="1469"/>
      <c r="GRF44" s="1469"/>
      <c r="GRG44" s="1469"/>
      <c r="GRH44" s="1469"/>
      <c r="GRI44" s="1469"/>
      <c r="GRJ44" s="1469"/>
      <c r="GRK44" s="1469"/>
      <c r="GRL44" s="1469"/>
      <c r="GRM44" s="1469"/>
      <c r="GRN44" s="1469"/>
      <c r="GRO44" s="1469"/>
      <c r="GRP44" s="1469"/>
      <c r="GRQ44" s="1469"/>
      <c r="GRR44" s="1469"/>
      <c r="GRS44" s="1469"/>
      <c r="GRT44" s="1469"/>
      <c r="GRU44" s="1469"/>
      <c r="GRV44" s="1469"/>
      <c r="GRW44" s="1469"/>
      <c r="GRX44" s="1469"/>
      <c r="GRY44" s="1469"/>
      <c r="GRZ44" s="1469"/>
      <c r="GSA44" s="1469"/>
      <c r="GSB44" s="1469"/>
      <c r="GSC44" s="1469"/>
      <c r="GSD44" s="1469"/>
      <c r="GSE44" s="1469"/>
      <c r="GSF44" s="1469"/>
      <c r="GSG44" s="1469"/>
      <c r="GSH44" s="1469"/>
      <c r="GSI44" s="1469"/>
      <c r="GSJ44" s="1469"/>
      <c r="GSK44" s="1469"/>
      <c r="GSL44" s="1469"/>
      <c r="GSM44" s="1469"/>
      <c r="GSN44" s="1469"/>
      <c r="GSO44" s="1469"/>
      <c r="GSP44" s="1469"/>
      <c r="GSQ44" s="1469"/>
      <c r="GSR44" s="1469"/>
      <c r="GSS44" s="1469"/>
      <c r="GST44" s="1469"/>
      <c r="GSU44" s="1469"/>
      <c r="GSV44" s="1469"/>
      <c r="GSW44" s="1469"/>
      <c r="GSX44" s="1469"/>
      <c r="GSY44" s="1469"/>
      <c r="GSZ44" s="1469"/>
      <c r="GTA44" s="1469"/>
      <c r="GTB44" s="1469"/>
      <c r="GTC44" s="1469"/>
      <c r="GTD44" s="1469"/>
      <c r="GTE44" s="1469"/>
      <c r="GTF44" s="1469"/>
      <c r="GTG44" s="1469"/>
      <c r="GTH44" s="1469"/>
      <c r="GTI44" s="1469"/>
      <c r="GTJ44" s="1469"/>
      <c r="GTK44" s="1469"/>
      <c r="GTL44" s="1469"/>
      <c r="GTM44" s="1469"/>
      <c r="GTN44" s="1469"/>
      <c r="GTO44" s="1469"/>
      <c r="GTP44" s="1469"/>
      <c r="GTQ44" s="1469"/>
      <c r="GTR44" s="1469"/>
      <c r="GTS44" s="1469"/>
      <c r="GTT44" s="1469"/>
      <c r="GTU44" s="1469"/>
      <c r="GTV44" s="1469"/>
      <c r="GTW44" s="1469"/>
      <c r="GTX44" s="1469"/>
      <c r="GTY44" s="1469"/>
      <c r="GTZ44" s="1469"/>
      <c r="GUA44" s="1469"/>
      <c r="GUB44" s="1469"/>
      <c r="GUC44" s="1469"/>
      <c r="GUD44" s="1469"/>
      <c r="GUE44" s="1469"/>
      <c r="GUF44" s="1469"/>
      <c r="GUG44" s="1469"/>
      <c r="GUH44" s="1469"/>
      <c r="GUI44" s="1469"/>
      <c r="GUJ44" s="1469"/>
      <c r="GUK44" s="1469"/>
      <c r="GUL44" s="1469"/>
      <c r="GUM44" s="1469"/>
      <c r="GUN44" s="1469"/>
      <c r="GUO44" s="1469"/>
      <c r="GUP44" s="1469"/>
      <c r="GUQ44" s="1469"/>
      <c r="GUR44" s="1469"/>
      <c r="GUS44" s="1469"/>
      <c r="GUT44" s="1469"/>
      <c r="GUU44" s="1469"/>
      <c r="GUV44" s="1469"/>
      <c r="GUW44" s="1469"/>
      <c r="GUX44" s="1469"/>
      <c r="GUY44" s="1469"/>
      <c r="GUZ44" s="1469"/>
      <c r="GVA44" s="1469"/>
      <c r="GVB44" s="1469"/>
      <c r="GVC44" s="1469"/>
      <c r="GVD44" s="1469"/>
      <c r="GVE44" s="1469"/>
      <c r="GVF44" s="1469"/>
      <c r="GVG44" s="1469"/>
      <c r="GVH44" s="1469"/>
      <c r="GVI44" s="1469"/>
      <c r="GVJ44" s="1469"/>
      <c r="GVK44" s="1469"/>
      <c r="GVL44" s="1469"/>
      <c r="GVM44" s="1469"/>
      <c r="GVN44" s="1469"/>
      <c r="GVO44" s="1469"/>
      <c r="GVP44" s="1469"/>
      <c r="GVQ44" s="1469"/>
      <c r="GVR44" s="1469"/>
      <c r="GVS44" s="1469"/>
      <c r="GVT44" s="1469"/>
      <c r="GVU44" s="1469"/>
      <c r="GVV44" s="1469"/>
      <c r="GVW44" s="1469"/>
      <c r="GVX44" s="1469"/>
      <c r="GVY44" s="1469"/>
      <c r="GVZ44" s="1469"/>
      <c r="GWA44" s="1469"/>
      <c r="GWB44" s="1469"/>
      <c r="GWC44" s="1469"/>
      <c r="GWD44" s="1469"/>
      <c r="GWE44" s="1469"/>
      <c r="GWF44" s="1469"/>
      <c r="GWG44" s="1469"/>
      <c r="GWH44" s="1469"/>
      <c r="GWI44" s="1469"/>
      <c r="GWJ44" s="1469"/>
      <c r="GWK44" s="1469"/>
      <c r="GWL44" s="1469"/>
      <c r="GWM44" s="1469"/>
      <c r="GWN44" s="1469"/>
      <c r="GWO44" s="1469"/>
      <c r="GWP44" s="1469"/>
      <c r="GWQ44" s="1469"/>
      <c r="GWR44" s="1469"/>
      <c r="GWS44" s="1469"/>
      <c r="GWT44" s="1469"/>
      <c r="GWU44" s="1469"/>
      <c r="GWV44" s="1469"/>
      <c r="GWW44" s="1469"/>
      <c r="GWX44" s="1469"/>
      <c r="GWY44" s="1469"/>
      <c r="GWZ44" s="1469"/>
      <c r="GXA44" s="1469"/>
      <c r="GXB44" s="1469"/>
      <c r="GXC44" s="1469"/>
      <c r="GXD44" s="1469"/>
      <c r="GXE44" s="1469"/>
      <c r="GXF44" s="1469"/>
      <c r="GXG44" s="1469"/>
      <c r="GXH44" s="1469"/>
      <c r="GXI44" s="1469"/>
      <c r="GXJ44" s="1469"/>
      <c r="GXK44" s="1469"/>
      <c r="GXL44" s="1469"/>
      <c r="GXM44" s="1469"/>
      <c r="GXN44" s="1469"/>
      <c r="GXO44" s="1469"/>
      <c r="GXP44" s="1469"/>
      <c r="GXQ44" s="1469"/>
      <c r="GXR44" s="1469"/>
      <c r="GXS44" s="1469"/>
      <c r="GXT44" s="1469"/>
      <c r="GXU44" s="1469"/>
      <c r="GXV44" s="1469"/>
      <c r="GXW44" s="1469"/>
      <c r="GXX44" s="1469"/>
      <c r="GXY44" s="1469"/>
      <c r="GXZ44" s="1469"/>
      <c r="GYA44" s="1469"/>
      <c r="GYB44" s="1469"/>
      <c r="GYC44" s="1469"/>
      <c r="GYD44" s="1469"/>
      <c r="GYE44" s="1469"/>
      <c r="GYF44" s="1469"/>
      <c r="GYG44" s="1469"/>
      <c r="GYH44" s="1469"/>
      <c r="GYI44" s="1469"/>
      <c r="GYJ44" s="1469"/>
      <c r="GYK44" s="1469"/>
      <c r="GYL44" s="1469"/>
      <c r="GYM44" s="1469"/>
      <c r="GYN44" s="1469"/>
      <c r="GYO44" s="1469"/>
      <c r="GYP44" s="1469"/>
      <c r="GYQ44" s="1469"/>
      <c r="GYR44" s="1469"/>
      <c r="GYS44" s="1469"/>
      <c r="GYT44" s="1469"/>
      <c r="GYU44" s="1469"/>
      <c r="GYV44" s="1469"/>
      <c r="GYW44" s="1469"/>
      <c r="GYX44" s="1469"/>
      <c r="GYY44" s="1469"/>
      <c r="GYZ44" s="1469"/>
      <c r="GZA44" s="1469"/>
      <c r="GZB44" s="1469"/>
      <c r="GZC44" s="1469"/>
      <c r="GZD44" s="1469"/>
      <c r="GZE44" s="1469"/>
      <c r="GZF44" s="1469"/>
      <c r="GZG44" s="1469"/>
      <c r="GZH44" s="1469"/>
      <c r="GZI44" s="1469"/>
      <c r="GZJ44" s="1469"/>
      <c r="GZK44" s="1469"/>
      <c r="GZL44" s="1469"/>
      <c r="GZM44" s="1469"/>
      <c r="GZN44" s="1469"/>
      <c r="GZO44" s="1469"/>
      <c r="GZP44" s="1469"/>
      <c r="GZQ44" s="1469"/>
      <c r="GZR44" s="1469"/>
      <c r="GZS44" s="1469"/>
      <c r="GZT44" s="1469"/>
      <c r="GZU44" s="1469"/>
      <c r="GZV44" s="1469"/>
      <c r="GZW44" s="1469"/>
      <c r="GZX44" s="1469"/>
      <c r="GZY44" s="1469"/>
      <c r="GZZ44" s="1469"/>
      <c r="HAA44" s="1469"/>
      <c r="HAB44" s="1469"/>
      <c r="HAC44" s="1469"/>
      <c r="HAD44" s="1469"/>
      <c r="HAE44" s="1469"/>
      <c r="HAF44" s="1469"/>
      <c r="HAG44" s="1469"/>
      <c r="HAH44" s="1469"/>
      <c r="HAI44" s="1469"/>
      <c r="HAJ44" s="1469"/>
      <c r="HAK44" s="1469"/>
      <c r="HAL44" s="1469"/>
      <c r="HAM44" s="1469"/>
      <c r="HAN44" s="1469"/>
      <c r="HAO44" s="1469"/>
      <c r="HAP44" s="1469"/>
      <c r="HAQ44" s="1469"/>
      <c r="HAR44" s="1469"/>
      <c r="HAS44" s="1469"/>
      <c r="HAT44" s="1469"/>
      <c r="HAU44" s="1469"/>
      <c r="HAV44" s="1469"/>
      <c r="HAW44" s="1469"/>
      <c r="HAX44" s="1469"/>
      <c r="HAY44" s="1469"/>
      <c r="HAZ44" s="1469"/>
      <c r="HBA44" s="1469"/>
      <c r="HBB44" s="1469"/>
      <c r="HBC44" s="1469"/>
      <c r="HBD44" s="1469"/>
      <c r="HBE44" s="1469"/>
      <c r="HBF44" s="1469"/>
      <c r="HBG44" s="1469"/>
      <c r="HBH44" s="1469"/>
      <c r="HBI44" s="1469"/>
      <c r="HBJ44" s="1469"/>
      <c r="HBK44" s="1469"/>
      <c r="HBL44" s="1469"/>
      <c r="HBM44" s="1469"/>
      <c r="HBN44" s="1469"/>
      <c r="HBO44" s="1469"/>
      <c r="HBP44" s="1469"/>
      <c r="HBQ44" s="1469"/>
      <c r="HBR44" s="1469"/>
      <c r="HBS44" s="1469"/>
      <c r="HBT44" s="1469"/>
      <c r="HBU44" s="1469"/>
      <c r="HBV44" s="1469"/>
      <c r="HBW44" s="1469"/>
      <c r="HBX44" s="1469"/>
      <c r="HBY44" s="1469"/>
      <c r="HBZ44" s="1469"/>
      <c r="HCA44" s="1469"/>
      <c r="HCB44" s="1469"/>
      <c r="HCC44" s="1469"/>
      <c r="HCD44" s="1469"/>
      <c r="HCE44" s="1469"/>
      <c r="HCF44" s="1469"/>
      <c r="HCG44" s="1469"/>
      <c r="HCH44" s="1469"/>
      <c r="HCI44" s="1469"/>
      <c r="HCJ44" s="1469"/>
      <c r="HCK44" s="1469"/>
      <c r="HCL44" s="1469"/>
      <c r="HCM44" s="1469"/>
      <c r="HCN44" s="1469"/>
      <c r="HCO44" s="1469"/>
      <c r="HCP44" s="1469"/>
      <c r="HCQ44" s="1469"/>
      <c r="HCR44" s="1469"/>
      <c r="HCS44" s="1469"/>
      <c r="HCT44" s="1469"/>
      <c r="HCU44" s="1469"/>
      <c r="HCV44" s="1469"/>
      <c r="HCW44" s="1469"/>
      <c r="HCX44" s="1469"/>
      <c r="HCY44" s="1469"/>
      <c r="HCZ44" s="1469"/>
      <c r="HDA44" s="1469"/>
      <c r="HDB44" s="1469"/>
      <c r="HDC44" s="1469"/>
      <c r="HDD44" s="1469"/>
      <c r="HDE44" s="1469"/>
      <c r="HDF44" s="1469"/>
      <c r="HDG44" s="1469"/>
      <c r="HDH44" s="1469"/>
      <c r="HDI44" s="1469"/>
      <c r="HDJ44" s="1469"/>
      <c r="HDK44" s="1469"/>
      <c r="HDL44" s="1469"/>
      <c r="HDM44" s="1469"/>
      <c r="HDN44" s="1469"/>
      <c r="HDO44" s="1469"/>
      <c r="HDP44" s="1469"/>
      <c r="HDQ44" s="1469"/>
      <c r="HDR44" s="1469"/>
      <c r="HDS44" s="1469"/>
      <c r="HDT44" s="1469"/>
      <c r="HDU44" s="1469"/>
      <c r="HDV44" s="1469"/>
      <c r="HDW44" s="1469"/>
      <c r="HDX44" s="1469"/>
      <c r="HDY44" s="1469"/>
      <c r="HDZ44" s="1469"/>
      <c r="HEA44" s="1469"/>
      <c r="HEB44" s="1469"/>
      <c r="HEC44" s="1469"/>
      <c r="HED44" s="1469"/>
      <c r="HEE44" s="1469"/>
      <c r="HEF44" s="1469"/>
      <c r="HEG44" s="1469"/>
      <c r="HEH44" s="1469"/>
      <c r="HEI44" s="1469"/>
      <c r="HEJ44" s="1469"/>
      <c r="HEK44" s="1469"/>
      <c r="HEL44" s="1469"/>
      <c r="HEM44" s="1469"/>
      <c r="HEN44" s="1469"/>
      <c r="HEO44" s="1469"/>
      <c r="HEP44" s="1469"/>
      <c r="HEQ44" s="1469"/>
      <c r="HER44" s="1469"/>
      <c r="HES44" s="1469"/>
      <c r="HET44" s="1469"/>
      <c r="HEU44" s="1469"/>
      <c r="HEV44" s="1469"/>
      <c r="HEW44" s="1469"/>
      <c r="HEX44" s="1469"/>
      <c r="HEY44" s="1469"/>
      <c r="HEZ44" s="1469"/>
      <c r="HFA44" s="1469"/>
      <c r="HFB44" s="1469"/>
      <c r="HFC44" s="1469"/>
      <c r="HFD44" s="1469"/>
      <c r="HFE44" s="1469"/>
      <c r="HFF44" s="1469"/>
      <c r="HFG44" s="1469"/>
      <c r="HFH44" s="1469"/>
      <c r="HFI44" s="1469"/>
      <c r="HFJ44" s="1469"/>
      <c r="HFK44" s="1469"/>
      <c r="HFL44" s="1469"/>
      <c r="HFM44" s="1469"/>
      <c r="HFN44" s="1469"/>
      <c r="HFO44" s="1469"/>
      <c r="HFP44" s="1469"/>
      <c r="HFQ44" s="1469"/>
      <c r="HFR44" s="1469"/>
      <c r="HFS44" s="1469"/>
      <c r="HFT44" s="1469"/>
      <c r="HFU44" s="1469"/>
      <c r="HFV44" s="1469"/>
      <c r="HFW44" s="1469"/>
      <c r="HFX44" s="1469"/>
      <c r="HFY44" s="1469"/>
      <c r="HFZ44" s="1469"/>
      <c r="HGA44" s="1469"/>
      <c r="HGB44" s="1469"/>
      <c r="HGC44" s="1469"/>
      <c r="HGD44" s="1469"/>
      <c r="HGE44" s="1469"/>
      <c r="HGF44" s="1469"/>
      <c r="HGG44" s="1469"/>
      <c r="HGH44" s="1469"/>
      <c r="HGI44" s="1469"/>
      <c r="HGJ44" s="1469"/>
      <c r="HGK44" s="1469"/>
      <c r="HGL44" s="1469"/>
      <c r="HGM44" s="1469"/>
      <c r="HGN44" s="1469"/>
      <c r="HGO44" s="1469"/>
      <c r="HGP44" s="1469"/>
      <c r="HGQ44" s="1469"/>
      <c r="HGR44" s="1469"/>
      <c r="HGS44" s="1469"/>
      <c r="HGT44" s="1469"/>
      <c r="HGU44" s="1469"/>
      <c r="HGV44" s="1469"/>
      <c r="HGW44" s="1469"/>
      <c r="HGX44" s="1469"/>
      <c r="HGY44" s="1469"/>
      <c r="HGZ44" s="1469"/>
      <c r="HHA44" s="1469"/>
      <c r="HHB44" s="1469"/>
      <c r="HHC44" s="1469"/>
      <c r="HHD44" s="1469"/>
      <c r="HHE44" s="1469"/>
      <c r="HHF44" s="1469"/>
      <c r="HHG44" s="1469"/>
      <c r="HHH44" s="1469"/>
      <c r="HHI44" s="1469"/>
      <c r="HHJ44" s="1469"/>
      <c r="HHK44" s="1469"/>
      <c r="HHL44" s="1469"/>
      <c r="HHM44" s="1469"/>
      <c r="HHN44" s="1469"/>
      <c r="HHO44" s="1469"/>
      <c r="HHP44" s="1469"/>
      <c r="HHQ44" s="1469"/>
      <c r="HHR44" s="1469"/>
      <c r="HHS44" s="1469"/>
      <c r="HHT44" s="1469"/>
      <c r="HHU44" s="1469"/>
      <c r="HHV44" s="1469"/>
      <c r="HHW44" s="1469"/>
      <c r="HHX44" s="1469"/>
      <c r="HHY44" s="1469"/>
      <c r="HHZ44" s="1469"/>
      <c r="HIA44" s="1469"/>
      <c r="HIB44" s="1469"/>
      <c r="HIC44" s="1469"/>
      <c r="HID44" s="1469"/>
      <c r="HIE44" s="1469"/>
      <c r="HIF44" s="1469"/>
      <c r="HIG44" s="1469"/>
      <c r="HIH44" s="1469"/>
      <c r="HII44" s="1469"/>
      <c r="HIJ44" s="1469"/>
      <c r="HIK44" s="1469"/>
      <c r="HIL44" s="1469"/>
      <c r="HIM44" s="1469"/>
      <c r="HIN44" s="1469"/>
      <c r="HIO44" s="1469"/>
      <c r="HIP44" s="1469"/>
      <c r="HIQ44" s="1469"/>
      <c r="HIR44" s="1469"/>
      <c r="HIS44" s="1469"/>
      <c r="HIT44" s="1469"/>
      <c r="HIU44" s="1469"/>
      <c r="HIV44" s="1469"/>
      <c r="HIW44" s="1469"/>
      <c r="HIX44" s="1469"/>
      <c r="HIY44" s="1469"/>
      <c r="HIZ44" s="1469"/>
      <c r="HJA44" s="1469"/>
      <c r="HJB44" s="1469"/>
      <c r="HJC44" s="1469"/>
      <c r="HJD44" s="1469"/>
      <c r="HJE44" s="1469"/>
      <c r="HJF44" s="1469"/>
      <c r="HJG44" s="1469"/>
      <c r="HJH44" s="1469"/>
      <c r="HJI44" s="1469"/>
      <c r="HJJ44" s="1469"/>
      <c r="HJK44" s="1469"/>
      <c r="HJL44" s="1469"/>
      <c r="HJM44" s="1469"/>
      <c r="HJN44" s="1469"/>
      <c r="HJO44" s="1469"/>
      <c r="HJP44" s="1469"/>
      <c r="HJQ44" s="1469"/>
      <c r="HJR44" s="1469"/>
      <c r="HJS44" s="1469"/>
      <c r="HJT44" s="1469"/>
      <c r="HJU44" s="1469"/>
      <c r="HJV44" s="1469"/>
      <c r="HJW44" s="1469"/>
      <c r="HJX44" s="1469"/>
      <c r="HJY44" s="1469"/>
      <c r="HJZ44" s="1469"/>
      <c r="HKA44" s="1469"/>
      <c r="HKB44" s="1469"/>
      <c r="HKC44" s="1469"/>
      <c r="HKD44" s="1469"/>
      <c r="HKE44" s="1469"/>
      <c r="HKF44" s="1469"/>
      <c r="HKG44" s="1469"/>
      <c r="HKH44" s="1469"/>
      <c r="HKI44" s="1469"/>
      <c r="HKJ44" s="1469"/>
      <c r="HKK44" s="1469"/>
      <c r="HKL44" s="1469"/>
      <c r="HKM44" s="1469"/>
      <c r="HKN44" s="1469"/>
      <c r="HKO44" s="1469"/>
      <c r="HKP44" s="1469"/>
      <c r="HKQ44" s="1469"/>
      <c r="HKR44" s="1469"/>
      <c r="HKS44" s="1469"/>
      <c r="HKT44" s="1469"/>
      <c r="HKU44" s="1469"/>
      <c r="HKV44" s="1469"/>
      <c r="HKW44" s="1469"/>
      <c r="HKX44" s="1469"/>
      <c r="HKY44" s="1469"/>
      <c r="HKZ44" s="1469"/>
      <c r="HLA44" s="1469"/>
      <c r="HLB44" s="1469"/>
      <c r="HLC44" s="1469"/>
      <c r="HLD44" s="1469"/>
      <c r="HLE44" s="1469"/>
      <c r="HLF44" s="1469"/>
      <c r="HLG44" s="1469"/>
      <c r="HLH44" s="1469"/>
      <c r="HLI44" s="1469"/>
      <c r="HLJ44" s="1469"/>
      <c r="HLK44" s="1469"/>
      <c r="HLL44" s="1469"/>
      <c r="HLM44" s="1469"/>
      <c r="HLN44" s="1469"/>
      <c r="HLO44" s="1469"/>
      <c r="HLP44" s="1469"/>
      <c r="HLQ44" s="1469"/>
      <c r="HLR44" s="1469"/>
      <c r="HLS44" s="1469"/>
      <c r="HLT44" s="1469"/>
      <c r="HLU44" s="1469"/>
      <c r="HLV44" s="1469"/>
      <c r="HLW44" s="1469"/>
      <c r="HLX44" s="1469"/>
      <c r="HLY44" s="1469"/>
      <c r="HLZ44" s="1469"/>
      <c r="HMA44" s="1469"/>
      <c r="HMB44" s="1469"/>
      <c r="HMC44" s="1469"/>
      <c r="HMD44" s="1469"/>
      <c r="HME44" s="1469"/>
      <c r="HMF44" s="1469"/>
      <c r="HMG44" s="1469"/>
      <c r="HMH44" s="1469"/>
      <c r="HMI44" s="1469"/>
      <c r="HMJ44" s="1469"/>
      <c r="HMK44" s="1469"/>
      <c r="HML44" s="1469"/>
      <c r="HMM44" s="1469"/>
      <c r="HMN44" s="1469"/>
      <c r="HMO44" s="1469"/>
      <c r="HMP44" s="1469"/>
      <c r="HMQ44" s="1469"/>
      <c r="HMR44" s="1469"/>
      <c r="HMS44" s="1469"/>
      <c r="HMT44" s="1469"/>
      <c r="HMU44" s="1469"/>
      <c r="HMV44" s="1469"/>
      <c r="HMW44" s="1469"/>
      <c r="HMX44" s="1469"/>
      <c r="HMY44" s="1469"/>
      <c r="HMZ44" s="1469"/>
      <c r="HNA44" s="1469"/>
      <c r="HNB44" s="1469"/>
      <c r="HNC44" s="1469"/>
      <c r="HND44" s="1469"/>
      <c r="HNE44" s="1469"/>
      <c r="HNF44" s="1469"/>
      <c r="HNG44" s="1469"/>
      <c r="HNH44" s="1469"/>
      <c r="HNI44" s="1469"/>
      <c r="HNJ44" s="1469"/>
      <c r="HNK44" s="1469"/>
      <c r="HNL44" s="1469"/>
      <c r="HNM44" s="1469"/>
      <c r="HNN44" s="1469"/>
      <c r="HNO44" s="1469"/>
      <c r="HNP44" s="1469"/>
      <c r="HNQ44" s="1469"/>
      <c r="HNR44" s="1469"/>
      <c r="HNS44" s="1469"/>
      <c r="HNT44" s="1469"/>
      <c r="HNU44" s="1469"/>
      <c r="HNV44" s="1469"/>
      <c r="HNW44" s="1469"/>
      <c r="HNX44" s="1469"/>
      <c r="HNY44" s="1469"/>
      <c r="HNZ44" s="1469"/>
      <c r="HOA44" s="1469"/>
      <c r="HOB44" s="1469"/>
      <c r="HOC44" s="1469"/>
      <c r="HOD44" s="1469"/>
      <c r="HOE44" s="1469"/>
      <c r="HOF44" s="1469"/>
      <c r="HOG44" s="1469"/>
      <c r="HOH44" s="1469"/>
      <c r="HOI44" s="1469"/>
      <c r="HOJ44" s="1469"/>
      <c r="HOK44" s="1469"/>
      <c r="HOL44" s="1469"/>
      <c r="HOM44" s="1469"/>
      <c r="HON44" s="1469"/>
      <c r="HOO44" s="1469"/>
      <c r="HOP44" s="1469"/>
      <c r="HOQ44" s="1469"/>
      <c r="HOR44" s="1469"/>
      <c r="HOS44" s="1469"/>
      <c r="HOT44" s="1469"/>
      <c r="HOU44" s="1469"/>
      <c r="HOV44" s="1469"/>
      <c r="HOW44" s="1469"/>
      <c r="HOX44" s="1469"/>
      <c r="HOY44" s="1469"/>
      <c r="HOZ44" s="1469"/>
      <c r="HPA44" s="1469"/>
      <c r="HPB44" s="1469"/>
      <c r="HPC44" s="1469"/>
      <c r="HPD44" s="1469"/>
      <c r="HPE44" s="1469"/>
      <c r="HPF44" s="1469"/>
      <c r="HPG44" s="1469"/>
      <c r="HPH44" s="1469"/>
      <c r="HPI44" s="1469"/>
      <c r="HPJ44" s="1469"/>
      <c r="HPK44" s="1469"/>
      <c r="HPL44" s="1469"/>
      <c r="HPM44" s="1469"/>
      <c r="HPN44" s="1469"/>
      <c r="HPO44" s="1469"/>
      <c r="HPP44" s="1469"/>
      <c r="HPQ44" s="1469"/>
      <c r="HPR44" s="1469"/>
      <c r="HPS44" s="1469"/>
      <c r="HPT44" s="1469"/>
      <c r="HPU44" s="1469"/>
      <c r="HPV44" s="1469"/>
      <c r="HPW44" s="1469"/>
      <c r="HPX44" s="1469"/>
      <c r="HPY44" s="1469"/>
      <c r="HPZ44" s="1469"/>
      <c r="HQA44" s="1469"/>
      <c r="HQB44" s="1469"/>
      <c r="HQC44" s="1469"/>
      <c r="HQD44" s="1469"/>
      <c r="HQE44" s="1469"/>
      <c r="HQF44" s="1469"/>
      <c r="HQG44" s="1469"/>
      <c r="HQH44" s="1469"/>
      <c r="HQI44" s="1469"/>
      <c r="HQJ44" s="1469"/>
      <c r="HQK44" s="1469"/>
      <c r="HQL44" s="1469"/>
      <c r="HQM44" s="1469"/>
      <c r="HQN44" s="1469"/>
      <c r="HQO44" s="1469"/>
      <c r="HQP44" s="1469"/>
      <c r="HQQ44" s="1469"/>
      <c r="HQR44" s="1469"/>
      <c r="HQS44" s="1469"/>
      <c r="HQT44" s="1469"/>
      <c r="HQU44" s="1469"/>
      <c r="HQV44" s="1469"/>
      <c r="HQW44" s="1469"/>
      <c r="HQX44" s="1469"/>
      <c r="HQY44" s="1469"/>
      <c r="HQZ44" s="1469"/>
      <c r="HRA44" s="1469"/>
      <c r="HRB44" s="1469"/>
      <c r="HRC44" s="1469"/>
      <c r="HRD44" s="1469"/>
      <c r="HRE44" s="1469"/>
      <c r="HRF44" s="1469"/>
      <c r="HRG44" s="1469"/>
      <c r="HRH44" s="1469"/>
      <c r="HRI44" s="1469"/>
      <c r="HRJ44" s="1469"/>
      <c r="HRK44" s="1469"/>
      <c r="HRL44" s="1469"/>
      <c r="HRM44" s="1469"/>
      <c r="HRN44" s="1469"/>
      <c r="HRO44" s="1469"/>
      <c r="HRP44" s="1469"/>
      <c r="HRQ44" s="1469"/>
      <c r="HRR44" s="1469"/>
      <c r="HRS44" s="1469"/>
      <c r="HRT44" s="1469"/>
      <c r="HRU44" s="1469"/>
      <c r="HRV44" s="1469"/>
      <c r="HRW44" s="1469"/>
      <c r="HRX44" s="1469"/>
      <c r="HRY44" s="1469"/>
      <c r="HRZ44" s="1469"/>
      <c r="HSA44" s="1469"/>
      <c r="HSB44" s="1469"/>
      <c r="HSC44" s="1469"/>
      <c r="HSD44" s="1469"/>
      <c r="HSE44" s="1469"/>
      <c r="HSF44" s="1469"/>
      <c r="HSG44" s="1469"/>
      <c r="HSH44" s="1469"/>
      <c r="HSI44" s="1469"/>
      <c r="HSJ44" s="1469"/>
      <c r="HSK44" s="1469"/>
      <c r="HSL44" s="1469"/>
      <c r="HSM44" s="1469"/>
      <c r="HSN44" s="1469"/>
      <c r="HSO44" s="1469"/>
      <c r="HSP44" s="1469"/>
      <c r="HSQ44" s="1469"/>
      <c r="HSR44" s="1469"/>
      <c r="HSS44" s="1469"/>
      <c r="HST44" s="1469"/>
      <c r="HSU44" s="1469"/>
      <c r="HSV44" s="1469"/>
      <c r="HSW44" s="1469"/>
      <c r="HSX44" s="1469"/>
      <c r="HSY44" s="1469"/>
      <c r="HSZ44" s="1469"/>
      <c r="HTA44" s="1469"/>
      <c r="HTB44" s="1469"/>
      <c r="HTC44" s="1469"/>
      <c r="HTD44" s="1469"/>
      <c r="HTE44" s="1469"/>
      <c r="HTF44" s="1469"/>
      <c r="HTG44" s="1469"/>
      <c r="HTH44" s="1469"/>
      <c r="HTI44" s="1469"/>
      <c r="HTJ44" s="1469"/>
      <c r="HTK44" s="1469"/>
      <c r="HTL44" s="1469"/>
      <c r="HTM44" s="1469"/>
      <c r="HTN44" s="1469"/>
      <c r="HTO44" s="1469"/>
      <c r="HTP44" s="1469"/>
      <c r="HTQ44" s="1469"/>
      <c r="HTR44" s="1469"/>
      <c r="HTS44" s="1469"/>
      <c r="HTT44" s="1469"/>
      <c r="HTU44" s="1469"/>
      <c r="HTV44" s="1469"/>
      <c r="HTW44" s="1469"/>
      <c r="HTX44" s="1469"/>
      <c r="HTY44" s="1469"/>
      <c r="HTZ44" s="1469"/>
      <c r="HUA44" s="1469"/>
      <c r="HUB44" s="1469"/>
      <c r="HUC44" s="1469"/>
      <c r="HUD44" s="1469"/>
      <c r="HUE44" s="1469"/>
      <c r="HUF44" s="1469"/>
      <c r="HUG44" s="1469"/>
      <c r="HUH44" s="1469"/>
      <c r="HUI44" s="1469"/>
      <c r="HUJ44" s="1469"/>
      <c r="HUK44" s="1469"/>
      <c r="HUL44" s="1469"/>
      <c r="HUM44" s="1469"/>
      <c r="HUN44" s="1469"/>
      <c r="HUO44" s="1469"/>
      <c r="HUP44" s="1469"/>
      <c r="HUQ44" s="1469"/>
      <c r="HUR44" s="1469"/>
      <c r="HUS44" s="1469"/>
      <c r="HUT44" s="1469"/>
      <c r="HUU44" s="1469"/>
      <c r="HUV44" s="1469"/>
      <c r="HUW44" s="1469"/>
      <c r="HUX44" s="1469"/>
      <c r="HUY44" s="1469"/>
      <c r="HUZ44" s="1469"/>
      <c r="HVA44" s="1469"/>
      <c r="HVB44" s="1469"/>
      <c r="HVC44" s="1469"/>
      <c r="HVD44" s="1469"/>
      <c r="HVE44" s="1469"/>
      <c r="HVF44" s="1469"/>
      <c r="HVG44" s="1469"/>
      <c r="HVH44" s="1469"/>
      <c r="HVI44" s="1469"/>
      <c r="HVJ44" s="1469"/>
      <c r="HVK44" s="1469"/>
      <c r="HVL44" s="1469"/>
      <c r="HVM44" s="1469"/>
      <c r="HVN44" s="1469"/>
      <c r="HVO44" s="1469"/>
      <c r="HVP44" s="1469"/>
      <c r="HVQ44" s="1469"/>
      <c r="HVR44" s="1469"/>
      <c r="HVS44" s="1469"/>
      <c r="HVT44" s="1469"/>
      <c r="HVU44" s="1469"/>
      <c r="HVV44" s="1469"/>
      <c r="HVW44" s="1469"/>
      <c r="HVX44" s="1469"/>
      <c r="HVY44" s="1469"/>
      <c r="HVZ44" s="1469"/>
      <c r="HWA44" s="1469"/>
      <c r="HWB44" s="1469"/>
      <c r="HWC44" s="1469"/>
      <c r="HWD44" s="1469"/>
      <c r="HWE44" s="1469"/>
      <c r="HWF44" s="1469"/>
      <c r="HWG44" s="1469"/>
      <c r="HWH44" s="1469"/>
      <c r="HWI44" s="1469"/>
      <c r="HWJ44" s="1469"/>
      <c r="HWK44" s="1469"/>
      <c r="HWL44" s="1469"/>
      <c r="HWM44" s="1469"/>
      <c r="HWN44" s="1469"/>
      <c r="HWO44" s="1469"/>
      <c r="HWP44" s="1469"/>
      <c r="HWQ44" s="1469"/>
      <c r="HWR44" s="1469"/>
      <c r="HWS44" s="1469"/>
      <c r="HWT44" s="1469"/>
      <c r="HWU44" s="1469"/>
      <c r="HWV44" s="1469"/>
      <c r="HWW44" s="1469"/>
      <c r="HWX44" s="1469"/>
      <c r="HWY44" s="1469"/>
      <c r="HWZ44" s="1469"/>
      <c r="HXA44" s="1469"/>
      <c r="HXB44" s="1469"/>
      <c r="HXC44" s="1469"/>
      <c r="HXD44" s="1469"/>
      <c r="HXE44" s="1469"/>
      <c r="HXF44" s="1469"/>
      <c r="HXG44" s="1469"/>
      <c r="HXH44" s="1469"/>
      <c r="HXI44" s="1469"/>
      <c r="HXJ44" s="1469"/>
      <c r="HXK44" s="1469"/>
      <c r="HXL44" s="1469"/>
      <c r="HXM44" s="1469"/>
      <c r="HXN44" s="1469"/>
      <c r="HXO44" s="1469"/>
      <c r="HXP44" s="1469"/>
      <c r="HXQ44" s="1469"/>
      <c r="HXR44" s="1469"/>
      <c r="HXS44" s="1469"/>
      <c r="HXT44" s="1469"/>
      <c r="HXU44" s="1469"/>
      <c r="HXV44" s="1469"/>
      <c r="HXW44" s="1469"/>
      <c r="HXX44" s="1469"/>
      <c r="HXY44" s="1469"/>
      <c r="HXZ44" s="1469"/>
      <c r="HYA44" s="1469"/>
      <c r="HYB44" s="1469"/>
      <c r="HYC44" s="1469"/>
      <c r="HYD44" s="1469"/>
      <c r="HYE44" s="1469"/>
      <c r="HYF44" s="1469"/>
      <c r="HYG44" s="1469"/>
      <c r="HYH44" s="1469"/>
      <c r="HYI44" s="1469"/>
      <c r="HYJ44" s="1469"/>
      <c r="HYK44" s="1469"/>
      <c r="HYL44" s="1469"/>
      <c r="HYM44" s="1469"/>
      <c r="HYN44" s="1469"/>
      <c r="HYO44" s="1469"/>
      <c r="HYP44" s="1469"/>
      <c r="HYQ44" s="1469"/>
      <c r="HYR44" s="1469"/>
      <c r="HYS44" s="1469"/>
      <c r="HYT44" s="1469"/>
      <c r="HYU44" s="1469"/>
      <c r="HYV44" s="1469"/>
      <c r="HYW44" s="1469"/>
      <c r="HYX44" s="1469"/>
      <c r="HYY44" s="1469"/>
      <c r="HYZ44" s="1469"/>
      <c r="HZA44" s="1469"/>
      <c r="HZB44" s="1469"/>
      <c r="HZC44" s="1469"/>
      <c r="HZD44" s="1469"/>
      <c r="HZE44" s="1469"/>
      <c r="HZF44" s="1469"/>
      <c r="HZG44" s="1469"/>
      <c r="HZH44" s="1469"/>
      <c r="HZI44" s="1469"/>
      <c r="HZJ44" s="1469"/>
      <c r="HZK44" s="1469"/>
      <c r="HZL44" s="1469"/>
      <c r="HZM44" s="1469"/>
      <c r="HZN44" s="1469"/>
      <c r="HZO44" s="1469"/>
      <c r="HZP44" s="1469"/>
      <c r="HZQ44" s="1469"/>
      <c r="HZR44" s="1469"/>
      <c r="HZS44" s="1469"/>
      <c r="HZT44" s="1469"/>
      <c r="HZU44" s="1469"/>
      <c r="HZV44" s="1469"/>
      <c r="HZW44" s="1469"/>
      <c r="HZX44" s="1469"/>
      <c r="HZY44" s="1469"/>
      <c r="HZZ44" s="1469"/>
      <c r="IAA44" s="1469"/>
      <c r="IAB44" s="1469"/>
      <c r="IAC44" s="1469"/>
      <c r="IAD44" s="1469"/>
      <c r="IAE44" s="1469"/>
      <c r="IAF44" s="1469"/>
      <c r="IAG44" s="1469"/>
      <c r="IAH44" s="1469"/>
      <c r="IAI44" s="1469"/>
      <c r="IAJ44" s="1469"/>
      <c r="IAK44" s="1469"/>
      <c r="IAL44" s="1469"/>
      <c r="IAM44" s="1469"/>
      <c r="IAN44" s="1469"/>
      <c r="IAO44" s="1469"/>
      <c r="IAP44" s="1469"/>
      <c r="IAQ44" s="1469"/>
      <c r="IAR44" s="1469"/>
      <c r="IAS44" s="1469"/>
      <c r="IAT44" s="1469"/>
      <c r="IAU44" s="1469"/>
      <c r="IAV44" s="1469"/>
      <c r="IAW44" s="1469"/>
      <c r="IAX44" s="1469"/>
      <c r="IAY44" s="1469"/>
      <c r="IAZ44" s="1469"/>
      <c r="IBA44" s="1469"/>
      <c r="IBB44" s="1469"/>
      <c r="IBC44" s="1469"/>
      <c r="IBD44" s="1469"/>
      <c r="IBE44" s="1469"/>
      <c r="IBF44" s="1469"/>
      <c r="IBG44" s="1469"/>
      <c r="IBH44" s="1469"/>
      <c r="IBI44" s="1469"/>
      <c r="IBJ44" s="1469"/>
      <c r="IBK44" s="1469"/>
      <c r="IBL44" s="1469"/>
      <c r="IBM44" s="1469"/>
      <c r="IBN44" s="1469"/>
      <c r="IBO44" s="1469"/>
      <c r="IBP44" s="1469"/>
      <c r="IBQ44" s="1469"/>
      <c r="IBR44" s="1469"/>
      <c r="IBS44" s="1469"/>
      <c r="IBT44" s="1469"/>
      <c r="IBU44" s="1469"/>
      <c r="IBV44" s="1469"/>
      <c r="IBW44" s="1469"/>
      <c r="IBX44" s="1469"/>
      <c r="IBY44" s="1469"/>
      <c r="IBZ44" s="1469"/>
      <c r="ICA44" s="1469"/>
      <c r="ICB44" s="1469"/>
      <c r="ICC44" s="1469"/>
      <c r="ICD44" s="1469"/>
      <c r="ICE44" s="1469"/>
      <c r="ICF44" s="1469"/>
      <c r="ICG44" s="1469"/>
      <c r="ICH44" s="1469"/>
      <c r="ICI44" s="1469"/>
      <c r="ICJ44" s="1469"/>
      <c r="ICK44" s="1469"/>
      <c r="ICL44" s="1469"/>
      <c r="ICM44" s="1469"/>
      <c r="ICN44" s="1469"/>
      <c r="ICO44" s="1469"/>
      <c r="ICP44" s="1469"/>
      <c r="ICQ44" s="1469"/>
      <c r="ICR44" s="1469"/>
      <c r="ICS44" s="1469"/>
      <c r="ICT44" s="1469"/>
      <c r="ICU44" s="1469"/>
      <c r="ICV44" s="1469"/>
      <c r="ICW44" s="1469"/>
      <c r="ICX44" s="1469"/>
      <c r="ICY44" s="1469"/>
      <c r="ICZ44" s="1469"/>
      <c r="IDA44" s="1469"/>
      <c r="IDB44" s="1469"/>
      <c r="IDC44" s="1469"/>
      <c r="IDD44" s="1469"/>
      <c r="IDE44" s="1469"/>
      <c r="IDF44" s="1469"/>
      <c r="IDG44" s="1469"/>
      <c r="IDH44" s="1469"/>
      <c r="IDI44" s="1469"/>
      <c r="IDJ44" s="1469"/>
      <c r="IDK44" s="1469"/>
      <c r="IDL44" s="1469"/>
      <c r="IDM44" s="1469"/>
      <c r="IDN44" s="1469"/>
      <c r="IDO44" s="1469"/>
      <c r="IDP44" s="1469"/>
      <c r="IDQ44" s="1469"/>
      <c r="IDR44" s="1469"/>
      <c r="IDS44" s="1469"/>
      <c r="IDT44" s="1469"/>
      <c r="IDU44" s="1469"/>
      <c r="IDV44" s="1469"/>
      <c r="IDW44" s="1469"/>
      <c r="IDX44" s="1469"/>
      <c r="IDY44" s="1469"/>
      <c r="IDZ44" s="1469"/>
      <c r="IEA44" s="1469"/>
      <c r="IEB44" s="1469"/>
      <c r="IEC44" s="1469"/>
      <c r="IED44" s="1469"/>
      <c r="IEE44" s="1469"/>
      <c r="IEF44" s="1469"/>
      <c r="IEG44" s="1469"/>
      <c r="IEH44" s="1469"/>
      <c r="IEI44" s="1469"/>
      <c r="IEJ44" s="1469"/>
      <c r="IEK44" s="1469"/>
      <c r="IEL44" s="1469"/>
      <c r="IEM44" s="1469"/>
      <c r="IEN44" s="1469"/>
      <c r="IEO44" s="1469"/>
      <c r="IEP44" s="1469"/>
      <c r="IEQ44" s="1469"/>
      <c r="IER44" s="1469"/>
      <c r="IES44" s="1469"/>
      <c r="IET44" s="1469"/>
      <c r="IEU44" s="1469"/>
      <c r="IEV44" s="1469"/>
      <c r="IEW44" s="1469"/>
      <c r="IEX44" s="1469"/>
      <c r="IEY44" s="1469"/>
      <c r="IEZ44" s="1469"/>
      <c r="IFA44" s="1469"/>
      <c r="IFB44" s="1469"/>
      <c r="IFC44" s="1469"/>
      <c r="IFD44" s="1469"/>
      <c r="IFE44" s="1469"/>
      <c r="IFF44" s="1469"/>
      <c r="IFG44" s="1469"/>
      <c r="IFH44" s="1469"/>
      <c r="IFI44" s="1469"/>
      <c r="IFJ44" s="1469"/>
      <c r="IFK44" s="1469"/>
      <c r="IFL44" s="1469"/>
      <c r="IFM44" s="1469"/>
      <c r="IFN44" s="1469"/>
      <c r="IFO44" s="1469"/>
      <c r="IFP44" s="1469"/>
      <c r="IFQ44" s="1469"/>
      <c r="IFR44" s="1469"/>
      <c r="IFS44" s="1469"/>
      <c r="IFT44" s="1469"/>
      <c r="IFU44" s="1469"/>
      <c r="IFV44" s="1469"/>
      <c r="IFW44" s="1469"/>
      <c r="IFX44" s="1469"/>
      <c r="IFY44" s="1469"/>
      <c r="IFZ44" s="1469"/>
      <c r="IGA44" s="1469"/>
      <c r="IGB44" s="1469"/>
      <c r="IGC44" s="1469"/>
      <c r="IGD44" s="1469"/>
      <c r="IGE44" s="1469"/>
      <c r="IGF44" s="1469"/>
      <c r="IGG44" s="1469"/>
      <c r="IGH44" s="1469"/>
      <c r="IGI44" s="1469"/>
      <c r="IGJ44" s="1469"/>
      <c r="IGK44" s="1469"/>
      <c r="IGL44" s="1469"/>
      <c r="IGM44" s="1469"/>
      <c r="IGN44" s="1469"/>
      <c r="IGO44" s="1469"/>
      <c r="IGP44" s="1469"/>
      <c r="IGQ44" s="1469"/>
      <c r="IGR44" s="1469"/>
      <c r="IGS44" s="1469"/>
      <c r="IGT44" s="1469"/>
      <c r="IGU44" s="1469"/>
      <c r="IGV44" s="1469"/>
      <c r="IGW44" s="1469"/>
      <c r="IGX44" s="1469"/>
      <c r="IGY44" s="1469"/>
      <c r="IGZ44" s="1469"/>
      <c r="IHA44" s="1469"/>
      <c r="IHB44" s="1469"/>
      <c r="IHC44" s="1469"/>
      <c r="IHD44" s="1469"/>
      <c r="IHE44" s="1469"/>
      <c r="IHF44" s="1469"/>
      <c r="IHG44" s="1469"/>
      <c r="IHH44" s="1469"/>
      <c r="IHI44" s="1469"/>
      <c r="IHJ44" s="1469"/>
      <c r="IHK44" s="1469"/>
      <c r="IHL44" s="1469"/>
      <c r="IHM44" s="1469"/>
      <c r="IHN44" s="1469"/>
      <c r="IHO44" s="1469"/>
      <c r="IHP44" s="1469"/>
      <c r="IHQ44" s="1469"/>
      <c r="IHR44" s="1469"/>
      <c r="IHS44" s="1469"/>
      <c r="IHT44" s="1469"/>
      <c r="IHU44" s="1469"/>
      <c r="IHV44" s="1469"/>
      <c r="IHW44" s="1469"/>
      <c r="IHX44" s="1469"/>
      <c r="IHY44" s="1469"/>
      <c r="IHZ44" s="1469"/>
      <c r="IIA44" s="1469"/>
      <c r="IIB44" s="1469"/>
      <c r="IIC44" s="1469"/>
      <c r="IID44" s="1469"/>
      <c r="IIE44" s="1469"/>
      <c r="IIF44" s="1469"/>
      <c r="IIG44" s="1469"/>
      <c r="IIH44" s="1469"/>
      <c r="III44" s="1469"/>
      <c r="IIJ44" s="1469"/>
      <c r="IIK44" s="1469"/>
      <c r="IIL44" s="1469"/>
      <c r="IIM44" s="1469"/>
      <c r="IIN44" s="1469"/>
      <c r="IIO44" s="1469"/>
      <c r="IIP44" s="1469"/>
      <c r="IIQ44" s="1469"/>
      <c r="IIR44" s="1469"/>
      <c r="IIS44" s="1469"/>
      <c r="IIT44" s="1469"/>
      <c r="IIU44" s="1469"/>
      <c r="IIV44" s="1469"/>
      <c r="IIW44" s="1469"/>
      <c r="IIX44" s="1469"/>
      <c r="IIY44" s="1469"/>
      <c r="IIZ44" s="1469"/>
      <c r="IJA44" s="1469"/>
      <c r="IJB44" s="1469"/>
      <c r="IJC44" s="1469"/>
      <c r="IJD44" s="1469"/>
      <c r="IJE44" s="1469"/>
      <c r="IJF44" s="1469"/>
      <c r="IJG44" s="1469"/>
      <c r="IJH44" s="1469"/>
      <c r="IJI44" s="1469"/>
      <c r="IJJ44" s="1469"/>
      <c r="IJK44" s="1469"/>
      <c r="IJL44" s="1469"/>
      <c r="IJM44" s="1469"/>
      <c r="IJN44" s="1469"/>
      <c r="IJO44" s="1469"/>
      <c r="IJP44" s="1469"/>
      <c r="IJQ44" s="1469"/>
      <c r="IJR44" s="1469"/>
      <c r="IJS44" s="1469"/>
      <c r="IJT44" s="1469"/>
      <c r="IJU44" s="1469"/>
      <c r="IJV44" s="1469"/>
      <c r="IJW44" s="1469"/>
      <c r="IJX44" s="1469"/>
      <c r="IJY44" s="1469"/>
      <c r="IJZ44" s="1469"/>
      <c r="IKA44" s="1469"/>
      <c r="IKB44" s="1469"/>
      <c r="IKC44" s="1469"/>
      <c r="IKD44" s="1469"/>
      <c r="IKE44" s="1469"/>
      <c r="IKF44" s="1469"/>
      <c r="IKG44" s="1469"/>
      <c r="IKH44" s="1469"/>
      <c r="IKI44" s="1469"/>
      <c r="IKJ44" s="1469"/>
      <c r="IKK44" s="1469"/>
      <c r="IKL44" s="1469"/>
      <c r="IKM44" s="1469"/>
      <c r="IKN44" s="1469"/>
      <c r="IKO44" s="1469"/>
      <c r="IKP44" s="1469"/>
      <c r="IKQ44" s="1469"/>
      <c r="IKR44" s="1469"/>
      <c r="IKS44" s="1469"/>
      <c r="IKT44" s="1469"/>
      <c r="IKU44" s="1469"/>
      <c r="IKV44" s="1469"/>
      <c r="IKW44" s="1469"/>
      <c r="IKX44" s="1469"/>
      <c r="IKY44" s="1469"/>
      <c r="IKZ44" s="1469"/>
      <c r="ILA44" s="1469"/>
      <c r="ILB44" s="1469"/>
      <c r="ILC44" s="1469"/>
      <c r="ILD44" s="1469"/>
      <c r="ILE44" s="1469"/>
      <c r="ILF44" s="1469"/>
      <c r="ILG44" s="1469"/>
      <c r="ILH44" s="1469"/>
      <c r="ILI44" s="1469"/>
      <c r="ILJ44" s="1469"/>
      <c r="ILK44" s="1469"/>
      <c r="ILL44" s="1469"/>
      <c r="ILM44" s="1469"/>
      <c r="ILN44" s="1469"/>
      <c r="ILO44" s="1469"/>
      <c r="ILP44" s="1469"/>
      <c r="ILQ44" s="1469"/>
      <c r="ILR44" s="1469"/>
      <c r="ILS44" s="1469"/>
      <c r="ILT44" s="1469"/>
      <c r="ILU44" s="1469"/>
      <c r="ILV44" s="1469"/>
      <c r="ILW44" s="1469"/>
      <c r="ILX44" s="1469"/>
      <c r="ILY44" s="1469"/>
      <c r="ILZ44" s="1469"/>
      <c r="IMA44" s="1469"/>
      <c r="IMB44" s="1469"/>
      <c r="IMC44" s="1469"/>
      <c r="IMD44" s="1469"/>
      <c r="IME44" s="1469"/>
      <c r="IMF44" s="1469"/>
      <c r="IMG44" s="1469"/>
      <c r="IMH44" s="1469"/>
      <c r="IMI44" s="1469"/>
      <c r="IMJ44" s="1469"/>
      <c r="IMK44" s="1469"/>
      <c r="IML44" s="1469"/>
      <c r="IMM44" s="1469"/>
      <c r="IMN44" s="1469"/>
      <c r="IMO44" s="1469"/>
      <c r="IMP44" s="1469"/>
      <c r="IMQ44" s="1469"/>
      <c r="IMR44" s="1469"/>
      <c r="IMS44" s="1469"/>
      <c r="IMT44" s="1469"/>
      <c r="IMU44" s="1469"/>
      <c r="IMV44" s="1469"/>
      <c r="IMW44" s="1469"/>
      <c r="IMX44" s="1469"/>
      <c r="IMY44" s="1469"/>
      <c r="IMZ44" s="1469"/>
      <c r="INA44" s="1469"/>
      <c r="INB44" s="1469"/>
      <c r="INC44" s="1469"/>
      <c r="IND44" s="1469"/>
      <c r="INE44" s="1469"/>
      <c r="INF44" s="1469"/>
      <c r="ING44" s="1469"/>
      <c r="INH44" s="1469"/>
      <c r="INI44" s="1469"/>
      <c r="INJ44" s="1469"/>
      <c r="INK44" s="1469"/>
      <c r="INL44" s="1469"/>
      <c r="INM44" s="1469"/>
      <c r="INN44" s="1469"/>
      <c r="INO44" s="1469"/>
      <c r="INP44" s="1469"/>
      <c r="INQ44" s="1469"/>
      <c r="INR44" s="1469"/>
      <c r="INS44" s="1469"/>
      <c r="INT44" s="1469"/>
      <c r="INU44" s="1469"/>
      <c r="INV44" s="1469"/>
      <c r="INW44" s="1469"/>
      <c r="INX44" s="1469"/>
      <c r="INY44" s="1469"/>
      <c r="INZ44" s="1469"/>
      <c r="IOA44" s="1469"/>
      <c r="IOB44" s="1469"/>
      <c r="IOC44" s="1469"/>
      <c r="IOD44" s="1469"/>
      <c r="IOE44" s="1469"/>
      <c r="IOF44" s="1469"/>
      <c r="IOG44" s="1469"/>
      <c r="IOH44" s="1469"/>
      <c r="IOI44" s="1469"/>
      <c r="IOJ44" s="1469"/>
      <c r="IOK44" s="1469"/>
      <c r="IOL44" s="1469"/>
      <c r="IOM44" s="1469"/>
      <c r="ION44" s="1469"/>
      <c r="IOO44" s="1469"/>
      <c r="IOP44" s="1469"/>
      <c r="IOQ44" s="1469"/>
      <c r="IOR44" s="1469"/>
      <c r="IOS44" s="1469"/>
      <c r="IOT44" s="1469"/>
      <c r="IOU44" s="1469"/>
      <c r="IOV44" s="1469"/>
      <c r="IOW44" s="1469"/>
      <c r="IOX44" s="1469"/>
      <c r="IOY44" s="1469"/>
      <c r="IOZ44" s="1469"/>
      <c r="IPA44" s="1469"/>
      <c r="IPB44" s="1469"/>
      <c r="IPC44" s="1469"/>
      <c r="IPD44" s="1469"/>
      <c r="IPE44" s="1469"/>
      <c r="IPF44" s="1469"/>
      <c r="IPG44" s="1469"/>
      <c r="IPH44" s="1469"/>
      <c r="IPI44" s="1469"/>
      <c r="IPJ44" s="1469"/>
      <c r="IPK44" s="1469"/>
      <c r="IPL44" s="1469"/>
      <c r="IPM44" s="1469"/>
      <c r="IPN44" s="1469"/>
      <c r="IPO44" s="1469"/>
      <c r="IPP44" s="1469"/>
      <c r="IPQ44" s="1469"/>
      <c r="IPR44" s="1469"/>
      <c r="IPS44" s="1469"/>
      <c r="IPT44" s="1469"/>
      <c r="IPU44" s="1469"/>
      <c r="IPV44" s="1469"/>
      <c r="IPW44" s="1469"/>
      <c r="IPX44" s="1469"/>
      <c r="IPY44" s="1469"/>
      <c r="IPZ44" s="1469"/>
      <c r="IQA44" s="1469"/>
      <c r="IQB44" s="1469"/>
      <c r="IQC44" s="1469"/>
      <c r="IQD44" s="1469"/>
      <c r="IQE44" s="1469"/>
      <c r="IQF44" s="1469"/>
      <c r="IQG44" s="1469"/>
      <c r="IQH44" s="1469"/>
      <c r="IQI44" s="1469"/>
      <c r="IQJ44" s="1469"/>
      <c r="IQK44" s="1469"/>
      <c r="IQL44" s="1469"/>
      <c r="IQM44" s="1469"/>
      <c r="IQN44" s="1469"/>
      <c r="IQO44" s="1469"/>
      <c r="IQP44" s="1469"/>
      <c r="IQQ44" s="1469"/>
      <c r="IQR44" s="1469"/>
      <c r="IQS44" s="1469"/>
      <c r="IQT44" s="1469"/>
      <c r="IQU44" s="1469"/>
      <c r="IQV44" s="1469"/>
      <c r="IQW44" s="1469"/>
      <c r="IQX44" s="1469"/>
      <c r="IQY44" s="1469"/>
      <c r="IQZ44" s="1469"/>
      <c r="IRA44" s="1469"/>
      <c r="IRB44" s="1469"/>
      <c r="IRC44" s="1469"/>
      <c r="IRD44" s="1469"/>
      <c r="IRE44" s="1469"/>
      <c r="IRF44" s="1469"/>
      <c r="IRG44" s="1469"/>
      <c r="IRH44" s="1469"/>
      <c r="IRI44" s="1469"/>
      <c r="IRJ44" s="1469"/>
      <c r="IRK44" s="1469"/>
      <c r="IRL44" s="1469"/>
      <c r="IRM44" s="1469"/>
      <c r="IRN44" s="1469"/>
      <c r="IRO44" s="1469"/>
      <c r="IRP44" s="1469"/>
      <c r="IRQ44" s="1469"/>
      <c r="IRR44" s="1469"/>
      <c r="IRS44" s="1469"/>
      <c r="IRT44" s="1469"/>
      <c r="IRU44" s="1469"/>
      <c r="IRV44" s="1469"/>
      <c r="IRW44" s="1469"/>
      <c r="IRX44" s="1469"/>
      <c r="IRY44" s="1469"/>
      <c r="IRZ44" s="1469"/>
      <c r="ISA44" s="1469"/>
      <c r="ISB44" s="1469"/>
      <c r="ISC44" s="1469"/>
      <c r="ISD44" s="1469"/>
      <c r="ISE44" s="1469"/>
      <c r="ISF44" s="1469"/>
      <c r="ISG44" s="1469"/>
      <c r="ISH44" s="1469"/>
      <c r="ISI44" s="1469"/>
      <c r="ISJ44" s="1469"/>
      <c r="ISK44" s="1469"/>
      <c r="ISL44" s="1469"/>
      <c r="ISM44" s="1469"/>
      <c r="ISN44" s="1469"/>
      <c r="ISO44" s="1469"/>
      <c r="ISP44" s="1469"/>
      <c r="ISQ44" s="1469"/>
      <c r="ISR44" s="1469"/>
      <c r="ISS44" s="1469"/>
      <c r="IST44" s="1469"/>
      <c r="ISU44" s="1469"/>
      <c r="ISV44" s="1469"/>
      <c r="ISW44" s="1469"/>
      <c r="ISX44" s="1469"/>
      <c r="ISY44" s="1469"/>
      <c r="ISZ44" s="1469"/>
      <c r="ITA44" s="1469"/>
      <c r="ITB44" s="1469"/>
      <c r="ITC44" s="1469"/>
      <c r="ITD44" s="1469"/>
      <c r="ITE44" s="1469"/>
      <c r="ITF44" s="1469"/>
      <c r="ITG44" s="1469"/>
      <c r="ITH44" s="1469"/>
      <c r="ITI44" s="1469"/>
      <c r="ITJ44" s="1469"/>
      <c r="ITK44" s="1469"/>
      <c r="ITL44" s="1469"/>
      <c r="ITM44" s="1469"/>
      <c r="ITN44" s="1469"/>
      <c r="ITO44" s="1469"/>
      <c r="ITP44" s="1469"/>
      <c r="ITQ44" s="1469"/>
      <c r="ITR44" s="1469"/>
      <c r="ITS44" s="1469"/>
      <c r="ITT44" s="1469"/>
      <c r="ITU44" s="1469"/>
      <c r="ITV44" s="1469"/>
      <c r="ITW44" s="1469"/>
      <c r="ITX44" s="1469"/>
      <c r="ITY44" s="1469"/>
      <c r="ITZ44" s="1469"/>
      <c r="IUA44" s="1469"/>
      <c r="IUB44" s="1469"/>
      <c r="IUC44" s="1469"/>
      <c r="IUD44" s="1469"/>
      <c r="IUE44" s="1469"/>
      <c r="IUF44" s="1469"/>
      <c r="IUG44" s="1469"/>
      <c r="IUH44" s="1469"/>
      <c r="IUI44" s="1469"/>
      <c r="IUJ44" s="1469"/>
      <c r="IUK44" s="1469"/>
      <c r="IUL44" s="1469"/>
      <c r="IUM44" s="1469"/>
      <c r="IUN44" s="1469"/>
      <c r="IUO44" s="1469"/>
      <c r="IUP44" s="1469"/>
      <c r="IUQ44" s="1469"/>
      <c r="IUR44" s="1469"/>
      <c r="IUS44" s="1469"/>
      <c r="IUT44" s="1469"/>
      <c r="IUU44" s="1469"/>
      <c r="IUV44" s="1469"/>
      <c r="IUW44" s="1469"/>
      <c r="IUX44" s="1469"/>
      <c r="IUY44" s="1469"/>
      <c r="IUZ44" s="1469"/>
      <c r="IVA44" s="1469"/>
      <c r="IVB44" s="1469"/>
      <c r="IVC44" s="1469"/>
      <c r="IVD44" s="1469"/>
      <c r="IVE44" s="1469"/>
      <c r="IVF44" s="1469"/>
      <c r="IVG44" s="1469"/>
      <c r="IVH44" s="1469"/>
      <c r="IVI44" s="1469"/>
      <c r="IVJ44" s="1469"/>
      <c r="IVK44" s="1469"/>
      <c r="IVL44" s="1469"/>
      <c r="IVM44" s="1469"/>
      <c r="IVN44" s="1469"/>
      <c r="IVO44" s="1469"/>
      <c r="IVP44" s="1469"/>
      <c r="IVQ44" s="1469"/>
      <c r="IVR44" s="1469"/>
      <c r="IVS44" s="1469"/>
      <c r="IVT44" s="1469"/>
      <c r="IVU44" s="1469"/>
      <c r="IVV44" s="1469"/>
      <c r="IVW44" s="1469"/>
      <c r="IVX44" s="1469"/>
      <c r="IVY44" s="1469"/>
      <c r="IVZ44" s="1469"/>
      <c r="IWA44" s="1469"/>
      <c r="IWB44" s="1469"/>
      <c r="IWC44" s="1469"/>
      <c r="IWD44" s="1469"/>
      <c r="IWE44" s="1469"/>
      <c r="IWF44" s="1469"/>
      <c r="IWG44" s="1469"/>
      <c r="IWH44" s="1469"/>
      <c r="IWI44" s="1469"/>
      <c r="IWJ44" s="1469"/>
      <c r="IWK44" s="1469"/>
      <c r="IWL44" s="1469"/>
      <c r="IWM44" s="1469"/>
      <c r="IWN44" s="1469"/>
      <c r="IWO44" s="1469"/>
      <c r="IWP44" s="1469"/>
      <c r="IWQ44" s="1469"/>
      <c r="IWR44" s="1469"/>
      <c r="IWS44" s="1469"/>
      <c r="IWT44" s="1469"/>
      <c r="IWU44" s="1469"/>
      <c r="IWV44" s="1469"/>
      <c r="IWW44" s="1469"/>
      <c r="IWX44" s="1469"/>
      <c r="IWY44" s="1469"/>
      <c r="IWZ44" s="1469"/>
      <c r="IXA44" s="1469"/>
      <c r="IXB44" s="1469"/>
      <c r="IXC44" s="1469"/>
      <c r="IXD44" s="1469"/>
      <c r="IXE44" s="1469"/>
      <c r="IXF44" s="1469"/>
      <c r="IXG44" s="1469"/>
      <c r="IXH44" s="1469"/>
      <c r="IXI44" s="1469"/>
      <c r="IXJ44" s="1469"/>
      <c r="IXK44" s="1469"/>
      <c r="IXL44" s="1469"/>
      <c r="IXM44" s="1469"/>
      <c r="IXN44" s="1469"/>
      <c r="IXO44" s="1469"/>
      <c r="IXP44" s="1469"/>
      <c r="IXQ44" s="1469"/>
      <c r="IXR44" s="1469"/>
      <c r="IXS44" s="1469"/>
      <c r="IXT44" s="1469"/>
      <c r="IXU44" s="1469"/>
      <c r="IXV44" s="1469"/>
      <c r="IXW44" s="1469"/>
      <c r="IXX44" s="1469"/>
      <c r="IXY44" s="1469"/>
      <c r="IXZ44" s="1469"/>
      <c r="IYA44" s="1469"/>
      <c r="IYB44" s="1469"/>
      <c r="IYC44" s="1469"/>
      <c r="IYD44" s="1469"/>
      <c r="IYE44" s="1469"/>
      <c r="IYF44" s="1469"/>
      <c r="IYG44" s="1469"/>
      <c r="IYH44" s="1469"/>
      <c r="IYI44" s="1469"/>
      <c r="IYJ44" s="1469"/>
      <c r="IYK44" s="1469"/>
      <c r="IYL44" s="1469"/>
      <c r="IYM44" s="1469"/>
      <c r="IYN44" s="1469"/>
      <c r="IYO44" s="1469"/>
      <c r="IYP44" s="1469"/>
      <c r="IYQ44" s="1469"/>
      <c r="IYR44" s="1469"/>
      <c r="IYS44" s="1469"/>
      <c r="IYT44" s="1469"/>
      <c r="IYU44" s="1469"/>
      <c r="IYV44" s="1469"/>
      <c r="IYW44" s="1469"/>
      <c r="IYX44" s="1469"/>
      <c r="IYY44" s="1469"/>
      <c r="IYZ44" s="1469"/>
      <c r="IZA44" s="1469"/>
      <c r="IZB44" s="1469"/>
      <c r="IZC44" s="1469"/>
      <c r="IZD44" s="1469"/>
      <c r="IZE44" s="1469"/>
      <c r="IZF44" s="1469"/>
      <c r="IZG44" s="1469"/>
      <c r="IZH44" s="1469"/>
      <c r="IZI44" s="1469"/>
      <c r="IZJ44" s="1469"/>
      <c r="IZK44" s="1469"/>
      <c r="IZL44" s="1469"/>
      <c r="IZM44" s="1469"/>
      <c r="IZN44" s="1469"/>
      <c r="IZO44" s="1469"/>
      <c r="IZP44" s="1469"/>
      <c r="IZQ44" s="1469"/>
      <c r="IZR44" s="1469"/>
      <c r="IZS44" s="1469"/>
      <c r="IZT44" s="1469"/>
      <c r="IZU44" s="1469"/>
      <c r="IZV44" s="1469"/>
      <c r="IZW44" s="1469"/>
      <c r="IZX44" s="1469"/>
      <c r="IZY44" s="1469"/>
      <c r="IZZ44" s="1469"/>
      <c r="JAA44" s="1469"/>
      <c r="JAB44" s="1469"/>
      <c r="JAC44" s="1469"/>
      <c r="JAD44" s="1469"/>
      <c r="JAE44" s="1469"/>
      <c r="JAF44" s="1469"/>
      <c r="JAG44" s="1469"/>
      <c r="JAH44" s="1469"/>
      <c r="JAI44" s="1469"/>
      <c r="JAJ44" s="1469"/>
      <c r="JAK44" s="1469"/>
      <c r="JAL44" s="1469"/>
      <c r="JAM44" s="1469"/>
      <c r="JAN44" s="1469"/>
      <c r="JAO44" s="1469"/>
      <c r="JAP44" s="1469"/>
      <c r="JAQ44" s="1469"/>
      <c r="JAR44" s="1469"/>
      <c r="JAS44" s="1469"/>
      <c r="JAT44" s="1469"/>
      <c r="JAU44" s="1469"/>
      <c r="JAV44" s="1469"/>
      <c r="JAW44" s="1469"/>
      <c r="JAX44" s="1469"/>
      <c r="JAY44" s="1469"/>
      <c r="JAZ44" s="1469"/>
      <c r="JBA44" s="1469"/>
      <c r="JBB44" s="1469"/>
      <c r="JBC44" s="1469"/>
      <c r="JBD44" s="1469"/>
      <c r="JBE44" s="1469"/>
      <c r="JBF44" s="1469"/>
      <c r="JBG44" s="1469"/>
      <c r="JBH44" s="1469"/>
      <c r="JBI44" s="1469"/>
      <c r="JBJ44" s="1469"/>
      <c r="JBK44" s="1469"/>
      <c r="JBL44" s="1469"/>
      <c r="JBM44" s="1469"/>
      <c r="JBN44" s="1469"/>
      <c r="JBO44" s="1469"/>
      <c r="JBP44" s="1469"/>
      <c r="JBQ44" s="1469"/>
      <c r="JBR44" s="1469"/>
      <c r="JBS44" s="1469"/>
      <c r="JBT44" s="1469"/>
      <c r="JBU44" s="1469"/>
      <c r="JBV44" s="1469"/>
      <c r="JBW44" s="1469"/>
      <c r="JBX44" s="1469"/>
      <c r="JBY44" s="1469"/>
      <c r="JBZ44" s="1469"/>
      <c r="JCA44" s="1469"/>
      <c r="JCB44" s="1469"/>
      <c r="JCC44" s="1469"/>
      <c r="JCD44" s="1469"/>
      <c r="JCE44" s="1469"/>
      <c r="JCF44" s="1469"/>
      <c r="JCG44" s="1469"/>
      <c r="JCH44" s="1469"/>
      <c r="JCI44" s="1469"/>
      <c r="JCJ44" s="1469"/>
      <c r="JCK44" s="1469"/>
      <c r="JCL44" s="1469"/>
      <c r="JCM44" s="1469"/>
      <c r="JCN44" s="1469"/>
      <c r="JCO44" s="1469"/>
      <c r="JCP44" s="1469"/>
      <c r="JCQ44" s="1469"/>
      <c r="JCR44" s="1469"/>
      <c r="JCS44" s="1469"/>
      <c r="JCT44" s="1469"/>
      <c r="JCU44" s="1469"/>
      <c r="JCV44" s="1469"/>
      <c r="JCW44" s="1469"/>
      <c r="JCX44" s="1469"/>
      <c r="JCY44" s="1469"/>
      <c r="JCZ44" s="1469"/>
      <c r="JDA44" s="1469"/>
      <c r="JDB44" s="1469"/>
      <c r="JDC44" s="1469"/>
      <c r="JDD44" s="1469"/>
      <c r="JDE44" s="1469"/>
      <c r="JDF44" s="1469"/>
      <c r="JDG44" s="1469"/>
      <c r="JDH44" s="1469"/>
      <c r="JDI44" s="1469"/>
      <c r="JDJ44" s="1469"/>
      <c r="JDK44" s="1469"/>
      <c r="JDL44" s="1469"/>
      <c r="JDM44" s="1469"/>
      <c r="JDN44" s="1469"/>
      <c r="JDO44" s="1469"/>
      <c r="JDP44" s="1469"/>
      <c r="JDQ44" s="1469"/>
      <c r="JDR44" s="1469"/>
      <c r="JDS44" s="1469"/>
      <c r="JDT44" s="1469"/>
      <c r="JDU44" s="1469"/>
      <c r="JDV44" s="1469"/>
      <c r="JDW44" s="1469"/>
      <c r="JDX44" s="1469"/>
      <c r="JDY44" s="1469"/>
      <c r="JDZ44" s="1469"/>
      <c r="JEA44" s="1469"/>
      <c r="JEB44" s="1469"/>
      <c r="JEC44" s="1469"/>
      <c r="JED44" s="1469"/>
      <c r="JEE44" s="1469"/>
      <c r="JEF44" s="1469"/>
      <c r="JEG44" s="1469"/>
      <c r="JEH44" s="1469"/>
      <c r="JEI44" s="1469"/>
      <c r="JEJ44" s="1469"/>
      <c r="JEK44" s="1469"/>
      <c r="JEL44" s="1469"/>
      <c r="JEM44" s="1469"/>
      <c r="JEN44" s="1469"/>
      <c r="JEO44" s="1469"/>
      <c r="JEP44" s="1469"/>
      <c r="JEQ44" s="1469"/>
      <c r="JER44" s="1469"/>
      <c r="JES44" s="1469"/>
      <c r="JET44" s="1469"/>
      <c r="JEU44" s="1469"/>
      <c r="JEV44" s="1469"/>
      <c r="JEW44" s="1469"/>
      <c r="JEX44" s="1469"/>
      <c r="JEY44" s="1469"/>
      <c r="JEZ44" s="1469"/>
      <c r="JFA44" s="1469"/>
      <c r="JFB44" s="1469"/>
      <c r="JFC44" s="1469"/>
      <c r="JFD44" s="1469"/>
      <c r="JFE44" s="1469"/>
      <c r="JFF44" s="1469"/>
      <c r="JFG44" s="1469"/>
      <c r="JFH44" s="1469"/>
      <c r="JFI44" s="1469"/>
      <c r="JFJ44" s="1469"/>
      <c r="JFK44" s="1469"/>
      <c r="JFL44" s="1469"/>
      <c r="JFM44" s="1469"/>
      <c r="JFN44" s="1469"/>
      <c r="JFO44" s="1469"/>
      <c r="JFP44" s="1469"/>
      <c r="JFQ44" s="1469"/>
      <c r="JFR44" s="1469"/>
      <c r="JFS44" s="1469"/>
      <c r="JFT44" s="1469"/>
      <c r="JFU44" s="1469"/>
      <c r="JFV44" s="1469"/>
      <c r="JFW44" s="1469"/>
      <c r="JFX44" s="1469"/>
      <c r="JFY44" s="1469"/>
      <c r="JFZ44" s="1469"/>
      <c r="JGA44" s="1469"/>
      <c r="JGB44" s="1469"/>
      <c r="JGC44" s="1469"/>
      <c r="JGD44" s="1469"/>
      <c r="JGE44" s="1469"/>
      <c r="JGF44" s="1469"/>
      <c r="JGG44" s="1469"/>
      <c r="JGH44" s="1469"/>
      <c r="JGI44" s="1469"/>
      <c r="JGJ44" s="1469"/>
      <c r="JGK44" s="1469"/>
      <c r="JGL44" s="1469"/>
      <c r="JGM44" s="1469"/>
      <c r="JGN44" s="1469"/>
      <c r="JGO44" s="1469"/>
      <c r="JGP44" s="1469"/>
      <c r="JGQ44" s="1469"/>
      <c r="JGR44" s="1469"/>
      <c r="JGS44" s="1469"/>
      <c r="JGT44" s="1469"/>
      <c r="JGU44" s="1469"/>
      <c r="JGV44" s="1469"/>
      <c r="JGW44" s="1469"/>
      <c r="JGX44" s="1469"/>
      <c r="JGY44" s="1469"/>
      <c r="JGZ44" s="1469"/>
      <c r="JHA44" s="1469"/>
      <c r="JHB44" s="1469"/>
      <c r="JHC44" s="1469"/>
      <c r="JHD44" s="1469"/>
      <c r="JHE44" s="1469"/>
      <c r="JHF44" s="1469"/>
      <c r="JHG44" s="1469"/>
      <c r="JHH44" s="1469"/>
      <c r="JHI44" s="1469"/>
      <c r="JHJ44" s="1469"/>
      <c r="JHK44" s="1469"/>
      <c r="JHL44" s="1469"/>
      <c r="JHM44" s="1469"/>
      <c r="JHN44" s="1469"/>
      <c r="JHO44" s="1469"/>
      <c r="JHP44" s="1469"/>
      <c r="JHQ44" s="1469"/>
      <c r="JHR44" s="1469"/>
      <c r="JHS44" s="1469"/>
      <c r="JHT44" s="1469"/>
      <c r="JHU44" s="1469"/>
      <c r="JHV44" s="1469"/>
      <c r="JHW44" s="1469"/>
      <c r="JHX44" s="1469"/>
      <c r="JHY44" s="1469"/>
      <c r="JHZ44" s="1469"/>
      <c r="JIA44" s="1469"/>
      <c r="JIB44" s="1469"/>
      <c r="JIC44" s="1469"/>
      <c r="JID44" s="1469"/>
      <c r="JIE44" s="1469"/>
      <c r="JIF44" s="1469"/>
      <c r="JIG44" s="1469"/>
      <c r="JIH44" s="1469"/>
      <c r="JII44" s="1469"/>
      <c r="JIJ44" s="1469"/>
      <c r="JIK44" s="1469"/>
      <c r="JIL44" s="1469"/>
      <c r="JIM44" s="1469"/>
      <c r="JIN44" s="1469"/>
      <c r="JIO44" s="1469"/>
      <c r="JIP44" s="1469"/>
      <c r="JIQ44" s="1469"/>
      <c r="JIR44" s="1469"/>
      <c r="JIS44" s="1469"/>
      <c r="JIT44" s="1469"/>
      <c r="JIU44" s="1469"/>
      <c r="JIV44" s="1469"/>
      <c r="JIW44" s="1469"/>
      <c r="JIX44" s="1469"/>
      <c r="JIY44" s="1469"/>
      <c r="JIZ44" s="1469"/>
      <c r="JJA44" s="1469"/>
      <c r="JJB44" s="1469"/>
      <c r="JJC44" s="1469"/>
      <c r="JJD44" s="1469"/>
      <c r="JJE44" s="1469"/>
      <c r="JJF44" s="1469"/>
      <c r="JJG44" s="1469"/>
      <c r="JJH44" s="1469"/>
      <c r="JJI44" s="1469"/>
      <c r="JJJ44" s="1469"/>
      <c r="JJK44" s="1469"/>
      <c r="JJL44" s="1469"/>
      <c r="JJM44" s="1469"/>
      <c r="JJN44" s="1469"/>
      <c r="JJO44" s="1469"/>
      <c r="JJP44" s="1469"/>
      <c r="JJQ44" s="1469"/>
      <c r="JJR44" s="1469"/>
      <c r="JJS44" s="1469"/>
      <c r="JJT44" s="1469"/>
      <c r="JJU44" s="1469"/>
      <c r="JJV44" s="1469"/>
      <c r="JJW44" s="1469"/>
      <c r="JJX44" s="1469"/>
      <c r="JJY44" s="1469"/>
      <c r="JJZ44" s="1469"/>
      <c r="JKA44" s="1469"/>
      <c r="JKB44" s="1469"/>
      <c r="JKC44" s="1469"/>
      <c r="JKD44" s="1469"/>
      <c r="JKE44" s="1469"/>
      <c r="JKF44" s="1469"/>
      <c r="JKG44" s="1469"/>
      <c r="JKH44" s="1469"/>
      <c r="JKI44" s="1469"/>
      <c r="JKJ44" s="1469"/>
      <c r="JKK44" s="1469"/>
      <c r="JKL44" s="1469"/>
      <c r="JKM44" s="1469"/>
      <c r="JKN44" s="1469"/>
      <c r="JKO44" s="1469"/>
      <c r="JKP44" s="1469"/>
      <c r="JKQ44" s="1469"/>
      <c r="JKR44" s="1469"/>
      <c r="JKS44" s="1469"/>
      <c r="JKT44" s="1469"/>
      <c r="JKU44" s="1469"/>
      <c r="JKV44" s="1469"/>
      <c r="JKW44" s="1469"/>
      <c r="JKX44" s="1469"/>
      <c r="JKY44" s="1469"/>
      <c r="JKZ44" s="1469"/>
      <c r="JLA44" s="1469"/>
      <c r="JLB44" s="1469"/>
      <c r="JLC44" s="1469"/>
      <c r="JLD44" s="1469"/>
      <c r="JLE44" s="1469"/>
      <c r="JLF44" s="1469"/>
      <c r="JLG44" s="1469"/>
      <c r="JLH44" s="1469"/>
      <c r="JLI44" s="1469"/>
      <c r="JLJ44" s="1469"/>
      <c r="JLK44" s="1469"/>
      <c r="JLL44" s="1469"/>
      <c r="JLM44" s="1469"/>
      <c r="JLN44" s="1469"/>
      <c r="JLO44" s="1469"/>
      <c r="JLP44" s="1469"/>
      <c r="JLQ44" s="1469"/>
      <c r="JLR44" s="1469"/>
      <c r="JLS44" s="1469"/>
      <c r="JLT44" s="1469"/>
      <c r="JLU44" s="1469"/>
      <c r="JLV44" s="1469"/>
      <c r="JLW44" s="1469"/>
      <c r="JLX44" s="1469"/>
      <c r="JLY44" s="1469"/>
      <c r="JLZ44" s="1469"/>
      <c r="JMA44" s="1469"/>
      <c r="JMB44" s="1469"/>
      <c r="JMC44" s="1469"/>
      <c r="JMD44" s="1469"/>
      <c r="JME44" s="1469"/>
      <c r="JMF44" s="1469"/>
      <c r="JMG44" s="1469"/>
      <c r="JMH44" s="1469"/>
      <c r="JMI44" s="1469"/>
      <c r="JMJ44" s="1469"/>
      <c r="JMK44" s="1469"/>
      <c r="JML44" s="1469"/>
      <c r="JMM44" s="1469"/>
      <c r="JMN44" s="1469"/>
      <c r="JMO44" s="1469"/>
      <c r="JMP44" s="1469"/>
      <c r="JMQ44" s="1469"/>
      <c r="JMR44" s="1469"/>
      <c r="JMS44" s="1469"/>
      <c r="JMT44" s="1469"/>
      <c r="JMU44" s="1469"/>
      <c r="JMV44" s="1469"/>
      <c r="JMW44" s="1469"/>
      <c r="JMX44" s="1469"/>
      <c r="JMY44" s="1469"/>
      <c r="JMZ44" s="1469"/>
      <c r="JNA44" s="1469"/>
      <c r="JNB44" s="1469"/>
      <c r="JNC44" s="1469"/>
      <c r="JND44" s="1469"/>
      <c r="JNE44" s="1469"/>
      <c r="JNF44" s="1469"/>
      <c r="JNG44" s="1469"/>
      <c r="JNH44" s="1469"/>
      <c r="JNI44" s="1469"/>
      <c r="JNJ44" s="1469"/>
      <c r="JNK44" s="1469"/>
      <c r="JNL44" s="1469"/>
      <c r="JNM44" s="1469"/>
      <c r="JNN44" s="1469"/>
      <c r="JNO44" s="1469"/>
      <c r="JNP44" s="1469"/>
      <c r="JNQ44" s="1469"/>
      <c r="JNR44" s="1469"/>
      <c r="JNS44" s="1469"/>
      <c r="JNT44" s="1469"/>
      <c r="JNU44" s="1469"/>
      <c r="JNV44" s="1469"/>
      <c r="JNW44" s="1469"/>
      <c r="JNX44" s="1469"/>
      <c r="JNY44" s="1469"/>
      <c r="JNZ44" s="1469"/>
      <c r="JOA44" s="1469"/>
      <c r="JOB44" s="1469"/>
      <c r="JOC44" s="1469"/>
      <c r="JOD44" s="1469"/>
      <c r="JOE44" s="1469"/>
      <c r="JOF44" s="1469"/>
      <c r="JOG44" s="1469"/>
      <c r="JOH44" s="1469"/>
      <c r="JOI44" s="1469"/>
      <c r="JOJ44" s="1469"/>
      <c r="JOK44" s="1469"/>
      <c r="JOL44" s="1469"/>
      <c r="JOM44" s="1469"/>
      <c r="JON44" s="1469"/>
      <c r="JOO44" s="1469"/>
      <c r="JOP44" s="1469"/>
      <c r="JOQ44" s="1469"/>
      <c r="JOR44" s="1469"/>
      <c r="JOS44" s="1469"/>
      <c r="JOT44" s="1469"/>
      <c r="JOU44" s="1469"/>
      <c r="JOV44" s="1469"/>
      <c r="JOW44" s="1469"/>
      <c r="JOX44" s="1469"/>
      <c r="JOY44" s="1469"/>
      <c r="JOZ44" s="1469"/>
      <c r="JPA44" s="1469"/>
      <c r="JPB44" s="1469"/>
      <c r="JPC44" s="1469"/>
      <c r="JPD44" s="1469"/>
      <c r="JPE44" s="1469"/>
      <c r="JPF44" s="1469"/>
      <c r="JPG44" s="1469"/>
      <c r="JPH44" s="1469"/>
      <c r="JPI44" s="1469"/>
      <c r="JPJ44" s="1469"/>
      <c r="JPK44" s="1469"/>
      <c r="JPL44" s="1469"/>
      <c r="JPM44" s="1469"/>
      <c r="JPN44" s="1469"/>
      <c r="JPO44" s="1469"/>
      <c r="JPP44" s="1469"/>
      <c r="JPQ44" s="1469"/>
      <c r="JPR44" s="1469"/>
      <c r="JPS44" s="1469"/>
      <c r="JPT44" s="1469"/>
      <c r="JPU44" s="1469"/>
      <c r="JPV44" s="1469"/>
      <c r="JPW44" s="1469"/>
      <c r="JPX44" s="1469"/>
      <c r="JPY44" s="1469"/>
      <c r="JPZ44" s="1469"/>
      <c r="JQA44" s="1469"/>
      <c r="JQB44" s="1469"/>
      <c r="JQC44" s="1469"/>
      <c r="JQD44" s="1469"/>
      <c r="JQE44" s="1469"/>
      <c r="JQF44" s="1469"/>
      <c r="JQG44" s="1469"/>
      <c r="JQH44" s="1469"/>
      <c r="JQI44" s="1469"/>
      <c r="JQJ44" s="1469"/>
      <c r="JQK44" s="1469"/>
      <c r="JQL44" s="1469"/>
      <c r="JQM44" s="1469"/>
      <c r="JQN44" s="1469"/>
      <c r="JQO44" s="1469"/>
      <c r="JQP44" s="1469"/>
      <c r="JQQ44" s="1469"/>
      <c r="JQR44" s="1469"/>
      <c r="JQS44" s="1469"/>
      <c r="JQT44" s="1469"/>
      <c r="JQU44" s="1469"/>
      <c r="JQV44" s="1469"/>
      <c r="JQW44" s="1469"/>
      <c r="JQX44" s="1469"/>
      <c r="JQY44" s="1469"/>
      <c r="JQZ44" s="1469"/>
      <c r="JRA44" s="1469"/>
      <c r="JRB44" s="1469"/>
      <c r="JRC44" s="1469"/>
      <c r="JRD44" s="1469"/>
      <c r="JRE44" s="1469"/>
      <c r="JRF44" s="1469"/>
      <c r="JRG44" s="1469"/>
      <c r="JRH44" s="1469"/>
      <c r="JRI44" s="1469"/>
      <c r="JRJ44" s="1469"/>
      <c r="JRK44" s="1469"/>
      <c r="JRL44" s="1469"/>
      <c r="JRM44" s="1469"/>
      <c r="JRN44" s="1469"/>
      <c r="JRO44" s="1469"/>
      <c r="JRP44" s="1469"/>
      <c r="JRQ44" s="1469"/>
      <c r="JRR44" s="1469"/>
      <c r="JRS44" s="1469"/>
      <c r="JRT44" s="1469"/>
      <c r="JRU44" s="1469"/>
      <c r="JRV44" s="1469"/>
      <c r="JRW44" s="1469"/>
      <c r="JRX44" s="1469"/>
      <c r="JRY44" s="1469"/>
      <c r="JRZ44" s="1469"/>
      <c r="JSA44" s="1469"/>
      <c r="JSB44" s="1469"/>
      <c r="JSC44" s="1469"/>
      <c r="JSD44" s="1469"/>
      <c r="JSE44" s="1469"/>
      <c r="JSF44" s="1469"/>
      <c r="JSG44" s="1469"/>
      <c r="JSH44" s="1469"/>
      <c r="JSI44" s="1469"/>
      <c r="JSJ44" s="1469"/>
      <c r="JSK44" s="1469"/>
      <c r="JSL44" s="1469"/>
      <c r="JSM44" s="1469"/>
      <c r="JSN44" s="1469"/>
      <c r="JSO44" s="1469"/>
      <c r="JSP44" s="1469"/>
      <c r="JSQ44" s="1469"/>
      <c r="JSR44" s="1469"/>
      <c r="JSS44" s="1469"/>
      <c r="JST44" s="1469"/>
      <c r="JSU44" s="1469"/>
      <c r="JSV44" s="1469"/>
      <c r="JSW44" s="1469"/>
      <c r="JSX44" s="1469"/>
      <c r="JSY44" s="1469"/>
      <c r="JSZ44" s="1469"/>
      <c r="JTA44" s="1469"/>
      <c r="JTB44" s="1469"/>
      <c r="JTC44" s="1469"/>
      <c r="JTD44" s="1469"/>
      <c r="JTE44" s="1469"/>
      <c r="JTF44" s="1469"/>
      <c r="JTG44" s="1469"/>
      <c r="JTH44" s="1469"/>
      <c r="JTI44" s="1469"/>
      <c r="JTJ44" s="1469"/>
      <c r="JTK44" s="1469"/>
      <c r="JTL44" s="1469"/>
      <c r="JTM44" s="1469"/>
      <c r="JTN44" s="1469"/>
      <c r="JTO44" s="1469"/>
      <c r="JTP44" s="1469"/>
      <c r="JTQ44" s="1469"/>
      <c r="JTR44" s="1469"/>
      <c r="JTS44" s="1469"/>
      <c r="JTT44" s="1469"/>
      <c r="JTU44" s="1469"/>
      <c r="JTV44" s="1469"/>
      <c r="JTW44" s="1469"/>
      <c r="JTX44" s="1469"/>
      <c r="JTY44" s="1469"/>
      <c r="JTZ44" s="1469"/>
      <c r="JUA44" s="1469"/>
      <c r="JUB44" s="1469"/>
      <c r="JUC44" s="1469"/>
      <c r="JUD44" s="1469"/>
      <c r="JUE44" s="1469"/>
      <c r="JUF44" s="1469"/>
      <c r="JUG44" s="1469"/>
      <c r="JUH44" s="1469"/>
      <c r="JUI44" s="1469"/>
      <c r="JUJ44" s="1469"/>
      <c r="JUK44" s="1469"/>
      <c r="JUL44" s="1469"/>
      <c r="JUM44" s="1469"/>
      <c r="JUN44" s="1469"/>
      <c r="JUO44" s="1469"/>
      <c r="JUP44" s="1469"/>
      <c r="JUQ44" s="1469"/>
      <c r="JUR44" s="1469"/>
      <c r="JUS44" s="1469"/>
      <c r="JUT44" s="1469"/>
      <c r="JUU44" s="1469"/>
      <c r="JUV44" s="1469"/>
      <c r="JUW44" s="1469"/>
      <c r="JUX44" s="1469"/>
      <c r="JUY44" s="1469"/>
      <c r="JUZ44" s="1469"/>
      <c r="JVA44" s="1469"/>
      <c r="JVB44" s="1469"/>
      <c r="JVC44" s="1469"/>
      <c r="JVD44" s="1469"/>
      <c r="JVE44" s="1469"/>
      <c r="JVF44" s="1469"/>
      <c r="JVG44" s="1469"/>
      <c r="JVH44" s="1469"/>
      <c r="JVI44" s="1469"/>
      <c r="JVJ44" s="1469"/>
      <c r="JVK44" s="1469"/>
      <c r="JVL44" s="1469"/>
      <c r="JVM44" s="1469"/>
      <c r="JVN44" s="1469"/>
      <c r="JVO44" s="1469"/>
      <c r="JVP44" s="1469"/>
      <c r="JVQ44" s="1469"/>
      <c r="JVR44" s="1469"/>
      <c r="JVS44" s="1469"/>
      <c r="JVT44" s="1469"/>
      <c r="JVU44" s="1469"/>
      <c r="JVV44" s="1469"/>
      <c r="JVW44" s="1469"/>
      <c r="JVX44" s="1469"/>
      <c r="JVY44" s="1469"/>
      <c r="JVZ44" s="1469"/>
      <c r="JWA44" s="1469"/>
      <c r="JWB44" s="1469"/>
      <c r="JWC44" s="1469"/>
      <c r="JWD44" s="1469"/>
      <c r="JWE44" s="1469"/>
      <c r="JWF44" s="1469"/>
      <c r="JWG44" s="1469"/>
      <c r="JWH44" s="1469"/>
      <c r="JWI44" s="1469"/>
      <c r="JWJ44" s="1469"/>
      <c r="JWK44" s="1469"/>
      <c r="JWL44" s="1469"/>
      <c r="JWM44" s="1469"/>
      <c r="JWN44" s="1469"/>
      <c r="JWO44" s="1469"/>
      <c r="JWP44" s="1469"/>
      <c r="JWQ44" s="1469"/>
      <c r="JWR44" s="1469"/>
      <c r="JWS44" s="1469"/>
      <c r="JWT44" s="1469"/>
      <c r="JWU44" s="1469"/>
      <c r="JWV44" s="1469"/>
      <c r="JWW44" s="1469"/>
      <c r="JWX44" s="1469"/>
      <c r="JWY44" s="1469"/>
      <c r="JWZ44" s="1469"/>
      <c r="JXA44" s="1469"/>
      <c r="JXB44" s="1469"/>
      <c r="JXC44" s="1469"/>
      <c r="JXD44" s="1469"/>
      <c r="JXE44" s="1469"/>
      <c r="JXF44" s="1469"/>
      <c r="JXG44" s="1469"/>
      <c r="JXH44" s="1469"/>
      <c r="JXI44" s="1469"/>
      <c r="JXJ44" s="1469"/>
      <c r="JXK44" s="1469"/>
      <c r="JXL44" s="1469"/>
      <c r="JXM44" s="1469"/>
      <c r="JXN44" s="1469"/>
      <c r="JXO44" s="1469"/>
      <c r="JXP44" s="1469"/>
      <c r="JXQ44" s="1469"/>
      <c r="JXR44" s="1469"/>
      <c r="JXS44" s="1469"/>
      <c r="JXT44" s="1469"/>
      <c r="JXU44" s="1469"/>
      <c r="JXV44" s="1469"/>
      <c r="JXW44" s="1469"/>
      <c r="JXX44" s="1469"/>
      <c r="JXY44" s="1469"/>
      <c r="JXZ44" s="1469"/>
      <c r="JYA44" s="1469"/>
      <c r="JYB44" s="1469"/>
      <c r="JYC44" s="1469"/>
      <c r="JYD44" s="1469"/>
      <c r="JYE44" s="1469"/>
      <c r="JYF44" s="1469"/>
      <c r="JYG44" s="1469"/>
      <c r="JYH44" s="1469"/>
      <c r="JYI44" s="1469"/>
      <c r="JYJ44" s="1469"/>
      <c r="JYK44" s="1469"/>
      <c r="JYL44" s="1469"/>
      <c r="JYM44" s="1469"/>
      <c r="JYN44" s="1469"/>
      <c r="JYO44" s="1469"/>
      <c r="JYP44" s="1469"/>
      <c r="JYQ44" s="1469"/>
      <c r="JYR44" s="1469"/>
      <c r="JYS44" s="1469"/>
      <c r="JYT44" s="1469"/>
      <c r="JYU44" s="1469"/>
      <c r="JYV44" s="1469"/>
      <c r="JYW44" s="1469"/>
      <c r="JYX44" s="1469"/>
      <c r="JYY44" s="1469"/>
      <c r="JYZ44" s="1469"/>
      <c r="JZA44" s="1469"/>
      <c r="JZB44" s="1469"/>
      <c r="JZC44" s="1469"/>
      <c r="JZD44" s="1469"/>
      <c r="JZE44" s="1469"/>
      <c r="JZF44" s="1469"/>
      <c r="JZG44" s="1469"/>
      <c r="JZH44" s="1469"/>
      <c r="JZI44" s="1469"/>
      <c r="JZJ44" s="1469"/>
      <c r="JZK44" s="1469"/>
      <c r="JZL44" s="1469"/>
      <c r="JZM44" s="1469"/>
      <c r="JZN44" s="1469"/>
      <c r="JZO44" s="1469"/>
      <c r="JZP44" s="1469"/>
      <c r="JZQ44" s="1469"/>
      <c r="JZR44" s="1469"/>
      <c r="JZS44" s="1469"/>
      <c r="JZT44" s="1469"/>
      <c r="JZU44" s="1469"/>
      <c r="JZV44" s="1469"/>
      <c r="JZW44" s="1469"/>
      <c r="JZX44" s="1469"/>
      <c r="JZY44" s="1469"/>
      <c r="JZZ44" s="1469"/>
      <c r="KAA44" s="1469"/>
      <c r="KAB44" s="1469"/>
      <c r="KAC44" s="1469"/>
      <c r="KAD44" s="1469"/>
      <c r="KAE44" s="1469"/>
      <c r="KAF44" s="1469"/>
      <c r="KAG44" s="1469"/>
      <c r="KAH44" s="1469"/>
      <c r="KAI44" s="1469"/>
      <c r="KAJ44" s="1469"/>
      <c r="KAK44" s="1469"/>
      <c r="KAL44" s="1469"/>
      <c r="KAM44" s="1469"/>
      <c r="KAN44" s="1469"/>
      <c r="KAO44" s="1469"/>
      <c r="KAP44" s="1469"/>
      <c r="KAQ44" s="1469"/>
      <c r="KAR44" s="1469"/>
      <c r="KAS44" s="1469"/>
      <c r="KAT44" s="1469"/>
      <c r="KAU44" s="1469"/>
      <c r="KAV44" s="1469"/>
      <c r="KAW44" s="1469"/>
      <c r="KAX44" s="1469"/>
      <c r="KAY44" s="1469"/>
      <c r="KAZ44" s="1469"/>
      <c r="KBA44" s="1469"/>
      <c r="KBB44" s="1469"/>
      <c r="KBC44" s="1469"/>
      <c r="KBD44" s="1469"/>
      <c r="KBE44" s="1469"/>
      <c r="KBF44" s="1469"/>
      <c r="KBG44" s="1469"/>
      <c r="KBH44" s="1469"/>
      <c r="KBI44" s="1469"/>
      <c r="KBJ44" s="1469"/>
      <c r="KBK44" s="1469"/>
      <c r="KBL44" s="1469"/>
      <c r="KBM44" s="1469"/>
      <c r="KBN44" s="1469"/>
      <c r="KBO44" s="1469"/>
      <c r="KBP44" s="1469"/>
      <c r="KBQ44" s="1469"/>
      <c r="KBR44" s="1469"/>
      <c r="KBS44" s="1469"/>
      <c r="KBT44" s="1469"/>
      <c r="KBU44" s="1469"/>
      <c r="KBV44" s="1469"/>
      <c r="KBW44" s="1469"/>
      <c r="KBX44" s="1469"/>
      <c r="KBY44" s="1469"/>
      <c r="KBZ44" s="1469"/>
      <c r="KCA44" s="1469"/>
      <c r="KCB44" s="1469"/>
      <c r="KCC44" s="1469"/>
      <c r="KCD44" s="1469"/>
      <c r="KCE44" s="1469"/>
      <c r="KCF44" s="1469"/>
      <c r="KCG44" s="1469"/>
      <c r="KCH44" s="1469"/>
      <c r="KCI44" s="1469"/>
      <c r="KCJ44" s="1469"/>
      <c r="KCK44" s="1469"/>
      <c r="KCL44" s="1469"/>
      <c r="KCM44" s="1469"/>
      <c r="KCN44" s="1469"/>
      <c r="KCO44" s="1469"/>
      <c r="KCP44" s="1469"/>
      <c r="KCQ44" s="1469"/>
      <c r="KCR44" s="1469"/>
      <c r="KCS44" s="1469"/>
      <c r="KCT44" s="1469"/>
      <c r="KCU44" s="1469"/>
      <c r="KCV44" s="1469"/>
      <c r="KCW44" s="1469"/>
      <c r="KCX44" s="1469"/>
      <c r="KCY44" s="1469"/>
      <c r="KCZ44" s="1469"/>
      <c r="KDA44" s="1469"/>
      <c r="KDB44" s="1469"/>
      <c r="KDC44" s="1469"/>
      <c r="KDD44" s="1469"/>
      <c r="KDE44" s="1469"/>
      <c r="KDF44" s="1469"/>
      <c r="KDG44" s="1469"/>
      <c r="KDH44" s="1469"/>
      <c r="KDI44" s="1469"/>
      <c r="KDJ44" s="1469"/>
      <c r="KDK44" s="1469"/>
      <c r="KDL44" s="1469"/>
      <c r="KDM44" s="1469"/>
      <c r="KDN44" s="1469"/>
      <c r="KDO44" s="1469"/>
      <c r="KDP44" s="1469"/>
      <c r="KDQ44" s="1469"/>
      <c r="KDR44" s="1469"/>
      <c r="KDS44" s="1469"/>
      <c r="KDT44" s="1469"/>
      <c r="KDU44" s="1469"/>
      <c r="KDV44" s="1469"/>
      <c r="KDW44" s="1469"/>
      <c r="KDX44" s="1469"/>
      <c r="KDY44" s="1469"/>
      <c r="KDZ44" s="1469"/>
      <c r="KEA44" s="1469"/>
      <c r="KEB44" s="1469"/>
      <c r="KEC44" s="1469"/>
      <c r="KED44" s="1469"/>
      <c r="KEE44" s="1469"/>
      <c r="KEF44" s="1469"/>
      <c r="KEG44" s="1469"/>
      <c r="KEH44" s="1469"/>
      <c r="KEI44" s="1469"/>
      <c r="KEJ44" s="1469"/>
      <c r="KEK44" s="1469"/>
      <c r="KEL44" s="1469"/>
      <c r="KEM44" s="1469"/>
      <c r="KEN44" s="1469"/>
      <c r="KEO44" s="1469"/>
      <c r="KEP44" s="1469"/>
      <c r="KEQ44" s="1469"/>
      <c r="KER44" s="1469"/>
      <c r="KES44" s="1469"/>
      <c r="KET44" s="1469"/>
      <c r="KEU44" s="1469"/>
      <c r="KEV44" s="1469"/>
      <c r="KEW44" s="1469"/>
      <c r="KEX44" s="1469"/>
      <c r="KEY44" s="1469"/>
      <c r="KEZ44" s="1469"/>
      <c r="KFA44" s="1469"/>
      <c r="KFB44" s="1469"/>
      <c r="KFC44" s="1469"/>
      <c r="KFD44" s="1469"/>
      <c r="KFE44" s="1469"/>
      <c r="KFF44" s="1469"/>
      <c r="KFG44" s="1469"/>
      <c r="KFH44" s="1469"/>
      <c r="KFI44" s="1469"/>
      <c r="KFJ44" s="1469"/>
      <c r="KFK44" s="1469"/>
      <c r="KFL44" s="1469"/>
      <c r="KFM44" s="1469"/>
      <c r="KFN44" s="1469"/>
      <c r="KFO44" s="1469"/>
      <c r="KFP44" s="1469"/>
      <c r="KFQ44" s="1469"/>
      <c r="KFR44" s="1469"/>
      <c r="KFS44" s="1469"/>
      <c r="KFT44" s="1469"/>
      <c r="KFU44" s="1469"/>
      <c r="KFV44" s="1469"/>
      <c r="KFW44" s="1469"/>
      <c r="KFX44" s="1469"/>
      <c r="KFY44" s="1469"/>
      <c r="KFZ44" s="1469"/>
      <c r="KGA44" s="1469"/>
      <c r="KGB44" s="1469"/>
      <c r="KGC44" s="1469"/>
      <c r="KGD44" s="1469"/>
      <c r="KGE44" s="1469"/>
      <c r="KGF44" s="1469"/>
      <c r="KGG44" s="1469"/>
      <c r="KGH44" s="1469"/>
      <c r="KGI44" s="1469"/>
      <c r="KGJ44" s="1469"/>
      <c r="KGK44" s="1469"/>
      <c r="KGL44" s="1469"/>
      <c r="KGM44" s="1469"/>
      <c r="KGN44" s="1469"/>
      <c r="KGO44" s="1469"/>
      <c r="KGP44" s="1469"/>
      <c r="KGQ44" s="1469"/>
      <c r="KGR44" s="1469"/>
      <c r="KGS44" s="1469"/>
      <c r="KGT44" s="1469"/>
      <c r="KGU44" s="1469"/>
      <c r="KGV44" s="1469"/>
      <c r="KGW44" s="1469"/>
      <c r="KGX44" s="1469"/>
      <c r="KGY44" s="1469"/>
      <c r="KGZ44" s="1469"/>
      <c r="KHA44" s="1469"/>
      <c r="KHB44" s="1469"/>
      <c r="KHC44" s="1469"/>
      <c r="KHD44" s="1469"/>
      <c r="KHE44" s="1469"/>
      <c r="KHF44" s="1469"/>
      <c r="KHG44" s="1469"/>
      <c r="KHH44" s="1469"/>
      <c r="KHI44" s="1469"/>
      <c r="KHJ44" s="1469"/>
      <c r="KHK44" s="1469"/>
      <c r="KHL44" s="1469"/>
      <c r="KHM44" s="1469"/>
      <c r="KHN44" s="1469"/>
      <c r="KHO44" s="1469"/>
      <c r="KHP44" s="1469"/>
      <c r="KHQ44" s="1469"/>
      <c r="KHR44" s="1469"/>
      <c r="KHS44" s="1469"/>
      <c r="KHT44" s="1469"/>
      <c r="KHU44" s="1469"/>
      <c r="KHV44" s="1469"/>
      <c r="KHW44" s="1469"/>
      <c r="KHX44" s="1469"/>
      <c r="KHY44" s="1469"/>
      <c r="KHZ44" s="1469"/>
      <c r="KIA44" s="1469"/>
      <c r="KIB44" s="1469"/>
      <c r="KIC44" s="1469"/>
      <c r="KID44" s="1469"/>
      <c r="KIE44" s="1469"/>
      <c r="KIF44" s="1469"/>
      <c r="KIG44" s="1469"/>
      <c r="KIH44" s="1469"/>
      <c r="KII44" s="1469"/>
      <c r="KIJ44" s="1469"/>
      <c r="KIK44" s="1469"/>
      <c r="KIL44" s="1469"/>
      <c r="KIM44" s="1469"/>
      <c r="KIN44" s="1469"/>
      <c r="KIO44" s="1469"/>
      <c r="KIP44" s="1469"/>
      <c r="KIQ44" s="1469"/>
      <c r="KIR44" s="1469"/>
      <c r="KIS44" s="1469"/>
      <c r="KIT44" s="1469"/>
      <c r="KIU44" s="1469"/>
      <c r="KIV44" s="1469"/>
      <c r="KIW44" s="1469"/>
      <c r="KIX44" s="1469"/>
      <c r="KIY44" s="1469"/>
      <c r="KIZ44" s="1469"/>
      <c r="KJA44" s="1469"/>
      <c r="KJB44" s="1469"/>
      <c r="KJC44" s="1469"/>
      <c r="KJD44" s="1469"/>
      <c r="KJE44" s="1469"/>
      <c r="KJF44" s="1469"/>
      <c r="KJG44" s="1469"/>
      <c r="KJH44" s="1469"/>
      <c r="KJI44" s="1469"/>
      <c r="KJJ44" s="1469"/>
      <c r="KJK44" s="1469"/>
      <c r="KJL44" s="1469"/>
      <c r="KJM44" s="1469"/>
      <c r="KJN44" s="1469"/>
      <c r="KJO44" s="1469"/>
      <c r="KJP44" s="1469"/>
      <c r="KJQ44" s="1469"/>
      <c r="KJR44" s="1469"/>
      <c r="KJS44" s="1469"/>
      <c r="KJT44" s="1469"/>
      <c r="KJU44" s="1469"/>
      <c r="KJV44" s="1469"/>
      <c r="KJW44" s="1469"/>
      <c r="KJX44" s="1469"/>
      <c r="KJY44" s="1469"/>
      <c r="KJZ44" s="1469"/>
      <c r="KKA44" s="1469"/>
      <c r="KKB44" s="1469"/>
      <c r="KKC44" s="1469"/>
      <c r="KKD44" s="1469"/>
      <c r="KKE44" s="1469"/>
      <c r="KKF44" s="1469"/>
      <c r="KKG44" s="1469"/>
      <c r="KKH44" s="1469"/>
      <c r="KKI44" s="1469"/>
      <c r="KKJ44" s="1469"/>
      <c r="KKK44" s="1469"/>
      <c r="KKL44" s="1469"/>
      <c r="KKM44" s="1469"/>
      <c r="KKN44" s="1469"/>
      <c r="KKO44" s="1469"/>
      <c r="KKP44" s="1469"/>
      <c r="KKQ44" s="1469"/>
      <c r="KKR44" s="1469"/>
      <c r="KKS44" s="1469"/>
      <c r="KKT44" s="1469"/>
      <c r="KKU44" s="1469"/>
      <c r="KKV44" s="1469"/>
      <c r="KKW44" s="1469"/>
      <c r="KKX44" s="1469"/>
      <c r="KKY44" s="1469"/>
      <c r="KKZ44" s="1469"/>
      <c r="KLA44" s="1469"/>
      <c r="KLB44" s="1469"/>
      <c r="KLC44" s="1469"/>
      <c r="KLD44" s="1469"/>
      <c r="KLE44" s="1469"/>
      <c r="KLF44" s="1469"/>
      <c r="KLG44" s="1469"/>
      <c r="KLH44" s="1469"/>
      <c r="KLI44" s="1469"/>
      <c r="KLJ44" s="1469"/>
      <c r="KLK44" s="1469"/>
      <c r="KLL44" s="1469"/>
      <c r="KLM44" s="1469"/>
      <c r="KLN44" s="1469"/>
      <c r="KLO44" s="1469"/>
      <c r="KLP44" s="1469"/>
      <c r="KLQ44" s="1469"/>
      <c r="KLR44" s="1469"/>
      <c r="KLS44" s="1469"/>
      <c r="KLT44" s="1469"/>
      <c r="KLU44" s="1469"/>
      <c r="KLV44" s="1469"/>
      <c r="KLW44" s="1469"/>
      <c r="KLX44" s="1469"/>
      <c r="KLY44" s="1469"/>
      <c r="KLZ44" s="1469"/>
      <c r="KMA44" s="1469"/>
      <c r="KMB44" s="1469"/>
      <c r="KMC44" s="1469"/>
      <c r="KMD44" s="1469"/>
      <c r="KME44" s="1469"/>
      <c r="KMF44" s="1469"/>
      <c r="KMG44" s="1469"/>
      <c r="KMH44" s="1469"/>
      <c r="KMI44" s="1469"/>
      <c r="KMJ44" s="1469"/>
      <c r="KMK44" s="1469"/>
      <c r="KML44" s="1469"/>
      <c r="KMM44" s="1469"/>
      <c r="KMN44" s="1469"/>
      <c r="KMO44" s="1469"/>
      <c r="KMP44" s="1469"/>
      <c r="KMQ44" s="1469"/>
      <c r="KMR44" s="1469"/>
      <c r="KMS44" s="1469"/>
      <c r="KMT44" s="1469"/>
      <c r="KMU44" s="1469"/>
      <c r="KMV44" s="1469"/>
      <c r="KMW44" s="1469"/>
      <c r="KMX44" s="1469"/>
      <c r="KMY44" s="1469"/>
      <c r="KMZ44" s="1469"/>
      <c r="KNA44" s="1469"/>
      <c r="KNB44" s="1469"/>
      <c r="KNC44" s="1469"/>
      <c r="KND44" s="1469"/>
      <c r="KNE44" s="1469"/>
      <c r="KNF44" s="1469"/>
      <c r="KNG44" s="1469"/>
      <c r="KNH44" s="1469"/>
      <c r="KNI44" s="1469"/>
      <c r="KNJ44" s="1469"/>
      <c r="KNK44" s="1469"/>
      <c r="KNL44" s="1469"/>
      <c r="KNM44" s="1469"/>
      <c r="KNN44" s="1469"/>
      <c r="KNO44" s="1469"/>
      <c r="KNP44" s="1469"/>
      <c r="KNQ44" s="1469"/>
      <c r="KNR44" s="1469"/>
      <c r="KNS44" s="1469"/>
      <c r="KNT44" s="1469"/>
      <c r="KNU44" s="1469"/>
      <c r="KNV44" s="1469"/>
      <c r="KNW44" s="1469"/>
      <c r="KNX44" s="1469"/>
      <c r="KNY44" s="1469"/>
      <c r="KNZ44" s="1469"/>
      <c r="KOA44" s="1469"/>
      <c r="KOB44" s="1469"/>
      <c r="KOC44" s="1469"/>
      <c r="KOD44" s="1469"/>
      <c r="KOE44" s="1469"/>
      <c r="KOF44" s="1469"/>
      <c r="KOG44" s="1469"/>
      <c r="KOH44" s="1469"/>
      <c r="KOI44" s="1469"/>
      <c r="KOJ44" s="1469"/>
      <c r="KOK44" s="1469"/>
      <c r="KOL44" s="1469"/>
      <c r="KOM44" s="1469"/>
      <c r="KON44" s="1469"/>
      <c r="KOO44" s="1469"/>
      <c r="KOP44" s="1469"/>
      <c r="KOQ44" s="1469"/>
      <c r="KOR44" s="1469"/>
      <c r="KOS44" s="1469"/>
      <c r="KOT44" s="1469"/>
      <c r="KOU44" s="1469"/>
      <c r="KOV44" s="1469"/>
      <c r="KOW44" s="1469"/>
      <c r="KOX44" s="1469"/>
      <c r="KOY44" s="1469"/>
      <c r="KOZ44" s="1469"/>
      <c r="KPA44" s="1469"/>
      <c r="KPB44" s="1469"/>
      <c r="KPC44" s="1469"/>
      <c r="KPD44" s="1469"/>
      <c r="KPE44" s="1469"/>
      <c r="KPF44" s="1469"/>
      <c r="KPG44" s="1469"/>
      <c r="KPH44" s="1469"/>
      <c r="KPI44" s="1469"/>
      <c r="KPJ44" s="1469"/>
      <c r="KPK44" s="1469"/>
      <c r="KPL44" s="1469"/>
      <c r="KPM44" s="1469"/>
      <c r="KPN44" s="1469"/>
      <c r="KPO44" s="1469"/>
      <c r="KPP44" s="1469"/>
      <c r="KPQ44" s="1469"/>
      <c r="KPR44" s="1469"/>
      <c r="KPS44" s="1469"/>
      <c r="KPT44" s="1469"/>
      <c r="KPU44" s="1469"/>
      <c r="KPV44" s="1469"/>
      <c r="KPW44" s="1469"/>
      <c r="KPX44" s="1469"/>
      <c r="KPY44" s="1469"/>
      <c r="KPZ44" s="1469"/>
      <c r="KQA44" s="1469"/>
      <c r="KQB44" s="1469"/>
      <c r="KQC44" s="1469"/>
      <c r="KQD44" s="1469"/>
      <c r="KQE44" s="1469"/>
      <c r="KQF44" s="1469"/>
      <c r="KQG44" s="1469"/>
      <c r="KQH44" s="1469"/>
      <c r="KQI44" s="1469"/>
      <c r="KQJ44" s="1469"/>
      <c r="KQK44" s="1469"/>
      <c r="KQL44" s="1469"/>
      <c r="KQM44" s="1469"/>
      <c r="KQN44" s="1469"/>
      <c r="KQO44" s="1469"/>
      <c r="KQP44" s="1469"/>
      <c r="KQQ44" s="1469"/>
      <c r="KQR44" s="1469"/>
      <c r="KQS44" s="1469"/>
      <c r="KQT44" s="1469"/>
      <c r="KQU44" s="1469"/>
      <c r="KQV44" s="1469"/>
      <c r="KQW44" s="1469"/>
      <c r="KQX44" s="1469"/>
      <c r="KQY44" s="1469"/>
      <c r="KQZ44" s="1469"/>
      <c r="KRA44" s="1469"/>
      <c r="KRB44" s="1469"/>
      <c r="KRC44" s="1469"/>
      <c r="KRD44" s="1469"/>
      <c r="KRE44" s="1469"/>
      <c r="KRF44" s="1469"/>
      <c r="KRG44" s="1469"/>
      <c r="KRH44" s="1469"/>
      <c r="KRI44" s="1469"/>
      <c r="KRJ44" s="1469"/>
      <c r="KRK44" s="1469"/>
      <c r="KRL44" s="1469"/>
      <c r="KRM44" s="1469"/>
      <c r="KRN44" s="1469"/>
      <c r="KRO44" s="1469"/>
      <c r="KRP44" s="1469"/>
      <c r="KRQ44" s="1469"/>
      <c r="KRR44" s="1469"/>
      <c r="KRS44" s="1469"/>
      <c r="KRT44" s="1469"/>
      <c r="KRU44" s="1469"/>
      <c r="KRV44" s="1469"/>
      <c r="KRW44" s="1469"/>
      <c r="KRX44" s="1469"/>
      <c r="KRY44" s="1469"/>
      <c r="KRZ44" s="1469"/>
      <c r="KSA44" s="1469"/>
      <c r="KSB44" s="1469"/>
      <c r="KSC44" s="1469"/>
      <c r="KSD44" s="1469"/>
      <c r="KSE44" s="1469"/>
      <c r="KSF44" s="1469"/>
      <c r="KSG44" s="1469"/>
      <c r="KSH44" s="1469"/>
      <c r="KSI44" s="1469"/>
      <c r="KSJ44" s="1469"/>
      <c r="KSK44" s="1469"/>
      <c r="KSL44" s="1469"/>
      <c r="KSM44" s="1469"/>
      <c r="KSN44" s="1469"/>
      <c r="KSO44" s="1469"/>
      <c r="KSP44" s="1469"/>
      <c r="KSQ44" s="1469"/>
      <c r="KSR44" s="1469"/>
      <c r="KSS44" s="1469"/>
      <c r="KST44" s="1469"/>
      <c r="KSU44" s="1469"/>
      <c r="KSV44" s="1469"/>
      <c r="KSW44" s="1469"/>
      <c r="KSX44" s="1469"/>
      <c r="KSY44" s="1469"/>
      <c r="KSZ44" s="1469"/>
      <c r="KTA44" s="1469"/>
      <c r="KTB44" s="1469"/>
      <c r="KTC44" s="1469"/>
      <c r="KTD44" s="1469"/>
      <c r="KTE44" s="1469"/>
      <c r="KTF44" s="1469"/>
      <c r="KTG44" s="1469"/>
      <c r="KTH44" s="1469"/>
      <c r="KTI44" s="1469"/>
      <c r="KTJ44" s="1469"/>
      <c r="KTK44" s="1469"/>
      <c r="KTL44" s="1469"/>
      <c r="KTM44" s="1469"/>
      <c r="KTN44" s="1469"/>
      <c r="KTO44" s="1469"/>
      <c r="KTP44" s="1469"/>
      <c r="KTQ44" s="1469"/>
      <c r="KTR44" s="1469"/>
      <c r="KTS44" s="1469"/>
      <c r="KTT44" s="1469"/>
      <c r="KTU44" s="1469"/>
      <c r="KTV44" s="1469"/>
      <c r="KTW44" s="1469"/>
      <c r="KTX44" s="1469"/>
      <c r="KTY44" s="1469"/>
      <c r="KTZ44" s="1469"/>
      <c r="KUA44" s="1469"/>
      <c r="KUB44" s="1469"/>
      <c r="KUC44" s="1469"/>
      <c r="KUD44" s="1469"/>
      <c r="KUE44" s="1469"/>
      <c r="KUF44" s="1469"/>
      <c r="KUG44" s="1469"/>
      <c r="KUH44" s="1469"/>
      <c r="KUI44" s="1469"/>
      <c r="KUJ44" s="1469"/>
      <c r="KUK44" s="1469"/>
      <c r="KUL44" s="1469"/>
      <c r="KUM44" s="1469"/>
      <c r="KUN44" s="1469"/>
      <c r="KUO44" s="1469"/>
      <c r="KUP44" s="1469"/>
      <c r="KUQ44" s="1469"/>
      <c r="KUR44" s="1469"/>
      <c r="KUS44" s="1469"/>
      <c r="KUT44" s="1469"/>
      <c r="KUU44" s="1469"/>
      <c r="KUV44" s="1469"/>
      <c r="KUW44" s="1469"/>
      <c r="KUX44" s="1469"/>
      <c r="KUY44" s="1469"/>
      <c r="KUZ44" s="1469"/>
      <c r="KVA44" s="1469"/>
      <c r="KVB44" s="1469"/>
      <c r="KVC44" s="1469"/>
      <c r="KVD44" s="1469"/>
      <c r="KVE44" s="1469"/>
      <c r="KVF44" s="1469"/>
      <c r="KVG44" s="1469"/>
      <c r="KVH44" s="1469"/>
      <c r="KVI44" s="1469"/>
      <c r="KVJ44" s="1469"/>
      <c r="KVK44" s="1469"/>
      <c r="KVL44" s="1469"/>
      <c r="KVM44" s="1469"/>
      <c r="KVN44" s="1469"/>
      <c r="KVO44" s="1469"/>
      <c r="KVP44" s="1469"/>
      <c r="KVQ44" s="1469"/>
      <c r="KVR44" s="1469"/>
      <c r="KVS44" s="1469"/>
      <c r="KVT44" s="1469"/>
      <c r="KVU44" s="1469"/>
      <c r="KVV44" s="1469"/>
      <c r="KVW44" s="1469"/>
      <c r="KVX44" s="1469"/>
      <c r="KVY44" s="1469"/>
      <c r="KVZ44" s="1469"/>
      <c r="KWA44" s="1469"/>
      <c r="KWB44" s="1469"/>
      <c r="KWC44" s="1469"/>
      <c r="KWD44" s="1469"/>
      <c r="KWE44" s="1469"/>
      <c r="KWF44" s="1469"/>
      <c r="KWG44" s="1469"/>
      <c r="KWH44" s="1469"/>
      <c r="KWI44" s="1469"/>
      <c r="KWJ44" s="1469"/>
      <c r="KWK44" s="1469"/>
      <c r="KWL44" s="1469"/>
      <c r="KWM44" s="1469"/>
      <c r="KWN44" s="1469"/>
      <c r="KWO44" s="1469"/>
      <c r="KWP44" s="1469"/>
      <c r="KWQ44" s="1469"/>
      <c r="KWR44" s="1469"/>
      <c r="KWS44" s="1469"/>
      <c r="KWT44" s="1469"/>
      <c r="KWU44" s="1469"/>
      <c r="KWV44" s="1469"/>
      <c r="KWW44" s="1469"/>
      <c r="KWX44" s="1469"/>
      <c r="KWY44" s="1469"/>
      <c r="KWZ44" s="1469"/>
      <c r="KXA44" s="1469"/>
      <c r="KXB44" s="1469"/>
      <c r="KXC44" s="1469"/>
      <c r="KXD44" s="1469"/>
      <c r="KXE44" s="1469"/>
      <c r="KXF44" s="1469"/>
      <c r="KXG44" s="1469"/>
      <c r="KXH44" s="1469"/>
      <c r="KXI44" s="1469"/>
      <c r="KXJ44" s="1469"/>
      <c r="KXK44" s="1469"/>
      <c r="KXL44" s="1469"/>
      <c r="KXM44" s="1469"/>
      <c r="KXN44" s="1469"/>
      <c r="KXO44" s="1469"/>
      <c r="KXP44" s="1469"/>
      <c r="KXQ44" s="1469"/>
      <c r="KXR44" s="1469"/>
      <c r="KXS44" s="1469"/>
      <c r="KXT44" s="1469"/>
      <c r="KXU44" s="1469"/>
      <c r="KXV44" s="1469"/>
      <c r="KXW44" s="1469"/>
      <c r="KXX44" s="1469"/>
      <c r="KXY44" s="1469"/>
      <c r="KXZ44" s="1469"/>
      <c r="KYA44" s="1469"/>
      <c r="KYB44" s="1469"/>
      <c r="KYC44" s="1469"/>
      <c r="KYD44" s="1469"/>
      <c r="KYE44" s="1469"/>
      <c r="KYF44" s="1469"/>
      <c r="KYG44" s="1469"/>
      <c r="KYH44" s="1469"/>
      <c r="KYI44" s="1469"/>
      <c r="KYJ44" s="1469"/>
      <c r="KYK44" s="1469"/>
      <c r="KYL44" s="1469"/>
      <c r="KYM44" s="1469"/>
      <c r="KYN44" s="1469"/>
      <c r="KYO44" s="1469"/>
      <c r="KYP44" s="1469"/>
      <c r="KYQ44" s="1469"/>
      <c r="KYR44" s="1469"/>
      <c r="KYS44" s="1469"/>
      <c r="KYT44" s="1469"/>
      <c r="KYU44" s="1469"/>
      <c r="KYV44" s="1469"/>
      <c r="KYW44" s="1469"/>
      <c r="KYX44" s="1469"/>
      <c r="KYY44" s="1469"/>
      <c r="KYZ44" s="1469"/>
      <c r="KZA44" s="1469"/>
      <c r="KZB44" s="1469"/>
      <c r="KZC44" s="1469"/>
      <c r="KZD44" s="1469"/>
      <c r="KZE44" s="1469"/>
      <c r="KZF44" s="1469"/>
      <c r="KZG44" s="1469"/>
      <c r="KZH44" s="1469"/>
      <c r="KZI44" s="1469"/>
      <c r="KZJ44" s="1469"/>
      <c r="KZK44" s="1469"/>
      <c r="KZL44" s="1469"/>
      <c r="KZM44" s="1469"/>
      <c r="KZN44" s="1469"/>
      <c r="KZO44" s="1469"/>
      <c r="KZP44" s="1469"/>
      <c r="KZQ44" s="1469"/>
      <c r="KZR44" s="1469"/>
      <c r="KZS44" s="1469"/>
      <c r="KZT44" s="1469"/>
      <c r="KZU44" s="1469"/>
      <c r="KZV44" s="1469"/>
      <c r="KZW44" s="1469"/>
      <c r="KZX44" s="1469"/>
      <c r="KZY44" s="1469"/>
      <c r="KZZ44" s="1469"/>
      <c r="LAA44" s="1469"/>
      <c r="LAB44" s="1469"/>
      <c r="LAC44" s="1469"/>
      <c r="LAD44" s="1469"/>
      <c r="LAE44" s="1469"/>
      <c r="LAF44" s="1469"/>
      <c r="LAG44" s="1469"/>
      <c r="LAH44" s="1469"/>
      <c r="LAI44" s="1469"/>
      <c r="LAJ44" s="1469"/>
      <c r="LAK44" s="1469"/>
      <c r="LAL44" s="1469"/>
      <c r="LAM44" s="1469"/>
      <c r="LAN44" s="1469"/>
      <c r="LAO44" s="1469"/>
      <c r="LAP44" s="1469"/>
      <c r="LAQ44" s="1469"/>
      <c r="LAR44" s="1469"/>
      <c r="LAS44" s="1469"/>
      <c r="LAT44" s="1469"/>
      <c r="LAU44" s="1469"/>
      <c r="LAV44" s="1469"/>
      <c r="LAW44" s="1469"/>
      <c r="LAX44" s="1469"/>
      <c r="LAY44" s="1469"/>
      <c r="LAZ44" s="1469"/>
      <c r="LBA44" s="1469"/>
      <c r="LBB44" s="1469"/>
      <c r="LBC44" s="1469"/>
      <c r="LBD44" s="1469"/>
      <c r="LBE44" s="1469"/>
      <c r="LBF44" s="1469"/>
      <c r="LBG44" s="1469"/>
      <c r="LBH44" s="1469"/>
      <c r="LBI44" s="1469"/>
      <c r="LBJ44" s="1469"/>
      <c r="LBK44" s="1469"/>
      <c r="LBL44" s="1469"/>
      <c r="LBM44" s="1469"/>
      <c r="LBN44" s="1469"/>
      <c r="LBO44" s="1469"/>
      <c r="LBP44" s="1469"/>
      <c r="LBQ44" s="1469"/>
      <c r="LBR44" s="1469"/>
      <c r="LBS44" s="1469"/>
      <c r="LBT44" s="1469"/>
      <c r="LBU44" s="1469"/>
      <c r="LBV44" s="1469"/>
      <c r="LBW44" s="1469"/>
      <c r="LBX44" s="1469"/>
      <c r="LBY44" s="1469"/>
      <c r="LBZ44" s="1469"/>
      <c r="LCA44" s="1469"/>
      <c r="LCB44" s="1469"/>
      <c r="LCC44" s="1469"/>
      <c r="LCD44" s="1469"/>
      <c r="LCE44" s="1469"/>
      <c r="LCF44" s="1469"/>
      <c r="LCG44" s="1469"/>
      <c r="LCH44" s="1469"/>
      <c r="LCI44" s="1469"/>
      <c r="LCJ44" s="1469"/>
      <c r="LCK44" s="1469"/>
      <c r="LCL44" s="1469"/>
      <c r="LCM44" s="1469"/>
      <c r="LCN44" s="1469"/>
      <c r="LCO44" s="1469"/>
      <c r="LCP44" s="1469"/>
      <c r="LCQ44" s="1469"/>
      <c r="LCR44" s="1469"/>
      <c r="LCS44" s="1469"/>
      <c r="LCT44" s="1469"/>
      <c r="LCU44" s="1469"/>
      <c r="LCV44" s="1469"/>
      <c r="LCW44" s="1469"/>
      <c r="LCX44" s="1469"/>
      <c r="LCY44" s="1469"/>
      <c r="LCZ44" s="1469"/>
      <c r="LDA44" s="1469"/>
      <c r="LDB44" s="1469"/>
      <c r="LDC44" s="1469"/>
      <c r="LDD44" s="1469"/>
      <c r="LDE44" s="1469"/>
      <c r="LDF44" s="1469"/>
      <c r="LDG44" s="1469"/>
      <c r="LDH44" s="1469"/>
      <c r="LDI44" s="1469"/>
      <c r="LDJ44" s="1469"/>
      <c r="LDK44" s="1469"/>
      <c r="LDL44" s="1469"/>
      <c r="LDM44" s="1469"/>
      <c r="LDN44" s="1469"/>
      <c r="LDO44" s="1469"/>
      <c r="LDP44" s="1469"/>
      <c r="LDQ44" s="1469"/>
      <c r="LDR44" s="1469"/>
      <c r="LDS44" s="1469"/>
      <c r="LDT44" s="1469"/>
      <c r="LDU44" s="1469"/>
      <c r="LDV44" s="1469"/>
      <c r="LDW44" s="1469"/>
      <c r="LDX44" s="1469"/>
      <c r="LDY44" s="1469"/>
      <c r="LDZ44" s="1469"/>
      <c r="LEA44" s="1469"/>
      <c r="LEB44" s="1469"/>
      <c r="LEC44" s="1469"/>
      <c r="LED44" s="1469"/>
      <c r="LEE44" s="1469"/>
      <c r="LEF44" s="1469"/>
      <c r="LEG44" s="1469"/>
      <c r="LEH44" s="1469"/>
      <c r="LEI44" s="1469"/>
      <c r="LEJ44" s="1469"/>
      <c r="LEK44" s="1469"/>
      <c r="LEL44" s="1469"/>
      <c r="LEM44" s="1469"/>
      <c r="LEN44" s="1469"/>
      <c r="LEO44" s="1469"/>
      <c r="LEP44" s="1469"/>
      <c r="LEQ44" s="1469"/>
      <c r="LER44" s="1469"/>
      <c r="LES44" s="1469"/>
      <c r="LET44" s="1469"/>
      <c r="LEU44" s="1469"/>
      <c r="LEV44" s="1469"/>
      <c r="LEW44" s="1469"/>
      <c r="LEX44" s="1469"/>
      <c r="LEY44" s="1469"/>
      <c r="LEZ44" s="1469"/>
      <c r="LFA44" s="1469"/>
      <c r="LFB44" s="1469"/>
      <c r="LFC44" s="1469"/>
      <c r="LFD44" s="1469"/>
      <c r="LFE44" s="1469"/>
      <c r="LFF44" s="1469"/>
      <c r="LFG44" s="1469"/>
      <c r="LFH44" s="1469"/>
      <c r="LFI44" s="1469"/>
      <c r="LFJ44" s="1469"/>
      <c r="LFK44" s="1469"/>
      <c r="LFL44" s="1469"/>
      <c r="LFM44" s="1469"/>
      <c r="LFN44" s="1469"/>
      <c r="LFO44" s="1469"/>
      <c r="LFP44" s="1469"/>
      <c r="LFQ44" s="1469"/>
      <c r="LFR44" s="1469"/>
      <c r="LFS44" s="1469"/>
      <c r="LFT44" s="1469"/>
      <c r="LFU44" s="1469"/>
      <c r="LFV44" s="1469"/>
      <c r="LFW44" s="1469"/>
      <c r="LFX44" s="1469"/>
      <c r="LFY44" s="1469"/>
      <c r="LFZ44" s="1469"/>
      <c r="LGA44" s="1469"/>
      <c r="LGB44" s="1469"/>
      <c r="LGC44" s="1469"/>
      <c r="LGD44" s="1469"/>
      <c r="LGE44" s="1469"/>
      <c r="LGF44" s="1469"/>
      <c r="LGG44" s="1469"/>
      <c r="LGH44" s="1469"/>
      <c r="LGI44" s="1469"/>
      <c r="LGJ44" s="1469"/>
      <c r="LGK44" s="1469"/>
      <c r="LGL44" s="1469"/>
      <c r="LGM44" s="1469"/>
      <c r="LGN44" s="1469"/>
      <c r="LGO44" s="1469"/>
      <c r="LGP44" s="1469"/>
      <c r="LGQ44" s="1469"/>
      <c r="LGR44" s="1469"/>
      <c r="LGS44" s="1469"/>
      <c r="LGT44" s="1469"/>
      <c r="LGU44" s="1469"/>
      <c r="LGV44" s="1469"/>
      <c r="LGW44" s="1469"/>
      <c r="LGX44" s="1469"/>
      <c r="LGY44" s="1469"/>
      <c r="LGZ44" s="1469"/>
      <c r="LHA44" s="1469"/>
      <c r="LHB44" s="1469"/>
      <c r="LHC44" s="1469"/>
      <c r="LHD44" s="1469"/>
      <c r="LHE44" s="1469"/>
      <c r="LHF44" s="1469"/>
      <c r="LHG44" s="1469"/>
      <c r="LHH44" s="1469"/>
      <c r="LHI44" s="1469"/>
      <c r="LHJ44" s="1469"/>
      <c r="LHK44" s="1469"/>
      <c r="LHL44" s="1469"/>
      <c r="LHM44" s="1469"/>
      <c r="LHN44" s="1469"/>
      <c r="LHO44" s="1469"/>
      <c r="LHP44" s="1469"/>
      <c r="LHQ44" s="1469"/>
      <c r="LHR44" s="1469"/>
      <c r="LHS44" s="1469"/>
      <c r="LHT44" s="1469"/>
      <c r="LHU44" s="1469"/>
      <c r="LHV44" s="1469"/>
      <c r="LHW44" s="1469"/>
      <c r="LHX44" s="1469"/>
      <c r="LHY44" s="1469"/>
      <c r="LHZ44" s="1469"/>
      <c r="LIA44" s="1469"/>
      <c r="LIB44" s="1469"/>
      <c r="LIC44" s="1469"/>
      <c r="LID44" s="1469"/>
      <c r="LIE44" s="1469"/>
      <c r="LIF44" s="1469"/>
      <c r="LIG44" s="1469"/>
      <c r="LIH44" s="1469"/>
      <c r="LII44" s="1469"/>
      <c r="LIJ44" s="1469"/>
      <c r="LIK44" s="1469"/>
      <c r="LIL44" s="1469"/>
      <c r="LIM44" s="1469"/>
      <c r="LIN44" s="1469"/>
      <c r="LIO44" s="1469"/>
      <c r="LIP44" s="1469"/>
      <c r="LIQ44" s="1469"/>
      <c r="LIR44" s="1469"/>
      <c r="LIS44" s="1469"/>
      <c r="LIT44" s="1469"/>
      <c r="LIU44" s="1469"/>
      <c r="LIV44" s="1469"/>
      <c r="LIW44" s="1469"/>
      <c r="LIX44" s="1469"/>
      <c r="LIY44" s="1469"/>
      <c r="LIZ44" s="1469"/>
      <c r="LJA44" s="1469"/>
      <c r="LJB44" s="1469"/>
      <c r="LJC44" s="1469"/>
      <c r="LJD44" s="1469"/>
      <c r="LJE44" s="1469"/>
      <c r="LJF44" s="1469"/>
      <c r="LJG44" s="1469"/>
      <c r="LJH44" s="1469"/>
      <c r="LJI44" s="1469"/>
      <c r="LJJ44" s="1469"/>
      <c r="LJK44" s="1469"/>
      <c r="LJL44" s="1469"/>
      <c r="LJM44" s="1469"/>
      <c r="LJN44" s="1469"/>
      <c r="LJO44" s="1469"/>
      <c r="LJP44" s="1469"/>
      <c r="LJQ44" s="1469"/>
      <c r="LJR44" s="1469"/>
      <c r="LJS44" s="1469"/>
      <c r="LJT44" s="1469"/>
      <c r="LJU44" s="1469"/>
      <c r="LJV44" s="1469"/>
      <c r="LJW44" s="1469"/>
      <c r="LJX44" s="1469"/>
      <c r="LJY44" s="1469"/>
      <c r="LJZ44" s="1469"/>
      <c r="LKA44" s="1469"/>
      <c r="LKB44" s="1469"/>
      <c r="LKC44" s="1469"/>
      <c r="LKD44" s="1469"/>
      <c r="LKE44" s="1469"/>
      <c r="LKF44" s="1469"/>
      <c r="LKG44" s="1469"/>
      <c r="LKH44" s="1469"/>
      <c r="LKI44" s="1469"/>
      <c r="LKJ44" s="1469"/>
      <c r="LKK44" s="1469"/>
      <c r="LKL44" s="1469"/>
      <c r="LKM44" s="1469"/>
      <c r="LKN44" s="1469"/>
      <c r="LKO44" s="1469"/>
      <c r="LKP44" s="1469"/>
      <c r="LKQ44" s="1469"/>
      <c r="LKR44" s="1469"/>
      <c r="LKS44" s="1469"/>
      <c r="LKT44" s="1469"/>
      <c r="LKU44" s="1469"/>
      <c r="LKV44" s="1469"/>
      <c r="LKW44" s="1469"/>
      <c r="LKX44" s="1469"/>
      <c r="LKY44" s="1469"/>
      <c r="LKZ44" s="1469"/>
      <c r="LLA44" s="1469"/>
      <c r="LLB44" s="1469"/>
      <c r="LLC44" s="1469"/>
      <c r="LLD44" s="1469"/>
      <c r="LLE44" s="1469"/>
      <c r="LLF44" s="1469"/>
      <c r="LLG44" s="1469"/>
      <c r="LLH44" s="1469"/>
      <c r="LLI44" s="1469"/>
      <c r="LLJ44" s="1469"/>
      <c r="LLK44" s="1469"/>
      <c r="LLL44" s="1469"/>
      <c r="LLM44" s="1469"/>
      <c r="LLN44" s="1469"/>
      <c r="LLO44" s="1469"/>
      <c r="LLP44" s="1469"/>
      <c r="LLQ44" s="1469"/>
      <c r="LLR44" s="1469"/>
      <c r="LLS44" s="1469"/>
      <c r="LLT44" s="1469"/>
      <c r="LLU44" s="1469"/>
      <c r="LLV44" s="1469"/>
      <c r="LLW44" s="1469"/>
      <c r="LLX44" s="1469"/>
      <c r="LLY44" s="1469"/>
      <c r="LLZ44" s="1469"/>
      <c r="LMA44" s="1469"/>
      <c r="LMB44" s="1469"/>
      <c r="LMC44" s="1469"/>
      <c r="LMD44" s="1469"/>
      <c r="LME44" s="1469"/>
      <c r="LMF44" s="1469"/>
      <c r="LMG44" s="1469"/>
      <c r="LMH44" s="1469"/>
      <c r="LMI44" s="1469"/>
      <c r="LMJ44" s="1469"/>
      <c r="LMK44" s="1469"/>
      <c r="LML44" s="1469"/>
      <c r="LMM44" s="1469"/>
      <c r="LMN44" s="1469"/>
      <c r="LMO44" s="1469"/>
      <c r="LMP44" s="1469"/>
      <c r="LMQ44" s="1469"/>
      <c r="LMR44" s="1469"/>
      <c r="LMS44" s="1469"/>
      <c r="LMT44" s="1469"/>
      <c r="LMU44" s="1469"/>
      <c r="LMV44" s="1469"/>
      <c r="LMW44" s="1469"/>
      <c r="LMX44" s="1469"/>
      <c r="LMY44" s="1469"/>
      <c r="LMZ44" s="1469"/>
      <c r="LNA44" s="1469"/>
      <c r="LNB44" s="1469"/>
      <c r="LNC44" s="1469"/>
      <c r="LND44" s="1469"/>
      <c r="LNE44" s="1469"/>
      <c r="LNF44" s="1469"/>
      <c r="LNG44" s="1469"/>
      <c r="LNH44" s="1469"/>
      <c r="LNI44" s="1469"/>
      <c r="LNJ44" s="1469"/>
      <c r="LNK44" s="1469"/>
      <c r="LNL44" s="1469"/>
      <c r="LNM44" s="1469"/>
      <c r="LNN44" s="1469"/>
      <c r="LNO44" s="1469"/>
      <c r="LNP44" s="1469"/>
      <c r="LNQ44" s="1469"/>
      <c r="LNR44" s="1469"/>
      <c r="LNS44" s="1469"/>
      <c r="LNT44" s="1469"/>
      <c r="LNU44" s="1469"/>
      <c r="LNV44" s="1469"/>
      <c r="LNW44" s="1469"/>
      <c r="LNX44" s="1469"/>
      <c r="LNY44" s="1469"/>
      <c r="LNZ44" s="1469"/>
      <c r="LOA44" s="1469"/>
      <c r="LOB44" s="1469"/>
      <c r="LOC44" s="1469"/>
      <c r="LOD44" s="1469"/>
      <c r="LOE44" s="1469"/>
      <c r="LOF44" s="1469"/>
      <c r="LOG44" s="1469"/>
      <c r="LOH44" s="1469"/>
      <c r="LOI44" s="1469"/>
      <c r="LOJ44" s="1469"/>
      <c r="LOK44" s="1469"/>
      <c r="LOL44" s="1469"/>
      <c r="LOM44" s="1469"/>
      <c r="LON44" s="1469"/>
      <c r="LOO44" s="1469"/>
      <c r="LOP44" s="1469"/>
      <c r="LOQ44" s="1469"/>
      <c r="LOR44" s="1469"/>
      <c r="LOS44" s="1469"/>
      <c r="LOT44" s="1469"/>
      <c r="LOU44" s="1469"/>
      <c r="LOV44" s="1469"/>
      <c r="LOW44" s="1469"/>
      <c r="LOX44" s="1469"/>
      <c r="LOY44" s="1469"/>
      <c r="LOZ44" s="1469"/>
      <c r="LPA44" s="1469"/>
      <c r="LPB44" s="1469"/>
      <c r="LPC44" s="1469"/>
      <c r="LPD44" s="1469"/>
      <c r="LPE44" s="1469"/>
      <c r="LPF44" s="1469"/>
      <c r="LPG44" s="1469"/>
      <c r="LPH44" s="1469"/>
      <c r="LPI44" s="1469"/>
      <c r="LPJ44" s="1469"/>
      <c r="LPK44" s="1469"/>
      <c r="LPL44" s="1469"/>
      <c r="LPM44" s="1469"/>
      <c r="LPN44" s="1469"/>
      <c r="LPO44" s="1469"/>
      <c r="LPP44" s="1469"/>
      <c r="LPQ44" s="1469"/>
      <c r="LPR44" s="1469"/>
      <c r="LPS44" s="1469"/>
      <c r="LPT44" s="1469"/>
      <c r="LPU44" s="1469"/>
      <c r="LPV44" s="1469"/>
      <c r="LPW44" s="1469"/>
      <c r="LPX44" s="1469"/>
      <c r="LPY44" s="1469"/>
      <c r="LPZ44" s="1469"/>
      <c r="LQA44" s="1469"/>
      <c r="LQB44" s="1469"/>
      <c r="LQC44" s="1469"/>
      <c r="LQD44" s="1469"/>
      <c r="LQE44" s="1469"/>
      <c r="LQF44" s="1469"/>
      <c r="LQG44" s="1469"/>
      <c r="LQH44" s="1469"/>
      <c r="LQI44" s="1469"/>
      <c r="LQJ44" s="1469"/>
      <c r="LQK44" s="1469"/>
      <c r="LQL44" s="1469"/>
      <c r="LQM44" s="1469"/>
      <c r="LQN44" s="1469"/>
      <c r="LQO44" s="1469"/>
      <c r="LQP44" s="1469"/>
      <c r="LQQ44" s="1469"/>
      <c r="LQR44" s="1469"/>
      <c r="LQS44" s="1469"/>
      <c r="LQT44" s="1469"/>
      <c r="LQU44" s="1469"/>
      <c r="LQV44" s="1469"/>
      <c r="LQW44" s="1469"/>
      <c r="LQX44" s="1469"/>
      <c r="LQY44" s="1469"/>
      <c r="LQZ44" s="1469"/>
      <c r="LRA44" s="1469"/>
      <c r="LRB44" s="1469"/>
      <c r="LRC44" s="1469"/>
      <c r="LRD44" s="1469"/>
      <c r="LRE44" s="1469"/>
      <c r="LRF44" s="1469"/>
      <c r="LRG44" s="1469"/>
      <c r="LRH44" s="1469"/>
      <c r="LRI44" s="1469"/>
      <c r="LRJ44" s="1469"/>
      <c r="LRK44" s="1469"/>
      <c r="LRL44" s="1469"/>
      <c r="LRM44" s="1469"/>
      <c r="LRN44" s="1469"/>
      <c r="LRO44" s="1469"/>
      <c r="LRP44" s="1469"/>
      <c r="LRQ44" s="1469"/>
      <c r="LRR44" s="1469"/>
      <c r="LRS44" s="1469"/>
      <c r="LRT44" s="1469"/>
      <c r="LRU44" s="1469"/>
      <c r="LRV44" s="1469"/>
      <c r="LRW44" s="1469"/>
      <c r="LRX44" s="1469"/>
      <c r="LRY44" s="1469"/>
      <c r="LRZ44" s="1469"/>
      <c r="LSA44" s="1469"/>
      <c r="LSB44" s="1469"/>
      <c r="LSC44" s="1469"/>
      <c r="LSD44" s="1469"/>
      <c r="LSE44" s="1469"/>
      <c r="LSF44" s="1469"/>
      <c r="LSG44" s="1469"/>
      <c r="LSH44" s="1469"/>
      <c r="LSI44" s="1469"/>
      <c r="LSJ44" s="1469"/>
      <c r="LSK44" s="1469"/>
      <c r="LSL44" s="1469"/>
      <c r="LSM44" s="1469"/>
      <c r="LSN44" s="1469"/>
      <c r="LSO44" s="1469"/>
      <c r="LSP44" s="1469"/>
      <c r="LSQ44" s="1469"/>
      <c r="LSR44" s="1469"/>
      <c r="LSS44" s="1469"/>
      <c r="LST44" s="1469"/>
      <c r="LSU44" s="1469"/>
      <c r="LSV44" s="1469"/>
      <c r="LSW44" s="1469"/>
      <c r="LSX44" s="1469"/>
      <c r="LSY44" s="1469"/>
      <c r="LSZ44" s="1469"/>
      <c r="LTA44" s="1469"/>
      <c r="LTB44" s="1469"/>
      <c r="LTC44" s="1469"/>
      <c r="LTD44" s="1469"/>
      <c r="LTE44" s="1469"/>
      <c r="LTF44" s="1469"/>
      <c r="LTG44" s="1469"/>
      <c r="LTH44" s="1469"/>
      <c r="LTI44" s="1469"/>
      <c r="LTJ44" s="1469"/>
      <c r="LTK44" s="1469"/>
      <c r="LTL44" s="1469"/>
      <c r="LTM44" s="1469"/>
      <c r="LTN44" s="1469"/>
      <c r="LTO44" s="1469"/>
      <c r="LTP44" s="1469"/>
      <c r="LTQ44" s="1469"/>
      <c r="LTR44" s="1469"/>
      <c r="LTS44" s="1469"/>
      <c r="LTT44" s="1469"/>
      <c r="LTU44" s="1469"/>
      <c r="LTV44" s="1469"/>
      <c r="LTW44" s="1469"/>
      <c r="LTX44" s="1469"/>
      <c r="LTY44" s="1469"/>
      <c r="LTZ44" s="1469"/>
      <c r="LUA44" s="1469"/>
      <c r="LUB44" s="1469"/>
      <c r="LUC44" s="1469"/>
      <c r="LUD44" s="1469"/>
      <c r="LUE44" s="1469"/>
      <c r="LUF44" s="1469"/>
      <c r="LUG44" s="1469"/>
      <c r="LUH44" s="1469"/>
      <c r="LUI44" s="1469"/>
      <c r="LUJ44" s="1469"/>
      <c r="LUK44" s="1469"/>
      <c r="LUL44" s="1469"/>
      <c r="LUM44" s="1469"/>
      <c r="LUN44" s="1469"/>
      <c r="LUO44" s="1469"/>
      <c r="LUP44" s="1469"/>
      <c r="LUQ44" s="1469"/>
      <c r="LUR44" s="1469"/>
      <c r="LUS44" s="1469"/>
      <c r="LUT44" s="1469"/>
      <c r="LUU44" s="1469"/>
      <c r="LUV44" s="1469"/>
      <c r="LUW44" s="1469"/>
      <c r="LUX44" s="1469"/>
      <c r="LUY44" s="1469"/>
      <c r="LUZ44" s="1469"/>
      <c r="LVA44" s="1469"/>
      <c r="LVB44" s="1469"/>
      <c r="LVC44" s="1469"/>
      <c r="LVD44" s="1469"/>
      <c r="LVE44" s="1469"/>
      <c r="LVF44" s="1469"/>
      <c r="LVG44" s="1469"/>
      <c r="LVH44" s="1469"/>
      <c r="LVI44" s="1469"/>
      <c r="LVJ44" s="1469"/>
      <c r="LVK44" s="1469"/>
      <c r="LVL44" s="1469"/>
      <c r="LVM44" s="1469"/>
      <c r="LVN44" s="1469"/>
      <c r="LVO44" s="1469"/>
      <c r="LVP44" s="1469"/>
      <c r="LVQ44" s="1469"/>
      <c r="LVR44" s="1469"/>
      <c r="LVS44" s="1469"/>
      <c r="LVT44" s="1469"/>
      <c r="LVU44" s="1469"/>
      <c r="LVV44" s="1469"/>
      <c r="LVW44" s="1469"/>
      <c r="LVX44" s="1469"/>
      <c r="LVY44" s="1469"/>
      <c r="LVZ44" s="1469"/>
      <c r="LWA44" s="1469"/>
      <c r="LWB44" s="1469"/>
      <c r="LWC44" s="1469"/>
      <c r="LWD44" s="1469"/>
      <c r="LWE44" s="1469"/>
      <c r="LWF44" s="1469"/>
      <c r="LWG44" s="1469"/>
      <c r="LWH44" s="1469"/>
      <c r="LWI44" s="1469"/>
      <c r="LWJ44" s="1469"/>
      <c r="LWK44" s="1469"/>
      <c r="LWL44" s="1469"/>
      <c r="LWM44" s="1469"/>
      <c r="LWN44" s="1469"/>
      <c r="LWO44" s="1469"/>
      <c r="LWP44" s="1469"/>
      <c r="LWQ44" s="1469"/>
      <c r="LWR44" s="1469"/>
      <c r="LWS44" s="1469"/>
      <c r="LWT44" s="1469"/>
      <c r="LWU44" s="1469"/>
      <c r="LWV44" s="1469"/>
      <c r="LWW44" s="1469"/>
      <c r="LWX44" s="1469"/>
      <c r="LWY44" s="1469"/>
      <c r="LWZ44" s="1469"/>
      <c r="LXA44" s="1469"/>
      <c r="LXB44" s="1469"/>
      <c r="LXC44" s="1469"/>
      <c r="LXD44" s="1469"/>
      <c r="LXE44" s="1469"/>
      <c r="LXF44" s="1469"/>
      <c r="LXG44" s="1469"/>
      <c r="LXH44" s="1469"/>
      <c r="LXI44" s="1469"/>
      <c r="LXJ44" s="1469"/>
      <c r="LXK44" s="1469"/>
      <c r="LXL44" s="1469"/>
      <c r="LXM44" s="1469"/>
      <c r="LXN44" s="1469"/>
      <c r="LXO44" s="1469"/>
      <c r="LXP44" s="1469"/>
      <c r="LXQ44" s="1469"/>
      <c r="LXR44" s="1469"/>
      <c r="LXS44" s="1469"/>
      <c r="LXT44" s="1469"/>
      <c r="LXU44" s="1469"/>
      <c r="LXV44" s="1469"/>
      <c r="LXW44" s="1469"/>
      <c r="LXX44" s="1469"/>
      <c r="LXY44" s="1469"/>
      <c r="LXZ44" s="1469"/>
      <c r="LYA44" s="1469"/>
      <c r="LYB44" s="1469"/>
      <c r="LYC44" s="1469"/>
      <c r="LYD44" s="1469"/>
      <c r="LYE44" s="1469"/>
      <c r="LYF44" s="1469"/>
      <c r="LYG44" s="1469"/>
      <c r="LYH44" s="1469"/>
      <c r="LYI44" s="1469"/>
      <c r="LYJ44" s="1469"/>
      <c r="LYK44" s="1469"/>
      <c r="LYL44" s="1469"/>
      <c r="LYM44" s="1469"/>
      <c r="LYN44" s="1469"/>
      <c r="LYO44" s="1469"/>
      <c r="LYP44" s="1469"/>
      <c r="LYQ44" s="1469"/>
      <c r="LYR44" s="1469"/>
      <c r="LYS44" s="1469"/>
      <c r="LYT44" s="1469"/>
      <c r="LYU44" s="1469"/>
      <c r="LYV44" s="1469"/>
      <c r="LYW44" s="1469"/>
      <c r="LYX44" s="1469"/>
      <c r="LYY44" s="1469"/>
      <c r="LYZ44" s="1469"/>
      <c r="LZA44" s="1469"/>
      <c r="LZB44" s="1469"/>
      <c r="LZC44" s="1469"/>
      <c r="LZD44" s="1469"/>
      <c r="LZE44" s="1469"/>
      <c r="LZF44" s="1469"/>
      <c r="LZG44" s="1469"/>
      <c r="LZH44" s="1469"/>
      <c r="LZI44" s="1469"/>
      <c r="LZJ44" s="1469"/>
      <c r="LZK44" s="1469"/>
      <c r="LZL44" s="1469"/>
      <c r="LZM44" s="1469"/>
      <c r="LZN44" s="1469"/>
      <c r="LZO44" s="1469"/>
      <c r="LZP44" s="1469"/>
      <c r="LZQ44" s="1469"/>
      <c r="LZR44" s="1469"/>
      <c r="LZS44" s="1469"/>
      <c r="LZT44" s="1469"/>
      <c r="LZU44" s="1469"/>
      <c r="LZV44" s="1469"/>
      <c r="LZW44" s="1469"/>
      <c r="LZX44" s="1469"/>
      <c r="LZY44" s="1469"/>
      <c r="LZZ44" s="1469"/>
      <c r="MAA44" s="1469"/>
      <c r="MAB44" s="1469"/>
      <c r="MAC44" s="1469"/>
      <c r="MAD44" s="1469"/>
      <c r="MAE44" s="1469"/>
      <c r="MAF44" s="1469"/>
      <c r="MAG44" s="1469"/>
      <c r="MAH44" s="1469"/>
      <c r="MAI44" s="1469"/>
      <c r="MAJ44" s="1469"/>
      <c r="MAK44" s="1469"/>
      <c r="MAL44" s="1469"/>
      <c r="MAM44" s="1469"/>
      <c r="MAN44" s="1469"/>
      <c r="MAO44" s="1469"/>
      <c r="MAP44" s="1469"/>
      <c r="MAQ44" s="1469"/>
      <c r="MAR44" s="1469"/>
      <c r="MAS44" s="1469"/>
      <c r="MAT44" s="1469"/>
      <c r="MAU44" s="1469"/>
      <c r="MAV44" s="1469"/>
      <c r="MAW44" s="1469"/>
      <c r="MAX44" s="1469"/>
      <c r="MAY44" s="1469"/>
      <c r="MAZ44" s="1469"/>
      <c r="MBA44" s="1469"/>
      <c r="MBB44" s="1469"/>
      <c r="MBC44" s="1469"/>
      <c r="MBD44" s="1469"/>
      <c r="MBE44" s="1469"/>
      <c r="MBF44" s="1469"/>
      <c r="MBG44" s="1469"/>
      <c r="MBH44" s="1469"/>
      <c r="MBI44" s="1469"/>
      <c r="MBJ44" s="1469"/>
      <c r="MBK44" s="1469"/>
      <c r="MBL44" s="1469"/>
      <c r="MBM44" s="1469"/>
      <c r="MBN44" s="1469"/>
      <c r="MBO44" s="1469"/>
      <c r="MBP44" s="1469"/>
      <c r="MBQ44" s="1469"/>
      <c r="MBR44" s="1469"/>
      <c r="MBS44" s="1469"/>
      <c r="MBT44" s="1469"/>
      <c r="MBU44" s="1469"/>
      <c r="MBV44" s="1469"/>
      <c r="MBW44" s="1469"/>
      <c r="MBX44" s="1469"/>
      <c r="MBY44" s="1469"/>
      <c r="MBZ44" s="1469"/>
      <c r="MCA44" s="1469"/>
      <c r="MCB44" s="1469"/>
      <c r="MCC44" s="1469"/>
      <c r="MCD44" s="1469"/>
      <c r="MCE44" s="1469"/>
      <c r="MCF44" s="1469"/>
      <c r="MCG44" s="1469"/>
      <c r="MCH44" s="1469"/>
      <c r="MCI44" s="1469"/>
      <c r="MCJ44" s="1469"/>
      <c r="MCK44" s="1469"/>
      <c r="MCL44" s="1469"/>
      <c r="MCM44" s="1469"/>
      <c r="MCN44" s="1469"/>
      <c r="MCO44" s="1469"/>
      <c r="MCP44" s="1469"/>
      <c r="MCQ44" s="1469"/>
      <c r="MCR44" s="1469"/>
      <c r="MCS44" s="1469"/>
      <c r="MCT44" s="1469"/>
      <c r="MCU44" s="1469"/>
      <c r="MCV44" s="1469"/>
      <c r="MCW44" s="1469"/>
      <c r="MCX44" s="1469"/>
      <c r="MCY44" s="1469"/>
      <c r="MCZ44" s="1469"/>
      <c r="MDA44" s="1469"/>
      <c r="MDB44" s="1469"/>
      <c r="MDC44" s="1469"/>
      <c r="MDD44" s="1469"/>
      <c r="MDE44" s="1469"/>
      <c r="MDF44" s="1469"/>
      <c r="MDG44" s="1469"/>
      <c r="MDH44" s="1469"/>
      <c r="MDI44" s="1469"/>
      <c r="MDJ44" s="1469"/>
      <c r="MDK44" s="1469"/>
      <c r="MDL44" s="1469"/>
      <c r="MDM44" s="1469"/>
      <c r="MDN44" s="1469"/>
      <c r="MDO44" s="1469"/>
      <c r="MDP44" s="1469"/>
      <c r="MDQ44" s="1469"/>
      <c r="MDR44" s="1469"/>
      <c r="MDS44" s="1469"/>
      <c r="MDT44" s="1469"/>
      <c r="MDU44" s="1469"/>
      <c r="MDV44" s="1469"/>
      <c r="MDW44" s="1469"/>
      <c r="MDX44" s="1469"/>
      <c r="MDY44" s="1469"/>
      <c r="MDZ44" s="1469"/>
      <c r="MEA44" s="1469"/>
      <c r="MEB44" s="1469"/>
      <c r="MEC44" s="1469"/>
      <c r="MED44" s="1469"/>
      <c r="MEE44" s="1469"/>
      <c r="MEF44" s="1469"/>
      <c r="MEG44" s="1469"/>
      <c r="MEH44" s="1469"/>
      <c r="MEI44" s="1469"/>
      <c r="MEJ44" s="1469"/>
      <c r="MEK44" s="1469"/>
      <c r="MEL44" s="1469"/>
      <c r="MEM44" s="1469"/>
      <c r="MEN44" s="1469"/>
      <c r="MEO44" s="1469"/>
      <c r="MEP44" s="1469"/>
      <c r="MEQ44" s="1469"/>
      <c r="MER44" s="1469"/>
      <c r="MES44" s="1469"/>
      <c r="MET44" s="1469"/>
      <c r="MEU44" s="1469"/>
      <c r="MEV44" s="1469"/>
      <c r="MEW44" s="1469"/>
      <c r="MEX44" s="1469"/>
      <c r="MEY44" s="1469"/>
      <c r="MEZ44" s="1469"/>
      <c r="MFA44" s="1469"/>
      <c r="MFB44" s="1469"/>
      <c r="MFC44" s="1469"/>
      <c r="MFD44" s="1469"/>
      <c r="MFE44" s="1469"/>
      <c r="MFF44" s="1469"/>
      <c r="MFG44" s="1469"/>
      <c r="MFH44" s="1469"/>
      <c r="MFI44" s="1469"/>
      <c r="MFJ44" s="1469"/>
      <c r="MFK44" s="1469"/>
      <c r="MFL44" s="1469"/>
      <c r="MFM44" s="1469"/>
      <c r="MFN44" s="1469"/>
      <c r="MFO44" s="1469"/>
      <c r="MFP44" s="1469"/>
      <c r="MFQ44" s="1469"/>
      <c r="MFR44" s="1469"/>
      <c r="MFS44" s="1469"/>
      <c r="MFT44" s="1469"/>
      <c r="MFU44" s="1469"/>
      <c r="MFV44" s="1469"/>
      <c r="MFW44" s="1469"/>
      <c r="MFX44" s="1469"/>
      <c r="MFY44" s="1469"/>
      <c r="MFZ44" s="1469"/>
      <c r="MGA44" s="1469"/>
      <c r="MGB44" s="1469"/>
      <c r="MGC44" s="1469"/>
      <c r="MGD44" s="1469"/>
      <c r="MGE44" s="1469"/>
      <c r="MGF44" s="1469"/>
      <c r="MGG44" s="1469"/>
      <c r="MGH44" s="1469"/>
      <c r="MGI44" s="1469"/>
      <c r="MGJ44" s="1469"/>
      <c r="MGK44" s="1469"/>
      <c r="MGL44" s="1469"/>
      <c r="MGM44" s="1469"/>
      <c r="MGN44" s="1469"/>
      <c r="MGO44" s="1469"/>
      <c r="MGP44" s="1469"/>
      <c r="MGQ44" s="1469"/>
      <c r="MGR44" s="1469"/>
      <c r="MGS44" s="1469"/>
      <c r="MGT44" s="1469"/>
      <c r="MGU44" s="1469"/>
      <c r="MGV44" s="1469"/>
      <c r="MGW44" s="1469"/>
      <c r="MGX44" s="1469"/>
      <c r="MGY44" s="1469"/>
      <c r="MGZ44" s="1469"/>
      <c r="MHA44" s="1469"/>
      <c r="MHB44" s="1469"/>
      <c r="MHC44" s="1469"/>
      <c r="MHD44" s="1469"/>
      <c r="MHE44" s="1469"/>
      <c r="MHF44" s="1469"/>
      <c r="MHG44" s="1469"/>
      <c r="MHH44" s="1469"/>
      <c r="MHI44" s="1469"/>
      <c r="MHJ44" s="1469"/>
      <c r="MHK44" s="1469"/>
      <c r="MHL44" s="1469"/>
      <c r="MHM44" s="1469"/>
      <c r="MHN44" s="1469"/>
      <c r="MHO44" s="1469"/>
      <c r="MHP44" s="1469"/>
      <c r="MHQ44" s="1469"/>
      <c r="MHR44" s="1469"/>
      <c r="MHS44" s="1469"/>
      <c r="MHT44" s="1469"/>
      <c r="MHU44" s="1469"/>
      <c r="MHV44" s="1469"/>
      <c r="MHW44" s="1469"/>
      <c r="MHX44" s="1469"/>
      <c r="MHY44" s="1469"/>
      <c r="MHZ44" s="1469"/>
      <c r="MIA44" s="1469"/>
      <c r="MIB44" s="1469"/>
      <c r="MIC44" s="1469"/>
      <c r="MID44" s="1469"/>
      <c r="MIE44" s="1469"/>
      <c r="MIF44" s="1469"/>
      <c r="MIG44" s="1469"/>
      <c r="MIH44" s="1469"/>
      <c r="MII44" s="1469"/>
      <c r="MIJ44" s="1469"/>
      <c r="MIK44" s="1469"/>
      <c r="MIL44" s="1469"/>
      <c r="MIM44" s="1469"/>
      <c r="MIN44" s="1469"/>
      <c r="MIO44" s="1469"/>
      <c r="MIP44" s="1469"/>
      <c r="MIQ44" s="1469"/>
      <c r="MIR44" s="1469"/>
      <c r="MIS44" s="1469"/>
      <c r="MIT44" s="1469"/>
      <c r="MIU44" s="1469"/>
      <c r="MIV44" s="1469"/>
      <c r="MIW44" s="1469"/>
      <c r="MIX44" s="1469"/>
      <c r="MIY44" s="1469"/>
      <c r="MIZ44" s="1469"/>
      <c r="MJA44" s="1469"/>
      <c r="MJB44" s="1469"/>
      <c r="MJC44" s="1469"/>
      <c r="MJD44" s="1469"/>
      <c r="MJE44" s="1469"/>
      <c r="MJF44" s="1469"/>
      <c r="MJG44" s="1469"/>
      <c r="MJH44" s="1469"/>
      <c r="MJI44" s="1469"/>
      <c r="MJJ44" s="1469"/>
      <c r="MJK44" s="1469"/>
      <c r="MJL44" s="1469"/>
      <c r="MJM44" s="1469"/>
      <c r="MJN44" s="1469"/>
      <c r="MJO44" s="1469"/>
      <c r="MJP44" s="1469"/>
      <c r="MJQ44" s="1469"/>
      <c r="MJR44" s="1469"/>
      <c r="MJS44" s="1469"/>
      <c r="MJT44" s="1469"/>
      <c r="MJU44" s="1469"/>
      <c r="MJV44" s="1469"/>
      <c r="MJW44" s="1469"/>
      <c r="MJX44" s="1469"/>
      <c r="MJY44" s="1469"/>
      <c r="MJZ44" s="1469"/>
      <c r="MKA44" s="1469"/>
      <c r="MKB44" s="1469"/>
      <c r="MKC44" s="1469"/>
      <c r="MKD44" s="1469"/>
      <c r="MKE44" s="1469"/>
      <c r="MKF44" s="1469"/>
      <c r="MKG44" s="1469"/>
      <c r="MKH44" s="1469"/>
      <c r="MKI44" s="1469"/>
      <c r="MKJ44" s="1469"/>
      <c r="MKK44" s="1469"/>
      <c r="MKL44" s="1469"/>
      <c r="MKM44" s="1469"/>
      <c r="MKN44" s="1469"/>
      <c r="MKO44" s="1469"/>
      <c r="MKP44" s="1469"/>
      <c r="MKQ44" s="1469"/>
      <c r="MKR44" s="1469"/>
      <c r="MKS44" s="1469"/>
      <c r="MKT44" s="1469"/>
      <c r="MKU44" s="1469"/>
      <c r="MKV44" s="1469"/>
      <c r="MKW44" s="1469"/>
      <c r="MKX44" s="1469"/>
      <c r="MKY44" s="1469"/>
      <c r="MKZ44" s="1469"/>
      <c r="MLA44" s="1469"/>
      <c r="MLB44" s="1469"/>
      <c r="MLC44" s="1469"/>
      <c r="MLD44" s="1469"/>
      <c r="MLE44" s="1469"/>
      <c r="MLF44" s="1469"/>
      <c r="MLG44" s="1469"/>
      <c r="MLH44" s="1469"/>
      <c r="MLI44" s="1469"/>
      <c r="MLJ44" s="1469"/>
      <c r="MLK44" s="1469"/>
      <c r="MLL44" s="1469"/>
      <c r="MLM44" s="1469"/>
      <c r="MLN44" s="1469"/>
      <c r="MLO44" s="1469"/>
      <c r="MLP44" s="1469"/>
      <c r="MLQ44" s="1469"/>
      <c r="MLR44" s="1469"/>
      <c r="MLS44" s="1469"/>
      <c r="MLT44" s="1469"/>
      <c r="MLU44" s="1469"/>
      <c r="MLV44" s="1469"/>
      <c r="MLW44" s="1469"/>
      <c r="MLX44" s="1469"/>
      <c r="MLY44" s="1469"/>
      <c r="MLZ44" s="1469"/>
      <c r="MMA44" s="1469"/>
      <c r="MMB44" s="1469"/>
      <c r="MMC44" s="1469"/>
      <c r="MMD44" s="1469"/>
      <c r="MME44" s="1469"/>
      <c r="MMF44" s="1469"/>
      <c r="MMG44" s="1469"/>
      <c r="MMH44" s="1469"/>
      <c r="MMI44" s="1469"/>
      <c r="MMJ44" s="1469"/>
      <c r="MMK44" s="1469"/>
      <c r="MML44" s="1469"/>
      <c r="MMM44" s="1469"/>
      <c r="MMN44" s="1469"/>
      <c r="MMO44" s="1469"/>
      <c r="MMP44" s="1469"/>
      <c r="MMQ44" s="1469"/>
      <c r="MMR44" s="1469"/>
      <c r="MMS44" s="1469"/>
      <c r="MMT44" s="1469"/>
      <c r="MMU44" s="1469"/>
      <c r="MMV44" s="1469"/>
      <c r="MMW44" s="1469"/>
      <c r="MMX44" s="1469"/>
      <c r="MMY44" s="1469"/>
      <c r="MMZ44" s="1469"/>
      <c r="MNA44" s="1469"/>
      <c r="MNB44" s="1469"/>
      <c r="MNC44" s="1469"/>
      <c r="MND44" s="1469"/>
      <c r="MNE44" s="1469"/>
      <c r="MNF44" s="1469"/>
      <c r="MNG44" s="1469"/>
      <c r="MNH44" s="1469"/>
      <c r="MNI44" s="1469"/>
      <c r="MNJ44" s="1469"/>
      <c r="MNK44" s="1469"/>
      <c r="MNL44" s="1469"/>
      <c r="MNM44" s="1469"/>
      <c r="MNN44" s="1469"/>
      <c r="MNO44" s="1469"/>
      <c r="MNP44" s="1469"/>
      <c r="MNQ44" s="1469"/>
      <c r="MNR44" s="1469"/>
      <c r="MNS44" s="1469"/>
      <c r="MNT44" s="1469"/>
      <c r="MNU44" s="1469"/>
      <c r="MNV44" s="1469"/>
      <c r="MNW44" s="1469"/>
      <c r="MNX44" s="1469"/>
      <c r="MNY44" s="1469"/>
      <c r="MNZ44" s="1469"/>
      <c r="MOA44" s="1469"/>
      <c r="MOB44" s="1469"/>
      <c r="MOC44" s="1469"/>
      <c r="MOD44" s="1469"/>
      <c r="MOE44" s="1469"/>
      <c r="MOF44" s="1469"/>
      <c r="MOG44" s="1469"/>
      <c r="MOH44" s="1469"/>
      <c r="MOI44" s="1469"/>
      <c r="MOJ44" s="1469"/>
      <c r="MOK44" s="1469"/>
      <c r="MOL44" s="1469"/>
      <c r="MOM44" s="1469"/>
      <c r="MON44" s="1469"/>
      <c r="MOO44" s="1469"/>
      <c r="MOP44" s="1469"/>
      <c r="MOQ44" s="1469"/>
      <c r="MOR44" s="1469"/>
      <c r="MOS44" s="1469"/>
      <c r="MOT44" s="1469"/>
      <c r="MOU44" s="1469"/>
      <c r="MOV44" s="1469"/>
      <c r="MOW44" s="1469"/>
      <c r="MOX44" s="1469"/>
      <c r="MOY44" s="1469"/>
      <c r="MOZ44" s="1469"/>
      <c r="MPA44" s="1469"/>
      <c r="MPB44" s="1469"/>
      <c r="MPC44" s="1469"/>
      <c r="MPD44" s="1469"/>
      <c r="MPE44" s="1469"/>
      <c r="MPF44" s="1469"/>
      <c r="MPG44" s="1469"/>
      <c r="MPH44" s="1469"/>
      <c r="MPI44" s="1469"/>
      <c r="MPJ44" s="1469"/>
      <c r="MPK44" s="1469"/>
      <c r="MPL44" s="1469"/>
      <c r="MPM44" s="1469"/>
      <c r="MPN44" s="1469"/>
      <c r="MPO44" s="1469"/>
      <c r="MPP44" s="1469"/>
      <c r="MPQ44" s="1469"/>
      <c r="MPR44" s="1469"/>
      <c r="MPS44" s="1469"/>
      <c r="MPT44" s="1469"/>
      <c r="MPU44" s="1469"/>
      <c r="MPV44" s="1469"/>
      <c r="MPW44" s="1469"/>
      <c r="MPX44" s="1469"/>
      <c r="MPY44" s="1469"/>
      <c r="MPZ44" s="1469"/>
      <c r="MQA44" s="1469"/>
      <c r="MQB44" s="1469"/>
      <c r="MQC44" s="1469"/>
      <c r="MQD44" s="1469"/>
      <c r="MQE44" s="1469"/>
      <c r="MQF44" s="1469"/>
      <c r="MQG44" s="1469"/>
      <c r="MQH44" s="1469"/>
      <c r="MQI44" s="1469"/>
      <c r="MQJ44" s="1469"/>
      <c r="MQK44" s="1469"/>
      <c r="MQL44" s="1469"/>
      <c r="MQM44" s="1469"/>
      <c r="MQN44" s="1469"/>
      <c r="MQO44" s="1469"/>
      <c r="MQP44" s="1469"/>
      <c r="MQQ44" s="1469"/>
      <c r="MQR44" s="1469"/>
      <c r="MQS44" s="1469"/>
      <c r="MQT44" s="1469"/>
      <c r="MQU44" s="1469"/>
      <c r="MQV44" s="1469"/>
      <c r="MQW44" s="1469"/>
      <c r="MQX44" s="1469"/>
      <c r="MQY44" s="1469"/>
      <c r="MQZ44" s="1469"/>
      <c r="MRA44" s="1469"/>
      <c r="MRB44" s="1469"/>
      <c r="MRC44" s="1469"/>
      <c r="MRD44" s="1469"/>
      <c r="MRE44" s="1469"/>
      <c r="MRF44" s="1469"/>
      <c r="MRG44" s="1469"/>
      <c r="MRH44" s="1469"/>
      <c r="MRI44" s="1469"/>
      <c r="MRJ44" s="1469"/>
      <c r="MRK44" s="1469"/>
      <c r="MRL44" s="1469"/>
      <c r="MRM44" s="1469"/>
      <c r="MRN44" s="1469"/>
      <c r="MRO44" s="1469"/>
      <c r="MRP44" s="1469"/>
      <c r="MRQ44" s="1469"/>
      <c r="MRR44" s="1469"/>
      <c r="MRS44" s="1469"/>
      <c r="MRT44" s="1469"/>
      <c r="MRU44" s="1469"/>
      <c r="MRV44" s="1469"/>
      <c r="MRW44" s="1469"/>
      <c r="MRX44" s="1469"/>
      <c r="MRY44" s="1469"/>
      <c r="MRZ44" s="1469"/>
      <c r="MSA44" s="1469"/>
      <c r="MSB44" s="1469"/>
      <c r="MSC44" s="1469"/>
      <c r="MSD44" s="1469"/>
      <c r="MSE44" s="1469"/>
      <c r="MSF44" s="1469"/>
      <c r="MSG44" s="1469"/>
      <c r="MSH44" s="1469"/>
      <c r="MSI44" s="1469"/>
      <c r="MSJ44" s="1469"/>
      <c r="MSK44" s="1469"/>
      <c r="MSL44" s="1469"/>
      <c r="MSM44" s="1469"/>
      <c r="MSN44" s="1469"/>
      <c r="MSO44" s="1469"/>
      <c r="MSP44" s="1469"/>
      <c r="MSQ44" s="1469"/>
      <c r="MSR44" s="1469"/>
      <c r="MSS44" s="1469"/>
      <c r="MST44" s="1469"/>
      <c r="MSU44" s="1469"/>
      <c r="MSV44" s="1469"/>
      <c r="MSW44" s="1469"/>
      <c r="MSX44" s="1469"/>
      <c r="MSY44" s="1469"/>
      <c r="MSZ44" s="1469"/>
      <c r="MTA44" s="1469"/>
      <c r="MTB44" s="1469"/>
      <c r="MTC44" s="1469"/>
      <c r="MTD44" s="1469"/>
      <c r="MTE44" s="1469"/>
      <c r="MTF44" s="1469"/>
      <c r="MTG44" s="1469"/>
      <c r="MTH44" s="1469"/>
      <c r="MTI44" s="1469"/>
      <c r="MTJ44" s="1469"/>
      <c r="MTK44" s="1469"/>
      <c r="MTL44" s="1469"/>
      <c r="MTM44" s="1469"/>
      <c r="MTN44" s="1469"/>
      <c r="MTO44" s="1469"/>
      <c r="MTP44" s="1469"/>
      <c r="MTQ44" s="1469"/>
      <c r="MTR44" s="1469"/>
      <c r="MTS44" s="1469"/>
      <c r="MTT44" s="1469"/>
      <c r="MTU44" s="1469"/>
      <c r="MTV44" s="1469"/>
      <c r="MTW44" s="1469"/>
      <c r="MTX44" s="1469"/>
      <c r="MTY44" s="1469"/>
      <c r="MTZ44" s="1469"/>
      <c r="MUA44" s="1469"/>
      <c r="MUB44" s="1469"/>
      <c r="MUC44" s="1469"/>
      <c r="MUD44" s="1469"/>
      <c r="MUE44" s="1469"/>
      <c r="MUF44" s="1469"/>
      <c r="MUG44" s="1469"/>
      <c r="MUH44" s="1469"/>
      <c r="MUI44" s="1469"/>
      <c r="MUJ44" s="1469"/>
      <c r="MUK44" s="1469"/>
      <c r="MUL44" s="1469"/>
      <c r="MUM44" s="1469"/>
      <c r="MUN44" s="1469"/>
      <c r="MUO44" s="1469"/>
      <c r="MUP44" s="1469"/>
      <c r="MUQ44" s="1469"/>
      <c r="MUR44" s="1469"/>
      <c r="MUS44" s="1469"/>
      <c r="MUT44" s="1469"/>
      <c r="MUU44" s="1469"/>
      <c r="MUV44" s="1469"/>
      <c r="MUW44" s="1469"/>
      <c r="MUX44" s="1469"/>
      <c r="MUY44" s="1469"/>
      <c r="MUZ44" s="1469"/>
      <c r="MVA44" s="1469"/>
      <c r="MVB44" s="1469"/>
      <c r="MVC44" s="1469"/>
      <c r="MVD44" s="1469"/>
      <c r="MVE44" s="1469"/>
      <c r="MVF44" s="1469"/>
      <c r="MVG44" s="1469"/>
      <c r="MVH44" s="1469"/>
      <c r="MVI44" s="1469"/>
      <c r="MVJ44" s="1469"/>
      <c r="MVK44" s="1469"/>
      <c r="MVL44" s="1469"/>
      <c r="MVM44" s="1469"/>
      <c r="MVN44" s="1469"/>
      <c r="MVO44" s="1469"/>
      <c r="MVP44" s="1469"/>
      <c r="MVQ44" s="1469"/>
      <c r="MVR44" s="1469"/>
      <c r="MVS44" s="1469"/>
      <c r="MVT44" s="1469"/>
      <c r="MVU44" s="1469"/>
      <c r="MVV44" s="1469"/>
      <c r="MVW44" s="1469"/>
      <c r="MVX44" s="1469"/>
      <c r="MVY44" s="1469"/>
      <c r="MVZ44" s="1469"/>
      <c r="MWA44" s="1469"/>
      <c r="MWB44" s="1469"/>
      <c r="MWC44" s="1469"/>
      <c r="MWD44" s="1469"/>
      <c r="MWE44" s="1469"/>
      <c r="MWF44" s="1469"/>
      <c r="MWG44" s="1469"/>
      <c r="MWH44" s="1469"/>
      <c r="MWI44" s="1469"/>
      <c r="MWJ44" s="1469"/>
      <c r="MWK44" s="1469"/>
      <c r="MWL44" s="1469"/>
      <c r="MWM44" s="1469"/>
      <c r="MWN44" s="1469"/>
      <c r="MWO44" s="1469"/>
      <c r="MWP44" s="1469"/>
      <c r="MWQ44" s="1469"/>
      <c r="MWR44" s="1469"/>
      <c r="MWS44" s="1469"/>
      <c r="MWT44" s="1469"/>
      <c r="MWU44" s="1469"/>
      <c r="MWV44" s="1469"/>
      <c r="MWW44" s="1469"/>
      <c r="MWX44" s="1469"/>
      <c r="MWY44" s="1469"/>
      <c r="MWZ44" s="1469"/>
      <c r="MXA44" s="1469"/>
      <c r="MXB44" s="1469"/>
      <c r="MXC44" s="1469"/>
      <c r="MXD44" s="1469"/>
      <c r="MXE44" s="1469"/>
      <c r="MXF44" s="1469"/>
      <c r="MXG44" s="1469"/>
      <c r="MXH44" s="1469"/>
      <c r="MXI44" s="1469"/>
      <c r="MXJ44" s="1469"/>
      <c r="MXK44" s="1469"/>
      <c r="MXL44" s="1469"/>
      <c r="MXM44" s="1469"/>
      <c r="MXN44" s="1469"/>
      <c r="MXO44" s="1469"/>
      <c r="MXP44" s="1469"/>
      <c r="MXQ44" s="1469"/>
      <c r="MXR44" s="1469"/>
      <c r="MXS44" s="1469"/>
      <c r="MXT44" s="1469"/>
      <c r="MXU44" s="1469"/>
      <c r="MXV44" s="1469"/>
      <c r="MXW44" s="1469"/>
      <c r="MXX44" s="1469"/>
      <c r="MXY44" s="1469"/>
      <c r="MXZ44" s="1469"/>
      <c r="MYA44" s="1469"/>
      <c r="MYB44" s="1469"/>
      <c r="MYC44" s="1469"/>
      <c r="MYD44" s="1469"/>
      <c r="MYE44" s="1469"/>
      <c r="MYF44" s="1469"/>
      <c r="MYG44" s="1469"/>
      <c r="MYH44" s="1469"/>
      <c r="MYI44" s="1469"/>
      <c r="MYJ44" s="1469"/>
      <c r="MYK44" s="1469"/>
      <c r="MYL44" s="1469"/>
      <c r="MYM44" s="1469"/>
      <c r="MYN44" s="1469"/>
      <c r="MYO44" s="1469"/>
      <c r="MYP44" s="1469"/>
      <c r="MYQ44" s="1469"/>
      <c r="MYR44" s="1469"/>
      <c r="MYS44" s="1469"/>
      <c r="MYT44" s="1469"/>
      <c r="MYU44" s="1469"/>
      <c r="MYV44" s="1469"/>
      <c r="MYW44" s="1469"/>
      <c r="MYX44" s="1469"/>
      <c r="MYY44" s="1469"/>
      <c r="MYZ44" s="1469"/>
      <c r="MZA44" s="1469"/>
      <c r="MZB44" s="1469"/>
      <c r="MZC44" s="1469"/>
      <c r="MZD44" s="1469"/>
      <c r="MZE44" s="1469"/>
      <c r="MZF44" s="1469"/>
      <c r="MZG44" s="1469"/>
      <c r="MZH44" s="1469"/>
      <c r="MZI44" s="1469"/>
      <c r="MZJ44" s="1469"/>
      <c r="MZK44" s="1469"/>
      <c r="MZL44" s="1469"/>
      <c r="MZM44" s="1469"/>
      <c r="MZN44" s="1469"/>
      <c r="MZO44" s="1469"/>
      <c r="MZP44" s="1469"/>
      <c r="MZQ44" s="1469"/>
      <c r="MZR44" s="1469"/>
      <c r="MZS44" s="1469"/>
      <c r="MZT44" s="1469"/>
      <c r="MZU44" s="1469"/>
      <c r="MZV44" s="1469"/>
      <c r="MZW44" s="1469"/>
      <c r="MZX44" s="1469"/>
      <c r="MZY44" s="1469"/>
      <c r="MZZ44" s="1469"/>
      <c r="NAA44" s="1469"/>
      <c r="NAB44" s="1469"/>
      <c r="NAC44" s="1469"/>
      <c r="NAD44" s="1469"/>
      <c r="NAE44" s="1469"/>
      <c r="NAF44" s="1469"/>
      <c r="NAG44" s="1469"/>
      <c r="NAH44" s="1469"/>
      <c r="NAI44" s="1469"/>
      <c r="NAJ44" s="1469"/>
      <c r="NAK44" s="1469"/>
      <c r="NAL44" s="1469"/>
      <c r="NAM44" s="1469"/>
      <c r="NAN44" s="1469"/>
      <c r="NAO44" s="1469"/>
      <c r="NAP44" s="1469"/>
      <c r="NAQ44" s="1469"/>
      <c r="NAR44" s="1469"/>
      <c r="NAS44" s="1469"/>
      <c r="NAT44" s="1469"/>
      <c r="NAU44" s="1469"/>
      <c r="NAV44" s="1469"/>
      <c r="NAW44" s="1469"/>
      <c r="NAX44" s="1469"/>
      <c r="NAY44" s="1469"/>
      <c r="NAZ44" s="1469"/>
      <c r="NBA44" s="1469"/>
      <c r="NBB44" s="1469"/>
      <c r="NBC44" s="1469"/>
      <c r="NBD44" s="1469"/>
      <c r="NBE44" s="1469"/>
      <c r="NBF44" s="1469"/>
      <c r="NBG44" s="1469"/>
      <c r="NBH44" s="1469"/>
      <c r="NBI44" s="1469"/>
      <c r="NBJ44" s="1469"/>
      <c r="NBK44" s="1469"/>
      <c r="NBL44" s="1469"/>
      <c r="NBM44" s="1469"/>
      <c r="NBN44" s="1469"/>
      <c r="NBO44" s="1469"/>
      <c r="NBP44" s="1469"/>
      <c r="NBQ44" s="1469"/>
      <c r="NBR44" s="1469"/>
      <c r="NBS44" s="1469"/>
      <c r="NBT44" s="1469"/>
      <c r="NBU44" s="1469"/>
      <c r="NBV44" s="1469"/>
      <c r="NBW44" s="1469"/>
      <c r="NBX44" s="1469"/>
      <c r="NBY44" s="1469"/>
      <c r="NBZ44" s="1469"/>
      <c r="NCA44" s="1469"/>
      <c r="NCB44" s="1469"/>
      <c r="NCC44" s="1469"/>
      <c r="NCD44" s="1469"/>
      <c r="NCE44" s="1469"/>
      <c r="NCF44" s="1469"/>
      <c r="NCG44" s="1469"/>
      <c r="NCH44" s="1469"/>
      <c r="NCI44" s="1469"/>
      <c r="NCJ44" s="1469"/>
      <c r="NCK44" s="1469"/>
      <c r="NCL44" s="1469"/>
      <c r="NCM44" s="1469"/>
      <c r="NCN44" s="1469"/>
      <c r="NCO44" s="1469"/>
      <c r="NCP44" s="1469"/>
      <c r="NCQ44" s="1469"/>
      <c r="NCR44" s="1469"/>
      <c r="NCS44" s="1469"/>
      <c r="NCT44" s="1469"/>
      <c r="NCU44" s="1469"/>
      <c r="NCV44" s="1469"/>
      <c r="NCW44" s="1469"/>
      <c r="NCX44" s="1469"/>
      <c r="NCY44" s="1469"/>
      <c r="NCZ44" s="1469"/>
      <c r="NDA44" s="1469"/>
      <c r="NDB44" s="1469"/>
      <c r="NDC44" s="1469"/>
      <c r="NDD44" s="1469"/>
      <c r="NDE44" s="1469"/>
      <c r="NDF44" s="1469"/>
      <c r="NDG44" s="1469"/>
      <c r="NDH44" s="1469"/>
      <c r="NDI44" s="1469"/>
      <c r="NDJ44" s="1469"/>
      <c r="NDK44" s="1469"/>
      <c r="NDL44" s="1469"/>
      <c r="NDM44" s="1469"/>
      <c r="NDN44" s="1469"/>
      <c r="NDO44" s="1469"/>
      <c r="NDP44" s="1469"/>
      <c r="NDQ44" s="1469"/>
      <c r="NDR44" s="1469"/>
      <c r="NDS44" s="1469"/>
      <c r="NDT44" s="1469"/>
      <c r="NDU44" s="1469"/>
      <c r="NDV44" s="1469"/>
      <c r="NDW44" s="1469"/>
      <c r="NDX44" s="1469"/>
      <c r="NDY44" s="1469"/>
      <c r="NDZ44" s="1469"/>
      <c r="NEA44" s="1469"/>
      <c r="NEB44" s="1469"/>
      <c r="NEC44" s="1469"/>
      <c r="NED44" s="1469"/>
      <c r="NEE44" s="1469"/>
      <c r="NEF44" s="1469"/>
      <c r="NEG44" s="1469"/>
      <c r="NEH44" s="1469"/>
      <c r="NEI44" s="1469"/>
      <c r="NEJ44" s="1469"/>
      <c r="NEK44" s="1469"/>
      <c r="NEL44" s="1469"/>
      <c r="NEM44" s="1469"/>
      <c r="NEN44" s="1469"/>
      <c r="NEO44" s="1469"/>
      <c r="NEP44" s="1469"/>
      <c r="NEQ44" s="1469"/>
      <c r="NER44" s="1469"/>
      <c r="NES44" s="1469"/>
      <c r="NET44" s="1469"/>
      <c r="NEU44" s="1469"/>
      <c r="NEV44" s="1469"/>
      <c r="NEW44" s="1469"/>
      <c r="NEX44" s="1469"/>
      <c r="NEY44" s="1469"/>
      <c r="NEZ44" s="1469"/>
      <c r="NFA44" s="1469"/>
      <c r="NFB44" s="1469"/>
      <c r="NFC44" s="1469"/>
      <c r="NFD44" s="1469"/>
      <c r="NFE44" s="1469"/>
      <c r="NFF44" s="1469"/>
      <c r="NFG44" s="1469"/>
      <c r="NFH44" s="1469"/>
      <c r="NFI44" s="1469"/>
      <c r="NFJ44" s="1469"/>
      <c r="NFK44" s="1469"/>
      <c r="NFL44" s="1469"/>
      <c r="NFM44" s="1469"/>
      <c r="NFN44" s="1469"/>
      <c r="NFO44" s="1469"/>
      <c r="NFP44" s="1469"/>
      <c r="NFQ44" s="1469"/>
      <c r="NFR44" s="1469"/>
      <c r="NFS44" s="1469"/>
      <c r="NFT44" s="1469"/>
      <c r="NFU44" s="1469"/>
      <c r="NFV44" s="1469"/>
      <c r="NFW44" s="1469"/>
      <c r="NFX44" s="1469"/>
      <c r="NFY44" s="1469"/>
      <c r="NFZ44" s="1469"/>
      <c r="NGA44" s="1469"/>
      <c r="NGB44" s="1469"/>
      <c r="NGC44" s="1469"/>
      <c r="NGD44" s="1469"/>
      <c r="NGE44" s="1469"/>
      <c r="NGF44" s="1469"/>
      <c r="NGG44" s="1469"/>
      <c r="NGH44" s="1469"/>
      <c r="NGI44" s="1469"/>
      <c r="NGJ44" s="1469"/>
      <c r="NGK44" s="1469"/>
      <c r="NGL44" s="1469"/>
      <c r="NGM44" s="1469"/>
      <c r="NGN44" s="1469"/>
      <c r="NGO44" s="1469"/>
      <c r="NGP44" s="1469"/>
      <c r="NGQ44" s="1469"/>
      <c r="NGR44" s="1469"/>
      <c r="NGS44" s="1469"/>
      <c r="NGT44" s="1469"/>
      <c r="NGU44" s="1469"/>
      <c r="NGV44" s="1469"/>
      <c r="NGW44" s="1469"/>
      <c r="NGX44" s="1469"/>
      <c r="NGY44" s="1469"/>
      <c r="NGZ44" s="1469"/>
      <c r="NHA44" s="1469"/>
      <c r="NHB44" s="1469"/>
      <c r="NHC44" s="1469"/>
      <c r="NHD44" s="1469"/>
      <c r="NHE44" s="1469"/>
      <c r="NHF44" s="1469"/>
      <c r="NHG44" s="1469"/>
      <c r="NHH44" s="1469"/>
      <c r="NHI44" s="1469"/>
      <c r="NHJ44" s="1469"/>
      <c r="NHK44" s="1469"/>
      <c r="NHL44" s="1469"/>
      <c r="NHM44" s="1469"/>
      <c r="NHN44" s="1469"/>
      <c r="NHO44" s="1469"/>
      <c r="NHP44" s="1469"/>
      <c r="NHQ44" s="1469"/>
      <c r="NHR44" s="1469"/>
      <c r="NHS44" s="1469"/>
      <c r="NHT44" s="1469"/>
      <c r="NHU44" s="1469"/>
      <c r="NHV44" s="1469"/>
      <c r="NHW44" s="1469"/>
      <c r="NHX44" s="1469"/>
      <c r="NHY44" s="1469"/>
      <c r="NHZ44" s="1469"/>
      <c r="NIA44" s="1469"/>
      <c r="NIB44" s="1469"/>
      <c r="NIC44" s="1469"/>
      <c r="NID44" s="1469"/>
      <c r="NIE44" s="1469"/>
      <c r="NIF44" s="1469"/>
      <c r="NIG44" s="1469"/>
      <c r="NIH44" s="1469"/>
      <c r="NII44" s="1469"/>
      <c r="NIJ44" s="1469"/>
      <c r="NIK44" s="1469"/>
      <c r="NIL44" s="1469"/>
      <c r="NIM44" s="1469"/>
      <c r="NIN44" s="1469"/>
      <c r="NIO44" s="1469"/>
      <c r="NIP44" s="1469"/>
      <c r="NIQ44" s="1469"/>
      <c r="NIR44" s="1469"/>
      <c r="NIS44" s="1469"/>
      <c r="NIT44" s="1469"/>
      <c r="NIU44" s="1469"/>
      <c r="NIV44" s="1469"/>
      <c r="NIW44" s="1469"/>
      <c r="NIX44" s="1469"/>
      <c r="NIY44" s="1469"/>
      <c r="NIZ44" s="1469"/>
      <c r="NJA44" s="1469"/>
      <c r="NJB44" s="1469"/>
      <c r="NJC44" s="1469"/>
      <c r="NJD44" s="1469"/>
      <c r="NJE44" s="1469"/>
      <c r="NJF44" s="1469"/>
      <c r="NJG44" s="1469"/>
      <c r="NJH44" s="1469"/>
      <c r="NJI44" s="1469"/>
      <c r="NJJ44" s="1469"/>
      <c r="NJK44" s="1469"/>
      <c r="NJL44" s="1469"/>
      <c r="NJM44" s="1469"/>
      <c r="NJN44" s="1469"/>
      <c r="NJO44" s="1469"/>
      <c r="NJP44" s="1469"/>
      <c r="NJQ44" s="1469"/>
      <c r="NJR44" s="1469"/>
      <c r="NJS44" s="1469"/>
      <c r="NJT44" s="1469"/>
      <c r="NJU44" s="1469"/>
      <c r="NJV44" s="1469"/>
      <c r="NJW44" s="1469"/>
      <c r="NJX44" s="1469"/>
      <c r="NJY44" s="1469"/>
      <c r="NJZ44" s="1469"/>
      <c r="NKA44" s="1469"/>
      <c r="NKB44" s="1469"/>
      <c r="NKC44" s="1469"/>
      <c r="NKD44" s="1469"/>
      <c r="NKE44" s="1469"/>
      <c r="NKF44" s="1469"/>
      <c r="NKG44" s="1469"/>
      <c r="NKH44" s="1469"/>
      <c r="NKI44" s="1469"/>
      <c r="NKJ44" s="1469"/>
      <c r="NKK44" s="1469"/>
      <c r="NKL44" s="1469"/>
      <c r="NKM44" s="1469"/>
      <c r="NKN44" s="1469"/>
      <c r="NKO44" s="1469"/>
      <c r="NKP44" s="1469"/>
      <c r="NKQ44" s="1469"/>
      <c r="NKR44" s="1469"/>
      <c r="NKS44" s="1469"/>
      <c r="NKT44" s="1469"/>
      <c r="NKU44" s="1469"/>
      <c r="NKV44" s="1469"/>
      <c r="NKW44" s="1469"/>
      <c r="NKX44" s="1469"/>
      <c r="NKY44" s="1469"/>
      <c r="NKZ44" s="1469"/>
      <c r="NLA44" s="1469"/>
      <c r="NLB44" s="1469"/>
      <c r="NLC44" s="1469"/>
      <c r="NLD44" s="1469"/>
      <c r="NLE44" s="1469"/>
      <c r="NLF44" s="1469"/>
      <c r="NLG44" s="1469"/>
      <c r="NLH44" s="1469"/>
      <c r="NLI44" s="1469"/>
      <c r="NLJ44" s="1469"/>
      <c r="NLK44" s="1469"/>
      <c r="NLL44" s="1469"/>
      <c r="NLM44" s="1469"/>
      <c r="NLN44" s="1469"/>
      <c r="NLO44" s="1469"/>
      <c r="NLP44" s="1469"/>
      <c r="NLQ44" s="1469"/>
      <c r="NLR44" s="1469"/>
      <c r="NLS44" s="1469"/>
      <c r="NLT44" s="1469"/>
      <c r="NLU44" s="1469"/>
      <c r="NLV44" s="1469"/>
      <c r="NLW44" s="1469"/>
      <c r="NLX44" s="1469"/>
      <c r="NLY44" s="1469"/>
      <c r="NLZ44" s="1469"/>
      <c r="NMA44" s="1469"/>
      <c r="NMB44" s="1469"/>
      <c r="NMC44" s="1469"/>
      <c r="NMD44" s="1469"/>
      <c r="NME44" s="1469"/>
      <c r="NMF44" s="1469"/>
      <c r="NMG44" s="1469"/>
      <c r="NMH44" s="1469"/>
      <c r="NMI44" s="1469"/>
      <c r="NMJ44" s="1469"/>
      <c r="NMK44" s="1469"/>
      <c r="NML44" s="1469"/>
      <c r="NMM44" s="1469"/>
      <c r="NMN44" s="1469"/>
      <c r="NMO44" s="1469"/>
      <c r="NMP44" s="1469"/>
      <c r="NMQ44" s="1469"/>
      <c r="NMR44" s="1469"/>
      <c r="NMS44" s="1469"/>
      <c r="NMT44" s="1469"/>
      <c r="NMU44" s="1469"/>
      <c r="NMV44" s="1469"/>
      <c r="NMW44" s="1469"/>
      <c r="NMX44" s="1469"/>
      <c r="NMY44" s="1469"/>
      <c r="NMZ44" s="1469"/>
      <c r="NNA44" s="1469"/>
      <c r="NNB44" s="1469"/>
      <c r="NNC44" s="1469"/>
      <c r="NND44" s="1469"/>
      <c r="NNE44" s="1469"/>
      <c r="NNF44" s="1469"/>
      <c r="NNG44" s="1469"/>
      <c r="NNH44" s="1469"/>
      <c r="NNI44" s="1469"/>
      <c r="NNJ44" s="1469"/>
      <c r="NNK44" s="1469"/>
      <c r="NNL44" s="1469"/>
      <c r="NNM44" s="1469"/>
      <c r="NNN44" s="1469"/>
      <c r="NNO44" s="1469"/>
      <c r="NNP44" s="1469"/>
      <c r="NNQ44" s="1469"/>
      <c r="NNR44" s="1469"/>
      <c r="NNS44" s="1469"/>
      <c r="NNT44" s="1469"/>
      <c r="NNU44" s="1469"/>
      <c r="NNV44" s="1469"/>
      <c r="NNW44" s="1469"/>
      <c r="NNX44" s="1469"/>
      <c r="NNY44" s="1469"/>
      <c r="NNZ44" s="1469"/>
      <c r="NOA44" s="1469"/>
      <c r="NOB44" s="1469"/>
      <c r="NOC44" s="1469"/>
      <c r="NOD44" s="1469"/>
      <c r="NOE44" s="1469"/>
      <c r="NOF44" s="1469"/>
      <c r="NOG44" s="1469"/>
      <c r="NOH44" s="1469"/>
      <c r="NOI44" s="1469"/>
      <c r="NOJ44" s="1469"/>
      <c r="NOK44" s="1469"/>
      <c r="NOL44" s="1469"/>
      <c r="NOM44" s="1469"/>
      <c r="NON44" s="1469"/>
      <c r="NOO44" s="1469"/>
      <c r="NOP44" s="1469"/>
      <c r="NOQ44" s="1469"/>
      <c r="NOR44" s="1469"/>
      <c r="NOS44" s="1469"/>
      <c r="NOT44" s="1469"/>
      <c r="NOU44" s="1469"/>
      <c r="NOV44" s="1469"/>
      <c r="NOW44" s="1469"/>
      <c r="NOX44" s="1469"/>
      <c r="NOY44" s="1469"/>
      <c r="NOZ44" s="1469"/>
      <c r="NPA44" s="1469"/>
      <c r="NPB44" s="1469"/>
      <c r="NPC44" s="1469"/>
      <c r="NPD44" s="1469"/>
      <c r="NPE44" s="1469"/>
      <c r="NPF44" s="1469"/>
      <c r="NPG44" s="1469"/>
      <c r="NPH44" s="1469"/>
      <c r="NPI44" s="1469"/>
      <c r="NPJ44" s="1469"/>
      <c r="NPK44" s="1469"/>
      <c r="NPL44" s="1469"/>
      <c r="NPM44" s="1469"/>
      <c r="NPN44" s="1469"/>
      <c r="NPO44" s="1469"/>
      <c r="NPP44" s="1469"/>
      <c r="NPQ44" s="1469"/>
      <c r="NPR44" s="1469"/>
      <c r="NPS44" s="1469"/>
      <c r="NPT44" s="1469"/>
      <c r="NPU44" s="1469"/>
      <c r="NPV44" s="1469"/>
      <c r="NPW44" s="1469"/>
      <c r="NPX44" s="1469"/>
      <c r="NPY44" s="1469"/>
      <c r="NPZ44" s="1469"/>
      <c r="NQA44" s="1469"/>
      <c r="NQB44" s="1469"/>
      <c r="NQC44" s="1469"/>
      <c r="NQD44" s="1469"/>
      <c r="NQE44" s="1469"/>
      <c r="NQF44" s="1469"/>
      <c r="NQG44" s="1469"/>
      <c r="NQH44" s="1469"/>
      <c r="NQI44" s="1469"/>
      <c r="NQJ44" s="1469"/>
      <c r="NQK44" s="1469"/>
      <c r="NQL44" s="1469"/>
      <c r="NQM44" s="1469"/>
      <c r="NQN44" s="1469"/>
      <c r="NQO44" s="1469"/>
      <c r="NQP44" s="1469"/>
      <c r="NQQ44" s="1469"/>
      <c r="NQR44" s="1469"/>
      <c r="NQS44" s="1469"/>
      <c r="NQT44" s="1469"/>
      <c r="NQU44" s="1469"/>
      <c r="NQV44" s="1469"/>
      <c r="NQW44" s="1469"/>
      <c r="NQX44" s="1469"/>
      <c r="NQY44" s="1469"/>
      <c r="NQZ44" s="1469"/>
      <c r="NRA44" s="1469"/>
      <c r="NRB44" s="1469"/>
      <c r="NRC44" s="1469"/>
      <c r="NRD44" s="1469"/>
      <c r="NRE44" s="1469"/>
      <c r="NRF44" s="1469"/>
      <c r="NRG44" s="1469"/>
      <c r="NRH44" s="1469"/>
      <c r="NRI44" s="1469"/>
      <c r="NRJ44" s="1469"/>
      <c r="NRK44" s="1469"/>
      <c r="NRL44" s="1469"/>
      <c r="NRM44" s="1469"/>
      <c r="NRN44" s="1469"/>
      <c r="NRO44" s="1469"/>
      <c r="NRP44" s="1469"/>
      <c r="NRQ44" s="1469"/>
      <c r="NRR44" s="1469"/>
      <c r="NRS44" s="1469"/>
      <c r="NRT44" s="1469"/>
      <c r="NRU44" s="1469"/>
      <c r="NRV44" s="1469"/>
      <c r="NRW44" s="1469"/>
      <c r="NRX44" s="1469"/>
      <c r="NRY44" s="1469"/>
      <c r="NRZ44" s="1469"/>
      <c r="NSA44" s="1469"/>
      <c r="NSB44" s="1469"/>
      <c r="NSC44" s="1469"/>
      <c r="NSD44" s="1469"/>
      <c r="NSE44" s="1469"/>
      <c r="NSF44" s="1469"/>
      <c r="NSG44" s="1469"/>
      <c r="NSH44" s="1469"/>
      <c r="NSI44" s="1469"/>
      <c r="NSJ44" s="1469"/>
      <c r="NSK44" s="1469"/>
      <c r="NSL44" s="1469"/>
      <c r="NSM44" s="1469"/>
      <c r="NSN44" s="1469"/>
      <c r="NSO44" s="1469"/>
      <c r="NSP44" s="1469"/>
      <c r="NSQ44" s="1469"/>
      <c r="NSR44" s="1469"/>
      <c r="NSS44" s="1469"/>
      <c r="NST44" s="1469"/>
      <c r="NSU44" s="1469"/>
      <c r="NSV44" s="1469"/>
      <c r="NSW44" s="1469"/>
      <c r="NSX44" s="1469"/>
      <c r="NSY44" s="1469"/>
      <c r="NSZ44" s="1469"/>
      <c r="NTA44" s="1469"/>
      <c r="NTB44" s="1469"/>
      <c r="NTC44" s="1469"/>
      <c r="NTD44" s="1469"/>
      <c r="NTE44" s="1469"/>
      <c r="NTF44" s="1469"/>
      <c r="NTG44" s="1469"/>
      <c r="NTH44" s="1469"/>
      <c r="NTI44" s="1469"/>
      <c r="NTJ44" s="1469"/>
      <c r="NTK44" s="1469"/>
      <c r="NTL44" s="1469"/>
      <c r="NTM44" s="1469"/>
      <c r="NTN44" s="1469"/>
      <c r="NTO44" s="1469"/>
      <c r="NTP44" s="1469"/>
      <c r="NTQ44" s="1469"/>
      <c r="NTR44" s="1469"/>
      <c r="NTS44" s="1469"/>
      <c r="NTT44" s="1469"/>
      <c r="NTU44" s="1469"/>
      <c r="NTV44" s="1469"/>
      <c r="NTW44" s="1469"/>
      <c r="NTX44" s="1469"/>
      <c r="NTY44" s="1469"/>
      <c r="NTZ44" s="1469"/>
      <c r="NUA44" s="1469"/>
      <c r="NUB44" s="1469"/>
      <c r="NUC44" s="1469"/>
      <c r="NUD44" s="1469"/>
      <c r="NUE44" s="1469"/>
      <c r="NUF44" s="1469"/>
      <c r="NUG44" s="1469"/>
      <c r="NUH44" s="1469"/>
      <c r="NUI44" s="1469"/>
      <c r="NUJ44" s="1469"/>
      <c r="NUK44" s="1469"/>
      <c r="NUL44" s="1469"/>
      <c r="NUM44" s="1469"/>
      <c r="NUN44" s="1469"/>
      <c r="NUO44" s="1469"/>
      <c r="NUP44" s="1469"/>
      <c r="NUQ44" s="1469"/>
      <c r="NUR44" s="1469"/>
      <c r="NUS44" s="1469"/>
      <c r="NUT44" s="1469"/>
      <c r="NUU44" s="1469"/>
      <c r="NUV44" s="1469"/>
      <c r="NUW44" s="1469"/>
      <c r="NUX44" s="1469"/>
      <c r="NUY44" s="1469"/>
      <c r="NUZ44" s="1469"/>
      <c r="NVA44" s="1469"/>
      <c r="NVB44" s="1469"/>
      <c r="NVC44" s="1469"/>
      <c r="NVD44" s="1469"/>
      <c r="NVE44" s="1469"/>
      <c r="NVF44" s="1469"/>
      <c r="NVG44" s="1469"/>
      <c r="NVH44" s="1469"/>
      <c r="NVI44" s="1469"/>
      <c r="NVJ44" s="1469"/>
      <c r="NVK44" s="1469"/>
      <c r="NVL44" s="1469"/>
      <c r="NVM44" s="1469"/>
      <c r="NVN44" s="1469"/>
      <c r="NVO44" s="1469"/>
      <c r="NVP44" s="1469"/>
      <c r="NVQ44" s="1469"/>
      <c r="NVR44" s="1469"/>
      <c r="NVS44" s="1469"/>
      <c r="NVT44" s="1469"/>
      <c r="NVU44" s="1469"/>
      <c r="NVV44" s="1469"/>
      <c r="NVW44" s="1469"/>
      <c r="NVX44" s="1469"/>
      <c r="NVY44" s="1469"/>
      <c r="NVZ44" s="1469"/>
      <c r="NWA44" s="1469"/>
      <c r="NWB44" s="1469"/>
      <c r="NWC44" s="1469"/>
      <c r="NWD44" s="1469"/>
      <c r="NWE44" s="1469"/>
      <c r="NWF44" s="1469"/>
      <c r="NWG44" s="1469"/>
      <c r="NWH44" s="1469"/>
      <c r="NWI44" s="1469"/>
      <c r="NWJ44" s="1469"/>
      <c r="NWK44" s="1469"/>
      <c r="NWL44" s="1469"/>
      <c r="NWM44" s="1469"/>
      <c r="NWN44" s="1469"/>
      <c r="NWO44" s="1469"/>
      <c r="NWP44" s="1469"/>
      <c r="NWQ44" s="1469"/>
      <c r="NWR44" s="1469"/>
      <c r="NWS44" s="1469"/>
      <c r="NWT44" s="1469"/>
      <c r="NWU44" s="1469"/>
      <c r="NWV44" s="1469"/>
      <c r="NWW44" s="1469"/>
      <c r="NWX44" s="1469"/>
      <c r="NWY44" s="1469"/>
      <c r="NWZ44" s="1469"/>
      <c r="NXA44" s="1469"/>
      <c r="NXB44" s="1469"/>
      <c r="NXC44" s="1469"/>
      <c r="NXD44" s="1469"/>
      <c r="NXE44" s="1469"/>
      <c r="NXF44" s="1469"/>
      <c r="NXG44" s="1469"/>
      <c r="NXH44" s="1469"/>
      <c r="NXI44" s="1469"/>
      <c r="NXJ44" s="1469"/>
      <c r="NXK44" s="1469"/>
      <c r="NXL44" s="1469"/>
      <c r="NXM44" s="1469"/>
      <c r="NXN44" s="1469"/>
      <c r="NXO44" s="1469"/>
      <c r="NXP44" s="1469"/>
      <c r="NXQ44" s="1469"/>
      <c r="NXR44" s="1469"/>
      <c r="NXS44" s="1469"/>
      <c r="NXT44" s="1469"/>
      <c r="NXU44" s="1469"/>
      <c r="NXV44" s="1469"/>
      <c r="NXW44" s="1469"/>
      <c r="NXX44" s="1469"/>
      <c r="NXY44" s="1469"/>
      <c r="NXZ44" s="1469"/>
      <c r="NYA44" s="1469"/>
      <c r="NYB44" s="1469"/>
      <c r="NYC44" s="1469"/>
      <c r="NYD44" s="1469"/>
      <c r="NYE44" s="1469"/>
      <c r="NYF44" s="1469"/>
      <c r="NYG44" s="1469"/>
      <c r="NYH44" s="1469"/>
      <c r="NYI44" s="1469"/>
      <c r="NYJ44" s="1469"/>
      <c r="NYK44" s="1469"/>
      <c r="NYL44" s="1469"/>
      <c r="NYM44" s="1469"/>
      <c r="NYN44" s="1469"/>
      <c r="NYO44" s="1469"/>
      <c r="NYP44" s="1469"/>
      <c r="NYQ44" s="1469"/>
      <c r="NYR44" s="1469"/>
      <c r="NYS44" s="1469"/>
      <c r="NYT44" s="1469"/>
      <c r="NYU44" s="1469"/>
      <c r="NYV44" s="1469"/>
      <c r="NYW44" s="1469"/>
      <c r="NYX44" s="1469"/>
      <c r="NYY44" s="1469"/>
      <c r="NYZ44" s="1469"/>
      <c r="NZA44" s="1469"/>
      <c r="NZB44" s="1469"/>
      <c r="NZC44" s="1469"/>
      <c r="NZD44" s="1469"/>
      <c r="NZE44" s="1469"/>
      <c r="NZF44" s="1469"/>
      <c r="NZG44" s="1469"/>
      <c r="NZH44" s="1469"/>
      <c r="NZI44" s="1469"/>
      <c r="NZJ44" s="1469"/>
      <c r="NZK44" s="1469"/>
      <c r="NZL44" s="1469"/>
      <c r="NZM44" s="1469"/>
      <c r="NZN44" s="1469"/>
      <c r="NZO44" s="1469"/>
      <c r="NZP44" s="1469"/>
      <c r="NZQ44" s="1469"/>
      <c r="NZR44" s="1469"/>
      <c r="NZS44" s="1469"/>
      <c r="NZT44" s="1469"/>
      <c r="NZU44" s="1469"/>
      <c r="NZV44" s="1469"/>
      <c r="NZW44" s="1469"/>
      <c r="NZX44" s="1469"/>
      <c r="NZY44" s="1469"/>
      <c r="NZZ44" s="1469"/>
      <c r="OAA44" s="1469"/>
      <c r="OAB44" s="1469"/>
      <c r="OAC44" s="1469"/>
      <c r="OAD44" s="1469"/>
      <c r="OAE44" s="1469"/>
      <c r="OAF44" s="1469"/>
      <c r="OAG44" s="1469"/>
      <c r="OAH44" s="1469"/>
      <c r="OAI44" s="1469"/>
      <c r="OAJ44" s="1469"/>
      <c r="OAK44" s="1469"/>
      <c r="OAL44" s="1469"/>
      <c r="OAM44" s="1469"/>
      <c r="OAN44" s="1469"/>
      <c r="OAO44" s="1469"/>
      <c r="OAP44" s="1469"/>
      <c r="OAQ44" s="1469"/>
      <c r="OAR44" s="1469"/>
      <c r="OAS44" s="1469"/>
      <c r="OAT44" s="1469"/>
      <c r="OAU44" s="1469"/>
      <c r="OAV44" s="1469"/>
      <c r="OAW44" s="1469"/>
      <c r="OAX44" s="1469"/>
      <c r="OAY44" s="1469"/>
      <c r="OAZ44" s="1469"/>
      <c r="OBA44" s="1469"/>
      <c r="OBB44" s="1469"/>
      <c r="OBC44" s="1469"/>
      <c r="OBD44" s="1469"/>
      <c r="OBE44" s="1469"/>
      <c r="OBF44" s="1469"/>
      <c r="OBG44" s="1469"/>
      <c r="OBH44" s="1469"/>
      <c r="OBI44" s="1469"/>
      <c r="OBJ44" s="1469"/>
      <c r="OBK44" s="1469"/>
      <c r="OBL44" s="1469"/>
      <c r="OBM44" s="1469"/>
      <c r="OBN44" s="1469"/>
      <c r="OBO44" s="1469"/>
      <c r="OBP44" s="1469"/>
      <c r="OBQ44" s="1469"/>
      <c r="OBR44" s="1469"/>
      <c r="OBS44" s="1469"/>
      <c r="OBT44" s="1469"/>
      <c r="OBU44" s="1469"/>
      <c r="OBV44" s="1469"/>
      <c r="OBW44" s="1469"/>
      <c r="OBX44" s="1469"/>
      <c r="OBY44" s="1469"/>
      <c r="OBZ44" s="1469"/>
      <c r="OCA44" s="1469"/>
      <c r="OCB44" s="1469"/>
      <c r="OCC44" s="1469"/>
      <c r="OCD44" s="1469"/>
      <c r="OCE44" s="1469"/>
      <c r="OCF44" s="1469"/>
      <c r="OCG44" s="1469"/>
      <c r="OCH44" s="1469"/>
      <c r="OCI44" s="1469"/>
      <c r="OCJ44" s="1469"/>
      <c r="OCK44" s="1469"/>
      <c r="OCL44" s="1469"/>
      <c r="OCM44" s="1469"/>
      <c r="OCN44" s="1469"/>
      <c r="OCO44" s="1469"/>
      <c r="OCP44" s="1469"/>
      <c r="OCQ44" s="1469"/>
      <c r="OCR44" s="1469"/>
      <c r="OCS44" s="1469"/>
      <c r="OCT44" s="1469"/>
      <c r="OCU44" s="1469"/>
      <c r="OCV44" s="1469"/>
      <c r="OCW44" s="1469"/>
      <c r="OCX44" s="1469"/>
      <c r="OCY44" s="1469"/>
      <c r="OCZ44" s="1469"/>
      <c r="ODA44" s="1469"/>
      <c r="ODB44" s="1469"/>
      <c r="ODC44" s="1469"/>
      <c r="ODD44" s="1469"/>
      <c r="ODE44" s="1469"/>
      <c r="ODF44" s="1469"/>
      <c r="ODG44" s="1469"/>
      <c r="ODH44" s="1469"/>
      <c r="ODI44" s="1469"/>
      <c r="ODJ44" s="1469"/>
      <c r="ODK44" s="1469"/>
      <c r="ODL44" s="1469"/>
      <c r="ODM44" s="1469"/>
      <c r="ODN44" s="1469"/>
      <c r="ODO44" s="1469"/>
      <c r="ODP44" s="1469"/>
      <c r="ODQ44" s="1469"/>
      <c r="ODR44" s="1469"/>
      <c r="ODS44" s="1469"/>
      <c r="ODT44" s="1469"/>
      <c r="ODU44" s="1469"/>
      <c r="ODV44" s="1469"/>
      <c r="ODW44" s="1469"/>
      <c r="ODX44" s="1469"/>
      <c r="ODY44" s="1469"/>
      <c r="ODZ44" s="1469"/>
      <c r="OEA44" s="1469"/>
      <c r="OEB44" s="1469"/>
      <c r="OEC44" s="1469"/>
      <c r="OED44" s="1469"/>
      <c r="OEE44" s="1469"/>
      <c r="OEF44" s="1469"/>
      <c r="OEG44" s="1469"/>
      <c r="OEH44" s="1469"/>
      <c r="OEI44" s="1469"/>
      <c r="OEJ44" s="1469"/>
      <c r="OEK44" s="1469"/>
      <c r="OEL44" s="1469"/>
      <c r="OEM44" s="1469"/>
      <c r="OEN44" s="1469"/>
      <c r="OEO44" s="1469"/>
      <c r="OEP44" s="1469"/>
      <c r="OEQ44" s="1469"/>
      <c r="OER44" s="1469"/>
      <c r="OES44" s="1469"/>
      <c r="OET44" s="1469"/>
      <c r="OEU44" s="1469"/>
      <c r="OEV44" s="1469"/>
      <c r="OEW44" s="1469"/>
      <c r="OEX44" s="1469"/>
      <c r="OEY44" s="1469"/>
      <c r="OEZ44" s="1469"/>
      <c r="OFA44" s="1469"/>
      <c r="OFB44" s="1469"/>
      <c r="OFC44" s="1469"/>
      <c r="OFD44" s="1469"/>
      <c r="OFE44" s="1469"/>
      <c r="OFF44" s="1469"/>
      <c r="OFG44" s="1469"/>
      <c r="OFH44" s="1469"/>
      <c r="OFI44" s="1469"/>
      <c r="OFJ44" s="1469"/>
      <c r="OFK44" s="1469"/>
      <c r="OFL44" s="1469"/>
      <c r="OFM44" s="1469"/>
      <c r="OFN44" s="1469"/>
      <c r="OFO44" s="1469"/>
      <c r="OFP44" s="1469"/>
      <c r="OFQ44" s="1469"/>
      <c r="OFR44" s="1469"/>
      <c r="OFS44" s="1469"/>
      <c r="OFT44" s="1469"/>
      <c r="OFU44" s="1469"/>
      <c r="OFV44" s="1469"/>
      <c r="OFW44" s="1469"/>
      <c r="OFX44" s="1469"/>
      <c r="OFY44" s="1469"/>
      <c r="OFZ44" s="1469"/>
      <c r="OGA44" s="1469"/>
      <c r="OGB44" s="1469"/>
      <c r="OGC44" s="1469"/>
      <c r="OGD44" s="1469"/>
      <c r="OGE44" s="1469"/>
      <c r="OGF44" s="1469"/>
      <c r="OGG44" s="1469"/>
      <c r="OGH44" s="1469"/>
      <c r="OGI44" s="1469"/>
      <c r="OGJ44" s="1469"/>
      <c r="OGK44" s="1469"/>
      <c r="OGL44" s="1469"/>
      <c r="OGM44" s="1469"/>
      <c r="OGN44" s="1469"/>
      <c r="OGO44" s="1469"/>
      <c r="OGP44" s="1469"/>
      <c r="OGQ44" s="1469"/>
      <c r="OGR44" s="1469"/>
      <c r="OGS44" s="1469"/>
      <c r="OGT44" s="1469"/>
      <c r="OGU44" s="1469"/>
      <c r="OGV44" s="1469"/>
      <c r="OGW44" s="1469"/>
      <c r="OGX44" s="1469"/>
      <c r="OGY44" s="1469"/>
      <c r="OGZ44" s="1469"/>
      <c r="OHA44" s="1469"/>
      <c r="OHB44" s="1469"/>
      <c r="OHC44" s="1469"/>
      <c r="OHD44" s="1469"/>
      <c r="OHE44" s="1469"/>
      <c r="OHF44" s="1469"/>
      <c r="OHG44" s="1469"/>
      <c r="OHH44" s="1469"/>
      <c r="OHI44" s="1469"/>
      <c r="OHJ44" s="1469"/>
      <c r="OHK44" s="1469"/>
      <c r="OHL44" s="1469"/>
      <c r="OHM44" s="1469"/>
      <c r="OHN44" s="1469"/>
      <c r="OHO44" s="1469"/>
      <c r="OHP44" s="1469"/>
      <c r="OHQ44" s="1469"/>
      <c r="OHR44" s="1469"/>
      <c r="OHS44" s="1469"/>
      <c r="OHT44" s="1469"/>
      <c r="OHU44" s="1469"/>
      <c r="OHV44" s="1469"/>
      <c r="OHW44" s="1469"/>
      <c r="OHX44" s="1469"/>
      <c r="OHY44" s="1469"/>
      <c r="OHZ44" s="1469"/>
      <c r="OIA44" s="1469"/>
      <c r="OIB44" s="1469"/>
      <c r="OIC44" s="1469"/>
      <c r="OID44" s="1469"/>
      <c r="OIE44" s="1469"/>
      <c r="OIF44" s="1469"/>
      <c r="OIG44" s="1469"/>
      <c r="OIH44" s="1469"/>
      <c r="OII44" s="1469"/>
      <c r="OIJ44" s="1469"/>
      <c r="OIK44" s="1469"/>
      <c r="OIL44" s="1469"/>
      <c r="OIM44" s="1469"/>
      <c r="OIN44" s="1469"/>
      <c r="OIO44" s="1469"/>
      <c r="OIP44" s="1469"/>
      <c r="OIQ44" s="1469"/>
      <c r="OIR44" s="1469"/>
      <c r="OIS44" s="1469"/>
      <c r="OIT44" s="1469"/>
      <c r="OIU44" s="1469"/>
      <c r="OIV44" s="1469"/>
      <c r="OIW44" s="1469"/>
      <c r="OIX44" s="1469"/>
      <c r="OIY44" s="1469"/>
      <c r="OIZ44" s="1469"/>
      <c r="OJA44" s="1469"/>
      <c r="OJB44" s="1469"/>
      <c r="OJC44" s="1469"/>
      <c r="OJD44" s="1469"/>
      <c r="OJE44" s="1469"/>
      <c r="OJF44" s="1469"/>
      <c r="OJG44" s="1469"/>
      <c r="OJH44" s="1469"/>
      <c r="OJI44" s="1469"/>
      <c r="OJJ44" s="1469"/>
      <c r="OJK44" s="1469"/>
      <c r="OJL44" s="1469"/>
      <c r="OJM44" s="1469"/>
      <c r="OJN44" s="1469"/>
      <c r="OJO44" s="1469"/>
      <c r="OJP44" s="1469"/>
      <c r="OJQ44" s="1469"/>
      <c r="OJR44" s="1469"/>
      <c r="OJS44" s="1469"/>
      <c r="OJT44" s="1469"/>
      <c r="OJU44" s="1469"/>
      <c r="OJV44" s="1469"/>
      <c r="OJW44" s="1469"/>
      <c r="OJX44" s="1469"/>
      <c r="OJY44" s="1469"/>
      <c r="OJZ44" s="1469"/>
      <c r="OKA44" s="1469"/>
      <c r="OKB44" s="1469"/>
      <c r="OKC44" s="1469"/>
      <c r="OKD44" s="1469"/>
      <c r="OKE44" s="1469"/>
      <c r="OKF44" s="1469"/>
      <c r="OKG44" s="1469"/>
      <c r="OKH44" s="1469"/>
      <c r="OKI44" s="1469"/>
      <c r="OKJ44" s="1469"/>
      <c r="OKK44" s="1469"/>
      <c r="OKL44" s="1469"/>
      <c r="OKM44" s="1469"/>
      <c r="OKN44" s="1469"/>
      <c r="OKO44" s="1469"/>
      <c r="OKP44" s="1469"/>
      <c r="OKQ44" s="1469"/>
      <c r="OKR44" s="1469"/>
      <c r="OKS44" s="1469"/>
      <c r="OKT44" s="1469"/>
      <c r="OKU44" s="1469"/>
      <c r="OKV44" s="1469"/>
      <c r="OKW44" s="1469"/>
      <c r="OKX44" s="1469"/>
      <c r="OKY44" s="1469"/>
      <c r="OKZ44" s="1469"/>
      <c r="OLA44" s="1469"/>
      <c r="OLB44" s="1469"/>
      <c r="OLC44" s="1469"/>
      <c r="OLD44" s="1469"/>
      <c r="OLE44" s="1469"/>
      <c r="OLF44" s="1469"/>
      <c r="OLG44" s="1469"/>
      <c r="OLH44" s="1469"/>
      <c r="OLI44" s="1469"/>
      <c r="OLJ44" s="1469"/>
      <c r="OLK44" s="1469"/>
      <c r="OLL44" s="1469"/>
      <c r="OLM44" s="1469"/>
      <c r="OLN44" s="1469"/>
      <c r="OLO44" s="1469"/>
      <c r="OLP44" s="1469"/>
      <c r="OLQ44" s="1469"/>
      <c r="OLR44" s="1469"/>
      <c r="OLS44" s="1469"/>
      <c r="OLT44" s="1469"/>
      <c r="OLU44" s="1469"/>
      <c r="OLV44" s="1469"/>
      <c r="OLW44" s="1469"/>
      <c r="OLX44" s="1469"/>
      <c r="OLY44" s="1469"/>
      <c r="OLZ44" s="1469"/>
      <c r="OMA44" s="1469"/>
      <c r="OMB44" s="1469"/>
      <c r="OMC44" s="1469"/>
      <c r="OMD44" s="1469"/>
      <c r="OME44" s="1469"/>
      <c r="OMF44" s="1469"/>
      <c r="OMG44" s="1469"/>
      <c r="OMH44" s="1469"/>
      <c r="OMI44" s="1469"/>
      <c r="OMJ44" s="1469"/>
      <c r="OMK44" s="1469"/>
      <c r="OML44" s="1469"/>
      <c r="OMM44" s="1469"/>
      <c r="OMN44" s="1469"/>
      <c r="OMO44" s="1469"/>
      <c r="OMP44" s="1469"/>
      <c r="OMQ44" s="1469"/>
      <c r="OMR44" s="1469"/>
      <c r="OMS44" s="1469"/>
      <c r="OMT44" s="1469"/>
      <c r="OMU44" s="1469"/>
      <c r="OMV44" s="1469"/>
      <c r="OMW44" s="1469"/>
      <c r="OMX44" s="1469"/>
      <c r="OMY44" s="1469"/>
      <c r="OMZ44" s="1469"/>
      <c r="ONA44" s="1469"/>
      <c r="ONB44" s="1469"/>
      <c r="ONC44" s="1469"/>
      <c r="OND44" s="1469"/>
      <c r="ONE44" s="1469"/>
      <c r="ONF44" s="1469"/>
      <c r="ONG44" s="1469"/>
      <c r="ONH44" s="1469"/>
      <c r="ONI44" s="1469"/>
      <c r="ONJ44" s="1469"/>
      <c r="ONK44" s="1469"/>
      <c r="ONL44" s="1469"/>
      <c r="ONM44" s="1469"/>
      <c r="ONN44" s="1469"/>
      <c r="ONO44" s="1469"/>
      <c r="ONP44" s="1469"/>
      <c r="ONQ44" s="1469"/>
      <c r="ONR44" s="1469"/>
      <c r="ONS44" s="1469"/>
      <c r="ONT44" s="1469"/>
      <c r="ONU44" s="1469"/>
      <c r="ONV44" s="1469"/>
      <c r="ONW44" s="1469"/>
      <c r="ONX44" s="1469"/>
      <c r="ONY44" s="1469"/>
      <c r="ONZ44" s="1469"/>
      <c r="OOA44" s="1469"/>
      <c r="OOB44" s="1469"/>
      <c r="OOC44" s="1469"/>
      <c r="OOD44" s="1469"/>
      <c r="OOE44" s="1469"/>
      <c r="OOF44" s="1469"/>
      <c r="OOG44" s="1469"/>
      <c r="OOH44" s="1469"/>
      <c r="OOI44" s="1469"/>
      <c r="OOJ44" s="1469"/>
      <c r="OOK44" s="1469"/>
      <c r="OOL44" s="1469"/>
      <c r="OOM44" s="1469"/>
      <c r="OON44" s="1469"/>
      <c r="OOO44" s="1469"/>
      <c r="OOP44" s="1469"/>
      <c r="OOQ44" s="1469"/>
      <c r="OOR44" s="1469"/>
      <c r="OOS44" s="1469"/>
      <c r="OOT44" s="1469"/>
      <c r="OOU44" s="1469"/>
      <c r="OOV44" s="1469"/>
      <c r="OOW44" s="1469"/>
      <c r="OOX44" s="1469"/>
      <c r="OOY44" s="1469"/>
      <c r="OOZ44" s="1469"/>
      <c r="OPA44" s="1469"/>
      <c r="OPB44" s="1469"/>
      <c r="OPC44" s="1469"/>
      <c r="OPD44" s="1469"/>
      <c r="OPE44" s="1469"/>
      <c r="OPF44" s="1469"/>
      <c r="OPG44" s="1469"/>
      <c r="OPH44" s="1469"/>
      <c r="OPI44" s="1469"/>
      <c r="OPJ44" s="1469"/>
      <c r="OPK44" s="1469"/>
      <c r="OPL44" s="1469"/>
      <c r="OPM44" s="1469"/>
      <c r="OPN44" s="1469"/>
      <c r="OPO44" s="1469"/>
      <c r="OPP44" s="1469"/>
      <c r="OPQ44" s="1469"/>
      <c r="OPR44" s="1469"/>
      <c r="OPS44" s="1469"/>
      <c r="OPT44" s="1469"/>
      <c r="OPU44" s="1469"/>
      <c r="OPV44" s="1469"/>
      <c r="OPW44" s="1469"/>
      <c r="OPX44" s="1469"/>
      <c r="OPY44" s="1469"/>
      <c r="OPZ44" s="1469"/>
      <c r="OQA44" s="1469"/>
      <c r="OQB44" s="1469"/>
      <c r="OQC44" s="1469"/>
      <c r="OQD44" s="1469"/>
      <c r="OQE44" s="1469"/>
      <c r="OQF44" s="1469"/>
      <c r="OQG44" s="1469"/>
      <c r="OQH44" s="1469"/>
      <c r="OQI44" s="1469"/>
      <c r="OQJ44" s="1469"/>
      <c r="OQK44" s="1469"/>
      <c r="OQL44" s="1469"/>
      <c r="OQM44" s="1469"/>
      <c r="OQN44" s="1469"/>
      <c r="OQO44" s="1469"/>
      <c r="OQP44" s="1469"/>
      <c r="OQQ44" s="1469"/>
      <c r="OQR44" s="1469"/>
      <c r="OQS44" s="1469"/>
      <c r="OQT44" s="1469"/>
      <c r="OQU44" s="1469"/>
      <c r="OQV44" s="1469"/>
      <c r="OQW44" s="1469"/>
      <c r="OQX44" s="1469"/>
      <c r="OQY44" s="1469"/>
      <c r="OQZ44" s="1469"/>
      <c r="ORA44" s="1469"/>
      <c r="ORB44" s="1469"/>
      <c r="ORC44" s="1469"/>
      <c r="ORD44" s="1469"/>
      <c r="ORE44" s="1469"/>
      <c r="ORF44" s="1469"/>
      <c r="ORG44" s="1469"/>
      <c r="ORH44" s="1469"/>
      <c r="ORI44" s="1469"/>
      <c r="ORJ44" s="1469"/>
      <c r="ORK44" s="1469"/>
      <c r="ORL44" s="1469"/>
      <c r="ORM44" s="1469"/>
      <c r="ORN44" s="1469"/>
      <c r="ORO44" s="1469"/>
      <c r="ORP44" s="1469"/>
      <c r="ORQ44" s="1469"/>
      <c r="ORR44" s="1469"/>
      <c r="ORS44" s="1469"/>
      <c r="ORT44" s="1469"/>
      <c r="ORU44" s="1469"/>
      <c r="ORV44" s="1469"/>
      <c r="ORW44" s="1469"/>
      <c r="ORX44" s="1469"/>
      <c r="ORY44" s="1469"/>
      <c r="ORZ44" s="1469"/>
      <c r="OSA44" s="1469"/>
      <c r="OSB44" s="1469"/>
      <c r="OSC44" s="1469"/>
      <c r="OSD44" s="1469"/>
      <c r="OSE44" s="1469"/>
      <c r="OSF44" s="1469"/>
      <c r="OSG44" s="1469"/>
      <c r="OSH44" s="1469"/>
      <c r="OSI44" s="1469"/>
      <c r="OSJ44" s="1469"/>
      <c r="OSK44" s="1469"/>
      <c r="OSL44" s="1469"/>
      <c r="OSM44" s="1469"/>
      <c r="OSN44" s="1469"/>
      <c r="OSO44" s="1469"/>
      <c r="OSP44" s="1469"/>
      <c r="OSQ44" s="1469"/>
      <c r="OSR44" s="1469"/>
      <c r="OSS44" s="1469"/>
      <c r="OST44" s="1469"/>
      <c r="OSU44" s="1469"/>
      <c r="OSV44" s="1469"/>
      <c r="OSW44" s="1469"/>
      <c r="OSX44" s="1469"/>
      <c r="OSY44" s="1469"/>
      <c r="OSZ44" s="1469"/>
      <c r="OTA44" s="1469"/>
      <c r="OTB44" s="1469"/>
      <c r="OTC44" s="1469"/>
      <c r="OTD44" s="1469"/>
      <c r="OTE44" s="1469"/>
      <c r="OTF44" s="1469"/>
      <c r="OTG44" s="1469"/>
      <c r="OTH44" s="1469"/>
      <c r="OTI44" s="1469"/>
      <c r="OTJ44" s="1469"/>
      <c r="OTK44" s="1469"/>
      <c r="OTL44" s="1469"/>
      <c r="OTM44" s="1469"/>
      <c r="OTN44" s="1469"/>
      <c r="OTO44" s="1469"/>
      <c r="OTP44" s="1469"/>
      <c r="OTQ44" s="1469"/>
      <c r="OTR44" s="1469"/>
      <c r="OTS44" s="1469"/>
      <c r="OTT44" s="1469"/>
      <c r="OTU44" s="1469"/>
      <c r="OTV44" s="1469"/>
      <c r="OTW44" s="1469"/>
      <c r="OTX44" s="1469"/>
      <c r="OTY44" s="1469"/>
      <c r="OTZ44" s="1469"/>
      <c r="OUA44" s="1469"/>
      <c r="OUB44" s="1469"/>
      <c r="OUC44" s="1469"/>
      <c r="OUD44" s="1469"/>
      <c r="OUE44" s="1469"/>
      <c r="OUF44" s="1469"/>
      <c r="OUG44" s="1469"/>
      <c r="OUH44" s="1469"/>
      <c r="OUI44" s="1469"/>
      <c r="OUJ44" s="1469"/>
      <c r="OUK44" s="1469"/>
      <c r="OUL44" s="1469"/>
      <c r="OUM44" s="1469"/>
      <c r="OUN44" s="1469"/>
      <c r="OUO44" s="1469"/>
      <c r="OUP44" s="1469"/>
      <c r="OUQ44" s="1469"/>
      <c r="OUR44" s="1469"/>
      <c r="OUS44" s="1469"/>
      <c r="OUT44" s="1469"/>
      <c r="OUU44" s="1469"/>
      <c r="OUV44" s="1469"/>
      <c r="OUW44" s="1469"/>
      <c r="OUX44" s="1469"/>
      <c r="OUY44" s="1469"/>
      <c r="OUZ44" s="1469"/>
      <c r="OVA44" s="1469"/>
      <c r="OVB44" s="1469"/>
      <c r="OVC44" s="1469"/>
      <c r="OVD44" s="1469"/>
      <c r="OVE44" s="1469"/>
      <c r="OVF44" s="1469"/>
      <c r="OVG44" s="1469"/>
      <c r="OVH44" s="1469"/>
      <c r="OVI44" s="1469"/>
      <c r="OVJ44" s="1469"/>
      <c r="OVK44" s="1469"/>
      <c r="OVL44" s="1469"/>
      <c r="OVM44" s="1469"/>
      <c r="OVN44" s="1469"/>
      <c r="OVO44" s="1469"/>
      <c r="OVP44" s="1469"/>
      <c r="OVQ44" s="1469"/>
      <c r="OVR44" s="1469"/>
      <c r="OVS44" s="1469"/>
      <c r="OVT44" s="1469"/>
      <c r="OVU44" s="1469"/>
      <c r="OVV44" s="1469"/>
      <c r="OVW44" s="1469"/>
      <c r="OVX44" s="1469"/>
      <c r="OVY44" s="1469"/>
      <c r="OVZ44" s="1469"/>
      <c r="OWA44" s="1469"/>
      <c r="OWB44" s="1469"/>
      <c r="OWC44" s="1469"/>
      <c r="OWD44" s="1469"/>
      <c r="OWE44" s="1469"/>
      <c r="OWF44" s="1469"/>
      <c r="OWG44" s="1469"/>
      <c r="OWH44" s="1469"/>
      <c r="OWI44" s="1469"/>
      <c r="OWJ44" s="1469"/>
      <c r="OWK44" s="1469"/>
      <c r="OWL44" s="1469"/>
      <c r="OWM44" s="1469"/>
      <c r="OWN44" s="1469"/>
      <c r="OWO44" s="1469"/>
      <c r="OWP44" s="1469"/>
      <c r="OWQ44" s="1469"/>
      <c r="OWR44" s="1469"/>
      <c r="OWS44" s="1469"/>
      <c r="OWT44" s="1469"/>
      <c r="OWU44" s="1469"/>
      <c r="OWV44" s="1469"/>
      <c r="OWW44" s="1469"/>
      <c r="OWX44" s="1469"/>
      <c r="OWY44" s="1469"/>
      <c r="OWZ44" s="1469"/>
      <c r="OXA44" s="1469"/>
      <c r="OXB44" s="1469"/>
      <c r="OXC44" s="1469"/>
      <c r="OXD44" s="1469"/>
      <c r="OXE44" s="1469"/>
      <c r="OXF44" s="1469"/>
      <c r="OXG44" s="1469"/>
      <c r="OXH44" s="1469"/>
      <c r="OXI44" s="1469"/>
      <c r="OXJ44" s="1469"/>
      <c r="OXK44" s="1469"/>
      <c r="OXL44" s="1469"/>
      <c r="OXM44" s="1469"/>
      <c r="OXN44" s="1469"/>
      <c r="OXO44" s="1469"/>
      <c r="OXP44" s="1469"/>
      <c r="OXQ44" s="1469"/>
      <c r="OXR44" s="1469"/>
      <c r="OXS44" s="1469"/>
      <c r="OXT44" s="1469"/>
      <c r="OXU44" s="1469"/>
      <c r="OXV44" s="1469"/>
      <c r="OXW44" s="1469"/>
      <c r="OXX44" s="1469"/>
      <c r="OXY44" s="1469"/>
      <c r="OXZ44" s="1469"/>
      <c r="OYA44" s="1469"/>
      <c r="OYB44" s="1469"/>
      <c r="OYC44" s="1469"/>
      <c r="OYD44" s="1469"/>
      <c r="OYE44" s="1469"/>
      <c r="OYF44" s="1469"/>
      <c r="OYG44" s="1469"/>
      <c r="OYH44" s="1469"/>
      <c r="OYI44" s="1469"/>
      <c r="OYJ44" s="1469"/>
      <c r="OYK44" s="1469"/>
      <c r="OYL44" s="1469"/>
      <c r="OYM44" s="1469"/>
      <c r="OYN44" s="1469"/>
      <c r="OYO44" s="1469"/>
      <c r="OYP44" s="1469"/>
      <c r="OYQ44" s="1469"/>
      <c r="OYR44" s="1469"/>
      <c r="OYS44" s="1469"/>
      <c r="OYT44" s="1469"/>
      <c r="OYU44" s="1469"/>
      <c r="OYV44" s="1469"/>
      <c r="OYW44" s="1469"/>
      <c r="OYX44" s="1469"/>
      <c r="OYY44" s="1469"/>
      <c r="OYZ44" s="1469"/>
      <c r="OZA44" s="1469"/>
      <c r="OZB44" s="1469"/>
      <c r="OZC44" s="1469"/>
      <c r="OZD44" s="1469"/>
      <c r="OZE44" s="1469"/>
      <c r="OZF44" s="1469"/>
      <c r="OZG44" s="1469"/>
      <c r="OZH44" s="1469"/>
      <c r="OZI44" s="1469"/>
      <c r="OZJ44" s="1469"/>
      <c r="OZK44" s="1469"/>
      <c r="OZL44" s="1469"/>
      <c r="OZM44" s="1469"/>
      <c r="OZN44" s="1469"/>
      <c r="OZO44" s="1469"/>
      <c r="OZP44" s="1469"/>
      <c r="OZQ44" s="1469"/>
      <c r="OZR44" s="1469"/>
      <c r="OZS44" s="1469"/>
      <c r="OZT44" s="1469"/>
      <c r="OZU44" s="1469"/>
      <c r="OZV44" s="1469"/>
      <c r="OZW44" s="1469"/>
      <c r="OZX44" s="1469"/>
      <c r="OZY44" s="1469"/>
      <c r="OZZ44" s="1469"/>
      <c r="PAA44" s="1469"/>
      <c r="PAB44" s="1469"/>
      <c r="PAC44" s="1469"/>
      <c r="PAD44" s="1469"/>
      <c r="PAE44" s="1469"/>
      <c r="PAF44" s="1469"/>
      <c r="PAG44" s="1469"/>
      <c r="PAH44" s="1469"/>
      <c r="PAI44" s="1469"/>
      <c r="PAJ44" s="1469"/>
      <c r="PAK44" s="1469"/>
      <c r="PAL44" s="1469"/>
      <c r="PAM44" s="1469"/>
      <c r="PAN44" s="1469"/>
      <c r="PAO44" s="1469"/>
      <c r="PAP44" s="1469"/>
      <c r="PAQ44" s="1469"/>
      <c r="PAR44" s="1469"/>
      <c r="PAS44" s="1469"/>
      <c r="PAT44" s="1469"/>
      <c r="PAU44" s="1469"/>
      <c r="PAV44" s="1469"/>
      <c r="PAW44" s="1469"/>
      <c r="PAX44" s="1469"/>
      <c r="PAY44" s="1469"/>
      <c r="PAZ44" s="1469"/>
      <c r="PBA44" s="1469"/>
      <c r="PBB44" s="1469"/>
      <c r="PBC44" s="1469"/>
      <c r="PBD44" s="1469"/>
      <c r="PBE44" s="1469"/>
      <c r="PBF44" s="1469"/>
      <c r="PBG44" s="1469"/>
      <c r="PBH44" s="1469"/>
      <c r="PBI44" s="1469"/>
      <c r="PBJ44" s="1469"/>
      <c r="PBK44" s="1469"/>
      <c r="PBL44" s="1469"/>
      <c r="PBM44" s="1469"/>
      <c r="PBN44" s="1469"/>
      <c r="PBO44" s="1469"/>
      <c r="PBP44" s="1469"/>
      <c r="PBQ44" s="1469"/>
      <c r="PBR44" s="1469"/>
      <c r="PBS44" s="1469"/>
      <c r="PBT44" s="1469"/>
      <c r="PBU44" s="1469"/>
      <c r="PBV44" s="1469"/>
      <c r="PBW44" s="1469"/>
      <c r="PBX44" s="1469"/>
      <c r="PBY44" s="1469"/>
      <c r="PBZ44" s="1469"/>
      <c r="PCA44" s="1469"/>
      <c r="PCB44" s="1469"/>
      <c r="PCC44" s="1469"/>
      <c r="PCD44" s="1469"/>
      <c r="PCE44" s="1469"/>
      <c r="PCF44" s="1469"/>
      <c r="PCG44" s="1469"/>
      <c r="PCH44" s="1469"/>
      <c r="PCI44" s="1469"/>
      <c r="PCJ44" s="1469"/>
      <c r="PCK44" s="1469"/>
      <c r="PCL44" s="1469"/>
      <c r="PCM44" s="1469"/>
      <c r="PCN44" s="1469"/>
      <c r="PCO44" s="1469"/>
      <c r="PCP44" s="1469"/>
      <c r="PCQ44" s="1469"/>
      <c r="PCR44" s="1469"/>
      <c r="PCS44" s="1469"/>
      <c r="PCT44" s="1469"/>
      <c r="PCU44" s="1469"/>
      <c r="PCV44" s="1469"/>
      <c r="PCW44" s="1469"/>
      <c r="PCX44" s="1469"/>
      <c r="PCY44" s="1469"/>
      <c r="PCZ44" s="1469"/>
      <c r="PDA44" s="1469"/>
      <c r="PDB44" s="1469"/>
      <c r="PDC44" s="1469"/>
      <c r="PDD44" s="1469"/>
      <c r="PDE44" s="1469"/>
      <c r="PDF44" s="1469"/>
      <c r="PDG44" s="1469"/>
      <c r="PDH44" s="1469"/>
      <c r="PDI44" s="1469"/>
      <c r="PDJ44" s="1469"/>
      <c r="PDK44" s="1469"/>
      <c r="PDL44" s="1469"/>
      <c r="PDM44" s="1469"/>
      <c r="PDN44" s="1469"/>
      <c r="PDO44" s="1469"/>
      <c r="PDP44" s="1469"/>
      <c r="PDQ44" s="1469"/>
      <c r="PDR44" s="1469"/>
      <c r="PDS44" s="1469"/>
      <c r="PDT44" s="1469"/>
      <c r="PDU44" s="1469"/>
      <c r="PDV44" s="1469"/>
      <c r="PDW44" s="1469"/>
      <c r="PDX44" s="1469"/>
      <c r="PDY44" s="1469"/>
      <c r="PDZ44" s="1469"/>
      <c r="PEA44" s="1469"/>
      <c r="PEB44" s="1469"/>
      <c r="PEC44" s="1469"/>
      <c r="PED44" s="1469"/>
      <c r="PEE44" s="1469"/>
      <c r="PEF44" s="1469"/>
      <c r="PEG44" s="1469"/>
      <c r="PEH44" s="1469"/>
      <c r="PEI44" s="1469"/>
      <c r="PEJ44" s="1469"/>
      <c r="PEK44" s="1469"/>
      <c r="PEL44" s="1469"/>
      <c r="PEM44" s="1469"/>
      <c r="PEN44" s="1469"/>
      <c r="PEO44" s="1469"/>
      <c r="PEP44" s="1469"/>
      <c r="PEQ44" s="1469"/>
      <c r="PER44" s="1469"/>
      <c r="PES44" s="1469"/>
      <c r="PET44" s="1469"/>
      <c r="PEU44" s="1469"/>
      <c r="PEV44" s="1469"/>
      <c r="PEW44" s="1469"/>
      <c r="PEX44" s="1469"/>
      <c r="PEY44" s="1469"/>
      <c r="PEZ44" s="1469"/>
      <c r="PFA44" s="1469"/>
      <c r="PFB44" s="1469"/>
      <c r="PFC44" s="1469"/>
      <c r="PFD44" s="1469"/>
      <c r="PFE44" s="1469"/>
      <c r="PFF44" s="1469"/>
      <c r="PFG44" s="1469"/>
      <c r="PFH44" s="1469"/>
      <c r="PFI44" s="1469"/>
      <c r="PFJ44" s="1469"/>
      <c r="PFK44" s="1469"/>
      <c r="PFL44" s="1469"/>
      <c r="PFM44" s="1469"/>
      <c r="PFN44" s="1469"/>
      <c r="PFO44" s="1469"/>
      <c r="PFP44" s="1469"/>
      <c r="PFQ44" s="1469"/>
      <c r="PFR44" s="1469"/>
      <c r="PFS44" s="1469"/>
      <c r="PFT44" s="1469"/>
      <c r="PFU44" s="1469"/>
      <c r="PFV44" s="1469"/>
      <c r="PFW44" s="1469"/>
      <c r="PFX44" s="1469"/>
      <c r="PFY44" s="1469"/>
      <c r="PFZ44" s="1469"/>
      <c r="PGA44" s="1469"/>
      <c r="PGB44" s="1469"/>
      <c r="PGC44" s="1469"/>
      <c r="PGD44" s="1469"/>
      <c r="PGE44" s="1469"/>
      <c r="PGF44" s="1469"/>
      <c r="PGG44" s="1469"/>
      <c r="PGH44" s="1469"/>
      <c r="PGI44" s="1469"/>
      <c r="PGJ44" s="1469"/>
      <c r="PGK44" s="1469"/>
      <c r="PGL44" s="1469"/>
      <c r="PGM44" s="1469"/>
      <c r="PGN44" s="1469"/>
      <c r="PGO44" s="1469"/>
      <c r="PGP44" s="1469"/>
      <c r="PGQ44" s="1469"/>
      <c r="PGR44" s="1469"/>
      <c r="PGS44" s="1469"/>
      <c r="PGT44" s="1469"/>
      <c r="PGU44" s="1469"/>
      <c r="PGV44" s="1469"/>
      <c r="PGW44" s="1469"/>
      <c r="PGX44" s="1469"/>
      <c r="PGY44" s="1469"/>
      <c r="PGZ44" s="1469"/>
      <c r="PHA44" s="1469"/>
      <c r="PHB44" s="1469"/>
      <c r="PHC44" s="1469"/>
      <c r="PHD44" s="1469"/>
      <c r="PHE44" s="1469"/>
      <c r="PHF44" s="1469"/>
      <c r="PHG44" s="1469"/>
      <c r="PHH44" s="1469"/>
      <c r="PHI44" s="1469"/>
      <c r="PHJ44" s="1469"/>
      <c r="PHK44" s="1469"/>
      <c r="PHL44" s="1469"/>
      <c r="PHM44" s="1469"/>
      <c r="PHN44" s="1469"/>
      <c r="PHO44" s="1469"/>
      <c r="PHP44" s="1469"/>
      <c r="PHQ44" s="1469"/>
      <c r="PHR44" s="1469"/>
      <c r="PHS44" s="1469"/>
      <c r="PHT44" s="1469"/>
      <c r="PHU44" s="1469"/>
      <c r="PHV44" s="1469"/>
      <c r="PHW44" s="1469"/>
      <c r="PHX44" s="1469"/>
      <c r="PHY44" s="1469"/>
      <c r="PHZ44" s="1469"/>
      <c r="PIA44" s="1469"/>
      <c r="PIB44" s="1469"/>
      <c r="PIC44" s="1469"/>
      <c r="PID44" s="1469"/>
      <c r="PIE44" s="1469"/>
      <c r="PIF44" s="1469"/>
      <c r="PIG44" s="1469"/>
      <c r="PIH44" s="1469"/>
      <c r="PII44" s="1469"/>
      <c r="PIJ44" s="1469"/>
      <c r="PIK44" s="1469"/>
      <c r="PIL44" s="1469"/>
      <c r="PIM44" s="1469"/>
      <c r="PIN44" s="1469"/>
      <c r="PIO44" s="1469"/>
      <c r="PIP44" s="1469"/>
      <c r="PIQ44" s="1469"/>
      <c r="PIR44" s="1469"/>
      <c r="PIS44" s="1469"/>
      <c r="PIT44" s="1469"/>
      <c r="PIU44" s="1469"/>
      <c r="PIV44" s="1469"/>
      <c r="PIW44" s="1469"/>
      <c r="PIX44" s="1469"/>
      <c r="PIY44" s="1469"/>
      <c r="PIZ44" s="1469"/>
      <c r="PJA44" s="1469"/>
      <c r="PJB44" s="1469"/>
      <c r="PJC44" s="1469"/>
      <c r="PJD44" s="1469"/>
      <c r="PJE44" s="1469"/>
      <c r="PJF44" s="1469"/>
      <c r="PJG44" s="1469"/>
      <c r="PJH44" s="1469"/>
      <c r="PJI44" s="1469"/>
      <c r="PJJ44" s="1469"/>
      <c r="PJK44" s="1469"/>
      <c r="PJL44" s="1469"/>
      <c r="PJM44" s="1469"/>
      <c r="PJN44" s="1469"/>
      <c r="PJO44" s="1469"/>
      <c r="PJP44" s="1469"/>
      <c r="PJQ44" s="1469"/>
      <c r="PJR44" s="1469"/>
      <c r="PJS44" s="1469"/>
      <c r="PJT44" s="1469"/>
      <c r="PJU44" s="1469"/>
      <c r="PJV44" s="1469"/>
      <c r="PJW44" s="1469"/>
      <c r="PJX44" s="1469"/>
      <c r="PJY44" s="1469"/>
      <c r="PJZ44" s="1469"/>
      <c r="PKA44" s="1469"/>
      <c r="PKB44" s="1469"/>
      <c r="PKC44" s="1469"/>
      <c r="PKD44" s="1469"/>
      <c r="PKE44" s="1469"/>
      <c r="PKF44" s="1469"/>
      <c r="PKG44" s="1469"/>
      <c r="PKH44" s="1469"/>
      <c r="PKI44" s="1469"/>
      <c r="PKJ44" s="1469"/>
      <c r="PKK44" s="1469"/>
      <c r="PKL44" s="1469"/>
      <c r="PKM44" s="1469"/>
      <c r="PKN44" s="1469"/>
      <c r="PKO44" s="1469"/>
      <c r="PKP44" s="1469"/>
      <c r="PKQ44" s="1469"/>
      <c r="PKR44" s="1469"/>
      <c r="PKS44" s="1469"/>
      <c r="PKT44" s="1469"/>
      <c r="PKU44" s="1469"/>
      <c r="PKV44" s="1469"/>
      <c r="PKW44" s="1469"/>
      <c r="PKX44" s="1469"/>
      <c r="PKY44" s="1469"/>
      <c r="PKZ44" s="1469"/>
      <c r="PLA44" s="1469"/>
      <c r="PLB44" s="1469"/>
      <c r="PLC44" s="1469"/>
      <c r="PLD44" s="1469"/>
      <c r="PLE44" s="1469"/>
      <c r="PLF44" s="1469"/>
      <c r="PLG44" s="1469"/>
      <c r="PLH44" s="1469"/>
      <c r="PLI44" s="1469"/>
      <c r="PLJ44" s="1469"/>
      <c r="PLK44" s="1469"/>
      <c r="PLL44" s="1469"/>
      <c r="PLM44" s="1469"/>
      <c r="PLN44" s="1469"/>
      <c r="PLO44" s="1469"/>
      <c r="PLP44" s="1469"/>
      <c r="PLQ44" s="1469"/>
      <c r="PLR44" s="1469"/>
      <c r="PLS44" s="1469"/>
      <c r="PLT44" s="1469"/>
      <c r="PLU44" s="1469"/>
      <c r="PLV44" s="1469"/>
      <c r="PLW44" s="1469"/>
      <c r="PLX44" s="1469"/>
      <c r="PLY44" s="1469"/>
      <c r="PLZ44" s="1469"/>
      <c r="PMA44" s="1469"/>
      <c r="PMB44" s="1469"/>
      <c r="PMC44" s="1469"/>
      <c r="PMD44" s="1469"/>
      <c r="PME44" s="1469"/>
      <c r="PMF44" s="1469"/>
      <c r="PMG44" s="1469"/>
      <c r="PMH44" s="1469"/>
      <c r="PMI44" s="1469"/>
      <c r="PMJ44" s="1469"/>
      <c r="PMK44" s="1469"/>
      <c r="PML44" s="1469"/>
      <c r="PMM44" s="1469"/>
      <c r="PMN44" s="1469"/>
      <c r="PMO44" s="1469"/>
      <c r="PMP44" s="1469"/>
      <c r="PMQ44" s="1469"/>
      <c r="PMR44" s="1469"/>
      <c r="PMS44" s="1469"/>
      <c r="PMT44" s="1469"/>
      <c r="PMU44" s="1469"/>
      <c r="PMV44" s="1469"/>
      <c r="PMW44" s="1469"/>
      <c r="PMX44" s="1469"/>
      <c r="PMY44" s="1469"/>
      <c r="PMZ44" s="1469"/>
      <c r="PNA44" s="1469"/>
      <c r="PNB44" s="1469"/>
      <c r="PNC44" s="1469"/>
      <c r="PND44" s="1469"/>
      <c r="PNE44" s="1469"/>
      <c r="PNF44" s="1469"/>
      <c r="PNG44" s="1469"/>
      <c r="PNH44" s="1469"/>
      <c r="PNI44" s="1469"/>
      <c r="PNJ44" s="1469"/>
      <c r="PNK44" s="1469"/>
      <c r="PNL44" s="1469"/>
      <c r="PNM44" s="1469"/>
      <c r="PNN44" s="1469"/>
      <c r="PNO44" s="1469"/>
      <c r="PNP44" s="1469"/>
      <c r="PNQ44" s="1469"/>
      <c r="PNR44" s="1469"/>
      <c r="PNS44" s="1469"/>
      <c r="PNT44" s="1469"/>
      <c r="PNU44" s="1469"/>
      <c r="PNV44" s="1469"/>
      <c r="PNW44" s="1469"/>
      <c r="PNX44" s="1469"/>
      <c r="PNY44" s="1469"/>
      <c r="PNZ44" s="1469"/>
      <c r="POA44" s="1469"/>
      <c r="POB44" s="1469"/>
      <c r="POC44" s="1469"/>
      <c r="POD44" s="1469"/>
      <c r="POE44" s="1469"/>
      <c r="POF44" s="1469"/>
      <c r="POG44" s="1469"/>
      <c r="POH44" s="1469"/>
      <c r="POI44" s="1469"/>
      <c r="POJ44" s="1469"/>
      <c r="POK44" s="1469"/>
      <c r="POL44" s="1469"/>
      <c r="POM44" s="1469"/>
      <c r="PON44" s="1469"/>
      <c r="POO44" s="1469"/>
      <c r="POP44" s="1469"/>
      <c r="POQ44" s="1469"/>
      <c r="POR44" s="1469"/>
      <c r="POS44" s="1469"/>
      <c r="POT44" s="1469"/>
      <c r="POU44" s="1469"/>
      <c r="POV44" s="1469"/>
      <c r="POW44" s="1469"/>
      <c r="POX44" s="1469"/>
      <c r="POY44" s="1469"/>
      <c r="POZ44" s="1469"/>
      <c r="PPA44" s="1469"/>
      <c r="PPB44" s="1469"/>
      <c r="PPC44" s="1469"/>
      <c r="PPD44" s="1469"/>
      <c r="PPE44" s="1469"/>
      <c r="PPF44" s="1469"/>
      <c r="PPG44" s="1469"/>
      <c r="PPH44" s="1469"/>
      <c r="PPI44" s="1469"/>
      <c r="PPJ44" s="1469"/>
      <c r="PPK44" s="1469"/>
      <c r="PPL44" s="1469"/>
      <c r="PPM44" s="1469"/>
      <c r="PPN44" s="1469"/>
      <c r="PPO44" s="1469"/>
      <c r="PPP44" s="1469"/>
      <c r="PPQ44" s="1469"/>
      <c r="PPR44" s="1469"/>
      <c r="PPS44" s="1469"/>
      <c r="PPT44" s="1469"/>
      <c r="PPU44" s="1469"/>
      <c r="PPV44" s="1469"/>
      <c r="PPW44" s="1469"/>
      <c r="PPX44" s="1469"/>
      <c r="PPY44" s="1469"/>
      <c r="PPZ44" s="1469"/>
      <c r="PQA44" s="1469"/>
      <c r="PQB44" s="1469"/>
      <c r="PQC44" s="1469"/>
      <c r="PQD44" s="1469"/>
      <c r="PQE44" s="1469"/>
      <c r="PQF44" s="1469"/>
      <c r="PQG44" s="1469"/>
      <c r="PQH44" s="1469"/>
      <c r="PQI44" s="1469"/>
      <c r="PQJ44" s="1469"/>
      <c r="PQK44" s="1469"/>
      <c r="PQL44" s="1469"/>
      <c r="PQM44" s="1469"/>
      <c r="PQN44" s="1469"/>
      <c r="PQO44" s="1469"/>
      <c r="PQP44" s="1469"/>
      <c r="PQQ44" s="1469"/>
      <c r="PQR44" s="1469"/>
      <c r="PQS44" s="1469"/>
      <c r="PQT44" s="1469"/>
      <c r="PQU44" s="1469"/>
      <c r="PQV44" s="1469"/>
      <c r="PQW44" s="1469"/>
      <c r="PQX44" s="1469"/>
      <c r="PQY44" s="1469"/>
      <c r="PQZ44" s="1469"/>
      <c r="PRA44" s="1469"/>
      <c r="PRB44" s="1469"/>
      <c r="PRC44" s="1469"/>
      <c r="PRD44" s="1469"/>
      <c r="PRE44" s="1469"/>
      <c r="PRF44" s="1469"/>
      <c r="PRG44" s="1469"/>
      <c r="PRH44" s="1469"/>
      <c r="PRI44" s="1469"/>
      <c r="PRJ44" s="1469"/>
      <c r="PRK44" s="1469"/>
      <c r="PRL44" s="1469"/>
      <c r="PRM44" s="1469"/>
      <c r="PRN44" s="1469"/>
      <c r="PRO44" s="1469"/>
      <c r="PRP44" s="1469"/>
      <c r="PRQ44" s="1469"/>
      <c r="PRR44" s="1469"/>
      <c r="PRS44" s="1469"/>
      <c r="PRT44" s="1469"/>
      <c r="PRU44" s="1469"/>
      <c r="PRV44" s="1469"/>
      <c r="PRW44" s="1469"/>
      <c r="PRX44" s="1469"/>
      <c r="PRY44" s="1469"/>
      <c r="PRZ44" s="1469"/>
      <c r="PSA44" s="1469"/>
      <c r="PSB44" s="1469"/>
      <c r="PSC44" s="1469"/>
      <c r="PSD44" s="1469"/>
      <c r="PSE44" s="1469"/>
      <c r="PSF44" s="1469"/>
      <c r="PSG44" s="1469"/>
      <c r="PSH44" s="1469"/>
      <c r="PSI44" s="1469"/>
      <c r="PSJ44" s="1469"/>
      <c r="PSK44" s="1469"/>
      <c r="PSL44" s="1469"/>
      <c r="PSM44" s="1469"/>
      <c r="PSN44" s="1469"/>
      <c r="PSO44" s="1469"/>
      <c r="PSP44" s="1469"/>
      <c r="PSQ44" s="1469"/>
      <c r="PSR44" s="1469"/>
      <c r="PSS44" s="1469"/>
      <c r="PST44" s="1469"/>
      <c r="PSU44" s="1469"/>
      <c r="PSV44" s="1469"/>
      <c r="PSW44" s="1469"/>
      <c r="PSX44" s="1469"/>
      <c r="PSY44" s="1469"/>
      <c r="PSZ44" s="1469"/>
      <c r="PTA44" s="1469"/>
      <c r="PTB44" s="1469"/>
      <c r="PTC44" s="1469"/>
      <c r="PTD44" s="1469"/>
      <c r="PTE44" s="1469"/>
      <c r="PTF44" s="1469"/>
      <c r="PTG44" s="1469"/>
      <c r="PTH44" s="1469"/>
      <c r="PTI44" s="1469"/>
      <c r="PTJ44" s="1469"/>
      <c r="PTK44" s="1469"/>
      <c r="PTL44" s="1469"/>
      <c r="PTM44" s="1469"/>
      <c r="PTN44" s="1469"/>
      <c r="PTO44" s="1469"/>
      <c r="PTP44" s="1469"/>
      <c r="PTQ44" s="1469"/>
      <c r="PTR44" s="1469"/>
      <c r="PTS44" s="1469"/>
      <c r="PTT44" s="1469"/>
      <c r="PTU44" s="1469"/>
      <c r="PTV44" s="1469"/>
      <c r="PTW44" s="1469"/>
      <c r="PTX44" s="1469"/>
      <c r="PTY44" s="1469"/>
      <c r="PTZ44" s="1469"/>
      <c r="PUA44" s="1469"/>
      <c r="PUB44" s="1469"/>
      <c r="PUC44" s="1469"/>
      <c r="PUD44" s="1469"/>
      <c r="PUE44" s="1469"/>
      <c r="PUF44" s="1469"/>
      <c r="PUG44" s="1469"/>
      <c r="PUH44" s="1469"/>
      <c r="PUI44" s="1469"/>
      <c r="PUJ44" s="1469"/>
      <c r="PUK44" s="1469"/>
      <c r="PUL44" s="1469"/>
      <c r="PUM44" s="1469"/>
      <c r="PUN44" s="1469"/>
      <c r="PUO44" s="1469"/>
      <c r="PUP44" s="1469"/>
      <c r="PUQ44" s="1469"/>
      <c r="PUR44" s="1469"/>
      <c r="PUS44" s="1469"/>
      <c r="PUT44" s="1469"/>
      <c r="PUU44" s="1469"/>
      <c r="PUV44" s="1469"/>
      <c r="PUW44" s="1469"/>
      <c r="PUX44" s="1469"/>
      <c r="PUY44" s="1469"/>
      <c r="PUZ44" s="1469"/>
      <c r="PVA44" s="1469"/>
      <c r="PVB44" s="1469"/>
      <c r="PVC44" s="1469"/>
      <c r="PVD44" s="1469"/>
      <c r="PVE44" s="1469"/>
      <c r="PVF44" s="1469"/>
      <c r="PVG44" s="1469"/>
      <c r="PVH44" s="1469"/>
      <c r="PVI44" s="1469"/>
      <c r="PVJ44" s="1469"/>
      <c r="PVK44" s="1469"/>
      <c r="PVL44" s="1469"/>
      <c r="PVM44" s="1469"/>
      <c r="PVN44" s="1469"/>
      <c r="PVO44" s="1469"/>
      <c r="PVP44" s="1469"/>
      <c r="PVQ44" s="1469"/>
      <c r="PVR44" s="1469"/>
      <c r="PVS44" s="1469"/>
      <c r="PVT44" s="1469"/>
      <c r="PVU44" s="1469"/>
      <c r="PVV44" s="1469"/>
      <c r="PVW44" s="1469"/>
      <c r="PVX44" s="1469"/>
      <c r="PVY44" s="1469"/>
      <c r="PVZ44" s="1469"/>
      <c r="PWA44" s="1469"/>
      <c r="PWB44" s="1469"/>
      <c r="PWC44" s="1469"/>
      <c r="PWD44" s="1469"/>
      <c r="PWE44" s="1469"/>
      <c r="PWF44" s="1469"/>
      <c r="PWG44" s="1469"/>
      <c r="PWH44" s="1469"/>
      <c r="PWI44" s="1469"/>
      <c r="PWJ44" s="1469"/>
      <c r="PWK44" s="1469"/>
      <c r="PWL44" s="1469"/>
      <c r="PWM44" s="1469"/>
      <c r="PWN44" s="1469"/>
      <c r="PWO44" s="1469"/>
      <c r="PWP44" s="1469"/>
      <c r="PWQ44" s="1469"/>
      <c r="PWR44" s="1469"/>
      <c r="PWS44" s="1469"/>
      <c r="PWT44" s="1469"/>
      <c r="PWU44" s="1469"/>
      <c r="PWV44" s="1469"/>
      <c r="PWW44" s="1469"/>
      <c r="PWX44" s="1469"/>
      <c r="PWY44" s="1469"/>
      <c r="PWZ44" s="1469"/>
      <c r="PXA44" s="1469"/>
      <c r="PXB44" s="1469"/>
      <c r="PXC44" s="1469"/>
      <c r="PXD44" s="1469"/>
      <c r="PXE44" s="1469"/>
      <c r="PXF44" s="1469"/>
      <c r="PXG44" s="1469"/>
      <c r="PXH44" s="1469"/>
      <c r="PXI44" s="1469"/>
      <c r="PXJ44" s="1469"/>
      <c r="PXK44" s="1469"/>
      <c r="PXL44" s="1469"/>
      <c r="PXM44" s="1469"/>
      <c r="PXN44" s="1469"/>
      <c r="PXO44" s="1469"/>
      <c r="PXP44" s="1469"/>
      <c r="PXQ44" s="1469"/>
      <c r="PXR44" s="1469"/>
      <c r="PXS44" s="1469"/>
      <c r="PXT44" s="1469"/>
      <c r="PXU44" s="1469"/>
      <c r="PXV44" s="1469"/>
      <c r="PXW44" s="1469"/>
      <c r="PXX44" s="1469"/>
      <c r="PXY44" s="1469"/>
      <c r="PXZ44" s="1469"/>
      <c r="PYA44" s="1469"/>
      <c r="PYB44" s="1469"/>
      <c r="PYC44" s="1469"/>
      <c r="PYD44" s="1469"/>
      <c r="PYE44" s="1469"/>
      <c r="PYF44" s="1469"/>
      <c r="PYG44" s="1469"/>
      <c r="PYH44" s="1469"/>
      <c r="PYI44" s="1469"/>
      <c r="PYJ44" s="1469"/>
      <c r="PYK44" s="1469"/>
      <c r="PYL44" s="1469"/>
      <c r="PYM44" s="1469"/>
      <c r="PYN44" s="1469"/>
      <c r="PYO44" s="1469"/>
      <c r="PYP44" s="1469"/>
      <c r="PYQ44" s="1469"/>
      <c r="PYR44" s="1469"/>
      <c r="PYS44" s="1469"/>
      <c r="PYT44" s="1469"/>
      <c r="PYU44" s="1469"/>
      <c r="PYV44" s="1469"/>
      <c r="PYW44" s="1469"/>
      <c r="PYX44" s="1469"/>
      <c r="PYY44" s="1469"/>
      <c r="PYZ44" s="1469"/>
      <c r="PZA44" s="1469"/>
      <c r="PZB44" s="1469"/>
      <c r="PZC44" s="1469"/>
      <c r="PZD44" s="1469"/>
      <c r="PZE44" s="1469"/>
      <c r="PZF44" s="1469"/>
      <c r="PZG44" s="1469"/>
      <c r="PZH44" s="1469"/>
      <c r="PZI44" s="1469"/>
      <c r="PZJ44" s="1469"/>
      <c r="PZK44" s="1469"/>
      <c r="PZL44" s="1469"/>
      <c r="PZM44" s="1469"/>
      <c r="PZN44" s="1469"/>
      <c r="PZO44" s="1469"/>
      <c r="PZP44" s="1469"/>
      <c r="PZQ44" s="1469"/>
      <c r="PZR44" s="1469"/>
      <c r="PZS44" s="1469"/>
      <c r="PZT44" s="1469"/>
      <c r="PZU44" s="1469"/>
      <c r="PZV44" s="1469"/>
      <c r="PZW44" s="1469"/>
      <c r="PZX44" s="1469"/>
      <c r="PZY44" s="1469"/>
      <c r="PZZ44" s="1469"/>
      <c r="QAA44" s="1469"/>
      <c r="QAB44" s="1469"/>
      <c r="QAC44" s="1469"/>
      <c r="QAD44" s="1469"/>
      <c r="QAE44" s="1469"/>
      <c r="QAF44" s="1469"/>
      <c r="QAG44" s="1469"/>
      <c r="QAH44" s="1469"/>
      <c r="QAI44" s="1469"/>
      <c r="QAJ44" s="1469"/>
      <c r="QAK44" s="1469"/>
      <c r="QAL44" s="1469"/>
      <c r="QAM44" s="1469"/>
      <c r="QAN44" s="1469"/>
      <c r="QAO44" s="1469"/>
      <c r="QAP44" s="1469"/>
      <c r="QAQ44" s="1469"/>
      <c r="QAR44" s="1469"/>
      <c r="QAS44" s="1469"/>
      <c r="QAT44" s="1469"/>
      <c r="QAU44" s="1469"/>
      <c r="QAV44" s="1469"/>
      <c r="QAW44" s="1469"/>
      <c r="QAX44" s="1469"/>
      <c r="QAY44" s="1469"/>
      <c r="QAZ44" s="1469"/>
      <c r="QBA44" s="1469"/>
      <c r="QBB44" s="1469"/>
      <c r="QBC44" s="1469"/>
      <c r="QBD44" s="1469"/>
      <c r="QBE44" s="1469"/>
      <c r="QBF44" s="1469"/>
      <c r="QBG44" s="1469"/>
      <c r="QBH44" s="1469"/>
      <c r="QBI44" s="1469"/>
      <c r="QBJ44" s="1469"/>
      <c r="QBK44" s="1469"/>
      <c r="QBL44" s="1469"/>
      <c r="QBM44" s="1469"/>
      <c r="QBN44" s="1469"/>
      <c r="QBO44" s="1469"/>
      <c r="QBP44" s="1469"/>
      <c r="QBQ44" s="1469"/>
      <c r="QBR44" s="1469"/>
      <c r="QBS44" s="1469"/>
      <c r="QBT44" s="1469"/>
      <c r="QBU44" s="1469"/>
      <c r="QBV44" s="1469"/>
      <c r="QBW44" s="1469"/>
      <c r="QBX44" s="1469"/>
      <c r="QBY44" s="1469"/>
      <c r="QBZ44" s="1469"/>
      <c r="QCA44" s="1469"/>
      <c r="QCB44" s="1469"/>
      <c r="QCC44" s="1469"/>
      <c r="QCD44" s="1469"/>
      <c r="QCE44" s="1469"/>
      <c r="QCF44" s="1469"/>
      <c r="QCG44" s="1469"/>
      <c r="QCH44" s="1469"/>
      <c r="QCI44" s="1469"/>
      <c r="QCJ44" s="1469"/>
      <c r="QCK44" s="1469"/>
      <c r="QCL44" s="1469"/>
      <c r="QCM44" s="1469"/>
      <c r="QCN44" s="1469"/>
      <c r="QCO44" s="1469"/>
      <c r="QCP44" s="1469"/>
      <c r="QCQ44" s="1469"/>
      <c r="QCR44" s="1469"/>
      <c r="QCS44" s="1469"/>
      <c r="QCT44" s="1469"/>
      <c r="QCU44" s="1469"/>
      <c r="QCV44" s="1469"/>
      <c r="QCW44" s="1469"/>
      <c r="QCX44" s="1469"/>
      <c r="QCY44" s="1469"/>
      <c r="QCZ44" s="1469"/>
      <c r="QDA44" s="1469"/>
      <c r="QDB44" s="1469"/>
      <c r="QDC44" s="1469"/>
      <c r="QDD44" s="1469"/>
      <c r="QDE44" s="1469"/>
      <c r="QDF44" s="1469"/>
      <c r="QDG44" s="1469"/>
      <c r="QDH44" s="1469"/>
      <c r="QDI44" s="1469"/>
      <c r="QDJ44" s="1469"/>
      <c r="QDK44" s="1469"/>
      <c r="QDL44" s="1469"/>
      <c r="QDM44" s="1469"/>
      <c r="QDN44" s="1469"/>
      <c r="QDO44" s="1469"/>
      <c r="QDP44" s="1469"/>
      <c r="QDQ44" s="1469"/>
      <c r="QDR44" s="1469"/>
      <c r="QDS44" s="1469"/>
      <c r="QDT44" s="1469"/>
      <c r="QDU44" s="1469"/>
      <c r="QDV44" s="1469"/>
      <c r="QDW44" s="1469"/>
      <c r="QDX44" s="1469"/>
      <c r="QDY44" s="1469"/>
      <c r="QDZ44" s="1469"/>
      <c r="QEA44" s="1469"/>
      <c r="QEB44" s="1469"/>
      <c r="QEC44" s="1469"/>
      <c r="QED44" s="1469"/>
      <c r="QEE44" s="1469"/>
      <c r="QEF44" s="1469"/>
      <c r="QEG44" s="1469"/>
      <c r="QEH44" s="1469"/>
      <c r="QEI44" s="1469"/>
      <c r="QEJ44" s="1469"/>
      <c r="QEK44" s="1469"/>
      <c r="QEL44" s="1469"/>
      <c r="QEM44" s="1469"/>
      <c r="QEN44" s="1469"/>
      <c r="QEO44" s="1469"/>
      <c r="QEP44" s="1469"/>
      <c r="QEQ44" s="1469"/>
      <c r="QER44" s="1469"/>
      <c r="QES44" s="1469"/>
      <c r="QET44" s="1469"/>
      <c r="QEU44" s="1469"/>
      <c r="QEV44" s="1469"/>
      <c r="QEW44" s="1469"/>
      <c r="QEX44" s="1469"/>
      <c r="QEY44" s="1469"/>
      <c r="QEZ44" s="1469"/>
      <c r="QFA44" s="1469"/>
      <c r="QFB44" s="1469"/>
      <c r="QFC44" s="1469"/>
      <c r="QFD44" s="1469"/>
      <c r="QFE44" s="1469"/>
      <c r="QFF44" s="1469"/>
      <c r="QFG44" s="1469"/>
      <c r="QFH44" s="1469"/>
      <c r="QFI44" s="1469"/>
      <c r="QFJ44" s="1469"/>
      <c r="QFK44" s="1469"/>
      <c r="QFL44" s="1469"/>
      <c r="QFM44" s="1469"/>
      <c r="QFN44" s="1469"/>
      <c r="QFO44" s="1469"/>
      <c r="QFP44" s="1469"/>
      <c r="QFQ44" s="1469"/>
      <c r="QFR44" s="1469"/>
      <c r="QFS44" s="1469"/>
      <c r="QFT44" s="1469"/>
      <c r="QFU44" s="1469"/>
      <c r="QFV44" s="1469"/>
      <c r="QFW44" s="1469"/>
      <c r="QFX44" s="1469"/>
      <c r="QFY44" s="1469"/>
      <c r="QFZ44" s="1469"/>
      <c r="QGA44" s="1469"/>
      <c r="QGB44" s="1469"/>
      <c r="QGC44" s="1469"/>
      <c r="QGD44" s="1469"/>
      <c r="QGE44" s="1469"/>
      <c r="QGF44" s="1469"/>
      <c r="QGG44" s="1469"/>
      <c r="QGH44" s="1469"/>
      <c r="QGI44" s="1469"/>
      <c r="QGJ44" s="1469"/>
      <c r="QGK44" s="1469"/>
      <c r="QGL44" s="1469"/>
      <c r="QGM44" s="1469"/>
      <c r="QGN44" s="1469"/>
      <c r="QGO44" s="1469"/>
      <c r="QGP44" s="1469"/>
      <c r="QGQ44" s="1469"/>
      <c r="QGR44" s="1469"/>
      <c r="QGS44" s="1469"/>
      <c r="QGT44" s="1469"/>
      <c r="QGU44" s="1469"/>
      <c r="QGV44" s="1469"/>
      <c r="QGW44" s="1469"/>
      <c r="QGX44" s="1469"/>
      <c r="QGY44" s="1469"/>
      <c r="QGZ44" s="1469"/>
      <c r="QHA44" s="1469"/>
      <c r="QHB44" s="1469"/>
      <c r="QHC44" s="1469"/>
      <c r="QHD44" s="1469"/>
      <c r="QHE44" s="1469"/>
      <c r="QHF44" s="1469"/>
      <c r="QHG44" s="1469"/>
      <c r="QHH44" s="1469"/>
      <c r="QHI44" s="1469"/>
      <c r="QHJ44" s="1469"/>
      <c r="QHK44" s="1469"/>
      <c r="QHL44" s="1469"/>
      <c r="QHM44" s="1469"/>
      <c r="QHN44" s="1469"/>
      <c r="QHO44" s="1469"/>
      <c r="QHP44" s="1469"/>
      <c r="QHQ44" s="1469"/>
      <c r="QHR44" s="1469"/>
      <c r="QHS44" s="1469"/>
      <c r="QHT44" s="1469"/>
      <c r="QHU44" s="1469"/>
      <c r="QHV44" s="1469"/>
      <c r="QHW44" s="1469"/>
      <c r="QHX44" s="1469"/>
      <c r="QHY44" s="1469"/>
      <c r="QHZ44" s="1469"/>
      <c r="QIA44" s="1469"/>
      <c r="QIB44" s="1469"/>
      <c r="QIC44" s="1469"/>
      <c r="QID44" s="1469"/>
      <c r="QIE44" s="1469"/>
      <c r="QIF44" s="1469"/>
      <c r="QIG44" s="1469"/>
      <c r="QIH44" s="1469"/>
      <c r="QII44" s="1469"/>
      <c r="QIJ44" s="1469"/>
      <c r="QIK44" s="1469"/>
      <c r="QIL44" s="1469"/>
      <c r="QIM44" s="1469"/>
      <c r="QIN44" s="1469"/>
      <c r="QIO44" s="1469"/>
      <c r="QIP44" s="1469"/>
      <c r="QIQ44" s="1469"/>
      <c r="QIR44" s="1469"/>
      <c r="QIS44" s="1469"/>
      <c r="QIT44" s="1469"/>
      <c r="QIU44" s="1469"/>
      <c r="QIV44" s="1469"/>
      <c r="QIW44" s="1469"/>
      <c r="QIX44" s="1469"/>
      <c r="QIY44" s="1469"/>
      <c r="QIZ44" s="1469"/>
      <c r="QJA44" s="1469"/>
      <c r="QJB44" s="1469"/>
      <c r="QJC44" s="1469"/>
      <c r="QJD44" s="1469"/>
      <c r="QJE44" s="1469"/>
      <c r="QJF44" s="1469"/>
      <c r="QJG44" s="1469"/>
      <c r="QJH44" s="1469"/>
      <c r="QJI44" s="1469"/>
      <c r="QJJ44" s="1469"/>
      <c r="QJK44" s="1469"/>
      <c r="QJL44" s="1469"/>
      <c r="QJM44" s="1469"/>
      <c r="QJN44" s="1469"/>
      <c r="QJO44" s="1469"/>
      <c r="QJP44" s="1469"/>
      <c r="QJQ44" s="1469"/>
      <c r="QJR44" s="1469"/>
      <c r="QJS44" s="1469"/>
      <c r="QJT44" s="1469"/>
      <c r="QJU44" s="1469"/>
      <c r="QJV44" s="1469"/>
      <c r="QJW44" s="1469"/>
      <c r="QJX44" s="1469"/>
      <c r="QJY44" s="1469"/>
      <c r="QJZ44" s="1469"/>
      <c r="QKA44" s="1469"/>
      <c r="QKB44" s="1469"/>
      <c r="QKC44" s="1469"/>
      <c r="QKD44" s="1469"/>
      <c r="QKE44" s="1469"/>
      <c r="QKF44" s="1469"/>
      <c r="QKG44" s="1469"/>
      <c r="QKH44" s="1469"/>
      <c r="QKI44" s="1469"/>
      <c r="QKJ44" s="1469"/>
      <c r="QKK44" s="1469"/>
      <c r="QKL44" s="1469"/>
      <c r="QKM44" s="1469"/>
      <c r="QKN44" s="1469"/>
      <c r="QKO44" s="1469"/>
      <c r="QKP44" s="1469"/>
      <c r="QKQ44" s="1469"/>
      <c r="QKR44" s="1469"/>
      <c r="QKS44" s="1469"/>
      <c r="QKT44" s="1469"/>
      <c r="QKU44" s="1469"/>
      <c r="QKV44" s="1469"/>
      <c r="QKW44" s="1469"/>
      <c r="QKX44" s="1469"/>
      <c r="QKY44" s="1469"/>
      <c r="QKZ44" s="1469"/>
      <c r="QLA44" s="1469"/>
      <c r="QLB44" s="1469"/>
      <c r="QLC44" s="1469"/>
      <c r="QLD44" s="1469"/>
      <c r="QLE44" s="1469"/>
      <c r="QLF44" s="1469"/>
      <c r="QLG44" s="1469"/>
      <c r="QLH44" s="1469"/>
      <c r="QLI44" s="1469"/>
      <c r="QLJ44" s="1469"/>
      <c r="QLK44" s="1469"/>
      <c r="QLL44" s="1469"/>
      <c r="QLM44" s="1469"/>
      <c r="QLN44" s="1469"/>
      <c r="QLO44" s="1469"/>
      <c r="QLP44" s="1469"/>
      <c r="QLQ44" s="1469"/>
      <c r="QLR44" s="1469"/>
      <c r="QLS44" s="1469"/>
      <c r="QLT44" s="1469"/>
      <c r="QLU44" s="1469"/>
      <c r="QLV44" s="1469"/>
      <c r="QLW44" s="1469"/>
      <c r="QLX44" s="1469"/>
      <c r="QLY44" s="1469"/>
      <c r="QLZ44" s="1469"/>
      <c r="QMA44" s="1469"/>
      <c r="QMB44" s="1469"/>
      <c r="QMC44" s="1469"/>
      <c r="QMD44" s="1469"/>
      <c r="QME44" s="1469"/>
      <c r="QMF44" s="1469"/>
      <c r="QMG44" s="1469"/>
      <c r="QMH44" s="1469"/>
      <c r="QMI44" s="1469"/>
      <c r="QMJ44" s="1469"/>
      <c r="QMK44" s="1469"/>
      <c r="QML44" s="1469"/>
      <c r="QMM44" s="1469"/>
      <c r="QMN44" s="1469"/>
      <c r="QMO44" s="1469"/>
      <c r="QMP44" s="1469"/>
      <c r="QMQ44" s="1469"/>
      <c r="QMR44" s="1469"/>
      <c r="QMS44" s="1469"/>
      <c r="QMT44" s="1469"/>
      <c r="QMU44" s="1469"/>
      <c r="QMV44" s="1469"/>
      <c r="QMW44" s="1469"/>
      <c r="QMX44" s="1469"/>
      <c r="QMY44" s="1469"/>
      <c r="QMZ44" s="1469"/>
      <c r="QNA44" s="1469"/>
      <c r="QNB44" s="1469"/>
      <c r="QNC44" s="1469"/>
      <c r="QND44" s="1469"/>
      <c r="QNE44" s="1469"/>
      <c r="QNF44" s="1469"/>
      <c r="QNG44" s="1469"/>
      <c r="QNH44" s="1469"/>
      <c r="QNI44" s="1469"/>
      <c r="QNJ44" s="1469"/>
      <c r="QNK44" s="1469"/>
      <c r="QNL44" s="1469"/>
      <c r="QNM44" s="1469"/>
      <c r="QNN44" s="1469"/>
      <c r="QNO44" s="1469"/>
      <c r="QNP44" s="1469"/>
      <c r="QNQ44" s="1469"/>
      <c r="QNR44" s="1469"/>
      <c r="QNS44" s="1469"/>
      <c r="QNT44" s="1469"/>
      <c r="QNU44" s="1469"/>
      <c r="QNV44" s="1469"/>
      <c r="QNW44" s="1469"/>
      <c r="QNX44" s="1469"/>
      <c r="QNY44" s="1469"/>
      <c r="QNZ44" s="1469"/>
      <c r="QOA44" s="1469"/>
      <c r="QOB44" s="1469"/>
      <c r="QOC44" s="1469"/>
      <c r="QOD44" s="1469"/>
      <c r="QOE44" s="1469"/>
      <c r="QOF44" s="1469"/>
      <c r="QOG44" s="1469"/>
      <c r="QOH44" s="1469"/>
      <c r="QOI44" s="1469"/>
      <c r="QOJ44" s="1469"/>
      <c r="QOK44" s="1469"/>
      <c r="QOL44" s="1469"/>
      <c r="QOM44" s="1469"/>
      <c r="QON44" s="1469"/>
      <c r="QOO44" s="1469"/>
      <c r="QOP44" s="1469"/>
      <c r="QOQ44" s="1469"/>
      <c r="QOR44" s="1469"/>
      <c r="QOS44" s="1469"/>
      <c r="QOT44" s="1469"/>
      <c r="QOU44" s="1469"/>
      <c r="QOV44" s="1469"/>
      <c r="QOW44" s="1469"/>
      <c r="QOX44" s="1469"/>
      <c r="QOY44" s="1469"/>
      <c r="QOZ44" s="1469"/>
      <c r="QPA44" s="1469"/>
      <c r="QPB44" s="1469"/>
      <c r="QPC44" s="1469"/>
      <c r="QPD44" s="1469"/>
      <c r="QPE44" s="1469"/>
      <c r="QPF44" s="1469"/>
      <c r="QPG44" s="1469"/>
      <c r="QPH44" s="1469"/>
      <c r="QPI44" s="1469"/>
      <c r="QPJ44" s="1469"/>
      <c r="QPK44" s="1469"/>
      <c r="QPL44" s="1469"/>
      <c r="QPM44" s="1469"/>
      <c r="QPN44" s="1469"/>
      <c r="QPO44" s="1469"/>
      <c r="QPP44" s="1469"/>
      <c r="QPQ44" s="1469"/>
      <c r="QPR44" s="1469"/>
      <c r="QPS44" s="1469"/>
      <c r="QPT44" s="1469"/>
      <c r="QPU44" s="1469"/>
      <c r="QPV44" s="1469"/>
      <c r="QPW44" s="1469"/>
      <c r="QPX44" s="1469"/>
      <c r="QPY44" s="1469"/>
      <c r="QPZ44" s="1469"/>
      <c r="QQA44" s="1469"/>
      <c r="QQB44" s="1469"/>
      <c r="QQC44" s="1469"/>
      <c r="QQD44" s="1469"/>
      <c r="QQE44" s="1469"/>
      <c r="QQF44" s="1469"/>
      <c r="QQG44" s="1469"/>
      <c r="QQH44" s="1469"/>
      <c r="QQI44" s="1469"/>
      <c r="QQJ44" s="1469"/>
      <c r="QQK44" s="1469"/>
      <c r="QQL44" s="1469"/>
      <c r="QQM44" s="1469"/>
      <c r="QQN44" s="1469"/>
      <c r="QQO44" s="1469"/>
      <c r="QQP44" s="1469"/>
      <c r="QQQ44" s="1469"/>
      <c r="QQR44" s="1469"/>
      <c r="QQS44" s="1469"/>
      <c r="QQT44" s="1469"/>
      <c r="QQU44" s="1469"/>
      <c r="QQV44" s="1469"/>
      <c r="QQW44" s="1469"/>
      <c r="QQX44" s="1469"/>
      <c r="QQY44" s="1469"/>
      <c r="QQZ44" s="1469"/>
      <c r="QRA44" s="1469"/>
      <c r="QRB44" s="1469"/>
      <c r="QRC44" s="1469"/>
      <c r="QRD44" s="1469"/>
      <c r="QRE44" s="1469"/>
      <c r="QRF44" s="1469"/>
      <c r="QRG44" s="1469"/>
      <c r="QRH44" s="1469"/>
      <c r="QRI44" s="1469"/>
      <c r="QRJ44" s="1469"/>
      <c r="QRK44" s="1469"/>
      <c r="QRL44" s="1469"/>
      <c r="QRM44" s="1469"/>
      <c r="QRN44" s="1469"/>
      <c r="QRO44" s="1469"/>
      <c r="QRP44" s="1469"/>
      <c r="QRQ44" s="1469"/>
      <c r="QRR44" s="1469"/>
      <c r="QRS44" s="1469"/>
      <c r="QRT44" s="1469"/>
      <c r="QRU44" s="1469"/>
      <c r="QRV44" s="1469"/>
      <c r="QRW44" s="1469"/>
      <c r="QRX44" s="1469"/>
      <c r="QRY44" s="1469"/>
      <c r="QRZ44" s="1469"/>
      <c r="QSA44" s="1469"/>
      <c r="QSB44" s="1469"/>
      <c r="QSC44" s="1469"/>
      <c r="QSD44" s="1469"/>
      <c r="QSE44" s="1469"/>
      <c r="QSF44" s="1469"/>
      <c r="QSG44" s="1469"/>
      <c r="QSH44" s="1469"/>
      <c r="QSI44" s="1469"/>
      <c r="QSJ44" s="1469"/>
      <c r="QSK44" s="1469"/>
      <c r="QSL44" s="1469"/>
      <c r="QSM44" s="1469"/>
      <c r="QSN44" s="1469"/>
      <c r="QSO44" s="1469"/>
      <c r="QSP44" s="1469"/>
      <c r="QSQ44" s="1469"/>
      <c r="QSR44" s="1469"/>
      <c r="QSS44" s="1469"/>
      <c r="QST44" s="1469"/>
      <c r="QSU44" s="1469"/>
      <c r="QSV44" s="1469"/>
      <c r="QSW44" s="1469"/>
      <c r="QSX44" s="1469"/>
      <c r="QSY44" s="1469"/>
      <c r="QSZ44" s="1469"/>
      <c r="QTA44" s="1469"/>
      <c r="QTB44" s="1469"/>
      <c r="QTC44" s="1469"/>
      <c r="QTD44" s="1469"/>
      <c r="QTE44" s="1469"/>
      <c r="QTF44" s="1469"/>
      <c r="QTG44" s="1469"/>
      <c r="QTH44" s="1469"/>
      <c r="QTI44" s="1469"/>
      <c r="QTJ44" s="1469"/>
      <c r="QTK44" s="1469"/>
      <c r="QTL44" s="1469"/>
      <c r="QTM44" s="1469"/>
      <c r="QTN44" s="1469"/>
      <c r="QTO44" s="1469"/>
      <c r="QTP44" s="1469"/>
      <c r="QTQ44" s="1469"/>
      <c r="QTR44" s="1469"/>
      <c r="QTS44" s="1469"/>
      <c r="QTT44" s="1469"/>
      <c r="QTU44" s="1469"/>
      <c r="QTV44" s="1469"/>
      <c r="QTW44" s="1469"/>
      <c r="QTX44" s="1469"/>
      <c r="QTY44" s="1469"/>
      <c r="QTZ44" s="1469"/>
      <c r="QUA44" s="1469"/>
      <c r="QUB44" s="1469"/>
      <c r="QUC44" s="1469"/>
      <c r="QUD44" s="1469"/>
      <c r="QUE44" s="1469"/>
      <c r="QUF44" s="1469"/>
      <c r="QUG44" s="1469"/>
      <c r="QUH44" s="1469"/>
      <c r="QUI44" s="1469"/>
      <c r="QUJ44" s="1469"/>
      <c r="QUK44" s="1469"/>
      <c r="QUL44" s="1469"/>
      <c r="QUM44" s="1469"/>
      <c r="QUN44" s="1469"/>
      <c r="QUO44" s="1469"/>
      <c r="QUP44" s="1469"/>
      <c r="QUQ44" s="1469"/>
      <c r="QUR44" s="1469"/>
      <c r="QUS44" s="1469"/>
      <c r="QUT44" s="1469"/>
      <c r="QUU44" s="1469"/>
      <c r="QUV44" s="1469"/>
      <c r="QUW44" s="1469"/>
      <c r="QUX44" s="1469"/>
      <c r="QUY44" s="1469"/>
      <c r="QUZ44" s="1469"/>
      <c r="QVA44" s="1469"/>
      <c r="QVB44" s="1469"/>
      <c r="QVC44" s="1469"/>
      <c r="QVD44" s="1469"/>
      <c r="QVE44" s="1469"/>
      <c r="QVF44" s="1469"/>
      <c r="QVG44" s="1469"/>
      <c r="QVH44" s="1469"/>
      <c r="QVI44" s="1469"/>
      <c r="QVJ44" s="1469"/>
      <c r="QVK44" s="1469"/>
      <c r="QVL44" s="1469"/>
      <c r="QVM44" s="1469"/>
      <c r="QVN44" s="1469"/>
      <c r="QVO44" s="1469"/>
      <c r="QVP44" s="1469"/>
      <c r="QVQ44" s="1469"/>
      <c r="QVR44" s="1469"/>
      <c r="QVS44" s="1469"/>
      <c r="QVT44" s="1469"/>
      <c r="QVU44" s="1469"/>
      <c r="QVV44" s="1469"/>
      <c r="QVW44" s="1469"/>
      <c r="QVX44" s="1469"/>
      <c r="QVY44" s="1469"/>
      <c r="QVZ44" s="1469"/>
      <c r="QWA44" s="1469"/>
      <c r="QWB44" s="1469"/>
      <c r="QWC44" s="1469"/>
      <c r="QWD44" s="1469"/>
      <c r="QWE44" s="1469"/>
      <c r="QWF44" s="1469"/>
      <c r="QWG44" s="1469"/>
      <c r="QWH44" s="1469"/>
      <c r="QWI44" s="1469"/>
      <c r="QWJ44" s="1469"/>
      <c r="QWK44" s="1469"/>
      <c r="QWL44" s="1469"/>
      <c r="QWM44" s="1469"/>
      <c r="QWN44" s="1469"/>
      <c r="QWO44" s="1469"/>
      <c r="QWP44" s="1469"/>
      <c r="QWQ44" s="1469"/>
      <c r="QWR44" s="1469"/>
      <c r="QWS44" s="1469"/>
      <c r="QWT44" s="1469"/>
      <c r="QWU44" s="1469"/>
      <c r="QWV44" s="1469"/>
      <c r="QWW44" s="1469"/>
      <c r="QWX44" s="1469"/>
      <c r="QWY44" s="1469"/>
      <c r="QWZ44" s="1469"/>
      <c r="QXA44" s="1469"/>
      <c r="QXB44" s="1469"/>
      <c r="QXC44" s="1469"/>
      <c r="QXD44" s="1469"/>
      <c r="QXE44" s="1469"/>
      <c r="QXF44" s="1469"/>
      <c r="QXG44" s="1469"/>
      <c r="QXH44" s="1469"/>
      <c r="QXI44" s="1469"/>
      <c r="QXJ44" s="1469"/>
      <c r="QXK44" s="1469"/>
      <c r="QXL44" s="1469"/>
      <c r="QXM44" s="1469"/>
      <c r="QXN44" s="1469"/>
      <c r="QXO44" s="1469"/>
      <c r="QXP44" s="1469"/>
      <c r="QXQ44" s="1469"/>
      <c r="QXR44" s="1469"/>
      <c r="QXS44" s="1469"/>
      <c r="QXT44" s="1469"/>
      <c r="QXU44" s="1469"/>
      <c r="QXV44" s="1469"/>
      <c r="QXW44" s="1469"/>
      <c r="QXX44" s="1469"/>
      <c r="QXY44" s="1469"/>
      <c r="QXZ44" s="1469"/>
      <c r="QYA44" s="1469"/>
      <c r="QYB44" s="1469"/>
      <c r="QYC44" s="1469"/>
      <c r="QYD44" s="1469"/>
      <c r="QYE44" s="1469"/>
      <c r="QYF44" s="1469"/>
      <c r="QYG44" s="1469"/>
      <c r="QYH44" s="1469"/>
      <c r="QYI44" s="1469"/>
      <c r="QYJ44" s="1469"/>
      <c r="QYK44" s="1469"/>
      <c r="QYL44" s="1469"/>
      <c r="QYM44" s="1469"/>
      <c r="QYN44" s="1469"/>
      <c r="QYO44" s="1469"/>
      <c r="QYP44" s="1469"/>
      <c r="QYQ44" s="1469"/>
      <c r="QYR44" s="1469"/>
      <c r="QYS44" s="1469"/>
      <c r="QYT44" s="1469"/>
      <c r="QYU44" s="1469"/>
      <c r="QYV44" s="1469"/>
      <c r="QYW44" s="1469"/>
      <c r="QYX44" s="1469"/>
      <c r="QYY44" s="1469"/>
      <c r="QYZ44" s="1469"/>
      <c r="QZA44" s="1469"/>
      <c r="QZB44" s="1469"/>
      <c r="QZC44" s="1469"/>
      <c r="QZD44" s="1469"/>
      <c r="QZE44" s="1469"/>
      <c r="QZF44" s="1469"/>
      <c r="QZG44" s="1469"/>
      <c r="QZH44" s="1469"/>
      <c r="QZI44" s="1469"/>
      <c r="QZJ44" s="1469"/>
      <c r="QZK44" s="1469"/>
      <c r="QZL44" s="1469"/>
      <c r="QZM44" s="1469"/>
      <c r="QZN44" s="1469"/>
      <c r="QZO44" s="1469"/>
      <c r="QZP44" s="1469"/>
      <c r="QZQ44" s="1469"/>
      <c r="QZR44" s="1469"/>
      <c r="QZS44" s="1469"/>
      <c r="QZT44" s="1469"/>
      <c r="QZU44" s="1469"/>
      <c r="QZV44" s="1469"/>
      <c r="QZW44" s="1469"/>
      <c r="QZX44" s="1469"/>
      <c r="QZY44" s="1469"/>
      <c r="QZZ44" s="1469"/>
      <c r="RAA44" s="1469"/>
      <c r="RAB44" s="1469"/>
      <c r="RAC44" s="1469"/>
      <c r="RAD44" s="1469"/>
      <c r="RAE44" s="1469"/>
      <c r="RAF44" s="1469"/>
      <c r="RAG44" s="1469"/>
      <c r="RAH44" s="1469"/>
      <c r="RAI44" s="1469"/>
      <c r="RAJ44" s="1469"/>
      <c r="RAK44" s="1469"/>
      <c r="RAL44" s="1469"/>
      <c r="RAM44" s="1469"/>
      <c r="RAN44" s="1469"/>
      <c r="RAO44" s="1469"/>
      <c r="RAP44" s="1469"/>
      <c r="RAQ44" s="1469"/>
      <c r="RAR44" s="1469"/>
      <c r="RAS44" s="1469"/>
      <c r="RAT44" s="1469"/>
      <c r="RAU44" s="1469"/>
      <c r="RAV44" s="1469"/>
      <c r="RAW44" s="1469"/>
      <c r="RAX44" s="1469"/>
      <c r="RAY44" s="1469"/>
      <c r="RAZ44" s="1469"/>
      <c r="RBA44" s="1469"/>
      <c r="RBB44" s="1469"/>
      <c r="RBC44" s="1469"/>
      <c r="RBD44" s="1469"/>
      <c r="RBE44" s="1469"/>
      <c r="RBF44" s="1469"/>
      <c r="RBG44" s="1469"/>
      <c r="RBH44" s="1469"/>
      <c r="RBI44" s="1469"/>
      <c r="RBJ44" s="1469"/>
      <c r="RBK44" s="1469"/>
      <c r="RBL44" s="1469"/>
      <c r="RBM44" s="1469"/>
      <c r="RBN44" s="1469"/>
      <c r="RBO44" s="1469"/>
      <c r="RBP44" s="1469"/>
      <c r="RBQ44" s="1469"/>
      <c r="RBR44" s="1469"/>
      <c r="RBS44" s="1469"/>
      <c r="RBT44" s="1469"/>
      <c r="RBU44" s="1469"/>
      <c r="RBV44" s="1469"/>
      <c r="RBW44" s="1469"/>
      <c r="RBX44" s="1469"/>
      <c r="RBY44" s="1469"/>
      <c r="RBZ44" s="1469"/>
      <c r="RCA44" s="1469"/>
      <c r="RCB44" s="1469"/>
      <c r="RCC44" s="1469"/>
      <c r="RCD44" s="1469"/>
      <c r="RCE44" s="1469"/>
      <c r="RCF44" s="1469"/>
      <c r="RCG44" s="1469"/>
      <c r="RCH44" s="1469"/>
      <c r="RCI44" s="1469"/>
      <c r="RCJ44" s="1469"/>
      <c r="RCK44" s="1469"/>
      <c r="RCL44" s="1469"/>
      <c r="RCM44" s="1469"/>
      <c r="RCN44" s="1469"/>
      <c r="RCO44" s="1469"/>
      <c r="RCP44" s="1469"/>
      <c r="RCQ44" s="1469"/>
      <c r="RCR44" s="1469"/>
      <c r="RCS44" s="1469"/>
      <c r="RCT44" s="1469"/>
      <c r="RCU44" s="1469"/>
      <c r="RCV44" s="1469"/>
      <c r="RCW44" s="1469"/>
      <c r="RCX44" s="1469"/>
      <c r="RCY44" s="1469"/>
      <c r="RCZ44" s="1469"/>
      <c r="RDA44" s="1469"/>
      <c r="RDB44" s="1469"/>
      <c r="RDC44" s="1469"/>
      <c r="RDD44" s="1469"/>
      <c r="RDE44" s="1469"/>
      <c r="RDF44" s="1469"/>
      <c r="RDG44" s="1469"/>
      <c r="RDH44" s="1469"/>
      <c r="RDI44" s="1469"/>
      <c r="RDJ44" s="1469"/>
      <c r="RDK44" s="1469"/>
      <c r="RDL44" s="1469"/>
      <c r="RDM44" s="1469"/>
      <c r="RDN44" s="1469"/>
      <c r="RDO44" s="1469"/>
      <c r="RDP44" s="1469"/>
      <c r="RDQ44" s="1469"/>
      <c r="RDR44" s="1469"/>
      <c r="RDS44" s="1469"/>
      <c r="RDT44" s="1469"/>
      <c r="RDU44" s="1469"/>
      <c r="RDV44" s="1469"/>
      <c r="RDW44" s="1469"/>
      <c r="RDX44" s="1469"/>
      <c r="RDY44" s="1469"/>
      <c r="RDZ44" s="1469"/>
      <c r="REA44" s="1469"/>
      <c r="REB44" s="1469"/>
      <c r="REC44" s="1469"/>
      <c r="RED44" s="1469"/>
      <c r="REE44" s="1469"/>
      <c r="REF44" s="1469"/>
      <c r="REG44" s="1469"/>
      <c r="REH44" s="1469"/>
      <c r="REI44" s="1469"/>
      <c r="REJ44" s="1469"/>
      <c r="REK44" s="1469"/>
      <c r="REL44" s="1469"/>
      <c r="REM44" s="1469"/>
      <c r="REN44" s="1469"/>
      <c r="REO44" s="1469"/>
      <c r="REP44" s="1469"/>
      <c r="REQ44" s="1469"/>
      <c r="RER44" s="1469"/>
      <c r="RES44" s="1469"/>
      <c r="RET44" s="1469"/>
      <c r="REU44" s="1469"/>
      <c r="REV44" s="1469"/>
      <c r="REW44" s="1469"/>
      <c r="REX44" s="1469"/>
      <c r="REY44" s="1469"/>
      <c r="REZ44" s="1469"/>
      <c r="RFA44" s="1469"/>
      <c r="RFB44" s="1469"/>
      <c r="RFC44" s="1469"/>
      <c r="RFD44" s="1469"/>
      <c r="RFE44" s="1469"/>
      <c r="RFF44" s="1469"/>
      <c r="RFG44" s="1469"/>
      <c r="RFH44" s="1469"/>
      <c r="RFI44" s="1469"/>
      <c r="RFJ44" s="1469"/>
      <c r="RFK44" s="1469"/>
      <c r="RFL44" s="1469"/>
      <c r="RFM44" s="1469"/>
      <c r="RFN44" s="1469"/>
      <c r="RFO44" s="1469"/>
      <c r="RFP44" s="1469"/>
      <c r="RFQ44" s="1469"/>
      <c r="RFR44" s="1469"/>
      <c r="RFS44" s="1469"/>
      <c r="RFT44" s="1469"/>
      <c r="RFU44" s="1469"/>
      <c r="RFV44" s="1469"/>
      <c r="RFW44" s="1469"/>
      <c r="RFX44" s="1469"/>
      <c r="RFY44" s="1469"/>
      <c r="RFZ44" s="1469"/>
      <c r="RGA44" s="1469"/>
      <c r="RGB44" s="1469"/>
      <c r="RGC44" s="1469"/>
      <c r="RGD44" s="1469"/>
      <c r="RGE44" s="1469"/>
      <c r="RGF44" s="1469"/>
      <c r="RGG44" s="1469"/>
      <c r="RGH44" s="1469"/>
      <c r="RGI44" s="1469"/>
      <c r="RGJ44" s="1469"/>
      <c r="RGK44" s="1469"/>
      <c r="RGL44" s="1469"/>
      <c r="RGM44" s="1469"/>
      <c r="RGN44" s="1469"/>
      <c r="RGO44" s="1469"/>
      <c r="RGP44" s="1469"/>
      <c r="RGQ44" s="1469"/>
      <c r="RGR44" s="1469"/>
      <c r="RGS44" s="1469"/>
      <c r="RGT44" s="1469"/>
      <c r="RGU44" s="1469"/>
      <c r="RGV44" s="1469"/>
      <c r="RGW44" s="1469"/>
      <c r="RGX44" s="1469"/>
      <c r="RGY44" s="1469"/>
      <c r="RGZ44" s="1469"/>
      <c r="RHA44" s="1469"/>
      <c r="RHB44" s="1469"/>
      <c r="RHC44" s="1469"/>
      <c r="RHD44" s="1469"/>
      <c r="RHE44" s="1469"/>
      <c r="RHF44" s="1469"/>
      <c r="RHG44" s="1469"/>
      <c r="RHH44" s="1469"/>
      <c r="RHI44" s="1469"/>
      <c r="RHJ44" s="1469"/>
      <c r="RHK44" s="1469"/>
      <c r="RHL44" s="1469"/>
      <c r="RHM44" s="1469"/>
      <c r="RHN44" s="1469"/>
      <c r="RHO44" s="1469"/>
      <c r="RHP44" s="1469"/>
      <c r="RHQ44" s="1469"/>
      <c r="RHR44" s="1469"/>
      <c r="RHS44" s="1469"/>
      <c r="RHT44" s="1469"/>
      <c r="RHU44" s="1469"/>
      <c r="RHV44" s="1469"/>
      <c r="RHW44" s="1469"/>
      <c r="RHX44" s="1469"/>
      <c r="RHY44" s="1469"/>
      <c r="RHZ44" s="1469"/>
      <c r="RIA44" s="1469"/>
      <c r="RIB44" s="1469"/>
      <c r="RIC44" s="1469"/>
      <c r="RID44" s="1469"/>
      <c r="RIE44" s="1469"/>
      <c r="RIF44" s="1469"/>
      <c r="RIG44" s="1469"/>
      <c r="RIH44" s="1469"/>
      <c r="RII44" s="1469"/>
      <c r="RIJ44" s="1469"/>
      <c r="RIK44" s="1469"/>
      <c r="RIL44" s="1469"/>
      <c r="RIM44" s="1469"/>
      <c r="RIN44" s="1469"/>
      <c r="RIO44" s="1469"/>
      <c r="RIP44" s="1469"/>
      <c r="RIQ44" s="1469"/>
      <c r="RIR44" s="1469"/>
      <c r="RIS44" s="1469"/>
      <c r="RIT44" s="1469"/>
      <c r="RIU44" s="1469"/>
      <c r="RIV44" s="1469"/>
      <c r="RIW44" s="1469"/>
      <c r="RIX44" s="1469"/>
      <c r="RIY44" s="1469"/>
      <c r="RIZ44" s="1469"/>
      <c r="RJA44" s="1469"/>
      <c r="RJB44" s="1469"/>
      <c r="RJC44" s="1469"/>
      <c r="RJD44" s="1469"/>
      <c r="RJE44" s="1469"/>
      <c r="RJF44" s="1469"/>
      <c r="RJG44" s="1469"/>
      <c r="RJH44" s="1469"/>
      <c r="RJI44" s="1469"/>
      <c r="RJJ44" s="1469"/>
      <c r="RJK44" s="1469"/>
      <c r="RJL44" s="1469"/>
      <c r="RJM44" s="1469"/>
      <c r="RJN44" s="1469"/>
      <c r="RJO44" s="1469"/>
      <c r="RJP44" s="1469"/>
      <c r="RJQ44" s="1469"/>
      <c r="RJR44" s="1469"/>
      <c r="RJS44" s="1469"/>
      <c r="RJT44" s="1469"/>
      <c r="RJU44" s="1469"/>
      <c r="RJV44" s="1469"/>
      <c r="RJW44" s="1469"/>
      <c r="RJX44" s="1469"/>
      <c r="RJY44" s="1469"/>
      <c r="RJZ44" s="1469"/>
      <c r="RKA44" s="1469"/>
      <c r="RKB44" s="1469"/>
      <c r="RKC44" s="1469"/>
      <c r="RKD44" s="1469"/>
      <c r="RKE44" s="1469"/>
      <c r="RKF44" s="1469"/>
      <c r="RKG44" s="1469"/>
      <c r="RKH44" s="1469"/>
      <c r="RKI44" s="1469"/>
      <c r="RKJ44" s="1469"/>
      <c r="RKK44" s="1469"/>
      <c r="RKL44" s="1469"/>
      <c r="RKM44" s="1469"/>
      <c r="RKN44" s="1469"/>
      <c r="RKO44" s="1469"/>
      <c r="RKP44" s="1469"/>
      <c r="RKQ44" s="1469"/>
      <c r="RKR44" s="1469"/>
      <c r="RKS44" s="1469"/>
      <c r="RKT44" s="1469"/>
      <c r="RKU44" s="1469"/>
      <c r="RKV44" s="1469"/>
      <c r="RKW44" s="1469"/>
      <c r="RKX44" s="1469"/>
      <c r="RKY44" s="1469"/>
      <c r="RKZ44" s="1469"/>
      <c r="RLA44" s="1469"/>
      <c r="RLB44" s="1469"/>
      <c r="RLC44" s="1469"/>
      <c r="RLD44" s="1469"/>
      <c r="RLE44" s="1469"/>
      <c r="RLF44" s="1469"/>
      <c r="RLG44" s="1469"/>
      <c r="RLH44" s="1469"/>
      <c r="RLI44" s="1469"/>
      <c r="RLJ44" s="1469"/>
      <c r="RLK44" s="1469"/>
      <c r="RLL44" s="1469"/>
      <c r="RLM44" s="1469"/>
      <c r="RLN44" s="1469"/>
      <c r="RLO44" s="1469"/>
      <c r="RLP44" s="1469"/>
      <c r="RLQ44" s="1469"/>
      <c r="RLR44" s="1469"/>
      <c r="RLS44" s="1469"/>
      <c r="RLT44" s="1469"/>
      <c r="RLU44" s="1469"/>
      <c r="RLV44" s="1469"/>
      <c r="RLW44" s="1469"/>
      <c r="RLX44" s="1469"/>
      <c r="RLY44" s="1469"/>
      <c r="RLZ44" s="1469"/>
      <c r="RMA44" s="1469"/>
      <c r="RMB44" s="1469"/>
      <c r="RMC44" s="1469"/>
      <c r="RMD44" s="1469"/>
      <c r="RME44" s="1469"/>
      <c r="RMF44" s="1469"/>
      <c r="RMG44" s="1469"/>
      <c r="RMH44" s="1469"/>
      <c r="RMI44" s="1469"/>
      <c r="RMJ44" s="1469"/>
      <c r="RMK44" s="1469"/>
      <c r="RML44" s="1469"/>
      <c r="RMM44" s="1469"/>
      <c r="RMN44" s="1469"/>
      <c r="RMO44" s="1469"/>
      <c r="RMP44" s="1469"/>
      <c r="RMQ44" s="1469"/>
      <c r="RMR44" s="1469"/>
      <c r="RMS44" s="1469"/>
      <c r="RMT44" s="1469"/>
      <c r="RMU44" s="1469"/>
      <c r="RMV44" s="1469"/>
      <c r="RMW44" s="1469"/>
      <c r="RMX44" s="1469"/>
      <c r="RMY44" s="1469"/>
      <c r="RMZ44" s="1469"/>
      <c r="RNA44" s="1469"/>
      <c r="RNB44" s="1469"/>
      <c r="RNC44" s="1469"/>
      <c r="RND44" s="1469"/>
      <c r="RNE44" s="1469"/>
      <c r="RNF44" s="1469"/>
      <c r="RNG44" s="1469"/>
      <c r="RNH44" s="1469"/>
      <c r="RNI44" s="1469"/>
      <c r="RNJ44" s="1469"/>
      <c r="RNK44" s="1469"/>
      <c r="RNL44" s="1469"/>
      <c r="RNM44" s="1469"/>
      <c r="RNN44" s="1469"/>
      <c r="RNO44" s="1469"/>
      <c r="RNP44" s="1469"/>
      <c r="RNQ44" s="1469"/>
      <c r="RNR44" s="1469"/>
      <c r="RNS44" s="1469"/>
      <c r="RNT44" s="1469"/>
      <c r="RNU44" s="1469"/>
      <c r="RNV44" s="1469"/>
      <c r="RNW44" s="1469"/>
      <c r="RNX44" s="1469"/>
      <c r="RNY44" s="1469"/>
      <c r="RNZ44" s="1469"/>
      <c r="ROA44" s="1469"/>
      <c r="ROB44" s="1469"/>
      <c r="ROC44" s="1469"/>
      <c r="ROD44" s="1469"/>
      <c r="ROE44" s="1469"/>
      <c r="ROF44" s="1469"/>
      <c r="ROG44" s="1469"/>
      <c r="ROH44" s="1469"/>
      <c r="ROI44" s="1469"/>
      <c r="ROJ44" s="1469"/>
      <c r="ROK44" s="1469"/>
      <c r="ROL44" s="1469"/>
      <c r="ROM44" s="1469"/>
      <c r="RON44" s="1469"/>
      <c r="ROO44" s="1469"/>
      <c r="ROP44" s="1469"/>
      <c r="ROQ44" s="1469"/>
      <c r="ROR44" s="1469"/>
      <c r="ROS44" s="1469"/>
      <c r="ROT44" s="1469"/>
      <c r="ROU44" s="1469"/>
      <c r="ROV44" s="1469"/>
      <c r="ROW44" s="1469"/>
      <c r="ROX44" s="1469"/>
      <c r="ROY44" s="1469"/>
      <c r="ROZ44" s="1469"/>
      <c r="RPA44" s="1469"/>
      <c r="RPB44" s="1469"/>
      <c r="RPC44" s="1469"/>
      <c r="RPD44" s="1469"/>
      <c r="RPE44" s="1469"/>
      <c r="RPF44" s="1469"/>
      <c r="RPG44" s="1469"/>
      <c r="RPH44" s="1469"/>
      <c r="RPI44" s="1469"/>
      <c r="RPJ44" s="1469"/>
      <c r="RPK44" s="1469"/>
      <c r="RPL44" s="1469"/>
      <c r="RPM44" s="1469"/>
      <c r="RPN44" s="1469"/>
      <c r="RPO44" s="1469"/>
      <c r="RPP44" s="1469"/>
      <c r="RPQ44" s="1469"/>
      <c r="RPR44" s="1469"/>
      <c r="RPS44" s="1469"/>
      <c r="RPT44" s="1469"/>
      <c r="RPU44" s="1469"/>
      <c r="RPV44" s="1469"/>
      <c r="RPW44" s="1469"/>
      <c r="RPX44" s="1469"/>
      <c r="RPY44" s="1469"/>
      <c r="RPZ44" s="1469"/>
      <c r="RQA44" s="1469"/>
      <c r="RQB44" s="1469"/>
      <c r="RQC44" s="1469"/>
      <c r="RQD44" s="1469"/>
      <c r="RQE44" s="1469"/>
      <c r="RQF44" s="1469"/>
      <c r="RQG44" s="1469"/>
      <c r="RQH44" s="1469"/>
      <c r="RQI44" s="1469"/>
      <c r="RQJ44" s="1469"/>
      <c r="RQK44" s="1469"/>
      <c r="RQL44" s="1469"/>
      <c r="RQM44" s="1469"/>
      <c r="RQN44" s="1469"/>
      <c r="RQO44" s="1469"/>
      <c r="RQP44" s="1469"/>
      <c r="RQQ44" s="1469"/>
      <c r="RQR44" s="1469"/>
      <c r="RQS44" s="1469"/>
      <c r="RQT44" s="1469"/>
      <c r="RQU44" s="1469"/>
      <c r="RQV44" s="1469"/>
      <c r="RQW44" s="1469"/>
      <c r="RQX44" s="1469"/>
      <c r="RQY44" s="1469"/>
      <c r="RQZ44" s="1469"/>
      <c r="RRA44" s="1469"/>
      <c r="RRB44" s="1469"/>
      <c r="RRC44" s="1469"/>
      <c r="RRD44" s="1469"/>
      <c r="RRE44" s="1469"/>
      <c r="RRF44" s="1469"/>
      <c r="RRG44" s="1469"/>
      <c r="RRH44" s="1469"/>
      <c r="RRI44" s="1469"/>
      <c r="RRJ44" s="1469"/>
      <c r="RRK44" s="1469"/>
      <c r="RRL44" s="1469"/>
      <c r="RRM44" s="1469"/>
      <c r="RRN44" s="1469"/>
      <c r="RRO44" s="1469"/>
      <c r="RRP44" s="1469"/>
      <c r="RRQ44" s="1469"/>
      <c r="RRR44" s="1469"/>
      <c r="RRS44" s="1469"/>
      <c r="RRT44" s="1469"/>
      <c r="RRU44" s="1469"/>
      <c r="RRV44" s="1469"/>
      <c r="RRW44" s="1469"/>
      <c r="RRX44" s="1469"/>
      <c r="RRY44" s="1469"/>
      <c r="RRZ44" s="1469"/>
      <c r="RSA44" s="1469"/>
      <c r="RSB44" s="1469"/>
      <c r="RSC44" s="1469"/>
      <c r="RSD44" s="1469"/>
      <c r="RSE44" s="1469"/>
      <c r="RSF44" s="1469"/>
      <c r="RSG44" s="1469"/>
      <c r="RSH44" s="1469"/>
      <c r="RSI44" s="1469"/>
      <c r="RSJ44" s="1469"/>
      <c r="RSK44" s="1469"/>
      <c r="RSL44" s="1469"/>
      <c r="RSM44" s="1469"/>
      <c r="RSN44" s="1469"/>
      <c r="RSO44" s="1469"/>
      <c r="RSP44" s="1469"/>
      <c r="RSQ44" s="1469"/>
      <c r="RSR44" s="1469"/>
      <c r="RSS44" s="1469"/>
      <c r="RST44" s="1469"/>
      <c r="RSU44" s="1469"/>
      <c r="RSV44" s="1469"/>
      <c r="RSW44" s="1469"/>
      <c r="RSX44" s="1469"/>
      <c r="RSY44" s="1469"/>
      <c r="RSZ44" s="1469"/>
      <c r="RTA44" s="1469"/>
      <c r="RTB44" s="1469"/>
      <c r="RTC44" s="1469"/>
      <c r="RTD44" s="1469"/>
      <c r="RTE44" s="1469"/>
      <c r="RTF44" s="1469"/>
      <c r="RTG44" s="1469"/>
      <c r="RTH44" s="1469"/>
      <c r="RTI44" s="1469"/>
      <c r="RTJ44" s="1469"/>
      <c r="RTK44" s="1469"/>
      <c r="RTL44" s="1469"/>
      <c r="RTM44" s="1469"/>
      <c r="RTN44" s="1469"/>
      <c r="RTO44" s="1469"/>
      <c r="RTP44" s="1469"/>
      <c r="RTQ44" s="1469"/>
      <c r="RTR44" s="1469"/>
      <c r="RTS44" s="1469"/>
      <c r="RTT44" s="1469"/>
      <c r="RTU44" s="1469"/>
      <c r="RTV44" s="1469"/>
      <c r="RTW44" s="1469"/>
      <c r="RTX44" s="1469"/>
      <c r="RTY44" s="1469"/>
      <c r="RTZ44" s="1469"/>
      <c r="RUA44" s="1469"/>
      <c r="RUB44" s="1469"/>
      <c r="RUC44" s="1469"/>
      <c r="RUD44" s="1469"/>
      <c r="RUE44" s="1469"/>
      <c r="RUF44" s="1469"/>
      <c r="RUG44" s="1469"/>
      <c r="RUH44" s="1469"/>
      <c r="RUI44" s="1469"/>
      <c r="RUJ44" s="1469"/>
      <c r="RUK44" s="1469"/>
      <c r="RUL44" s="1469"/>
      <c r="RUM44" s="1469"/>
      <c r="RUN44" s="1469"/>
      <c r="RUO44" s="1469"/>
      <c r="RUP44" s="1469"/>
      <c r="RUQ44" s="1469"/>
      <c r="RUR44" s="1469"/>
      <c r="RUS44" s="1469"/>
      <c r="RUT44" s="1469"/>
      <c r="RUU44" s="1469"/>
      <c r="RUV44" s="1469"/>
      <c r="RUW44" s="1469"/>
      <c r="RUX44" s="1469"/>
      <c r="RUY44" s="1469"/>
      <c r="RUZ44" s="1469"/>
      <c r="RVA44" s="1469"/>
      <c r="RVB44" s="1469"/>
      <c r="RVC44" s="1469"/>
      <c r="RVD44" s="1469"/>
      <c r="RVE44" s="1469"/>
      <c r="RVF44" s="1469"/>
      <c r="RVG44" s="1469"/>
      <c r="RVH44" s="1469"/>
      <c r="RVI44" s="1469"/>
      <c r="RVJ44" s="1469"/>
      <c r="RVK44" s="1469"/>
      <c r="RVL44" s="1469"/>
      <c r="RVM44" s="1469"/>
      <c r="RVN44" s="1469"/>
      <c r="RVO44" s="1469"/>
      <c r="RVP44" s="1469"/>
      <c r="RVQ44" s="1469"/>
      <c r="RVR44" s="1469"/>
      <c r="RVS44" s="1469"/>
      <c r="RVT44" s="1469"/>
      <c r="RVU44" s="1469"/>
      <c r="RVV44" s="1469"/>
      <c r="RVW44" s="1469"/>
      <c r="RVX44" s="1469"/>
      <c r="RVY44" s="1469"/>
      <c r="RVZ44" s="1469"/>
      <c r="RWA44" s="1469"/>
      <c r="RWB44" s="1469"/>
      <c r="RWC44" s="1469"/>
      <c r="RWD44" s="1469"/>
      <c r="RWE44" s="1469"/>
      <c r="RWF44" s="1469"/>
      <c r="RWG44" s="1469"/>
      <c r="RWH44" s="1469"/>
      <c r="RWI44" s="1469"/>
      <c r="RWJ44" s="1469"/>
      <c r="RWK44" s="1469"/>
      <c r="RWL44" s="1469"/>
      <c r="RWM44" s="1469"/>
      <c r="RWN44" s="1469"/>
      <c r="RWO44" s="1469"/>
      <c r="RWP44" s="1469"/>
      <c r="RWQ44" s="1469"/>
      <c r="RWR44" s="1469"/>
      <c r="RWS44" s="1469"/>
      <c r="RWT44" s="1469"/>
      <c r="RWU44" s="1469"/>
      <c r="RWV44" s="1469"/>
      <c r="RWW44" s="1469"/>
      <c r="RWX44" s="1469"/>
      <c r="RWY44" s="1469"/>
      <c r="RWZ44" s="1469"/>
      <c r="RXA44" s="1469"/>
      <c r="RXB44" s="1469"/>
      <c r="RXC44" s="1469"/>
      <c r="RXD44" s="1469"/>
      <c r="RXE44" s="1469"/>
      <c r="RXF44" s="1469"/>
      <c r="RXG44" s="1469"/>
      <c r="RXH44" s="1469"/>
      <c r="RXI44" s="1469"/>
      <c r="RXJ44" s="1469"/>
      <c r="RXK44" s="1469"/>
      <c r="RXL44" s="1469"/>
      <c r="RXM44" s="1469"/>
      <c r="RXN44" s="1469"/>
      <c r="RXO44" s="1469"/>
      <c r="RXP44" s="1469"/>
      <c r="RXQ44" s="1469"/>
      <c r="RXR44" s="1469"/>
      <c r="RXS44" s="1469"/>
      <c r="RXT44" s="1469"/>
      <c r="RXU44" s="1469"/>
      <c r="RXV44" s="1469"/>
      <c r="RXW44" s="1469"/>
      <c r="RXX44" s="1469"/>
      <c r="RXY44" s="1469"/>
      <c r="RXZ44" s="1469"/>
      <c r="RYA44" s="1469"/>
      <c r="RYB44" s="1469"/>
      <c r="RYC44" s="1469"/>
      <c r="RYD44" s="1469"/>
      <c r="RYE44" s="1469"/>
      <c r="RYF44" s="1469"/>
      <c r="RYG44" s="1469"/>
      <c r="RYH44" s="1469"/>
      <c r="RYI44" s="1469"/>
      <c r="RYJ44" s="1469"/>
      <c r="RYK44" s="1469"/>
      <c r="RYL44" s="1469"/>
      <c r="RYM44" s="1469"/>
      <c r="RYN44" s="1469"/>
      <c r="RYO44" s="1469"/>
      <c r="RYP44" s="1469"/>
      <c r="RYQ44" s="1469"/>
      <c r="RYR44" s="1469"/>
      <c r="RYS44" s="1469"/>
      <c r="RYT44" s="1469"/>
      <c r="RYU44" s="1469"/>
      <c r="RYV44" s="1469"/>
      <c r="RYW44" s="1469"/>
      <c r="RYX44" s="1469"/>
      <c r="RYY44" s="1469"/>
      <c r="RYZ44" s="1469"/>
      <c r="RZA44" s="1469"/>
      <c r="RZB44" s="1469"/>
      <c r="RZC44" s="1469"/>
      <c r="RZD44" s="1469"/>
      <c r="RZE44" s="1469"/>
      <c r="RZF44" s="1469"/>
      <c r="RZG44" s="1469"/>
      <c r="RZH44" s="1469"/>
      <c r="RZI44" s="1469"/>
      <c r="RZJ44" s="1469"/>
      <c r="RZK44" s="1469"/>
      <c r="RZL44" s="1469"/>
      <c r="RZM44" s="1469"/>
      <c r="RZN44" s="1469"/>
      <c r="RZO44" s="1469"/>
      <c r="RZP44" s="1469"/>
      <c r="RZQ44" s="1469"/>
      <c r="RZR44" s="1469"/>
      <c r="RZS44" s="1469"/>
      <c r="RZT44" s="1469"/>
      <c r="RZU44" s="1469"/>
      <c r="RZV44" s="1469"/>
      <c r="RZW44" s="1469"/>
      <c r="RZX44" s="1469"/>
      <c r="RZY44" s="1469"/>
      <c r="RZZ44" s="1469"/>
      <c r="SAA44" s="1469"/>
      <c r="SAB44" s="1469"/>
      <c r="SAC44" s="1469"/>
      <c r="SAD44" s="1469"/>
      <c r="SAE44" s="1469"/>
      <c r="SAF44" s="1469"/>
      <c r="SAG44" s="1469"/>
      <c r="SAH44" s="1469"/>
      <c r="SAI44" s="1469"/>
      <c r="SAJ44" s="1469"/>
      <c r="SAK44" s="1469"/>
      <c r="SAL44" s="1469"/>
      <c r="SAM44" s="1469"/>
      <c r="SAN44" s="1469"/>
      <c r="SAO44" s="1469"/>
      <c r="SAP44" s="1469"/>
      <c r="SAQ44" s="1469"/>
      <c r="SAR44" s="1469"/>
      <c r="SAS44" s="1469"/>
      <c r="SAT44" s="1469"/>
      <c r="SAU44" s="1469"/>
      <c r="SAV44" s="1469"/>
      <c r="SAW44" s="1469"/>
      <c r="SAX44" s="1469"/>
      <c r="SAY44" s="1469"/>
      <c r="SAZ44" s="1469"/>
      <c r="SBA44" s="1469"/>
      <c r="SBB44" s="1469"/>
      <c r="SBC44" s="1469"/>
      <c r="SBD44" s="1469"/>
      <c r="SBE44" s="1469"/>
      <c r="SBF44" s="1469"/>
      <c r="SBG44" s="1469"/>
      <c r="SBH44" s="1469"/>
      <c r="SBI44" s="1469"/>
      <c r="SBJ44" s="1469"/>
      <c r="SBK44" s="1469"/>
      <c r="SBL44" s="1469"/>
      <c r="SBM44" s="1469"/>
      <c r="SBN44" s="1469"/>
      <c r="SBO44" s="1469"/>
      <c r="SBP44" s="1469"/>
      <c r="SBQ44" s="1469"/>
      <c r="SBR44" s="1469"/>
      <c r="SBS44" s="1469"/>
      <c r="SBT44" s="1469"/>
      <c r="SBU44" s="1469"/>
      <c r="SBV44" s="1469"/>
      <c r="SBW44" s="1469"/>
      <c r="SBX44" s="1469"/>
      <c r="SBY44" s="1469"/>
      <c r="SBZ44" s="1469"/>
      <c r="SCA44" s="1469"/>
      <c r="SCB44" s="1469"/>
      <c r="SCC44" s="1469"/>
      <c r="SCD44" s="1469"/>
      <c r="SCE44" s="1469"/>
      <c r="SCF44" s="1469"/>
      <c r="SCG44" s="1469"/>
      <c r="SCH44" s="1469"/>
      <c r="SCI44" s="1469"/>
      <c r="SCJ44" s="1469"/>
      <c r="SCK44" s="1469"/>
      <c r="SCL44" s="1469"/>
      <c r="SCM44" s="1469"/>
      <c r="SCN44" s="1469"/>
      <c r="SCO44" s="1469"/>
      <c r="SCP44" s="1469"/>
      <c r="SCQ44" s="1469"/>
      <c r="SCR44" s="1469"/>
      <c r="SCS44" s="1469"/>
      <c r="SCT44" s="1469"/>
      <c r="SCU44" s="1469"/>
      <c r="SCV44" s="1469"/>
      <c r="SCW44" s="1469"/>
      <c r="SCX44" s="1469"/>
      <c r="SCY44" s="1469"/>
      <c r="SCZ44" s="1469"/>
      <c r="SDA44" s="1469"/>
      <c r="SDB44" s="1469"/>
      <c r="SDC44" s="1469"/>
      <c r="SDD44" s="1469"/>
      <c r="SDE44" s="1469"/>
      <c r="SDF44" s="1469"/>
      <c r="SDG44" s="1469"/>
      <c r="SDH44" s="1469"/>
      <c r="SDI44" s="1469"/>
      <c r="SDJ44" s="1469"/>
      <c r="SDK44" s="1469"/>
      <c r="SDL44" s="1469"/>
      <c r="SDM44" s="1469"/>
      <c r="SDN44" s="1469"/>
      <c r="SDO44" s="1469"/>
      <c r="SDP44" s="1469"/>
      <c r="SDQ44" s="1469"/>
      <c r="SDR44" s="1469"/>
      <c r="SDS44" s="1469"/>
      <c r="SDT44" s="1469"/>
      <c r="SDU44" s="1469"/>
      <c r="SDV44" s="1469"/>
      <c r="SDW44" s="1469"/>
      <c r="SDX44" s="1469"/>
      <c r="SDY44" s="1469"/>
      <c r="SDZ44" s="1469"/>
      <c r="SEA44" s="1469"/>
      <c r="SEB44" s="1469"/>
      <c r="SEC44" s="1469"/>
      <c r="SED44" s="1469"/>
      <c r="SEE44" s="1469"/>
      <c r="SEF44" s="1469"/>
      <c r="SEG44" s="1469"/>
      <c r="SEH44" s="1469"/>
      <c r="SEI44" s="1469"/>
      <c r="SEJ44" s="1469"/>
      <c r="SEK44" s="1469"/>
      <c r="SEL44" s="1469"/>
      <c r="SEM44" s="1469"/>
      <c r="SEN44" s="1469"/>
      <c r="SEO44" s="1469"/>
      <c r="SEP44" s="1469"/>
      <c r="SEQ44" s="1469"/>
      <c r="SER44" s="1469"/>
      <c r="SES44" s="1469"/>
      <c r="SET44" s="1469"/>
      <c r="SEU44" s="1469"/>
      <c r="SEV44" s="1469"/>
      <c r="SEW44" s="1469"/>
      <c r="SEX44" s="1469"/>
      <c r="SEY44" s="1469"/>
      <c r="SEZ44" s="1469"/>
      <c r="SFA44" s="1469"/>
      <c r="SFB44" s="1469"/>
      <c r="SFC44" s="1469"/>
      <c r="SFD44" s="1469"/>
      <c r="SFE44" s="1469"/>
      <c r="SFF44" s="1469"/>
      <c r="SFG44" s="1469"/>
      <c r="SFH44" s="1469"/>
      <c r="SFI44" s="1469"/>
      <c r="SFJ44" s="1469"/>
      <c r="SFK44" s="1469"/>
      <c r="SFL44" s="1469"/>
      <c r="SFM44" s="1469"/>
      <c r="SFN44" s="1469"/>
      <c r="SFO44" s="1469"/>
      <c r="SFP44" s="1469"/>
      <c r="SFQ44" s="1469"/>
      <c r="SFR44" s="1469"/>
      <c r="SFS44" s="1469"/>
      <c r="SFT44" s="1469"/>
      <c r="SFU44" s="1469"/>
      <c r="SFV44" s="1469"/>
      <c r="SFW44" s="1469"/>
      <c r="SFX44" s="1469"/>
      <c r="SFY44" s="1469"/>
      <c r="SFZ44" s="1469"/>
      <c r="SGA44" s="1469"/>
      <c r="SGB44" s="1469"/>
      <c r="SGC44" s="1469"/>
      <c r="SGD44" s="1469"/>
      <c r="SGE44" s="1469"/>
      <c r="SGF44" s="1469"/>
      <c r="SGG44" s="1469"/>
      <c r="SGH44" s="1469"/>
      <c r="SGI44" s="1469"/>
      <c r="SGJ44" s="1469"/>
      <c r="SGK44" s="1469"/>
      <c r="SGL44" s="1469"/>
      <c r="SGM44" s="1469"/>
      <c r="SGN44" s="1469"/>
      <c r="SGO44" s="1469"/>
      <c r="SGP44" s="1469"/>
      <c r="SGQ44" s="1469"/>
      <c r="SGR44" s="1469"/>
      <c r="SGS44" s="1469"/>
      <c r="SGT44" s="1469"/>
      <c r="SGU44" s="1469"/>
      <c r="SGV44" s="1469"/>
      <c r="SGW44" s="1469"/>
      <c r="SGX44" s="1469"/>
      <c r="SGY44" s="1469"/>
      <c r="SGZ44" s="1469"/>
      <c r="SHA44" s="1469"/>
      <c r="SHB44" s="1469"/>
      <c r="SHC44" s="1469"/>
      <c r="SHD44" s="1469"/>
      <c r="SHE44" s="1469"/>
      <c r="SHF44" s="1469"/>
      <c r="SHG44" s="1469"/>
      <c r="SHH44" s="1469"/>
      <c r="SHI44" s="1469"/>
      <c r="SHJ44" s="1469"/>
      <c r="SHK44" s="1469"/>
      <c r="SHL44" s="1469"/>
      <c r="SHM44" s="1469"/>
      <c r="SHN44" s="1469"/>
      <c r="SHO44" s="1469"/>
      <c r="SHP44" s="1469"/>
      <c r="SHQ44" s="1469"/>
      <c r="SHR44" s="1469"/>
      <c r="SHS44" s="1469"/>
      <c r="SHT44" s="1469"/>
      <c r="SHU44" s="1469"/>
      <c r="SHV44" s="1469"/>
      <c r="SHW44" s="1469"/>
      <c r="SHX44" s="1469"/>
      <c r="SHY44" s="1469"/>
      <c r="SHZ44" s="1469"/>
      <c r="SIA44" s="1469"/>
      <c r="SIB44" s="1469"/>
      <c r="SIC44" s="1469"/>
      <c r="SID44" s="1469"/>
      <c r="SIE44" s="1469"/>
      <c r="SIF44" s="1469"/>
      <c r="SIG44" s="1469"/>
      <c r="SIH44" s="1469"/>
      <c r="SII44" s="1469"/>
      <c r="SIJ44" s="1469"/>
      <c r="SIK44" s="1469"/>
      <c r="SIL44" s="1469"/>
      <c r="SIM44" s="1469"/>
      <c r="SIN44" s="1469"/>
      <c r="SIO44" s="1469"/>
      <c r="SIP44" s="1469"/>
      <c r="SIQ44" s="1469"/>
      <c r="SIR44" s="1469"/>
      <c r="SIS44" s="1469"/>
      <c r="SIT44" s="1469"/>
      <c r="SIU44" s="1469"/>
      <c r="SIV44" s="1469"/>
      <c r="SIW44" s="1469"/>
      <c r="SIX44" s="1469"/>
      <c r="SIY44" s="1469"/>
      <c r="SIZ44" s="1469"/>
      <c r="SJA44" s="1469"/>
      <c r="SJB44" s="1469"/>
      <c r="SJC44" s="1469"/>
      <c r="SJD44" s="1469"/>
      <c r="SJE44" s="1469"/>
      <c r="SJF44" s="1469"/>
      <c r="SJG44" s="1469"/>
      <c r="SJH44" s="1469"/>
      <c r="SJI44" s="1469"/>
      <c r="SJJ44" s="1469"/>
      <c r="SJK44" s="1469"/>
      <c r="SJL44" s="1469"/>
      <c r="SJM44" s="1469"/>
      <c r="SJN44" s="1469"/>
      <c r="SJO44" s="1469"/>
      <c r="SJP44" s="1469"/>
      <c r="SJQ44" s="1469"/>
      <c r="SJR44" s="1469"/>
      <c r="SJS44" s="1469"/>
      <c r="SJT44" s="1469"/>
      <c r="SJU44" s="1469"/>
      <c r="SJV44" s="1469"/>
      <c r="SJW44" s="1469"/>
      <c r="SJX44" s="1469"/>
      <c r="SJY44" s="1469"/>
      <c r="SJZ44" s="1469"/>
      <c r="SKA44" s="1469"/>
      <c r="SKB44" s="1469"/>
      <c r="SKC44" s="1469"/>
      <c r="SKD44" s="1469"/>
      <c r="SKE44" s="1469"/>
      <c r="SKF44" s="1469"/>
      <c r="SKG44" s="1469"/>
      <c r="SKH44" s="1469"/>
      <c r="SKI44" s="1469"/>
      <c r="SKJ44" s="1469"/>
      <c r="SKK44" s="1469"/>
      <c r="SKL44" s="1469"/>
      <c r="SKM44" s="1469"/>
      <c r="SKN44" s="1469"/>
      <c r="SKO44" s="1469"/>
      <c r="SKP44" s="1469"/>
      <c r="SKQ44" s="1469"/>
      <c r="SKR44" s="1469"/>
      <c r="SKS44" s="1469"/>
      <c r="SKT44" s="1469"/>
      <c r="SKU44" s="1469"/>
      <c r="SKV44" s="1469"/>
      <c r="SKW44" s="1469"/>
      <c r="SKX44" s="1469"/>
      <c r="SKY44" s="1469"/>
      <c r="SKZ44" s="1469"/>
      <c r="SLA44" s="1469"/>
      <c r="SLB44" s="1469"/>
      <c r="SLC44" s="1469"/>
      <c r="SLD44" s="1469"/>
      <c r="SLE44" s="1469"/>
      <c r="SLF44" s="1469"/>
      <c r="SLG44" s="1469"/>
      <c r="SLH44" s="1469"/>
      <c r="SLI44" s="1469"/>
      <c r="SLJ44" s="1469"/>
      <c r="SLK44" s="1469"/>
      <c r="SLL44" s="1469"/>
      <c r="SLM44" s="1469"/>
      <c r="SLN44" s="1469"/>
      <c r="SLO44" s="1469"/>
      <c r="SLP44" s="1469"/>
      <c r="SLQ44" s="1469"/>
      <c r="SLR44" s="1469"/>
      <c r="SLS44" s="1469"/>
      <c r="SLT44" s="1469"/>
      <c r="SLU44" s="1469"/>
      <c r="SLV44" s="1469"/>
      <c r="SLW44" s="1469"/>
      <c r="SLX44" s="1469"/>
      <c r="SLY44" s="1469"/>
      <c r="SLZ44" s="1469"/>
      <c r="SMA44" s="1469"/>
      <c r="SMB44" s="1469"/>
      <c r="SMC44" s="1469"/>
      <c r="SMD44" s="1469"/>
      <c r="SME44" s="1469"/>
      <c r="SMF44" s="1469"/>
      <c r="SMG44" s="1469"/>
      <c r="SMH44" s="1469"/>
      <c r="SMI44" s="1469"/>
      <c r="SMJ44" s="1469"/>
      <c r="SMK44" s="1469"/>
      <c r="SML44" s="1469"/>
      <c r="SMM44" s="1469"/>
      <c r="SMN44" s="1469"/>
      <c r="SMO44" s="1469"/>
      <c r="SMP44" s="1469"/>
      <c r="SMQ44" s="1469"/>
      <c r="SMR44" s="1469"/>
      <c r="SMS44" s="1469"/>
      <c r="SMT44" s="1469"/>
      <c r="SMU44" s="1469"/>
      <c r="SMV44" s="1469"/>
      <c r="SMW44" s="1469"/>
      <c r="SMX44" s="1469"/>
      <c r="SMY44" s="1469"/>
      <c r="SMZ44" s="1469"/>
      <c r="SNA44" s="1469"/>
      <c r="SNB44" s="1469"/>
      <c r="SNC44" s="1469"/>
      <c r="SND44" s="1469"/>
      <c r="SNE44" s="1469"/>
      <c r="SNF44" s="1469"/>
      <c r="SNG44" s="1469"/>
      <c r="SNH44" s="1469"/>
      <c r="SNI44" s="1469"/>
      <c r="SNJ44" s="1469"/>
      <c r="SNK44" s="1469"/>
      <c r="SNL44" s="1469"/>
      <c r="SNM44" s="1469"/>
      <c r="SNN44" s="1469"/>
      <c r="SNO44" s="1469"/>
      <c r="SNP44" s="1469"/>
      <c r="SNQ44" s="1469"/>
      <c r="SNR44" s="1469"/>
      <c r="SNS44" s="1469"/>
      <c r="SNT44" s="1469"/>
      <c r="SNU44" s="1469"/>
      <c r="SNV44" s="1469"/>
      <c r="SNW44" s="1469"/>
      <c r="SNX44" s="1469"/>
      <c r="SNY44" s="1469"/>
      <c r="SNZ44" s="1469"/>
      <c r="SOA44" s="1469"/>
      <c r="SOB44" s="1469"/>
      <c r="SOC44" s="1469"/>
      <c r="SOD44" s="1469"/>
      <c r="SOE44" s="1469"/>
      <c r="SOF44" s="1469"/>
      <c r="SOG44" s="1469"/>
      <c r="SOH44" s="1469"/>
      <c r="SOI44" s="1469"/>
      <c r="SOJ44" s="1469"/>
      <c r="SOK44" s="1469"/>
      <c r="SOL44" s="1469"/>
      <c r="SOM44" s="1469"/>
      <c r="SON44" s="1469"/>
      <c r="SOO44" s="1469"/>
      <c r="SOP44" s="1469"/>
      <c r="SOQ44" s="1469"/>
      <c r="SOR44" s="1469"/>
      <c r="SOS44" s="1469"/>
      <c r="SOT44" s="1469"/>
      <c r="SOU44" s="1469"/>
      <c r="SOV44" s="1469"/>
      <c r="SOW44" s="1469"/>
      <c r="SOX44" s="1469"/>
      <c r="SOY44" s="1469"/>
      <c r="SOZ44" s="1469"/>
      <c r="SPA44" s="1469"/>
      <c r="SPB44" s="1469"/>
      <c r="SPC44" s="1469"/>
      <c r="SPD44" s="1469"/>
      <c r="SPE44" s="1469"/>
      <c r="SPF44" s="1469"/>
      <c r="SPG44" s="1469"/>
      <c r="SPH44" s="1469"/>
      <c r="SPI44" s="1469"/>
      <c r="SPJ44" s="1469"/>
      <c r="SPK44" s="1469"/>
      <c r="SPL44" s="1469"/>
      <c r="SPM44" s="1469"/>
      <c r="SPN44" s="1469"/>
      <c r="SPO44" s="1469"/>
      <c r="SPP44" s="1469"/>
      <c r="SPQ44" s="1469"/>
      <c r="SPR44" s="1469"/>
      <c r="SPS44" s="1469"/>
      <c r="SPT44" s="1469"/>
      <c r="SPU44" s="1469"/>
      <c r="SPV44" s="1469"/>
      <c r="SPW44" s="1469"/>
      <c r="SPX44" s="1469"/>
      <c r="SPY44" s="1469"/>
      <c r="SPZ44" s="1469"/>
      <c r="SQA44" s="1469"/>
      <c r="SQB44" s="1469"/>
      <c r="SQC44" s="1469"/>
      <c r="SQD44" s="1469"/>
      <c r="SQE44" s="1469"/>
      <c r="SQF44" s="1469"/>
      <c r="SQG44" s="1469"/>
      <c r="SQH44" s="1469"/>
      <c r="SQI44" s="1469"/>
      <c r="SQJ44" s="1469"/>
      <c r="SQK44" s="1469"/>
      <c r="SQL44" s="1469"/>
      <c r="SQM44" s="1469"/>
      <c r="SQN44" s="1469"/>
      <c r="SQO44" s="1469"/>
      <c r="SQP44" s="1469"/>
      <c r="SQQ44" s="1469"/>
      <c r="SQR44" s="1469"/>
      <c r="SQS44" s="1469"/>
      <c r="SQT44" s="1469"/>
      <c r="SQU44" s="1469"/>
      <c r="SQV44" s="1469"/>
      <c r="SQW44" s="1469"/>
      <c r="SQX44" s="1469"/>
      <c r="SQY44" s="1469"/>
      <c r="SQZ44" s="1469"/>
      <c r="SRA44" s="1469"/>
      <c r="SRB44" s="1469"/>
      <c r="SRC44" s="1469"/>
      <c r="SRD44" s="1469"/>
      <c r="SRE44" s="1469"/>
      <c r="SRF44" s="1469"/>
      <c r="SRG44" s="1469"/>
      <c r="SRH44" s="1469"/>
      <c r="SRI44" s="1469"/>
      <c r="SRJ44" s="1469"/>
      <c r="SRK44" s="1469"/>
      <c r="SRL44" s="1469"/>
      <c r="SRM44" s="1469"/>
      <c r="SRN44" s="1469"/>
      <c r="SRO44" s="1469"/>
      <c r="SRP44" s="1469"/>
      <c r="SRQ44" s="1469"/>
      <c r="SRR44" s="1469"/>
      <c r="SRS44" s="1469"/>
      <c r="SRT44" s="1469"/>
      <c r="SRU44" s="1469"/>
      <c r="SRV44" s="1469"/>
      <c r="SRW44" s="1469"/>
      <c r="SRX44" s="1469"/>
      <c r="SRY44" s="1469"/>
      <c r="SRZ44" s="1469"/>
      <c r="SSA44" s="1469"/>
      <c r="SSB44" s="1469"/>
      <c r="SSC44" s="1469"/>
      <c r="SSD44" s="1469"/>
      <c r="SSE44" s="1469"/>
      <c r="SSF44" s="1469"/>
      <c r="SSG44" s="1469"/>
      <c r="SSH44" s="1469"/>
      <c r="SSI44" s="1469"/>
      <c r="SSJ44" s="1469"/>
      <c r="SSK44" s="1469"/>
      <c r="SSL44" s="1469"/>
      <c r="SSM44" s="1469"/>
      <c r="SSN44" s="1469"/>
      <c r="SSO44" s="1469"/>
      <c r="SSP44" s="1469"/>
      <c r="SSQ44" s="1469"/>
      <c r="SSR44" s="1469"/>
      <c r="SSS44" s="1469"/>
      <c r="SST44" s="1469"/>
      <c r="SSU44" s="1469"/>
      <c r="SSV44" s="1469"/>
      <c r="SSW44" s="1469"/>
      <c r="SSX44" s="1469"/>
      <c r="SSY44" s="1469"/>
      <c r="SSZ44" s="1469"/>
      <c r="STA44" s="1469"/>
      <c r="STB44" s="1469"/>
      <c r="STC44" s="1469"/>
      <c r="STD44" s="1469"/>
      <c r="STE44" s="1469"/>
      <c r="STF44" s="1469"/>
      <c r="STG44" s="1469"/>
      <c r="STH44" s="1469"/>
      <c r="STI44" s="1469"/>
      <c r="STJ44" s="1469"/>
      <c r="STK44" s="1469"/>
      <c r="STL44" s="1469"/>
      <c r="STM44" s="1469"/>
      <c r="STN44" s="1469"/>
      <c r="STO44" s="1469"/>
      <c r="STP44" s="1469"/>
      <c r="STQ44" s="1469"/>
      <c r="STR44" s="1469"/>
      <c r="STS44" s="1469"/>
      <c r="STT44" s="1469"/>
      <c r="STU44" s="1469"/>
      <c r="STV44" s="1469"/>
      <c r="STW44" s="1469"/>
      <c r="STX44" s="1469"/>
      <c r="STY44" s="1469"/>
      <c r="STZ44" s="1469"/>
      <c r="SUA44" s="1469"/>
      <c r="SUB44" s="1469"/>
      <c r="SUC44" s="1469"/>
      <c r="SUD44" s="1469"/>
      <c r="SUE44" s="1469"/>
      <c r="SUF44" s="1469"/>
      <c r="SUG44" s="1469"/>
      <c r="SUH44" s="1469"/>
      <c r="SUI44" s="1469"/>
      <c r="SUJ44" s="1469"/>
      <c r="SUK44" s="1469"/>
      <c r="SUL44" s="1469"/>
      <c r="SUM44" s="1469"/>
      <c r="SUN44" s="1469"/>
      <c r="SUO44" s="1469"/>
      <c r="SUP44" s="1469"/>
      <c r="SUQ44" s="1469"/>
      <c r="SUR44" s="1469"/>
      <c r="SUS44" s="1469"/>
      <c r="SUT44" s="1469"/>
      <c r="SUU44" s="1469"/>
      <c r="SUV44" s="1469"/>
      <c r="SUW44" s="1469"/>
      <c r="SUX44" s="1469"/>
      <c r="SUY44" s="1469"/>
      <c r="SUZ44" s="1469"/>
      <c r="SVA44" s="1469"/>
      <c r="SVB44" s="1469"/>
      <c r="SVC44" s="1469"/>
      <c r="SVD44" s="1469"/>
      <c r="SVE44" s="1469"/>
      <c r="SVF44" s="1469"/>
      <c r="SVG44" s="1469"/>
      <c r="SVH44" s="1469"/>
      <c r="SVI44" s="1469"/>
      <c r="SVJ44" s="1469"/>
      <c r="SVK44" s="1469"/>
      <c r="SVL44" s="1469"/>
      <c r="SVM44" s="1469"/>
      <c r="SVN44" s="1469"/>
      <c r="SVO44" s="1469"/>
      <c r="SVP44" s="1469"/>
      <c r="SVQ44" s="1469"/>
      <c r="SVR44" s="1469"/>
      <c r="SVS44" s="1469"/>
      <c r="SVT44" s="1469"/>
      <c r="SVU44" s="1469"/>
      <c r="SVV44" s="1469"/>
      <c r="SVW44" s="1469"/>
      <c r="SVX44" s="1469"/>
      <c r="SVY44" s="1469"/>
      <c r="SVZ44" s="1469"/>
      <c r="SWA44" s="1469"/>
      <c r="SWB44" s="1469"/>
      <c r="SWC44" s="1469"/>
      <c r="SWD44" s="1469"/>
      <c r="SWE44" s="1469"/>
      <c r="SWF44" s="1469"/>
      <c r="SWG44" s="1469"/>
      <c r="SWH44" s="1469"/>
      <c r="SWI44" s="1469"/>
      <c r="SWJ44" s="1469"/>
      <c r="SWK44" s="1469"/>
      <c r="SWL44" s="1469"/>
      <c r="SWM44" s="1469"/>
      <c r="SWN44" s="1469"/>
      <c r="SWO44" s="1469"/>
      <c r="SWP44" s="1469"/>
      <c r="SWQ44" s="1469"/>
      <c r="SWR44" s="1469"/>
      <c r="SWS44" s="1469"/>
      <c r="SWT44" s="1469"/>
      <c r="SWU44" s="1469"/>
      <c r="SWV44" s="1469"/>
      <c r="SWW44" s="1469"/>
      <c r="SWX44" s="1469"/>
      <c r="SWY44" s="1469"/>
      <c r="SWZ44" s="1469"/>
      <c r="SXA44" s="1469"/>
      <c r="SXB44" s="1469"/>
      <c r="SXC44" s="1469"/>
      <c r="SXD44" s="1469"/>
      <c r="SXE44" s="1469"/>
      <c r="SXF44" s="1469"/>
      <c r="SXG44" s="1469"/>
      <c r="SXH44" s="1469"/>
      <c r="SXI44" s="1469"/>
      <c r="SXJ44" s="1469"/>
      <c r="SXK44" s="1469"/>
      <c r="SXL44" s="1469"/>
      <c r="SXM44" s="1469"/>
      <c r="SXN44" s="1469"/>
      <c r="SXO44" s="1469"/>
      <c r="SXP44" s="1469"/>
      <c r="SXQ44" s="1469"/>
      <c r="SXR44" s="1469"/>
      <c r="SXS44" s="1469"/>
      <c r="SXT44" s="1469"/>
      <c r="SXU44" s="1469"/>
      <c r="SXV44" s="1469"/>
      <c r="SXW44" s="1469"/>
      <c r="SXX44" s="1469"/>
      <c r="SXY44" s="1469"/>
      <c r="SXZ44" s="1469"/>
      <c r="SYA44" s="1469"/>
      <c r="SYB44" s="1469"/>
      <c r="SYC44" s="1469"/>
      <c r="SYD44" s="1469"/>
      <c r="SYE44" s="1469"/>
      <c r="SYF44" s="1469"/>
      <c r="SYG44" s="1469"/>
      <c r="SYH44" s="1469"/>
      <c r="SYI44" s="1469"/>
      <c r="SYJ44" s="1469"/>
      <c r="SYK44" s="1469"/>
      <c r="SYL44" s="1469"/>
      <c r="SYM44" s="1469"/>
      <c r="SYN44" s="1469"/>
      <c r="SYO44" s="1469"/>
      <c r="SYP44" s="1469"/>
      <c r="SYQ44" s="1469"/>
      <c r="SYR44" s="1469"/>
      <c r="SYS44" s="1469"/>
      <c r="SYT44" s="1469"/>
      <c r="SYU44" s="1469"/>
      <c r="SYV44" s="1469"/>
      <c r="SYW44" s="1469"/>
      <c r="SYX44" s="1469"/>
      <c r="SYY44" s="1469"/>
      <c r="SYZ44" s="1469"/>
      <c r="SZA44" s="1469"/>
      <c r="SZB44" s="1469"/>
      <c r="SZC44" s="1469"/>
      <c r="SZD44" s="1469"/>
      <c r="SZE44" s="1469"/>
      <c r="SZF44" s="1469"/>
      <c r="SZG44" s="1469"/>
      <c r="SZH44" s="1469"/>
      <c r="SZI44" s="1469"/>
      <c r="SZJ44" s="1469"/>
      <c r="SZK44" s="1469"/>
      <c r="SZL44" s="1469"/>
      <c r="SZM44" s="1469"/>
      <c r="SZN44" s="1469"/>
      <c r="SZO44" s="1469"/>
      <c r="SZP44" s="1469"/>
      <c r="SZQ44" s="1469"/>
      <c r="SZR44" s="1469"/>
      <c r="SZS44" s="1469"/>
      <c r="SZT44" s="1469"/>
      <c r="SZU44" s="1469"/>
      <c r="SZV44" s="1469"/>
      <c r="SZW44" s="1469"/>
      <c r="SZX44" s="1469"/>
      <c r="SZY44" s="1469"/>
      <c r="SZZ44" s="1469"/>
      <c r="TAA44" s="1469"/>
      <c r="TAB44" s="1469"/>
      <c r="TAC44" s="1469"/>
      <c r="TAD44" s="1469"/>
      <c r="TAE44" s="1469"/>
      <c r="TAF44" s="1469"/>
      <c r="TAG44" s="1469"/>
      <c r="TAH44" s="1469"/>
      <c r="TAI44" s="1469"/>
      <c r="TAJ44" s="1469"/>
      <c r="TAK44" s="1469"/>
      <c r="TAL44" s="1469"/>
      <c r="TAM44" s="1469"/>
      <c r="TAN44" s="1469"/>
      <c r="TAO44" s="1469"/>
      <c r="TAP44" s="1469"/>
      <c r="TAQ44" s="1469"/>
      <c r="TAR44" s="1469"/>
      <c r="TAS44" s="1469"/>
      <c r="TAT44" s="1469"/>
      <c r="TAU44" s="1469"/>
      <c r="TAV44" s="1469"/>
      <c r="TAW44" s="1469"/>
      <c r="TAX44" s="1469"/>
      <c r="TAY44" s="1469"/>
      <c r="TAZ44" s="1469"/>
      <c r="TBA44" s="1469"/>
      <c r="TBB44" s="1469"/>
      <c r="TBC44" s="1469"/>
      <c r="TBD44" s="1469"/>
      <c r="TBE44" s="1469"/>
      <c r="TBF44" s="1469"/>
      <c r="TBG44" s="1469"/>
      <c r="TBH44" s="1469"/>
      <c r="TBI44" s="1469"/>
      <c r="TBJ44" s="1469"/>
      <c r="TBK44" s="1469"/>
      <c r="TBL44" s="1469"/>
      <c r="TBM44" s="1469"/>
      <c r="TBN44" s="1469"/>
      <c r="TBO44" s="1469"/>
      <c r="TBP44" s="1469"/>
      <c r="TBQ44" s="1469"/>
      <c r="TBR44" s="1469"/>
      <c r="TBS44" s="1469"/>
      <c r="TBT44" s="1469"/>
      <c r="TBU44" s="1469"/>
      <c r="TBV44" s="1469"/>
      <c r="TBW44" s="1469"/>
      <c r="TBX44" s="1469"/>
      <c r="TBY44" s="1469"/>
      <c r="TBZ44" s="1469"/>
      <c r="TCA44" s="1469"/>
      <c r="TCB44" s="1469"/>
      <c r="TCC44" s="1469"/>
      <c r="TCD44" s="1469"/>
      <c r="TCE44" s="1469"/>
      <c r="TCF44" s="1469"/>
      <c r="TCG44" s="1469"/>
      <c r="TCH44" s="1469"/>
      <c r="TCI44" s="1469"/>
      <c r="TCJ44" s="1469"/>
      <c r="TCK44" s="1469"/>
      <c r="TCL44" s="1469"/>
      <c r="TCM44" s="1469"/>
      <c r="TCN44" s="1469"/>
      <c r="TCO44" s="1469"/>
      <c r="TCP44" s="1469"/>
      <c r="TCQ44" s="1469"/>
      <c r="TCR44" s="1469"/>
      <c r="TCS44" s="1469"/>
      <c r="TCT44" s="1469"/>
      <c r="TCU44" s="1469"/>
      <c r="TCV44" s="1469"/>
      <c r="TCW44" s="1469"/>
      <c r="TCX44" s="1469"/>
      <c r="TCY44" s="1469"/>
      <c r="TCZ44" s="1469"/>
      <c r="TDA44" s="1469"/>
      <c r="TDB44" s="1469"/>
      <c r="TDC44" s="1469"/>
      <c r="TDD44" s="1469"/>
      <c r="TDE44" s="1469"/>
      <c r="TDF44" s="1469"/>
      <c r="TDG44" s="1469"/>
      <c r="TDH44" s="1469"/>
      <c r="TDI44" s="1469"/>
      <c r="TDJ44" s="1469"/>
      <c r="TDK44" s="1469"/>
      <c r="TDL44" s="1469"/>
      <c r="TDM44" s="1469"/>
      <c r="TDN44" s="1469"/>
      <c r="TDO44" s="1469"/>
      <c r="TDP44" s="1469"/>
      <c r="TDQ44" s="1469"/>
      <c r="TDR44" s="1469"/>
      <c r="TDS44" s="1469"/>
      <c r="TDT44" s="1469"/>
      <c r="TDU44" s="1469"/>
      <c r="TDV44" s="1469"/>
      <c r="TDW44" s="1469"/>
      <c r="TDX44" s="1469"/>
      <c r="TDY44" s="1469"/>
      <c r="TDZ44" s="1469"/>
      <c r="TEA44" s="1469"/>
      <c r="TEB44" s="1469"/>
      <c r="TEC44" s="1469"/>
      <c r="TED44" s="1469"/>
      <c r="TEE44" s="1469"/>
      <c r="TEF44" s="1469"/>
      <c r="TEG44" s="1469"/>
      <c r="TEH44" s="1469"/>
      <c r="TEI44" s="1469"/>
      <c r="TEJ44" s="1469"/>
      <c r="TEK44" s="1469"/>
      <c r="TEL44" s="1469"/>
      <c r="TEM44" s="1469"/>
      <c r="TEN44" s="1469"/>
      <c r="TEO44" s="1469"/>
      <c r="TEP44" s="1469"/>
      <c r="TEQ44" s="1469"/>
      <c r="TER44" s="1469"/>
      <c r="TES44" s="1469"/>
      <c r="TET44" s="1469"/>
      <c r="TEU44" s="1469"/>
      <c r="TEV44" s="1469"/>
      <c r="TEW44" s="1469"/>
      <c r="TEX44" s="1469"/>
      <c r="TEY44" s="1469"/>
      <c r="TEZ44" s="1469"/>
      <c r="TFA44" s="1469"/>
      <c r="TFB44" s="1469"/>
      <c r="TFC44" s="1469"/>
      <c r="TFD44" s="1469"/>
      <c r="TFE44" s="1469"/>
      <c r="TFF44" s="1469"/>
      <c r="TFG44" s="1469"/>
      <c r="TFH44" s="1469"/>
      <c r="TFI44" s="1469"/>
      <c r="TFJ44" s="1469"/>
      <c r="TFK44" s="1469"/>
      <c r="TFL44" s="1469"/>
      <c r="TFM44" s="1469"/>
      <c r="TFN44" s="1469"/>
      <c r="TFO44" s="1469"/>
      <c r="TFP44" s="1469"/>
      <c r="TFQ44" s="1469"/>
      <c r="TFR44" s="1469"/>
      <c r="TFS44" s="1469"/>
      <c r="TFT44" s="1469"/>
      <c r="TFU44" s="1469"/>
      <c r="TFV44" s="1469"/>
      <c r="TFW44" s="1469"/>
      <c r="TFX44" s="1469"/>
      <c r="TFY44" s="1469"/>
      <c r="TFZ44" s="1469"/>
      <c r="TGA44" s="1469"/>
      <c r="TGB44" s="1469"/>
      <c r="TGC44" s="1469"/>
      <c r="TGD44" s="1469"/>
      <c r="TGE44" s="1469"/>
      <c r="TGF44" s="1469"/>
      <c r="TGG44" s="1469"/>
      <c r="TGH44" s="1469"/>
      <c r="TGI44" s="1469"/>
      <c r="TGJ44" s="1469"/>
      <c r="TGK44" s="1469"/>
      <c r="TGL44" s="1469"/>
      <c r="TGM44" s="1469"/>
      <c r="TGN44" s="1469"/>
      <c r="TGO44" s="1469"/>
      <c r="TGP44" s="1469"/>
      <c r="TGQ44" s="1469"/>
      <c r="TGR44" s="1469"/>
      <c r="TGS44" s="1469"/>
      <c r="TGT44" s="1469"/>
      <c r="TGU44" s="1469"/>
      <c r="TGV44" s="1469"/>
      <c r="TGW44" s="1469"/>
      <c r="TGX44" s="1469"/>
      <c r="TGY44" s="1469"/>
      <c r="TGZ44" s="1469"/>
      <c r="THA44" s="1469"/>
      <c r="THB44" s="1469"/>
      <c r="THC44" s="1469"/>
      <c r="THD44" s="1469"/>
      <c r="THE44" s="1469"/>
      <c r="THF44" s="1469"/>
      <c r="THG44" s="1469"/>
      <c r="THH44" s="1469"/>
      <c r="THI44" s="1469"/>
      <c r="THJ44" s="1469"/>
      <c r="THK44" s="1469"/>
      <c r="THL44" s="1469"/>
      <c r="THM44" s="1469"/>
      <c r="THN44" s="1469"/>
      <c r="THO44" s="1469"/>
      <c r="THP44" s="1469"/>
      <c r="THQ44" s="1469"/>
      <c r="THR44" s="1469"/>
      <c r="THS44" s="1469"/>
      <c r="THT44" s="1469"/>
      <c r="THU44" s="1469"/>
      <c r="THV44" s="1469"/>
      <c r="THW44" s="1469"/>
      <c r="THX44" s="1469"/>
      <c r="THY44" s="1469"/>
      <c r="THZ44" s="1469"/>
      <c r="TIA44" s="1469"/>
      <c r="TIB44" s="1469"/>
      <c r="TIC44" s="1469"/>
      <c r="TID44" s="1469"/>
      <c r="TIE44" s="1469"/>
      <c r="TIF44" s="1469"/>
      <c r="TIG44" s="1469"/>
      <c r="TIH44" s="1469"/>
      <c r="TII44" s="1469"/>
      <c r="TIJ44" s="1469"/>
      <c r="TIK44" s="1469"/>
      <c r="TIL44" s="1469"/>
      <c r="TIM44" s="1469"/>
      <c r="TIN44" s="1469"/>
      <c r="TIO44" s="1469"/>
      <c r="TIP44" s="1469"/>
      <c r="TIQ44" s="1469"/>
      <c r="TIR44" s="1469"/>
      <c r="TIS44" s="1469"/>
      <c r="TIT44" s="1469"/>
      <c r="TIU44" s="1469"/>
      <c r="TIV44" s="1469"/>
      <c r="TIW44" s="1469"/>
      <c r="TIX44" s="1469"/>
      <c r="TIY44" s="1469"/>
      <c r="TIZ44" s="1469"/>
      <c r="TJA44" s="1469"/>
      <c r="TJB44" s="1469"/>
      <c r="TJC44" s="1469"/>
      <c r="TJD44" s="1469"/>
      <c r="TJE44" s="1469"/>
      <c r="TJF44" s="1469"/>
      <c r="TJG44" s="1469"/>
      <c r="TJH44" s="1469"/>
      <c r="TJI44" s="1469"/>
      <c r="TJJ44" s="1469"/>
      <c r="TJK44" s="1469"/>
      <c r="TJL44" s="1469"/>
      <c r="TJM44" s="1469"/>
      <c r="TJN44" s="1469"/>
      <c r="TJO44" s="1469"/>
      <c r="TJP44" s="1469"/>
      <c r="TJQ44" s="1469"/>
      <c r="TJR44" s="1469"/>
      <c r="TJS44" s="1469"/>
      <c r="TJT44" s="1469"/>
      <c r="TJU44" s="1469"/>
      <c r="TJV44" s="1469"/>
      <c r="TJW44" s="1469"/>
      <c r="TJX44" s="1469"/>
      <c r="TJY44" s="1469"/>
      <c r="TJZ44" s="1469"/>
      <c r="TKA44" s="1469"/>
      <c r="TKB44" s="1469"/>
      <c r="TKC44" s="1469"/>
      <c r="TKD44" s="1469"/>
      <c r="TKE44" s="1469"/>
      <c r="TKF44" s="1469"/>
      <c r="TKG44" s="1469"/>
      <c r="TKH44" s="1469"/>
      <c r="TKI44" s="1469"/>
      <c r="TKJ44" s="1469"/>
      <c r="TKK44" s="1469"/>
      <c r="TKL44" s="1469"/>
      <c r="TKM44" s="1469"/>
      <c r="TKN44" s="1469"/>
      <c r="TKO44" s="1469"/>
      <c r="TKP44" s="1469"/>
      <c r="TKQ44" s="1469"/>
      <c r="TKR44" s="1469"/>
      <c r="TKS44" s="1469"/>
      <c r="TKT44" s="1469"/>
      <c r="TKU44" s="1469"/>
      <c r="TKV44" s="1469"/>
      <c r="TKW44" s="1469"/>
      <c r="TKX44" s="1469"/>
      <c r="TKY44" s="1469"/>
      <c r="TKZ44" s="1469"/>
      <c r="TLA44" s="1469"/>
      <c r="TLB44" s="1469"/>
      <c r="TLC44" s="1469"/>
      <c r="TLD44" s="1469"/>
      <c r="TLE44" s="1469"/>
      <c r="TLF44" s="1469"/>
      <c r="TLG44" s="1469"/>
      <c r="TLH44" s="1469"/>
      <c r="TLI44" s="1469"/>
      <c r="TLJ44" s="1469"/>
      <c r="TLK44" s="1469"/>
      <c r="TLL44" s="1469"/>
      <c r="TLM44" s="1469"/>
      <c r="TLN44" s="1469"/>
      <c r="TLO44" s="1469"/>
      <c r="TLP44" s="1469"/>
      <c r="TLQ44" s="1469"/>
      <c r="TLR44" s="1469"/>
      <c r="TLS44" s="1469"/>
      <c r="TLT44" s="1469"/>
      <c r="TLU44" s="1469"/>
      <c r="TLV44" s="1469"/>
      <c r="TLW44" s="1469"/>
      <c r="TLX44" s="1469"/>
      <c r="TLY44" s="1469"/>
      <c r="TLZ44" s="1469"/>
      <c r="TMA44" s="1469"/>
      <c r="TMB44" s="1469"/>
      <c r="TMC44" s="1469"/>
      <c r="TMD44" s="1469"/>
      <c r="TME44" s="1469"/>
      <c r="TMF44" s="1469"/>
      <c r="TMG44" s="1469"/>
      <c r="TMH44" s="1469"/>
      <c r="TMI44" s="1469"/>
      <c r="TMJ44" s="1469"/>
      <c r="TMK44" s="1469"/>
      <c r="TML44" s="1469"/>
      <c r="TMM44" s="1469"/>
      <c r="TMN44" s="1469"/>
      <c r="TMO44" s="1469"/>
      <c r="TMP44" s="1469"/>
      <c r="TMQ44" s="1469"/>
      <c r="TMR44" s="1469"/>
      <c r="TMS44" s="1469"/>
      <c r="TMT44" s="1469"/>
      <c r="TMU44" s="1469"/>
      <c r="TMV44" s="1469"/>
      <c r="TMW44" s="1469"/>
      <c r="TMX44" s="1469"/>
      <c r="TMY44" s="1469"/>
      <c r="TMZ44" s="1469"/>
      <c r="TNA44" s="1469"/>
      <c r="TNB44" s="1469"/>
      <c r="TNC44" s="1469"/>
      <c r="TND44" s="1469"/>
      <c r="TNE44" s="1469"/>
      <c r="TNF44" s="1469"/>
      <c r="TNG44" s="1469"/>
      <c r="TNH44" s="1469"/>
      <c r="TNI44" s="1469"/>
      <c r="TNJ44" s="1469"/>
      <c r="TNK44" s="1469"/>
      <c r="TNL44" s="1469"/>
      <c r="TNM44" s="1469"/>
      <c r="TNN44" s="1469"/>
      <c r="TNO44" s="1469"/>
      <c r="TNP44" s="1469"/>
      <c r="TNQ44" s="1469"/>
      <c r="TNR44" s="1469"/>
      <c r="TNS44" s="1469"/>
      <c r="TNT44" s="1469"/>
      <c r="TNU44" s="1469"/>
      <c r="TNV44" s="1469"/>
      <c r="TNW44" s="1469"/>
      <c r="TNX44" s="1469"/>
      <c r="TNY44" s="1469"/>
      <c r="TNZ44" s="1469"/>
      <c r="TOA44" s="1469"/>
      <c r="TOB44" s="1469"/>
      <c r="TOC44" s="1469"/>
      <c r="TOD44" s="1469"/>
      <c r="TOE44" s="1469"/>
      <c r="TOF44" s="1469"/>
      <c r="TOG44" s="1469"/>
      <c r="TOH44" s="1469"/>
      <c r="TOI44" s="1469"/>
      <c r="TOJ44" s="1469"/>
      <c r="TOK44" s="1469"/>
      <c r="TOL44" s="1469"/>
      <c r="TOM44" s="1469"/>
      <c r="TON44" s="1469"/>
      <c r="TOO44" s="1469"/>
      <c r="TOP44" s="1469"/>
      <c r="TOQ44" s="1469"/>
      <c r="TOR44" s="1469"/>
      <c r="TOS44" s="1469"/>
      <c r="TOT44" s="1469"/>
      <c r="TOU44" s="1469"/>
      <c r="TOV44" s="1469"/>
      <c r="TOW44" s="1469"/>
      <c r="TOX44" s="1469"/>
      <c r="TOY44" s="1469"/>
      <c r="TOZ44" s="1469"/>
      <c r="TPA44" s="1469"/>
      <c r="TPB44" s="1469"/>
      <c r="TPC44" s="1469"/>
      <c r="TPD44" s="1469"/>
      <c r="TPE44" s="1469"/>
      <c r="TPF44" s="1469"/>
      <c r="TPG44" s="1469"/>
      <c r="TPH44" s="1469"/>
      <c r="TPI44" s="1469"/>
      <c r="TPJ44" s="1469"/>
      <c r="TPK44" s="1469"/>
      <c r="TPL44" s="1469"/>
      <c r="TPM44" s="1469"/>
      <c r="TPN44" s="1469"/>
      <c r="TPO44" s="1469"/>
      <c r="TPP44" s="1469"/>
      <c r="TPQ44" s="1469"/>
      <c r="TPR44" s="1469"/>
      <c r="TPS44" s="1469"/>
      <c r="TPT44" s="1469"/>
      <c r="TPU44" s="1469"/>
      <c r="TPV44" s="1469"/>
      <c r="TPW44" s="1469"/>
      <c r="TPX44" s="1469"/>
      <c r="TPY44" s="1469"/>
      <c r="TPZ44" s="1469"/>
      <c r="TQA44" s="1469"/>
      <c r="TQB44" s="1469"/>
      <c r="TQC44" s="1469"/>
      <c r="TQD44" s="1469"/>
      <c r="TQE44" s="1469"/>
      <c r="TQF44" s="1469"/>
      <c r="TQG44" s="1469"/>
      <c r="TQH44" s="1469"/>
      <c r="TQI44" s="1469"/>
      <c r="TQJ44" s="1469"/>
      <c r="TQK44" s="1469"/>
      <c r="TQL44" s="1469"/>
      <c r="TQM44" s="1469"/>
      <c r="TQN44" s="1469"/>
      <c r="TQO44" s="1469"/>
      <c r="TQP44" s="1469"/>
      <c r="TQQ44" s="1469"/>
      <c r="TQR44" s="1469"/>
      <c r="TQS44" s="1469"/>
      <c r="TQT44" s="1469"/>
      <c r="TQU44" s="1469"/>
      <c r="TQV44" s="1469"/>
      <c r="TQW44" s="1469"/>
      <c r="TQX44" s="1469"/>
      <c r="TQY44" s="1469"/>
      <c r="TQZ44" s="1469"/>
      <c r="TRA44" s="1469"/>
      <c r="TRB44" s="1469"/>
      <c r="TRC44" s="1469"/>
      <c r="TRD44" s="1469"/>
      <c r="TRE44" s="1469"/>
      <c r="TRF44" s="1469"/>
      <c r="TRG44" s="1469"/>
      <c r="TRH44" s="1469"/>
      <c r="TRI44" s="1469"/>
      <c r="TRJ44" s="1469"/>
      <c r="TRK44" s="1469"/>
      <c r="TRL44" s="1469"/>
      <c r="TRM44" s="1469"/>
      <c r="TRN44" s="1469"/>
      <c r="TRO44" s="1469"/>
      <c r="TRP44" s="1469"/>
      <c r="TRQ44" s="1469"/>
      <c r="TRR44" s="1469"/>
      <c r="TRS44" s="1469"/>
      <c r="TRT44" s="1469"/>
      <c r="TRU44" s="1469"/>
      <c r="TRV44" s="1469"/>
      <c r="TRW44" s="1469"/>
      <c r="TRX44" s="1469"/>
      <c r="TRY44" s="1469"/>
      <c r="TRZ44" s="1469"/>
      <c r="TSA44" s="1469"/>
      <c r="TSB44" s="1469"/>
      <c r="TSC44" s="1469"/>
      <c r="TSD44" s="1469"/>
      <c r="TSE44" s="1469"/>
      <c r="TSF44" s="1469"/>
      <c r="TSG44" s="1469"/>
      <c r="TSH44" s="1469"/>
      <c r="TSI44" s="1469"/>
      <c r="TSJ44" s="1469"/>
      <c r="TSK44" s="1469"/>
      <c r="TSL44" s="1469"/>
      <c r="TSM44" s="1469"/>
      <c r="TSN44" s="1469"/>
      <c r="TSO44" s="1469"/>
      <c r="TSP44" s="1469"/>
      <c r="TSQ44" s="1469"/>
      <c r="TSR44" s="1469"/>
      <c r="TSS44" s="1469"/>
      <c r="TST44" s="1469"/>
      <c r="TSU44" s="1469"/>
      <c r="TSV44" s="1469"/>
      <c r="TSW44" s="1469"/>
      <c r="TSX44" s="1469"/>
      <c r="TSY44" s="1469"/>
      <c r="TSZ44" s="1469"/>
      <c r="TTA44" s="1469"/>
      <c r="TTB44" s="1469"/>
      <c r="TTC44" s="1469"/>
      <c r="TTD44" s="1469"/>
      <c r="TTE44" s="1469"/>
      <c r="TTF44" s="1469"/>
      <c r="TTG44" s="1469"/>
      <c r="TTH44" s="1469"/>
      <c r="TTI44" s="1469"/>
      <c r="TTJ44" s="1469"/>
      <c r="TTK44" s="1469"/>
      <c r="TTL44" s="1469"/>
      <c r="TTM44" s="1469"/>
      <c r="TTN44" s="1469"/>
      <c r="TTO44" s="1469"/>
      <c r="TTP44" s="1469"/>
      <c r="TTQ44" s="1469"/>
      <c r="TTR44" s="1469"/>
      <c r="TTS44" s="1469"/>
      <c r="TTT44" s="1469"/>
      <c r="TTU44" s="1469"/>
      <c r="TTV44" s="1469"/>
      <c r="TTW44" s="1469"/>
      <c r="TTX44" s="1469"/>
      <c r="TTY44" s="1469"/>
      <c r="TTZ44" s="1469"/>
      <c r="TUA44" s="1469"/>
      <c r="TUB44" s="1469"/>
      <c r="TUC44" s="1469"/>
      <c r="TUD44" s="1469"/>
      <c r="TUE44" s="1469"/>
      <c r="TUF44" s="1469"/>
      <c r="TUG44" s="1469"/>
      <c r="TUH44" s="1469"/>
      <c r="TUI44" s="1469"/>
      <c r="TUJ44" s="1469"/>
      <c r="TUK44" s="1469"/>
      <c r="TUL44" s="1469"/>
      <c r="TUM44" s="1469"/>
      <c r="TUN44" s="1469"/>
      <c r="TUO44" s="1469"/>
      <c r="TUP44" s="1469"/>
      <c r="TUQ44" s="1469"/>
      <c r="TUR44" s="1469"/>
      <c r="TUS44" s="1469"/>
      <c r="TUT44" s="1469"/>
      <c r="TUU44" s="1469"/>
      <c r="TUV44" s="1469"/>
      <c r="TUW44" s="1469"/>
      <c r="TUX44" s="1469"/>
      <c r="TUY44" s="1469"/>
      <c r="TUZ44" s="1469"/>
      <c r="TVA44" s="1469"/>
      <c r="TVB44" s="1469"/>
      <c r="TVC44" s="1469"/>
      <c r="TVD44" s="1469"/>
      <c r="TVE44" s="1469"/>
      <c r="TVF44" s="1469"/>
      <c r="TVG44" s="1469"/>
      <c r="TVH44" s="1469"/>
      <c r="TVI44" s="1469"/>
      <c r="TVJ44" s="1469"/>
      <c r="TVK44" s="1469"/>
      <c r="TVL44" s="1469"/>
      <c r="TVM44" s="1469"/>
      <c r="TVN44" s="1469"/>
      <c r="TVO44" s="1469"/>
      <c r="TVP44" s="1469"/>
      <c r="TVQ44" s="1469"/>
      <c r="TVR44" s="1469"/>
      <c r="TVS44" s="1469"/>
      <c r="TVT44" s="1469"/>
      <c r="TVU44" s="1469"/>
      <c r="TVV44" s="1469"/>
      <c r="TVW44" s="1469"/>
      <c r="TVX44" s="1469"/>
      <c r="TVY44" s="1469"/>
      <c r="TVZ44" s="1469"/>
      <c r="TWA44" s="1469"/>
      <c r="TWB44" s="1469"/>
      <c r="TWC44" s="1469"/>
      <c r="TWD44" s="1469"/>
      <c r="TWE44" s="1469"/>
      <c r="TWF44" s="1469"/>
      <c r="TWG44" s="1469"/>
      <c r="TWH44" s="1469"/>
      <c r="TWI44" s="1469"/>
      <c r="TWJ44" s="1469"/>
      <c r="TWK44" s="1469"/>
      <c r="TWL44" s="1469"/>
      <c r="TWM44" s="1469"/>
      <c r="TWN44" s="1469"/>
      <c r="TWO44" s="1469"/>
      <c r="TWP44" s="1469"/>
      <c r="TWQ44" s="1469"/>
      <c r="TWR44" s="1469"/>
      <c r="TWS44" s="1469"/>
      <c r="TWT44" s="1469"/>
      <c r="TWU44" s="1469"/>
      <c r="TWV44" s="1469"/>
      <c r="TWW44" s="1469"/>
      <c r="TWX44" s="1469"/>
      <c r="TWY44" s="1469"/>
      <c r="TWZ44" s="1469"/>
      <c r="TXA44" s="1469"/>
      <c r="TXB44" s="1469"/>
      <c r="TXC44" s="1469"/>
      <c r="TXD44" s="1469"/>
      <c r="TXE44" s="1469"/>
      <c r="TXF44" s="1469"/>
      <c r="TXG44" s="1469"/>
      <c r="TXH44" s="1469"/>
      <c r="TXI44" s="1469"/>
      <c r="TXJ44" s="1469"/>
      <c r="TXK44" s="1469"/>
      <c r="TXL44" s="1469"/>
      <c r="TXM44" s="1469"/>
      <c r="TXN44" s="1469"/>
      <c r="TXO44" s="1469"/>
      <c r="TXP44" s="1469"/>
      <c r="TXQ44" s="1469"/>
      <c r="TXR44" s="1469"/>
      <c r="TXS44" s="1469"/>
      <c r="TXT44" s="1469"/>
      <c r="TXU44" s="1469"/>
      <c r="TXV44" s="1469"/>
      <c r="TXW44" s="1469"/>
      <c r="TXX44" s="1469"/>
      <c r="TXY44" s="1469"/>
      <c r="TXZ44" s="1469"/>
      <c r="TYA44" s="1469"/>
      <c r="TYB44" s="1469"/>
      <c r="TYC44" s="1469"/>
      <c r="TYD44" s="1469"/>
      <c r="TYE44" s="1469"/>
      <c r="TYF44" s="1469"/>
      <c r="TYG44" s="1469"/>
      <c r="TYH44" s="1469"/>
      <c r="TYI44" s="1469"/>
      <c r="TYJ44" s="1469"/>
      <c r="TYK44" s="1469"/>
      <c r="TYL44" s="1469"/>
      <c r="TYM44" s="1469"/>
      <c r="TYN44" s="1469"/>
      <c r="TYO44" s="1469"/>
      <c r="TYP44" s="1469"/>
      <c r="TYQ44" s="1469"/>
      <c r="TYR44" s="1469"/>
      <c r="TYS44" s="1469"/>
      <c r="TYT44" s="1469"/>
      <c r="TYU44" s="1469"/>
      <c r="TYV44" s="1469"/>
      <c r="TYW44" s="1469"/>
      <c r="TYX44" s="1469"/>
      <c r="TYY44" s="1469"/>
      <c r="TYZ44" s="1469"/>
      <c r="TZA44" s="1469"/>
      <c r="TZB44" s="1469"/>
      <c r="TZC44" s="1469"/>
      <c r="TZD44" s="1469"/>
      <c r="TZE44" s="1469"/>
      <c r="TZF44" s="1469"/>
      <c r="TZG44" s="1469"/>
      <c r="TZH44" s="1469"/>
      <c r="TZI44" s="1469"/>
      <c r="TZJ44" s="1469"/>
      <c r="TZK44" s="1469"/>
      <c r="TZL44" s="1469"/>
      <c r="TZM44" s="1469"/>
      <c r="TZN44" s="1469"/>
      <c r="TZO44" s="1469"/>
      <c r="TZP44" s="1469"/>
      <c r="TZQ44" s="1469"/>
      <c r="TZR44" s="1469"/>
      <c r="TZS44" s="1469"/>
      <c r="TZT44" s="1469"/>
      <c r="TZU44" s="1469"/>
      <c r="TZV44" s="1469"/>
      <c r="TZW44" s="1469"/>
      <c r="TZX44" s="1469"/>
      <c r="TZY44" s="1469"/>
      <c r="TZZ44" s="1469"/>
      <c r="UAA44" s="1469"/>
      <c r="UAB44" s="1469"/>
      <c r="UAC44" s="1469"/>
      <c r="UAD44" s="1469"/>
      <c r="UAE44" s="1469"/>
      <c r="UAF44" s="1469"/>
      <c r="UAG44" s="1469"/>
      <c r="UAH44" s="1469"/>
      <c r="UAI44" s="1469"/>
      <c r="UAJ44" s="1469"/>
      <c r="UAK44" s="1469"/>
      <c r="UAL44" s="1469"/>
      <c r="UAM44" s="1469"/>
      <c r="UAN44" s="1469"/>
      <c r="UAO44" s="1469"/>
      <c r="UAP44" s="1469"/>
      <c r="UAQ44" s="1469"/>
      <c r="UAR44" s="1469"/>
      <c r="UAS44" s="1469"/>
      <c r="UAT44" s="1469"/>
      <c r="UAU44" s="1469"/>
      <c r="UAV44" s="1469"/>
      <c r="UAW44" s="1469"/>
      <c r="UAX44" s="1469"/>
      <c r="UAY44" s="1469"/>
      <c r="UAZ44" s="1469"/>
      <c r="UBA44" s="1469"/>
      <c r="UBB44" s="1469"/>
      <c r="UBC44" s="1469"/>
      <c r="UBD44" s="1469"/>
      <c r="UBE44" s="1469"/>
      <c r="UBF44" s="1469"/>
      <c r="UBG44" s="1469"/>
      <c r="UBH44" s="1469"/>
      <c r="UBI44" s="1469"/>
      <c r="UBJ44" s="1469"/>
      <c r="UBK44" s="1469"/>
      <c r="UBL44" s="1469"/>
      <c r="UBM44" s="1469"/>
      <c r="UBN44" s="1469"/>
      <c r="UBO44" s="1469"/>
      <c r="UBP44" s="1469"/>
      <c r="UBQ44" s="1469"/>
      <c r="UBR44" s="1469"/>
      <c r="UBS44" s="1469"/>
      <c r="UBT44" s="1469"/>
      <c r="UBU44" s="1469"/>
      <c r="UBV44" s="1469"/>
      <c r="UBW44" s="1469"/>
      <c r="UBX44" s="1469"/>
      <c r="UBY44" s="1469"/>
      <c r="UBZ44" s="1469"/>
      <c r="UCA44" s="1469"/>
      <c r="UCB44" s="1469"/>
      <c r="UCC44" s="1469"/>
      <c r="UCD44" s="1469"/>
      <c r="UCE44" s="1469"/>
      <c r="UCF44" s="1469"/>
      <c r="UCG44" s="1469"/>
      <c r="UCH44" s="1469"/>
      <c r="UCI44" s="1469"/>
      <c r="UCJ44" s="1469"/>
      <c r="UCK44" s="1469"/>
      <c r="UCL44" s="1469"/>
      <c r="UCM44" s="1469"/>
      <c r="UCN44" s="1469"/>
      <c r="UCO44" s="1469"/>
      <c r="UCP44" s="1469"/>
      <c r="UCQ44" s="1469"/>
      <c r="UCR44" s="1469"/>
      <c r="UCS44" s="1469"/>
      <c r="UCT44" s="1469"/>
      <c r="UCU44" s="1469"/>
      <c r="UCV44" s="1469"/>
      <c r="UCW44" s="1469"/>
      <c r="UCX44" s="1469"/>
      <c r="UCY44" s="1469"/>
      <c r="UCZ44" s="1469"/>
      <c r="UDA44" s="1469"/>
      <c r="UDB44" s="1469"/>
      <c r="UDC44" s="1469"/>
      <c r="UDD44" s="1469"/>
      <c r="UDE44" s="1469"/>
      <c r="UDF44" s="1469"/>
      <c r="UDG44" s="1469"/>
      <c r="UDH44" s="1469"/>
      <c r="UDI44" s="1469"/>
      <c r="UDJ44" s="1469"/>
      <c r="UDK44" s="1469"/>
      <c r="UDL44" s="1469"/>
      <c r="UDM44" s="1469"/>
      <c r="UDN44" s="1469"/>
      <c r="UDO44" s="1469"/>
      <c r="UDP44" s="1469"/>
      <c r="UDQ44" s="1469"/>
      <c r="UDR44" s="1469"/>
      <c r="UDS44" s="1469"/>
      <c r="UDT44" s="1469"/>
      <c r="UDU44" s="1469"/>
      <c r="UDV44" s="1469"/>
      <c r="UDW44" s="1469"/>
      <c r="UDX44" s="1469"/>
      <c r="UDY44" s="1469"/>
      <c r="UDZ44" s="1469"/>
      <c r="UEA44" s="1469"/>
      <c r="UEB44" s="1469"/>
      <c r="UEC44" s="1469"/>
      <c r="UED44" s="1469"/>
      <c r="UEE44" s="1469"/>
      <c r="UEF44" s="1469"/>
      <c r="UEG44" s="1469"/>
      <c r="UEH44" s="1469"/>
      <c r="UEI44" s="1469"/>
      <c r="UEJ44" s="1469"/>
      <c r="UEK44" s="1469"/>
      <c r="UEL44" s="1469"/>
      <c r="UEM44" s="1469"/>
      <c r="UEN44" s="1469"/>
      <c r="UEO44" s="1469"/>
      <c r="UEP44" s="1469"/>
      <c r="UEQ44" s="1469"/>
      <c r="UER44" s="1469"/>
      <c r="UES44" s="1469"/>
      <c r="UET44" s="1469"/>
      <c r="UEU44" s="1469"/>
      <c r="UEV44" s="1469"/>
      <c r="UEW44" s="1469"/>
      <c r="UEX44" s="1469"/>
      <c r="UEY44" s="1469"/>
      <c r="UEZ44" s="1469"/>
      <c r="UFA44" s="1469"/>
      <c r="UFB44" s="1469"/>
      <c r="UFC44" s="1469"/>
      <c r="UFD44" s="1469"/>
      <c r="UFE44" s="1469"/>
      <c r="UFF44" s="1469"/>
      <c r="UFG44" s="1469"/>
      <c r="UFH44" s="1469"/>
      <c r="UFI44" s="1469"/>
      <c r="UFJ44" s="1469"/>
      <c r="UFK44" s="1469"/>
      <c r="UFL44" s="1469"/>
      <c r="UFM44" s="1469"/>
      <c r="UFN44" s="1469"/>
      <c r="UFO44" s="1469"/>
      <c r="UFP44" s="1469"/>
      <c r="UFQ44" s="1469"/>
      <c r="UFR44" s="1469"/>
      <c r="UFS44" s="1469"/>
      <c r="UFT44" s="1469"/>
      <c r="UFU44" s="1469"/>
      <c r="UFV44" s="1469"/>
      <c r="UFW44" s="1469"/>
      <c r="UFX44" s="1469"/>
      <c r="UFY44" s="1469"/>
      <c r="UFZ44" s="1469"/>
      <c r="UGA44" s="1469"/>
      <c r="UGB44" s="1469"/>
      <c r="UGC44" s="1469"/>
      <c r="UGD44" s="1469"/>
      <c r="UGE44" s="1469"/>
      <c r="UGF44" s="1469"/>
      <c r="UGG44" s="1469"/>
      <c r="UGH44" s="1469"/>
      <c r="UGI44" s="1469"/>
      <c r="UGJ44" s="1469"/>
      <c r="UGK44" s="1469"/>
      <c r="UGL44" s="1469"/>
      <c r="UGM44" s="1469"/>
      <c r="UGN44" s="1469"/>
      <c r="UGO44" s="1469"/>
      <c r="UGP44" s="1469"/>
      <c r="UGQ44" s="1469"/>
      <c r="UGR44" s="1469"/>
      <c r="UGS44" s="1469"/>
      <c r="UGT44" s="1469"/>
      <c r="UGU44" s="1469"/>
      <c r="UGV44" s="1469"/>
      <c r="UGW44" s="1469"/>
      <c r="UGX44" s="1469"/>
      <c r="UGY44" s="1469"/>
      <c r="UGZ44" s="1469"/>
      <c r="UHA44" s="1469"/>
      <c r="UHB44" s="1469"/>
      <c r="UHC44" s="1469"/>
      <c r="UHD44" s="1469"/>
      <c r="UHE44" s="1469"/>
      <c r="UHF44" s="1469"/>
      <c r="UHG44" s="1469"/>
      <c r="UHH44" s="1469"/>
      <c r="UHI44" s="1469"/>
      <c r="UHJ44" s="1469"/>
      <c r="UHK44" s="1469"/>
      <c r="UHL44" s="1469"/>
      <c r="UHM44" s="1469"/>
      <c r="UHN44" s="1469"/>
      <c r="UHO44" s="1469"/>
      <c r="UHP44" s="1469"/>
      <c r="UHQ44" s="1469"/>
      <c r="UHR44" s="1469"/>
      <c r="UHS44" s="1469"/>
      <c r="UHT44" s="1469"/>
      <c r="UHU44" s="1469"/>
      <c r="UHV44" s="1469"/>
      <c r="UHW44" s="1469"/>
      <c r="UHX44" s="1469"/>
      <c r="UHY44" s="1469"/>
      <c r="UHZ44" s="1469"/>
      <c r="UIA44" s="1469"/>
      <c r="UIB44" s="1469"/>
      <c r="UIC44" s="1469"/>
      <c r="UID44" s="1469"/>
      <c r="UIE44" s="1469"/>
      <c r="UIF44" s="1469"/>
      <c r="UIG44" s="1469"/>
      <c r="UIH44" s="1469"/>
      <c r="UII44" s="1469"/>
      <c r="UIJ44" s="1469"/>
      <c r="UIK44" s="1469"/>
      <c r="UIL44" s="1469"/>
      <c r="UIM44" s="1469"/>
      <c r="UIN44" s="1469"/>
      <c r="UIO44" s="1469"/>
      <c r="UIP44" s="1469"/>
      <c r="UIQ44" s="1469"/>
      <c r="UIR44" s="1469"/>
      <c r="UIS44" s="1469"/>
      <c r="UIT44" s="1469"/>
      <c r="UIU44" s="1469"/>
      <c r="UIV44" s="1469"/>
      <c r="UIW44" s="1469"/>
      <c r="UIX44" s="1469"/>
      <c r="UIY44" s="1469"/>
      <c r="UIZ44" s="1469"/>
      <c r="UJA44" s="1469"/>
      <c r="UJB44" s="1469"/>
      <c r="UJC44" s="1469"/>
      <c r="UJD44" s="1469"/>
      <c r="UJE44" s="1469"/>
      <c r="UJF44" s="1469"/>
      <c r="UJG44" s="1469"/>
      <c r="UJH44" s="1469"/>
      <c r="UJI44" s="1469"/>
      <c r="UJJ44" s="1469"/>
      <c r="UJK44" s="1469"/>
      <c r="UJL44" s="1469"/>
      <c r="UJM44" s="1469"/>
      <c r="UJN44" s="1469"/>
      <c r="UJO44" s="1469"/>
      <c r="UJP44" s="1469"/>
      <c r="UJQ44" s="1469"/>
      <c r="UJR44" s="1469"/>
      <c r="UJS44" s="1469"/>
      <c r="UJT44" s="1469"/>
      <c r="UJU44" s="1469"/>
      <c r="UJV44" s="1469"/>
      <c r="UJW44" s="1469"/>
      <c r="UJX44" s="1469"/>
      <c r="UJY44" s="1469"/>
      <c r="UJZ44" s="1469"/>
      <c r="UKA44" s="1469"/>
      <c r="UKB44" s="1469"/>
      <c r="UKC44" s="1469"/>
      <c r="UKD44" s="1469"/>
      <c r="UKE44" s="1469"/>
      <c r="UKF44" s="1469"/>
      <c r="UKG44" s="1469"/>
      <c r="UKH44" s="1469"/>
      <c r="UKI44" s="1469"/>
      <c r="UKJ44" s="1469"/>
      <c r="UKK44" s="1469"/>
      <c r="UKL44" s="1469"/>
      <c r="UKM44" s="1469"/>
      <c r="UKN44" s="1469"/>
      <c r="UKO44" s="1469"/>
      <c r="UKP44" s="1469"/>
      <c r="UKQ44" s="1469"/>
      <c r="UKR44" s="1469"/>
      <c r="UKS44" s="1469"/>
      <c r="UKT44" s="1469"/>
      <c r="UKU44" s="1469"/>
      <c r="UKV44" s="1469"/>
      <c r="UKW44" s="1469"/>
      <c r="UKX44" s="1469"/>
      <c r="UKY44" s="1469"/>
      <c r="UKZ44" s="1469"/>
      <c r="ULA44" s="1469"/>
      <c r="ULB44" s="1469"/>
      <c r="ULC44" s="1469"/>
      <c r="ULD44" s="1469"/>
      <c r="ULE44" s="1469"/>
      <c r="ULF44" s="1469"/>
      <c r="ULG44" s="1469"/>
      <c r="ULH44" s="1469"/>
      <c r="ULI44" s="1469"/>
      <c r="ULJ44" s="1469"/>
      <c r="ULK44" s="1469"/>
      <c r="ULL44" s="1469"/>
      <c r="ULM44" s="1469"/>
      <c r="ULN44" s="1469"/>
      <c r="ULO44" s="1469"/>
      <c r="ULP44" s="1469"/>
      <c r="ULQ44" s="1469"/>
      <c r="ULR44" s="1469"/>
      <c r="ULS44" s="1469"/>
      <c r="ULT44" s="1469"/>
      <c r="ULU44" s="1469"/>
      <c r="ULV44" s="1469"/>
      <c r="ULW44" s="1469"/>
      <c r="ULX44" s="1469"/>
      <c r="ULY44" s="1469"/>
      <c r="ULZ44" s="1469"/>
      <c r="UMA44" s="1469"/>
      <c r="UMB44" s="1469"/>
      <c r="UMC44" s="1469"/>
      <c r="UMD44" s="1469"/>
      <c r="UME44" s="1469"/>
      <c r="UMF44" s="1469"/>
      <c r="UMG44" s="1469"/>
      <c r="UMH44" s="1469"/>
      <c r="UMI44" s="1469"/>
      <c r="UMJ44" s="1469"/>
      <c r="UMK44" s="1469"/>
      <c r="UML44" s="1469"/>
      <c r="UMM44" s="1469"/>
      <c r="UMN44" s="1469"/>
      <c r="UMO44" s="1469"/>
      <c r="UMP44" s="1469"/>
      <c r="UMQ44" s="1469"/>
      <c r="UMR44" s="1469"/>
      <c r="UMS44" s="1469"/>
      <c r="UMT44" s="1469"/>
      <c r="UMU44" s="1469"/>
      <c r="UMV44" s="1469"/>
      <c r="UMW44" s="1469"/>
      <c r="UMX44" s="1469"/>
      <c r="UMY44" s="1469"/>
      <c r="UMZ44" s="1469"/>
      <c r="UNA44" s="1469"/>
      <c r="UNB44" s="1469"/>
      <c r="UNC44" s="1469"/>
      <c r="UND44" s="1469"/>
      <c r="UNE44" s="1469"/>
      <c r="UNF44" s="1469"/>
      <c r="UNG44" s="1469"/>
      <c r="UNH44" s="1469"/>
      <c r="UNI44" s="1469"/>
      <c r="UNJ44" s="1469"/>
      <c r="UNK44" s="1469"/>
      <c r="UNL44" s="1469"/>
      <c r="UNM44" s="1469"/>
      <c r="UNN44" s="1469"/>
      <c r="UNO44" s="1469"/>
      <c r="UNP44" s="1469"/>
      <c r="UNQ44" s="1469"/>
      <c r="UNR44" s="1469"/>
      <c r="UNS44" s="1469"/>
      <c r="UNT44" s="1469"/>
      <c r="UNU44" s="1469"/>
      <c r="UNV44" s="1469"/>
      <c r="UNW44" s="1469"/>
      <c r="UNX44" s="1469"/>
      <c r="UNY44" s="1469"/>
      <c r="UNZ44" s="1469"/>
      <c r="UOA44" s="1469"/>
      <c r="UOB44" s="1469"/>
      <c r="UOC44" s="1469"/>
      <c r="UOD44" s="1469"/>
      <c r="UOE44" s="1469"/>
      <c r="UOF44" s="1469"/>
      <c r="UOG44" s="1469"/>
      <c r="UOH44" s="1469"/>
      <c r="UOI44" s="1469"/>
      <c r="UOJ44" s="1469"/>
      <c r="UOK44" s="1469"/>
      <c r="UOL44" s="1469"/>
      <c r="UOM44" s="1469"/>
      <c r="UON44" s="1469"/>
      <c r="UOO44" s="1469"/>
      <c r="UOP44" s="1469"/>
      <c r="UOQ44" s="1469"/>
      <c r="UOR44" s="1469"/>
      <c r="UOS44" s="1469"/>
      <c r="UOT44" s="1469"/>
      <c r="UOU44" s="1469"/>
      <c r="UOV44" s="1469"/>
      <c r="UOW44" s="1469"/>
      <c r="UOX44" s="1469"/>
      <c r="UOY44" s="1469"/>
      <c r="UOZ44" s="1469"/>
      <c r="UPA44" s="1469"/>
      <c r="UPB44" s="1469"/>
      <c r="UPC44" s="1469"/>
      <c r="UPD44" s="1469"/>
      <c r="UPE44" s="1469"/>
      <c r="UPF44" s="1469"/>
      <c r="UPG44" s="1469"/>
      <c r="UPH44" s="1469"/>
      <c r="UPI44" s="1469"/>
      <c r="UPJ44" s="1469"/>
      <c r="UPK44" s="1469"/>
      <c r="UPL44" s="1469"/>
      <c r="UPM44" s="1469"/>
      <c r="UPN44" s="1469"/>
      <c r="UPO44" s="1469"/>
      <c r="UPP44" s="1469"/>
      <c r="UPQ44" s="1469"/>
      <c r="UPR44" s="1469"/>
      <c r="UPS44" s="1469"/>
      <c r="UPT44" s="1469"/>
      <c r="UPU44" s="1469"/>
      <c r="UPV44" s="1469"/>
      <c r="UPW44" s="1469"/>
      <c r="UPX44" s="1469"/>
      <c r="UPY44" s="1469"/>
      <c r="UPZ44" s="1469"/>
      <c r="UQA44" s="1469"/>
      <c r="UQB44" s="1469"/>
      <c r="UQC44" s="1469"/>
      <c r="UQD44" s="1469"/>
      <c r="UQE44" s="1469"/>
      <c r="UQF44" s="1469"/>
      <c r="UQG44" s="1469"/>
      <c r="UQH44" s="1469"/>
      <c r="UQI44" s="1469"/>
      <c r="UQJ44" s="1469"/>
      <c r="UQK44" s="1469"/>
      <c r="UQL44" s="1469"/>
      <c r="UQM44" s="1469"/>
      <c r="UQN44" s="1469"/>
      <c r="UQO44" s="1469"/>
      <c r="UQP44" s="1469"/>
      <c r="UQQ44" s="1469"/>
      <c r="UQR44" s="1469"/>
      <c r="UQS44" s="1469"/>
      <c r="UQT44" s="1469"/>
      <c r="UQU44" s="1469"/>
      <c r="UQV44" s="1469"/>
      <c r="UQW44" s="1469"/>
      <c r="UQX44" s="1469"/>
      <c r="UQY44" s="1469"/>
      <c r="UQZ44" s="1469"/>
      <c r="URA44" s="1469"/>
      <c r="URB44" s="1469"/>
      <c r="URC44" s="1469"/>
      <c r="URD44" s="1469"/>
      <c r="URE44" s="1469"/>
      <c r="URF44" s="1469"/>
      <c r="URG44" s="1469"/>
      <c r="URH44" s="1469"/>
      <c r="URI44" s="1469"/>
      <c r="URJ44" s="1469"/>
      <c r="URK44" s="1469"/>
      <c r="URL44" s="1469"/>
      <c r="URM44" s="1469"/>
      <c r="URN44" s="1469"/>
      <c r="URO44" s="1469"/>
      <c r="URP44" s="1469"/>
      <c r="URQ44" s="1469"/>
      <c r="URR44" s="1469"/>
      <c r="URS44" s="1469"/>
      <c r="URT44" s="1469"/>
      <c r="URU44" s="1469"/>
      <c r="URV44" s="1469"/>
      <c r="URW44" s="1469"/>
      <c r="URX44" s="1469"/>
      <c r="URY44" s="1469"/>
      <c r="URZ44" s="1469"/>
      <c r="USA44" s="1469"/>
      <c r="USB44" s="1469"/>
      <c r="USC44" s="1469"/>
      <c r="USD44" s="1469"/>
      <c r="USE44" s="1469"/>
      <c r="USF44" s="1469"/>
      <c r="USG44" s="1469"/>
      <c r="USH44" s="1469"/>
      <c r="USI44" s="1469"/>
      <c r="USJ44" s="1469"/>
      <c r="USK44" s="1469"/>
      <c r="USL44" s="1469"/>
      <c r="USM44" s="1469"/>
      <c r="USN44" s="1469"/>
      <c r="USO44" s="1469"/>
      <c r="USP44" s="1469"/>
      <c r="USQ44" s="1469"/>
      <c r="USR44" s="1469"/>
      <c r="USS44" s="1469"/>
      <c r="UST44" s="1469"/>
      <c r="USU44" s="1469"/>
      <c r="USV44" s="1469"/>
      <c r="USW44" s="1469"/>
      <c r="USX44" s="1469"/>
      <c r="USY44" s="1469"/>
      <c r="USZ44" s="1469"/>
      <c r="UTA44" s="1469"/>
      <c r="UTB44" s="1469"/>
      <c r="UTC44" s="1469"/>
      <c r="UTD44" s="1469"/>
      <c r="UTE44" s="1469"/>
      <c r="UTF44" s="1469"/>
      <c r="UTG44" s="1469"/>
      <c r="UTH44" s="1469"/>
      <c r="UTI44" s="1469"/>
      <c r="UTJ44" s="1469"/>
      <c r="UTK44" s="1469"/>
      <c r="UTL44" s="1469"/>
      <c r="UTM44" s="1469"/>
      <c r="UTN44" s="1469"/>
      <c r="UTO44" s="1469"/>
      <c r="UTP44" s="1469"/>
      <c r="UTQ44" s="1469"/>
      <c r="UTR44" s="1469"/>
      <c r="UTS44" s="1469"/>
      <c r="UTT44" s="1469"/>
      <c r="UTU44" s="1469"/>
      <c r="UTV44" s="1469"/>
      <c r="UTW44" s="1469"/>
      <c r="UTX44" s="1469"/>
      <c r="UTY44" s="1469"/>
      <c r="UTZ44" s="1469"/>
      <c r="UUA44" s="1469"/>
      <c r="UUB44" s="1469"/>
      <c r="UUC44" s="1469"/>
      <c r="UUD44" s="1469"/>
      <c r="UUE44" s="1469"/>
      <c r="UUF44" s="1469"/>
      <c r="UUG44" s="1469"/>
      <c r="UUH44" s="1469"/>
      <c r="UUI44" s="1469"/>
      <c r="UUJ44" s="1469"/>
      <c r="UUK44" s="1469"/>
      <c r="UUL44" s="1469"/>
      <c r="UUM44" s="1469"/>
      <c r="UUN44" s="1469"/>
      <c r="UUO44" s="1469"/>
      <c r="UUP44" s="1469"/>
      <c r="UUQ44" s="1469"/>
      <c r="UUR44" s="1469"/>
      <c r="UUS44" s="1469"/>
      <c r="UUT44" s="1469"/>
      <c r="UUU44" s="1469"/>
      <c r="UUV44" s="1469"/>
      <c r="UUW44" s="1469"/>
      <c r="UUX44" s="1469"/>
      <c r="UUY44" s="1469"/>
      <c r="UUZ44" s="1469"/>
      <c r="UVA44" s="1469"/>
      <c r="UVB44" s="1469"/>
      <c r="UVC44" s="1469"/>
      <c r="UVD44" s="1469"/>
      <c r="UVE44" s="1469"/>
      <c r="UVF44" s="1469"/>
      <c r="UVG44" s="1469"/>
      <c r="UVH44" s="1469"/>
      <c r="UVI44" s="1469"/>
      <c r="UVJ44" s="1469"/>
      <c r="UVK44" s="1469"/>
      <c r="UVL44" s="1469"/>
      <c r="UVM44" s="1469"/>
      <c r="UVN44" s="1469"/>
      <c r="UVO44" s="1469"/>
      <c r="UVP44" s="1469"/>
      <c r="UVQ44" s="1469"/>
      <c r="UVR44" s="1469"/>
      <c r="UVS44" s="1469"/>
      <c r="UVT44" s="1469"/>
      <c r="UVU44" s="1469"/>
      <c r="UVV44" s="1469"/>
      <c r="UVW44" s="1469"/>
      <c r="UVX44" s="1469"/>
      <c r="UVY44" s="1469"/>
      <c r="UVZ44" s="1469"/>
      <c r="UWA44" s="1469"/>
      <c r="UWB44" s="1469"/>
      <c r="UWC44" s="1469"/>
      <c r="UWD44" s="1469"/>
      <c r="UWE44" s="1469"/>
      <c r="UWF44" s="1469"/>
      <c r="UWG44" s="1469"/>
      <c r="UWH44" s="1469"/>
      <c r="UWI44" s="1469"/>
      <c r="UWJ44" s="1469"/>
      <c r="UWK44" s="1469"/>
      <c r="UWL44" s="1469"/>
      <c r="UWM44" s="1469"/>
      <c r="UWN44" s="1469"/>
      <c r="UWO44" s="1469"/>
      <c r="UWP44" s="1469"/>
      <c r="UWQ44" s="1469"/>
      <c r="UWR44" s="1469"/>
      <c r="UWS44" s="1469"/>
      <c r="UWT44" s="1469"/>
      <c r="UWU44" s="1469"/>
      <c r="UWV44" s="1469"/>
      <c r="UWW44" s="1469"/>
      <c r="UWX44" s="1469"/>
      <c r="UWY44" s="1469"/>
      <c r="UWZ44" s="1469"/>
      <c r="UXA44" s="1469"/>
      <c r="UXB44" s="1469"/>
      <c r="UXC44" s="1469"/>
      <c r="UXD44" s="1469"/>
      <c r="UXE44" s="1469"/>
      <c r="UXF44" s="1469"/>
      <c r="UXG44" s="1469"/>
      <c r="UXH44" s="1469"/>
      <c r="UXI44" s="1469"/>
      <c r="UXJ44" s="1469"/>
      <c r="UXK44" s="1469"/>
      <c r="UXL44" s="1469"/>
      <c r="UXM44" s="1469"/>
      <c r="UXN44" s="1469"/>
      <c r="UXO44" s="1469"/>
      <c r="UXP44" s="1469"/>
      <c r="UXQ44" s="1469"/>
      <c r="UXR44" s="1469"/>
      <c r="UXS44" s="1469"/>
      <c r="UXT44" s="1469"/>
      <c r="UXU44" s="1469"/>
      <c r="UXV44" s="1469"/>
      <c r="UXW44" s="1469"/>
      <c r="UXX44" s="1469"/>
      <c r="UXY44" s="1469"/>
      <c r="UXZ44" s="1469"/>
      <c r="UYA44" s="1469"/>
      <c r="UYB44" s="1469"/>
      <c r="UYC44" s="1469"/>
      <c r="UYD44" s="1469"/>
      <c r="UYE44" s="1469"/>
      <c r="UYF44" s="1469"/>
      <c r="UYG44" s="1469"/>
      <c r="UYH44" s="1469"/>
      <c r="UYI44" s="1469"/>
      <c r="UYJ44" s="1469"/>
      <c r="UYK44" s="1469"/>
      <c r="UYL44" s="1469"/>
      <c r="UYM44" s="1469"/>
      <c r="UYN44" s="1469"/>
      <c r="UYO44" s="1469"/>
      <c r="UYP44" s="1469"/>
      <c r="UYQ44" s="1469"/>
      <c r="UYR44" s="1469"/>
      <c r="UYS44" s="1469"/>
      <c r="UYT44" s="1469"/>
      <c r="UYU44" s="1469"/>
      <c r="UYV44" s="1469"/>
      <c r="UYW44" s="1469"/>
      <c r="UYX44" s="1469"/>
      <c r="UYY44" s="1469"/>
      <c r="UYZ44" s="1469"/>
      <c r="UZA44" s="1469"/>
      <c r="UZB44" s="1469"/>
      <c r="UZC44" s="1469"/>
      <c r="UZD44" s="1469"/>
      <c r="UZE44" s="1469"/>
      <c r="UZF44" s="1469"/>
      <c r="UZG44" s="1469"/>
      <c r="UZH44" s="1469"/>
      <c r="UZI44" s="1469"/>
      <c r="UZJ44" s="1469"/>
      <c r="UZK44" s="1469"/>
      <c r="UZL44" s="1469"/>
      <c r="UZM44" s="1469"/>
      <c r="UZN44" s="1469"/>
      <c r="UZO44" s="1469"/>
      <c r="UZP44" s="1469"/>
      <c r="UZQ44" s="1469"/>
      <c r="UZR44" s="1469"/>
      <c r="UZS44" s="1469"/>
      <c r="UZT44" s="1469"/>
      <c r="UZU44" s="1469"/>
      <c r="UZV44" s="1469"/>
      <c r="UZW44" s="1469"/>
      <c r="UZX44" s="1469"/>
      <c r="UZY44" s="1469"/>
      <c r="UZZ44" s="1469"/>
      <c r="VAA44" s="1469"/>
      <c r="VAB44" s="1469"/>
      <c r="VAC44" s="1469"/>
      <c r="VAD44" s="1469"/>
      <c r="VAE44" s="1469"/>
      <c r="VAF44" s="1469"/>
      <c r="VAG44" s="1469"/>
      <c r="VAH44" s="1469"/>
      <c r="VAI44" s="1469"/>
      <c r="VAJ44" s="1469"/>
      <c r="VAK44" s="1469"/>
      <c r="VAL44" s="1469"/>
      <c r="VAM44" s="1469"/>
      <c r="VAN44" s="1469"/>
      <c r="VAO44" s="1469"/>
      <c r="VAP44" s="1469"/>
      <c r="VAQ44" s="1469"/>
      <c r="VAR44" s="1469"/>
      <c r="VAS44" s="1469"/>
      <c r="VAT44" s="1469"/>
      <c r="VAU44" s="1469"/>
      <c r="VAV44" s="1469"/>
      <c r="VAW44" s="1469"/>
      <c r="VAX44" s="1469"/>
      <c r="VAY44" s="1469"/>
      <c r="VAZ44" s="1469"/>
      <c r="VBA44" s="1469"/>
      <c r="VBB44" s="1469"/>
      <c r="VBC44" s="1469"/>
      <c r="VBD44" s="1469"/>
      <c r="VBE44" s="1469"/>
      <c r="VBF44" s="1469"/>
      <c r="VBG44" s="1469"/>
      <c r="VBH44" s="1469"/>
      <c r="VBI44" s="1469"/>
      <c r="VBJ44" s="1469"/>
      <c r="VBK44" s="1469"/>
      <c r="VBL44" s="1469"/>
      <c r="VBM44" s="1469"/>
      <c r="VBN44" s="1469"/>
      <c r="VBO44" s="1469"/>
      <c r="VBP44" s="1469"/>
      <c r="VBQ44" s="1469"/>
      <c r="VBR44" s="1469"/>
      <c r="VBS44" s="1469"/>
      <c r="VBT44" s="1469"/>
      <c r="VBU44" s="1469"/>
      <c r="VBV44" s="1469"/>
      <c r="VBW44" s="1469"/>
      <c r="VBX44" s="1469"/>
      <c r="VBY44" s="1469"/>
      <c r="VBZ44" s="1469"/>
      <c r="VCA44" s="1469"/>
      <c r="VCB44" s="1469"/>
      <c r="VCC44" s="1469"/>
      <c r="VCD44" s="1469"/>
      <c r="VCE44" s="1469"/>
      <c r="VCF44" s="1469"/>
      <c r="VCG44" s="1469"/>
      <c r="VCH44" s="1469"/>
      <c r="VCI44" s="1469"/>
      <c r="VCJ44" s="1469"/>
      <c r="VCK44" s="1469"/>
      <c r="VCL44" s="1469"/>
      <c r="VCM44" s="1469"/>
      <c r="VCN44" s="1469"/>
      <c r="VCO44" s="1469"/>
      <c r="VCP44" s="1469"/>
      <c r="VCQ44" s="1469"/>
      <c r="VCR44" s="1469"/>
      <c r="VCS44" s="1469"/>
      <c r="VCT44" s="1469"/>
      <c r="VCU44" s="1469"/>
      <c r="VCV44" s="1469"/>
      <c r="VCW44" s="1469"/>
      <c r="VCX44" s="1469"/>
      <c r="VCY44" s="1469"/>
      <c r="VCZ44" s="1469"/>
      <c r="VDA44" s="1469"/>
      <c r="VDB44" s="1469"/>
      <c r="VDC44" s="1469"/>
      <c r="VDD44" s="1469"/>
      <c r="VDE44" s="1469"/>
      <c r="VDF44" s="1469"/>
      <c r="VDG44" s="1469"/>
      <c r="VDH44" s="1469"/>
      <c r="VDI44" s="1469"/>
      <c r="VDJ44" s="1469"/>
      <c r="VDK44" s="1469"/>
      <c r="VDL44" s="1469"/>
      <c r="VDM44" s="1469"/>
      <c r="VDN44" s="1469"/>
      <c r="VDO44" s="1469"/>
      <c r="VDP44" s="1469"/>
      <c r="VDQ44" s="1469"/>
      <c r="VDR44" s="1469"/>
      <c r="VDS44" s="1469"/>
      <c r="VDT44" s="1469"/>
      <c r="VDU44" s="1469"/>
      <c r="VDV44" s="1469"/>
      <c r="VDW44" s="1469"/>
      <c r="VDX44" s="1469"/>
      <c r="VDY44" s="1469"/>
      <c r="VDZ44" s="1469"/>
      <c r="VEA44" s="1469"/>
      <c r="VEB44" s="1469"/>
      <c r="VEC44" s="1469"/>
      <c r="VED44" s="1469"/>
      <c r="VEE44" s="1469"/>
      <c r="VEF44" s="1469"/>
      <c r="VEG44" s="1469"/>
      <c r="VEH44" s="1469"/>
      <c r="VEI44" s="1469"/>
      <c r="VEJ44" s="1469"/>
      <c r="VEK44" s="1469"/>
      <c r="VEL44" s="1469"/>
      <c r="VEM44" s="1469"/>
      <c r="VEN44" s="1469"/>
      <c r="VEO44" s="1469"/>
      <c r="VEP44" s="1469"/>
      <c r="VEQ44" s="1469"/>
      <c r="VER44" s="1469"/>
      <c r="VES44" s="1469"/>
      <c r="VET44" s="1469"/>
      <c r="VEU44" s="1469"/>
      <c r="VEV44" s="1469"/>
      <c r="VEW44" s="1469"/>
      <c r="VEX44" s="1469"/>
      <c r="VEY44" s="1469"/>
      <c r="VEZ44" s="1469"/>
      <c r="VFA44" s="1469"/>
      <c r="VFB44" s="1469"/>
      <c r="VFC44" s="1469"/>
      <c r="VFD44" s="1469"/>
      <c r="VFE44" s="1469"/>
      <c r="VFF44" s="1469"/>
      <c r="VFG44" s="1469"/>
      <c r="VFH44" s="1469"/>
      <c r="VFI44" s="1469"/>
      <c r="VFJ44" s="1469"/>
      <c r="VFK44" s="1469"/>
      <c r="VFL44" s="1469"/>
      <c r="VFM44" s="1469"/>
      <c r="VFN44" s="1469"/>
      <c r="VFO44" s="1469"/>
      <c r="VFP44" s="1469"/>
      <c r="VFQ44" s="1469"/>
      <c r="VFR44" s="1469"/>
      <c r="VFS44" s="1469"/>
      <c r="VFT44" s="1469"/>
      <c r="VFU44" s="1469"/>
      <c r="VFV44" s="1469"/>
      <c r="VFW44" s="1469"/>
      <c r="VFX44" s="1469"/>
      <c r="VFY44" s="1469"/>
      <c r="VFZ44" s="1469"/>
      <c r="VGA44" s="1469"/>
      <c r="VGB44" s="1469"/>
      <c r="VGC44" s="1469"/>
      <c r="VGD44" s="1469"/>
      <c r="VGE44" s="1469"/>
      <c r="VGF44" s="1469"/>
      <c r="VGG44" s="1469"/>
      <c r="VGH44" s="1469"/>
      <c r="VGI44" s="1469"/>
      <c r="VGJ44" s="1469"/>
      <c r="VGK44" s="1469"/>
      <c r="VGL44" s="1469"/>
      <c r="VGM44" s="1469"/>
      <c r="VGN44" s="1469"/>
      <c r="VGO44" s="1469"/>
      <c r="VGP44" s="1469"/>
      <c r="VGQ44" s="1469"/>
      <c r="VGR44" s="1469"/>
      <c r="VGS44" s="1469"/>
      <c r="VGT44" s="1469"/>
      <c r="VGU44" s="1469"/>
      <c r="VGV44" s="1469"/>
      <c r="VGW44" s="1469"/>
      <c r="VGX44" s="1469"/>
      <c r="VGY44" s="1469"/>
      <c r="VGZ44" s="1469"/>
      <c r="VHA44" s="1469"/>
      <c r="VHB44" s="1469"/>
      <c r="VHC44" s="1469"/>
      <c r="VHD44" s="1469"/>
      <c r="VHE44" s="1469"/>
      <c r="VHF44" s="1469"/>
      <c r="VHG44" s="1469"/>
      <c r="VHH44" s="1469"/>
      <c r="VHI44" s="1469"/>
      <c r="VHJ44" s="1469"/>
      <c r="VHK44" s="1469"/>
      <c r="VHL44" s="1469"/>
      <c r="VHM44" s="1469"/>
      <c r="VHN44" s="1469"/>
      <c r="VHO44" s="1469"/>
      <c r="VHP44" s="1469"/>
      <c r="VHQ44" s="1469"/>
      <c r="VHR44" s="1469"/>
      <c r="VHS44" s="1469"/>
      <c r="VHT44" s="1469"/>
      <c r="VHU44" s="1469"/>
      <c r="VHV44" s="1469"/>
      <c r="VHW44" s="1469"/>
      <c r="VHX44" s="1469"/>
      <c r="VHY44" s="1469"/>
      <c r="VHZ44" s="1469"/>
      <c r="VIA44" s="1469"/>
      <c r="VIB44" s="1469"/>
      <c r="VIC44" s="1469"/>
      <c r="VID44" s="1469"/>
      <c r="VIE44" s="1469"/>
      <c r="VIF44" s="1469"/>
      <c r="VIG44" s="1469"/>
      <c r="VIH44" s="1469"/>
      <c r="VII44" s="1469"/>
      <c r="VIJ44" s="1469"/>
      <c r="VIK44" s="1469"/>
      <c r="VIL44" s="1469"/>
      <c r="VIM44" s="1469"/>
      <c r="VIN44" s="1469"/>
      <c r="VIO44" s="1469"/>
      <c r="VIP44" s="1469"/>
      <c r="VIQ44" s="1469"/>
      <c r="VIR44" s="1469"/>
      <c r="VIS44" s="1469"/>
      <c r="VIT44" s="1469"/>
      <c r="VIU44" s="1469"/>
      <c r="VIV44" s="1469"/>
      <c r="VIW44" s="1469"/>
      <c r="VIX44" s="1469"/>
      <c r="VIY44" s="1469"/>
      <c r="VIZ44" s="1469"/>
      <c r="VJA44" s="1469"/>
      <c r="VJB44" s="1469"/>
      <c r="VJC44" s="1469"/>
      <c r="VJD44" s="1469"/>
      <c r="VJE44" s="1469"/>
      <c r="VJF44" s="1469"/>
      <c r="VJG44" s="1469"/>
      <c r="VJH44" s="1469"/>
      <c r="VJI44" s="1469"/>
      <c r="VJJ44" s="1469"/>
      <c r="VJK44" s="1469"/>
      <c r="VJL44" s="1469"/>
      <c r="VJM44" s="1469"/>
      <c r="VJN44" s="1469"/>
      <c r="VJO44" s="1469"/>
      <c r="VJP44" s="1469"/>
      <c r="VJQ44" s="1469"/>
      <c r="VJR44" s="1469"/>
      <c r="VJS44" s="1469"/>
      <c r="VJT44" s="1469"/>
      <c r="VJU44" s="1469"/>
      <c r="VJV44" s="1469"/>
      <c r="VJW44" s="1469"/>
      <c r="VJX44" s="1469"/>
      <c r="VJY44" s="1469"/>
      <c r="VJZ44" s="1469"/>
      <c r="VKA44" s="1469"/>
      <c r="VKB44" s="1469"/>
      <c r="VKC44" s="1469"/>
      <c r="VKD44" s="1469"/>
      <c r="VKE44" s="1469"/>
      <c r="VKF44" s="1469"/>
      <c r="VKG44" s="1469"/>
      <c r="VKH44" s="1469"/>
      <c r="VKI44" s="1469"/>
      <c r="VKJ44" s="1469"/>
      <c r="VKK44" s="1469"/>
      <c r="VKL44" s="1469"/>
      <c r="VKM44" s="1469"/>
      <c r="VKN44" s="1469"/>
      <c r="VKO44" s="1469"/>
      <c r="VKP44" s="1469"/>
      <c r="VKQ44" s="1469"/>
      <c r="VKR44" s="1469"/>
      <c r="VKS44" s="1469"/>
      <c r="VKT44" s="1469"/>
      <c r="VKU44" s="1469"/>
      <c r="VKV44" s="1469"/>
      <c r="VKW44" s="1469"/>
      <c r="VKX44" s="1469"/>
      <c r="VKY44" s="1469"/>
      <c r="VKZ44" s="1469"/>
      <c r="VLA44" s="1469"/>
      <c r="VLB44" s="1469"/>
      <c r="VLC44" s="1469"/>
      <c r="VLD44" s="1469"/>
      <c r="VLE44" s="1469"/>
      <c r="VLF44" s="1469"/>
      <c r="VLG44" s="1469"/>
      <c r="VLH44" s="1469"/>
      <c r="VLI44" s="1469"/>
      <c r="VLJ44" s="1469"/>
      <c r="VLK44" s="1469"/>
      <c r="VLL44" s="1469"/>
      <c r="VLM44" s="1469"/>
      <c r="VLN44" s="1469"/>
      <c r="VLO44" s="1469"/>
      <c r="VLP44" s="1469"/>
      <c r="VLQ44" s="1469"/>
      <c r="VLR44" s="1469"/>
      <c r="VLS44" s="1469"/>
      <c r="VLT44" s="1469"/>
      <c r="VLU44" s="1469"/>
      <c r="VLV44" s="1469"/>
      <c r="VLW44" s="1469"/>
      <c r="VLX44" s="1469"/>
      <c r="VLY44" s="1469"/>
      <c r="VLZ44" s="1469"/>
      <c r="VMA44" s="1469"/>
      <c r="VMB44" s="1469"/>
      <c r="VMC44" s="1469"/>
      <c r="VMD44" s="1469"/>
      <c r="VME44" s="1469"/>
      <c r="VMF44" s="1469"/>
      <c r="VMG44" s="1469"/>
      <c r="VMH44" s="1469"/>
      <c r="VMI44" s="1469"/>
      <c r="VMJ44" s="1469"/>
      <c r="VMK44" s="1469"/>
      <c r="VML44" s="1469"/>
      <c r="VMM44" s="1469"/>
      <c r="VMN44" s="1469"/>
      <c r="VMO44" s="1469"/>
      <c r="VMP44" s="1469"/>
      <c r="VMQ44" s="1469"/>
      <c r="VMR44" s="1469"/>
      <c r="VMS44" s="1469"/>
      <c r="VMT44" s="1469"/>
      <c r="VMU44" s="1469"/>
      <c r="VMV44" s="1469"/>
      <c r="VMW44" s="1469"/>
      <c r="VMX44" s="1469"/>
      <c r="VMY44" s="1469"/>
      <c r="VMZ44" s="1469"/>
      <c r="VNA44" s="1469"/>
      <c r="VNB44" s="1469"/>
      <c r="VNC44" s="1469"/>
      <c r="VND44" s="1469"/>
      <c r="VNE44" s="1469"/>
      <c r="VNF44" s="1469"/>
      <c r="VNG44" s="1469"/>
      <c r="VNH44" s="1469"/>
      <c r="VNI44" s="1469"/>
      <c r="VNJ44" s="1469"/>
      <c r="VNK44" s="1469"/>
      <c r="VNL44" s="1469"/>
      <c r="VNM44" s="1469"/>
      <c r="VNN44" s="1469"/>
      <c r="VNO44" s="1469"/>
      <c r="VNP44" s="1469"/>
      <c r="VNQ44" s="1469"/>
      <c r="VNR44" s="1469"/>
      <c r="VNS44" s="1469"/>
      <c r="VNT44" s="1469"/>
      <c r="VNU44" s="1469"/>
      <c r="VNV44" s="1469"/>
      <c r="VNW44" s="1469"/>
      <c r="VNX44" s="1469"/>
      <c r="VNY44" s="1469"/>
      <c r="VNZ44" s="1469"/>
      <c r="VOA44" s="1469"/>
      <c r="VOB44" s="1469"/>
      <c r="VOC44" s="1469"/>
      <c r="VOD44" s="1469"/>
      <c r="VOE44" s="1469"/>
      <c r="VOF44" s="1469"/>
      <c r="VOG44" s="1469"/>
      <c r="VOH44" s="1469"/>
      <c r="VOI44" s="1469"/>
      <c r="VOJ44" s="1469"/>
      <c r="VOK44" s="1469"/>
      <c r="VOL44" s="1469"/>
      <c r="VOM44" s="1469"/>
      <c r="VON44" s="1469"/>
      <c r="VOO44" s="1469"/>
      <c r="VOP44" s="1469"/>
      <c r="VOQ44" s="1469"/>
      <c r="VOR44" s="1469"/>
      <c r="VOS44" s="1469"/>
      <c r="VOT44" s="1469"/>
      <c r="VOU44" s="1469"/>
      <c r="VOV44" s="1469"/>
      <c r="VOW44" s="1469"/>
      <c r="VOX44" s="1469"/>
      <c r="VOY44" s="1469"/>
      <c r="VOZ44" s="1469"/>
      <c r="VPA44" s="1469"/>
      <c r="VPB44" s="1469"/>
      <c r="VPC44" s="1469"/>
      <c r="VPD44" s="1469"/>
      <c r="VPE44" s="1469"/>
      <c r="VPF44" s="1469"/>
      <c r="VPG44" s="1469"/>
      <c r="VPH44" s="1469"/>
      <c r="VPI44" s="1469"/>
      <c r="VPJ44" s="1469"/>
      <c r="VPK44" s="1469"/>
      <c r="VPL44" s="1469"/>
      <c r="VPM44" s="1469"/>
      <c r="VPN44" s="1469"/>
      <c r="VPO44" s="1469"/>
      <c r="VPP44" s="1469"/>
      <c r="VPQ44" s="1469"/>
      <c r="VPR44" s="1469"/>
      <c r="VPS44" s="1469"/>
      <c r="VPT44" s="1469"/>
      <c r="VPU44" s="1469"/>
      <c r="VPV44" s="1469"/>
      <c r="VPW44" s="1469"/>
      <c r="VPX44" s="1469"/>
      <c r="VPY44" s="1469"/>
      <c r="VPZ44" s="1469"/>
      <c r="VQA44" s="1469"/>
      <c r="VQB44" s="1469"/>
      <c r="VQC44" s="1469"/>
      <c r="VQD44" s="1469"/>
      <c r="VQE44" s="1469"/>
      <c r="VQF44" s="1469"/>
      <c r="VQG44" s="1469"/>
      <c r="VQH44" s="1469"/>
      <c r="VQI44" s="1469"/>
      <c r="VQJ44" s="1469"/>
      <c r="VQK44" s="1469"/>
      <c r="VQL44" s="1469"/>
      <c r="VQM44" s="1469"/>
      <c r="VQN44" s="1469"/>
      <c r="VQO44" s="1469"/>
      <c r="VQP44" s="1469"/>
      <c r="VQQ44" s="1469"/>
      <c r="VQR44" s="1469"/>
      <c r="VQS44" s="1469"/>
      <c r="VQT44" s="1469"/>
      <c r="VQU44" s="1469"/>
      <c r="VQV44" s="1469"/>
      <c r="VQW44" s="1469"/>
      <c r="VQX44" s="1469"/>
      <c r="VQY44" s="1469"/>
      <c r="VQZ44" s="1469"/>
      <c r="VRA44" s="1469"/>
      <c r="VRB44" s="1469"/>
      <c r="VRC44" s="1469"/>
      <c r="VRD44" s="1469"/>
      <c r="VRE44" s="1469"/>
      <c r="VRF44" s="1469"/>
      <c r="VRG44" s="1469"/>
      <c r="VRH44" s="1469"/>
      <c r="VRI44" s="1469"/>
      <c r="VRJ44" s="1469"/>
      <c r="VRK44" s="1469"/>
      <c r="VRL44" s="1469"/>
      <c r="VRM44" s="1469"/>
      <c r="VRN44" s="1469"/>
      <c r="VRO44" s="1469"/>
      <c r="VRP44" s="1469"/>
      <c r="VRQ44" s="1469"/>
      <c r="VRR44" s="1469"/>
      <c r="VRS44" s="1469"/>
      <c r="VRT44" s="1469"/>
      <c r="VRU44" s="1469"/>
      <c r="VRV44" s="1469"/>
      <c r="VRW44" s="1469"/>
      <c r="VRX44" s="1469"/>
      <c r="VRY44" s="1469"/>
      <c r="VRZ44" s="1469"/>
      <c r="VSA44" s="1469"/>
      <c r="VSB44" s="1469"/>
      <c r="VSC44" s="1469"/>
      <c r="VSD44" s="1469"/>
      <c r="VSE44" s="1469"/>
      <c r="VSF44" s="1469"/>
      <c r="VSG44" s="1469"/>
      <c r="VSH44" s="1469"/>
      <c r="VSI44" s="1469"/>
      <c r="VSJ44" s="1469"/>
      <c r="VSK44" s="1469"/>
      <c r="VSL44" s="1469"/>
      <c r="VSM44" s="1469"/>
      <c r="VSN44" s="1469"/>
      <c r="VSO44" s="1469"/>
      <c r="VSP44" s="1469"/>
      <c r="VSQ44" s="1469"/>
      <c r="VSR44" s="1469"/>
      <c r="VSS44" s="1469"/>
      <c r="VST44" s="1469"/>
      <c r="VSU44" s="1469"/>
      <c r="VSV44" s="1469"/>
      <c r="VSW44" s="1469"/>
      <c r="VSX44" s="1469"/>
      <c r="VSY44" s="1469"/>
      <c r="VSZ44" s="1469"/>
      <c r="VTA44" s="1469"/>
      <c r="VTB44" s="1469"/>
      <c r="VTC44" s="1469"/>
      <c r="VTD44" s="1469"/>
      <c r="VTE44" s="1469"/>
      <c r="VTF44" s="1469"/>
      <c r="VTG44" s="1469"/>
      <c r="VTH44" s="1469"/>
      <c r="VTI44" s="1469"/>
      <c r="VTJ44" s="1469"/>
      <c r="VTK44" s="1469"/>
      <c r="VTL44" s="1469"/>
      <c r="VTM44" s="1469"/>
      <c r="VTN44" s="1469"/>
      <c r="VTO44" s="1469"/>
      <c r="VTP44" s="1469"/>
      <c r="VTQ44" s="1469"/>
      <c r="VTR44" s="1469"/>
      <c r="VTS44" s="1469"/>
      <c r="VTT44" s="1469"/>
      <c r="VTU44" s="1469"/>
      <c r="VTV44" s="1469"/>
      <c r="VTW44" s="1469"/>
      <c r="VTX44" s="1469"/>
      <c r="VTY44" s="1469"/>
      <c r="VTZ44" s="1469"/>
      <c r="VUA44" s="1469"/>
      <c r="VUB44" s="1469"/>
      <c r="VUC44" s="1469"/>
      <c r="VUD44" s="1469"/>
      <c r="VUE44" s="1469"/>
      <c r="VUF44" s="1469"/>
      <c r="VUG44" s="1469"/>
      <c r="VUH44" s="1469"/>
      <c r="VUI44" s="1469"/>
      <c r="VUJ44" s="1469"/>
      <c r="VUK44" s="1469"/>
      <c r="VUL44" s="1469"/>
      <c r="VUM44" s="1469"/>
      <c r="VUN44" s="1469"/>
      <c r="VUO44" s="1469"/>
      <c r="VUP44" s="1469"/>
      <c r="VUQ44" s="1469"/>
      <c r="VUR44" s="1469"/>
      <c r="VUS44" s="1469"/>
      <c r="VUT44" s="1469"/>
      <c r="VUU44" s="1469"/>
      <c r="VUV44" s="1469"/>
      <c r="VUW44" s="1469"/>
      <c r="VUX44" s="1469"/>
      <c r="VUY44" s="1469"/>
      <c r="VUZ44" s="1469"/>
      <c r="VVA44" s="1469"/>
      <c r="VVB44" s="1469"/>
      <c r="VVC44" s="1469"/>
      <c r="VVD44" s="1469"/>
      <c r="VVE44" s="1469"/>
      <c r="VVF44" s="1469"/>
      <c r="VVG44" s="1469"/>
      <c r="VVH44" s="1469"/>
      <c r="VVI44" s="1469"/>
      <c r="VVJ44" s="1469"/>
      <c r="VVK44" s="1469"/>
      <c r="VVL44" s="1469"/>
      <c r="VVM44" s="1469"/>
      <c r="VVN44" s="1469"/>
      <c r="VVO44" s="1469"/>
      <c r="VVP44" s="1469"/>
      <c r="VVQ44" s="1469"/>
      <c r="VVR44" s="1469"/>
      <c r="VVS44" s="1469"/>
      <c r="VVT44" s="1469"/>
      <c r="VVU44" s="1469"/>
      <c r="VVV44" s="1469"/>
      <c r="VVW44" s="1469"/>
      <c r="VVX44" s="1469"/>
      <c r="VVY44" s="1469"/>
      <c r="VVZ44" s="1469"/>
      <c r="VWA44" s="1469"/>
      <c r="VWB44" s="1469"/>
      <c r="VWC44" s="1469"/>
      <c r="VWD44" s="1469"/>
      <c r="VWE44" s="1469"/>
      <c r="VWF44" s="1469"/>
      <c r="VWG44" s="1469"/>
      <c r="VWH44" s="1469"/>
      <c r="VWI44" s="1469"/>
      <c r="VWJ44" s="1469"/>
      <c r="VWK44" s="1469"/>
      <c r="VWL44" s="1469"/>
      <c r="VWM44" s="1469"/>
      <c r="VWN44" s="1469"/>
      <c r="VWO44" s="1469"/>
      <c r="VWP44" s="1469"/>
      <c r="VWQ44" s="1469"/>
      <c r="VWR44" s="1469"/>
      <c r="VWS44" s="1469"/>
      <c r="VWT44" s="1469"/>
      <c r="VWU44" s="1469"/>
      <c r="VWV44" s="1469"/>
      <c r="VWW44" s="1469"/>
      <c r="VWX44" s="1469"/>
      <c r="VWY44" s="1469"/>
      <c r="VWZ44" s="1469"/>
      <c r="VXA44" s="1469"/>
      <c r="VXB44" s="1469"/>
      <c r="VXC44" s="1469"/>
      <c r="VXD44" s="1469"/>
      <c r="VXE44" s="1469"/>
      <c r="VXF44" s="1469"/>
      <c r="VXG44" s="1469"/>
      <c r="VXH44" s="1469"/>
      <c r="VXI44" s="1469"/>
      <c r="VXJ44" s="1469"/>
      <c r="VXK44" s="1469"/>
      <c r="VXL44" s="1469"/>
      <c r="VXM44" s="1469"/>
      <c r="VXN44" s="1469"/>
      <c r="VXO44" s="1469"/>
      <c r="VXP44" s="1469"/>
      <c r="VXQ44" s="1469"/>
      <c r="VXR44" s="1469"/>
      <c r="VXS44" s="1469"/>
      <c r="VXT44" s="1469"/>
      <c r="VXU44" s="1469"/>
      <c r="VXV44" s="1469"/>
      <c r="VXW44" s="1469"/>
      <c r="VXX44" s="1469"/>
      <c r="VXY44" s="1469"/>
      <c r="VXZ44" s="1469"/>
      <c r="VYA44" s="1469"/>
      <c r="VYB44" s="1469"/>
      <c r="VYC44" s="1469"/>
      <c r="VYD44" s="1469"/>
      <c r="VYE44" s="1469"/>
      <c r="VYF44" s="1469"/>
      <c r="VYG44" s="1469"/>
      <c r="VYH44" s="1469"/>
      <c r="VYI44" s="1469"/>
      <c r="VYJ44" s="1469"/>
      <c r="VYK44" s="1469"/>
      <c r="VYL44" s="1469"/>
      <c r="VYM44" s="1469"/>
      <c r="VYN44" s="1469"/>
      <c r="VYO44" s="1469"/>
      <c r="VYP44" s="1469"/>
      <c r="VYQ44" s="1469"/>
      <c r="VYR44" s="1469"/>
      <c r="VYS44" s="1469"/>
      <c r="VYT44" s="1469"/>
      <c r="VYU44" s="1469"/>
      <c r="VYV44" s="1469"/>
      <c r="VYW44" s="1469"/>
      <c r="VYX44" s="1469"/>
      <c r="VYY44" s="1469"/>
      <c r="VYZ44" s="1469"/>
      <c r="VZA44" s="1469"/>
      <c r="VZB44" s="1469"/>
      <c r="VZC44" s="1469"/>
      <c r="VZD44" s="1469"/>
      <c r="VZE44" s="1469"/>
      <c r="VZF44" s="1469"/>
      <c r="VZG44" s="1469"/>
      <c r="VZH44" s="1469"/>
      <c r="VZI44" s="1469"/>
      <c r="VZJ44" s="1469"/>
      <c r="VZK44" s="1469"/>
      <c r="VZL44" s="1469"/>
      <c r="VZM44" s="1469"/>
      <c r="VZN44" s="1469"/>
      <c r="VZO44" s="1469"/>
      <c r="VZP44" s="1469"/>
      <c r="VZQ44" s="1469"/>
      <c r="VZR44" s="1469"/>
      <c r="VZS44" s="1469"/>
      <c r="VZT44" s="1469"/>
      <c r="VZU44" s="1469"/>
      <c r="VZV44" s="1469"/>
      <c r="VZW44" s="1469"/>
      <c r="VZX44" s="1469"/>
      <c r="VZY44" s="1469"/>
      <c r="VZZ44" s="1469"/>
      <c r="WAA44" s="1469"/>
      <c r="WAB44" s="1469"/>
      <c r="WAC44" s="1469"/>
      <c r="WAD44" s="1469"/>
      <c r="WAE44" s="1469"/>
      <c r="WAF44" s="1469"/>
      <c r="WAG44" s="1469"/>
      <c r="WAH44" s="1469"/>
      <c r="WAI44" s="1469"/>
      <c r="WAJ44" s="1469"/>
      <c r="WAK44" s="1469"/>
      <c r="WAL44" s="1469"/>
      <c r="WAM44" s="1469"/>
      <c r="WAN44" s="1469"/>
      <c r="WAO44" s="1469"/>
      <c r="WAP44" s="1469"/>
      <c r="WAQ44" s="1469"/>
      <c r="WAR44" s="1469"/>
      <c r="WAS44" s="1469"/>
      <c r="WAT44" s="1469"/>
      <c r="WAU44" s="1469"/>
      <c r="WAV44" s="1469"/>
      <c r="WAW44" s="1469"/>
      <c r="WAX44" s="1469"/>
      <c r="WAY44" s="1469"/>
      <c r="WAZ44" s="1469"/>
      <c r="WBA44" s="1469"/>
      <c r="WBB44" s="1469"/>
      <c r="WBC44" s="1469"/>
      <c r="WBD44" s="1469"/>
      <c r="WBE44" s="1469"/>
      <c r="WBF44" s="1469"/>
      <c r="WBG44" s="1469"/>
      <c r="WBH44" s="1469"/>
      <c r="WBI44" s="1469"/>
      <c r="WBJ44" s="1469"/>
      <c r="WBK44" s="1469"/>
      <c r="WBL44" s="1469"/>
      <c r="WBM44" s="1469"/>
      <c r="WBN44" s="1469"/>
      <c r="WBO44" s="1469"/>
      <c r="WBP44" s="1469"/>
      <c r="WBQ44" s="1469"/>
      <c r="WBR44" s="1469"/>
      <c r="WBS44" s="1469"/>
      <c r="WBT44" s="1469"/>
      <c r="WBU44" s="1469"/>
      <c r="WBV44" s="1469"/>
      <c r="WBW44" s="1469"/>
      <c r="WBX44" s="1469"/>
      <c r="WBY44" s="1469"/>
      <c r="WBZ44" s="1469"/>
      <c r="WCA44" s="1469"/>
      <c r="WCB44" s="1469"/>
      <c r="WCC44" s="1469"/>
      <c r="WCD44" s="1469"/>
      <c r="WCE44" s="1469"/>
      <c r="WCF44" s="1469"/>
      <c r="WCG44" s="1469"/>
      <c r="WCH44" s="1469"/>
      <c r="WCI44" s="1469"/>
      <c r="WCJ44" s="1469"/>
      <c r="WCK44" s="1469"/>
      <c r="WCL44" s="1469"/>
      <c r="WCM44" s="1469"/>
      <c r="WCN44" s="1469"/>
      <c r="WCO44" s="1469"/>
      <c r="WCP44" s="1469"/>
      <c r="WCQ44" s="1469"/>
      <c r="WCR44" s="1469"/>
      <c r="WCS44" s="1469"/>
      <c r="WCT44" s="1469"/>
      <c r="WCU44" s="1469"/>
      <c r="WCV44" s="1469"/>
      <c r="WCW44" s="1469"/>
      <c r="WCX44" s="1469"/>
      <c r="WCY44" s="1469"/>
      <c r="WCZ44" s="1469"/>
      <c r="WDA44" s="1469"/>
      <c r="WDB44" s="1469"/>
      <c r="WDC44" s="1469"/>
      <c r="WDD44" s="1469"/>
      <c r="WDE44" s="1469"/>
      <c r="WDF44" s="1469"/>
      <c r="WDG44" s="1469"/>
      <c r="WDH44" s="1469"/>
      <c r="WDI44" s="1469"/>
      <c r="WDJ44" s="1469"/>
      <c r="WDK44" s="1469"/>
      <c r="WDL44" s="1469"/>
      <c r="WDM44" s="1469"/>
      <c r="WDN44" s="1469"/>
      <c r="WDO44" s="1469"/>
      <c r="WDP44" s="1469"/>
      <c r="WDQ44" s="1469"/>
      <c r="WDR44" s="1469"/>
      <c r="WDS44" s="1469"/>
      <c r="WDT44" s="1469"/>
      <c r="WDU44" s="1469"/>
      <c r="WDV44" s="1469"/>
      <c r="WDW44" s="1469"/>
      <c r="WDX44" s="1469"/>
      <c r="WDY44" s="1469"/>
      <c r="WDZ44" s="1469"/>
      <c r="WEA44" s="1469"/>
      <c r="WEB44" s="1469"/>
      <c r="WEC44" s="1469"/>
      <c r="WED44" s="1469"/>
      <c r="WEE44" s="1469"/>
      <c r="WEF44" s="1469"/>
      <c r="WEG44" s="1469"/>
      <c r="WEH44" s="1469"/>
      <c r="WEI44" s="1469"/>
      <c r="WEJ44" s="1469"/>
      <c r="WEK44" s="1469"/>
      <c r="WEL44" s="1469"/>
      <c r="WEM44" s="1469"/>
      <c r="WEN44" s="1469"/>
      <c r="WEO44" s="1469"/>
      <c r="WEP44" s="1469"/>
      <c r="WEQ44" s="1469"/>
      <c r="WER44" s="1469"/>
      <c r="WES44" s="1469"/>
      <c r="WET44" s="1469"/>
      <c r="WEU44" s="1469"/>
      <c r="WEV44" s="1469"/>
      <c r="WEW44" s="1469"/>
      <c r="WEX44" s="1469"/>
      <c r="WEY44" s="1469"/>
      <c r="WEZ44" s="1469"/>
      <c r="WFA44" s="1469"/>
      <c r="WFB44" s="1469"/>
      <c r="WFC44" s="1469"/>
      <c r="WFD44" s="1469"/>
      <c r="WFE44" s="1469"/>
      <c r="WFF44" s="1469"/>
      <c r="WFG44" s="1469"/>
      <c r="WFH44" s="1469"/>
      <c r="WFI44" s="1469"/>
      <c r="WFJ44" s="1469"/>
      <c r="WFK44" s="1469"/>
      <c r="WFL44" s="1469"/>
      <c r="WFM44" s="1469"/>
      <c r="WFN44" s="1469"/>
      <c r="WFO44" s="1469"/>
      <c r="WFP44" s="1469"/>
      <c r="WFQ44" s="1469"/>
      <c r="WFR44" s="1469"/>
      <c r="WFS44" s="1469"/>
      <c r="WFT44" s="1469"/>
      <c r="WFU44" s="1469"/>
      <c r="WFV44" s="1469"/>
      <c r="WFW44" s="1469"/>
      <c r="WFX44" s="1469"/>
      <c r="WFY44" s="1469"/>
      <c r="WFZ44" s="1469"/>
      <c r="WGA44" s="1469"/>
      <c r="WGB44" s="1469"/>
      <c r="WGC44" s="1469"/>
      <c r="WGD44" s="1469"/>
      <c r="WGE44" s="1469"/>
      <c r="WGF44" s="1469"/>
      <c r="WGG44" s="1469"/>
      <c r="WGH44" s="1469"/>
      <c r="WGI44" s="1469"/>
      <c r="WGJ44" s="1469"/>
      <c r="WGK44" s="1469"/>
      <c r="WGL44" s="1469"/>
      <c r="WGM44" s="1469"/>
      <c r="WGN44" s="1469"/>
      <c r="WGO44" s="1469"/>
      <c r="WGP44" s="1469"/>
      <c r="WGQ44" s="1469"/>
      <c r="WGR44" s="1469"/>
      <c r="WGS44" s="1469"/>
      <c r="WGT44" s="1469"/>
      <c r="WGU44" s="1469"/>
      <c r="WGV44" s="1469"/>
      <c r="WGW44" s="1469"/>
      <c r="WGX44" s="1469"/>
      <c r="WGY44" s="1469"/>
      <c r="WGZ44" s="1469"/>
      <c r="WHA44" s="1469"/>
      <c r="WHB44" s="1469"/>
      <c r="WHC44" s="1469"/>
      <c r="WHD44" s="1469"/>
      <c r="WHE44" s="1469"/>
      <c r="WHF44" s="1469"/>
      <c r="WHG44" s="1469"/>
      <c r="WHH44" s="1469"/>
      <c r="WHI44" s="1469"/>
      <c r="WHJ44" s="1469"/>
      <c r="WHK44" s="1469"/>
      <c r="WHL44" s="1469"/>
      <c r="WHM44" s="1469"/>
      <c r="WHN44" s="1469"/>
      <c r="WHO44" s="1469"/>
      <c r="WHP44" s="1469"/>
      <c r="WHQ44" s="1469"/>
      <c r="WHR44" s="1469"/>
      <c r="WHS44" s="1469"/>
      <c r="WHT44" s="1469"/>
      <c r="WHU44" s="1469"/>
      <c r="WHV44" s="1469"/>
      <c r="WHW44" s="1469"/>
      <c r="WHX44" s="1469"/>
      <c r="WHY44" s="1469"/>
      <c r="WHZ44" s="1469"/>
      <c r="WIA44" s="1469"/>
      <c r="WIB44" s="1469"/>
      <c r="WIC44" s="1469"/>
      <c r="WID44" s="1469"/>
      <c r="WIE44" s="1469"/>
      <c r="WIF44" s="1469"/>
      <c r="WIG44" s="1469"/>
      <c r="WIH44" s="1469"/>
      <c r="WII44" s="1469"/>
      <c r="WIJ44" s="1469"/>
      <c r="WIK44" s="1469"/>
      <c r="WIL44" s="1469"/>
      <c r="WIM44" s="1469"/>
      <c r="WIN44" s="1469"/>
      <c r="WIO44" s="1469"/>
      <c r="WIP44" s="1469"/>
      <c r="WIQ44" s="1469"/>
      <c r="WIR44" s="1469"/>
      <c r="WIS44" s="1469"/>
      <c r="WIT44" s="1469"/>
      <c r="WIU44" s="1469"/>
      <c r="WIV44" s="1469"/>
      <c r="WIW44" s="1469"/>
      <c r="WIX44" s="1469"/>
      <c r="WIY44" s="1469"/>
      <c r="WIZ44" s="1469"/>
      <c r="WJA44" s="1469"/>
      <c r="WJB44" s="1469"/>
      <c r="WJC44" s="1469"/>
      <c r="WJD44" s="1469"/>
      <c r="WJE44" s="1469"/>
      <c r="WJF44" s="1469"/>
      <c r="WJG44" s="1469"/>
      <c r="WJH44" s="1469"/>
      <c r="WJI44" s="1469"/>
      <c r="WJJ44" s="1469"/>
      <c r="WJK44" s="1469"/>
      <c r="WJL44" s="1469"/>
      <c r="WJM44" s="1469"/>
      <c r="WJN44" s="1469"/>
      <c r="WJO44" s="1469"/>
      <c r="WJP44" s="1469"/>
      <c r="WJQ44" s="1469"/>
      <c r="WJR44" s="1469"/>
      <c r="WJS44" s="1469"/>
      <c r="WJT44" s="1469"/>
      <c r="WJU44" s="1469"/>
      <c r="WJV44" s="1469"/>
      <c r="WJW44" s="1469"/>
      <c r="WJX44" s="1469"/>
      <c r="WJY44" s="1469"/>
      <c r="WJZ44" s="1469"/>
      <c r="WKA44" s="1469"/>
      <c r="WKB44" s="1469"/>
      <c r="WKC44" s="1469"/>
      <c r="WKD44" s="1469"/>
      <c r="WKE44" s="1469"/>
      <c r="WKF44" s="1469"/>
      <c r="WKG44" s="1469"/>
      <c r="WKH44" s="1469"/>
      <c r="WKI44" s="1469"/>
      <c r="WKJ44" s="1469"/>
      <c r="WKK44" s="1469"/>
      <c r="WKL44" s="1469"/>
      <c r="WKM44" s="1469"/>
      <c r="WKN44" s="1469"/>
      <c r="WKO44" s="1469"/>
      <c r="WKP44" s="1469"/>
      <c r="WKQ44" s="1469"/>
      <c r="WKR44" s="1469"/>
      <c r="WKS44" s="1469"/>
      <c r="WKT44" s="1469"/>
      <c r="WKU44" s="1469"/>
      <c r="WKV44" s="1469"/>
      <c r="WKW44" s="1469"/>
      <c r="WKX44" s="1469"/>
      <c r="WKY44" s="1469"/>
      <c r="WKZ44" s="1469"/>
      <c r="WLA44" s="1469"/>
      <c r="WLB44" s="1469"/>
      <c r="WLC44" s="1469"/>
      <c r="WLD44" s="1469"/>
      <c r="WLE44" s="1469"/>
      <c r="WLF44" s="1469"/>
      <c r="WLG44" s="1469"/>
      <c r="WLH44" s="1469"/>
      <c r="WLI44" s="1469"/>
      <c r="WLJ44" s="1469"/>
      <c r="WLK44" s="1469"/>
      <c r="WLL44" s="1469"/>
      <c r="WLM44" s="1469"/>
      <c r="WLN44" s="1469"/>
      <c r="WLO44" s="1469"/>
      <c r="WLP44" s="1469"/>
      <c r="WLQ44" s="1469"/>
      <c r="WLR44" s="1469"/>
      <c r="WLS44" s="1469"/>
      <c r="WLT44" s="1469"/>
      <c r="WLU44" s="1469"/>
      <c r="WLV44" s="1469"/>
      <c r="WLW44" s="1469"/>
      <c r="WLX44" s="1469"/>
      <c r="WLY44" s="1469"/>
      <c r="WLZ44" s="1469"/>
      <c r="WMA44" s="1469"/>
      <c r="WMB44" s="1469"/>
      <c r="WMC44" s="1469"/>
      <c r="WMD44" s="1469"/>
      <c r="WME44" s="1469"/>
      <c r="WMF44" s="1469"/>
      <c r="WMG44" s="1469"/>
      <c r="WMH44" s="1469"/>
      <c r="WMI44" s="1469"/>
      <c r="WMJ44" s="1469"/>
      <c r="WMK44" s="1469"/>
      <c r="WML44" s="1469"/>
      <c r="WMM44" s="1469"/>
      <c r="WMN44" s="1469"/>
      <c r="WMO44" s="1469"/>
      <c r="WMP44" s="1469"/>
      <c r="WMQ44" s="1469"/>
      <c r="WMR44" s="1469"/>
      <c r="WMS44" s="1469"/>
      <c r="WMT44" s="1469"/>
      <c r="WMU44" s="1469"/>
      <c r="WMV44" s="1469"/>
      <c r="WMW44" s="1469"/>
      <c r="WMX44" s="1469"/>
      <c r="WMY44" s="1469"/>
      <c r="WMZ44" s="1469"/>
      <c r="WNA44" s="1469"/>
      <c r="WNB44" s="1469"/>
      <c r="WNC44" s="1469"/>
      <c r="WND44" s="1469"/>
      <c r="WNE44" s="1469"/>
      <c r="WNF44" s="1469"/>
      <c r="WNG44" s="1469"/>
      <c r="WNH44" s="1469"/>
      <c r="WNI44" s="1469"/>
      <c r="WNJ44" s="1469"/>
      <c r="WNK44" s="1469"/>
      <c r="WNL44" s="1469"/>
      <c r="WNM44" s="1469"/>
      <c r="WNN44" s="1469"/>
      <c r="WNO44" s="1469"/>
      <c r="WNP44" s="1469"/>
      <c r="WNQ44" s="1469"/>
      <c r="WNR44" s="1469"/>
      <c r="WNS44" s="1469"/>
      <c r="WNT44" s="1469"/>
      <c r="WNU44" s="1469"/>
      <c r="WNV44" s="1469"/>
      <c r="WNW44" s="1469"/>
      <c r="WNX44" s="1469"/>
      <c r="WNY44" s="1469"/>
      <c r="WNZ44" s="1469"/>
      <c r="WOA44" s="1469"/>
      <c r="WOB44" s="1469"/>
      <c r="WOC44" s="1469"/>
      <c r="WOD44" s="1469"/>
      <c r="WOE44" s="1469"/>
      <c r="WOF44" s="1469"/>
      <c r="WOG44" s="1469"/>
      <c r="WOH44" s="1469"/>
      <c r="WOI44" s="1469"/>
      <c r="WOJ44" s="1469"/>
      <c r="WOK44" s="1469"/>
      <c r="WOL44" s="1469"/>
      <c r="WOM44" s="1469"/>
      <c r="WON44" s="1469"/>
      <c r="WOO44" s="1469"/>
      <c r="WOP44" s="1469"/>
      <c r="WOQ44" s="1469"/>
      <c r="WOR44" s="1469"/>
      <c r="WOS44" s="1469"/>
      <c r="WOT44" s="1469"/>
      <c r="WOU44" s="1469"/>
      <c r="WOV44" s="1469"/>
      <c r="WOW44" s="1469"/>
      <c r="WOX44" s="1469"/>
      <c r="WOY44" s="1469"/>
      <c r="WOZ44" s="1469"/>
      <c r="WPA44" s="1469"/>
      <c r="WPB44" s="1469"/>
      <c r="WPC44" s="1469"/>
      <c r="WPD44" s="1469"/>
      <c r="WPE44" s="1469"/>
      <c r="WPF44" s="1469"/>
      <c r="WPG44" s="1469"/>
      <c r="WPH44" s="1469"/>
      <c r="WPI44" s="1469"/>
      <c r="WPJ44" s="1469"/>
      <c r="WPK44" s="1469"/>
      <c r="WPL44" s="1469"/>
      <c r="WPM44" s="1469"/>
      <c r="WPN44" s="1469"/>
      <c r="WPO44" s="1469"/>
      <c r="WPP44" s="1469"/>
      <c r="WPQ44" s="1469"/>
      <c r="WPR44" s="1469"/>
      <c r="WPS44" s="1469"/>
      <c r="WPT44" s="1469"/>
      <c r="WPU44" s="1469"/>
      <c r="WPV44" s="1469"/>
      <c r="WPW44" s="1469"/>
      <c r="WPX44" s="1469"/>
      <c r="WPY44" s="1469"/>
      <c r="WPZ44" s="1469"/>
      <c r="WQA44" s="1469"/>
      <c r="WQB44" s="1469"/>
      <c r="WQC44" s="1469"/>
      <c r="WQD44" s="1469"/>
      <c r="WQE44" s="1469"/>
      <c r="WQF44" s="1469"/>
      <c r="WQG44" s="1469"/>
      <c r="WQH44" s="1469"/>
      <c r="WQI44" s="1469"/>
      <c r="WQJ44" s="1469"/>
      <c r="WQK44" s="1469"/>
      <c r="WQL44" s="1469"/>
      <c r="WQM44" s="1469"/>
      <c r="WQN44" s="1469"/>
      <c r="WQO44" s="1469"/>
      <c r="WQP44" s="1469"/>
      <c r="WQQ44" s="1469"/>
      <c r="WQR44" s="1469"/>
      <c r="WQS44" s="1469"/>
      <c r="WQT44" s="1469"/>
      <c r="WQU44" s="1469"/>
      <c r="WQV44" s="1469"/>
      <c r="WQW44" s="1469"/>
      <c r="WQX44" s="1469"/>
      <c r="WQY44" s="1469"/>
      <c r="WQZ44" s="1469"/>
      <c r="WRA44" s="1469"/>
      <c r="WRB44" s="1469"/>
      <c r="WRC44" s="1469"/>
      <c r="WRD44" s="1469"/>
      <c r="WRE44" s="1469"/>
      <c r="WRF44" s="1469"/>
      <c r="WRG44" s="1469"/>
      <c r="WRH44" s="1469"/>
      <c r="WRI44" s="1469"/>
      <c r="WRJ44" s="1469"/>
      <c r="WRK44" s="1469"/>
      <c r="WRL44" s="1469"/>
      <c r="WRM44" s="1469"/>
      <c r="WRN44" s="1469"/>
      <c r="WRO44" s="1469"/>
      <c r="WRP44" s="1469"/>
      <c r="WRQ44" s="1469"/>
      <c r="WRR44" s="1469"/>
      <c r="WRS44" s="1469"/>
      <c r="WRT44" s="1469"/>
      <c r="WRU44" s="1469"/>
      <c r="WRV44" s="1469"/>
      <c r="WRW44" s="1469"/>
      <c r="WRX44" s="1469"/>
      <c r="WRY44" s="1469"/>
      <c r="WRZ44" s="1469"/>
      <c r="WSA44" s="1469"/>
      <c r="WSB44" s="1469"/>
      <c r="WSC44" s="1469"/>
      <c r="WSD44" s="1469"/>
      <c r="WSE44" s="1469"/>
      <c r="WSF44" s="1469"/>
      <c r="WSG44" s="1469"/>
      <c r="WSH44" s="1469"/>
      <c r="WSI44" s="1469"/>
      <c r="WSJ44" s="1469"/>
      <c r="WSK44" s="1469"/>
      <c r="WSL44" s="1469"/>
      <c r="WSM44" s="1469"/>
      <c r="WSN44" s="1469"/>
      <c r="WSO44" s="1469"/>
      <c r="WSP44" s="1469"/>
      <c r="WSQ44" s="1469"/>
      <c r="WSR44" s="1469"/>
      <c r="WSS44" s="1469"/>
      <c r="WST44" s="1469"/>
      <c r="WSU44" s="1469"/>
      <c r="WSV44" s="1469"/>
      <c r="WSW44" s="1469"/>
      <c r="WSX44" s="1469"/>
      <c r="WSY44" s="1469"/>
      <c r="WSZ44" s="1469"/>
      <c r="WTA44" s="1469"/>
      <c r="WTB44" s="1469"/>
      <c r="WTC44" s="1469"/>
      <c r="WTD44" s="1469"/>
      <c r="WTE44" s="1469"/>
      <c r="WTF44" s="1469"/>
      <c r="WTG44" s="1469"/>
      <c r="WTH44" s="1469"/>
      <c r="WTI44" s="1469"/>
      <c r="WTJ44" s="1469"/>
      <c r="WTK44" s="1469"/>
      <c r="WTL44" s="1469"/>
      <c r="WTM44" s="1469"/>
      <c r="WTN44" s="1469"/>
      <c r="WTO44" s="1469"/>
      <c r="WTP44" s="1469"/>
      <c r="WTQ44" s="1469"/>
      <c r="WTR44" s="1469"/>
      <c r="WTS44" s="1469"/>
      <c r="WTT44" s="1469"/>
      <c r="WTU44" s="1469"/>
      <c r="WTV44" s="1469"/>
      <c r="WTW44" s="1469"/>
      <c r="WTX44" s="1469"/>
      <c r="WTY44" s="1469"/>
      <c r="WTZ44" s="1469"/>
      <c r="WUA44" s="1469"/>
      <c r="WUB44" s="1469"/>
      <c r="WUC44" s="1469"/>
      <c r="WUD44" s="1469"/>
      <c r="WUE44" s="1469"/>
      <c r="WUF44" s="1469"/>
      <c r="WUG44" s="1469"/>
      <c r="WUH44" s="1469"/>
      <c r="WUI44" s="1469"/>
      <c r="WUJ44" s="1469"/>
      <c r="WUK44" s="1469"/>
      <c r="WUL44" s="1469"/>
      <c r="WUM44" s="1469"/>
      <c r="WUN44" s="1469"/>
      <c r="WUO44" s="1469"/>
      <c r="WUP44" s="1469"/>
      <c r="WUQ44" s="1469"/>
      <c r="WUR44" s="1469"/>
      <c r="WUS44" s="1469"/>
      <c r="WUT44" s="1469"/>
      <c r="WUU44" s="1469"/>
      <c r="WUV44" s="1469"/>
      <c r="WUW44" s="1469"/>
      <c r="WUX44" s="1469"/>
      <c r="WUY44" s="1469"/>
      <c r="WUZ44" s="1469"/>
      <c r="WVA44" s="1469"/>
      <c r="WVB44" s="1469"/>
      <c r="WVC44" s="1469"/>
      <c r="WVD44" s="1469"/>
      <c r="WVE44" s="1469"/>
      <c r="WVF44" s="1469"/>
      <c r="WVG44" s="1469"/>
      <c r="WVH44" s="1469"/>
      <c r="WVI44" s="1469"/>
      <c r="WVJ44" s="1469"/>
      <c r="WVK44" s="1469"/>
      <c r="WVL44" s="1469"/>
      <c r="WVM44" s="1469"/>
      <c r="WVN44" s="1469"/>
      <c r="WVO44" s="1469"/>
      <c r="WVP44" s="1469"/>
      <c r="WVQ44" s="1469"/>
      <c r="WVR44" s="1469"/>
      <c r="WVS44" s="1469"/>
      <c r="WVT44" s="1469"/>
      <c r="WVU44" s="1469"/>
      <c r="WVV44" s="1469"/>
      <c r="WVW44" s="1469"/>
      <c r="WVX44" s="1469"/>
      <c r="WVY44" s="1469"/>
      <c r="WVZ44" s="1469"/>
      <c r="WWA44" s="1469"/>
      <c r="WWB44" s="1469"/>
      <c r="WWC44" s="1469"/>
      <c r="WWD44" s="1469"/>
      <c r="WWE44" s="1469"/>
      <c r="WWF44" s="1469"/>
      <c r="WWG44" s="1469"/>
      <c r="WWH44" s="1469"/>
      <c r="WWI44" s="1469"/>
      <c r="WWJ44" s="1469"/>
      <c r="WWK44" s="1469"/>
      <c r="WWL44" s="1469"/>
      <c r="WWM44" s="1469"/>
      <c r="WWN44" s="1469"/>
      <c r="WWO44" s="1469"/>
      <c r="WWP44" s="1469"/>
      <c r="WWQ44" s="1469"/>
      <c r="WWR44" s="1469"/>
      <c r="WWS44" s="1469"/>
      <c r="WWT44" s="1469"/>
      <c r="WWU44" s="1469"/>
      <c r="WWV44" s="1469"/>
      <c r="WWW44" s="1469"/>
      <c r="WWX44" s="1469"/>
      <c r="WWY44" s="1469"/>
      <c r="WWZ44" s="1469"/>
      <c r="WXA44" s="1469"/>
      <c r="WXB44" s="1469"/>
      <c r="WXC44" s="1469"/>
      <c r="WXD44" s="1469"/>
      <c r="WXE44" s="1469"/>
      <c r="WXF44" s="1469"/>
      <c r="WXG44" s="1469"/>
      <c r="WXH44" s="1469"/>
      <c r="WXI44" s="1469"/>
      <c r="WXJ44" s="1469"/>
      <c r="WXK44" s="1469"/>
      <c r="WXL44" s="1469"/>
      <c r="WXM44" s="1469"/>
      <c r="WXN44" s="1469"/>
      <c r="WXO44" s="1469"/>
      <c r="WXP44" s="1469"/>
      <c r="WXQ44" s="1469"/>
      <c r="WXR44" s="1469"/>
      <c r="WXS44" s="1469"/>
      <c r="WXT44" s="1469"/>
      <c r="WXU44" s="1469"/>
      <c r="WXV44" s="1469"/>
      <c r="WXW44" s="1469"/>
      <c r="WXX44" s="1469"/>
      <c r="WXY44" s="1469"/>
      <c r="WXZ44" s="1469"/>
      <c r="WYA44" s="1469"/>
      <c r="WYB44" s="1469"/>
      <c r="WYC44" s="1469"/>
      <c r="WYD44" s="1469"/>
      <c r="WYE44" s="1469"/>
      <c r="WYF44" s="1469"/>
      <c r="WYG44" s="1469"/>
      <c r="WYH44" s="1469"/>
      <c r="WYI44" s="1469"/>
      <c r="WYJ44" s="1469"/>
      <c r="WYK44" s="1469"/>
      <c r="WYL44" s="1469"/>
      <c r="WYM44" s="1469"/>
      <c r="WYN44" s="1469"/>
      <c r="WYO44" s="1469"/>
      <c r="WYP44" s="1469"/>
      <c r="WYQ44" s="1469"/>
      <c r="WYR44" s="1469"/>
      <c r="WYS44" s="1469"/>
      <c r="WYT44" s="1469"/>
      <c r="WYU44" s="1469"/>
      <c r="WYV44" s="1469"/>
      <c r="WYW44" s="1469"/>
      <c r="WYX44" s="1469"/>
      <c r="WYY44" s="1469"/>
      <c r="WYZ44" s="1469"/>
      <c r="WZA44" s="1469"/>
      <c r="WZB44" s="1469"/>
      <c r="WZC44" s="1469"/>
      <c r="WZD44" s="1469"/>
      <c r="WZE44" s="1469"/>
      <c r="WZF44" s="1469"/>
      <c r="WZG44" s="1469"/>
      <c r="WZH44" s="1469"/>
      <c r="WZI44" s="1469"/>
      <c r="WZJ44" s="1469"/>
      <c r="WZK44" s="1469"/>
      <c r="WZL44" s="1469"/>
      <c r="WZM44" s="1469"/>
      <c r="WZN44" s="1469"/>
      <c r="WZO44" s="1469"/>
      <c r="WZP44" s="1469"/>
      <c r="WZQ44" s="1469"/>
      <c r="WZR44" s="1469"/>
      <c r="WZS44" s="1469"/>
      <c r="WZT44" s="1469"/>
      <c r="WZU44" s="1469"/>
      <c r="WZV44" s="1469"/>
      <c r="WZW44" s="1469"/>
      <c r="WZX44" s="1469"/>
      <c r="WZY44" s="1469"/>
      <c r="WZZ44" s="1469"/>
      <c r="XAA44" s="1469"/>
      <c r="XAB44" s="1469"/>
      <c r="XAC44" s="1469"/>
      <c r="XAD44" s="1469"/>
      <c r="XAE44" s="1469"/>
      <c r="XAF44" s="1469"/>
      <c r="XAG44" s="1469"/>
      <c r="XAH44" s="1469"/>
      <c r="XAI44" s="1469"/>
      <c r="XAJ44" s="1469"/>
      <c r="XAK44" s="1469"/>
      <c r="XAL44" s="1469"/>
      <c r="XAM44" s="1469"/>
      <c r="XAN44" s="1469"/>
      <c r="XAO44" s="1469"/>
      <c r="XAP44" s="1469"/>
      <c r="XAQ44" s="1469"/>
      <c r="XAR44" s="1469"/>
      <c r="XAS44" s="1469"/>
      <c r="XAT44" s="1469"/>
      <c r="XAU44" s="1469"/>
      <c r="XAV44" s="1469"/>
      <c r="XAW44" s="1469"/>
      <c r="XAX44" s="1469"/>
      <c r="XAY44" s="1469"/>
      <c r="XAZ44" s="1469"/>
      <c r="XBA44" s="1469"/>
      <c r="XBB44" s="1469"/>
      <c r="XBC44" s="1469"/>
      <c r="XBD44" s="1469"/>
      <c r="XBE44" s="1469"/>
      <c r="XBF44" s="1469"/>
      <c r="XBG44" s="1469"/>
      <c r="XBH44" s="1469"/>
      <c r="XBI44" s="1469"/>
      <c r="XBJ44" s="1469"/>
      <c r="XBK44" s="1469"/>
      <c r="XBL44" s="1469"/>
      <c r="XBM44" s="1469"/>
      <c r="XBN44" s="1469"/>
      <c r="XBO44" s="1469"/>
      <c r="XBP44" s="1469"/>
      <c r="XBQ44" s="1469"/>
      <c r="XBR44" s="1469"/>
      <c r="XBS44" s="1469"/>
      <c r="XBT44" s="1469"/>
      <c r="XBU44" s="1469"/>
      <c r="XBV44" s="1469"/>
      <c r="XBW44" s="1469"/>
      <c r="XBX44" s="1469"/>
      <c r="XBY44" s="1469"/>
      <c r="XBZ44" s="1469"/>
      <c r="XCA44" s="1469"/>
      <c r="XCB44" s="1469"/>
      <c r="XCC44" s="1469"/>
      <c r="XCD44" s="1469"/>
      <c r="XCE44" s="1469"/>
      <c r="XCF44" s="1469"/>
      <c r="XCG44" s="1469"/>
      <c r="XCH44" s="1469"/>
      <c r="XCI44" s="1469"/>
      <c r="XCJ44" s="1469"/>
      <c r="XCK44" s="1469"/>
      <c r="XCL44" s="1469"/>
      <c r="XCM44" s="1469"/>
      <c r="XCN44" s="1469"/>
      <c r="XCO44" s="1469"/>
      <c r="XCP44" s="1469"/>
      <c r="XCQ44" s="1469"/>
      <c r="XCR44" s="1469"/>
      <c r="XCS44" s="1469"/>
      <c r="XCT44" s="1469"/>
      <c r="XCU44" s="1469"/>
      <c r="XCV44" s="1469"/>
      <c r="XCW44" s="1469"/>
      <c r="XCX44" s="1469"/>
      <c r="XCY44" s="1469"/>
      <c r="XCZ44" s="1469"/>
      <c r="XDA44" s="1469"/>
      <c r="XDB44" s="1469"/>
      <c r="XDC44" s="1469"/>
      <c r="XDD44" s="1469"/>
      <c r="XDE44" s="1469"/>
      <c r="XDF44" s="1469"/>
      <c r="XDG44" s="1469"/>
      <c r="XDH44" s="1469"/>
      <c r="XDI44" s="1469"/>
      <c r="XDJ44" s="1469"/>
      <c r="XDK44" s="1469"/>
      <c r="XDL44" s="1469"/>
      <c r="XDM44" s="1469"/>
      <c r="XDN44" s="1469"/>
      <c r="XDO44" s="1469"/>
      <c r="XDP44" s="1469"/>
      <c r="XDQ44" s="1469"/>
      <c r="XDR44" s="1469"/>
      <c r="XDS44" s="1469"/>
      <c r="XDT44" s="1469"/>
      <c r="XDU44" s="1469"/>
      <c r="XDV44" s="1469"/>
      <c r="XDW44" s="1469"/>
      <c r="XDX44" s="1469"/>
      <c r="XDY44" s="1469"/>
      <c r="XDZ44" s="1469"/>
      <c r="XEA44" s="1469"/>
      <c r="XEB44" s="1469"/>
      <c r="XEC44" s="1469"/>
      <c r="XED44" s="1469"/>
      <c r="XEE44" s="1469"/>
      <c r="XEF44" s="1469"/>
      <c r="XEG44" s="1469"/>
      <c r="XEH44" s="1469"/>
      <c r="XEI44" s="1469"/>
      <c r="XEJ44" s="1469"/>
      <c r="XEK44" s="1469"/>
      <c r="XEL44" s="1469"/>
      <c r="XEM44" s="1469"/>
      <c r="XEN44" s="1469"/>
      <c r="XEO44" s="1469"/>
      <c r="XEP44" s="1469"/>
      <c r="XEQ44" s="1469"/>
      <c r="XER44" s="1469"/>
      <c r="XES44" s="1469"/>
      <c r="XET44" s="1469"/>
      <c r="XEU44" s="1469"/>
      <c r="XEV44" s="1469"/>
      <c r="XEW44" s="1469"/>
      <c r="XEX44" s="1469"/>
      <c r="XEY44" s="1469"/>
      <c r="XEZ44" s="1469"/>
      <c r="XFA44" s="1469"/>
      <c r="XFB44" s="1469"/>
    </row>
    <row r="45" spans="1:16382" s="1499" customFormat="1">
      <c r="A45" s="1496"/>
      <c r="B45" s="1491"/>
      <c r="C45" s="1497"/>
      <c r="D45" s="1497"/>
      <c r="E45" s="1497"/>
      <c r="F45" s="1497"/>
      <c r="G45" s="1497"/>
      <c r="H45" s="1498"/>
      <c r="I45" s="1469"/>
      <c r="J45" s="1469"/>
      <c r="K45" s="1469"/>
      <c r="L45" s="1469"/>
      <c r="M45" s="1469"/>
      <c r="N45" s="1469"/>
      <c r="O45" s="1469"/>
      <c r="P45" s="1469"/>
      <c r="Q45" s="1469"/>
      <c r="R45" s="1469"/>
      <c r="S45" s="1469"/>
      <c r="T45" s="1469"/>
      <c r="U45" s="1469"/>
      <c r="V45" s="1469"/>
      <c r="W45" s="1469"/>
      <c r="X45" s="1469"/>
      <c r="Y45" s="1469"/>
      <c r="Z45" s="1469"/>
      <c r="AA45" s="1469"/>
      <c r="AB45" s="1469"/>
      <c r="AC45" s="1469"/>
      <c r="AD45" s="1469"/>
      <c r="AE45" s="1469"/>
      <c r="AF45" s="1469"/>
      <c r="AG45" s="1469"/>
      <c r="AH45" s="1469"/>
      <c r="AI45" s="1469"/>
      <c r="AJ45" s="1469"/>
      <c r="AK45" s="1469"/>
      <c r="AL45" s="1469"/>
      <c r="AM45" s="1469"/>
      <c r="AN45" s="1469"/>
      <c r="AO45" s="1469"/>
      <c r="AP45" s="1469"/>
      <c r="AQ45" s="1469"/>
      <c r="AR45" s="1469"/>
      <c r="AS45" s="1469"/>
      <c r="AT45" s="1469"/>
      <c r="AU45" s="1469"/>
      <c r="AV45" s="1469"/>
      <c r="AW45" s="1469"/>
      <c r="AX45" s="1469"/>
      <c r="AY45" s="1469"/>
      <c r="AZ45" s="1469"/>
      <c r="BA45" s="1469"/>
      <c r="BB45" s="1469"/>
      <c r="BC45" s="1469"/>
      <c r="BD45" s="1469"/>
      <c r="BE45" s="1469"/>
      <c r="BF45" s="1469"/>
      <c r="BG45" s="1469"/>
      <c r="BH45" s="1469"/>
      <c r="BI45" s="1469"/>
      <c r="BJ45" s="1469"/>
      <c r="BK45" s="1469"/>
      <c r="BL45" s="1469"/>
      <c r="BM45" s="1469"/>
      <c r="BN45" s="1469"/>
      <c r="BO45" s="1469"/>
      <c r="BP45" s="1469"/>
      <c r="BQ45" s="1469"/>
      <c r="BR45" s="1469"/>
      <c r="BS45" s="1469"/>
      <c r="BT45" s="1469"/>
      <c r="BU45" s="1469"/>
      <c r="BV45" s="1469"/>
      <c r="BW45" s="1469"/>
      <c r="BX45" s="1469"/>
      <c r="BY45" s="1469"/>
      <c r="BZ45" s="1469"/>
      <c r="CA45" s="1469"/>
      <c r="CB45" s="1469"/>
      <c r="CC45" s="1469"/>
      <c r="CD45" s="1469"/>
      <c r="CE45" s="1469"/>
      <c r="CF45" s="1469"/>
      <c r="CG45" s="1469"/>
      <c r="CH45" s="1469"/>
      <c r="CI45" s="1469"/>
      <c r="CJ45" s="1469"/>
      <c r="CK45" s="1469"/>
      <c r="CL45" s="1469"/>
      <c r="CM45" s="1469"/>
      <c r="CN45" s="1469"/>
      <c r="CO45" s="1469"/>
      <c r="CP45" s="1469"/>
      <c r="CQ45" s="1469"/>
      <c r="CR45" s="1469"/>
      <c r="CS45" s="1469"/>
      <c r="CT45" s="1469"/>
      <c r="CU45" s="1469"/>
      <c r="CV45" s="1469"/>
      <c r="CW45" s="1469"/>
      <c r="CX45" s="1469"/>
      <c r="CY45" s="1469"/>
      <c r="CZ45" s="1469"/>
      <c r="DA45" s="1469"/>
      <c r="DB45" s="1469"/>
      <c r="DC45" s="1469"/>
      <c r="DD45" s="1469"/>
      <c r="DE45" s="1469"/>
      <c r="DF45" s="1469"/>
      <c r="DG45" s="1469"/>
      <c r="DH45" s="1469"/>
      <c r="DI45" s="1469"/>
      <c r="DJ45" s="1469"/>
      <c r="DK45" s="1469"/>
      <c r="DL45" s="1469"/>
      <c r="DM45" s="1469"/>
      <c r="DN45" s="1469"/>
      <c r="DO45" s="1469"/>
      <c r="DP45" s="1469"/>
      <c r="DQ45" s="1469"/>
      <c r="DR45" s="1469"/>
      <c r="DS45" s="1469"/>
      <c r="DT45" s="1469"/>
      <c r="DU45" s="1469"/>
      <c r="DV45" s="1469"/>
      <c r="DW45" s="1469"/>
      <c r="DX45" s="1469"/>
      <c r="DY45" s="1469"/>
      <c r="DZ45" s="1469"/>
      <c r="EA45" s="1469"/>
      <c r="EB45" s="1469"/>
      <c r="EC45" s="1469"/>
      <c r="ED45" s="1469"/>
      <c r="EE45" s="1469"/>
      <c r="EF45" s="1469"/>
      <c r="EG45" s="1469"/>
      <c r="EH45" s="1469"/>
      <c r="EI45" s="1469"/>
      <c r="EJ45" s="1469"/>
      <c r="EK45" s="1469"/>
      <c r="EL45" s="1469"/>
      <c r="EM45" s="1469"/>
      <c r="EN45" s="1469"/>
      <c r="EO45" s="1469"/>
      <c r="EP45" s="1469"/>
      <c r="EQ45" s="1469"/>
      <c r="ER45" s="1469"/>
      <c r="ES45" s="1469"/>
      <c r="ET45" s="1469"/>
      <c r="EU45" s="1469"/>
      <c r="EV45" s="1469"/>
      <c r="EW45" s="1469"/>
      <c r="EX45" s="1469"/>
      <c r="EY45" s="1469"/>
      <c r="EZ45" s="1469"/>
      <c r="FA45" s="1469"/>
      <c r="FB45" s="1469"/>
      <c r="FC45" s="1469"/>
      <c r="FD45" s="1469"/>
      <c r="FE45" s="1469"/>
      <c r="FF45" s="1469"/>
      <c r="FG45" s="1469"/>
      <c r="FH45" s="1469"/>
      <c r="FI45" s="1469"/>
      <c r="FJ45" s="1469"/>
      <c r="FK45" s="1469"/>
      <c r="FL45" s="1469"/>
      <c r="FM45" s="1469"/>
      <c r="FN45" s="1469"/>
      <c r="FO45" s="1469"/>
      <c r="FP45" s="1469"/>
      <c r="FQ45" s="1469"/>
      <c r="FR45" s="1469"/>
      <c r="FS45" s="1469"/>
      <c r="FT45" s="1469"/>
      <c r="FU45" s="1469"/>
      <c r="FV45" s="1469"/>
      <c r="FW45" s="1469"/>
      <c r="FX45" s="1469"/>
      <c r="FY45" s="1469"/>
      <c r="FZ45" s="1469"/>
      <c r="GA45" s="1469"/>
      <c r="GB45" s="1469"/>
      <c r="GC45" s="1469"/>
      <c r="GD45" s="1469"/>
      <c r="GE45" s="1469"/>
      <c r="GF45" s="1469"/>
      <c r="GG45" s="1469"/>
      <c r="GH45" s="1469"/>
      <c r="GI45" s="1469"/>
      <c r="GJ45" s="1469"/>
      <c r="GK45" s="1469"/>
      <c r="GL45" s="1469"/>
      <c r="GM45" s="1469"/>
      <c r="GN45" s="1469"/>
      <c r="GO45" s="1469"/>
      <c r="GP45" s="1469"/>
      <c r="GQ45" s="1469"/>
      <c r="GR45" s="1469"/>
      <c r="GS45" s="1469"/>
      <c r="GT45" s="1469"/>
      <c r="GU45" s="1469"/>
      <c r="GV45" s="1469"/>
      <c r="GW45" s="1469"/>
      <c r="GX45" s="1469"/>
      <c r="GY45" s="1469"/>
      <c r="GZ45" s="1469"/>
      <c r="HA45" s="1469"/>
      <c r="HB45" s="1469"/>
      <c r="HC45" s="1469"/>
      <c r="HD45" s="1469"/>
      <c r="HE45" s="1469"/>
      <c r="HF45" s="1469"/>
      <c r="HG45" s="1469"/>
      <c r="HH45" s="1469"/>
      <c r="HI45" s="1469"/>
      <c r="HJ45" s="1469"/>
      <c r="HK45" s="1469"/>
      <c r="HL45" s="1469"/>
      <c r="HM45" s="1469"/>
      <c r="HN45" s="1469"/>
      <c r="HO45" s="1469"/>
      <c r="HP45" s="1469"/>
      <c r="HQ45" s="1469"/>
      <c r="HR45" s="1469"/>
      <c r="HS45" s="1469"/>
      <c r="HT45" s="1469"/>
      <c r="HU45" s="1469"/>
      <c r="HV45" s="1469"/>
      <c r="HW45" s="1469"/>
      <c r="HX45" s="1469"/>
      <c r="HY45" s="1469"/>
      <c r="HZ45" s="1469"/>
      <c r="IA45" s="1469"/>
      <c r="IB45" s="1469"/>
      <c r="IC45" s="1469"/>
      <c r="ID45" s="1469"/>
      <c r="IE45" s="1469"/>
      <c r="IF45" s="1469"/>
      <c r="IG45" s="1469"/>
      <c r="IH45" s="1469"/>
      <c r="II45" s="1469"/>
      <c r="IJ45" s="1469"/>
      <c r="IK45" s="1469"/>
      <c r="IL45" s="1469"/>
      <c r="IM45" s="1469"/>
      <c r="IN45" s="1469"/>
      <c r="IO45" s="1469"/>
      <c r="IP45" s="1469"/>
      <c r="IQ45" s="1469"/>
      <c r="IR45" s="1469"/>
      <c r="IS45" s="1469"/>
      <c r="IT45" s="1469"/>
      <c r="IU45" s="1469"/>
      <c r="IV45" s="1469"/>
      <c r="IW45" s="1469"/>
      <c r="IX45" s="1469"/>
      <c r="IY45" s="1469"/>
      <c r="IZ45" s="1469"/>
      <c r="JA45" s="1469"/>
      <c r="JB45" s="1469"/>
      <c r="JC45" s="1469"/>
      <c r="JD45" s="1469"/>
      <c r="JE45" s="1469"/>
      <c r="JF45" s="1469"/>
      <c r="JG45" s="1469"/>
      <c r="JH45" s="1469"/>
      <c r="JI45" s="1469"/>
      <c r="JJ45" s="1469"/>
      <c r="JK45" s="1469"/>
      <c r="JL45" s="1469"/>
      <c r="JM45" s="1469"/>
      <c r="JN45" s="1469"/>
      <c r="JO45" s="1469"/>
      <c r="JP45" s="1469"/>
      <c r="JQ45" s="1469"/>
      <c r="JR45" s="1469"/>
      <c r="JS45" s="1469"/>
      <c r="JT45" s="1469"/>
      <c r="JU45" s="1469"/>
      <c r="JV45" s="1469"/>
      <c r="JW45" s="1469"/>
      <c r="JX45" s="1469"/>
      <c r="JY45" s="1469"/>
      <c r="JZ45" s="1469"/>
      <c r="KA45" s="1469"/>
      <c r="KB45" s="1469"/>
      <c r="KC45" s="1469"/>
      <c r="KD45" s="1469"/>
      <c r="KE45" s="1469"/>
      <c r="KF45" s="1469"/>
      <c r="KG45" s="1469"/>
      <c r="KH45" s="1469"/>
      <c r="KI45" s="1469"/>
      <c r="KJ45" s="1469"/>
      <c r="KK45" s="1469"/>
      <c r="KL45" s="1469"/>
      <c r="KM45" s="1469"/>
      <c r="KN45" s="1469"/>
      <c r="KO45" s="1469"/>
      <c r="KP45" s="1469"/>
      <c r="KQ45" s="1469"/>
      <c r="KR45" s="1469"/>
      <c r="KS45" s="1469"/>
      <c r="KT45" s="1469"/>
      <c r="KU45" s="1469"/>
      <c r="KV45" s="1469"/>
      <c r="KW45" s="1469"/>
      <c r="KX45" s="1469"/>
      <c r="KY45" s="1469"/>
      <c r="KZ45" s="1469"/>
      <c r="LA45" s="1469"/>
      <c r="LB45" s="1469"/>
      <c r="LC45" s="1469"/>
      <c r="LD45" s="1469"/>
      <c r="LE45" s="1469"/>
      <c r="LF45" s="1469"/>
      <c r="LG45" s="1469"/>
      <c r="LH45" s="1469"/>
      <c r="LI45" s="1469"/>
      <c r="LJ45" s="1469"/>
      <c r="LK45" s="1469"/>
      <c r="LL45" s="1469"/>
      <c r="LM45" s="1469"/>
      <c r="LN45" s="1469"/>
      <c r="LO45" s="1469"/>
      <c r="LP45" s="1469"/>
      <c r="LQ45" s="1469"/>
      <c r="LR45" s="1469"/>
      <c r="LS45" s="1469"/>
      <c r="LT45" s="1469"/>
      <c r="LU45" s="1469"/>
      <c r="LV45" s="1469"/>
      <c r="LW45" s="1469"/>
      <c r="LX45" s="1469"/>
      <c r="LY45" s="1469"/>
      <c r="LZ45" s="1469"/>
      <c r="MA45" s="1469"/>
      <c r="MB45" s="1469"/>
      <c r="MC45" s="1469"/>
      <c r="MD45" s="1469"/>
      <c r="ME45" s="1469"/>
      <c r="MF45" s="1469"/>
      <c r="MG45" s="1469"/>
      <c r="MH45" s="1469"/>
      <c r="MI45" s="1469"/>
      <c r="MJ45" s="1469"/>
      <c r="MK45" s="1469"/>
      <c r="ML45" s="1469"/>
      <c r="MM45" s="1469"/>
      <c r="MN45" s="1469"/>
      <c r="MO45" s="1469"/>
      <c r="MP45" s="1469"/>
      <c r="MQ45" s="1469"/>
      <c r="MR45" s="1469"/>
      <c r="MS45" s="1469"/>
      <c r="MT45" s="1469"/>
      <c r="MU45" s="1469"/>
      <c r="MV45" s="1469"/>
      <c r="MW45" s="1469"/>
      <c r="MX45" s="1469"/>
      <c r="MY45" s="1469"/>
      <c r="MZ45" s="1469"/>
      <c r="NA45" s="1469"/>
      <c r="NB45" s="1469"/>
      <c r="NC45" s="1469"/>
      <c r="ND45" s="1469"/>
      <c r="NE45" s="1469"/>
      <c r="NF45" s="1469"/>
      <c r="NG45" s="1469"/>
      <c r="NH45" s="1469"/>
      <c r="NI45" s="1469"/>
      <c r="NJ45" s="1469"/>
      <c r="NK45" s="1469"/>
      <c r="NL45" s="1469"/>
      <c r="NM45" s="1469"/>
      <c r="NN45" s="1469"/>
      <c r="NO45" s="1469"/>
      <c r="NP45" s="1469"/>
      <c r="NQ45" s="1469"/>
      <c r="NR45" s="1469"/>
      <c r="NS45" s="1469"/>
      <c r="NT45" s="1469"/>
      <c r="NU45" s="1469"/>
      <c r="NV45" s="1469"/>
      <c r="NW45" s="1469"/>
      <c r="NX45" s="1469"/>
      <c r="NY45" s="1469"/>
      <c r="NZ45" s="1469"/>
      <c r="OA45" s="1469"/>
      <c r="OB45" s="1469"/>
      <c r="OC45" s="1469"/>
      <c r="OD45" s="1469"/>
      <c r="OE45" s="1469"/>
      <c r="OF45" s="1469"/>
      <c r="OG45" s="1469"/>
      <c r="OH45" s="1469"/>
      <c r="OI45" s="1469"/>
      <c r="OJ45" s="1469"/>
      <c r="OK45" s="1469"/>
      <c r="OL45" s="1469"/>
      <c r="OM45" s="1469"/>
      <c r="ON45" s="1469"/>
      <c r="OO45" s="1469"/>
      <c r="OP45" s="1469"/>
      <c r="OQ45" s="1469"/>
      <c r="OR45" s="1469"/>
      <c r="OS45" s="1469"/>
      <c r="OT45" s="1469"/>
      <c r="OU45" s="1469"/>
      <c r="OV45" s="1469"/>
      <c r="OW45" s="1469"/>
      <c r="OX45" s="1469"/>
      <c r="OY45" s="1469"/>
      <c r="OZ45" s="1469"/>
      <c r="PA45" s="1469"/>
      <c r="PB45" s="1469"/>
      <c r="PC45" s="1469"/>
      <c r="PD45" s="1469"/>
      <c r="PE45" s="1469"/>
      <c r="PF45" s="1469"/>
      <c r="PG45" s="1469"/>
      <c r="PH45" s="1469"/>
      <c r="PI45" s="1469"/>
      <c r="PJ45" s="1469"/>
      <c r="PK45" s="1469"/>
      <c r="PL45" s="1469"/>
      <c r="PM45" s="1469"/>
      <c r="PN45" s="1469"/>
      <c r="PO45" s="1469"/>
      <c r="PP45" s="1469"/>
      <c r="PQ45" s="1469"/>
      <c r="PR45" s="1469"/>
      <c r="PS45" s="1469"/>
      <c r="PT45" s="1469"/>
      <c r="PU45" s="1469"/>
      <c r="PV45" s="1469"/>
      <c r="PW45" s="1469"/>
      <c r="PX45" s="1469"/>
      <c r="PY45" s="1469"/>
      <c r="PZ45" s="1469"/>
      <c r="QA45" s="1469"/>
      <c r="QB45" s="1469"/>
      <c r="QC45" s="1469"/>
      <c r="QD45" s="1469"/>
      <c r="QE45" s="1469"/>
      <c r="QF45" s="1469"/>
      <c r="QG45" s="1469"/>
      <c r="QH45" s="1469"/>
      <c r="QI45" s="1469"/>
      <c r="QJ45" s="1469"/>
      <c r="QK45" s="1469"/>
      <c r="QL45" s="1469"/>
      <c r="QM45" s="1469"/>
      <c r="QN45" s="1469"/>
      <c r="QO45" s="1469"/>
      <c r="QP45" s="1469"/>
      <c r="QQ45" s="1469"/>
      <c r="QR45" s="1469"/>
      <c r="QS45" s="1469"/>
      <c r="QT45" s="1469"/>
      <c r="QU45" s="1469"/>
      <c r="QV45" s="1469"/>
      <c r="QW45" s="1469"/>
      <c r="QX45" s="1469"/>
      <c r="QY45" s="1469"/>
      <c r="QZ45" s="1469"/>
      <c r="RA45" s="1469"/>
      <c r="RB45" s="1469"/>
      <c r="RC45" s="1469"/>
      <c r="RD45" s="1469"/>
      <c r="RE45" s="1469"/>
      <c r="RF45" s="1469"/>
      <c r="RG45" s="1469"/>
      <c r="RH45" s="1469"/>
      <c r="RI45" s="1469"/>
      <c r="RJ45" s="1469"/>
      <c r="RK45" s="1469"/>
      <c r="RL45" s="1469"/>
      <c r="RM45" s="1469"/>
      <c r="RN45" s="1469"/>
      <c r="RO45" s="1469"/>
      <c r="RP45" s="1469"/>
      <c r="RQ45" s="1469"/>
      <c r="RR45" s="1469"/>
      <c r="RS45" s="1469"/>
      <c r="RT45" s="1469"/>
      <c r="RU45" s="1469"/>
      <c r="RV45" s="1469"/>
      <c r="RW45" s="1469"/>
      <c r="RX45" s="1469"/>
      <c r="RY45" s="1469"/>
      <c r="RZ45" s="1469"/>
      <c r="SA45" s="1469"/>
      <c r="SB45" s="1469"/>
      <c r="SC45" s="1469"/>
      <c r="SD45" s="1469"/>
      <c r="SE45" s="1469"/>
      <c r="SF45" s="1469"/>
      <c r="SG45" s="1469"/>
      <c r="SH45" s="1469"/>
      <c r="SI45" s="1469"/>
      <c r="SJ45" s="1469"/>
      <c r="SK45" s="1469"/>
      <c r="SL45" s="1469"/>
      <c r="SM45" s="1469"/>
      <c r="SN45" s="1469"/>
      <c r="SO45" s="1469"/>
      <c r="SP45" s="1469"/>
      <c r="SQ45" s="1469"/>
      <c r="SR45" s="1469"/>
      <c r="SS45" s="1469"/>
      <c r="ST45" s="1469"/>
      <c r="SU45" s="1469"/>
      <c r="SV45" s="1469"/>
      <c r="SW45" s="1469"/>
      <c r="SX45" s="1469"/>
      <c r="SY45" s="1469"/>
      <c r="SZ45" s="1469"/>
      <c r="TA45" s="1469"/>
      <c r="TB45" s="1469"/>
      <c r="TC45" s="1469"/>
      <c r="TD45" s="1469"/>
      <c r="TE45" s="1469"/>
      <c r="TF45" s="1469"/>
      <c r="TG45" s="1469"/>
      <c r="TH45" s="1469"/>
      <c r="TI45" s="1469"/>
      <c r="TJ45" s="1469"/>
      <c r="TK45" s="1469"/>
      <c r="TL45" s="1469"/>
      <c r="TM45" s="1469"/>
      <c r="TN45" s="1469"/>
      <c r="TO45" s="1469"/>
      <c r="TP45" s="1469"/>
      <c r="TQ45" s="1469"/>
      <c r="TR45" s="1469"/>
      <c r="TS45" s="1469"/>
      <c r="TT45" s="1469"/>
      <c r="TU45" s="1469"/>
      <c r="TV45" s="1469"/>
      <c r="TW45" s="1469"/>
      <c r="TX45" s="1469"/>
      <c r="TY45" s="1469"/>
      <c r="TZ45" s="1469"/>
      <c r="UA45" s="1469"/>
      <c r="UB45" s="1469"/>
      <c r="UC45" s="1469"/>
      <c r="UD45" s="1469"/>
      <c r="UE45" s="1469"/>
      <c r="UF45" s="1469"/>
      <c r="UG45" s="1469"/>
      <c r="UH45" s="1469"/>
      <c r="UI45" s="1469"/>
      <c r="UJ45" s="1469"/>
      <c r="UK45" s="1469"/>
      <c r="UL45" s="1469"/>
      <c r="UM45" s="1469"/>
      <c r="UN45" s="1469"/>
      <c r="UO45" s="1469"/>
      <c r="UP45" s="1469"/>
      <c r="UQ45" s="1469"/>
      <c r="UR45" s="1469"/>
      <c r="US45" s="1469"/>
      <c r="UT45" s="1469"/>
      <c r="UU45" s="1469"/>
      <c r="UV45" s="1469"/>
      <c r="UW45" s="1469"/>
      <c r="UX45" s="1469"/>
      <c r="UY45" s="1469"/>
      <c r="UZ45" s="1469"/>
      <c r="VA45" s="1469"/>
      <c r="VB45" s="1469"/>
      <c r="VC45" s="1469"/>
      <c r="VD45" s="1469"/>
      <c r="VE45" s="1469"/>
      <c r="VF45" s="1469"/>
      <c r="VG45" s="1469"/>
      <c r="VH45" s="1469"/>
      <c r="VI45" s="1469"/>
      <c r="VJ45" s="1469"/>
      <c r="VK45" s="1469"/>
      <c r="VL45" s="1469"/>
      <c r="VM45" s="1469"/>
      <c r="VN45" s="1469"/>
      <c r="VO45" s="1469"/>
      <c r="VP45" s="1469"/>
      <c r="VQ45" s="1469"/>
      <c r="VR45" s="1469"/>
      <c r="VS45" s="1469"/>
      <c r="VT45" s="1469"/>
      <c r="VU45" s="1469"/>
      <c r="VV45" s="1469"/>
      <c r="VW45" s="1469"/>
      <c r="VX45" s="1469"/>
      <c r="VY45" s="1469"/>
      <c r="VZ45" s="1469"/>
      <c r="WA45" s="1469"/>
      <c r="WB45" s="1469"/>
      <c r="WC45" s="1469"/>
      <c r="WD45" s="1469"/>
      <c r="WE45" s="1469"/>
      <c r="WF45" s="1469"/>
      <c r="WG45" s="1469"/>
      <c r="WH45" s="1469"/>
      <c r="WI45" s="1469"/>
      <c r="WJ45" s="1469"/>
      <c r="WK45" s="1469"/>
      <c r="WL45" s="1469"/>
      <c r="WM45" s="1469"/>
      <c r="WN45" s="1469"/>
      <c r="WO45" s="1469"/>
      <c r="WP45" s="1469"/>
      <c r="WQ45" s="1469"/>
      <c r="WR45" s="1469"/>
      <c r="WS45" s="1469"/>
      <c r="WT45" s="1469"/>
      <c r="WU45" s="1469"/>
      <c r="WV45" s="1469"/>
      <c r="WW45" s="1469"/>
      <c r="WX45" s="1469"/>
      <c r="WY45" s="1469"/>
      <c r="WZ45" s="1469"/>
      <c r="XA45" s="1469"/>
      <c r="XB45" s="1469"/>
      <c r="XC45" s="1469"/>
      <c r="XD45" s="1469"/>
      <c r="XE45" s="1469"/>
      <c r="XF45" s="1469"/>
      <c r="XG45" s="1469"/>
      <c r="XH45" s="1469"/>
      <c r="XI45" s="1469"/>
      <c r="XJ45" s="1469"/>
      <c r="XK45" s="1469"/>
      <c r="XL45" s="1469"/>
      <c r="XM45" s="1469"/>
      <c r="XN45" s="1469"/>
      <c r="XO45" s="1469"/>
      <c r="XP45" s="1469"/>
      <c r="XQ45" s="1469"/>
      <c r="XR45" s="1469"/>
      <c r="XS45" s="1469"/>
      <c r="XT45" s="1469"/>
      <c r="XU45" s="1469"/>
      <c r="XV45" s="1469"/>
      <c r="XW45" s="1469"/>
      <c r="XX45" s="1469"/>
      <c r="XY45" s="1469"/>
      <c r="XZ45" s="1469"/>
      <c r="YA45" s="1469"/>
      <c r="YB45" s="1469"/>
      <c r="YC45" s="1469"/>
      <c r="YD45" s="1469"/>
      <c r="YE45" s="1469"/>
      <c r="YF45" s="1469"/>
      <c r="YG45" s="1469"/>
      <c r="YH45" s="1469"/>
      <c r="YI45" s="1469"/>
      <c r="YJ45" s="1469"/>
      <c r="YK45" s="1469"/>
      <c r="YL45" s="1469"/>
      <c r="YM45" s="1469"/>
      <c r="YN45" s="1469"/>
      <c r="YO45" s="1469"/>
      <c r="YP45" s="1469"/>
      <c r="YQ45" s="1469"/>
      <c r="YR45" s="1469"/>
      <c r="YS45" s="1469"/>
      <c r="YT45" s="1469"/>
      <c r="YU45" s="1469"/>
      <c r="YV45" s="1469"/>
      <c r="YW45" s="1469"/>
      <c r="YX45" s="1469"/>
      <c r="YY45" s="1469"/>
      <c r="YZ45" s="1469"/>
      <c r="ZA45" s="1469"/>
      <c r="ZB45" s="1469"/>
      <c r="ZC45" s="1469"/>
      <c r="ZD45" s="1469"/>
      <c r="ZE45" s="1469"/>
      <c r="ZF45" s="1469"/>
      <c r="ZG45" s="1469"/>
      <c r="ZH45" s="1469"/>
      <c r="ZI45" s="1469"/>
      <c r="ZJ45" s="1469"/>
      <c r="ZK45" s="1469"/>
      <c r="ZL45" s="1469"/>
      <c r="ZM45" s="1469"/>
      <c r="ZN45" s="1469"/>
      <c r="ZO45" s="1469"/>
      <c r="ZP45" s="1469"/>
      <c r="ZQ45" s="1469"/>
      <c r="ZR45" s="1469"/>
      <c r="ZS45" s="1469"/>
      <c r="ZT45" s="1469"/>
      <c r="ZU45" s="1469"/>
      <c r="ZV45" s="1469"/>
      <c r="ZW45" s="1469"/>
      <c r="ZX45" s="1469"/>
      <c r="ZY45" s="1469"/>
      <c r="ZZ45" s="1469"/>
      <c r="AAA45" s="1469"/>
      <c r="AAB45" s="1469"/>
      <c r="AAC45" s="1469"/>
      <c r="AAD45" s="1469"/>
      <c r="AAE45" s="1469"/>
      <c r="AAF45" s="1469"/>
      <c r="AAG45" s="1469"/>
      <c r="AAH45" s="1469"/>
      <c r="AAI45" s="1469"/>
      <c r="AAJ45" s="1469"/>
      <c r="AAK45" s="1469"/>
      <c r="AAL45" s="1469"/>
      <c r="AAM45" s="1469"/>
      <c r="AAN45" s="1469"/>
      <c r="AAO45" s="1469"/>
      <c r="AAP45" s="1469"/>
      <c r="AAQ45" s="1469"/>
      <c r="AAR45" s="1469"/>
      <c r="AAS45" s="1469"/>
      <c r="AAT45" s="1469"/>
      <c r="AAU45" s="1469"/>
      <c r="AAV45" s="1469"/>
      <c r="AAW45" s="1469"/>
      <c r="AAX45" s="1469"/>
      <c r="AAY45" s="1469"/>
      <c r="AAZ45" s="1469"/>
      <c r="ABA45" s="1469"/>
      <c r="ABB45" s="1469"/>
      <c r="ABC45" s="1469"/>
      <c r="ABD45" s="1469"/>
      <c r="ABE45" s="1469"/>
      <c r="ABF45" s="1469"/>
      <c r="ABG45" s="1469"/>
      <c r="ABH45" s="1469"/>
      <c r="ABI45" s="1469"/>
      <c r="ABJ45" s="1469"/>
      <c r="ABK45" s="1469"/>
      <c r="ABL45" s="1469"/>
      <c r="ABM45" s="1469"/>
      <c r="ABN45" s="1469"/>
      <c r="ABO45" s="1469"/>
      <c r="ABP45" s="1469"/>
      <c r="ABQ45" s="1469"/>
      <c r="ABR45" s="1469"/>
      <c r="ABS45" s="1469"/>
      <c r="ABT45" s="1469"/>
      <c r="ABU45" s="1469"/>
      <c r="ABV45" s="1469"/>
      <c r="ABW45" s="1469"/>
      <c r="ABX45" s="1469"/>
      <c r="ABY45" s="1469"/>
      <c r="ABZ45" s="1469"/>
      <c r="ACA45" s="1469"/>
      <c r="ACB45" s="1469"/>
      <c r="ACC45" s="1469"/>
      <c r="ACD45" s="1469"/>
      <c r="ACE45" s="1469"/>
      <c r="ACF45" s="1469"/>
      <c r="ACG45" s="1469"/>
      <c r="ACH45" s="1469"/>
      <c r="ACI45" s="1469"/>
      <c r="ACJ45" s="1469"/>
      <c r="ACK45" s="1469"/>
      <c r="ACL45" s="1469"/>
      <c r="ACM45" s="1469"/>
      <c r="ACN45" s="1469"/>
      <c r="ACO45" s="1469"/>
      <c r="ACP45" s="1469"/>
      <c r="ACQ45" s="1469"/>
      <c r="ACR45" s="1469"/>
      <c r="ACS45" s="1469"/>
      <c r="ACT45" s="1469"/>
      <c r="ACU45" s="1469"/>
      <c r="ACV45" s="1469"/>
      <c r="ACW45" s="1469"/>
      <c r="ACX45" s="1469"/>
      <c r="ACY45" s="1469"/>
      <c r="ACZ45" s="1469"/>
      <c r="ADA45" s="1469"/>
      <c r="ADB45" s="1469"/>
      <c r="ADC45" s="1469"/>
      <c r="ADD45" s="1469"/>
      <c r="ADE45" s="1469"/>
      <c r="ADF45" s="1469"/>
      <c r="ADG45" s="1469"/>
      <c r="ADH45" s="1469"/>
      <c r="ADI45" s="1469"/>
      <c r="ADJ45" s="1469"/>
      <c r="ADK45" s="1469"/>
      <c r="ADL45" s="1469"/>
      <c r="ADM45" s="1469"/>
      <c r="ADN45" s="1469"/>
      <c r="ADO45" s="1469"/>
      <c r="ADP45" s="1469"/>
      <c r="ADQ45" s="1469"/>
      <c r="ADR45" s="1469"/>
      <c r="ADS45" s="1469"/>
      <c r="ADT45" s="1469"/>
      <c r="ADU45" s="1469"/>
      <c r="ADV45" s="1469"/>
      <c r="ADW45" s="1469"/>
      <c r="ADX45" s="1469"/>
      <c r="ADY45" s="1469"/>
      <c r="ADZ45" s="1469"/>
      <c r="AEA45" s="1469"/>
      <c r="AEB45" s="1469"/>
      <c r="AEC45" s="1469"/>
      <c r="AED45" s="1469"/>
      <c r="AEE45" s="1469"/>
      <c r="AEF45" s="1469"/>
      <c r="AEG45" s="1469"/>
      <c r="AEH45" s="1469"/>
      <c r="AEI45" s="1469"/>
      <c r="AEJ45" s="1469"/>
      <c r="AEK45" s="1469"/>
      <c r="AEL45" s="1469"/>
      <c r="AEM45" s="1469"/>
      <c r="AEN45" s="1469"/>
      <c r="AEO45" s="1469"/>
      <c r="AEP45" s="1469"/>
      <c r="AEQ45" s="1469"/>
      <c r="AER45" s="1469"/>
      <c r="AES45" s="1469"/>
      <c r="AET45" s="1469"/>
      <c r="AEU45" s="1469"/>
      <c r="AEV45" s="1469"/>
      <c r="AEW45" s="1469"/>
      <c r="AEX45" s="1469"/>
      <c r="AEY45" s="1469"/>
      <c r="AEZ45" s="1469"/>
      <c r="AFA45" s="1469"/>
      <c r="AFB45" s="1469"/>
      <c r="AFC45" s="1469"/>
      <c r="AFD45" s="1469"/>
      <c r="AFE45" s="1469"/>
      <c r="AFF45" s="1469"/>
      <c r="AFG45" s="1469"/>
      <c r="AFH45" s="1469"/>
      <c r="AFI45" s="1469"/>
      <c r="AFJ45" s="1469"/>
      <c r="AFK45" s="1469"/>
      <c r="AFL45" s="1469"/>
      <c r="AFM45" s="1469"/>
      <c r="AFN45" s="1469"/>
      <c r="AFO45" s="1469"/>
      <c r="AFP45" s="1469"/>
      <c r="AFQ45" s="1469"/>
      <c r="AFR45" s="1469"/>
      <c r="AFS45" s="1469"/>
      <c r="AFT45" s="1469"/>
      <c r="AFU45" s="1469"/>
      <c r="AFV45" s="1469"/>
      <c r="AFW45" s="1469"/>
      <c r="AFX45" s="1469"/>
      <c r="AFY45" s="1469"/>
      <c r="AFZ45" s="1469"/>
      <c r="AGA45" s="1469"/>
      <c r="AGB45" s="1469"/>
      <c r="AGC45" s="1469"/>
      <c r="AGD45" s="1469"/>
      <c r="AGE45" s="1469"/>
      <c r="AGF45" s="1469"/>
      <c r="AGG45" s="1469"/>
      <c r="AGH45" s="1469"/>
      <c r="AGI45" s="1469"/>
      <c r="AGJ45" s="1469"/>
      <c r="AGK45" s="1469"/>
      <c r="AGL45" s="1469"/>
      <c r="AGM45" s="1469"/>
      <c r="AGN45" s="1469"/>
      <c r="AGO45" s="1469"/>
      <c r="AGP45" s="1469"/>
      <c r="AGQ45" s="1469"/>
      <c r="AGR45" s="1469"/>
      <c r="AGS45" s="1469"/>
      <c r="AGT45" s="1469"/>
      <c r="AGU45" s="1469"/>
      <c r="AGV45" s="1469"/>
      <c r="AGW45" s="1469"/>
      <c r="AGX45" s="1469"/>
      <c r="AGY45" s="1469"/>
      <c r="AGZ45" s="1469"/>
      <c r="AHA45" s="1469"/>
      <c r="AHB45" s="1469"/>
      <c r="AHC45" s="1469"/>
      <c r="AHD45" s="1469"/>
      <c r="AHE45" s="1469"/>
      <c r="AHF45" s="1469"/>
      <c r="AHG45" s="1469"/>
      <c r="AHH45" s="1469"/>
      <c r="AHI45" s="1469"/>
      <c r="AHJ45" s="1469"/>
      <c r="AHK45" s="1469"/>
      <c r="AHL45" s="1469"/>
      <c r="AHM45" s="1469"/>
      <c r="AHN45" s="1469"/>
      <c r="AHO45" s="1469"/>
      <c r="AHP45" s="1469"/>
      <c r="AHQ45" s="1469"/>
      <c r="AHR45" s="1469"/>
      <c r="AHS45" s="1469"/>
      <c r="AHT45" s="1469"/>
      <c r="AHU45" s="1469"/>
      <c r="AHV45" s="1469"/>
      <c r="AHW45" s="1469"/>
      <c r="AHX45" s="1469"/>
      <c r="AHY45" s="1469"/>
      <c r="AHZ45" s="1469"/>
      <c r="AIA45" s="1469"/>
      <c r="AIB45" s="1469"/>
      <c r="AIC45" s="1469"/>
      <c r="AID45" s="1469"/>
      <c r="AIE45" s="1469"/>
      <c r="AIF45" s="1469"/>
      <c r="AIG45" s="1469"/>
      <c r="AIH45" s="1469"/>
      <c r="AII45" s="1469"/>
      <c r="AIJ45" s="1469"/>
      <c r="AIK45" s="1469"/>
      <c r="AIL45" s="1469"/>
      <c r="AIM45" s="1469"/>
      <c r="AIN45" s="1469"/>
      <c r="AIO45" s="1469"/>
      <c r="AIP45" s="1469"/>
      <c r="AIQ45" s="1469"/>
      <c r="AIR45" s="1469"/>
      <c r="AIS45" s="1469"/>
      <c r="AIT45" s="1469"/>
      <c r="AIU45" s="1469"/>
      <c r="AIV45" s="1469"/>
      <c r="AIW45" s="1469"/>
      <c r="AIX45" s="1469"/>
      <c r="AIY45" s="1469"/>
      <c r="AIZ45" s="1469"/>
      <c r="AJA45" s="1469"/>
      <c r="AJB45" s="1469"/>
      <c r="AJC45" s="1469"/>
      <c r="AJD45" s="1469"/>
      <c r="AJE45" s="1469"/>
      <c r="AJF45" s="1469"/>
      <c r="AJG45" s="1469"/>
      <c r="AJH45" s="1469"/>
      <c r="AJI45" s="1469"/>
      <c r="AJJ45" s="1469"/>
      <c r="AJK45" s="1469"/>
      <c r="AJL45" s="1469"/>
      <c r="AJM45" s="1469"/>
      <c r="AJN45" s="1469"/>
      <c r="AJO45" s="1469"/>
      <c r="AJP45" s="1469"/>
      <c r="AJQ45" s="1469"/>
      <c r="AJR45" s="1469"/>
      <c r="AJS45" s="1469"/>
      <c r="AJT45" s="1469"/>
      <c r="AJU45" s="1469"/>
      <c r="AJV45" s="1469"/>
      <c r="AJW45" s="1469"/>
      <c r="AJX45" s="1469"/>
      <c r="AJY45" s="1469"/>
      <c r="AJZ45" s="1469"/>
      <c r="AKA45" s="1469"/>
      <c r="AKB45" s="1469"/>
      <c r="AKC45" s="1469"/>
      <c r="AKD45" s="1469"/>
      <c r="AKE45" s="1469"/>
      <c r="AKF45" s="1469"/>
      <c r="AKG45" s="1469"/>
      <c r="AKH45" s="1469"/>
      <c r="AKI45" s="1469"/>
      <c r="AKJ45" s="1469"/>
      <c r="AKK45" s="1469"/>
      <c r="AKL45" s="1469"/>
      <c r="AKM45" s="1469"/>
      <c r="AKN45" s="1469"/>
      <c r="AKO45" s="1469"/>
      <c r="AKP45" s="1469"/>
      <c r="AKQ45" s="1469"/>
      <c r="AKR45" s="1469"/>
      <c r="AKS45" s="1469"/>
      <c r="AKT45" s="1469"/>
      <c r="AKU45" s="1469"/>
      <c r="AKV45" s="1469"/>
      <c r="AKW45" s="1469"/>
      <c r="AKX45" s="1469"/>
      <c r="AKY45" s="1469"/>
      <c r="AKZ45" s="1469"/>
      <c r="ALA45" s="1469"/>
      <c r="ALB45" s="1469"/>
      <c r="ALC45" s="1469"/>
      <c r="ALD45" s="1469"/>
      <c r="ALE45" s="1469"/>
      <c r="ALF45" s="1469"/>
      <c r="ALG45" s="1469"/>
      <c r="ALH45" s="1469"/>
      <c r="ALI45" s="1469"/>
      <c r="ALJ45" s="1469"/>
      <c r="ALK45" s="1469"/>
      <c r="ALL45" s="1469"/>
      <c r="ALM45" s="1469"/>
      <c r="ALN45" s="1469"/>
      <c r="ALO45" s="1469"/>
      <c r="ALP45" s="1469"/>
      <c r="ALQ45" s="1469"/>
      <c r="ALR45" s="1469"/>
      <c r="ALS45" s="1469"/>
      <c r="ALT45" s="1469"/>
      <c r="ALU45" s="1469"/>
      <c r="ALV45" s="1469"/>
      <c r="ALW45" s="1469"/>
      <c r="ALX45" s="1469"/>
      <c r="ALY45" s="1469"/>
      <c r="ALZ45" s="1469"/>
      <c r="AMA45" s="1469"/>
      <c r="AMB45" s="1469"/>
      <c r="AMC45" s="1469"/>
      <c r="AMD45" s="1469"/>
      <c r="AME45" s="1469"/>
      <c r="AMF45" s="1469"/>
      <c r="AMG45" s="1469"/>
      <c r="AMH45" s="1469"/>
      <c r="AMI45" s="1469"/>
      <c r="AMJ45" s="1469"/>
      <c r="AMK45" s="1469"/>
      <c r="AML45" s="1469"/>
      <c r="AMM45" s="1469"/>
      <c r="AMN45" s="1469"/>
      <c r="AMO45" s="1469"/>
      <c r="AMP45" s="1469"/>
      <c r="AMQ45" s="1469"/>
      <c r="AMR45" s="1469"/>
      <c r="AMS45" s="1469"/>
      <c r="AMT45" s="1469"/>
      <c r="AMU45" s="1469"/>
      <c r="AMV45" s="1469"/>
      <c r="AMW45" s="1469"/>
      <c r="AMX45" s="1469"/>
      <c r="AMY45" s="1469"/>
      <c r="AMZ45" s="1469"/>
      <c r="ANA45" s="1469"/>
      <c r="ANB45" s="1469"/>
      <c r="ANC45" s="1469"/>
      <c r="AND45" s="1469"/>
      <c r="ANE45" s="1469"/>
      <c r="ANF45" s="1469"/>
      <c r="ANG45" s="1469"/>
      <c r="ANH45" s="1469"/>
      <c r="ANI45" s="1469"/>
      <c r="ANJ45" s="1469"/>
      <c r="ANK45" s="1469"/>
      <c r="ANL45" s="1469"/>
      <c r="ANM45" s="1469"/>
      <c r="ANN45" s="1469"/>
      <c r="ANO45" s="1469"/>
      <c r="ANP45" s="1469"/>
      <c r="ANQ45" s="1469"/>
      <c r="ANR45" s="1469"/>
      <c r="ANS45" s="1469"/>
      <c r="ANT45" s="1469"/>
      <c r="ANU45" s="1469"/>
      <c r="ANV45" s="1469"/>
      <c r="ANW45" s="1469"/>
      <c r="ANX45" s="1469"/>
      <c r="ANY45" s="1469"/>
      <c r="ANZ45" s="1469"/>
      <c r="AOA45" s="1469"/>
      <c r="AOB45" s="1469"/>
      <c r="AOC45" s="1469"/>
      <c r="AOD45" s="1469"/>
      <c r="AOE45" s="1469"/>
      <c r="AOF45" s="1469"/>
      <c r="AOG45" s="1469"/>
      <c r="AOH45" s="1469"/>
      <c r="AOI45" s="1469"/>
      <c r="AOJ45" s="1469"/>
      <c r="AOK45" s="1469"/>
      <c r="AOL45" s="1469"/>
      <c r="AOM45" s="1469"/>
      <c r="AON45" s="1469"/>
      <c r="AOO45" s="1469"/>
      <c r="AOP45" s="1469"/>
      <c r="AOQ45" s="1469"/>
      <c r="AOR45" s="1469"/>
      <c r="AOS45" s="1469"/>
      <c r="AOT45" s="1469"/>
      <c r="AOU45" s="1469"/>
      <c r="AOV45" s="1469"/>
      <c r="AOW45" s="1469"/>
      <c r="AOX45" s="1469"/>
      <c r="AOY45" s="1469"/>
      <c r="AOZ45" s="1469"/>
      <c r="APA45" s="1469"/>
      <c r="APB45" s="1469"/>
      <c r="APC45" s="1469"/>
      <c r="APD45" s="1469"/>
      <c r="APE45" s="1469"/>
      <c r="APF45" s="1469"/>
      <c r="APG45" s="1469"/>
      <c r="APH45" s="1469"/>
      <c r="API45" s="1469"/>
      <c r="APJ45" s="1469"/>
      <c r="APK45" s="1469"/>
      <c r="APL45" s="1469"/>
      <c r="APM45" s="1469"/>
      <c r="APN45" s="1469"/>
      <c r="APO45" s="1469"/>
      <c r="APP45" s="1469"/>
      <c r="APQ45" s="1469"/>
      <c r="APR45" s="1469"/>
      <c r="APS45" s="1469"/>
      <c r="APT45" s="1469"/>
      <c r="APU45" s="1469"/>
      <c r="APV45" s="1469"/>
      <c r="APW45" s="1469"/>
      <c r="APX45" s="1469"/>
      <c r="APY45" s="1469"/>
      <c r="APZ45" s="1469"/>
      <c r="AQA45" s="1469"/>
      <c r="AQB45" s="1469"/>
      <c r="AQC45" s="1469"/>
      <c r="AQD45" s="1469"/>
      <c r="AQE45" s="1469"/>
      <c r="AQF45" s="1469"/>
      <c r="AQG45" s="1469"/>
      <c r="AQH45" s="1469"/>
      <c r="AQI45" s="1469"/>
      <c r="AQJ45" s="1469"/>
      <c r="AQK45" s="1469"/>
      <c r="AQL45" s="1469"/>
      <c r="AQM45" s="1469"/>
      <c r="AQN45" s="1469"/>
      <c r="AQO45" s="1469"/>
      <c r="AQP45" s="1469"/>
      <c r="AQQ45" s="1469"/>
      <c r="AQR45" s="1469"/>
      <c r="AQS45" s="1469"/>
      <c r="AQT45" s="1469"/>
      <c r="AQU45" s="1469"/>
      <c r="AQV45" s="1469"/>
      <c r="AQW45" s="1469"/>
      <c r="AQX45" s="1469"/>
      <c r="AQY45" s="1469"/>
      <c r="AQZ45" s="1469"/>
      <c r="ARA45" s="1469"/>
      <c r="ARB45" s="1469"/>
      <c r="ARC45" s="1469"/>
      <c r="ARD45" s="1469"/>
      <c r="ARE45" s="1469"/>
      <c r="ARF45" s="1469"/>
      <c r="ARG45" s="1469"/>
      <c r="ARH45" s="1469"/>
      <c r="ARI45" s="1469"/>
      <c r="ARJ45" s="1469"/>
      <c r="ARK45" s="1469"/>
      <c r="ARL45" s="1469"/>
      <c r="ARM45" s="1469"/>
      <c r="ARN45" s="1469"/>
      <c r="ARO45" s="1469"/>
      <c r="ARP45" s="1469"/>
      <c r="ARQ45" s="1469"/>
      <c r="ARR45" s="1469"/>
      <c r="ARS45" s="1469"/>
      <c r="ART45" s="1469"/>
      <c r="ARU45" s="1469"/>
      <c r="ARV45" s="1469"/>
      <c r="ARW45" s="1469"/>
      <c r="ARX45" s="1469"/>
      <c r="ARY45" s="1469"/>
      <c r="ARZ45" s="1469"/>
      <c r="ASA45" s="1469"/>
      <c r="ASB45" s="1469"/>
      <c r="ASC45" s="1469"/>
      <c r="ASD45" s="1469"/>
      <c r="ASE45" s="1469"/>
      <c r="ASF45" s="1469"/>
      <c r="ASG45" s="1469"/>
      <c r="ASH45" s="1469"/>
      <c r="ASI45" s="1469"/>
      <c r="ASJ45" s="1469"/>
      <c r="ASK45" s="1469"/>
      <c r="ASL45" s="1469"/>
      <c r="ASM45" s="1469"/>
      <c r="ASN45" s="1469"/>
      <c r="ASO45" s="1469"/>
      <c r="ASP45" s="1469"/>
      <c r="ASQ45" s="1469"/>
      <c r="ASR45" s="1469"/>
      <c r="ASS45" s="1469"/>
      <c r="AST45" s="1469"/>
      <c r="ASU45" s="1469"/>
      <c r="ASV45" s="1469"/>
      <c r="ASW45" s="1469"/>
      <c r="ASX45" s="1469"/>
      <c r="ASY45" s="1469"/>
      <c r="ASZ45" s="1469"/>
      <c r="ATA45" s="1469"/>
      <c r="ATB45" s="1469"/>
      <c r="ATC45" s="1469"/>
      <c r="ATD45" s="1469"/>
      <c r="ATE45" s="1469"/>
      <c r="ATF45" s="1469"/>
      <c r="ATG45" s="1469"/>
      <c r="ATH45" s="1469"/>
      <c r="ATI45" s="1469"/>
      <c r="ATJ45" s="1469"/>
      <c r="ATK45" s="1469"/>
      <c r="ATL45" s="1469"/>
      <c r="ATM45" s="1469"/>
      <c r="ATN45" s="1469"/>
      <c r="ATO45" s="1469"/>
      <c r="ATP45" s="1469"/>
      <c r="ATQ45" s="1469"/>
      <c r="ATR45" s="1469"/>
      <c r="ATS45" s="1469"/>
      <c r="ATT45" s="1469"/>
      <c r="ATU45" s="1469"/>
      <c r="ATV45" s="1469"/>
      <c r="ATW45" s="1469"/>
      <c r="ATX45" s="1469"/>
      <c r="ATY45" s="1469"/>
      <c r="ATZ45" s="1469"/>
      <c r="AUA45" s="1469"/>
      <c r="AUB45" s="1469"/>
      <c r="AUC45" s="1469"/>
      <c r="AUD45" s="1469"/>
      <c r="AUE45" s="1469"/>
      <c r="AUF45" s="1469"/>
      <c r="AUG45" s="1469"/>
      <c r="AUH45" s="1469"/>
      <c r="AUI45" s="1469"/>
      <c r="AUJ45" s="1469"/>
      <c r="AUK45" s="1469"/>
      <c r="AUL45" s="1469"/>
      <c r="AUM45" s="1469"/>
      <c r="AUN45" s="1469"/>
      <c r="AUO45" s="1469"/>
      <c r="AUP45" s="1469"/>
      <c r="AUQ45" s="1469"/>
      <c r="AUR45" s="1469"/>
      <c r="AUS45" s="1469"/>
      <c r="AUT45" s="1469"/>
      <c r="AUU45" s="1469"/>
      <c r="AUV45" s="1469"/>
      <c r="AUW45" s="1469"/>
      <c r="AUX45" s="1469"/>
      <c r="AUY45" s="1469"/>
      <c r="AUZ45" s="1469"/>
      <c r="AVA45" s="1469"/>
      <c r="AVB45" s="1469"/>
      <c r="AVC45" s="1469"/>
      <c r="AVD45" s="1469"/>
      <c r="AVE45" s="1469"/>
      <c r="AVF45" s="1469"/>
      <c r="AVG45" s="1469"/>
      <c r="AVH45" s="1469"/>
      <c r="AVI45" s="1469"/>
      <c r="AVJ45" s="1469"/>
      <c r="AVK45" s="1469"/>
      <c r="AVL45" s="1469"/>
      <c r="AVM45" s="1469"/>
      <c r="AVN45" s="1469"/>
      <c r="AVO45" s="1469"/>
      <c r="AVP45" s="1469"/>
      <c r="AVQ45" s="1469"/>
      <c r="AVR45" s="1469"/>
      <c r="AVS45" s="1469"/>
      <c r="AVT45" s="1469"/>
      <c r="AVU45" s="1469"/>
      <c r="AVV45" s="1469"/>
      <c r="AVW45" s="1469"/>
      <c r="AVX45" s="1469"/>
      <c r="AVY45" s="1469"/>
      <c r="AVZ45" s="1469"/>
      <c r="AWA45" s="1469"/>
      <c r="AWB45" s="1469"/>
      <c r="AWC45" s="1469"/>
      <c r="AWD45" s="1469"/>
      <c r="AWE45" s="1469"/>
      <c r="AWF45" s="1469"/>
      <c r="AWG45" s="1469"/>
      <c r="AWH45" s="1469"/>
      <c r="AWI45" s="1469"/>
      <c r="AWJ45" s="1469"/>
      <c r="AWK45" s="1469"/>
      <c r="AWL45" s="1469"/>
      <c r="AWM45" s="1469"/>
      <c r="AWN45" s="1469"/>
      <c r="AWO45" s="1469"/>
      <c r="AWP45" s="1469"/>
      <c r="AWQ45" s="1469"/>
      <c r="AWR45" s="1469"/>
      <c r="AWS45" s="1469"/>
      <c r="AWT45" s="1469"/>
      <c r="AWU45" s="1469"/>
      <c r="AWV45" s="1469"/>
      <c r="AWW45" s="1469"/>
      <c r="AWX45" s="1469"/>
      <c r="AWY45" s="1469"/>
      <c r="AWZ45" s="1469"/>
      <c r="AXA45" s="1469"/>
      <c r="AXB45" s="1469"/>
      <c r="AXC45" s="1469"/>
      <c r="AXD45" s="1469"/>
      <c r="AXE45" s="1469"/>
      <c r="AXF45" s="1469"/>
      <c r="AXG45" s="1469"/>
      <c r="AXH45" s="1469"/>
      <c r="AXI45" s="1469"/>
      <c r="AXJ45" s="1469"/>
      <c r="AXK45" s="1469"/>
      <c r="AXL45" s="1469"/>
      <c r="AXM45" s="1469"/>
      <c r="AXN45" s="1469"/>
      <c r="AXO45" s="1469"/>
      <c r="AXP45" s="1469"/>
      <c r="AXQ45" s="1469"/>
      <c r="AXR45" s="1469"/>
      <c r="AXS45" s="1469"/>
      <c r="AXT45" s="1469"/>
      <c r="AXU45" s="1469"/>
      <c r="AXV45" s="1469"/>
      <c r="AXW45" s="1469"/>
      <c r="AXX45" s="1469"/>
      <c r="AXY45" s="1469"/>
      <c r="AXZ45" s="1469"/>
      <c r="AYA45" s="1469"/>
      <c r="AYB45" s="1469"/>
      <c r="AYC45" s="1469"/>
      <c r="AYD45" s="1469"/>
      <c r="AYE45" s="1469"/>
      <c r="AYF45" s="1469"/>
      <c r="AYG45" s="1469"/>
      <c r="AYH45" s="1469"/>
      <c r="AYI45" s="1469"/>
      <c r="AYJ45" s="1469"/>
      <c r="AYK45" s="1469"/>
      <c r="AYL45" s="1469"/>
      <c r="AYM45" s="1469"/>
      <c r="AYN45" s="1469"/>
      <c r="AYO45" s="1469"/>
      <c r="AYP45" s="1469"/>
      <c r="AYQ45" s="1469"/>
      <c r="AYR45" s="1469"/>
      <c r="AYS45" s="1469"/>
      <c r="AYT45" s="1469"/>
      <c r="AYU45" s="1469"/>
      <c r="AYV45" s="1469"/>
      <c r="AYW45" s="1469"/>
      <c r="AYX45" s="1469"/>
      <c r="AYY45" s="1469"/>
      <c r="AYZ45" s="1469"/>
      <c r="AZA45" s="1469"/>
      <c r="AZB45" s="1469"/>
      <c r="AZC45" s="1469"/>
      <c r="AZD45" s="1469"/>
      <c r="AZE45" s="1469"/>
      <c r="AZF45" s="1469"/>
      <c r="AZG45" s="1469"/>
      <c r="AZH45" s="1469"/>
      <c r="AZI45" s="1469"/>
      <c r="AZJ45" s="1469"/>
      <c r="AZK45" s="1469"/>
      <c r="AZL45" s="1469"/>
      <c r="AZM45" s="1469"/>
      <c r="AZN45" s="1469"/>
      <c r="AZO45" s="1469"/>
      <c r="AZP45" s="1469"/>
      <c r="AZQ45" s="1469"/>
      <c r="AZR45" s="1469"/>
      <c r="AZS45" s="1469"/>
      <c r="AZT45" s="1469"/>
      <c r="AZU45" s="1469"/>
      <c r="AZV45" s="1469"/>
      <c r="AZW45" s="1469"/>
      <c r="AZX45" s="1469"/>
      <c r="AZY45" s="1469"/>
      <c r="AZZ45" s="1469"/>
      <c r="BAA45" s="1469"/>
      <c r="BAB45" s="1469"/>
      <c r="BAC45" s="1469"/>
      <c r="BAD45" s="1469"/>
      <c r="BAE45" s="1469"/>
      <c r="BAF45" s="1469"/>
      <c r="BAG45" s="1469"/>
      <c r="BAH45" s="1469"/>
      <c r="BAI45" s="1469"/>
      <c r="BAJ45" s="1469"/>
      <c r="BAK45" s="1469"/>
      <c r="BAL45" s="1469"/>
      <c r="BAM45" s="1469"/>
      <c r="BAN45" s="1469"/>
      <c r="BAO45" s="1469"/>
      <c r="BAP45" s="1469"/>
      <c r="BAQ45" s="1469"/>
      <c r="BAR45" s="1469"/>
      <c r="BAS45" s="1469"/>
      <c r="BAT45" s="1469"/>
      <c r="BAU45" s="1469"/>
      <c r="BAV45" s="1469"/>
      <c r="BAW45" s="1469"/>
      <c r="BAX45" s="1469"/>
      <c r="BAY45" s="1469"/>
      <c r="BAZ45" s="1469"/>
      <c r="BBA45" s="1469"/>
      <c r="BBB45" s="1469"/>
      <c r="BBC45" s="1469"/>
      <c r="BBD45" s="1469"/>
      <c r="BBE45" s="1469"/>
      <c r="BBF45" s="1469"/>
      <c r="BBG45" s="1469"/>
      <c r="BBH45" s="1469"/>
      <c r="BBI45" s="1469"/>
      <c r="BBJ45" s="1469"/>
      <c r="BBK45" s="1469"/>
      <c r="BBL45" s="1469"/>
      <c r="BBM45" s="1469"/>
      <c r="BBN45" s="1469"/>
      <c r="BBO45" s="1469"/>
      <c r="BBP45" s="1469"/>
      <c r="BBQ45" s="1469"/>
      <c r="BBR45" s="1469"/>
      <c r="BBS45" s="1469"/>
      <c r="BBT45" s="1469"/>
      <c r="BBU45" s="1469"/>
      <c r="BBV45" s="1469"/>
      <c r="BBW45" s="1469"/>
      <c r="BBX45" s="1469"/>
      <c r="BBY45" s="1469"/>
      <c r="BBZ45" s="1469"/>
      <c r="BCA45" s="1469"/>
      <c r="BCB45" s="1469"/>
      <c r="BCC45" s="1469"/>
      <c r="BCD45" s="1469"/>
      <c r="BCE45" s="1469"/>
      <c r="BCF45" s="1469"/>
      <c r="BCG45" s="1469"/>
      <c r="BCH45" s="1469"/>
      <c r="BCI45" s="1469"/>
      <c r="BCJ45" s="1469"/>
      <c r="BCK45" s="1469"/>
      <c r="BCL45" s="1469"/>
      <c r="BCM45" s="1469"/>
      <c r="BCN45" s="1469"/>
      <c r="BCO45" s="1469"/>
      <c r="BCP45" s="1469"/>
      <c r="BCQ45" s="1469"/>
      <c r="BCR45" s="1469"/>
      <c r="BCS45" s="1469"/>
      <c r="BCT45" s="1469"/>
      <c r="BCU45" s="1469"/>
      <c r="BCV45" s="1469"/>
      <c r="BCW45" s="1469"/>
      <c r="BCX45" s="1469"/>
      <c r="BCY45" s="1469"/>
      <c r="BCZ45" s="1469"/>
      <c r="BDA45" s="1469"/>
      <c r="BDB45" s="1469"/>
      <c r="BDC45" s="1469"/>
      <c r="BDD45" s="1469"/>
      <c r="BDE45" s="1469"/>
      <c r="BDF45" s="1469"/>
      <c r="BDG45" s="1469"/>
      <c r="BDH45" s="1469"/>
      <c r="BDI45" s="1469"/>
      <c r="BDJ45" s="1469"/>
      <c r="BDK45" s="1469"/>
      <c r="BDL45" s="1469"/>
      <c r="BDM45" s="1469"/>
      <c r="BDN45" s="1469"/>
      <c r="BDO45" s="1469"/>
      <c r="BDP45" s="1469"/>
      <c r="BDQ45" s="1469"/>
      <c r="BDR45" s="1469"/>
      <c r="BDS45" s="1469"/>
      <c r="BDT45" s="1469"/>
      <c r="BDU45" s="1469"/>
      <c r="BDV45" s="1469"/>
      <c r="BDW45" s="1469"/>
      <c r="BDX45" s="1469"/>
      <c r="BDY45" s="1469"/>
      <c r="BDZ45" s="1469"/>
      <c r="BEA45" s="1469"/>
      <c r="BEB45" s="1469"/>
      <c r="BEC45" s="1469"/>
      <c r="BED45" s="1469"/>
      <c r="BEE45" s="1469"/>
      <c r="BEF45" s="1469"/>
      <c r="BEG45" s="1469"/>
      <c r="BEH45" s="1469"/>
      <c r="BEI45" s="1469"/>
      <c r="BEJ45" s="1469"/>
      <c r="BEK45" s="1469"/>
      <c r="BEL45" s="1469"/>
      <c r="BEM45" s="1469"/>
      <c r="BEN45" s="1469"/>
      <c r="BEO45" s="1469"/>
      <c r="BEP45" s="1469"/>
      <c r="BEQ45" s="1469"/>
      <c r="BER45" s="1469"/>
      <c r="BES45" s="1469"/>
      <c r="BET45" s="1469"/>
      <c r="BEU45" s="1469"/>
      <c r="BEV45" s="1469"/>
      <c r="BEW45" s="1469"/>
      <c r="BEX45" s="1469"/>
      <c r="BEY45" s="1469"/>
      <c r="BEZ45" s="1469"/>
      <c r="BFA45" s="1469"/>
      <c r="BFB45" s="1469"/>
      <c r="BFC45" s="1469"/>
      <c r="BFD45" s="1469"/>
      <c r="BFE45" s="1469"/>
      <c r="BFF45" s="1469"/>
      <c r="BFG45" s="1469"/>
      <c r="BFH45" s="1469"/>
      <c r="BFI45" s="1469"/>
      <c r="BFJ45" s="1469"/>
      <c r="BFK45" s="1469"/>
      <c r="BFL45" s="1469"/>
      <c r="BFM45" s="1469"/>
      <c r="BFN45" s="1469"/>
      <c r="BFO45" s="1469"/>
      <c r="BFP45" s="1469"/>
      <c r="BFQ45" s="1469"/>
      <c r="BFR45" s="1469"/>
      <c r="BFS45" s="1469"/>
      <c r="BFT45" s="1469"/>
      <c r="BFU45" s="1469"/>
      <c r="BFV45" s="1469"/>
      <c r="BFW45" s="1469"/>
      <c r="BFX45" s="1469"/>
      <c r="BFY45" s="1469"/>
      <c r="BFZ45" s="1469"/>
      <c r="BGA45" s="1469"/>
      <c r="BGB45" s="1469"/>
      <c r="BGC45" s="1469"/>
      <c r="BGD45" s="1469"/>
      <c r="BGE45" s="1469"/>
      <c r="BGF45" s="1469"/>
      <c r="BGG45" s="1469"/>
      <c r="BGH45" s="1469"/>
      <c r="BGI45" s="1469"/>
      <c r="BGJ45" s="1469"/>
      <c r="BGK45" s="1469"/>
      <c r="BGL45" s="1469"/>
      <c r="BGM45" s="1469"/>
      <c r="BGN45" s="1469"/>
      <c r="BGO45" s="1469"/>
      <c r="BGP45" s="1469"/>
      <c r="BGQ45" s="1469"/>
      <c r="BGR45" s="1469"/>
      <c r="BGS45" s="1469"/>
      <c r="BGT45" s="1469"/>
      <c r="BGU45" s="1469"/>
      <c r="BGV45" s="1469"/>
      <c r="BGW45" s="1469"/>
      <c r="BGX45" s="1469"/>
      <c r="BGY45" s="1469"/>
      <c r="BGZ45" s="1469"/>
      <c r="BHA45" s="1469"/>
      <c r="BHB45" s="1469"/>
      <c r="BHC45" s="1469"/>
      <c r="BHD45" s="1469"/>
      <c r="BHE45" s="1469"/>
      <c r="BHF45" s="1469"/>
      <c r="BHG45" s="1469"/>
      <c r="BHH45" s="1469"/>
      <c r="BHI45" s="1469"/>
      <c r="BHJ45" s="1469"/>
      <c r="BHK45" s="1469"/>
      <c r="BHL45" s="1469"/>
      <c r="BHM45" s="1469"/>
      <c r="BHN45" s="1469"/>
      <c r="BHO45" s="1469"/>
      <c r="BHP45" s="1469"/>
      <c r="BHQ45" s="1469"/>
      <c r="BHR45" s="1469"/>
      <c r="BHS45" s="1469"/>
      <c r="BHT45" s="1469"/>
      <c r="BHU45" s="1469"/>
      <c r="BHV45" s="1469"/>
      <c r="BHW45" s="1469"/>
      <c r="BHX45" s="1469"/>
      <c r="BHY45" s="1469"/>
      <c r="BHZ45" s="1469"/>
      <c r="BIA45" s="1469"/>
      <c r="BIB45" s="1469"/>
      <c r="BIC45" s="1469"/>
      <c r="BID45" s="1469"/>
      <c r="BIE45" s="1469"/>
      <c r="BIF45" s="1469"/>
      <c r="BIG45" s="1469"/>
      <c r="BIH45" s="1469"/>
      <c r="BII45" s="1469"/>
      <c r="BIJ45" s="1469"/>
      <c r="BIK45" s="1469"/>
      <c r="BIL45" s="1469"/>
      <c r="BIM45" s="1469"/>
      <c r="BIN45" s="1469"/>
      <c r="BIO45" s="1469"/>
      <c r="BIP45" s="1469"/>
      <c r="BIQ45" s="1469"/>
      <c r="BIR45" s="1469"/>
      <c r="BIS45" s="1469"/>
      <c r="BIT45" s="1469"/>
      <c r="BIU45" s="1469"/>
      <c r="BIV45" s="1469"/>
      <c r="BIW45" s="1469"/>
      <c r="BIX45" s="1469"/>
      <c r="BIY45" s="1469"/>
      <c r="BIZ45" s="1469"/>
      <c r="BJA45" s="1469"/>
      <c r="BJB45" s="1469"/>
      <c r="BJC45" s="1469"/>
      <c r="BJD45" s="1469"/>
      <c r="BJE45" s="1469"/>
      <c r="BJF45" s="1469"/>
      <c r="BJG45" s="1469"/>
      <c r="BJH45" s="1469"/>
      <c r="BJI45" s="1469"/>
      <c r="BJJ45" s="1469"/>
      <c r="BJK45" s="1469"/>
      <c r="BJL45" s="1469"/>
      <c r="BJM45" s="1469"/>
      <c r="BJN45" s="1469"/>
      <c r="BJO45" s="1469"/>
      <c r="BJP45" s="1469"/>
      <c r="BJQ45" s="1469"/>
      <c r="BJR45" s="1469"/>
      <c r="BJS45" s="1469"/>
      <c r="BJT45" s="1469"/>
      <c r="BJU45" s="1469"/>
      <c r="BJV45" s="1469"/>
      <c r="BJW45" s="1469"/>
      <c r="BJX45" s="1469"/>
      <c r="BJY45" s="1469"/>
      <c r="BJZ45" s="1469"/>
      <c r="BKA45" s="1469"/>
      <c r="BKB45" s="1469"/>
      <c r="BKC45" s="1469"/>
      <c r="BKD45" s="1469"/>
      <c r="BKE45" s="1469"/>
      <c r="BKF45" s="1469"/>
      <c r="BKG45" s="1469"/>
      <c r="BKH45" s="1469"/>
      <c r="BKI45" s="1469"/>
      <c r="BKJ45" s="1469"/>
      <c r="BKK45" s="1469"/>
      <c r="BKL45" s="1469"/>
      <c r="BKM45" s="1469"/>
      <c r="BKN45" s="1469"/>
      <c r="BKO45" s="1469"/>
      <c r="BKP45" s="1469"/>
      <c r="BKQ45" s="1469"/>
      <c r="BKR45" s="1469"/>
      <c r="BKS45" s="1469"/>
      <c r="BKT45" s="1469"/>
      <c r="BKU45" s="1469"/>
      <c r="BKV45" s="1469"/>
      <c r="BKW45" s="1469"/>
      <c r="BKX45" s="1469"/>
      <c r="BKY45" s="1469"/>
      <c r="BKZ45" s="1469"/>
      <c r="BLA45" s="1469"/>
      <c r="BLB45" s="1469"/>
      <c r="BLC45" s="1469"/>
      <c r="BLD45" s="1469"/>
      <c r="BLE45" s="1469"/>
      <c r="BLF45" s="1469"/>
      <c r="BLG45" s="1469"/>
      <c r="BLH45" s="1469"/>
      <c r="BLI45" s="1469"/>
      <c r="BLJ45" s="1469"/>
      <c r="BLK45" s="1469"/>
      <c r="BLL45" s="1469"/>
      <c r="BLM45" s="1469"/>
      <c r="BLN45" s="1469"/>
      <c r="BLO45" s="1469"/>
      <c r="BLP45" s="1469"/>
      <c r="BLQ45" s="1469"/>
      <c r="BLR45" s="1469"/>
      <c r="BLS45" s="1469"/>
      <c r="BLT45" s="1469"/>
      <c r="BLU45" s="1469"/>
      <c r="BLV45" s="1469"/>
      <c r="BLW45" s="1469"/>
      <c r="BLX45" s="1469"/>
      <c r="BLY45" s="1469"/>
      <c r="BLZ45" s="1469"/>
      <c r="BMA45" s="1469"/>
      <c r="BMB45" s="1469"/>
      <c r="BMC45" s="1469"/>
      <c r="BMD45" s="1469"/>
      <c r="BME45" s="1469"/>
      <c r="BMF45" s="1469"/>
      <c r="BMG45" s="1469"/>
      <c r="BMH45" s="1469"/>
      <c r="BMI45" s="1469"/>
      <c r="BMJ45" s="1469"/>
      <c r="BMK45" s="1469"/>
      <c r="BML45" s="1469"/>
      <c r="BMM45" s="1469"/>
      <c r="BMN45" s="1469"/>
      <c r="BMO45" s="1469"/>
      <c r="BMP45" s="1469"/>
      <c r="BMQ45" s="1469"/>
      <c r="BMR45" s="1469"/>
      <c r="BMS45" s="1469"/>
      <c r="BMT45" s="1469"/>
      <c r="BMU45" s="1469"/>
      <c r="BMV45" s="1469"/>
      <c r="BMW45" s="1469"/>
      <c r="BMX45" s="1469"/>
      <c r="BMY45" s="1469"/>
      <c r="BMZ45" s="1469"/>
      <c r="BNA45" s="1469"/>
      <c r="BNB45" s="1469"/>
      <c r="BNC45" s="1469"/>
      <c r="BND45" s="1469"/>
      <c r="BNE45" s="1469"/>
      <c r="BNF45" s="1469"/>
      <c r="BNG45" s="1469"/>
      <c r="BNH45" s="1469"/>
      <c r="BNI45" s="1469"/>
      <c r="BNJ45" s="1469"/>
      <c r="BNK45" s="1469"/>
      <c r="BNL45" s="1469"/>
      <c r="BNM45" s="1469"/>
      <c r="BNN45" s="1469"/>
      <c r="BNO45" s="1469"/>
      <c r="BNP45" s="1469"/>
      <c r="BNQ45" s="1469"/>
      <c r="BNR45" s="1469"/>
      <c r="BNS45" s="1469"/>
      <c r="BNT45" s="1469"/>
      <c r="BNU45" s="1469"/>
      <c r="BNV45" s="1469"/>
      <c r="BNW45" s="1469"/>
      <c r="BNX45" s="1469"/>
      <c r="BNY45" s="1469"/>
      <c r="BNZ45" s="1469"/>
      <c r="BOA45" s="1469"/>
      <c r="BOB45" s="1469"/>
      <c r="BOC45" s="1469"/>
      <c r="BOD45" s="1469"/>
      <c r="BOE45" s="1469"/>
      <c r="BOF45" s="1469"/>
      <c r="BOG45" s="1469"/>
      <c r="BOH45" s="1469"/>
      <c r="BOI45" s="1469"/>
      <c r="BOJ45" s="1469"/>
      <c r="BOK45" s="1469"/>
      <c r="BOL45" s="1469"/>
      <c r="BOM45" s="1469"/>
      <c r="BON45" s="1469"/>
      <c r="BOO45" s="1469"/>
      <c r="BOP45" s="1469"/>
      <c r="BOQ45" s="1469"/>
      <c r="BOR45" s="1469"/>
      <c r="BOS45" s="1469"/>
      <c r="BOT45" s="1469"/>
      <c r="BOU45" s="1469"/>
      <c r="BOV45" s="1469"/>
      <c r="BOW45" s="1469"/>
      <c r="BOX45" s="1469"/>
      <c r="BOY45" s="1469"/>
      <c r="BOZ45" s="1469"/>
      <c r="BPA45" s="1469"/>
      <c r="BPB45" s="1469"/>
      <c r="BPC45" s="1469"/>
      <c r="BPD45" s="1469"/>
      <c r="BPE45" s="1469"/>
      <c r="BPF45" s="1469"/>
      <c r="BPG45" s="1469"/>
      <c r="BPH45" s="1469"/>
      <c r="BPI45" s="1469"/>
      <c r="BPJ45" s="1469"/>
      <c r="BPK45" s="1469"/>
      <c r="BPL45" s="1469"/>
      <c r="BPM45" s="1469"/>
      <c r="BPN45" s="1469"/>
      <c r="BPO45" s="1469"/>
      <c r="BPP45" s="1469"/>
      <c r="BPQ45" s="1469"/>
      <c r="BPR45" s="1469"/>
      <c r="BPS45" s="1469"/>
      <c r="BPT45" s="1469"/>
      <c r="BPU45" s="1469"/>
      <c r="BPV45" s="1469"/>
      <c r="BPW45" s="1469"/>
      <c r="BPX45" s="1469"/>
      <c r="BPY45" s="1469"/>
      <c r="BPZ45" s="1469"/>
      <c r="BQA45" s="1469"/>
      <c r="BQB45" s="1469"/>
      <c r="BQC45" s="1469"/>
      <c r="BQD45" s="1469"/>
      <c r="BQE45" s="1469"/>
      <c r="BQF45" s="1469"/>
      <c r="BQG45" s="1469"/>
      <c r="BQH45" s="1469"/>
      <c r="BQI45" s="1469"/>
      <c r="BQJ45" s="1469"/>
      <c r="BQK45" s="1469"/>
      <c r="BQL45" s="1469"/>
      <c r="BQM45" s="1469"/>
      <c r="BQN45" s="1469"/>
      <c r="BQO45" s="1469"/>
      <c r="BQP45" s="1469"/>
      <c r="BQQ45" s="1469"/>
      <c r="BQR45" s="1469"/>
      <c r="BQS45" s="1469"/>
      <c r="BQT45" s="1469"/>
      <c r="BQU45" s="1469"/>
      <c r="BQV45" s="1469"/>
      <c r="BQW45" s="1469"/>
      <c r="BQX45" s="1469"/>
      <c r="BQY45" s="1469"/>
      <c r="BQZ45" s="1469"/>
      <c r="BRA45" s="1469"/>
      <c r="BRB45" s="1469"/>
      <c r="BRC45" s="1469"/>
      <c r="BRD45" s="1469"/>
      <c r="BRE45" s="1469"/>
      <c r="BRF45" s="1469"/>
      <c r="BRG45" s="1469"/>
      <c r="BRH45" s="1469"/>
      <c r="BRI45" s="1469"/>
      <c r="BRJ45" s="1469"/>
      <c r="BRK45" s="1469"/>
      <c r="BRL45" s="1469"/>
      <c r="BRM45" s="1469"/>
      <c r="BRN45" s="1469"/>
      <c r="BRO45" s="1469"/>
      <c r="BRP45" s="1469"/>
      <c r="BRQ45" s="1469"/>
      <c r="BRR45" s="1469"/>
      <c r="BRS45" s="1469"/>
      <c r="BRT45" s="1469"/>
      <c r="BRU45" s="1469"/>
      <c r="BRV45" s="1469"/>
      <c r="BRW45" s="1469"/>
      <c r="BRX45" s="1469"/>
      <c r="BRY45" s="1469"/>
      <c r="BRZ45" s="1469"/>
      <c r="BSA45" s="1469"/>
      <c r="BSB45" s="1469"/>
      <c r="BSC45" s="1469"/>
      <c r="BSD45" s="1469"/>
      <c r="BSE45" s="1469"/>
      <c r="BSF45" s="1469"/>
      <c r="BSG45" s="1469"/>
      <c r="BSH45" s="1469"/>
      <c r="BSI45" s="1469"/>
      <c r="BSJ45" s="1469"/>
      <c r="BSK45" s="1469"/>
      <c r="BSL45" s="1469"/>
      <c r="BSM45" s="1469"/>
      <c r="BSN45" s="1469"/>
      <c r="BSO45" s="1469"/>
      <c r="BSP45" s="1469"/>
      <c r="BSQ45" s="1469"/>
      <c r="BSR45" s="1469"/>
      <c r="BSS45" s="1469"/>
      <c r="BST45" s="1469"/>
      <c r="BSU45" s="1469"/>
      <c r="BSV45" s="1469"/>
      <c r="BSW45" s="1469"/>
      <c r="BSX45" s="1469"/>
      <c r="BSY45" s="1469"/>
      <c r="BSZ45" s="1469"/>
      <c r="BTA45" s="1469"/>
      <c r="BTB45" s="1469"/>
      <c r="BTC45" s="1469"/>
      <c r="BTD45" s="1469"/>
      <c r="BTE45" s="1469"/>
      <c r="BTF45" s="1469"/>
      <c r="BTG45" s="1469"/>
      <c r="BTH45" s="1469"/>
      <c r="BTI45" s="1469"/>
      <c r="BTJ45" s="1469"/>
      <c r="BTK45" s="1469"/>
      <c r="BTL45" s="1469"/>
      <c r="BTM45" s="1469"/>
      <c r="BTN45" s="1469"/>
      <c r="BTO45" s="1469"/>
      <c r="BTP45" s="1469"/>
      <c r="BTQ45" s="1469"/>
      <c r="BTR45" s="1469"/>
      <c r="BTS45" s="1469"/>
      <c r="BTT45" s="1469"/>
      <c r="BTU45" s="1469"/>
      <c r="BTV45" s="1469"/>
      <c r="BTW45" s="1469"/>
      <c r="BTX45" s="1469"/>
      <c r="BTY45" s="1469"/>
      <c r="BTZ45" s="1469"/>
      <c r="BUA45" s="1469"/>
      <c r="BUB45" s="1469"/>
      <c r="BUC45" s="1469"/>
      <c r="BUD45" s="1469"/>
      <c r="BUE45" s="1469"/>
      <c r="BUF45" s="1469"/>
      <c r="BUG45" s="1469"/>
      <c r="BUH45" s="1469"/>
      <c r="BUI45" s="1469"/>
      <c r="BUJ45" s="1469"/>
      <c r="BUK45" s="1469"/>
      <c r="BUL45" s="1469"/>
      <c r="BUM45" s="1469"/>
      <c r="BUN45" s="1469"/>
      <c r="BUO45" s="1469"/>
      <c r="BUP45" s="1469"/>
      <c r="BUQ45" s="1469"/>
      <c r="BUR45" s="1469"/>
      <c r="BUS45" s="1469"/>
      <c r="BUT45" s="1469"/>
      <c r="BUU45" s="1469"/>
      <c r="BUV45" s="1469"/>
      <c r="BUW45" s="1469"/>
      <c r="BUX45" s="1469"/>
      <c r="BUY45" s="1469"/>
      <c r="BUZ45" s="1469"/>
      <c r="BVA45" s="1469"/>
      <c r="BVB45" s="1469"/>
      <c r="BVC45" s="1469"/>
      <c r="BVD45" s="1469"/>
      <c r="BVE45" s="1469"/>
      <c r="BVF45" s="1469"/>
      <c r="BVG45" s="1469"/>
      <c r="BVH45" s="1469"/>
      <c r="BVI45" s="1469"/>
      <c r="BVJ45" s="1469"/>
      <c r="BVK45" s="1469"/>
      <c r="BVL45" s="1469"/>
      <c r="BVM45" s="1469"/>
      <c r="BVN45" s="1469"/>
      <c r="BVO45" s="1469"/>
      <c r="BVP45" s="1469"/>
      <c r="BVQ45" s="1469"/>
      <c r="BVR45" s="1469"/>
      <c r="BVS45" s="1469"/>
      <c r="BVT45" s="1469"/>
      <c r="BVU45" s="1469"/>
      <c r="BVV45" s="1469"/>
      <c r="BVW45" s="1469"/>
      <c r="BVX45" s="1469"/>
      <c r="BVY45" s="1469"/>
      <c r="BVZ45" s="1469"/>
      <c r="BWA45" s="1469"/>
      <c r="BWB45" s="1469"/>
      <c r="BWC45" s="1469"/>
      <c r="BWD45" s="1469"/>
      <c r="BWE45" s="1469"/>
      <c r="BWF45" s="1469"/>
      <c r="BWG45" s="1469"/>
      <c r="BWH45" s="1469"/>
      <c r="BWI45" s="1469"/>
      <c r="BWJ45" s="1469"/>
      <c r="BWK45" s="1469"/>
      <c r="BWL45" s="1469"/>
      <c r="BWM45" s="1469"/>
      <c r="BWN45" s="1469"/>
      <c r="BWO45" s="1469"/>
      <c r="BWP45" s="1469"/>
      <c r="BWQ45" s="1469"/>
      <c r="BWR45" s="1469"/>
      <c r="BWS45" s="1469"/>
      <c r="BWT45" s="1469"/>
      <c r="BWU45" s="1469"/>
      <c r="BWV45" s="1469"/>
      <c r="BWW45" s="1469"/>
      <c r="BWX45" s="1469"/>
      <c r="BWY45" s="1469"/>
      <c r="BWZ45" s="1469"/>
      <c r="BXA45" s="1469"/>
      <c r="BXB45" s="1469"/>
      <c r="BXC45" s="1469"/>
      <c r="BXD45" s="1469"/>
      <c r="BXE45" s="1469"/>
      <c r="BXF45" s="1469"/>
      <c r="BXG45" s="1469"/>
      <c r="BXH45" s="1469"/>
      <c r="BXI45" s="1469"/>
      <c r="BXJ45" s="1469"/>
      <c r="BXK45" s="1469"/>
      <c r="BXL45" s="1469"/>
      <c r="BXM45" s="1469"/>
      <c r="BXN45" s="1469"/>
      <c r="BXO45" s="1469"/>
      <c r="BXP45" s="1469"/>
      <c r="BXQ45" s="1469"/>
      <c r="BXR45" s="1469"/>
      <c r="BXS45" s="1469"/>
      <c r="BXT45" s="1469"/>
      <c r="BXU45" s="1469"/>
      <c r="BXV45" s="1469"/>
      <c r="BXW45" s="1469"/>
      <c r="BXX45" s="1469"/>
      <c r="BXY45" s="1469"/>
      <c r="BXZ45" s="1469"/>
      <c r="BYA45" s="1469"/>
      <c r="BYB45" s="1469"/>
      <c r="BYC45" s="1469"/>
      <c r="BYD45" s="1469"/>
      <c r="BYE45" s="1469"/>
      <c r="BYF45" s="1469"/>
      <c r="BYG45" s="1469"/>
      <c r="BYH45" s="1469"/>
      <c r="BYI45" s="1469"/>
      <c r="BYJ45" s="1469"/>
      <c r="BYK45" s="1469"/>
      <c r="BYL45" s="1469"/>
      <c r="BYM45" s="1469"/>
      <c r="BYN45" s="1469"/>
      <c r="BYO45" s="1469"/>
      <c r="BYP45" s="1469"/>
      <c r="BYQ45" s="1469"/>
      <c r="BYR45" s="1469"/>
      <c r="BYS45" s="1469"/>
      <c r="BYT45" s="1469"/>
      <c r="BYU45" s="1469"/>
      <c r="BYV45" s="1469"/>
      <c r="BYW45" s="1469"/>
      <c r="BYX45" s="1469"/>
      <c r="BYY45" s="1469"/>
      <c r="BYZ45" s="1469"/>
      <c r="BZA45" s="1469"/>
      <c r="BZB45" s="1469"/>
      <c r="BZC45" s="1469"/>
      <c r="BZD45" s="1469"/>
      <c r="BZE45" s="1469"/>
      <c r="BZF45" s="1469"/>
      <c r="BZG45" s="1469"/>
      <c r="BZH45" s="1469"/>
      <c r="BZI45" s="1469"/>
      <c r="BZJ45" s="1469"/>
      <c r="BZK45" s="1469"/>
      <c r="BZL45" s="1469"/>
      <c r="BZM45" s="1469"/>
      <c r="BZN45" s="1469"/>
      <c r="BZO45" s="1469"/>
      <c r="BZP45" s="1469"/>
      <c r="BZQ45" s="1469"/>
      <c r="BZR45" s="1469"/>
      <c r="BZS45" s="1469"/>
      <c r="BZT45" s="1469"/>
      <c r="BZU45" s="1469"/>
      <c r="BZV45" s="1469"/>
      <c r="BZW45" s="1469"/>
      <c r="BZX45" s="1469"/>
      <c r="BZY45" s="1469"/>
      <c r="BZZ45" s="1469"/>
      <c r="CAA45" s="1469"/>
      <c r="CAB45" s="1469"/>
      <c r="CAC45" s="1469"/>
      <c r="CAD45" s="1469"/>
      <c r="CAE45" s="1469"/>
      <c r="CAF45" s="1469"/>
      <c r="CAG45" s="1469"/>
      <c r="CAH45" s="1469"/>
      <c r="CAI45" s="1469"/>
      <c r="CAJ45" s="1469"/>
      <c r="CAK45" s="1469"/>
      <c r="CAL45" s="1469"/>
      <c r="CAM45" s="1469"/>
      <c r="CAN45" s="1469"/>
      <c r="CAO45" s="1469"/>
      <c r="CAP45" s="1469"/>
      <c r="CAQ45" s="1469"/>
      <c r="CAR45" s="1469"/>
      <c r="CAS45" s="1469"/>
      <c r="CAT45" s="1469"/>
      <c r="CAU45" s="1469"/>
      <c r="CAV45" s="1469"/>
      <c r="CAW45" s="1469"/>
      <c r="CAX45" s="1469"/>
      <c r="CAY45" s="1469"/>
      <c r="CAZ45" s="1469"/>
      <c r="CBA45" s="1469"/>
      <c r="CBB45" s="1469"/>
      <c r="CBC45" s="1469"/>
      <c r="CBD45" s="1469"/>
      <c r="CBE45" s="1469"/>
      <c r="CBF45" s="1469"/>
      <c r="CBG45" s="1469"/>
      <c r="CBH45" s="1469"/>
      <c r="CBI45" s="1469"/>
      <c r="CBJ45" s="1469"/>
      <c r="CBK45" s="1469"/>
      <c r="CBL45" s="1469"/>
      <c r="CBM45" s="1469"/>
      <c r="CBN45" s="1469"/>
      <c r="CBO45" s="1469"/>
      <c r="CBP45" s="1469"/>
      <c r="CBQ45" s="1469"/>
      <c r="CBR45" s="1469"/>
      <c r="CBS45" s="1469"/>
      <c r="CBT45" s="1469"/>
      <c r="CBU45" s="1469"/>
      <c r="CBV45" s="1469"/>
      <c r="CBW45" s="1469"/>
      <c r="CBX45" s="1469"/>
      <c r="CBY45" s="1469"/>
      <c r="CBZ45" s="1469"/>
      <c r="CCA45" s="1469"/>
      <c r="CCB45" s="1469"/>
      <c r="CCC45" s="1469"/>
      <c r="CCD45" s="1469"/>
      <c r="CCE45" s="1469"/>
      <c r="CCF45" s="1469"/>
      <c r="CCG45" s="1469"/>
      <c r="CCH45" s="1469"/>
      <c r="CCI45" s="1469"/>
      <c r="CCJ45" s="1469"/>
      <c r="CCK45" s="1469"/>
      <c r="CCL45" s="1469"/>
      <c r="CCM45" s="1469"/>
      <c r="CCN45" s="1469"/>
      <c r="CCO45" s="1469"/>
      <c r="CCP45" s="1469"/>
      <c r="CCQ45" s="1469"/>
      <c r="CCR45" s="1469"/>
      <c r="CCS45" s="1469"/>
      <c r="CCT45" s="1469"/>
      <c r="CCU45" s="1469"/>
      <c r="CCV45" s="1469"/>
      <c r="CCW45" s="1469"/>
      <c r="CCX45" s="1469"/>
      <c r="CCY45" s="1469"/>
      <c r="CCZ45" s="1469"/>
      <c r="CDA45" s="1469"/>
      <c r="CDB45" s="1469"/>
      <c r="CDC45" s="1469"/>
      <c r="CDD45" s="1469"/>
      <c r="CDE45" s="1469"/>
      <c r="CDF45" s="1469"/>
      <c r="CDG45" s="1469"/>
      <c r="CDH45" s="1469"/>
      <c r="CDI45" s="1469"/>
      <c r="CDJ45" s="1469"/>
      <c r="CDK45" s="1469"/>
      <c r="CDL45" s="1469"/>
      <c r="CDM45" s="1469"/>
      <c r="CDN45" s="1469"/>
      <c r="CDO45" s="1469"/>
      <c r="CDP45" s="1469"/>
      <c r="CDQ45" s="1469"/>
      <c r="CDR45" s="1469"/>
      <c r="CDS45" s="1469"/>
      <c r="CDT45" s="1469"/>
      <c r="CDU45" s="1469"/>
      <c r="CDV45" s="1469"/>
      <c r="CDW45" s="1469"/>
      <c r="CDX45" s="1469"/>
      <c r="CDY45" s="1469"/>
      <c r="CDZ45" s="1469"/>
      <c r="CEA45" s="1469"/>
      <c r="CEB45" s="1469"/>
      <c r="CEC45" s="1469"/>
      <c r="CED45" s="1469"/>
      <c r="CEE45" s="1469"/>
      <c r="CEF45" s="1469"/>
      <c r="CEG45" s="1469"/>
      <c r="CEH45" s="1469"/>
      <c r="CEI45" s="1469"/>
      <c r="CEJ45" s="1469"/>
      <c r="CEK45" s="1469"/>
      <c r="CEL45" s="1469"/>
      <c r="CEM45" s="1469"/>
      <c r="CEN45" s="1469"/>
      <c r="CEO45" s="1469"/>
      <c r="CEP45" s="1469"/>
      <c r="CEQ45" s="1469"/>
      <c r="CER45" s="1469"/>
      <c r="CES45" s="1469"/>
      <c r="CET45" s="1469"/>
      <c r="CEU45" s="1469"/>
      <c r="CEV45" s="1469"/>
      <c r="CEW45" s="1469"/>
      <c r="CEX45" s="1469"/>
      <c r="CEY45" s="1469"/>
      <c r="CEZ45" s="1469"/>
      <c r="CFA45" s="1469"/>
      <c r="CFB45" s="1469"/>
      <c r="CFC45" s="1469"/>
      <c r="CFD45" s="1469"/>
      <c r="CFE45" s="1469"/>
      <c r="CFF45" s="1469"/>
      <c r="CFG45" s="1469"/>
      <c r="CFH45" s="1469"/>
      <c r="CFI45" s="1469"/>
      <c r="CFJ45" s="1469"/>
      <c r="CFK45" s="1469"/>
      <c r="CFL45" s="1469"/>
      <c r="CFM45" s="1469"/>
      <c r="CFN45" s="1469"/>
      <c r="CFO45" s="1469"/>
      <c r="CFP45" s="1469"/>
      <c r="CFQ45" s="1469"/>
      <c r="CFR45" s="1469"/>
      <c r="CFS45" s="1469"/>
      <c r="CFT45" s="1469"/>
      <c r="CFU45" s="1469"/>
      <c r="CFV45" s="1469"/>
      <c r="CFW45" s="1469"/>
      <c r="CFX45" s="1469"/>
      <c r="CFY45" s="1469"/>
      <c r="CFZ45" s="1469"/>
      <c r="CGA45" s="1469"/>
      <c r="CGB45" s="1469"/>
      <c r="CGC45" s="1469"/>
      <c r="CGD45" s="1469"/>
      <c r="CGE45" s="1469"/>
      <c r="CGF45" s="1469"/>
      <c r="CGG45" s="1469"/>
      <c r="CGH45" s="1469"/>
      <c r="CGI45" s="1469"/>
      <c r="CGJ45" s="1469"/>
      <c r="CGK45" s="1469"/>
      <c r="CGL45" s="1469"/>
      <c r="CGM45" s="1469"/>
      <c r="CGN45" s="1469"/>
      <c r="CGO45" s="1469"/>
      <c r="CGP45" s="1469"/>
      <c r="CGQ45" s="1469"/>
      <c r="CGR45" s="1469"/>
      <c r="CGS45" s="1469"/>
      <c r="CGT45" s="1469"/>
      <c r="CGU45" s="1469"/>
      <c r="CGV45" s="1469"/>
      <c r="CGW45" s="1469"/>
      <c r="CGX45" s="1469"/>
      <c r="CGY45" s="1469"/>
      <c r="CGZ45" s="1469"/>
      <c r="CHA45" s="1469"/>
      <c r="CHB45" s="1469"/>
      <c r="CHC45" s="1469"/>
      <c r="CHD45" s="1469"/>
      <c r="CHE45" s="1469"/>
      <c r="CHF45" s="1469"/>
      <c r="CHG45" s="1469"/>
      <c r="CHH45" s="1469"/>
      <c r="CHI45" s="1469"/>
      <c r="CHJ45" s="1469"/>
      <c r="CHK45" s="1469"/>
      <c r="CHL45" s="1469"/>
      <c r="CHM45" s="1469"/>
      <c r="CHN45" s="1469"/>
      <c r="CHO45" s="1469"/>
      <c r="CHP45" s="1469"/>
      <c r="CHQ45" s="1469"/>
      <c r="CHR45" s="1469"/>
      <c r="CHS45" s="1469"/>
      <c r="CHT45" s="1469"/>
      <c r="CHU45" s="1469"/>
      <c r="CHV45" s="1469"/>
      <c r="CHW45" s="1469"/>
      <c r="CHX45" s="1469"/>
      <c r="CHY45" s="1469"/>
      <c r="CHZ45" s="1469"/>
      <c r="CIA45" s="1469"/>
      <c r="CIB45" s="1469"/>
      <c r="CIC45" s="1469"/>
      <c r="CID45" s="1469"/>
      <c r="CIE45" s="1469"/>
      <c r="CIF45" s="1469"/>
      <c r="CIG45" s="1469"/>
      <c r="CIH45" s="1469"/>
      <c r="CII45" s="1469"/>
      <c r="CIJ45" s="1469"/>
      <c r="CIK45" s="1469"/>
      <c r="CIL45" s="1469"/>
      <c r="CIM45" s="1469"/>
      <c r="CIN45" s="1469"/>
      <c r="CIO45" s="1469"/>
      <c r="CIP45" s="1469"/>
      <c r="CIQ45" s="1469"/>
      <c r="CIR45" s="1469"/>
      <c r="CIS45" s="1469"/>
      <c r="CIT45" s="1469"/>
      <c r="CIU45" s="1469"/>
      <c r="CIV45" s="1469"/>
      <c r="CIW45" s="1469"/>
      <c r="CIX45" s="1469"/>
      <c r="CIY45" s="1469"/>
      <c r="CIZ45" s="1469"/>
      <c r="CJA45" s="1469"/>
      <c r="CJB45" s="1469"/>
      <c r="CJC45" s="1469"/>
      <c r="CJD45" s="1469"/>
      <c r="CJE45" s="1469"/>
      <c r="CJF45" s="1469"/>
      <c r="CJG45" s="1469"/>
      <c r="CJH45" s="1469"/>
      <c r="CJI45" s="1469"/>
      <c r="CJJ45" s="1469"/>
      <c r="CJK45" s="1469"/>
      <c r="CJL45" s="1469"/>
      <c r="CJM45" s="1469"/>
      <c r="CJN45" s="1469"/>
      <c r="CJO45" s="1469"/>
      <c r="CJP45" s="1469"/>
      <c r="CJQ45" s="1469"/>
      <c r="CJR45" s="1469"/>
      <c r="CJS45" s="1469"/>
      <c r="CJT45" s="1469"/>
      <c r="CJU45" s="1469"/>
      <c r="CJV45" s="1469"/>
      <c r="CJW45" s="1469"/>
      <c r="CJX45" s="1469"/>
      <c r="CJY45" s="1469"/>
      <c r="CJZ45" s="1469"/>
      <c r="CKA45" s="1469"/>
      <c r="CKB45" s="1469"/>
      <c r="CKC45" s="1469"/>
      <c r="CKD45" s="1469"/>
      <c r="CKE45" s="1469"/>
      <c r="CKF45" s="1469"/>
      <c r="CKG45" s="1469"/>
      <c r="CKH45" s="1469"/>
      <c r="CKI45" s="1469"/>
      <c r="CKJ45" s="1469"/>
      <c r="CKK45" s="1469"/>
      <c r="CKL45" s="1469"/>
      <c r="CKM45" s="1469"/>
      <c r="CKN45" s="1469"/>
      <c r="CKO45" s="1469"/>
      <c r="CKP45" s="1469"/>
      <c r="CKQ45" s="1469"/>
      <c r="CKR45" s="1469"/>
      <c r="CKS45" s="1469"/>
      <c r="CKT45" s="1469"/>
      <c r="CKU45" s="1469"/>
      <c r="CKV45" s="1469"/>
      <c r="CKW45" s="1469"/>
      <c r="CKX45" s="1469"/>
      <c r="CKY45" s="1469"/>
      <c r="CKZ45" s="1469"/>
      <c r="CLA45" s="1469"/>
      <c r="CLB45" s="1469"/>
      <c r="CLC45" s="1469"/>
      <c r="CLD45" s="1469"/>
      <c r="CLE45" s="1469"/>
      <c r="CLF45" s="1469"/>
      <c r="CLG45" s="1469"/>
      <c r="CLH45" s="1469"/>
      <c r="CLI45" s="1469"/>
      <c r="CLJ45" s="1469"/>
      <c r="CLK45" s="1469"/>
      <c r="CLL45" s="1469"/>
      <c r="CLM45" s="1469"/>
      <c r="CLN45" s="1469"/>
      <c r="CLO45" s="1469"/>
      <c r="CLP45" s="1469"/>
      <c r="CLQ45" s="1469"/>
      <c r="CLR45" s="1469"/>
      <c r="CLS45" s="1469"/>
      <c r="CLT45" s="1469"/>
      <c r="CLU45" s="1469"/>
      <c r="CLV45" s="1469"/>
      <c r="CLW45" s="1469"/>
      <c r="CLX45" s="1469"/>
      <c r="CLY45" s="1469"/>
      <c r="CLZ45" s="1469"/>
      <c r="CMA45" s="1469"/>
      <c r="CMB45" s="1469"/>
      <c r="CMC45" s="1469"/>
      <c r="CMD45" s="1469"/>
      <c r="CME45" s="1469"/>
      <c r="CMF45" s="1469"/>
      <c r="CMG45" s="1469"/>
      <c r="CMH45" s="1469"/>
      <c r="CMI45" s="1469"/>
      <c r="CMJ45" s="1469"/>
      <c r="CMK45" s="1469"/>
      <c r="CML45" s="1469"/>
      <c r="CMM45" s="1469"/>
      <c r="CMN45" s="1469"/>
      <c r="CMO45" s="1469"/>
      <c r="CMP45" s="1469"/>
      <c r="CMQ45" s="1469"/>
      <c r="CMR45" s="1469"/>
      <c r="CMS45" s="1469"/>
      <c r="CMT45" s="1469"/>
      <c r="CMU45" s="1469"/>
      <c r="CMV45" s="1469"/>
      <c r="CMW45" s="1469"/>
      <c r="CMX45" s="1469"/>
      <c r="CMY45" s="1469"/>
      <c r="CMZ45" s="1469"/>
      <c r="CNA45" s="1469"/>
      <c r="CNB45" s="1469"/>
      <c r="CNC45" s="1469"/>
      <c r="CND45" s="1469"/>
      <c r="CNE45" s="1469"/>
      <c r="CNF45" s="1469"/>
      <c r="CNG45" s="1469"/>
      <c r="CNH45" s="1469"/>
      <c r="CNI45" s="1469"/>
      <c r="CNJ45" s="1469"/>
      <c r="CNK45" s="1469"/>
      <c r="CNL45" s="1469"/>
      <c r="CNM45" s="1469"/>
      <c r="CNN45" s="1469"/>
      <c r="CNO45" s="1469"/>
      <c r="CNP45" s="1469"/>
      <c r="CNQ45" s="1469"/>
      <c r="CNR45" s="1469"/>
      <c r="CNS45" s="1469"/>
      <c r="CNT45" s="1469"/>
      <c r="CNU45" s="1469"/>
      <c r="CNV45" s="1469"/>
      <c r="CNW45" s="1469"/>
      <c r="CNX45" s="1469"/>
      <c r="CNY45" s="1469"/>
      <c r="CNZ45" s="1469"/>
      <c r="COA45" s="1469"/>
      <c r="COB45" s="1469"/>
      <c r="COC45" s="1469"/>
      <c r="COD45" s="1469"/>
      <c r="COE45" s="1469"/>
      <c r="COF45" s="1469"/>
      <c r="COG45" s="1469"/>
      <c r="COH45" s="1469"/>
      <c r="COI45" s="1469"/>
      <c r="COJ45" s="1469"/>
      <c r="COK45" s="1469"/>
      <c r="COL45" s="1469"/>
      <c r="COM45" s="1469"/>
      <c r="CON45" s="1469"/>
      <c r="COO45" s="1469"/>
      <c r="COP45" s="1469"/>
      <c r="COQ45" s="1469"/>
      <c r="COR45" s="1469"/>
      <c r="COS45" s="1469"/>
      <c r="COT45" s="1469"/>
      <c r="COU45" s="1469"/>
      <c r="COV45" s="1469"/>
      <c r="COW45" s="1469"/>
      <c r="COX45" s="1469"/>
      <c r="COY45" s="1469"/>
      <c r="COZ45" s="1469"/>
      <c r="CPA45" s="1469"/>
      <c r="CPB45" s="1469"/>
      <c r="CPC45" s="1469"/>
      <c r="CPD45" s="1469"/>
      <c r="CPE45" s="1469"/>
      <c r="CPF45" s="1469"/>
      <c r="CPG45" s="1469"/>
      <c r="CPH45" s="1469"/>
      <c r="CPI45" s="1469"/>
      <c r="CPJ45" s="1469"/>
      <c r="CPK45" s="1469"/>
      <c r="CPL45" s="1469"/>
      <c r="CPM45" s="1469"/>
      <c r="CPN45" s="1469"/>
      <c r="CPO45" s="1469"/>
      <c r="CPP45" s="1469"/>
      <c r="CPQ45" s="1469"/>
      <c r="CPR45" s="1469"/>
      <c r="CPS45" s="1469"/>
      <c r="CPT45" s="1469"/>
      <c r="CPU45" s="1469"/>
      <c r="CPV45" s="1469"/>
      <c r="CPW45" s="1469"/>
      <c r="CPX45" s="1469"/>
      <c r="CPY45" s="1469"/>
      <c r="CPZ45" s="1469"/>
      <c r="CQA45" s="1469"/>
      <c r="CQB45" s="1469"/>
      <c r="CQC45" s="1469"/>
      <c r="CQD45" s="1469"/>
      <c r="CQE45" s="1469"/>
      <c r="CQF45" s="1469"/>
      <c r="CQG45" s="1469"/>
      <c r="CQH45" s="1469"/>
      <c r="CQI45" s="1469"/>
      <c r="CQJ45" s="1469"/>
      <c r="CQK45" s="1469"/>
      <c r="CQL45" s="1469"/>
      <c r="CQM45" s="1469"/>
      <c r="CQN45" s="1469"/>
      <c r="CQO45" s="1469"/>
      <c r="CQP45" s="1469"/>
      <c r="CQQ45" s="1469"/>
      <c r="CQR45" s="1469"/>
      <c r="CQS45" s="1469"/>
      <c r="CQT45" s="1469"/>
      <c r="CQU45" s="1469"/>
      <c r="CQV45" s="1469"/>
      <c r="CQW45" s="1469"/>
      <c r="CQX45" s="1469"/>
      <c r="CQY45" s="1469"/>
      <c r="CQZ45" s="1469"/>
      <c r="CRA45" s="1469"/>
      <c r="CRB45" s="1469"/>
      <c r="CRC45" s="1469"/>
      <c r="CRD45" s="1469"/>
      <c r="CRE45" s="1469"/>
      <c r="CRF45" s="1469"/>
      <c r="CRG45" s="1469"/>
      <c r="CRH45" s="1469"/>
      <c r="CRI45" s="1469"/>
      <c r="CRJ45" s="1469"/>
      <c r="CRK45" s="1469"/>
      <c r="CRL45" s="1469"/>
      <c r="CRM45" s="1469"/>
      <c r="CRN45" s="1469"/>
      <c r="CRO45" s="1469"/>
      <c r="CRP45" s="1469"/>
      <c r="CRQ45" s="1469"/>
      <c r="CRR45" s="1469"/>
      <c r="CRS45" s="1469"/>
      <c r="CRT45" s="1469"/>
      <c r="CRU45" s="1469"/>
      <c r="CRV45" s="1469"/>
      <c r="CRW45" s="1469"/>
      <c r="CRX45" s="1469"/>
      <c r="CRY45" s="1469"/>
      <c r="CRZ45" s="1469"/>
      <c r="CSA45" s="1469"/>
      <c r="CSB45" s="1469"/>
      <c r="CSC45" s="1469"/>
      <c r="CSD45" s="1469"/>
      <c r="CSE45" s="1469"/>
      <c r="CSF45" s="1469"/>
      <c r="CSG45" s="1469"/>
      <c r="CSH45" s="1469"/>
      <c r="CSI45" s="1469"/>
      <c r="CSJ45" s="1469"/>
      <c r="CSK45" s="1469"/>
      <c r="CSL45" s="1469"/>
      <c r="CSM45" s="1469"/>
      <c r="CSN45" s="1469"/>
      <c r="CSO45" s="1469"/>
      <c r="CSP45" s="1469"/>
      <c r="CSQ45" s="1469"/>
      <c r="CSR45" s="1469"/>
      <c r="CSS45" s="1469"/>
      <c r="CST45" s="1469"/>
      <c r="CSU45" s="1469"/>
      <c r="CSV45" s="1469"/>
      <c r="CSW45" s="1469"/>
      <c r="CSX45" s="1469"/>
      <c r="CSY45" s="1469"/>
      <c r="CSZ45" s="1469"/>
      <c r="CTA45" s="1469"/>
      <c r="CTB45" s="1469"/>
      <c r="CTC45" s="1469"/>
      <c r="CTD45" s="1469"/>
      <c r="CTE45" s="1469"/>
      <c r="CTF45" s="1469"/>
      <c r="CTG45" s="1469"/>
      <c r="CTH45" s="1469"/>
      <c r="CTI45" s="1469"/>
      <c r="CTJ45" s="1469"/>
      <c r="CTK45" s="1469"/>
      <c r="CTL45" s="1469"/>
      <c r="CTM45" s="1469"/>
      <c r="CTN45" s="1469"/>
      <c r="CTO45" s="1469"/>
      <c r="CTP45" s="1469"/>
      <c r="CTQ45" s="1469"/>
      <c r="CTR45" s="1469"/>
      <c r="CTS45" s="1469"/>
      <c r="CTT45" s="1469"/>
      <c r="CTU45" s="1469"/>
      <c r="CTV45" s="1469"/>
      <c r="CTW45" s="1469"/>
      <c r="CTX45" s="1469"/>
      <c r="CTY45" s="1469"/>
      <c r="CTZ45" s="1469"/>
      <c r="CUA45" s="1469"/>
      <c r="CUB45" s="1469"/>
      <c r="CUC45" s="1469"/>
      <c r="CUD45" s="1469"/>
      <c r="CUE45" s="1469"/>
      <c r="CUF45" s="1469"/>
      <c r="CUG45" s="1469"/>
      <c r="CUH45" s="1469"/>
      <c r="CUI45" s="1469"/>
      <c r="CUJ45" s="1469"/>
      <c r="CUK45" s="1469"/>
      <c r="CUL45" s="1469"/>
      <c r="CUM45" s="1469"/>
      <c r="CUN45" s="1469"/>
      <c r="CUO45" s="1469"/>
      <c r="CUP45" s="1469"/>
      <c r="CUQ45" s="1469"/>
      <c r="CUR45" s="1469"/>
      <c r="CUS45" s="1469"/>
      <c r="CUT45" s="1469"/>
      <c r="CUU45" s="1469"/>
      <c r="CUV45" s="1469"/>
      <c r="CUW45" s="1469"/>
      <c r="CUX45" s="1469"/>
      <c r="CUY45" s="1469"/>
      <c r="CUZ45" s="1469"/>
      <c r="CVA45" s="1469"/>
      <c r="CVB45" s="1469"/>
      <c r="CVC45" s="1469"/>
      <c r="CVD45" s="1469"/>
      <c r="CVE45" s="1469"/>
      <c r="CVF45" s="1469"/>
      <c r="CVG45" s="1469"/>
      <c r="CVH45" s="1469"/>
      <c r="CVI45" s="1469"/>
      <c r="CVJ45" s="1469"/>
      <c r="CVK45" s="1469"/>
      <c r="CVL45" s="1469"/>
      <c r="CVM45" s="1469"/>
      <c r="CVN45" s="1469"/>
      <c r="CVO45" s="1469"/>
      <c r="CVP45" s="1469"/>
      <c r="CVQ45" s="1469"/>
      <c r="CVR45" s="1469"/>
      <c r="CVS45" s="1469"/>
      <c r="CVT45" s="1469"/>
      <c r="CVU45" s="1469"/>
      <c r="CVV45" s="1469"/>
      <c r="CVW45" s="1469"/>
      <c r="CVX45" s="1469"/>
      <c r="CVY45" s="1469"/>
      <c r="CVZ45" s="1469"/>
      <c r="CWA45" s="1469"/>
      <c r="CWB45" s="1469"/>
      <c r="CWC45" s="1469"/>
      <c r="CWD45" s="1469"/>
      <c r="CWE45" s="1469"/>
      <c r="CWF45" s="1469"/>
      <c r="CWG45" s="1469"/>
      <c r="CWH45" s="1469"/>
      <c r="CWI45" s="1469"/>
      <c r="CWJ45" s="1469"/>
      <c r="CWK45" s="1469"/>
      <c r="CWL45" s="1469"/>
      <c r="CWM45" s="1469"/>
      <c r="CWN45" s="1469"/>
      <c r="CWO45" s="1469"/>
      <c r="CWP45" s="1469"/>
      <c r="CWQ45" s="1469"/>
      <c r="CWR45" s="1469"/>
      <c r="CWS45" s="1469"/>
      <c r="CWT45" s="1469"/>
      <c r="CWU45" s="1469"/>
      <c r="CWV45" s="1469"/>
      <c r="CWW45" s="1469"/>
      <c r="CWX45" s="1469"/>
      <c r="CWY45" s="1469"/>
      <c r="CWZ45" s="1469"/>
      <c r="CXA45" s="1469"/>
      <c r="CXB45" s="1469"/>
      <c r="CXC45" s="1469"/>
      <c r="CXD45" s="1469"/>
      <c r="CXE45" s="1469"/>
      <c r="CXF45" s="1469"/>
      <c r="CXG45" s="1469"/>
      <c r="CXH45" s="1469"/>
      <c r="CXI45" s="1469"/>
      <c r="CXJ45" s="1469"/>
      <c r="CXK45" s="1469"/>
      <c r="CXL45" s="1469"/>
      <c r="CXM45" s="1469"/>
      <c r="CXN45" s="1469"/>
      <c r="CXO45" s="1469"/>
      <c r="CXP45" s="1469"/>
      <c r="CXQ45" s="1469"/>
      <c r="CXR45" s="1469"/>
      <c r="CXS45" s="1469"/>
      <c r="CXT45" s="1469"/>
      <c r="CXU45" s="1469"/>
      <c r="CXV45" s="1469"/>
      <c r="CXW45" s="1469"/>
      <c r="CXX45" s="1469"/>
      <c r="CXY45" s="1469"/>
      <c r="CXZ45" s="1469"/>
      <c r="CYA45" s="1469"/>
      <c r="CYB45" s="1469"/>
      <c r="CYC45" s="1469"/>
      <c r="CYD45" s="1469"/>
      <c r="CYE45" s="1469"/>
      <c r="CYF45" s="1469"/>
      <c r="CYG45" s="1469"/>
      <c r="CYH45" s="1469"/>
      <c r="CYI45" s="1469"/>
      <c r="CYJ45" s="1469"/>
      <c r="CYK45" s="1469"/>
      <c r="CYL45" s="1469"/>
      <c r="CYM45" s="1469"/>
      <c r="CYN45" s="1469"/>
      <c r="CYO45" s="1469"/>
      <c r="CYP45" s="1469"/>
      <c r="CYQ45" s="1469"/>
      <c r="CYR45" s="1469"/>
      <c r="CYS45" s="1469"/>
      <c r="CYT45" s="1469"/>
      <c r="CYU45" s="1469"/>
      <c r="CYV45" s="1469"/>
      <c r="CYW45" s="1469"/>
      <c r="CYX45" s="1469"/>
      <c r="CYY45" s="1469"/>
      <c r="CYZ45" s="1469"/>
      <c r="CZA45" s="1469"/>
      <c r="CZB45" s="1469"/>
      <c r="CZC45" s="1469"/>
      <c r="CZD45" s="1469"/>
      <c r="CZE45" s="1469"/>
      <c r="CZF45" s="1469"/>
      <c r="CZG45" s="1469"/>
      <c r="CZH45" s="1469"/>
      <c r="CZI45" s="1469"/>
      <c r="CZJ45" s="1469"/>
      <c r="CZK45" s="1469"/>
      <c r="CZL45" s="1469"/>
      <c r="CZM45" s="1469"/>
      <c r="CZN45" s="1469"/>
      <c r="CZO45" s="1469"/>
      <c r="CZP45" s="1469"/>
      <c r="CZQ45" s="1469"/>
      <c r="CZR45" s="1469"/>
      <c r="CZS45" s="1469"/>
      <c r="CZT45" s="1469"/>
      <c r="CZU45" s="1469"/>
      <c r="CZV45" s="1469"/>
      <c r="CZW45" s="1469"/>
      <c r="CZX45" s="1469"/>
      <c r="CZY45" s="1469"/>
      <c r="CZZ45" s="1469"/>
      <c r="DAA45" s="1469"/>
      <c r="DAB45" s="1469"/>
      <c r="DAC45" s="1469"/>
      <c r="DAD45" s="1469"/>
      <c r="DAE45" s="1469"/>
      <c r="DAF45" s="1469"/>
      <c r="DAG45" s="1469"/>
      <c r="DAH45" s="1469"/>
      <c r="DAI45" s="1469"/>
      <c r="DAJ45" s="1469"/>
      <c r="DAK45" s="1469"/>
      <c r="DAL45" s="1469"/>
      <c r="DAM45" s="1469"/>
      <c r="DAN45" s="1469"/>
      <c r="DAO45" s="1469"/>
      <c r="DAP45" s="1469"/>
      <c r="DAQ45" s="1469"/>
      <c r="DAR45" s="1469"/>
      <c r="DAS45" s="1469"/>
      <c r="DAT45" s="1469"/>
      <c r="DAU45" s="1469"/>
      <c r="DAV45" s="1469"/>
      <c r="DAW45" s="1469"/>
      <c r="DAX45" s="1469"/>
      <c r="DAY45" s="1469"/>
      <c r="DAZ45" s="1469"/>
      <c r="DBA45" s="1469"/>
      <c r="DBB45" s="1469"/>
      <c r="DBC45" s="1469"/>
      <c r="DBD45" s="1469"/>
      <c r="DBE45" s="1469"/>
      <c r="DBF45" s="1469"/>
      <c r="DBG45" s="1469"/>
      <c r="DBH45" s="1469"/>
      <c r="DBI45" s="1469"/>
      <c r="DBJ45" s="1469"/>
      <c r="DBK45" s="1469"/>
      <c r="DBL45" s="1469"/>
      <c r="DBM45" s="1469"/>
      <c r="DBN45" s="1469"/>
      <c r="DBO45" s="1469"/>
      <c r="DBP45" s="1469"/>
      <c r="DBQ45" s="1469"/>
      <c r="DBR45" s="1469"/>
      <c r="DBS45" s="1469"/>
      <c r="DBT45" s="1469"/>
      <c r="DBU45" s="1469"/>
      <c r="DBV45" s="1469"/>
      <c r="DBW45" s="1469"/>
      <c r="DBX45" s="1469"/>
      <c r="DBY45" s="1469"/>
      <c r="DBZ45" s="1469"/>
      <c r="DCA45" s="1469"/>
      <c r="DCB45" s="1469"/>
      <c r="DCC45" s="1469"/>
      <c r="DCD45" s="1469"/>
      <c r="DCE45" s="1469"/>
      <c r="DCF45" s="1469"/>
      <c r="DCG45" s="1469"/>
      <c r="DCH45" s="1469"/>
      <c r="DCI45" s="1469"/>
      <c r="DCJ45" s="1469"/>
      <c r="DCK45" s="1469"/>
      <c r="DCL45" s="1469"/>
      <c r="DCM45" s="1469"/>
      <c r="DCN45" s="1469"/>
      <c r="DCO45" s="1469"/>
      <c r="DCP45" s="1469"/>
      <c r="DCQ45" s="1469"/>
      <c r="DCR45" s="1469"/>
      <c r="DCS45" s="1469"/>
      <c r="DCT45" s="1469"/>
      <c r="DCU45" s="1469"/>
      <c r="DCV45" s="1469"/>
      <c r="DCW45" s="1469"/>
      <c r="DCX45" s="1469"/>
      <c r="DCY45" s="1469"/>
      <c r="DCZ45" s="1469"/>
      <c r="DDA45" s="1469"/>
      <c r="DDB45" s="1469"/>
      <c r="DDC45" s="1469"/>
      <c r="DDD45" s="1469"/>
      <c r="DDE45" s="1469"/>
      <c r="DDF45" s="1469"/>
      <c r="DDG45" s="1469"/>
      <c r="DDH45" s="1469"/>
      <c r="DDI45" s="1469"/>
      <c r="DDJ45" s="1469"/>
      <c r="DDK45" s="1469"/>
      <c r="DDL45" s="1469"/>
      <c r="DDM45" s="1469"/>
      <c r="DDN45" s="1469"/>
      <c r="DDO45" s="1469"/>
      <c r="DDP45" s="1469"/>
      <c r="DDQ45" s="1469"/>
      <c r="DDR45" s="1469"/>
      <c r="DDS45" s="1469"/>
      <c r="DDT45" s="1469"/>
      <c r="DDU45" s="1469"/>
      <c r="DDV45" s="1469"/>
      <c r="DDW45" s="1469"/>
      <c r="DDX45" s="1469"/>
      <c r="DDY45" s="1469"/>
      <c r="DDZ45" s="1469"/>
      <c r="DEA45" s="1469"/>
      <c r="DEB45" s="1469"/>
      <c r="DEC45" s="1469"/>
      <c r="DED45" s="1469"/>
      <c r="DEE45" s="1469"/>
      <c r="DEF45" s="1469"/>
      <c r="DEG45" s="1469"/>
      <c r="DEH45" s="1469"/>
      <c r="DEI45" s="1469"/>
      <c r="DEJ45" s="1469"/>
      <c r="DEK45" s="1469"/>
      <c r="DEL45" s="1469"/>
      <c r="DEM45" s="1469"/>
      <c r="DEN45" s="1469"/>
      <c r="DEO45" s="1469"/>
      <c r="DEP45" s="1469"/>
      <c r="DEQ45" s="1469"/>
      <c r="DER45" s="1469"/>
      <c r="DES45" s="1469"/>
      <c r="DET45" s="1469"/>
      <c r="DEU45" s="1469"/>
      <c r="DEV45" s="1469"/>
      <c r="DEW45" s="1469"/>
      <c r="DEX45" s="1469"/>
      <c r="DEY45" s="1469"/>
      <c r="DEZ45" s="1469"/>
      <c r="DFA45" s="1469"/>
      <c r="DFB45" s="1469"/>
      <c r="DFC45" s="1469"/>
      <c r="DFD45" s="1469"/>
      <c r="DFE45" s="1469"/>
      <c r="DFF45" s="1469"/>
      <c r="DFG45" s="1469"/>
      <c r="DFH45" s="1469"/>
      <c r="DFI45" s="1469"/>
      <c r="DFJ45" s="1469"/>
      <c r="DFK45" s="1469"/>
      <c r="DFL45" s="1469"/>
      <c r="DFM45" s="1469"/>
      <c r="DFN45" s="1469"/>
      <c r="DFO45" s="1469"/>
      <c r="DFP45" s="1469"/>
      <c r="DFQ45" s="1469"/>
      <c r="DFR45" s="1469"/>
      <c r="DFS45" s="1469"/>
      <c r="DFT45" s="1469"/>
      <c r="DFU45" s="1469"/>
      <c r="DFV45" s="1469"/>
      <c r="DFW45" s="1469"/>
      <c r="DFX45" s="1469"/>
      <c r="DFY45" s="1469"/>
      <c r="DFZ45" s="1469"/>
      <c r="DGA45" s="1469"/>
      <c r="DGB45" s="1469"/>
      <c r="DGC45" s="1469"/>
      <c r="DGD45" s="1469"/>
      <c r="DGE45" s="1469"/>
      <c r="DGF45" s="1469"/>
      <c r="DGG45" s="1469"/>
      <c r="DGH45" s="1469"/>
      <c r="DGI45" s="1469"/>
      <c r="DGJ45" s="1469"/>
      <c r="DGK45" s="1469"/>
      <c r="DGL45" s="1469"/>
      <c r="DGM45" s="1469"/>
      <c r="DGN45" s="1469"/>
      <c r="DGO45" s="1469"/>
      <c r="DGP45" s="1469"/>
      <c r="DGQ45" s="1469"/>
      <c r="DGR45" s="1469"/>
      <c r="DGS45" s="1469"/>
      <c r="DGT45" s="1469"/>
      <c r="DGU45" s="1469"/>
      <c r="DGV45" s="1469"/>
      <c r="DGW45" s="1469"/>
      <c r="DGX45" s="1469"/>
      <c r="DGY45" s="1469"/>
      <c r="DGZ45" s="1469"/>
      <c r="DHA45" s="1469"/>
      <c r="DHB45" s="1469"/>
      <c r="DHC45" s="1469"/>
      <c r="DHD45" s="1469"/>
      <c r="DHE45" s="1469"/>
      <c r="DHF45" s="1469"/>
      <c r="DHG45" s="1469"/>
      <c r="DHH45" s="1469"/>
      <c r="DHI45" s="1469"/>
      <c r="DHJ45" s="1469"/>
      <c r="DHK45" s="1469"/>
      <c r="DHL45" s="1469"/>
      <c r="DHM45" s="1469"/>
      <c r="DHN45" s="1469"/>
      <c r="DHO45" s="1469"/>
      <c r="DHP45" s="1469"/>
      <c r="DHQ45" s="1469"/>
      <c r="DHR45" s="1469"/>
      <c r="DHS45" s="1469"/>
      <c r="DHT45" s="1469"/>
      <c r="DHU45" s="1469"/>
      <c r="DHV45" s="1469"/>
      <c r="DHW45" s="1469"/>
      <c r="DHX45" s="1469"/>
      <c r="DHY45" s="1469"/>
      <c r="DHZ45" s="1469"/>
      <c r="DIA45" s="1469"/>
      <c r="DIB45" s="1469"/>
      <c r="DIC45" s="1469"/>
      <c r="DID45" s="1469"/>
      <c r="DIE45" s="1469"/>
      <c r="DIF45" s="1469"/>
      <c r="DIG45" s="1469"/>
      <c r="DIH45" s="1469"/>
      <c r="DII45" s="1469"/>
      <c r="DIJ45" s="1469"/>
      <c r="DIK45" s="1469"/>
      <c r="DIL45" s="1469"/>
      <c r="DIM45" s="1469"/>
      <c r="DIN45" s="1469"/>
      <c r="DIO45" s="1469"/>
      <c r="DIP45" s="1469"/>
      <c r="DIQ45" s="1469"/>
      <c r="DIR45" s="1469"/>
      <c r="DIS45" s="1469"/>
      <c r="DIT45" s="1469"/>
      <c r="DIU45" s="1469"/>
      <c r="DIV45" s="1469"/>
      <c r="DIW45" s="1469"/>
      <c r="DIX45" s="1469"/>
      <c r="DIY45" s="1469"/>
      <c r="DIZ45" s="1469"/>
      <c r="DJA45" s="1469"/>
      <c r="DJB45" s="1469"/>
      <c r="DJC45" s="1469"/>
      <c r="DJD45" s="1469"/>
      <c r="DJE45" s="1469"/>
      <c r="DJF45" s="1469"/>
      <c r="DJG45" s="1469"/>
      <c r="DJH45" s="1469"/>
      <c r="DJI45" s="1469"/>
      <c r="DJJ45" s="1469"/>
      <c r="DJK45" s="1469"/>
      <c r="DJL45" s="1469"/>
      <c r="DJM45" s="1469"/>
      <c r="DJN45" s="1469"/>
      <c r="DJO45" s="1469"/>
      <c r="DJP45" s="1469"/>
      <c r="DJQ45" s="1469"/>
      <c r="DJR45" s="1469"/>
      <c r="DJS45" s="1469"/>
      <c r="DJT45" s="1469"/>
      <c r="DJU45" s="1469"/>
      <c r="DJV45" s="1469"/>
      <c r="DJW45" s="1469"/>
      <c r="DJX45" s="1469"/>
      <c r="DJY45" s="1469"/>
      <c r="DJZ45" s="1469"/>
      <c r="DKA45" s="1469"/>
      <c r="DKB45" s="1469"/>
      <c r="DKC45" s="1469"/>
      <c r="DKD45" s="1469"/>
      <c r="DKE45" s="1469"/>
      <c r="DKF45" s="1469"/>
      <c r="DKG45" s="1469"/>
      <c r="DKH45" s="1469"/>
      <c r="DKI45" s="1469"/>
      <c r="DKJ45" s="1469"/>
      <c r="DKK45" s="1469"/>
      <c r="DKL45" s="1469"/>
      <c r="DKM45" s="1469"/>
      <c r="DKN45" s="1469"/>
      <c r="DKO45" s="1469"/>
      <c r="DKP45" s="1469"/>
      <c r="DKQ45" s="1469"/>
      <c r="DKR45" s="1469"/>
      <c r="DKS45" s="1469"/>
      <c r="DKT45" s="1469"/>
      <c r="DKU45" s="1469"/>
      <c r="DKV45" s="1469"/>
      <c r="DKW45" s="1469"/>
      <c r="DKX45" s="1469"/>
      <c r="DKY45" s="1469"/>
      <c r="DKZ45" s="1469"/>
      <c r="DLA45" s="1469"/>
      <c r="DLB45" s="1469"/>
      <c r="DLC45" s="1469"/>
      <c r="DLD45" s="1469"/>
      <c r="DLE45" s="1469"/>
      <c r="DLF45" s="1469"/>
      <c r="DLG45" s="1469"/>
      <c r="DLH45" s="1469"/>
      <c r="DLI45" s="1469"/>
      <c r="DLJ45" s="1469"/>
      <c r="DLK45" s="1469"/>
      <c r="DLL45" s="1469"/>
      <c r="DLM45" s="1469"/>
      <c r="DLN45" s="1469"/>
      <c r="DLO45" s="1469"/>
      <c r="DLP45" s="1469"/>
      <c r="DLQ45" s="1469"/>
      <c r="DLR45" s="1469"/>
      <c r="DLS45" s="1469"/>
      <c r="DLT45" s="1469"/>
      <c r="DLU45" s="1469"/>
      <c r="DLV45" s="1469"/>
      <c r="DLW45" s="1469"/>
      <c r="DLX45" s="1469"/>
      <c r="DLY45" s="1469"/>
      <c r="DLZ45" s="1469"/>
      <c r="DMA45" s="1469"/>
      <c r="DMB45" s="1469"/>
      <c r="DMC45" s="1469"/>
      <c r="DMD45" s="1469"/>
      <c r="DME45" s="1469"/>
      <c r="DMF45" s="1469"/>
      <c r="DMG45" s="1469"/>
      <c r="DMH45" s="1469"/>
      <c r="DMI45" s="1469"/>
      <c r="DMJ45" s="1469"/>
      <c r="DMK45" s="1469"/>
      <c r="DML45" s="1469"/>
      <c r="DMM45" s="1469"/>
      <c r="DMN45" s="1469"/>
      <c r="DMO45" s="1469"/>
      <c r="DMP45" s="1469"/>
      <c r="DMQ45" s="1469"/>
      <c r="DMR45" s="1469"/>
      <c r="DMS45" s="1469"/>
      <c r="DMT45" s="1469"/>
      <c r="DMU45" s="1469"/>
      <c r="DMV45" s="1469"/>
      <c r="DMW45" s="1469"/>
      <c r="DMX45" s="1469"/>
      <c r="DMY45" s="1469"/>
      <c r="DMZ45" s="1469"/>
      <c r="DNA45" s="1469"/>
      <c r="DNB45" s="1469"/>
      <c r="DNC45" s="1469"/>
      <c r="DND45" s="1469"/>
      <c r="DNE45" s="1469"/>
      <c r="DNF45" s="1469"/>
      <c r="DNG45" s="1469"/>
      <c r="DNH45" s="1469"/>
      <c r="DNI45" s="1469"/>
      <c r="DNJ45" s="1469"/>
      <c r="DNK45" s="1469"/>
      <c r="DNL45" s="1469"/>
      <c r="DNM45" s="1469"/>
      <c r="DNN45" s="1469"/>
      <c r="DNO45" s="1469"/>
      <c r="DNP45" s="1469"/>
      <c r="DNQ45" s="1469"/>
      <c r="DNR45" s="1469"/>
      <c r="DNS45" s="1469"/>
      <c r="DNT45" s="1469"/>
      <c r="DNU45" s="1469"/>
      <c r="DNV45" s="1469"/>
      <c r="DNW45" s="1469"/>
      <c r="DNX45" s="1469"/>
      <c r="DNY45" s="1469"/>
      <c r="DNZ45" s="1469"/>
      <c r="DOA45" s="1469"/>
      <c r="DOB45" s="1469"/>
      <c r="DOC45" s="1469"/>
      <c r="DOD45" s="1469"/>
      <c r="DOE45" s="1469"/>
      <c r="DOF45" s="1469"/>
      <c r="DOG45" s="1469"/>
      <c r="DOH45" s="1469"/>
      <c r="DOI45" s="1469"/>
      <c r="DOJ45" s="1469"/>
      <c r="DOK45" s="1469"/>
      <c r="DOL45" s="1469"/>
      <c r="DOM45" s="1469"/>
      <c r="DON45" s="1469"/>
      <c r="DOO45" s="1469"/>
      <c r="DOP45" s="1469"/>
      <c r="DOQ45" s="1469"/>
      <c r="DOR45" s="1469"/>
      <c r="DOS45" s="1469"/>
      <c r="DOT45" s="1469"/>
      <c r="DOU45" s="1469"/>
      <c r="DOV45" s="1469"/>
      <c r="DOW45" s="1469"/>
      <c r="DOX45" s="1469"/>
      <c r="DOY45" s="1469"/>
      <c r="DOZ45" s="1469"/>
      <c r="DPA45" s="1469"/>
      <c r="DPB45" s="1469"/>
      <c r="DPC45" s="1469"/>
      <c r="DPD45" s="1469"/>
      <c r="DPE45" s="1469"/>
      <c r="DPF45" s="1469"/>
      <c r="DPG45" s="1469"/>
      <c r="DPH45" s="1469"/>
      <c r="DPI45" s="1469"/>
      <c r="DPJ45" s="1469"/>
      <c r="DPK45" s="1469"/>
      <c r="DPL45" s="1469"/>
      <c r="DPM45" s="1469"/>
      <c r="DPN45" s="1469"/>
      <c r="DPO45" s="1469"/>
      <c r="DPP45" s="1469"/>
      <c r="DPQ45" s="1469"/>
      <c r="DPR45" s="1469"/>
      <c r="DPS45" s="1469"/>
      <c r="DPT45" s="1469"/>
      <c r="DPU45" s="1469"/>
      <c r="DPV45" s="1469"/>
      <c r="DPW45" s="1469"/>
      <c r="DPX45" s="1469"/>
      <c r="DPY45" s="1469"/>
      <c r="DPZ45" s="1469"/>
      <c r="DQA45" s="1469"/>
      <c r="DQB45" s="1469"/>
      <c r="DQC45" s="1469"/>
      <c r="DQD45" s="1469"/>
      <c r="DQE45" s="1469"/>
      <c r="DQF45" s="1469"/>
      <c r="DQG45" s="1469"/>
      <c r="DQH45" s="1469"/>
      <c r="DQI45" s="1469"/>
      <c r="DQJ45" s="1469"/>
      <c r="DQK45" s="1469"/>
      <c r="DQL45" s="1469"/>
      <c r="DQM45" s="1469"/>
      <c r="DQN45" s="1469"/>
      <c r="DQO45" s="1469"/>
      <c r="DQP45" s="1469"/>
      <c r="DQQ45" s="1469"/>
      <c r="DQR45" s="1469"/>
      <c r="DQS45" s="1469"/>
      <c r="DQT45" s="1469"/>
      <c r="DQU45" s="1469"/>
      <c r="DQV45" s="1469"/>
      <c r="DQW45" s="1469"/>
      <c r="DQX45" s="1469"/>
      <c r="DQY45" s="1469"/>
      <c r="DQZ45" s="1469"/>
      <c r="DRA45" s="1469"/>
      <c r="DRB45" s="1469"/>
      <c r="DRC45" s="1469"/>
      <c r="DRD45" s="1469"/>
      <c r="DRE45" s="1469"/>
      <c r="DRF45" s="1469"/>
      <c r="DRG45" s="1469"/>
      <c r="DRH45" s="1469"/>
      <c r="DRI45" s="1469"/>
      <c r="DRJ45" s="1469"/>
      <c r="DRK45" s="1469"/>
      <c r="DRL45" s="1469"/>
      <c r="DRM45" s="1469"/>
      <c r="DRN45" s="1469"/>
      <c r="DRO45" s="1469"/>
      <c r="DRP45" s="1469"/>
      <c r="DRQ45" s="1469"/>
      <c r="DRR45" s="1469"/>
      <c r="DRS45" s="1469"/>
      <c r="DRT45" s="1469"/>
      <c r="DRU45" s="1469"/>
      <c r="DRV45" s="1469"/>
      <c r="DRW45" s="1469"/>
      <c r="DRX45" s="1469"/>
      <c r="DRY45" s="1469"/>
      <c r="DRZ45" s="1469"/>
      <c r="DSA45" s="1469"/>
      <c r="DSB45" s="1469"/>
      <c r="DSC45" s="1469"/>
      <c r="DSD45" s="1469"/>
      <c r="DSE45" s="1469"/>
      <c r="DSF45" s="1469"/>
      <c r="DSG45" s="1469"/>
      <c r="DSH45" s="1469"/>
      <c r="DSI45" s="1469"/>
      <c r="DSJ45" s="1469"/>
      <c r="DSK45" s="1469"/>
      <c r="DSL45" s="1469"/>
      <c r="DSM45" s="1469"/>
      <c r="DSN45" s="1469"/>
      <c r="DSO45" s="1469"/>
      <c r="DSP45" s="1469"/>
      <c r="DSQ45" s="1469"/>
      <c r="DSR45" s="1469"/>
      <c r="DSS45" s="1469"/>
      <c r="DST45" s="1469"/>
      <c r="DSU45" s="1469"/>
      <c r="DSV45" s="1469"/>
      <c r="DSW45" s="1469"/>
      <c r="DSX45" s="1469"/>
      <c r="DSY45" s="1469"/>
      <c r="DSZ45" s="1469"/>
      <c r="DTA45" s="1469"/>
      <c r="DTB45" s="1469"/>
      <c r="DTC45" s="1469"/>
      <c r="DTD45" s="1469"/>
      <c r="DTE45" s="1469"/>
      <c r="DTF45" s="1469"/>
      <c r="DTG45" s="1469"/>
      <c r="DTH45" s="1469"/>
      <c r="DTI45" s="1469"/>
      <c r="DTJ45" s="1469"/>
      <c r="DTK45" s="1469"/>
      <c r="DTL45" s="1469"/>
      <c r="DTM45" s="1469"/>
      <c r="DTN45" s="1469"/>
      <c r="DTO45" s="1469"/>
      <c r="DTP45" s="1469"/>
      <c r="DTQ45" s="1469"/>
      <c r="DTR45" s="1469"/>
      <c r="DTS45" s="1469"/>
      <c r="DTT45" s="1469"/>
      <c r="DTU45" s="1469"/>
      <c r="DTV45" s="1469"/>
      <c r="DTW45" s="1469"/>
      <c r="DTX45" s="1469"/>
      <c r="DTY45" s="1469"/>
      <c r="DTZ45" s="1469"/>
      <c r="DUA45" s="1469"/>
      <c r="DUB45" s="1469"/>
      <c r="DUC45" s="1469"/>
      <c r="DUD45" s="1469"/>
      <c r="DUE45" s="1469"/>
      <c r="DUF45" s="1469"/>
      <c r="DUG45" s="1469"/>
      <c r="DUH45" s="1469"/>
      <c r="DUI45" s="1469"/>
      <c r="DUJ45" s="1469"/>
      <c r="DUK45" s="1469"/>
      <c r="DUL45" s="1469"/>
      <c r="DUM45" s="1469"/>
      <c r="DUN45" s="1469"/>
      <c r="DUO45" s="1469"/>
      <c r="DUP45" s="1469"/>
      <c r="DUQ45" s="1469"/>
      <c r="DUR45" s="1469"/>
      <c r="DUS45" s="1469"/>
      <c r="DUT45" s="1469"/>
      <c r="DUU45" s="1469"/>
      <c r="DUV45" s="1469"/>
      <c r="DUW45" s="1469"/>
      <c r="DUX45" s="1469"/>
      <c r="DUY45" s="1469"/>
      <c r="DUZ45" s="1469"/>
      <c r="DVA45" s="1469"/>
      <c r="DVB45" s="1469"/>
      <c r="DVC45" s="1469"/>
      <c r="DVD45" s="1469"/>
      <c r="DVE45" s="1469"/>
      <c r="DVF45" s="1469"/>
      <c r="DVG45" s="1469"/>
      <c r="DVH45" s="1469"/>
      <c r="DVI45" s="1469"/>
      <c r="DVJ45" s="1469"/>
      <c r="DVK45" s="1469"/>
      <c r="DVL45" s="1469"/>
      <c r="DVM45" s="1469"/>
      <c r="DVN45" s="1469"/>
      <c r="DVO45" s="1469"/>
      <c r="DVP45" s="1469"/>
      <c r="DVQ45" s="1469"/>
      <c r="DVR45" s="1469"/>
      <c r="DVS45" s="1469"/>
      <c r="DVT45" s="1469"/>
      <c r="DVU45" s="1469"/>
      <c r="DVV45" s="1469"/>
      <c r="DVW45" s="1469"/>
      <c r="DVX45" s="1469"/>
      <c r="DVY45" s="1469"/>
      <c r="DVZ45" s="1469"/>
      <c r="DWA45" s="1469"/>
      <c r="DWB45" s="1469"/>
      <c r="DWC45" s="1469"/>
      <c r="DWD45" s="1469"/>
      <c r="DWE45" s="1469"/>
      <c r="DWF45" s="1469"/>
      <c r="DWG45" s="1469"/>
      <c r="DWH45" s="1469"/>
      <c r="DWI45" s="1469"/>
      <c r="DWJ45" s="1469"/>
      <c r="DWK45" s="1469"/>
      <c r="DWL45" s="1469"/>
      <c r="DWM45" s="1469"/>
      <c r="DWN45" s="1469"/>
      <c r="DWO45" s="1469"/>
      <c r="DWP45" s="1469"/>
      <c r="DWQ45" s="1469"/>
      <c r="DWR45" s="1469"/>
      <c r="DWS45" s="1469"/>
      <c r="DWT45" s="1469"/>
      <c r="DWU45" s="1469"/>
      <c r="DWV45" s="1469"/>
      <c r="DWW45" s="1469"/>
      <c r="DWX45" s="1469"/>
      <c r="DWY45" s="1469"/>
      <c r="DWZ45" s="1469"/>
      <c r="DXA45" s="1469"/>
      <c r="DXB45" s="1469"/>
      <c r="DXC45" s="1469"/>
      <c r="DXD45" s="1469"/>
      <c r="DXE45" s="1469"/>
      <c r="DXF45" s="1469"/>
      <c r="DXG45" s="1469"/>
      <c r="DXH45" s="1469"/>
      <c r="DXI45" s="1469"/>
      <c r="DXJ45" s="1469"/>
      <c r="DXK45" s="1469"/>
      <c r="DXL45" s="1469"/>
      <c r="DXM45" s="1469"/>
      <c r="DXN45" s="1469"/>
      <c r="DXO45" s="1469"/>
      <c r="DXP45" s="1469"/>
      <c r="DXQ45" s="1469"/>
      <c r="DXR45" s="1469"/>
      <c r="DXS45" s="1469"/>
      <c r="DXT45" s="1469"/>
      <c r="DXU45" s="1469"/>
      <c r="DXV45" s="1469"/>
      <c r="DXW45" s="1469"/>
      <c r="DXX45" s="1469"/>
      <c r="DXY45" s="1469"/>
      <c r="DXZ45" s="1469"/>
      <c r="DYA45" s="1469"/>
      <c r="DYB45" s="1469"/>
      <c r="DYC45" s="1469"/>
      <c r="DYD45" s="1469"/>
      <c r="DYE45" s="1469"/>
      <c r="DYF45" s="1469"/>
      <c r="DYG45" s="1469"/>
      <c r="DYH45" s="1469"/>
      <c r="DYI45" s="1469"/>
      <c r="DYJ45" s="1469"/>
      <c r="DYK45" s="1469"/>
      <c r="DYL45" s="1469"/>
      <c r="DYM45" s="1469"/>
      <c r="DYN45" s="1469"/>
      <c r="DYO45" s="1469"/>
      <c r="DYP45" s="1469"/>
      <c r="DYQ45" s="1469"/>
      <c r="DYR45" s="1469"/>
      <c r="DYS45" s="1469"/>
      <c r="DYT45" s="1469"/>
      <c r="DYU45" s="1469"/>
      <c r="DYV45" s="1469"/>
      <c r="DYW45" s="1469"/>
      <c r="DYX45" s="1469"/>
      <c r="DYY45" s="1469"/>
      <c r="DYZ45" s="1469"/>
      <c r="DZA45" s="1469"/>
      <c r="DZB45" s="1469"/>
      <c r="DZC45" s="1469"/>
      <c r="DZD45" s="1469"/>
      <c r="DZE45" s="1469"/>
      <c r="DZF45" s="1469"/>
      <c r="DZG45" s="1469"/>
      <c r="DZH45" s="1469"/>
      <c r="DZI45" s="1469"/>
      <c r="DZJ45" s="1469"/>
      <c r="DZK45" s="1469"/>
      <c r="DZL45" s="1469"/>
      <c r="DZM45" s="1469"/>
      <c r="DZN45" s="1469"/>
      <c r="DZO45" s="1469"/>
      <c r="DZP45" s="1469"/>
      <c r="DZQ45" s="1469"/>
      <c r="DZR45" s="1469"/>
      <c r="DZS45" s="1469"/>
      <c r="DZT45" s="1469"/>
      <c r="DZU45" s="1469"/>
      <c r="DZV45" s="1469"/>
      <c r="DZW45" s="1469"/>
      <c r="DZX45" s="1469"/>
      <c r="DZY45" s="1469"/>
      <c r="DZZ45" s="1469"/>
      <c r="EAA45" s="1469"/>
      <c r="EAB45" s="1469"/>
      <c r="EAC45" s="1469"/>
      <c r="EAD45" s="1469"/>
      <c r="EAE45" s="1469"/>
      <c r="EAF45" s="1469"/>
      <c r="EAG45" s="1469"/>
      <c r="EAH45" s="1469"/>
      <c r="EAI45" s="1469"/>
      <c r="EAJ45" s="1469"/>
      <c r="EAK45" s="1469"/>
      <c r="EAL45" s="1469"/>
      <c r="EAM45" s="1469"/>
      <c r="EAN45" s="1469"/>
      <c r="EAO45" s="1469"/>
      <c r="EAP45" s="1469"/>
      <c r="EAQ45" s="1469"/>
      <c r="EAR45" s="1469"/>
      <c r="EAS45" s="1469"/>
      <c r="EAT45" s="1469"/>
      <c r="EAU45" s="1469"/>
      <c r="EAV45" s="1469"/>
      <c r="EAW45" s="1469"/>
      <c r="EAX45" s="1469"/>
      <c r="EAY45" s="1469"/>
      <c r="EAZ45" s="1469"/>
      <c r="EBA45" s="1469"/>
      <c r="EBB45" s="1469"/>
      <c r="EBC45" s="1469"/>
      <c r="EBD45" s="1469"/>
      <c r="EBE45" s="1469"/>
      <c r="EBF45" s="1469"/>
      <c r="EBG45" s="1469"/>
      <c r="EBH45" s="1469"/>
      <c r="EBI45" s="1469"/>
      <c r="EBJ45" s="1469"/>
      <c r="EBK45" s="1469"/>
      <c r="EBL45" s="1469"/>
      <c r="EBM45" s="1469"/>
      <c r="EBN45" s="1469"/>
      <c r="EBO45" s="1469"/>
      <c r="EBP45" s="1469"/>
      <c r="EBQ45" s="1469"/>
      <c r="EBR45" s="1469"/>
      <c r="EBS45" s="1469"/>
      <c r="EBT45" s="1469"/>
      <c r="EBU45" s="1469"/>
      <c r="EBV45" s="1469"/>
      <c r="EBW45" s="1469"/>
      <c r="EBX45" s="1469"/>
      <c r="EBY45" s="1469"/>
      <c r="EBZ45" s="1469"/>
      <c r="ECA45" s="1469"/>
      <c r="ECB45" s="1469"/>
      <c r="ECC45" s="1469"/>
      <c r="ECD45" s="1469"/>
      <c r="ECE45" s="1469"/>
      <c r="ECF45" s="1469"/>
      <c r="ECG45" s="1469"/>
      <c r="ECH45" s="1469"/>
      <c r="ECI45" s="1469"/>
      <c r="ECJ45" s="1469"/>
      <c r="ECK45" s="1469"/>
      <c r="ECL45" s="1469"/>
      <c r="ECM45" s="1469"/>
      <c r="ECN45" s="1469"/>
      <c r="ECO45" s="1469"/>
      <c r="ECP45" s="1469"/>
      <c r="ECQ45" s="1469"/>
      <c r="ECR45" s="1469"/>
      <c r="ECS45" s="1469"/>
      <c r="ECT45" s="1469"/>
      <c r="ECU45" s="1469"/>
      <c r="ECV45" s="1469"/>
      <c r="ECW45" s="1469"/>
      <c r="ECX45" s="1469"/>
      <c r="ECY45" s="1469"/>
      <c r="ECZ45" s="1469"/>
      <c r="EDA45" s="1469"/>
      <c r="EDB45" s="1469"/>
      <c r="EDC45" s="1469"/>
      <c r="EDD45" s="1469"/>
      <c r="EDE45" s="1469"/>
      <c r="EDF45" s="1469"/>
      <c r="EDG45" s="1469"/>
      <c r="EDH45" s="1469"/>
      <c r="EDI45" s="1469"/>
      <c r="EDJ45" s="1469"/>
      <c r="EDK45" s="1469"/>
      <c r="EDL45" s="1469"/>
      <c r="EDM45" s="1469"/>
      <c r="EDN45" s="1469"/>
      <c r="EDO45" s="1469"/>
      <c r="EDP45" s="1469"/>
      <c r="EDQ45" s="1469"/>
      <c r="EDR45" s="1469"/>
      <c r="EDS45" s="1469"/>
      <c r="EDT45" s="1469"/>
      <c r="EDU45" s="1469"/>
      <c r="EDV45" s="1469"/>
      <c r="EDW45" s="1469"/>
      <c r="EDX45" s="1469"/>
      <c r="EDY45" s="1469"/>
      <c r="EDZ45" s="1469"/>
      <c r="EEA45" s="1469"/>
      <c r="EEB45" s="1469"/>
      <c r="EEC45" s="1469"/>
      <c r="EED45" s="1469"/>
      <c r="EEE45" s="1469"/>
      <c r="EEF45" s="1469"/>
      <c r="EEG45" s="1469"/>
      <c r="EEH45" s="1469"/>
      <c r="EEI45" s="1469"/>
      <c r="EEJ45" s="1469"/>
      <c r="EEK45" s="1469"/>
      <c r="EEL45" s="1469"/>
      <c r="EEM45" s="1469"/>
      <c r="EEN45" s="1469"/>
      <c r="EEO45" s="1469"/>
      <c r="EEP45" s="1469"/>
      <c r="EEQ45" s="1469"/>
      <c r="EER45" s="1469"/>
      <c r="EES45" s="1469"/>
      <c r="EET45" s="1469"/>
      <c r="EEU45" s="1469"/>
      <c r="EEV45" s="1469"/>
      <c r="EEW45" s="1469"/>
      <c r="EEX45" s="1469"/>
      <c r="EEY45" s="1469"/>
      <c r="EEZ45" s="1469"/>
      <c r="EFA45" s="1469"/>
      <c r="EFB45" s="1469"/>
      <c r="EFC45" s="1469"/>
      <c r="EFD45" s="1469"/>
      <c r="EFE45" s="1469"/>
      <c r="EFF45" s="1469"/>
      <c r="EFG45" s="1469"/>
      <c r="EFH45" s="1469"/>
      <c r="EFI45" s="1469"/>
      <c r="EFJ45" s="1469"/>
      <c r="EFK45" s="1469"/>
      <c r="EFL45" s="1469"/>
      <c r="EFM45" s="1469"/>
      <c r="EFN45" s="1469"/>
      <c r="EFO45" s="1469"/>
      <c r="EFP45" s="1469"/>
      <c r="EFQ45" s="1469"/>
      <c r="EFR45" s="1469"/>
      <c r="EFS45" s="1469"/>
      <c r="EFT45" s="1469"/>
      <c r="EFU45" s="1469"/>
      <c r="EFV45" s="1469"/>
      <c r="EFW45" s="1469"/>
      <c r="EFX45" s="1469"/>
      <c r="EFY45" s="1469"/>
      <c r="EFZ45" s="1469"/>
      <c r="EGA45" s="1469"/>
      <c r="EGB45" s="1469"/>
      <c r="EGC45" s="1469"/>
      <c r="EGD45" s="1469"/>
      <c r="EGE45" s="1469"/>
      <c r="EGF45" s="1469"/>
      <c r="EGG45" s="1469"/>
      <c r="EGH45" s="1469"/>
      <c r="EGI45" s="1469"/>
      <c r="EGJ45" s="1469"/>
      <c r="EGK45" s="1469"/>
      <c r="EGL45" s="1469"/>
      <c r="EGM45" s="1469"/>
      <c r="EGN45" s="1469"/>
      <c r="EGO45" s="1469"/>
      <c r="EGP45" s="1469"/>
      <c r="EGQ45" s="1469"/>
      <c r="EGR45" s="1469"/>
      <c r="EGS45" s="1469"/>
      <c r="EGT45" s="1469"/>
      <c r="EGU45" s="1469"/>
      <c r="EGV45" s="1469"/>
      <c r="EGW45" s="1469"/>
      <c r="EGX45" s="1469"/>
      <c r="EGY45" s="1469"/>
      <c r="EGZ45" s="1469"/>
      <c r="EHA45" s="1469"/>
      <c r="EHB45" s="1469"/>
      <c r="EHC45" s="1469"/>
      <c r="EHD45" s="1469"/>
      <c r="EHE45" s="1469"/>
      <c r="EHF45" s="1469"/>
      <c r="EHG45" s="1469"/>
      <c r="EHH45" s="1469"/>
      <c r="EHI45" s="1469"/>
      <c r="EHJ45" s="1469"/>
      <c r="EHK45" s="1469"/>
      <c r="EHL45" s="1469"/>
      <c r="EHM45" s="1469"/>
      <c r="EHN45" s="1469"/>
      <c r="EHO45" s="1469"/>
      <c r="EHP45" s="1469"/>
      <c r="EHQ45" s="1469"/>
      <c r="EHR45" s="1469"/>
      <c r="EHS45" s="1469"/>
      <c r="EHT45" s="1469"/>
      <c r="EHU45" s="1469"/>
      <c r="EHV45" s="1469"/>
      <c r="EHW45" s="1469"/>
      <c r="EHX45" s="1469"/>
      <c r="EHY45" s="1469"/>
      <c r="EHZ45" s="1469"/>
      <c r="EIA45" s="1469"/>
      <c r="EIB45" s="1469"/>
      <c r="EIC45" s="1469"/>
      <c r="EID45" s="1469"/>
      <c r="EIE45" s="1469"/>
      <c r="EIF45" s="1469"/>
      <c r="EIG45" s="1469"/>
      <c r="EIH45" s="1469"/>
      <c r="EII45" s="1469"/>
      <c r="EIJ45" s="1469"/>
      <c r="EIK45" s="1469"/>
      <c r="EIL45" s="1469"/>
      <c r="EIM45" s="1469"/>
      <c r="EIN45" s="1469"/>
      <c r="EIO45" s="1469"/>
      <c r="EIP45" s="1469"/>
      <c r="EIQ45" s="1469"/>
      <c r="EIR45" s="1469"/>
      <c r="EIS45" s="1469"/>
      <c r="EIT45" s="1469"/>
      <c r="EIU45" s="1469"/>
      <c r="EIV45" s="1469"/>
      <c r="EIW45" s="1469"/>
      <c r="EIX45" s="1469"/>
      <c r="EIY45" s="1469"/>
      <c r="EIZ45" s="1469"/>
      <c r="EJA45" s="1469"/>
      <c r="EJB45" s="1469"/>
      <c r="EJC45" s="1469"/>
      <c r="EJD45" s="1469"/>
      <c r="EJE45" s="1469"/>
      <c r="EJF45" s="1469"/>
      <c r="EJG45" s="1469"/>
      <c r="EJH45" s="1469"/>
      <c r="EJI45" s="1469"/>
      <c r="EJJ45" s="1469"/>
      <c r="EJK45" s="1469"/>
      <c r="EJL45" s="1469"/>
      <c r="EJM45" s="1469"/>
      <c r="EJN45" s="1469"/>
      <c r="EJO45" s="1469"/>
      <c r="EJP45" s="1469"/>
      <c r="EJQ45" s="1469"/>
      <c r="EJR45" s="1469"/>
      <c r="EJS45" s="1469"/>
      <c r="EJT45" s="1469"/>
      <c r="EJU45" s="1469"/>
      <c r="EJV45" s="1469"/>
      <c r="EJW45" s="1469"/>
      <c r="EJX45" s="1469"/>
      <c r="EJY45" s="1469"/>
      <c r="EJZ45" s="1469"/>
      <c r="EKA45" s="1469"/>
      <c r="EKB45" s="1469"/>
      <c r="EKC45" s="1469"/>
      <c r="EKD45" s="1469"/>
      <c r="EKE45" s="1469"/>
      <c r="EKF45" s="1469"/>
      <c r="EKG45" s="1469"/>
      <c r="EKH45" s="1469"/>
      <c r="EKI45" s="1469"/>
      <c r="EKJ45" s="1469"/>
      <c r="EKK45" s="1469"/>
      <c r="EKL45" s="1469"/>
      <c r="EKM45" s="1469"/>
      <c r="EKN45" s="1469"/>
      <c r="EKO45" s="1469"/>
      <c r="EKP45" s="1469"/>
      <c r="EKQ45" s="1469"/>
      <c r="EKR45" s="1469"/>
      <c r="EKS45" s="1469"/>
      <c r="EKT45" s="1469"/>
      <c r="EKU45" s="1469"/>
      <c r="EKV45" s="1469"/>
      <c r="EKW45" s="1469"/>
      <c r="EKX45" s="1469"/>
      <c r="EKY45" s="1469"/>
      <c r="EKZ45" s="1469"/>
      <c r="ELA45" s="1469"/>
      <c r="ELB45" s="1469"/>
      <c r="ELC45" s="1469"/>
      <c r="ELD45" s="1469"/>
      <c r="ELE45" s="1469"/>
      <c r="ELF45" s="1469"/>
      <c r="ELG45" s="1469"/>
      <c r="ELH45" s="1469"/>
      <c r="ELI45" s="1469"/>
      <c r="ELJ45" s="1469"/>
      <c r="ELK45" s="1469"/>
      <c r="ELL45" s="1469"/>
      <c r="ELM45" s="1469"/>
      <c r="ELN45" s="1469"/>
      <c r="ELO45" s="1469"/>
      <c r="ELP45" s="1469"/>
      <c r="ELQ45" s="1469"/>
      <c r="ELR45" s="1469"/>
      <c r="ELS45" s="1469"/>
      <c r="ELT45" s="1469"/>
      <c r="ELU45" s="1469"/>
      <c r="ELV45" s="1469"/>
      <c r="ELW45" s="1469"/>
      <c r="ELX45" s="1469"/>
      <c r="ELY45" s="1469"/>
      <c r="ELZ45" s="1469"/>
      <c r="EMA45" s="1469"/>
      <c r="EMB45" s="1469"/>
      <c r="EMC45" s="1469"/>
      <c r="EMD45" s="1469"/>
      <c r="EME45" s="1469"/>
      <c r="EMF45" s="1469"/>
      <c r="EMG45" s="1469"/>
      <c r="EMH45" s="1469"/>
      <c r="EMI45" s="1469"/>
      <c r="EMJ45" s="1469"/>
      <c r="EMK45" s="1469"/>
      <c r="EML45" s="1469"/>
      <c r="EMM45" s="1469"/>
      <c r="EMN45" s="1469"/>
      <c r="EMO45" s="1469"/>
      <c r="EMP45" s="1469"/>
      <c r="EMQ45" s="1469"/>
      <c r="EMR45" s="1469"/>
      <c r="EMS45" s="1469"/>
      <c r="EMT45" s="1469"/>
      <c r="EMU45" s="1469"/>
      <c r="EMV45" s="1469"/>
      <c r="EMW45" s="1469"/>
      <c r="EMX45" s="1469"/>
      <c r="EMY45" s="1469"/>
      <c r="EMZ45" s="1469"/>
      <c r="ENA45" s="1469"/>
      <c r="ENB45" s="1469"/>
      <c r="ENC45" s="1469"/>
      <c r="END45" s="1469"/>
      <c r="ENE45" s="1469"/>
      <c r="ENF45" s="1469"/>
      <c r="ENG45" s="1469"/>
      <c r="ENH45" s="1469"/>
      <c r="ENI45" s="1469"/>
      <c r="ENJ45" s="1469"/>
      <c r="ENK45" s="1469"/>
      <c r="ENL45" s="1469"/>
      <c r="ENM45" s="1469"/>
      <c r="ENN45" s="1469"/>
      <c r="ENO45" s="1469"/>
      <c r="ENP45" s="1469"/>
      <c r="ENQ45" s="1469"/>
      <c r="ENR45" s="1469"/>
      <c r="ENS45" s="1469"/>
      <c r="ENT45" s="1469"/>
      <c r="ENU45" s="1469"/>
      <c r="ENV45" s="1469"/>
      <c r="ENW45" s="1469"/>
      <c r="ENX45" s="1469"/>
      <c r="ENY45" s="1469"/>
      <c r="ENZ45" s="1469"/>
      <c r="EOA45" s="1469"/>
      <c r="EOB45" s="1469"/>
      <c r="EOC45" s="1469"/>
      <c r="EOD45" s="1469"/>
      <c r="EOE45" s="1469"/>
      <c r="EOF45" s="1469"/>
      <c r="EOG45" s="1469"/>
      <c r="EOH45" s="1469"/>
      <c r="EOI45" s="1469"/>
      <c r="EOJ45" s="1469"/>
      <c r="EOK45" s="1469"/>
      <c r="EOL45" s="1469"/>
      <c r="EOM45" s="1469"/>
      <c r="EON45" s="1469"/>
      <c r="EOO45" s="1469"/>
      <c r="EOP45" s="1469"/>
      <c r="EOQ45" s="1469"/>
      <c r="EOR45" s="1469"/>
      <c r="EOS45" s="1469"/>
      <c r="EOT45" s="1469"/>
      <c r="EOU45" s="1469"/>
      <c r="EOV45" s="1469"/>
      <c r="EOW45" s="1469"/>
      <c r="EOX45" s="1469"/>
      <c r="EOY45" s="1469"/>
      <c r="EOZ45" s="1469"/>
      <c r="EPA45" s="1469"/>
      <c r="EPB45" s="1469"/>
      <c r="EPC45" s="1469"/>
      <c r="EPD45" s="1469"/>
      <c r="EPE45" s="1469"/>
      <c r="EPF45" s="1469"/>
      <c r="EPG45" s="1469"/>
      <c r="EPH45" s="1469"/>
      <c r="EPI45" s="1469"/>
      <c r="EPJ45" s="1469"/>
      <c r="EPK45" s="1469"/>
      <c r="EPL45" s="1469"/>
      <c r="EPM45" s="1469"/>
      <c r="EPN45" s="1469"/>
      <c r="EPO45" s="1469"/>
      <c r="EPP45" s="1469"/>
      <c r="EPQ45" s="1469"/>
      <c r="EPR45" s="1469"/>
      <c r="EPS45" s="1469"/>
      <c r="EPT45" s="1469"/>
      <c r="EPU45" s="1469"/>
      <c r="EPV45" s="1469"/>
      <c r="EPW45" s="1469"/>
      <c r="EPX45" s="1469"/>
      <c r="EPY45" s="1469"/>
      <c r="EPZ45" s="1469"/>
      <c r="EQA45" s="1469"/>
      <c r="EQB45" s="1469"/>
      <c r="EQC45" s="1469"/>
      <c r="EQD45" s="1469"/>
      <c r="EQE45" s="1469"/>
      <c r="EQF45" s="1469"/>
      <c r="EQG45" s="1469"/>
      <c r="EQH45" s="1469"/>
      <c r="EQI45" s="1469"/>
      <c r="EQJ45" s="1469"/>
      <c r="EQK45" s="1469"/>
      <c r="EQL45" s="1469"/>
      <c r="EQM45" s="1469"/>
      <c r="EQN45" s="1469"/>
      <c r="EQO45" s="1469"/>
      <c r="EQP45" s="1469"/>
      <c r="EQQ45" s="1469"/>
      <c r="EQR45" s="1469"/>
      <c r="EQS45" s="1469"/>
      <c r="EQT45" s="1469"/>
      <c r="EQU45" s="1469"/>
      <c r="EQV45" s="1469"/>
      <c r="EQW45" s="1469"/>
      <c r="EQX45" s="1469"/>
      <c r="EQY45" s="1469"/>
      <c r="EQZ45" s="1469"/>
      <c r="ERA45" s="1469"/>
      <c r="ERB45" s="1469"/>
      <c r="ERC45" s="1469"/>
      <c r="ERD45" s="1469"/>
      <c r="ERE45" s="1469"/>
      <c r="ERF45" s="1469"/>
      <c r="ERG45" s="1469"/>
      <c r="ERH45" s="1469"/>
      <c r="ERI45" s="1469"/>
      <c r="ERJ45" s="1469"/>
      <c r="ERK45" s="1469"/>
      <c r="ERL45" s="1469"/>
      <c r="ERM45" s="1469"/>
      <c r="ERN45" s="1469"/>
      <c r="ERO45" s="1469"/>
      <c r="ERP45" s="1469"/>
      <c r="ERQ45" s="1469"/>
      <c r="ERR45" s="1469"/>
      <c r="ERS45" s="1469"/>
      <c r="ERT45" s="1469"/>
      <c r="ERU45" s="1469"/>
      <c r="ERV45" s="1469"/>
      <c r="ERW45" s="1469"/>
      <c r="ERX45" s="1469"/>
      <c r="ERY45" s="1469"/>
      <c r="ERZ45" s="1469"/>
      <c r="ESA45" s="1469"/>
      <c r="ESB45" s="1469"/>
      <c r="ESC45" s="1469"/>
      <c r="ESD45" s="1469"/>
      <c r="ESE45" s="1469"/>
      <c r="ESF45" s="1469"/>
      <c r="ESG45" s="1469"/>
      <c r="ESH45" s="1469"/>
      <c r="ESI45" s="1469"/>
      <c r="ESJ45" s="1469"/>
      <c r="ESK45" s="1469"/>
      <c r="ESL45" s="1469"/>
      <c r="ESM45" s="1469"/>
      <c r="ESN45" s="1469"/>
      <c r="ESO45" s="1469"/>
      <c r="ESP45" s="1469"/>
      <c r="ESQ45" s="1469"/>
      <c r="ESR45" s="1469"/>
      <c r="ESS45" s="1469"/>
      <c r="EST45" s="1469"/>
      <c r="ESU45" s="1469"/>
      <c r="ESV45" s="1469"/>
      <c r="ESW45" s="1469"/>
      <c r="ESX45" s="1469"/>
      <c r="ESY45" s="1469"/>
      <c r="ESZ45" s="1469"/>
      <c r="ETA45" s="1469"/>
      <c r="ETB45" s="1469"/>
      <c r="ETC45" s="1469"/>
      <c r="ETD45" s="1469"/>
      <c r="ETE45" s="1469"/>
      <c r="ETF45" s="1469"/>
      <c r="ETG45" s="1469"/>
      <c r="ETH45" s="1469"/>
      <c r="ETI45" s="1469"/>
      <c r="ETJ45" s="1469"/>
      <c r="ETK45" s="1469"/>
      <c r="ETL45" s="1469"/>
      <c r="ETM45" s="1469"/>
      <c r="ETN45" s="1469"/>
      <c r="ETO45" s="1469"/>
      <c r="ETP45" s="1469"/>
      <c r="ETQ45" s="1469"/>
      <c r="ETR45" s="1469"/>
      <c r="ETS45" s="1469"/>
      <c r="ETT45" s="1469"/>
      <c r="ETU45" s="1469"/>
      <c r="ETV45" s="1469"/>
      <c r="ETW45" s="1469"/>
      <c r="ETX45" s="1469"/>
      <c r="ETY45" s="1469"/>
      <c r="ETZ45" s="1469"/>
      <c r="EUA45" s="1469"/>
      <c r="EUB45" s="1469"/>
      <c r="EUC45" s="1469"/>
      <c r="EUD45" s="1469"/>
      <c r="EUE45" s="1469"/>
      <c r="EUF45" s="1469"/>
      <c r="EUG45" s="1469"/>
      <c r="EUH45" s="1469"/>
      <c r="EUI45" s="1469"/>
      <c r="EUJ45" s="1469"/>
      <c r="EUK45" s="1469"/>
      <c r="EUL45" s="1469"/>
      <c r="EUM45" s="1469"/>
      <c r="EUN45" s="1469"/>
      <c r="EUO45" s="1469"/>
      <c r="EUP45" s="1469"/>
      <c r="EUQ45" s="1469"/>
      <c r="EUR45" s="1469"/>
      <c r="EUS45" s="1469"/>
      <c r="EUT45" s="1469"/>
      <c r="EUU45" s="1469"/>
      <c r="EUV45" s="1469"/>
      <c r="EUW45" s="1469"/>
      <c r="EUX45" s="1469"/>
      <c r="EUY45" s="1469"/>
      <c r="EUZ45" s="1469"/>
      <c r="EVA45" s="1469"/>
      <c r="EVB45" s="1469"/>
      <c r="EVC45" s="1469"/>
      <c r="EVD45" s="1469"/>
      <c r="EVE45" s="1469"/>
      <c r="EVF45" s="1469"/>
      <c r="EVG45" s="1469"/>
      <c r="EVH45" s="1469"/>
      <c r="EVI45" s="1469"/>
      <c r="EVJ45" s="1469"/>
      <c r="EVK45" s="1469"/>
      <c r="EVL45" s="1469"/>
      <c r="EVM45" s="1469"/>
      <c r="EVN45" s="1469"/>
      <c r="EVO45" s="1469"/>
      <c r="EVP45" s="1469"/>
      <c r="EVQ45" s="1469"/>
      <c r="EVR45" s="1469"/>
      <c r="EVS45" s="1469"/>
      <c r="EVT45" s="1469"/>
      <c r="EVU45" s="1469"/>
      <c r="EVV45" s="1469"/>
      <c r="EVW45" s="1469"/>
      <c r="EVX45" s="1469"/>
      <c r="EVY45" s="1469"/>
      <c r="EVZ45" s="1469"/>
      <c r="EWA45" s="1469"/>
      <c r="EWB45" s="1469"/>
      <c r="EWC45" s="1469"/>
      <c r="EWD45" s="1469"/>
      <c r="EWE45" s="1469"/>
      <c r="EWF45" s="1469"/>
      <c r="EWG45" s="1469"/>
      <c r="EWH45" s="1469"/>
      <c r="EWI45" s="1469"/>
      <c r="EWJ45" s="1469"/>
      <c r="EWK45" s="1469"/>
      <c r="EWL45" s="1469"/>
      <c r="EWM45" s="1469"/>
      <c r="EWN45" s="1469"/>
      <c r="EWO45" s="1469"/>
      <c r="EWP45" s="1469"/>
      <c r="EWQ45" s="1469"/>
      <c r="EWR45" s="1469"/>
      <c r="EWS45" s="1469"/>
      <c r="EWT45" s="1469"/>
      <c r="EWU45" s="1469"/>
      <c r="EWV45" s="1469"/>
      <c r="EWW45" s="1469"/>
      <c r="EWX45" s="1469"/>
      <c r="EWY45" s="1469"/>
      <c r="EWZ45" s="1469"/>
      <c r="EXA45" s="1469"/>
      <c r="EXB45" s="1469"/>
      <c r="EXC45" s="1469"/>
      <c r="EXD45" s="1469"/>
      <c r="EXE45" s="1469"/>
      <c r="EXF45" s="1469"/>
      <c r="EXG45" s="1469"/>
      <c r="EXH45" s="1469"/>
      <c r="EXI45" s="1469"/>
      <c r="EXJ45" s="1469"/>
      <c r="EXK45" s="1469"/>
      <c r="EXL45" s="1469"/>
      <c r="EXM45" s="1469"/>
      <c r="EXN45" s="1469"/>
      <c r="EXO45" s="1469"/>
      <c r="EXP45" s="1469"/>
      <c r="EXQ45" s="1469"/>
      <c r="EXR45" s="1469"/>
      <c r="EXS45" s="1469"/>
      <c r="EXT45" s="1469"/>
      <c r="EXU45" s="1469"/>
      <c r="EXV45" s="1469"/>
      <c r="EXW45" s="1469"/>
      <c r="EXX45" s="1469"/>
      <c r="EXY45" s="1469"/>
      <c r="EXZ45" s="1469"/>
      <c r="EYA45" s="1469"/>
      <c r="EYB45" s="1469"/>
      <c r="EYC45" s="1469"/>
      <c r="EYD45" s="1469"/>
      <c r="EYE45" s="1469"/>
      <c r="EYF45" s="1469"/>
      <c r="EYG45" s="1469"/>
      <c r="EYH45" s="1469"/>
      <c r="EYI45" s="1469"/>
      <c r="EYJ45" s="1469"/>
      <c r="EYK45" s="1469"/>
      <c r="EYL45" s="1469"/>
      <c r="EYM45" s="1469"/>
      <c r="EYN45" s="1469"/>
      <c r="EYO45" s="1469"/>
      <c r="EYP45" s="1469"/>
      <c r="EYQ45" s="1469"/>
      <c r="EYR45" s="1469"/>
      <c r="EYS45" s="1469"/>
      <c r="EYT45" s="1469"/>
      <c r="EYU45" s="1469"/>
      <c r="EYV45" s="1469"/>
      <c r="EYW45" s="1469"/>
      <c r="EYX45" s="1469"/>
      <c r="EYY45" s="1469"/>
      <c r="EYZ45" s="1469"/>
      <c r="EZA45" s="1469"/>
      <c r="EZB45" s="1469"/>
      <c r="EZC45" s="1469"/>
      <c r="EZD45" s="1469"/>
      <c r="EZE45" s="1469"/>
      <c r="EZF45" s="1469"/>
      <c r="EZG45" s="1469"/>
      <c r="EZH45" s="1469"/>
      <c r="EZI45" s="1469"/>
      <c r="EZJ45" s="1469"/>
      <c r="EZK45" s="1469"/>
      <c r="EZL45" s="1469"/>
      <c r="EZM45" s="1469"/>
      <c r="EZN45" s="1469"/>
      <c r="EZO45" s="1469"/>
      <c r="EZP45" s="1469"/>
      <c r="EZQ45" s="1469"/>
      <c r="EZR45" s="1469"/>
      <c r="EZS45" s="1469"/>
      <c r="EZT45" s="1469"/>
      <c r="EZU45" s="1469"/>
      <c r="EZV45" s="1469"/>
      <c r="EZW45" s="1469"/>
      <c r="EZX45" s="1469"/>
      <c r="EZY45" s="1469"/>
      <c r="EZZ45" s="1469"/>
      <c r="FAA45" s="1469"/>
      <c r="FAB45" s="1469"/>
      <c r="FAC45" s="1469"/>
      <c r="FAD45" s="1469"/>
      <c r="FAE45" s="1469"/>
      <c r="FAF45" s="1469"/>
      <c r="FAG45" s="1469"/>
      <c r="FAH45" s="1469"/>
      <c r="FAI45" s="1469"/>
      <c r="FAJ45" s="1469"/>
      <c r="FAK45" s="1469"/>
      <c r="FAL45" s="1469"/>
      <c r="FAM45" s="1469"/>
      <c r="FAN45" s="1469"/>
      <c r="FAO45" s="1469"/>
      <c r="FAP45" s="1469"/>
      <c r="FAQ45" s="1469"/>
      <c r="FAR45" s="1469"/>
      <c r="FAS45" s="1469"/>
      <c r="FAT45" s="1469"/>
      <c r="FAU45" s="1469"/>
      <c r="FAV45" s="1469"/>
      <c r="FAW45" s="1469"/>
      <c r="FAX45" s="1469"/>
      <c r="FAY45" s="1469"/>
      <c r="FAZ45" s="1469"/>
      <c r="FBA45" s="1469"/>
      <c r="FBB45" s="1469"/>
      <c r="FBC45" s="1469"/>
      <c r="FBD45" s="1469"/>
      <c r="FBE45" s="1469"/>
      <c r="FBF45" s="1469"/>
      <c r="FBG45" s="1469"/>
      <c r="FBH45" s="1469"/>
      <c r="FBI45" s="1469"/>
      <c r="FBJ45" s="1469"/>
      <c r="FBK45" s="1469"/>
      <c r="FBL45" s="1469"/>
      <c r="FBM45" s="1469"/>
      <c r="FBN45" s="1469"/>
      <c r="FBO45" s="1469"/>
      <c r="FBP45" s="1469"/>
      <c r="FBQ45" s="1469"/>
      <c r="FBR45" s="1469"/>
      <c r="FBS45" s="1469"/>
      <c r="FBT45" s="1469"/>
      <c r="FBU45" s="1469"/>
      <c r="FBV45" s="1469"/>
      <c r="FBW45" s="1469"/>
      <c r="FBX45" s="1469"/>
      <c r="FBY45" s="1469"/>
      <c r="FBZ45" s="1469"/>
      <c r="FCA45" s="1469"/>
      <c r="FCB45" s="1469"/>
      <c r="FCC45" s="1469"/>
      <c r="FCD45" s="1469"/>
      <c r="FCE45" s="1469"/>
      <c r="FCF45" s="1469"/>
      <c r="FCG45" s="1469"/>
      <c r="FCH45" s="1469"/>
      <c r="FCI45" s="1469"/>
      <c r="FCJ45" s="1469"/>
      <c r="FCK45" s="1469"/>
      <c r="FCL45" s="1469"/>
      <c r="FCM45" s="1469"/>
      <c r="FCN45" s="1469"/>
      <c r="FCO45" s="1469"/>
      <c r="FCP45" s="1469"/>
      <c r="FCQ45" s="1469"/>
      <c r="FCR45" s="1469"/>
      <c r="FCS45" s="1469"/>
      <c r="FCT45" s="1469"/>
      <c r="FCU45" s="1469"/>
      <c r="FCV45" s="1469"/>
      <c r="FCW45" s="1469"/>
      <c r="FCX45" s="1469"/>
      <c r="FCY45" s="1469"/>
      <c r="FCZ45" s="1469"/>
      <c r="FDA45" s="1469"/>
      <c r="FDB45" s="1469"/>
      <c r="FDC45" s="1469"/>
      <c r="FDD45" s="1469"/>
      <c r="FDE45" s="1469"/>
      <c r="FDF45" s="1469"/>
      <c r="FDG45" s="1469"/>
      <c r="FDH45" s="1469"/>
      <c r="FDI45" s="1469"/>
      <c r="FDJ45" s="1469"/>
      <c r="FDK45" s="1469"/>
      <c r="FDL45" s="1469"/>
      <c r="FDM45" s="1469"/>
      <c r="FDN45" s="1469"/>
      <c r="FDO45" s="1469"/>
      <c r="FDP45" s="1469"/>
      <c r="FDQ45" s="1469"/>
      <c r="FDR45" s="1469"/>
      <c r="FDS45" s="1469"/>
      <c r="FDT45" s="1469"/>
      <c r="FDU45" s="1469"/>
      <c r="FDV45" s="1469"/>
      <c r="FDW45" s="1469"/>
      <c r="FDX45" s="1469"/>
      <c r="FDY45" s="1469"/>
      <c r="FDZ45" s="1469"/>
      <c r="FEA45" s="1469"/>
      <c r="FEB45" s="1469"/>
      <c r="FEC45" s="1469"/>
      <c r="FED45" s="1469"/>
      <c r="FEE45" s="1469"/>
      <c r="FEF45" s="1469"/>
      <c r="FEG45" s="1469"/>
      <c r="FEH45" s="1469"/>
      <c r="FEI45" s="1469"/>
      <c r="FEJ45" s="1469"/>
      <c r="FEK45" s="1469"/>
      <c r="FEL45" s="1469"/>
      <c r="FEM45" s="1469"/>
      <c r="FEN45" s="1469"/>
      <c r="FEO45" s="1469"/>
      <c r="FEP45" s="1469"/>
      <c r="FEQ45" s="1469"/>
      <c r="FER45" s="1469"/>
      <c r="FES45" s="1469"/>
      <c r="FET45" s="1469"/>
      <c r="FEU45" s="1469"/>
      <c r="FEV45" s="1469"/>
      <c r="FEW45" s="1469"/>
      <c r="FEX45" s="1469"/>
      <c r="FEY45" s="1469"/>
      <c r="FEZ45" s="1469"/>
      <c r="FFA45" s="1469"/>
      <c r="FFB45" s="1469"/>
      <c r="FFC45" s="1469"/>
      <c r="FFD45" s="1469"/>
      <c r="FFE45" s="1469"/>
      <c r="FFF45" s="1469"/>
      <c r="FFG45" s="1469"/>
      <c r="FFH45" s="1469"/>
      <c r="FFI45" s="1469"/>
      <c r="FFJ45" s="1469"/>
      <c r="FFK45" s="1469"/>
      <c r="FFL45" s="1469"/>
      <c r="FFM45" s="1469"/>
      <c r="FFN45" s="1469"/>
      <c r="FFO45" s="1469"/>
      <c r="FFP45" s="1469"/>
      <c r="FFQ45" s="1469"/>
      <c r="FFR45" s="1469"/>
      <c r="FFS45" s="1469"/>
      <c r="FFT45" s="1469"/>
      <c r="FFU45" s="1469"/>
      <c r="FFV45" s="1469"/>
      <c r="FFW45" s="1469"/>
      <c r="FFX45" s="1469"/>
      <c r="FFY45" s="1469"/>
      <c r="FFZ45" s="1469"/>
      <c r="FGA45" s="1469"/>
      <c r="FGB45" s="1469"/>
      <c r="FGC45" s="1469"/>
      <c r="FGD45" s="1469"/>
      <c r="FGE45" s="1469"/>
      <c r="FGF45" s="1469"/>
      <c r="FGG45" s="1469"/>
      <c r="FGH45" s="1469"/>
      <c r="FGI45" s="1469"/>
      <c r="FGJ45" s="1469"/>
      <c r="FGK45" s="1469"/>
      <c r="FGL45" s="1469"/>
      <c r="FGM45" s="1469"/>
      <c r="FGN45" s="1469"/>
      <c r="FGO45" s="1469"/>
      <c r="FGP45" s="1469"/>
      <c r="FGQ45" s="1469"/>
      <c r="FGR45" s="1469"/>
      <c r="FGS45" s="1469"/>
      <c r="FGT45" s="1469"/>
      <c r="FGU45" s="1469"/>
      <c r="FGV45" s="1469"/>
      <c r="FGW45" s="1469"/>
      <c r="FGX45" s="1469"/>
      <c r="FGY45" s="1469"/>
      <c r="FGZ45" s="1469"/>
      <c r="FHA45" s="1469"/>
      <c r="FHB45" s="1469"/>
      <c r="FHC45" s="1469"/>
      <c r="FHD45" s="1469"/>
      <c r="FHE45" s="1469"/>
      <c r="FHF45" s="1469"/>
      <c r="FHG45" s="1469"/>
      <c r="FHH45" s="1469"/>
      <c r="FHI45" s="1469"/>
      <c r="FHJ45" s="1469"/>
      <c r="FHK45" s="1469"/>
      <c r="FHL45" s="1469"/>
      <c r="FHM45" s="1469"/>
      <c r="FHN45" s="1469"/>
      <c r="FHO45" s="1469"/>
      <c r="FHP45" s="1469"/>
      <c r="FHQ45" s="1469"/>
      <c r="FHR45" s="1469"/>
      <c r="FHS45" s="1469"/>
      <c r="FHT45" s="1469"/>
      <c r="FHU45" s="1469"/>
      <c r="FHV45" s="1469"/>
      <c r="FHW45" s="1469"/>
      <c r="FHX45" s="1469"/>
      <c r="FHY45" s="1469"/>
      <c r="FHZ45" s="1469"/>
      <c r="FIA45" s="1469"/>
      <c r="FIB45" s="1469"/>
      <c r="FIC45" s="1469"/>
      <c r="FID45" s="1469"/>
      <c r="FIE45" s="1469"/>
      <c r="FIF45" s="1469"/>
      <c r="FIG45" s="1469"/>
      <c r="FIH45" s="1469"/>
      <c r="FII45" s="1469"/>
      <c r="FIJ45" s="1469"/>
      <c r="FIK45" s="1469"/>
      <c r="FIL45" s="1469"/>
      <c r="FIM45" s="1469"/>
      <c r="FIN45" s="1469"/>
      <c r="FIO45" s="1469"/>
      <c r="FIP45" s="1469"/>
      <c r="FIQ45" s="1469"/>
      <c r="FIR45" s="1469"/>
      <c r="FIS45" s="1469"/>
      <c r="FIT45" s="1469"/>
      <c r="FIU45" s="1469"/>
      <c r="FIV45" s="1469"/>
      <c r="FIW45" s="1469"/>
      <c r="FIX45" s="1469"/>
      <c r="FIY45" s="1469"/>
      <c r="FIZ45" s="1469"/>
      <c r="FJA45" s="1469"/>
      <c r="FJB45" s="1469"/>
      <c r="FJC45" s="1469"/>
      <c r="FJD45" s="1469"/>
      <c r="FJE45" s="1469"/>
      <c r="FJF45" s="1469"/>
      <c r="FJG45" s="1469"/>
      <c r="FJH45" s="1469"/>
      <c r="FJI45" s="1469"/>
      <c r="FJJ45" s="1469"/>
      <c r="FJK45" s="1469"/>
      <c r="FJL45" s="1469"/>
      <c r="FJM45" s="1469"/>
      <c r="FJN45" s="1469"/>
      <c r="FJO45" s="1469"/>
      <c r="FJP45" s="1469"/>
      <c r="FJQ45" s="1469"/>
      <c r="FJR45" s="1469"/>
      <c r="FJS45" s="1469"/>
      <c r="FJT45" s="1469"/>
      <c r="FJU45" s="1469"/>
      <c r="FJV45" s="1469"/>
      <c r="FJW45" s="1469"/>
      <c r="FJX45" s="1469"/>
      <c r="FJY45" s="1469"/>
      <c r="FJZ45" s="1469"/>
      <c r="FKA45" s="1469"/>
      <c r="FKB45" s="1469"/>
      <c r="FKC45" s="1469"/>
      <c r="FKD45" s="1469"/>
      <c r="FKE45" s="1469"/>
      <c r="FKF45" s="1469"/>
      <c r="FKG45" s="1469"/>
      <c r="FKH45" s="1469"/>
      <c r="FKI45" s="1469"/>
      <c r="FKJ45" s="1469"/>
      <c r="FKK45" s="1469"/>
      <c r="FKL45" s="1469"/>
      <c r="FKM45" s="1469"/>
      <c r="FKN45" s="1469"/>
      <c r="FKO45" s="1469"/>
      <c r="FKP45" s="1469"/>
      <c r="FKQ45" s="1469"/>
      <c r="FKR45" s="1469"/>
      <c r="FKS45" s="1469"/>
      <c r="FKT45" s="1469"/>
      <c r="FKU45" s="1469"/>
      <c r="FKV45" s="1469"/>
      <c r="FKW45" s="1469"/>
      <c r="FKX45" s="1469"/>
      <c r="FKY45" s="1469"/>
      <c r="FKZ45" s="1469"/>
      <c r="FLA45" s="1469"/>
      <c r="FLB45" s="1469"/>
      <c r="FLC45" s="1469"/>
      <c r="FLD45" s="1469"/>
      <c r="FLE45" s="1469"/>
      <c r="FLF45" s="1469"/>
      <c r="FLG45" s="1469"/>
      <c r="FLH45" s="1469"/>
      <c r="FLI45" s="1469"/>
      <c r="FLJ45" s="1469"/>
      <c r="FLK45" s="1469"/>
      <c r="FLL45" s="1469"/>
      <c r="FLM45" s="1469"/>
      <c r="FLN45" s="1469"/>
      <c r="FLO45" s="1469"/>
      <c r="FLP45" s="1469"/>
      <c r="FLQ45" s="1469"/>
      <c r="FLR45" s="1469"/>
      <c r="FLS45" s="1469"/>
      <c r="FLT45" s="1469"/>
      <c r="FLU45" s="1469"/>
      <c r="FLV45" s="1469"/>
      <c r="FLW45" s="1469"/>
      <c r="FLX45" s="1469"/>
      <c r="FLY45" s="1469"/>
      <c r="FLZ45" s="1469"/>
      <c r="FMA45" s="1469"/>
      <c r="FMB45" s="1469"/>
      <c r="FMC45" s="1469"/>
      <c r="FMD45" s="1469"/>
      <c r="FME45" s="1469"/>
      <c r="FMF45" s="1469"/>
      <c r="FMG45" s="1469"/>
      <c r="FMH45" s="1469"/>
      <c r="FMI45" s="1469"/>
      <c r="FMJ45" s="1469"/>
      <c r="FMK45" s="1469"/>
      <c r="FML45" s="1469"/>
      <c r="FMM45" s="1469"/>
      <c r="FMN45" s="1469"/>
      <c r="FMO45" s="1469"/>
      <c r="FMP45" s="1469"/>
      <c r="FMQ45" s="1469"/>
      <c r="FMR45" s="1469"/>
      <c r="FMS45" s="1469"/>
      <c r="FMT45" s="1469"/>
      <c r="FMU45" s="1469"/>
      <c r="FMV45" s="1469"/>
      <c r="FMW45" s="1469"/>
      <c r="FMX45" s="1469"/>
      <c r="FMY45" s="1469"/>
      <c r="FMZ45" s="1469"/>
      <c r="FNA45" s="1469"/>
      <c r="FNB45" s="1469"/>
      <c r="FNC45" s="1469"/>
      <c r="FND45" s="1469"/>
      <c r="FNE45" s="1469"/>
      <c r="FNF45" s="1469"/>
      <c r="FNG45" s="1469"/>
      <c r="FNH45" s="1469"/>
      <c r="FNI45" s="1469"/>
      <c r="FNJ45" s="1469"/>
      <c r="FNK45" s="1469"/>
      <c r="FNL45" s="1469"/>
      <c r="FNM45" s="1469"/>
      <c r="FNN45" s="1469"/>
      <c r="FNO45" s="1469"/>
      <c r="FNP45" s="1469"/>
      <c r="FNQ45" s="1469"/>
      <c r="FNR45" s="1469"/>
      <c r="FNS45" s="1469"/>
      <c r="FNT45" s="1469"/>
      <c r="FNU45" s="1469"/>
      <c r="FNV45" s="1469"/>
      <c r="FNW45" s="1469"/>
      <c r="FNX45" s="1469"/>
      <c r="FNY45" s="1469"/>
      <c r="FNZ45" s="1469"/>
      <c r="FOA45" s="1469"/>
      <c r="FOB45" s="1469"/>
      <c r="FOC45" s="1469"/>
      <c r="FOD45" s="1469"/>
      <c r="FOE45" s="1469"/>
      <c r="FOF45" s="1469"/>
      <c r="FOG45" s="1469"/>
      <c r="FOH45" s="1469"/>
      <c r="FOI45" s="1469"/>
      <c r="FOJ45" s="1469"/>
      <c r="FOK45" s="1469"/>
      <c r="FOL45" s="1469"/>
      <c r="FOM45" s="1469"/>
      <c r="FON45" s="1469"/>
      <c r="FOO45" s="1469"/>
      <c r="FOP45" s="1469"/>
      <c r="FOQ45" s="1469"/>
      <c r="FOR45" s="1469"/>
      <c r="FOS45" s="1469"/>
      <c r="FOT45" s="1469"/>
      <c r="FOU45" s="1469"/>
      <c r="FOV45" s="1469"/>
      <c r="FOW45" s="1469"/>
      <c r="FOX45" s="1469"/>
      <c r="FOY45" s="1469"/>
      <c r="FOZ45" s="1469"/>
      <c r="FPA45" s="1469"/>
      <c r="FPB45" s="1469"/>
      <c r="FPC45" s="1469"/>
      <c r="FPD45" s="1469"/>
      <c r="FPE45" s="1469"/>
      <c r="FPF45" s="1469"/>
      <c r="FPG45" s="1469"/>
      <c r="FPH45" s="1469"/>
      <c r="FPI45" s="1469"/>
      <c r="FPJ45" s="1469"/>
      <c r="FPK45" s="1469"/>
      <c r="FPL45" s="1469"/>
      <c r="FPM45" s="1469"/>
      <c r="FPN45" s="1469"/>
      <c r="FPO45" s="1469"/>
      <c r="FPP45" s="1469"/>
      <c r="FPQ45" s="1469"/>
      <c r="FPR45" s="1469"/>
      <c r="FPS45" s="1469"/>
      <c r="FPT45" s="1469"/>
      <c r="FPU45" s="1469"/>
      <c r="FPV45" s="1469"/>
      <c r="FPW45" s="1469"/>
      <c r="FPX45" s="1469"/>
      <c r="FPY45" s="1469"/>
      <c r="FPZ45" s="1469"/>
      <c r="FQA45" s="1469"/>
      <c r="FQB45" s="1469"/>
      <c r="FQC45" s="1469"/>
      <c r="FQD45" s="1469"/>
      <c r="FQE45" s="1469"/>
      <c r="FQF45" s="1469"/>
      <c r="FQG45" s="1469"/>
      <c r="FQH45" s="1469"/>
      <c r="FQI45" s="1469"/>
      <c r="FQJ45" s="1469"/>
      <c r="FQK45" s="1469"/>
      <c r="FQL45" s="1469"/>
      <c r="FQM45" s="1469"/>
      <c r="FQN45" s="1469"/>
      <c r="FQO45" s="1469"/>
      <c r="FQP45" s="1469"/>
      <c r="FQQ45" s="1469"/>
      <c r="FQR45" s="1469"/>
      <c r="FQS45" s="1469"/>
      <c r="FQT45" s="1469"/>
      <c r="FQU45" s="1469"/>
      <c r="FQV45" s="1469"/>
      <c r="FQW45" s="1469"/>
      <c r="FQX45" s="1469"/>
      <c r="FQY45" s="1469"/>
      <c r="FQZ45" s="1469"/>
      <c r="FRA45" s="1469"/>
      <c r="FRB45" s="1469"/>
      <c r="FRC45" s="1469"/>
      <c r="FRD45" s="1469"/>
      <c r="FRE45" s="1469"/>
      <c r="FRF45" s="1469"/>
      <c r="FRG45" s="1469"/>
      <c r="FRH45" s="1469"/>
      <c r="FRI45" s="1469"/>
      <c r="FRJ45" s="1469"/>
      <c r="FRK45" s="1469"/>
      <c r="FRL45" s="1469"/>
      <c r="FRM45" s="1469"/>
      <c r="FRN45" s="1469"/>
      <c r="FRO45" s="1469"/>
      <c r="FRP45" s="1469"/>
      <c r="FRQ45" s="1469"/>
      <c r="FRR45" s="1469"/>
      <c r="FRS45" s="1469"/>
      <c r="FRT45" s="1469"/>
      <c r="FRU45" s="1469"/>
      <c r="FRV45" s="1469"/>
      <c r="FRW45" s="1469"/>
      <c r="FRX45" s="1469"/>
      <c r="FRY45" s="1469"/>
      <c r="FRZ45" s="1469"/>
      <c r="FSA45" s="1469"/>
      <c r="FSB45" s="1469"/>
      <c r="FSC45" s="1469"/>
      <c r="FSD45" s="1469"/>
      <c r="FSE45" s="1469"/>
      <c r="FSF45" s="1469"/>
      <c r="FSG45" s="1469"/>
      <c r="FSH45" s="1469"/>
      <c r="FSI45" s="1469"/>
      <c r="FSJ45" s="1469"/>
      <c r="FSK45" s="1469"/>
      <c r="FSL45" s="1469"/>
      <c r="FSM45" s="1469"/>
      <c r="FSN45" s="1469"/>
      <c r="FSO45" s="1469"/>
      <c r="FSP45" s="1469"/>
      <c r="FSQ45" s="1469"/>
      <c r="FSR45" s="1469"/>
      <c r="FSS45" s="1469"/>
      <c r="FST45" s="1469"/>
      <c r="FSU45" s="1469"/>
      <c r="FSV45" s="1469"/>
      <c r="FSW45" s="1469"/>
      <c r="FSX45" s="1469"/>
      <c r="FSY45" s="1469"/>
      <c r="FSZ45" s="1469"/>
      <c r="FTA45" s="1469"/>
      <c r="FTB45" s="1469"/>
      <c r="FTC45" s="1469"/>
      <c r="FTD45" s="1469"/>
      <c r="FTE45" s="1469"/>
      <c r="FTF45" s="1469"/>
      <c r="FTG45" s="1469"/>
      <c r="FTH45" s="1469"/>
      <c r="FTI45" s="1469"/>
      <c r="FTJ45" s="1469"/>
      <c r="FTK45" s="1469"/>
      <c r="FTL45" s="1469"/>
      <c r="FTM45" s="1469"/>
      <c r="FTN45" s="1469"/>
      <c r="FTO45" s="1469"/>
      <c r="FTP45" s="1469"/>
      <c r="FTQ45" s="1469"/>
      <c r="FTR45" s="1469"/>
      <c r="FTS45" s="1469"/>
      <c r="FTT45" s="1469"/>
      <c r="FTU45" s="1469"/>
      <c r="FTV45" s="1469"/>
      <c r="FTW45" s="1469"/>
      <c r="FTX45" s="1469"/>
      <c r="FTY45" s="1469"/>
      <c r="FTZ45" s="1469"/>
      <c r="FUA45" s="1469"/>
      <c r="FUB45" s="1469"/>
      <c r="FUC45" s="1469"/>
      <c r="FUD45" s="1469"/>
      <c r="FUE45" s="1469"/>
      <c r="FUF45" s="1469"/>
      <c r="FUG45" s="1469"/>
      <c r="FUH45" s="1469"/>
      <c r="FUI45" s="1469"/>
      <c r="FUJ45" s="1469"/>
      <c r="FUK45" s="1469"/>
      <c r="FUL45" s="1469"/>
      <c r="FUM45" s="1469"/>
      <c r="FUN45" s="1469"/>
      <c r="FUO45" s="1469"/>
      <c r="FUP45" s="1469"/>
      <c r="FUQ45" s="1469"/>
      <c r="FUR45" s="1469"/>
      <c r="FUS45" s="1469"/>
      <c r="FUT45" s="1469"/>
      <c r="FUU45" s="1469"/>
      <c r="FUV45" s="1469"/>
      <c r="FUW45" s="1469"/>
      <c r="FUX45" s="1469"/>
      <c r="FUY45" s="1469"/>
      <c r="FUZ45" s="1469"/>
      <c r="FVA45" s="1469"/>
      <c r="FVB45" s="1469"/>
      <c r="FVC45" s="1469"/>
      <c r="FVD45" s="1469"/>
      <c r="FVE45" s="1469"/>
      <c r="FVF45" s="1469"/>
      <c r="FVG45" s="1469"/>
      <c r="FVH45" s="1469"/>
      <c r="FVI45" s="1469"/>
      <c r="FVJ45" s="1469"/>
      <c r="FVK45" s="1469"/>
      <c r="FVL45" s="1469"/>
      <c r="FVM45" s="1469"/>
      <c r="FVN45" s="1469"/>
      <c r="FVO45" s="1469"/>
      <c r="FVP45" s="1469"/>
      <c r="FVQ45" s="1469"/>
      <c r="FVR45" s="1469"/>
      <c r="FVS45" s="1469"/>
      <c r="FVT45" s="1469"/>
      <c r="FVU45" s="1469"/>
      <c r="FVV45" s="1469"/>
      <c r="FVW45" s="1469"/>
      <c r="FVX45" s="1469"/>
      <c r="FVY45" s="1469"/>
      <c r="FVZ45" s="1469"/>
      <c r="FWA45" s="1469"/>
      <c r="FWB45" s="1469"/>
      <c r="FWC45" s="1469"/>
      <c r="FWD45" s="1469"/>
      <c r="FWE45" s="1469"/>
      <c r="FWF45" s="1469"/>
      <c r="FWG45" s="1469"/>
      <c r="FWH45" s="1469"/>
      <c r="FWI45" s="1469"/>
      <c r="FWJ45" s="1469"/>
      <c r="FWK45" s="1469"/>
      <c r="FWL45" s="1469"/>
      <c r="FWM45" s="1469"/>
      <c r="FWN45" s="1469"/>
      <c r="FWO45" s="1469"/>
      <c r="FWP45" s="1469"/>
      <c r="FWQ45" s="1469"/>
      <c r="FWR45" s="1469"/>
      <c r="FWS45" s="1469"/>
      <c r="FWT45" s="1469"/>
      <c r="FWU45" s="1469"/>
      <c r="FWV45" s="1469"/>
      <c r="FWW45" s="1469"/>
      <c r="FWX45" s="1469"/>
      <c r="FWY45" s="1469"/>
      <c r="FWZ45" s="1469"/>
      <c r="FXA45" s="1469"/>
      <c r="FXB45" s="1469"/>
      <c r="FXC45" s="1469"/>
      <c r="FXD45" s="1469"/>
      <c r="FXE45" s="1469"/>
      <c r="FXF45" s="1469"/>
      <c r="FXG45" s="1469"/>
      <c r="FXH45" s="1469"/>
      <c r="FXI45" s="1469"/>
      <c r="FXJ45" s="1469"/>
      <c r="FXK45" s="1469"/>
      <c r="FXL45" s="1469"/>
      <c r="FXM45" s="1469"/>
      <c r="FXN45" s="1469"/>
      <c r="FXO45" s="1469"/>
      <c r="FXP45" s="1469"/>
      <c r="FXQ45" s="1469"/>
      <c r="FXR45" s="1469"/>
      <c r="FXS45" s="1469"/>
      <c r="FXT45" s="1469"/>
      <c r="FXU45" s="1469"/>
      <c r="FXV45" s="1469"/>
      <c r="FXW45" s="1469"/>
      <c r="FXX45" s="1469"/>
      <c r="FXY45" s="1469"/>
      <c r="FXZ45" s="1469"/>
      <c r="FYA45" s="1469"/>
      <c r="FYB45" s="1469"/>
      <c r="FYC45" s="1469"/>
      <c r="FYD45" s="1469"/>
      <c r="FYE45" s="1469"/>
      <c r="FYF45" s="1469"/>
      <c r="FYG45" s="1469"/>
      <c r="FYH45" s="1469"/>
      <c r="FYI45" s="1469"/>
      <c r="FYJ45" s="1469"/>
      <c r="FYK45" s="1469"/>
      <c r="FYL45" s="1469"/>
      <c r="FYM45" s="1469"/>
      <c r="FYN45" s="1469"/>
      <c r="FYO45" s="1469"/>
      <c r="FYP45" s="1469"/>
      <c r="FYQ45" s="1469"/>
      <c r="FYR45" s="1469"/>
      <c r="FYS45" s="1469"/>
      <c r="FYT45" s="1469"/>
      <c r="FYU45" s="1469"/>
      <c r="FYV45" s="1469"/>
      <c r="FYW45" s="1469"/>
      <c r="FYX45" s="1469"/>
      <c r="FYY45" s="1469"/>
      <c r="FYZ45" s="1469"/>
      <c r="FZA45" s="1469"/>
      <c r="FZB45" s="1469"/>
      <c r="FZC45" s="1469"/>
      <c r="FZD45" s="1469"/>
      <c r="FZE45" s="1469"/>
      <c r="FZF45" s="1469"/>
      <c r="FZG45" s="1469"/>
      <c r="FZH45" s="1469"/>
      <c r="FZI45" s="1469"/>
      <c r="FZJ45" s="1469"/>
      <c r="FZK45" s="1469"/>
      <c r="FZL45" s="1469"/>
      <c r="FZM45" s="1469"/>
      <c r="FZN45" s="1469"/>
      <c r="FZO45" s="1469"/>
      <c r="FZP45" s="1469"/>
      <c r="FZQ45" s="1469"/>
      <c r="FZR45" s="1469"/>
      <c r="FZS45" s="1469"/>
      <c r="FZT45" s="1469"/>
      <c r="FZU45" s="1469"/>
      <c r="FZV45" s="1469"/>
      <c r="FZW45" s="1469"/>
      <c r="FZX45" s="1469"/>
      <c r="FZY45" s="1469"/>
      <c r="FZZ45" s="1469"/>
      <c r="GAA45" s="1469"/>
      <c r="GAB45" s="1469"/>
      <c r="GAC45" s="1469"/>
      <c r="GAD45" s="1469"/>
      <c r="GAE45" s="1469"/>
      <c r="GAF45" s="1469"/>
      <c r="GAG45" s="1469"/>
      <c r="GAH45" s="1469"/>
      <c r="GAI45" s="1469"/>
      <c r="GAJ45" s="1469"/>
      <c r="GAK45" s="1469"/>
      <c r="GAL45" s="1469"/>
      <c r="GAM45" s="1469"/>
      <c r="GAN45" s="1469"/>
      <c r="GAO45" s="1469"/>
      <c r="GAP45" s="1469"/>
      <c r="GAQ45" s="1469"/>
      <c r="GAR45" s="1469"/>
      <c r="GAS45" s="1469"/>
      <c r="GAT45" s="1469"/>
      <c r="GAU45" s="1469"/>
      <c r="GAV45" s="1469"/>
      <c r="GAW45" s="1469"/>
      <c r="GAX45" s="1469"/>
      <c r="GAY45" s="1469"/>
      <c r="GAZ45" s="1469"/>
      <c r="GBA45" s="1469"/>
      <c r="GBB45" s="1469"/>
      <c r="GBC45" s="1469"/>
      <c r="GBD45" s="1469"/>
      <c r="GBE45" s="1469"/>
      <c r="GBF45" s="1469"/>
      <c r="GBG45" s="1469"/>
      <c r="GBH45" s="1469"/>
      <c r="GBI45" s="1469"/>
      <c r="GBJ45" s="1469"/>
      <c r="GBK45" s="1469"/>
      <c r="GBL45" s="1469"/>
      <c r="GBM45" s="1469"/>
      <c r="GBN45" s="1469"/>
      <c r="GBO45" s="1469"/>
      <c r="GBP45" s="1469"/>
      <c r="GBQ45" s="1469"/>
      <c r="GBR45" s="1469"/>
      <c r="GBS45" s="1469"/>
      <c r="GBT45" s="1469"/>
      <c r="GBU45" s="1469"/>
      <c r="GBV45" s="1469"/>
      <c r="GBW45" s="1469"/>
      <c r="GBX45" s="1469"/>
      <c r="GBY45" s="1469"/>
      <c r="GBZ45" s="1469"/>
      <c r="GCA45" s="1469"/>
      <c r="GCB45" s="1469"/>
      <c r="GCC45" s="1469"/>
      <c r="GCD45" s="1469"/>
      <c r="GCE45" s="1469"/>
      <c r="GCF45" s="1469"/>
      <c r="GCG45" s="1469"/>
      <c r="GCH45" s="1469"/>
      <c r="GCI45" s="1469"/>
      <c r="GCJ45" s="1469"/>
      <c r="GCK45" s="1469"/>
      <c r="GCL45" s="1469"/>
      <c r="GCM45" s="1469"/>
      <c r="GCN45" s="1469"/>
      <c r="GCO45" s="1469"/>
      <c r="GCP45" s="1469"/>
      <c r="GCQ45" s="1469"/>
      <c r="GCR45" s="1469"/>
      <c r="GCS45" s="1469"/>
      <c r="GCT45" s="1469"/>
      <c r="GCU45" s="1469"/>
      <c r="GCV45" s="1469"/>
      <c r="GCW45" s="1469"/>
      <c r="GCX45" s="1469"/>
      <c r="GCY45" s="1469"/>
      <c r="GCZ45" s="1469"/>
      <c r="GDA45" s="1469"/>
      <c r="GDB45" s="1469"/>
      <c r="GDC45" s="1469"/>
      <c r="GDD45" s="1469"/>
      <c r="GDE45" s="1469"/>
      <c r="GDF45" s="1469"/>
      <c r="GDG45" s="1469"/>
      <c r="GDH45" s="1469"/>
      <c r="GDI45" s="1469"/>
      <c r="GDJ45" s="1469"/>
      <c r="GDK45" s="1469"/>
      <c r="GDL45" s="1469"/>
      <c r="GDM45" s="1469"/>
      <c r="GDN45" s="1469"/>
      <c r="GDO45" s="1469"/>
      <c r="GDP45" s="1469"/>
      <c r="GDQ45" s="1469"/>
      <c r="GDR45" s="1469"/>
      <c r="GDS45" s="1469"/>
      <c r="GDT45" s="1469"/>
      <c r="GDU45" s="1469"/>
      <c r="GDV45" s="1469"/>
      <c r="GDW45" s="1469"/>
      <c r="GDX45" s="1469"/>
      <c r="GDY45" s="1469"/>
      <c r="GDZ45" s="1469"/>
      <c r="GEA45" s="1469"/>
      <c r="GEB45" s="1469"/>
      <c r="GEC45" s="1469"/>
      <c r="GED45" s="1469"/>
      <c r="GEE45" s="1469"/>
      <c r="GEF45" s="1469"/>
      <c r="GEG45" s="1469"/>
      <c r="GEH45" s="1469"/>
      <c r="GEI45" s="1469"/>
      <c r="GEJ45" s="1469"/>
      <c r="GEK45" s="1469"/>
      <c r="GEL45" s="1469"/>
      <c r="GEM45" s="1469"/>
      <c r="GEN45" s="1469"/>
      <c r="GEO45" s="1469"/>
      <c r="GEP45" s="1469"/>
      <c r="GEQ45" s="1469"/>
      <c r="GER45" s="1469"/>
      <c r="GES45" s="1469"/>
      <c r="GET45" s="1469"/>
      <c r="GEU45" s="1469"/>
      <c r="GEV45" s="1469"/>
      <c r="GEW45" s="1469"/>
      <c r="GEX45" s="1469"/>
      <c r="GEY45" s="1469"/>
      <c r="GEZ45" s="1469"/>
      <c r="GFA45" s="1469"/>
      <c r="GFB45" s="1469"/>
      <c r="GFC45" s="1469"/>
      <c r="GFD45" s="1469"/>
      <c r="GFE45" s="1469"/>
      <c r="GFF45" s="1469"/>
      <c r="GFG45" s="1469"/>
      <c r="GFH45" s="1469"/>
      <c r="GFI45" s="1469"/>
      <c r="GFJ45" s="1469"/>
      <c r="GFK45" s="1469"/>
      <c r="GFL45" s="1469"/>
      <c r="GFM45" s="1469"/>
      <c r="GFN45" s="1469"/>
      <c r="GFO45" s="1469"/>
      <c r="GFP45" s="1469"/>
      <c r="GFQ45" s="1469"/>
      <c r="GFR45" s="1469"/>
      <c r="GFS45" s="1469"/>
      <c r="GFT45" s="1469"/>
      <c r="GFU45" s="1469"/>
      <c r="GFV45" s="1469"/>
      <c r="GFW45" s="1469"/>
      <c r="GFX45" s="1469"/>
      <c r="GFY45" s="1469"/>
      <c r="GFZ45" s="1469"/>
      <c r="GGA45" s="1469"/>
      <c r="GGB45" s="1469"/>
      <c r="GGC45" s="1469"/>
      <c r="GGD45" s="1469"/>
      <c r="GGE45" s="1469"/>
      <c r="GGF45" s="1469"/>
      <c r="GGG45" s="1469"/>
      <c r="GGH45" s="1469"/>
      <c r="GGI45" s="1469"/>
      <c r="GGJ45" s="1469"/>
      <c r="GGK45" s="1469"/>
      <c r="GGL45" s="1469"/>
      <c r="GGM45" s="1469"/>
      <c r="GGN45" s="1469"/>
      <c r="GGO45" s="1469"/>
      <c r="GGP45" s="1469"/>
      <c r="GGQ45" s="1469"/>
      <c r="GGR45" s="1469"/>
      <c r="GGS45" s="1469"/>
      <c r="GGT45" s="1469"/>
      <c r="GGU45" s="1469"/>
      <c r="GGV45" s="1469"/>
      <c r="GGW45" s="1469"/>
      <c r="GGX45" s="1469"/>
      <c r="GGY45" s="1469"/>
      <c r="GGZ45" s="1469"/>
      <c r="GHA45" s="1469"/>
      <c r="GHB45" s="1469"/>
      <c r="GHC45" s="1469"/>
      <c r="GHD45" s="1469"/>
      <c r="GHE45" s="1469"/>
      <c r="GHF45" s="1469"/>
      <c r="GHG45" s="1469"/>
      <c r="GHH45" s="1469"/>
      <c r="GHI45" s="1469"/>
      <c r="GHJ45" s="1469"/>
      <c r="GHK45" s="1469"/>
      <c r="GHL45" s="1469"/>
      <c r="GHM45" s="1469"/>
      <c r="GHN45" s="1469"/>
      <c r="GHO45" s="1469"/>
      <c r="GHP45" s="1469"/>
      <c r="GHQ45" s="1469"/>
      <c r="GHR45" s="1469"/>
      <c r="GHS45" s="1469"/>
      <c r="GHT45" s="1469"/>
      <c r="GHU45" s="1469"/>
      <c r="GHV45" s="1469"/>
      <c r="GHW45" s="1469"/>
      <c r="GHX45" s="1469"/>
      <c r="GHY45" s="1469"/>
      <c r="GHZ45" s="1469"/>
      <c r="GIA45" s="1469"/>
      <c r="GIB45" s="1469"/>
      <c r="GIC45" s="1469"/>
      <c r="GID45" s="1469"/>
      <c r="GIE45" s="1469"/>
      <c r="GIF45" s="1469"/>
      <c r="GIG45" s="1469"/>
      <c r="GIH45" s="1469"/>
      <c r="GII45" s="1469"/>
      <c r="GIJ45" s="1469"/>
      <c r="GIK45" s="1469"/>
      <c r="GIL45" s="1469"/>
      <c r="GIM45" s="1469"/>
      <c r="GIN45" s="1469"/>
      <c r="GIO45" s="1469"/>
      <c r="GIP45" s="1469"/>
      <c r="GIQ45" s="1469"/>
      <c r="GIR45" s="1469"/>
      <c r="GIS45" s="1469"/>
      <c r="GIT45" s="1469"/>
      <c r="GIU45" s="1469"/>
      <c r="GIV45" s="1469"/>
      <c r="GIW45" s="1469"/>
      <c r="GIX45" s="1469"/>
      <c r="GIY45" s="1469"/>
      <c r="GIZ45" s="1469"/>
      <c r="GJA45" s="1469"/>
      <c r="GJB45" s="1469"/>
      <c r="GJC45" s="1469"/>
      <c r="GJD45" s="1469"/>
      <c r="GJE45" s="1469"/>
      <c r="GJF45" s="1469"/>
      <c r="GJG45" s="1469"/>
      <c r="GJH45" s="1469"/>
      <c r="GJI45" s="1469"/>
      <c r="GJJ45" s="1469"/>
      <c r="GJK45" s="1469"/>
      <c r="GJL45" s="1469"/>
      <c r="GJM45" s="1469"/>
      <c r="GJN45" s="1469"/>
      <c r="GJO45" s="1469"/>
      <c r="GJP45" s="1469"/>
      <c r="GJQ45" s="1469"/>
      <c r="GJR45" s="1469"/>
      <c r="GJS45" s="1469"/>
      <c r="GJT45" s="1469"/>
      <c r="GJU45" s="1469"/>
      <c r="GJV45" s="1469"/>
      <c r="GJW45" s="1469"/>
      <c r="GJX45" s="1469"/>
      <c r="GJY45" s="1469"/>
      <c r="GJZ45" s="1469"/>
      <c r="GKA45" s="1469"/>
      <c r="GKB45" s="1469"/>
      <c r="GKC45" s="1469"/>
      <c r="GKD45" s="1469"/>
      <c r="GKE45" s="1469"/>
      <c r="GKF45" s="1469"/>
      <c r="GKG45" s="1469"/>
      <c r="GKH45" s="1469"/>
      <c r="GKI45" s="1469"/>
      <c r="GKJ45" s="1469"/>
      <c r="GKK45" s="1469"/>
      <c r="GKL45" s="1469"/>
      <c r="GKM45" s="1469"/>
      <c r="GKN45" s="1469"/>
      <c r="GKO45" s="1469"/>
      <c r="GKP45" s="1469"/>
      <c r="GKQ45" s="1469"/>
      <c r="GKR45" s="1469"/>
      <c r="GKS45" s="1469"/>
      <c r="GKT45" s="1469"/>
      <c r="GKU45" s="1469"/>
      <c r="GKV45" s="1469"/>
      <c r="GKW45" s="1469"/>
      <c r="GKX45" s="1469"/>
      <c r="GKY45" s="1469"/>
      <c r="GKZ45" s="1469"/>
      <c r="GLA45" s="1469"/>
      <c r="GLB45" s="1469"/>
      <c r="GLC45" s="1469"/>
      <c r="GLD45" s="1469"/>
      <c r="GLE45" s="1469"/>
      <c r="GLF45" s="1469"/>
      <c r="GLG45" s="1469"/>
      <c r="GLH45" s="1469"/>
      <c r="GLI45" s="1469"/>
      <c r="GLJ45" s="1469"/>
      <c r="GLK45" s="1469"/>
      <c r="GLL45" s="1469"/>
      <c r="GLM45" s="1469"/>
      <c r="GLN45" s="1469"/>
      <c r="GLO45" s="1469"/>
      <c r="GLP45" s="1469"/>
      <c r="GLQ45" s="1469"/>
      <c r="GLR45" s="1469"/>
      <c r="GLS45" s="1469"/>
      <c r="GLT45" s="1469"/>
      <c r="GLU45" s="1469"/>
      <c r="GLV45" s="1469"/>
      <c r="GLW45" s="1469"/>
      <c r="GLX45" s="1469"/>
      <c r="GLY45" s="1469"/>
      <c r="GLZ45" s="1469"/>
      <c r="GMA45" s="1469"/>
      <c r="GMB45" s="1469"/>
      <c r="GMC45" s="1469"/>
      <c r="GMD45" s="1469"/>
      <c r="GME45" s="1469"/>
      <c r="GMF45" s="1469"/>
      <c r="GMG45" s="1469"/>
      <c r="GMH45" s="1469"/>
      <c r="GMI45" s="1469"/>
      <c r="GMJ45" s="1469"/>
      <c r="GMK45" s="1469"/>
      <c r="GML45" s="1469"/>
      <c r="GMM45" s="1469"/>
      <c r="GMN45" s="1469"/>
      <c r="GMO45" s="1469"/>
      <c r="GMP45" s="1469"/>
      <c r="GMQ45" s="1469"/>
      <c r="GMR45" s="1469"/>
      <c r="GMS45" s="1469"/>
      <c r="GMT45" s="1469"/>
      <c r="GMU45" s="1469"/>
      <c r="GMV45" s="1469"/>
      <c r="GMW45" s="1469"/>
      <c r="GMX45" s="1469"/>
      <c r="GMY45" s="1469"/>
      <c r="GMZ45" s="1469"/>
      <c r="GNA45" s="1469"/>
      <c r="GNB45" s="1469"/>
      <c r="GNC45" s="1469"/>
      <c r="GND45" s="1469"/>
      <c r="GNE45" s="1469"/>
      <c r="GNF45" s="1469"/>
      <c r="GNG45" s="1469"/>
      <c r="GNH45" s="1469"/>
      <c r="GNI45" s="1469"/>
      <c r="GNJ45" s="1469"/>
      <c r="GNK45" s="1469"/>
      <c r="GNL45" s="1469"/>
      <c r="GNM45" s="1469"/>
      <c r="GNN45" s="1469"/>
      <c r="GNO45" s="1469"/>
      <c r="GNP45" s="1469"/>
      <c r="GNQ45" s="1469"/>
      <c r="GNR45" s="1469"/>
      <c r="GNS45" s="1469"/>
      <c r="GNT45" s="1469"/>
      <c r="GNU45" s="1469"/>
      <c r="GNV45" s="1469"/>
      <c r="GNW45" s="1469"/>
      <c r="GNX45" s="1469"/>
      <c r="GNY45" s="1469"/>
      <c r="GNZ45" s="1469"/>
      <c r="GOA45" s="1469"/>
      <c r="GOB45" s="1469"/>
      <c r="GOC45" s="1469"/>
      <c r="GOD45" s="1469"/>
      <c r="GOE45" s="1469"/>
      <c r="GOF45" s="1469"/>
      <c r="GOG45" s="1469"/>
      <c r="GOH45" s="1469"/>
      <c r="GOI45" s="1469"/>
      <c r="GOJ45" s="1469"/>
      <c r="GOK45" s="1469"/>
      <c r="GOL45" s="1469"/>
      <c r="GOM45" s="1469"/>
      <c r="GON45" s="1469"/>
      <c r="GOO45" s="1469"/>
      <c r="GOP45" s="1469"/>
      <c r="GOQ45" s="1469"/>
      <c r="GOR45" s="1469"/>
      <c r="GOS45" s="1469"/>
      <c r="GOT45" s="1469"/>
      <c r="GOU45" s="1469"/>
      <c r="GOV45" s="1469"/>
      <c r="GOW45" s="1469"/>
      <c r="GOX45" s="1469"/>
      <c r="GOY45" s="1469"/>
      <c r="GOZ45" s="1469"/>
      <c r="GPA45" s="1469"/>
      <c r="GPB45" s="1469"/>
      <c r="GPC45" s="1469"/>
      <c r="GPD45" s="1469"/>
      <c r="GPE45" s="1469"/>
      <c r="GPF45" s="1469"/>
      <c r="GPG45" s="1469"/>
      <c r="GPH45" s="1469"/>
      <c r="GPI45" s="1469"/>
      <c r="GPJ45" s="1469"/>
      <c r="GPK45" s="1469"/>
      <c r="GPL45" s="1469"/>
      <c r="GPM45" s="1469"/>
      <c r="GPN45" s="1469"/>
      <c r="GPO45" s="1469"/>
      <c r="GPP45" s="1469"/>
      <c r="GPQ45" s="1469"/>
      <c r="GPR45" s="1469"/>
      <c r="GPS45" s="1469"/>
      <c r="GPT45" s="1469"/>
      <c r="GPU45" s="1469"/>
      <c r="GPV45" s="1469"/>
      <c r="GPW45" s="1469"/>
      <c r="GPX45" s="1469"/>
      <c r="GPY45" s="1469"/>
      <c r="GPZ45" s="1469"/>
      <c r="GQA45" s="1469"/>
      <c r="GQB45" s="1469"/>
      <c r="GQC45" s="1469"/>
      <c r="GQD45" s="1469"/>
      <c r="GQE45" s="1469"/>
      <c r="GQF45" s="1469"/>
      <c r="GQG45" s="1469"/>
      <c r="GQH45" s="1469"/>
      <c r="GQI45" s="1469"/>
      <c r="GQJ45" s="1469"/>
      <c r="GQK45" s="1469"/>
      <c r="GQL45" s="1469"/>
      <c r="GQM45" s="1469"/>
      <c r="GQN45" s="1469"/>
      <c r="GQO45" s="1469"/>
      <c r="GQP45" s="1469"/>
      <c r="GQQ45" s="1469"/>
      <c r="GQR45" s="1469"/>
      <c r="GQS45" s="1469"/>
      <c r="GQT45" s="1469"/>
      <c r="GQU45" s="1469"/>
      <c r="GQV45" s="1469"/>
      <c r="GQW45" s="1469"/>
      <c r="GQX45" s="1469"/>
      <c r="GQY45" s="1469"/>
      <c r="GQZ45" s="1469"/>
      <c r="GRA45" s="1469"/>
      <c r="GRB45" s="1469"/>
      <c r="GRC45" s="1469"/>
      <c r="GRD45" s="1469"/>
      <c r="GRE45" s="1469"/>
      <c r="GRF45" s="1469"/>
      <c r="GRG45" s="1469"/>
      <c r="GRH45" s="1469"/>
      <c r="GRI45" s="1469"/>
      <c r="GRJ45" s="1469"/>
      <c r="GRK45" s="1469"/>
      <c r="GRL45" s="1469"/>
      <c r="GRM45" s="1469"/>
      <c r="GRN45" s="1469"/>
      <c r="GRO45" s="1469"/>
      <c r="GRP45" s="1469"/>
      <c r="GRQ45" s="1469"/>
      <c r="GRR45" s="1469"/>
      <c r="GRS45" s="1469"/>
      <c r="GRT45" s="1469"/>
      <c r="GRU45" s="1469"/>
      <c r="GRV45" s="1469"/>
      <c r="GRW45" s="1469"/>
      <c r="GRX45" s="1469"/>
      <c r="GRY45" s="1469"/>
      <c r="GRZ45" s="1469"/>
      <c r="GSA45" s="1469"/>
      <c r="GSB45" s="1469"/>
      <c r="GSC45" s="1469"/>
      <c r="GSD45" s="1469"/>
      <c r="GSE45" s="1469"/>
      <c r="GSF45" s="1469"/>
      <c r="GSG45" s="1469"/>
      <c r="GSH45" s="1469"/>
      <c r="GSI45" s="1469"/>
      <c r="GSJ45" s="1469"/>
      <c r="GSK45" s="1469"/>
      <c r="GSL45" s="1469"/>
      <c r="GSM45" s="1469"/>
      <c r="GSN45" s="1469"/>
      <c r="GSO45" s="1469"/>
      <c r="GSP45" s="1469"/>
      <c r="GSQ45" s="1469"/>
      <c r="GSR45" s="1469"/>
      <c r="GSS45" s="1469"/>
      <c r="GST45" s="1469"/>
      <c r="GSU45" s="1469"/>
      <c r="GSV45" s="1469"/>
      <c r="GSW45" s="1469"/>
      <c r="GSX45" s="1469"/>
      <c r="GSY45" s="1469"/>
      <c r="GSZ45" s="1469"/>
      <c r="GTA45" s="1469"/>
      <c r="GTB45" s="1469"/>
      <c r="GTC45" s="1469"/>
      <c r="GTD45" s="1469"/>
      <c r="GTE45" s="1469"/>
      <c r="GTF45" s="1469"/>
      <c r="GTG45" s="1469"/>
      <c r="GTH45" s="1469"/>
      <c r="GTI45" s="1469"/>
      <c r="GTJ45" s="1469"/>
      <c r="GTK45" s="1469"/>
      <c r="GTL45" s="1469"/>
      <c r="GTM45" s="1469"/>
      <c r="GTN45" s="1469"/>
      <c r="GTO45" s="1469"/>
      <c r="GTP45" s="1469"/>
      <c r="GTQ45" s="1469"/>
      <c r="GTR45" s="1469"/>
      <c r="GTS45" s="1469"/>
      <c r="GTT45" s="1469"/>
      <c r="GTU45" s="1469"/>
      <c r="GTV45" s="1469"/>
      <c r="GTW45" s="1469"/>
      <c r="GTX45" s="1469"/>
      <c r="GTY45" s="1469"/>
      <c r="GTZ45" s="1469"/>
      <c r="GUA45" s="1469"/>
      <c r="GUB45" s="1469"/>
      <c r="GUC45" s="1469"/>
      <c r="GUD45" s="1469"/>
      <c r="GUE45" s="1469"/>
      <c r="GUF45" s="1469"/>
      <c r="GUG45" s="1469"/>
      <c r="GUH45" s="1469"/>
      <c r="GUI45" s="1469"/>
      <c r="GUJ45" s="1469"/>
      <c r="GUK45" s="1469"/>
      <c r="GUL45" s="1469"/>
      <c r="GUM45" s="1469"/>
      <c r="GUN45" s="1469"/>
      <c r="GUO45" s="1469"/>
      <c r="GUP45" s="1469"/>
      <c r="GUQ45" s="1469"/>
      <c r="GUR45" s="1469"/>
      <c r="GUS45" s="1469"/>
      <c r="GUT45" s="1469"/>
      <c r="GUU45" s="1469"/>
      <c r="GUV45" s="1469"/>
      <c r="GUW45" s="1469"/>
      <c r="GUX45" s="1469"/>
      <c r="GUY45" s="1469"/>
      <c r="GUZ45" s="1469"/>
      <c r="GVA45" s="1469"/>
      <c r="GVB45" s="1469"/>
      <c r="GVC45" s="1469"/>
      <c r="GVD45" s="1469"/>
      <c r="GVE45" s="1469"/>
      <c r="GVF45" s="1469"/>
      <c r="GVG45" s="1469"/>
      <c r="GVH45" s="1469"/>
      <c r="GVI45" s="1469"/>
      <c r="GVJ45" s="1469"/>
      <c r="GVK45" s="1469"/>
      <c r="GVL45" s="1469"/>
      <c r="GVM45" s="1469"/>
      <c r="GVN45" s="1469"/>
      <c r="GVO45" s="1469"/>
      <c r="GVP45" s="1469"/>
      <c r="GVQ45" s="1469"/>
      <c r="GVR45" s="1469"/>
      <c r="GVS45" s="1469"/>
      <c r="GVT45" s="1469"/>
      <c r="GVU45" s="1469"/>
      <c r="GVV45" s="1469"/>
      <c r="GVW45" s="1469"/>
      <c r="GVX45" s="1469"/>
      <c r="GVY45" s="1469"/>
      <c r="GVZ45" s="1469"/>
      <c r="GWA45" s="1469"/>
      <c r="GWB45" s="1469"/>
      <c r="GWC45" s="1469"/>
      <c r="GWD45" s="1469"/>
      <c r="GWE45" s="1469"/>
      <c r="GWF45" s="1469"/>
      <c r="GWG45" s="1469"/>
      <c r="GWH45" s="1469"/>
      <c r="GWI45" s="1469"/>
      <c r="GWJ45" s="1469"/>
      <c r="GWK45" s="1469"/>
      <c r="GWL45" s="1469"/>
      <c r="GWM45" s="1469"/>
      <c r="GWN45" s="1469"/>
      <c r="GWO45" s="1469"/>
      <c r="GWP45" s="1469"/>
      <c r="GWQ45" s="1469"/>
      <c r="GWR45" s="1469"/>
      <c r="GWS45" s="1469"/>
      <c r="GWT45" s="1469"/>
      <c r="GWU45" s="1469"/>
      <c r="GWV45" s="1469"/>
      <c r="GWW45" s="1469"/>
      <c r="GWX45" s="1469"/>
      <c r="GWY45" s="1469"/>
      <c r="GWZ45" s="1469"/>
      <c r="GXA45" s="1469"/>
      <c r="GXB45" s="1469"/>
      <c r="GXC45" s="1469"/>
      <c r="GXD45" s="1469"/>
      <c r="GXE45" s="1469"/>
      <c r="GXF45" s="1469"/>
      <c r="GXG45" s="1469"/>
      <c r="GXH45" s="1469"/>
      <c r="GXI45" s="1469"/>
      <c r="GXJ45" s="1469"/>
      <c r="GXK45" s="1469"/>
      <c r="GXL45" s="1469"/>
      <c r="GXM45" s="1469"/>
      <c r="GXN45" s="1469"/>
      <c r="GXO45" s="1469"/>
      <c r="GXP45" s="1469"/>
      <c r="GXQ45" s="1469"/>
      <c r="GXR45" s="1469"/>
      <c r="GXS45" s="1469"/>
      <c r="GXT45" s="1469"/>
      <c r="GXU45" s="1469"/>
      <c r="GXV45" s="1469"/>
      <c r="GXW45" s="1469"/>
      <c r="GXX45" s="1469"/>
      <c r="GXY45" s="1469"/>
      <c r="GXZ45" s="1469"/>
      <c r="GYA45" s="1469"/>
      <c r="GYB45" s="1469"/>
      <c r="GYC45" s="1469"/>
      <c r="GYD45" s="1469"/>
      <c r="GYE45" s="1469"/>
      <c r="GYF45" s="1469"/>
      <c r="GYG45" s="1469"/>
      <c r="GYH45" s="1469"/>
      <c r="GYI45" s="1469"/>
      <c r="GYJ45" s="1469"/>
      <c r="GYK45" s="1469"/>
      <c r="GYL45" s="1469"/>
      <c r="GYM45" s="1469"/>
      <c r="GYN45" s="1469"/>
      <c r="GYO45" s="1469"/>
      <c r="GYP45" s="1469"/>
      <c r="GYQ45" s="1469"/>
      <c r="GYR45" s="1469"/>
      <c r="GYS45" s="1469"/>
      <c r="GYT45" s="1469"/>
      <c r="GYU45" s="1469"/>
      <c r="GYV45" s="1469"/>
      <c r="GYW45" s="1469"/>
      <c r="GYX45" s="1469"/>
      <c r="GYY45" s="1469"/>
      <c r="GYZ45" s="1469"/>
      <c r="GZA45" s="1469"/>
      <c r="GZB45" s="1469"/>
      <c r="GZC45" s="1469"/>
      <c r="GZD45" s="1469"/>
      <c r="GZE45" s="1469"/>
      <c r="GZF45" s="1469"/>
      <c r="GZG45" s="1469"/>
      <c r="GZH45" s="1469"/>
      <c r="GZI45" s="1469"/>
      <c r="GZJ45" s="1469"/>
      <c r="GZK45" s="1469"/>
      <c r="GZL45" s="1469"/>
      <c r="GZM45" s="1469"/>
      <c r="GZN45" s="1469"/>
      <c r="GZO45" s="1469"/>
      <c r="GZP45" s="1469"/>
      <c r="GZQ45" s="1469"/>
      <c r="GZR45" s="1469"/>
      <c r="GZS45" s="1469"/>
      <c r="GZT45" s="1469"/>
      <c r="GZU45" s="1469"/>
      <c r="GZV45" s="1469"/>
      <c r="GZW45" s="1469"/>
      <c r="GZX45" s="1469"/>
      <c r="GZY45" s="1469"/>
      <c r="GZZ45" s="1469"/>
      <c r="HAA45" s="1469"/>
      <c r="HAB45" s="1469"/>
      <c r="HAC45" s="1469"/>
      <c r="HAD45" s="1469"/>
      <c r="HAE45" s="1469"/>
      <c r="HAF45" s="1469"/>
      <c r="HAG45" s="1469"/>
      <c r="HAH45" s="1469"/>
      <c r="HAI45" s="1469"/>
      <c r="HAJ45" s="1469"/>
      <c r="HAK45" s="1469"/>
      <c r="HAL45" s="1469"/>
      <c r="HAM45" s="1469"/>
      <c r="HAN45" s="1469"/>
      <c r="HAO45" s="1469"/>
      <c r="HAP45" s="1469"/>
      <c r="HAQ45" s="1469"/>
      <c r="HAR45" s="1469"/>
      <c r="HAS45" s="1469"/>
      <c r="HAT45" s="1469"/>
      <c r="HAU45" s="1469"/>
      <c r="HAV45" s="1469"/>
      <c r="HAW45" s="1469"/>
      <c r="HAX45" s="1469"/>
      <c r="HAY45" s="1469"/>
      <c r="HAZ45" s="1469"/>
      <c r="HBA45" s="1469"/>
      <c r="HBB45" s="1469"/>
      <c r="HBC45" s="1469"/>
      <c r="HBD45" s="1469"/>
      <c r="HBE45" s="1469"/>
      <c r="HBF45" s="1469"/>
      <c r="HBG45" s="1469"/>
      <c r="HBH45" s="1469"/>
      <c r="HBI45" s="1469"/>
      <c r="HBJ45" s="1469"/>
      <c r="HBK45" s="1469"/>
      <c r="HBL45" s="1469"/>
      <c r="HBM45" s="1469"/>
      <c r="HBN45" s="1469"/>
      <c r="HBO45" s="1469"/>
      <c r="HBP45" s="1469"/>
      <c r="HBQ45" s="1469"/>
      <c r="HBR45" s="1469"/>
      <c r="HBS45" s="1469"/>
      <c r="HBT45" s="1469"/>
      <c r="HBU45" s="1469"/>
      <c r="HBV45" s="1469"/>
      <c r="HBW45" s="1469"/>
      <c r="HBX45" s="1469"/>
      <c r="HBY45" s="1469"/>
      <c r="HBZ45" s="1469"/>
      <c r="HCA45" s="1469"/>
      <c r="HCB45" s="1469"/>
      <c r="HCC45" s="1469"/>
      <c r="HCD45" s="1469"/>
      <c r="HCE45" s="1469"/>
      <c r="HCF45" s="1469"/>
      <c r="HCG45" s="1469"/>
      <c r="HCH45" s="1469"/>
      <c r="HCI45" s="1469"/>
      <c r="HCJ45" s="1469"/>
      <c r="HCK45" s="1469"/>
      <c r="HCL45" s="1469"/>
      <c r="HCM45" s="1469"/>
      <c r="HCN45" s="1469"/>
      <c r="HCO45" s="1469"/>
      <c r="HCP45" s="1469"/>
      <c r="HCQ45" s="1469"/>
      <c r="HCR45" s="1469"/>
      <c r="HCS45" s="1469"/>
      <c r="HCT45" s="1469"/>
      <c r="HCU45" s="1469"/>
      <c r="HCV45" s="1469"/>
      <c r="HCW45" s="1469"/>
      <c r="HCX45" s="1469"/>
      <c r="HCY45" s="1469"/>
      <c r="HCZ45" s="1469"/>
      <c r="HDA45" s="1469"/>
      <c r="HDB45" s="1469"/>
      <c r="HDC45" s="1469"/>
      <c r="HDD45" s="1469"/>
      <c r="HDE45" s="1469"/>
      <c r="HDF45" s="1469"/>
      <c r="HDG45" s="1469"/>
      <c r="HDH45" s="1469"/>
      <c r="HDI45" s="1469"/>
      <c r="HDJ45" s="1469"/>
      <c r="HDK45" s="1469"/>
      <c r="HDL45" s="1469"/>
      <c r="HDM45" s="1469"/>
      <c r="HDN45" s="1469"/>
      <c r="HDO45" s="1469"/>
      <c r="HDP45" s="1469"/>
      <c r="HDQ45" s="1469"/>
      <c r="HDR45" s="1469"/>
      <c r="HDS45" s="1469"/>
      <c r="HDT45" s="1469"/>
      <c r="HDU45" s="1469"/>
      <c r="HDV45" s="1469"/>
      <c r="HDW45" s="1469"/>
      <c r="HDX45" s="1469"/>
      <c r="HDY45" s="1469"/>
      <c r="HDZ45" s="1469"/>
      <c r="HEA45" s="1469"/>
      <c r="HEB45" s="1469"/>
      <c r="HEC45" s="1469"/>
      <c r="HED45" s="1469"/>
      <c r="HEE45" s="1469"/>
      <c r="HEF45" s="1469"/>
      <c r="HEG45" s="1469"/>
      <c r="HEH45" s="1469"/>
      <c r="HEI45" s="1469"/>
      <c r="HEJ45" s="1469"/>
      <c r="HEK45" s="1469"/>
      <c r="HEL45" s="1469"/>
      <c r="HEM45" s="1469"/>
      <c r="HEN45" s="1469"/>
      <c r="HEO45" s="1469"/>
      <c r="HEP45" s="1469"/>
      <c r="HEQ45" s="1469"/>
      <c r="HER45" s="1469"/>
      <c r="HES45" s="1469"/>
      <c r="HET45" s="1469"/>
      <c r="HEU45" s="1469"/>
      <c r="HEV45" s="1469"/>
      <c r="HEW45" s="1469"/>
      <c r="HEX45" s="1469"/>
      <c r="HEY45" s="1469"/>
      <c r="HEZ45" s="1469"/>
      <c r="HFA45" s="1469"/>
      <c r="HFB45" s="1469"/>
      <c r="HFC45" s="1469"/>
      <c r="HFD45" s="1469"/>
      <c r="HFE45" s="1469"/>
      <c r="HFF45" s="1469"/>
      <c r="HFG45" s="1469"/>
      <c r="HFH45" s="1469"/>
      <c r="HFI45" s="1469"/>
      <c r="HFJ45" s="1469"/>
      <c r="HFK45" s="1469"/>
      <c r="HFL45" s="1469"/>
      <c r="HFM45" s="1469"/>
      <c r="HFN45" s="1469"/>
      <c r="HFO45" s="1469"/>
      <c r="HFP45" s="1469"/>
      <c r="HFQ45" s="1469"/>
      <c r="HFR45" s="1469"/>
      <c r="HFS45" s="1469"/>
      <c r="HFT45" s="1469"/>
      <c r="HFU45" s="1469"/>
      <c r="HFV45" s="1469"/>
      <c r="HFW45" s="1469"/>
      <c r="HFX45" s="1469"/>
      <c r="HFY45" s="1469"/>
      <c r="HFZ45" s="1469"/>
      <c r="HGA45" s="1469"/>
      <c r="HGB45" s="1469"/>
      <c r="HGC45" s="1469"/>
      <c r="HGD45" s="1469"/>
      <c r="HGE45" s="1469"/>
      <c r="HGF45" s="1469"/>
      <c r="HGG45" s="1469"/>
      <c r="HGH45" s="1469"/>
      <c r="HGI45" s="1469"/>
      <c r="HGJ45" s="1469"/>
      <c r="HGK45" s="1469"/>
      <c r="HGL45" s="1469"/>
      <c r="HGM45" s="1469"/>
      <c r="HGN45" s="1469"/>
      <c r="HGO45" s="1469"/>
      <c r="HGP45" s="1469"/>
      <c r="HGQ45" s="1469"/>
      <c r="HGR45" s="1469"/>
      <c r="HGS45" s="1469"/>
      <c r="HGT45" s="1469"/>
      <c r="HGU45" s="1469"/>
      <c r="HGV45" s="1469"/>
      <c r="HGW45" s="1469"/>
      <c r="HGX45" s="1469"/>
      <c r="HGY45" s="1469"/>
      <c r="HGZ45" s="1469"/>
      <c r="HHA45" s="1469"/>
      <c r="HHB45" s="1469"/>
      <c r="HHC45" s="1469"/>
      <c r="HHD45" s="1469"/>
      <c r="HHE45" s="1469"/>
      <c r="HHF45" s="1469"/>
      <c r="HHG45" s="1469"/>
      <c r="HHH45" s="1469"/>
      <c r="HHI45" s="1469"/>
      <c r="HHJ45" s="1469"/>
      <c r="HHK45" s="1469"/>
      <c r="HHL45" s="1469"/>
      <c r="HHM45" s="1469"/>
      <c r="HHN45" s="1469"/>
      <c r="HHO45" s="1469"/>
      <c r="HHP45" s="1469"/>
      <c r="HHQ45" s="1469"/>
      <c r="HHR45" s="1469"/>
      <c r="HHS45" s="1469"/>
      <c r="HHT45" s="1469"/>
      <c r="HHU45" s="1469"/>
      <c r="HHV45" s="1469"/>
      <c r="HHW45" s="1469"/>
      <c r="HHX45" s="1469"/>
      <c r="HHY45" s="1469"/>
      <c r="HHZ45" s="1469"/>
      <c r="HIA45" s="1469"/>
      <c r="HIB45" s="1469"/>
      <c r="HIC45" s="1469"/>
      <c r="HID45" s="1469"/>
      <c r="HIE45" s="1469"/>
      <c r="HIF45" s="1469"/>
      <c r="HIG45" s="1469"/>
      <c r="HIH45" s="1469"/>
      <c r="HII45" s="1469"/>
      <c r="HIJ45" s="1469"/>
      <c r="HIK45" s="1469"/>
      <c r="HIL45" s="1469"/>
      <c r="HIM45" s="1469"/>
      <c r="HIN45" s="1469"/>
      <c r="HIO45" s="1469"/>
      <c r="HIP45" s="1469"/>
      <c r="HIQ45" s="1469"/>
      <c r="HIR45" s="1469"/>
      <c r="HIS45" s="1469"/>
      <c r="HIT45" s="1469"/>
      <c r="HIU45" s="1469"/>
      <c r="HIV45" s="1469"/>
      <c r="HIW45" s="1469"/>
      <c r="HIX45" s="1469"/>
      <c r="HIY45" s="1469"/>
      <c r="HIZ45" s="1469"/>
      <c r="HJA45" s="1469"/>
      <c r="HJB45" s="1469"/>
      <c r="HJC45" s="1469"/>
      <c r="HJD45" s="1469"/>
      <c r="HJE45" s="1469"/>
      <c r="HJF45" s="1469"/>
      <c r="HJG45" s="1469"/>
      <c r="HJH45" s="1469"/>
      <c r="HJI45" s="1469"/>
      <c r="HJJ45" s="1469"/>
      <c r="HJK45" s="1469"/>
      <c r="HJL45" s="1469"/>
      <c r="HJM45" s="1469"/>
      <c r="HJN45" s="1469"/>
      <c r="HJO45" s="1469"/>
      <c r="HJP45" s="1469"/>
      <c r="HJQ45" s="1469"/>
      <c r="HJR45" s="1469"/>
      <c r="HJS45" s="1469"/>
      <c r="HJT45" s="1469"/>
      <c r="HJU45" s="1469"/>
      <c r="HJV45" s="1469"/>
      <c r="HJW45" s="1469"/>
      <c r="HJX45" s="1469"/>
      <c r="HJY45" s="1469"/>
      <c r="HJZ45" s="1469"/>
      <c r="HKA45" s="1469"/>
      <c r="HKB45" s="1469"/>
      <c r="HKC45" s="1469"/>
      <c r="HKD45" s="1469"/>
      <c r="HKE45" s="1469"/>
      <c r="HKF45" s="1469"/>
      <c r="HKG45" s="1469"/>
      <c r="HKH45" s="1469"/>
      <c r="HKI45" s="1469"/>
      <c r="HKJ45" s="1469"/>
      <c r="HKK45" s="1469"/>
      <c r="HKL45" s="1469"/>
      <c r="HKM45" s="1469"/>
      <c r="HKN45" s="1469"/>
      <c r="HKO45" s="1469"/>
      <c r="HKP45" s="1469"/>
      <c r="HKQ45" s="1469"/>
      <c r="HKR45" s="1469"/>
      <c r="HKS45" s="1469"/>
      <c r="HKT45" s="1469"/>
      <c r="HKU45" s="1469"/>
      <c r="HKV45" s="1469"/>
      <c r="HKW45" s="1469"/>
      <c r="HKX45" s="1469"/>
      <c r="HKY45" s="1469"/>
      <c r="HKZ45" s="1469"/>
      <c r="HLA45" s="1469"/>
      <c r="HLB45" s="1469"/>
      <c r="HLC45" s="1469"/>
      <c r="HLD45" s="1469"/>
      <c r="HLE45" s="1469"/>
      <c r="HLF45" s="1469"/>
      <c r="HLG45" s="1469"/>
      <c r="HLH45" s="1469"/>
      <c r="HLI45" s="1469"/>
      <c r="HLJ45" s="1469"/>
      <c r="HLK45" s="1469"/>
      <c r="HLL45" s="1469"/>
      <c r="HLM45" s="1469"/>
      <c r="HLN45" s="1469"/>
      <c r="HLO45" s="1469"/>
      <c r="HLP45" s="1469"/>
      <c r="HLQ45" s="1469"/>
      <c r="HLR45" s="1469"/>
      <c r="HLS45" s="1469"/>
      <c r="HLT45" s="1469"/>
      <c r="HLU45" s="1469"/>
      <c r="HLV45" s="1469"/>
      <c r="HLW45" s="1469"/>
      <c r="HLX45" s="1469"/>
      <c r="HLY45" s="1469"/>
      <c r="HLZ45" s="1469"/>
      <c r="HMA45" s="1469"/>
      <c r="HMB45" s="1469"/>
      <c r="HMC45" s="1469"/>
      <c r="HMD45" s="1469"/>
      <c r="HME45" s="1469"/>
      <c r="HMF45" s="1469"/>
      <c r="HMG45" s="1469"/>
      <c r="HMH45" s="1469"/>
      <c r="HMI45" s="1469"/>
      <c r="HMJ45" s="1469"/>
      <c r="HMK45" s="1469"/>
      <c r="HML45" s="1469"/>
      <c r="HMM45" s="1469"/>
      <c r="HMN45" s="1469"/>
      <c r="HMO45" s="1469"/>
      <c r="HMP45" s="1469"/>
      <c r="HMQ45" s="1469"/>
      <c r="HMR45" s="1469"/>
      <c r="HMS45" s="1469"/>
      <c r="HMT45" s="1469"/>
      <c r="HMU45" s="1469"/>
      <c r="HMV45" s="1469"/>
      <c r="HMW45" s="1469"/>
      <c r="HMX45" s="1469"/>
      <c r="HMY45" s="1469"/>
      <c r="HMZ45" s="1469"/>
      <c r="HNA45" s="1469"/>
      <c r="HNB45" s="1469"/>
      <c r="HNC45" s="1469"/>
      <c r="HND45" s="1469"/>
      <c r="HNE45" s="1469"/>
      <c r="HNF45" s="1469"/>
      <c r="HNG45" s="1469"/>
      <c r="HNH45" s="1469"/>
      <c r="HNI45" s="1469"/>
      <c r="HNJ45" s="1469"/>
      <c r="HNK45" s="1469"/>
      <c r="HNL45" s="1469"/>
      <c r="HNM45" s="1469"/>
      <c r="HNN45" s="1469"/>
      <c r="HNO45" s="1469"/>
      <c r="HNP45" s="1469"/>
      <c r="HNQ45" s="1469"/>
      <c r="HNR45" s="1469"/>
      <c r="HNS45" s="1469"/>
      <c r="HNT45" s="1469"/>
      <c r="HNU45" s="1469"/>
      <c r="HNV45" s="1469"/>
      <c r="HNW45" s="1469"/>
      <c r="HNX45" s="1469"/>
      <c r="HNY45" s="1469"/>
      <c r="HNZ45" s="1469"/>
      <c r="HOA45" s="1469"/>
      <c r="HOB45" s="1469"/>
      <c r="HOC45" s="1469"/>
      <c r="HOD45" s="1469"/>
      <c r="HOE45" s="1469"/>
      <c r="HOF45" s="1469"/>
      <c r="HOG45" s="1469"/>
      <c r="HOH45" s="1469"/>
      <c r="HOI45" s="1469"/>
      <c r="HOJ45" s="1469"/>
      <c r="HOK45" s="1469"/>
      <c r="HOL45" s="1469"/>
      <c r="HOM45" s="1469"/>
      <c r="HON45" s="1469"/>
      <c r="HOO45" s="1469"/>
      <c r="HOP45" s="1469"/>
      <c r="HOQ45" s="1469"/>
      <c r="HOR45" s="1469"/>
      <c r="HOS45" s="1469"/>
      <c r="HOT45" s="1469"/>
      <c r="HOU45" s="1469"/>
      <c r="HOV45" s="1469"/>
      <c r="HOW45" s="1469"/>
      <c r="HOX45" s="1469"/>
      <c r="HOY45" s="1469"/>
      <c r="HOZ45" s="1469"/>
      <c r="HPA45" s="1469"/>
      <c r="HPB45" s="1469"/>
      <c r="HPC45" s="1469"/>
      <c r="HPD45" s="1469"/>
      <c r="HPE45" s="1469"/>
      <c r="HPF45" s="1469"/>
      <c r="HPG45" s="1469"/>
      <c r="HPH45" s="1469"/>
      <c r="HPI45" s="1469"/>
      <c r="HPJ45" s="1469"/>
      <c r="HPK45" s="1469"/>
      <c r="HPL45" s="1469"/>
      <c r="HPM45" s="1469"/>
      <c r="HPN45" s="1469"/>
      <c r="HPO45" s="1469"/>
      <c r="HPP45" s="1469"/>
      <c r="HPQ45" s="1469"/>
      <c r="HPR45" s="1469"/>
      <c r="HPS45" s="1469"/>
      <c r="HPT45" s="1469"/>
      <c r="HPU45" s="1469"/>
      <c r="HPV45" s="1469"/>
      <c r="HPW45" s="1469"/>
      <c r="HPX45" s="1469"/>
      <c r="HPY45" s="1469"/>
      <c r="HPZ45" s="1469"/>
      <c r="HQA45" s="1469"/>
      <c r="HQB45" s="1469"/>
      <c r="HQC45" s="1469"/>
      <c r="HQD45" s="1469"/>
      <c r="HQE45" s="1469"/>
      <c r="HQF45" s="1469"/>
      <c r="HQG45" s="1469"/>
      <c r="HQH45" s="1469"/>
      <c r="HQI45" s="1469"/>
      <c r="HQJ45" s="1469"/>
      <c r="HQK45" s="1469"/>
      <c r="HQL45" s="1469"/>
      <c r="HQM45" s="1469"/>
      <c r="HQN45" s="1469"/>
      <c r="HQO45" s="1469"/>
      <c r="HQP45" s="1469"/>
      <c r="HQQ45" s="1469"/>
      <c r="HQR45" s="1469"/>
      <c r="HQS45" s="1469"/>
      <c r="HQT45" s="1469"/>
      <c r="HQU45" s="1469"/>
      <c r="HQV45" s="1469"/>
      <c r="HQW45" s="1469"/>
      <c r="HQX45" s="1469"/>
      <c r="HQY45" s="1469"/>
      <c r="HQZ45" s="1469"/>
      <c r="HRA45" s="1469"/>
      <c r="HRB45" s="1469"/>
      <c r="HRC45" s="1469"/>
      <c r="HRD45" s="1469"/>
      <c r="HRE45" s="1469"/>
      <c r="HRF45" s="1469"/>
      <c r="HRG45" s="1469"/>
      <c r="HRH45" s="1469"/>
      <c r="HRI45" s="1469"/>
      <c r="HRJ45" s="1469"/>
      <c r="HRK45" s="1469"/>
      <c r="HRL45" s="1469"/>
      <c r="HRM45" s="1469"/>
      <c r="HRN45" s="1469"/>
      <c r="HRO45" s="1469"/>
      <c r="HRP45" s="1469"/>
      <c r="HRQ45" s="1469"/>
      <c r="HRR45" s="1469"/>
      <c r="HRS45" s="1469"/>
      <c r="HRT45" s="1469"/>
      <c r="HRU45" s="1469"/>
      <c r="HRV45" s="1469"/>
      <c r="HRW45" s="1469"/>
      <c r="HRX45" s="1469"/>
      <c r="HRY45" s="1469"/>
      <c r="HRZ45" s="1469"/>
      <c r="HSA45" s="1469"/>
      <c r="HSB45" s="1469"/>
      <c r="HSC45" s="1469"/>
      <c r="HSD45" s="1469"/>
      <c r="HSE45" s="1469"/>
      <c r="HSF45" s="1469"/>
      <c r="HSG45" s="1469"/>
      <c r="HSH45" s="1469"/>
      <c r="HSI45" s="1469"/>
      <c r="HSJ45" s="1469"/>
      <c r="HSK45" s="1469"/>
      <c r="HSL45" s="1469"/>
      <c r="HSM45" s="1469"/>
      <c r="HSN45" s="1469"/>
      <c r="HSO45" s="1469"/>
      <c r="HSP45" s="1469"/>
      <c r="HSQ45" s="1469"/>
      <c r="HSR45" s="1469"/>
      <c r="HSS45" s="1469"/>
      <c r="HST45" s="1469"/>
      <c r="HSU45" s="1469"/>
      <c r="HSV45" s="1469"/>
      <c r="HSW45" s="1469"/>
      <c r="HSX45" s="1469"/>
      <c r="HSY45" s="1469"/>
      <c r="HSZ45" s="1469"/>
      <c r="HTA45" s="1469"/>
      <c r="HTB45" s="1469"/>
      <c r="HTC45" s="1469"/>
      <c r="HTD45" s="1469"/>
      <c r="HTE45" s="1469"/>
      <c r="HTF45" s="1469"/>
      <c r="HTG45" s="1469"/>
      <c r="HTH45" s="1469"/>
      <c r="HTI45" s="1469"/>
      <c r="HTJ45" s="1469"/>
      <c r="HTK45" s="1469"/>
      <c r="HTL45" s="1469"/>
      <c r="HTM45" s="1469"/>
      <c r="HTN45" s="1469"/>
      <c r="HTO45" s="1469"/>
      <c r="HTP45" s="1469"/>
      <c r="HTQ45" s="1469"/>
      <c r="HTR45" s="1469"/>
      <c r="HTS45" s="1469"/>
      <c r="HTT45" s="1469"/>
      <c r="HTU45" s="1469"/>
      <c r="HTV45" s="1469"/>
      <c r="HTW45" s="1469"/>
      <c r="HTX45" s="1469"/>
      <c r="HTY45" s="1469"/>
      <c r="HTZ45" s="1469"/>
      <c r="HUA45" s="1469"/>
      <c r="HUB45" s="1469"/>
      <c r="HUC45" s="1469"/>
      <c r="HUD45" s="1469"/>
      <c r="HUE45" s="1469"/>
      <c r="HUF45" s="1469"/>
      <c r="HUG45" s="1469"/>
      <c r="HUH45" s="1469"/>
      <c r="HUI45" s="1469"/>
      <c r="HUJ45" s="1469"/>
      <c r="HUK45" s="1469"/>
      <c r="HUL45" s="1469"/>
      <c r="HUM45" s="1469"/>
      <c r="HUN45" s="1469"/>
      <c r="HUO45" s="1469"/>
      <c r="HUP45" s="1469"/>
      <c r="HUQ45" s="1469"/>
      <c r="HUR45" s="1469"/>
      <c r="HUS45" s="1469"/>
      <c r="HUT45" s="1469"/>
      <c r="HUU45" s="1469"/>
      <c r="HUV45" s="1469"/>
      <c r="HUW45" s="1469"/>
      <c r="HUX45" s="1469"/>
      <c r="HUY45" s="1469"/>
      <c r="HUZ45" s="1469"/>
      <c r="HVA45" s="1469"/>
      <c r="HVB45" s="1469"/>
      <c r="HVC45" s="1469"/>
      <c r="HVD45" s="1469"/>
      <c r="HVE45" s="1469"/>
      <c r="HVF45" s="1469"/>
      <c r="HVG45" s="1469"/>
      <c r="HVH45" s="1469"/>
      <c r="HVI45" s="1469"/>
      <c r="HVJ45" s="1469"/>
      <c r="HVK45" s="1469"/>
      <c r="HVL45" s="1469"/>
      <c r="HVM45" s="1469"/>
      <c r="HVN45" s="1469"/>
      <c r="HVO45" s="1469"/>
      <c r="HVP45" s="1469"/>
      <c r="HVQ45" s="1469"/>
      <c r="HVR45" s="1469"/>
      <c r="HVS45" s="1469"/>
      <c r="HVT45" s="1469"/>
      <c r="HVU45" s="1469"/>
      <c r="HVV45" s="1469"/>
      <c r="HVW45" s="1469"/>
      <c r="HVX45" s="1469"/>
      <c r="HVY45" s="1469"/>
      <c r="HVZ45" s="1469"/>
      <c r="HWA45" s="1469"/>
      <c r="HWB45" s="1469"/>
      <c r="HWC45" s="1469"/>
      <c r="HWD45" s="1469"/>
      <c r="HWE45" s="1469"/>
      <c r="HWF45" s="1469"/>
      <c r="HWG45" s="1469"/>
      <c r="HWH45" s="1469"/>
      <c r="HWI45" s="1469"/>
      <c r="HWJ45" s="1469"/>
      <c r="HWK45" s="1469"/>
      <c r="HWL45" s="1469"/>
      <c r="HWM45" s="1469"/>
      <c r="HWN45" s="1469"/>
      <c r="HWO45" s="1469"/>
      <c r="HWP45" s="1469"/>
      <c r="HWQ45" s="1469"/>
      <c r="HWR45" s="1469"/>
      <c r="HWS45" s="1469"/>
      <c r="HWT45" s="1469"/>
      <c r="HWU45" s="1469"/>
      <c r="HWV45" s="1469"/>
      <c r="HWW45" s="1469"/>
      <c r="HWX45" s="1469"/>
      <c r="HWY45" s="1469"/>
      <c r="HWZ45" s="1469"/>
      <c r="HXA45" s="1469"/>
      <c r="HXB45" s="1469"/>
      <c r="HXC45" s="1469"/>
      <c r="HXD45" s="1469"/>
      <c r="HXE45" s="1469"/>
      <c r="HXF45" s="1469"/>
      <c r="HXG45" s="1469"/>
      <c r="HXH45" s="1469"/>
      <c r="HXI45" s="1469"/>
      <c r="HXJ45" s="1469"/>
      <c r="HXK45" s="1469"/>
      <c r="HXL45" s="1469"/>
      <c r="HXM45" s="1469"/>
      <c r="HXN45" s="1469"/>
      <c r="HXO45" s="1469"/>
      <c r="HXP45" s="1469"/>
      <c r="HXQ45" s="1469"/>
      <c r="HXR45" s="1469"/>
      <c r="HXS45" s="1469"/>
      <c r="HXT45" s="1469"/>
      <c r="HXU45" s="1469"/>
      <c r="HXV45" s="1469"/>
      <c r="HXW45" s="1469"/>
      <c r="HXX45" s="1469"/>
      <c r="HXY45" s="1469"/>
      <c r="HXZ45" s="1469"/>
      <c r="HYA45" s="1469"/>
      <c r="HYB45" s="1469"/>
      <c r="HYC45" s="1469"/>
      <c r="HYD45" s="1469"/>
      <c r="HYE45" s="1469"/>
      <c r="HYF45" s="1469"/>
      <c r="HYG45" s="1469"/>
      <c r="HYH45" s="1469"/>
      <c r="HYI45" s="1469"/>
      <c r="HYJ45" s="1469"/>
      <c r="HYK45" s="1469"/>
      <c r="HYL45" s="1469"/>
      <c r="HYM45" s="1469"/>
      <c r="HYN45" s="1469"/>
      <c r="HYO45" s="1469"/>
      <c r="HYP45" s="1469"/>
      <c r="HYQ45" s="1469"/>
      <c r="HYR45" s="1469"/>
      <c r="HYS45" s="1469"/>
      <c r="HYT45" s="1469"/>
      <c r="HYU45" s="1469"/>
      <c r="HYV45" s="1469"/>
      <c r="HYW45" s="1469"/>
      <c r="HYX45" s="1469"/>
      <c r="HYY45" s="1469"/>
      <c r="HYZ45" s="1469"/>
      <c r="HZA45" s="1469"/>
      <c r="HZB45" s="1469"/>
      <c r="HZC45" s="1469"/>
      <c r="HZD45" s="1469"/>
      <c r="HZE45" s="1469"/>
      <c r="HZF45" s="1469"/>
      <c r="HZG45" s="1469"/>
      <c r="HZH45" s="1469"/>
      <c r="HZI45" s="1469"/>
      <c r="HZJ45" s="1469"/>
      <c r="HZK45" s="1469"/>
      <c r="HZL45" s="1469"/>
      <c r="HZM45" s="1469"/>
      <c r="HZN45" s="1469"/>
      <c r="HZO45" s="1469"/>
      <c r="HZP45" s="1469"/>
      <c r="HZQ45" s="1469"/>
      <c r="HZR45" s="1469"/>
      <c r="HZS45" s="1469"/>
      <c r="HZT45" s="1469"/>
      <c r="HZU45" s="1469"/>
      <c r="HZV45" s="1469"/>
      <c r="HZW45" s="1469"/>
      <c r="HZX45" s="1469"/>
      <c r="HZY45" s="1469"/>
      <c r="HZZ45" s="1469"/>
      <c r="IAA45" s="1469"/>
      <c r="IAB45" s="1469"/>
      <c r="IAC45" s="1469"/>
      <c r="IAD45" s="1469"/>
      <c r="IAE45" s="1469"/>
      <c r="IAF45" s="1469"/>
      <c r="IAG45" s="1469"/>
      <c r="IAH45" s="1469"/>
      <c r="IAI45" s="1469"/>
      <c r="IAJ45" s="1469"/>
      <c r="IAK45" s="1469"/>
      <c r="IAL45" s="1469"/>
      <c r="IAM45" s="1469"/>
      <c r="IAN45" s="1469"/>
      <c r="IAO45" s="1469"/>
      <c r="IAP45" s="1469"/>
      <c r="IAQ45" s="1469"/>
      <c r="IAR45" s="1469"/>
      <c r="IAS45" s="1469"/>
      <c r="IAT45" s="1469"/>
      <c r="IAU45" s="1469"/>
      <c r="IAV45" s="1469"/>
      <c r="IAW45" s="1469"/>
      <c r="IAX45" s="1469"/>
      <c r="IAY45" s="1469"/>
      <c r="IAZ45" s="1469"/>
      <c r="IBA45" s="1469"/>
      <c r="IBB45" s="1469"/>
      <c r="IBC45" s="1469"/>
      <c r="IBD45" s="1469"/>
      <c r="IBE45" s="1469"/>
      <c r="IBF45" s="1469"/>
      <c r="IBG45" s="1469"/>
      <c r="IBH45" s="1469"/>
      <c r="IBI45" s="1469"/>
      <c r="IBJ45" s="1469"/>
      <c r="IBK45" s="1469"/>
      <c r="IBL45" s="1469"/>
      <c r="IBM45" s="1469"/>
      <c r="IBN45" s="1469"/>
      <c r="IBO45" s="1469"/>
      <c r="IBP45" s="1469"/>
      <c r="IBQ45" s="1469"/>
      <c r="IBR45" s="1469"/>
      <c r="IBS45" s="1469"/>
      <c r="IBT45" s="1469"/>
      <c r="IBU45" s="1469"/>
      <c r="IBV45" s="1469"/>
      <c r="IBW45" s="1469"/>
      <c r="IBX45" s="1469"/>
      <c r="IBY45" s="1469"/>
      <c r="IBZ45" s="1469"/>
      <c r="ICA45" s="1469"/>
      <c r="ICB45" s="1469"/>
      <c r="ICC45" s="1469"/>
      <c r="ICD45" s="1469"/>
      <c r="ICE45" s="1469"/>
      <c r="ICF45" s="1469"/>
      <c r="ICG45" s="1469"/>
      <c r="ICH45" s="1469"/>
      <c r="ICI45" s="1469"/>
      <c r="ICJ45" s="1469"/>
      <c r="ICK45" s="1469"/>
      <c r="ICL45" s="1469"/>
      <c r="ICM45" s="1469"/>
      <c r="ICN45" s="1469"/>
      <c r="ICO45" s="1469"/>
      <c r="ICP45" s="1469"/>
      <c r="ICQ45" s="1469"/>
      <c r="ICR45" s="1469"/>
      <c r="ICS45" s="1469"/>
      <c r="ICT45" s="1469"/>
      <c r="ICU45" s="1469"/>
      <c r="ICV45" s="1469"/>
      <c r="ICW45" s="1469"/>
      <c r="ICX45" s="1469"/>
      <c r="ICY45" s="1469"/>
      <c r="ICZ45" s="1469"/>
      <c r="IDA45" s="1469"/>
      <c r="IDB45" s="1469"/>
      <c r="IDC45" s="1469"/>
      <c r="IDD45" s="1469"/>
      <c r="IDE45" s="1469"/>
      <c r="IDF45" s="1469"/>
      <c r="IDG45" s="1469"/>
      <c r="IDH45" s="1469"/>
      <c r="IDI45" s="1469"/>
      <c r="IDJ45" s="1469"/>
      <c r="IDK45" s="1469"/>
      <c r="IDL45" s="1469"/>
      <c r="IDM45" s="1469"/>
      <c r="IDN45" s="1469"/>
      <c r="IDO45" s="1469"/>
      <c r="IDP45" s="1469"/>
      <c r="IDQ45" s="1469"/>
      <c r="IDR45" s="1469"/>
      <c r="IDS45" s="1469"/>
      <c r="IDT45" s="1469"/>
      <c r="IDU45" s="1469"/>
      <c r="IDV45" s="1469"/>
      <c r="IDW45" s="1469"/>
      <c r="IDX45" s="1469"/>
      <c r="IDY45" s="1469"/>
      <c r="IDZ45" s="1469"/>
      <c r="IEA45" s="1469"/>
      <c r="IEB45" s="1469"/>
      <c r="IEC45" s="1469"/>
      <c r="IED45" s="1469"/>
      <c r="IEE45" s="1469"/>
      <c r="IEF45" s="1469"/>
      <c r="IEG45" s="1469"/>
      <c r="IEH45" s="1469"/>
      <c r="IEI45" s="1469"/>
      <c r="IEJ45" s="1469"/>
      <c r="IEK45" s="1469"/>
      <c r="IEL45" s="1469"/>
      <c r="IEM45" s="1469"/>
      <c r="IEN45" s="1469"/>
      <c r="IEO45" s="1469"/>
      <c r="IEP45" s="1469"/>
      <c r="IEQ45" s="1469"/>
      <c r="IER45" s="1469"/>
      <c r="IES45" s="1469"/>
      <c r="IET45" s="1469"/>
      <c r="IEU45" s="1469"/>
      <c r="IEV45" s="1469"/>
      <c r="IEW45" s="1469"/>
      <c r="IEX45" s="1469"/>
      <c r="IEY45" s="1469"/>
      <c r="IEZ45" s="1469"/>
      <c r="IFA45" s="1469"/>
      <c r="IFB45" s="1469"/>
      <c r="IFC45" s="1469"/>
      <c r="IFD45" s="1469"/>
      <c r="IFE45" s="1469"/>
      <c r="IFF45" s="1469"/>
      <c r="IFG45" s="1469"/>
      <c r="IFH45" s="1469"/>
      <c r="IFI45" s="1469"/>
      <c r="IFJ45" s="1469"/>
      <c r="IFK45" s="1469"/>
      <c r="IFL45" s="1469"/>
      <c r="IFM45" s="1469"/>
      <c r="IFN45" s="1469"/>
      <c r="IFO45" s="1469"/>
      <c r="IFP45" s="1469"/>
      <c r="IFQ45" s="1469"/>
      <c r="IFR45" s="1469"/>
      <c r="IFS45" s="1469"/>
      <c r="IFT45" s="1469"/>
      <c r="IFU45" s="1469"/>
      <c r="IFV45" s="1469"/>
      <c r="IFW45" s="1469"/>
      <c r="IFX45" s="1469"/>
      <c r="IFY45" s="1469"/>
      <c r="IFZ45" s="1469"/>
      <c r="IGA45" s="1469"/>
      <c r="IGB45" s="1469"/>
      <c r="IGC45" s="1469"/>
      <c r="IGD45" s="1469"/>
      <c r="IGE45" s="1469"/>
      <c r="IGF45" s="1469"/>
      <c r="IGG45" s="1469"/>
      <c r="IGH45" s="1469"/>
      <c r="IGI45" s="1469"/>
      <c r="IGJ45" s="1469"/>
      <c r="IGK45" s="1469"/>
      <c r="IGL45" s="1469"/>
      <c r="IGM45" s="1469"/>
      <c r="IGN45" s="1469"/>
      <c r="IGO45" s="1469"/>
      <c r="IGP45" s="1469"/>
      <c r="IGQ45" s="1469"/>
      <c r="IGR45" s="1469"/>
      <c r="IGS45" s="1469"/>
      <c r="IGT45" s="1469"/>
      <c r="IGU45" s="1469"/>
      <c r="IGV45" s="1469"/>
      <c r="IGW45" s="1469"/>
      <c r="IGX45" s="1469"/>
      <c r="IGY45" s="1469"/>
      <c r="IGZ45" s="1469"/>
      <c r="IHA45" s="1469"/>
      <c r="IHB45" s="1469"/>
      <c r="IHC45" s="1469"/>
      <c r="IHD45" s="1469"/>
      <c r="IHE45" s="1469"/>
      <c r="IHF45" s="1469"/>
      <c r="IHG45" s="1469"/>
      <c r="IHH45" s="1469"/>
      <c r="IHI45" s="1469"/>
      <c r="IHJ45" s="1469"/>
      <c r="IHK45" s="1469"/>
      <c r="IHL45" s="1469"/>
      <c r="IHM45" s="1469"/>
      <c r="IHN45" s="1469"/>
      <c r="IHO45" s="1469"/>
      <c r="IHP45" s="1469"/>
      <c r="IHQ45" s="1469"/>
      <c r="IHR45" s="1469"/>
      <c r="IHS45" s="1469"/>
      <c r="IHT45" s="1469"/>
      <c r="IHU45" s="1469"/>
      <c r="IHV45" s="1469"/>
      <c r="IHW45" s="1469"/>
      <c r="IHX45" s="1469"/>
      <c r="IHY45" s="1469"/>
      <c r="IHZ45" s="1469"/>
      <c r="IIA45" s="1469"/>
      <c r="IIB45" s="1469"/>
      <c r="IIC45" s="1469"/>
      <c r="IID45" s="1469"/>
      <c r="IIE45" s="1469"/>
      <c r="IIF45" s="1469"/>
      <c r="IIG45" s="1469"/>
      <c r="IIH45" s="1469"/>
      <c r="III45" s="1469"/>
      <c r="IIJ45" s="1469"/>
      <c r="IIK45" s="1469"/>
      <c r="IIL45" s="1469"/>
      <c r="IIM45" s="1469"/>
      <c r="IIN45" s="1469"/>
      <c r="IIO45" s="1469"/>
      <c r="IIP45" s="1469"/>
      <c r="IIQ45" s="1469"/>
      <c r="IIR45" s="1469"/>
      <c r="IIS45" s="1469"/>
      <c r="IIT45" s="1469"/>
      <c r="IIU45" s="1469"/>
      <c r="IIV45" s="1469"/>
      <c r="IIW45" s="1469"/>
      <c r="IIX45" s="1469"/>
      <c r="IIY45" s="1469"/>
      <c r="IIZ45" s="1469"/>
      <c r="IJA45" s="1469"/>
      <c r="IJB45" s="1469"/>
      <c r="IJC45" s="1469"/>
      <c r="IJD45" s="1469"/>
      <c r="IJE45" s="1469"/>
      <c r="IJF45" s="1469"/>
      <c r="IJG45" s="1469"/>
      <c r="IJH45" s="1469"/>
      <c r="IJI45" s="1469"/>
      <c r="IJJ45" s="1469"/>
      <c r="IJK45" s="1469"/>
      <c r="IJL45" s="1469"/>
      <c r="IJM45" s="1469"/>
      <c r="IJN45" s="1469"/>
      <c r="IJO45" s="1469"/>
      <c r="IJP45" s="1469"/>
      <c r="IJQ45" s="1469"/>
      <c r="IJR45" s="1469"/>
      <c r="IJS45" s="1469"/>
      <c r="IJT45" s="1469"/>
      <c r="IJU45" s="1469"/>
      <c r="IJV45" s="1469"/>
      <c r="IJW45" s="1469"/>
      <c r="IJX45" s="1469"/>
      <c r="IJY45" s="1469"/>
      <c r="IJZ45" s="1469"/>
      <c r="IKA45" s="1469"/>
      <c r="IKB45" s="1469"/>
      <c r="IKC45" s="1469"/>
      <c r="IKD45" s="1469"/>
      <c r="IKE45" s="1469"/>
      <c r="IKF45" s="1469"/>
      <c r="IKG45" s="1469"/>
      <c r="IKH45" s="1469"/>
      <c r="IKI45" s="1469"/>
      <c r="IKJ45" s="1469"/>
      <c r="IKK45" s="1469"/>
      <c r="IKL45" s="1469"/>
      <c r="IKM45" s="1469"/>
      <c r="IKN45" s="1469"/>
      <c r="IKO45" s="1469"/>
      <c r="IKP45" s="1469"/>
      <c r="IKQ45" s="1469"/>
      <c r="IKR45" s="1469"/>
      <c r="IKS45" s="1469"/>
      <c r="IKT45" s="1469"/>
      <c r="IKU45" s="1469"/>
      <c r="IKV45" s="1469"/>
      <c r="IKW45" s="1469"/>
      <c r="IKX45" s="1469"/>
      <c r="IKY45" s="1469"/>
      <c r="IKZ45" s="1469"/>
      <c r="ILA45" s="1469"/>
      <c r="ILB45" s="1469"/>
      <c r="ILC45" s="1469"/>
      <c r="ILD45" s="1469"/>
      <c r="ILE45" s="1469"/>
      <c r="ILF45" s="1469"/>
      <c r="ILG45" s="1469"/>
      <c r="ILH45" s="1469"/>
      <c r="ILI45" s="1469"/>
      <c r="ILJ45" s="1469"/>
      <c r="ILK45" s="1469"/>
      <c r="ILL45" s="1469"/>
      <c r="ILM45" s="1469"/>
      <c r="ILN45" s="1469"/>
      <c r="ILO45" s="1469"/>
      <c r="ILP45" s="1469"/>
      <c r="ILQ45" s="1469"/>
      <c r="ILR45" s="1469"/>
      <c r="ILS45" s="1469"/>
      <c r="ILT45" s="1469"/>
      <c r="ILU45" s="1469"/>
      <c r="ILV45" s="1469"/>
      <c r="ILW45" s="1469"/>
      <c r="ILX45" s="1469"/>
      <c r="ILY45" s="1469"/>
      <c r="ILZ45" s="1469"/>
      <c r="IMA45" s="1469"/>
      <c r="IMB45" s="1469"/>
      <c r="IMC45" s="1469"/>
      <c r="IMD45" s="1469"/>
      <c r="IME45" s="1469"/>
      <c r="IMF45" s="1469"/>
      <c r="IMG45" s="1469"/>
      <c r="IMH45" s="1469"/>
      <c r="IMI45" s="1469"/>
      <c r="IMJ45" s="1469"/>
      <c r="IMK45" s="1469"/>
      <c r="IML45" s="1469"/>
      <c r="IMM45" s="1469"/>
      <c r="IMN45" s="1469"/>
      <c r="IMO45" s="1469"/>
      <c r="IMP45" s="1469"/>
      <c r="IMQ45" s="1469"/>
      <c r="IMR45" s="1469"/>
      <c r="IMS45" s="1469"/>
      <c r="IMT45" s="1469"/>
      <c r="IMU45" s="1469"/>
      <c r="IMV45" s="1469"/>
      <c r="IMW45" s="1469"/>
      <c r="IMX45" s="1469"/>
      <c r="IMY45" s="1469"/>
      <c r="IMZ45" s="1469"/>
      <c r="INA45" s="1469"/>
      <c r="INB45" s="1469"/>
      <c r="INC45" s="1469"/>
      <c r="IND45" s="1469"/>
      <c r="INE45" s="1469"/>
      <c r="INF45" s="1469"/>
      <c r="ING45" s="1469"/>
      <c r="INH45" s="1469"/>
      <c r="INI45" s="1469"/>
      <c r="INJ45" s="1469"/>
      <c r="INK45" s="1469"/>
      <c r="INL45" s="1469"/>
      <c r="INM45" s="1469"/>
      <c r="INN45" s="1469"/>
      <c r="INO45" s="1469"/>
      <c r="INP45" s="1469"/>
      <c r="INQ45" s="1469"/>
      <c r="INR45" s="1469"/>
      <c r="INS45" s="1469"/>
      <c r="INT45" s="1469"/>
      <c r="INU45" s="1469"/>
      <c r="INV45" s="1469"/>
      <c r="INW45" s="1469"/>
      <c r="INX45" s="1469"/>
      <c r="INY45" s="1469"/>
      <c r="INZ45" s="1469"/>
      <c r="IOA45" s="1469"/>
      <c r="IOB45" s="1469"/>
      <c r="IOC45" s="1469"/>
      <c r="IOD45" s="1469"/>
      <c r="IOE45" s="1469"/>
      <c r="IOF45" s="1469"/>
      <c r="IOG45" s="1469"/>
      <c r="IOH45" s="1469"/>
      <c r="IOI45" s="1469"/>
      <c r="IOJ45" s="1469"/>
      <c r="IOK45" s="1469"/>
      <c r="IOL45" s="1469"/>
      <c r="IOM45" s="1469"/>
      <c r="ION45" s="1469"/>
      <c r="IOO45" s="1469"/>
      <c r="IOP45" s="1469"/>
      <c r="IOQ45" s="1469"/>
      <c r="IOR45" s="1469"/>
      <c r="IOS45" s="1469"/>
      <c r="IOT45" s="1469"/>
      <c r="IOU45" s="1469"/>
      <c r="IOV45" s="1469"/>
      <c r="IOW45" s="1469"/>
      <c r="IOX45" s="1469"/>
      <c r="IOY45" s="1469"/>
      <c r="IOZ45" s="1469"/>
      <c r="IPA45" s="1469"/>
      <c r="IPB45" s="1469"/>
      <c r="IPC45" s="1469"/>
      <c r="IPD45" s="1469"/>
      <c r="IPE45" s="1469"/>
      <c r="IPF45" s="1469"/>
      <c r="IPG45" s="1469"/>
      <c r="IPH45" s="1469"/>
      <c r="IPI45" s="1469"/>
      <c r="IPJ45" s="1469"/>
      <c r="IPK45" s="1469"/>
      <c r="IPL45" s="1469"/>
      <c r="IPM45" s="1469"/>
      <c r="IPN45" s="1469"/>
      <c r="IPO45" s="1469"/>
      <c r="IPP45" s="1469"/>
      <c r="IPQ45" s="1469"/>
      <c r="IPR45" s="1469"/>
      <c r="IPS45" s="1469"/>
      <c r="IPT45" s="1469"/>
      <c r="IPU45" s="1469"/>
      <c r="IPV45" s="1469"/>
      <c r="IPW45" s="1469"/>
      <c r="IPX45" s="1469"/>
      <c r="IPY45" s="1469"/>
      <c r="IPZ45" s="1469"/>
      <c r="IQA45" s="1469"/>
      <c r="IQB45" s="1469"/>
      <c r="IQC45" s="1469"/>
      <c r="IQD45" s="1469"/>
      <c r="IQE45" s="1469"/>
      <c r="IQF45" s="1469"/>
      <c r="IQG45" s="1469"/>
      <c r="IQH45" s="1469"/>
      <c r="IQI45" s="1469"/>
      <c r="IQJ45" s="1469"/>
      <c r="IQK45" s="1469"/>
      <c r="IQL45" s="1469"/>
      <c r="IQM45" s="1469"/>
      <c r="IQN45" s="1469"/>
      <c r="IQO45" s="1469"/>
      <c r="IQP45" s="1469"/>
      <c r="IQQ45" s="1469"/>
      <c r="IQR45" s="1469"/>
      <c r="IQS45" s="1469"/>
      <c r="IQT45" s="1469"/>
      <c r="IQU45" s="1469"/>
      <c r="IQV45" s="1469"/>
      <c r="IQW45" s="1469"/>
      <c r="IQX45" s="1469"/>
      <c r="IQY45" s="1469"/>
      <c r="IQZ45" s="1469"/>
      <c r="IRA45" s="1469"/>
      <c r="IRB45" s="1469"/>
      <c r="IRC45" s="1469"/>
      <c r="IRD45" s="1469"/>
      <c r="IRE45" s="1469"/>
      <c r="IRF45" s="1469"/>
      <c r="IRG45" s="1469"/>
      <c r="IRH45" s="1469"/>
      <c r="IRI45" s="1469"/>
      <c r="IRJ45" s="1469"/>
      <c r="IRK45" s="1469"/>
      <c r="IRL45" s="1469"/>
      <c r="IRM45" s="1469"/>
      <c r="IRN45" s="1469"/>
      <c r="IRO45" s="1469"/>
      <c r="IRP45" s="1469"/>
      <c r="IRQ45" s="1469"/>
      <c r="IRR45" s="1469"/>
      <c r="IRS45" s="1469"/>
      <c r="IRT45" s="1469"/>
      <c r="IRU45" s="1469"/>
      <c r="IRV45" s="1469"/>
      <c r="IRW45" s="1469"/>
      <c r="IRX45" s="1469"/>
      <c r="IRY45" s="1469"/>
      <c r="IRZ45" s="1469"/>
      <c r="ISA45" s="1469"/>
      <c r="ISB45" s="1469"/>
      <c r="ISC45" s="1469"/>
      <c r="ISD45" s="1469"/>
      <c r="ISE45" s="1469"/>
      <c r="ISF45" s="1469"/>
      <c r="ISG45" s="1469"/>
      <c r="ISH45" s="1469"/>
      <c r="ISI45" s="1469"/>
      <c r="ISJ45" s="1469"/>
      <c r="ISK45" s="1469"/>
      <c r="ISL45" s="1469"/>
      <c r="ISM45" s="1469"/>
      <c r="ISN45" s="1469"/>
      <c r="ISO45" s="1469"/>
      <c r="ISP45" s="1469"/>
      <c r="ISQ45" s="1469"/>
      <c r="ISR45" s="1469"/>
      <c r="ISS45" s="1469"/>
      <c r="IST45" s="1469"/>
      <c r="ISU45" s="1469"/>
      <c r="ISV45" s="1469"/>
      <c r="ISW45" s="1469"/>
      <c r="ISX45" s="1469"/>
      <c r="ISY45" s="1469"/>
      <c r="ISZ45" s="1469"/>
      <c r="ITA45" s="1469"/>
      <c r="ITB45" s="1469"/>
      <c r="ITC45" s="1469"/>
      <c r="ITD45" s="1469"/>
      <c r="ITE45" s="1469"/>
      <c r="ITF45" s="1469"/>
      <c r="ITG45" s="1469"/>
      <c r="ITH45" s="1469"/>
      <c r="ITI45" s="1469"/>
      <c r="ITJ45" s="1469"/>
      <c r="ITK45" s="1469"/>
      <c r="ITL45" s="1469"/>
      <c r="ITM45" s="1469"/>
      <c r="ITN45" s="1469"/>
      <c r="ITO45" s="1469"/>
      <c r="ITP45" s="1469"/>
      <c r="ITQ45" s="1469"/>
      <c r="ITR45" s="1469"/>
      <c r="ITS45" s="1469"/>
      <c r="ITT45" s="1469"/>
      <c r="ITU45" s="1469"/>
      <c r="ITV45" s="1469"/>
      <c r="ITW45" s="1469"/>
      <c r="ITX45" s="1469"/>
      <c r="ITY45" s="1469"/>
      <c r="ITZ45" s="1469"/>
      <c r="IUA45" s="1469"/>
      <c r="IUB45" s="1469"/>
      <c r="IUC45" s="1469"/>
      <c r="IUD45" s="1469"/>
      <c r="IUE45" s="1469"/>
      <c r="IUF45" s="1469"/>
      <c r="IUG45" s="1469"/>
      <c r="IUH45" s="1469"/>
      <c r="IUI45" s="1469"/>
      <c r="IUJ45" s="1469"/>
      <c r="IUK45" s="1469"/>
      <c r="IUL45" s="1469"/>
      <c r="IUM45" s="1469"/>
      <c r="IUN45" s="1469"/>
      <c r="IUO45" s="1469"/>
      <c r="IUP45" s="1469"/>
      <c r="IUQ45" s="1469"/>
      <c r="IUR45" s="1469"/>
      <c r="IUS45" s="1469"/>
      <c r="IUT45" s="1469"/>
      <c r="IUU45" s="1469"/>
      <c r="IUV45" s="1469"/>
      <c r="IUW45" s="1469"/>
      <c r="IUX45" s="1469"/>
      <c r="IUY45" s="1469"/>
      <c r="IUZ45" s="1469"/>
      <c r="IVA45" s="1469"/>
      <c r="IVB45" s="1469"/>
      <c r="IVC45" s="1469"/>
      <c r="IVD45" s="1469"/>
      <c r="IVE45" s="1469"/>
      <c r="IVF45" s="1469"/>
      <c r="IVG45" s="1469"/>
      <c r="IVH45" s="1469"/>
      <c r="IVI45" s="1469"/>
      <c r="IVJ45" s="1469"/>
      <c r="IVK45" s="1469"/>
      <c r="IVL45" s="1469"/>
      <c r="IVM45" s="1469"/>
      <c r="IVN45" s="1469"/>
      <c r="IVO45" s="1469"/>
      <c r="IVP45" s="1469"/>
      <c r="IVQ45" s="1469"/>
      <c r="IVR45" s="1469"/>
      <c r="IVS45" s="1469"/>
      <c r="IVT45" s="1469"/>
      <c r="IVU45" s="1469"/>
      <c r="IVV45" s="1469"/>
      <c r="IVW45" s="1469"/>
      <c r="IVX45" s="1469"/>
      <c r="IVY45" s="1469"/>
      <c r="IVZ45" s="1469"/>
      <c r="IWA45" s="1469"/>
      <c r="IWB45" s="1469"/>
      <c r="IWC45" s="1469"/>
      <c r="IWD45" s="1469"/>
      <c r="IWE45" s="1469"/>
      <c r="IWF45" s="1469"/>
      <c r="IWG45" s="1469"/>
      <c r="IWH45" s="1469"/>
      <c r="IWI45" s="1469"/>
      <c r="IWJ45" s="1469"/>
      <c r="IWK45" s="1469"/>
      <c r="IWL45" s="1469"/>
      <c r="IWM45" s="1469"/>
      <c r="IWN45" s="1469"/>
      <c r="IWO45" s="1469"/>
      <c r="IWP45" s="1469"/>
      <c r="IWQ45" s="1469"/>
      <c r="IWR45" s="1469"/>
      <c r="IWS45" s="1469"/>
      <c r="IWT45" s="1469"/>
      <c r="IWU45" s="1469"/>
      <c r="IWV45" s="1469"/>
      <c r="IWW45" s="1469"/>
      <c r="IWX45" s="1469"/>
      <c r="IWY45" s="1469"/>
      <c r="IWZ45" s="1469"/>
      <c r="IXA45" s="1469"/>
      <c r="IXB45" s="1469"/>
      <c r="IXC45" s="1469"/>
      <c r="IXD45" s="1469"/>
      <c r="IXE45" s="1469"/>
      <c r="IXF45" s="1469"/>
      <c r="IXG45" s="1469"/>
      <c r="IXH45" s="1469"/>
      <c r="IXI45" s="1469"/>
      <c r="IXJ45" s="1469"/>
      <c r="IXK45" s="1469"/>
      <c r="IXL45" s="1469"/>
      <c r="IXM45" s="1469"/>
      <c r="IXN45" s="1469"/>
      <c r="IXO45" s="1469"/>
      <c r="IXP45" s="1469"/>
      <c r="IXQ45" s="1469"/>
      <c r="IXR45" s="1469"/>
      <c r="IXS45" s="1469"/>
      <c r="IXT45" s="1469"/>
      <c r="IXU45" s="1469"/>
      <c r="IXV45" s="1469"/>
      <c r="IXW45" s="1469"/>
      <c r="IXX45" s="1469"/>
      <c r="IXY45" s="1469"/>
      <c r="IXZ45" s="1469"/>
      <c r="IYA45" s="1469"/>
      <c r="IYB45" s="1469"/>
      <c r="IYC45" s="1469"/>
      <c r="IYD45" s="1469"/>
      <c r="IYE45" s="1469"/>
      <c r="IYF45" s="1469"/>
      <c r="IYG45" s="1469"/>
      <c r="IYH45" s="1469"/>
      <c r="IYI45" s="1469"/>
      <c r="IYJ45" s="1469"/>
      <c r="IYK45" s="1469"/>
      <c r="IYL45" s="1469"/>
      <c r="IYM45" s="1469"/>
      <c r="IYN45" s="1469"/>
      <c r="IYO45" s="1469"/>
      <c r="IYP45" s="1469"/>
      <c r="IYQ45" s="1469"/>
      <c r="IYR45" s="1469"/>
      <c r="IYS45" s="1469"/>
      <c r="IYT45" s="1469"/>
      <c r="IYU45" s="1469"/>
      <c r="IYV45" s="1469"/>
      <c r="IYW45" s="1469"/>
      <c r="IYX45" s="1469"/>
      <c r="IYY45" s="1469"/>
      <c r="IYZ45" s="1469"/>
      <c r="IZA45" s="1469"/>
      <c r="IZB45" s="1469"/>
      <c r="IZC45" s="1469"/>
      <c r="IZD45" s="1469"/>
      <c r="IZE45" s="1469"/>
      <c r="IZF45" s="1469"/>
      <c r="IZG45" s="1469"/>
      <c r="IZH45" s="1469"/>
      <c r="IZI45" s="1469"/>
      <c r="IZJ45" s="1469"/>
      <c r="IZK45" s="1469"/>
      <c r="IZL45" s="1469"/>
      <c r="IZM45" s="1469"/>
      <c r="IZN45" s="1469"/>
      <c r="IZO45" s="1469"/>
      <c r="IZP45" s="1469"/>
      <c r="IZQ45" s="1469"/>
      <c r="IZR45" s="1469"/>
      <c r="IZS45" s="1469"/>
      <c r="IZT45" s="1469"/>
      <c r="IZU45" s="1469"/>
      <c r="IZV45" s="1469"/>
      <c r="IZW45" s="1469"/>
      <c r="IZX45" s="1469"/>
      <c r="IZY45" s="1469"/>
      <c r="IZZ45" s="1469"/>
      <c r="JAA45" s="1469"/>
      <c r="JAB45" s="1469"/>
      <c r="JAC45" s="1469"/>
      <c r="JAD45" s="1469"/>
      <c r="JAE45" s="1469"/>
      <c r="JAF45" s="1469"/>
      <c r="JAG45" s="1469"/>
      <c r="JAH45" s="1469"/>
      <c r="JAI45" s="1469"/>
      <c r="JAJ45" s="1469"/>
      <c r="JAK45" s="1469"/>
      <c r="JAL45" s="1469"/>
      <c r="JAM45" s="1469"/>
      <c r="JAN45" s="1469"/>
      <c r="JAO45" s="1469"/>
      <c r="JAP45" s="1469"/>
      <c r="JAQ45" s="1469"/>
      <c r="JAR45" s="1469"/>
      <c r="JAS45" s="1469"/>
      <c r="JAT45" s="1469"/>
      <c r="JAU45" s="1469"/>
      <c r="JAV45" s="1469"/>
      <c r="JAW45" s="1469"/>
      <c r="JAX45" s="1469"/>
      <c r="JAY45" s="1469"/>
      <c r="JAZ45" s="1469"/>
      <c r="JBA45" s="1469"/>
      <c r="JBB45" s="1469"/>
      <c r="JBC45" s="1469"/>
      <c r="JBD45" s="1469"/>
      <c r="JBE45" s="1469"/>
      <c r="JBF45" s="1469"/>
      <c r="JBG45" s="1469"/>
      <c r="JBH45" s="1469"/>
      <c r="JBI45" s="1469"/>
      <c r="JBJ45" s="1469"/>
      <c r="JBK45" s="1469"/>
      <c r="JBL45" s="1469"/>
      <c r="JBM45" s="1469"/>
      <c r="JBN45" s="1469"/>
      <c r="JBO45" s="1469"/>
      <c r="JBP45" s="1469"/>
      <c r="JBQ45" s="1469"/>
      <c r="JBR45" s="1469"/>
      <c r="JBS45" s="1469"/>
      <c r="JBT45" s="1469"/>
      <c r="JBU45" s="1469"/>
      <c r="JBV45" s="1469"/>
      <c r="JBW45" s="1469"/>
      <c r="JBX45" s="1469"/>
      <c r="JBY45" s="1469"/>
      <c r="JBZ45" s="1469"/>
      <c r="JCA45" s="1469"/>
      <c r="JCB45" s="1469"/>
      <c r="JCC45" s="1469"/>
      <c r="JCD45" s="1469"/>
      <c r="JCE45" s="1469"/>
      <c r="JCF45" s="1469"/>
      <c r="JCG45" s="1469"/>
      <c r="JCH45" s="1469"/>
      <c r="JCI45" s="1469"/>
      <c r="JCJ45" s="1469"/>
      <c r="JCK45" s="1469"/>
      <c r="JCL45" s="1469"/>
      <c r="JCM45" s="1469"/>
      <c r="JCN45" s="1469"/>
      <c r="JCO45" s="1469"/>
      <c r="JCP45" s="1469"/>
      <c r="JCQ45" s="1469"/>
      <c r="JCR45" s="1469"/>
      <c r="JCS45" s="1469"/>
      <c r="JCT45" s="1469"/>
      <c r="JCU45" s="1469"/>
      <c r="JCV45" s="1469"/>
      <c r="JCW45" s="1469"/>
      <c r="JCX45" s="1469"/>
      <c r="JCY45" s="1469"/>
      <c r="JCZ45" s="1469"/>
      <c r="JDA45" s="1469"/>
      <c r="JDB45" s="1469"/>
      <c r="JDC45" s="1469"/>
      <c r="JDD45" s="1469"/>
      <c r="JDE45" s="1469"/>
      <c r="JDF45" s="1469"/>
      <c r="JDG45" s="1469"/>
      <c r="JDH45" s="1469"/>
      <c r="JDI45" s="1469"/>
      <c r="JDJ45" s="1469"/>
      <c r="JDK45" s="1469"/>
      <c r="JDL45" s="1469"/>
      <c r="JDM45" s="1469"/>
      <c r="JDN45" s="1469"/>
      <c r="JDO45" s="1469"/>
      <c r="JDP45" s="1469"/>
      <c r="JDQ45" s="1469"/>
      <c r="JDR45" s="1469"/>
      <c r="JDS45" s="1469"/>
      <c r="JDT45" s="1469"/>
      <c r="JDU45" s="1469"/>
      <c r="JDV45" s="1469"/>
      <c r="JDW45" s="1469"/>
      <c r="JDX45" s="1469"/>
      <c r="JDY45" s="1469"/>
      <c r="JDZ45" s="1469"/>
      <c r="JEA45" s="1469"/>
      <c r="JEB45" s="1469"/>
      <c r="JEC45" s="1469"/>
      <c r="JED45" s="1469"/>
      <c r="JEE45" s="1469"/>
      <c r="JEF45" s="1469"/>
      <c r="JEG45" s="1469"/>
      <c r="JEH45" s="1469"/>
      <c r="JEI45" s="1469"/>
      <c r="JEJ45" s="1469"/>
      <c r="JEK45" s="1469"/>
      <c r="JEL45" s="1469"/>
      <c r="JEM45" s="1469"/>
      <c r="JEN45" s="1469"/>
      <c r="JEO45" s="1469"/>
      <c r="JEP45" s="1469"/>
      <c r="JEQ45" s="1469"/>
      <c r="JER45" s="1469"/>
      <c r="JES45" s="1469"/>
      <c r="JET45" s="1469"/>
      <c r="JEU45" s="1469"/>
      <c r="JEV45" s="1469"/>
      <c r="JEW45" s="1469"/>
      <c r="JEX45" s="1469"/>
      <c r="JEY45" s="1469"/>
      <c r="JEZ45" s="1469"/>
      <c r="JFA45" s="1469"/>
      <c r="JFB45" s="1469"/>
      <c r="JFC45" s="1469"/>
      <c r="JFD45" s="1469"/>
      <c r="JFE45" s="1469"/>
      <c r="JFF45" s="1469"/>
      <c r="JFG45" s="1469"/>
      <c r="JFH45" s="1469"/>
      <c r="JFI45" s="1469"/>
      <c r="JFJ45" s="1469"/>
      <c r="JFK45" s="1469"/>
      <c r="JFL45" s="1469"/>
      <c r="JFM45" s="1469"/>
      <c r="JFN45" s="1469"/>
      <c r="JFO45" s="1469"/>
      <c r="JFP45" s="1469"/>
      <c r="JFQ45" s="1469"/>
      <c r="JFR45" s="1469"/>
      <c r="JFS45" s="1469"/>
      <c r="JFT45" s="1469"/>
      <c r="JFU45" s="1469"/>
      <c r="JFV45" s="1469"/>
      <c r="JFW45" s="1469"/>
      <c r="JFX45" s="1469"/>
      <c r="JFY45" s="1469"/>
      <c r="JFZ45" s="1469"/>
      <c r="JGA45" s="1469"/>
      <c r="JGB45" s="1469"/>
      <c r="JGC45" s="1469"/>
      <c r="JGD45" s="1469"/>
      <c r="JGE45" s="1469"/>
      <c r="JGF45" s="1469"/>
      <c r="JGG45" s="1469"/>
      <c r="JGH45" s="1469"/>
      <c r="JGI45" s="1469"/>
      <c r="JGJ45" s="1469"/>
      <c r="JGK45" s="1469"/>
      <c r="JGL45" s="1469"/>
      <c r="JGM45" s="1469"/>
      <c r="JGN45" s="1469"/>
      <c r="JGO45" s="1469"/>
      <c r="JGP45" s="1469"/>
      <c r="JGQ45" s="1469"/>
      <c r="JGR45" s="1469"/>
      <c r="JGS45" s="1469"/>
      <c r="JGT45" s="1469"/>
      <c r="JGU45" s="1469"/>
      <c r="JGV45" s="1469"/>
      <c r="JGW45" s="1469"/>
      <c r="JGX45" s="1469"/>
      <c r="JGY45" s="1469"/>
      <c r="JGZ45" s="1469"/>
      <c r="JHA45" s="1469"/>
      <c r="JHB45" s="1469"/>
      <c r="JHC45" s="1469"/>
      <c r="JHD45" s="1469"/>
      <c r="JHE45" s="1469"/>
      <c r="JHF45" s="1469"/>
      <c r="JHG45" s="1469"/>
      <c r="JHH45" s="1469"/>
      <c r="JHI45" s="1469"/>
      <c r="JHJ45" s="1469"/>
      <c r="JHK45" s="1469"/>
      <c r="JHL45" s="1469"/>
      <c r="JHM45" s="1469"/>
      <c r="JHN45" s="1469"/>
      <c r="JHO45" s="1469"/>
      <c r="JHP45" s="1469"/>
      <c r="JHQ45" s="1469"/>
      <c r="JHR45" s="1469"/>
      <c r="JHS45" s="1469"/>
      <c r="JHT45" s="1469"/>
      <c r="JHU45" s="1469"/>
      <c r="JHV45" s="1469"/>
      <c r="JHW45" s="1469"/>
      <c r="JHX45" s="1469"/>
      <c r="JHY45" s="1469"/>
      <c r="JHZ45" s="1469"/>
      <c r="JIA45" s="1469"/>
      <c r="JIB45" s="1469"/>
      <c r="JIC45" s="1469"/>
      <c r="JID45" s="1469"/>
      <c r="JIE45" s="1469"/>
      <c r="JIF45" s="1469"/>
      <c r="JIG45" s="1469"/>
      <c r="JIH45" s="1469"/>
      <c r="JII45" s="1469"/>
      <c r="JIJ45" s="1469"/>
      <c r="JIK45" s="1469"/>
      <c r="JIL45" s="1469"/>
      <c r="JIM45" s="1469"/>
      <c r="JIN45" s="1469"/>
      <c r="JIO45" s="1469"/>
      <c r="JIP45" s="1469"/>
      <c r="JIQ45" s="1469"/>
      <c r="JIR45" s="1469"/>
      <c r="JIS45" s="1469"/>
      <c r="JIT45" s="1469"/>
      <c r="JIU45" s="1469"/>
      <c r="JIV45" s="1469"/>
      <c r="JIW45" s="1469"/>
      <c r="JIX45" s="1469"/>
      <c r="JIY45" s="1469"/>
      <c r="JIZ45" s="1469"/>
      <c r="JJA45" s="1469"/>
      <c r="JJB45" s="1469"/>
      <c r="JJC45" s="1469"/>
      <c r="JJD45" s="1469"/>
      <c r="JJE45" s="1469"/>
      <c r="JJF45" s="1469"/>
      <c r="JJG45" s="1469"/>
      <c r="JJH45" s="1469"/>
      <c r="JJI45" s="1469"/>
      <c r="JJJ45" s="1469"/>
      <c r="JJK45" s="1469"/>
      <c r="JJL45" s="1469"/>
      <c r="JJM45" s="1469"/>
      <c r="JJN45" s="1469"/>
      <c r="JJO45" s="1469"/>
      <c r="JJP45" s="1469"/>
      <c r="JJQ45" s="1469"/>
      <c r="JJR45" s="1469"/>
      <c r="JJS45" s="1469"/>
      <c r="JJT45" s="1469"/>
      <c r="JJU45" s="1469"/>
      <c r="JJV45" s="1469"/>
      <c r="JJW45" s="1469"/>
      <c r="JJX45" s="1469"/>
      <c r="JJY45" s="1469"/>
      <c r="JJZ45" s="1469"/>
      <c r="JKA45" s="1469"/>
      <c r="JKB45" s="1469"/>
      <c r="JKC45" s="1469"/>
      <c r="JKD45" s="1469"/>
      <c r="JKE45" s="1469"/>
      <c r="JKF45" s="1469"/>
      <c r="JKG45" s="1469"/>
      <c r="JKH45" s="1469"/>
      <c r="JKI45" s="1469"/>
      <c r="JKJ45" s="1469"/>
      <c r="JKK45" s="1469"/>
      <c r="JKL45" s="1469"/>
      <c r="JKM45" s="1469"/>
      <c r="JKN45" s="1469"/>
      <c r="JKO45" s="1469"/>
      <c r="JKP45" s="1469"/>
      <c r="JKQ45" s="1469"/>
      <c r="JKR45" s="1469"/>
      <c r="JKS45" s="1469"/>
      <c r="JKT45" s="1469"/>
      <c r="JKU45" s="1469"/>
      <c r="JKV45" s="1469"/>
      <c r="JKW45" s="1469"/>
      <c r="JKX45" s="1469"/>
      <c r="JKY45" s="1469"/>
      <c r="JKZ45" s="1469"/>
      <c r="JLA45" s="1469"/>
      <c r="JLB45" s="1469"/>
      <c r="JLC45" s="1469"/>
      <c r="JLD45" s="1469"/>
      <c r="JLE45" s="1469"/>
      <c r="JLF45" s="1469"/>
      <c r="JLG45" s="1469"/>
      <c r="JLH45" s="1469"/>
      <c r="JLI45" s="1469"/>
      <c r="JLJ45" s="1469"/>
      <c r="JLK45" s="1469"/>
      <c r="JLL45" s="1469"/>
      <c r="JLM45" s="1469"/>
      <c r="JLN45" s="1469"/>
      <c r="JLO45" s="1469"/>
      <c r="JLP45" s="1469"/>
      <c r="JLQ45" s="1469"/>
      <c r="JLR45" s="1469"/>
      <c r="JLS45" s="1469"/>
      <c r="JLT45" s="1469"/>
      <c r="JLU45" s="1469"/>
      <c r="JLV45" s="1469"/>
      <c r="JLW45" s="1469"/>
      <c r="JLX45" s="1469"/>
      <c r="JLY45" s="1469"/>
      <c r="JLZ45" s="1469"/>
      <c r="JMA45" s="1469"/>
      <c r="JMB45" s="1469"/>
      <c r="JMC45" s="1469"/>
      <c r="JMD45" s="1469"/>
      <c r="JME45" s="1469"/>
      <c r="JMF45" s="1469"/>
      <c r="JMG45" s="1469"/>
      <c r="JMH45" s="1469"/>
      <c r="JMI45" s="1469"/>
      <c r="JMJ45" s="1469"/>
      <c r="JMK45" s="1469"/>
      <c r="JML45" s="1469"/>
      <c r="JMM45" s="1469"/>
      <c r="JMN45" s="1469"/>
      <c r="JMO45" s="1469"/>
      <c r="JMP45" s="1469"/>
      <c r="JMQ45" s="1469"/>
      <c r="JMR45" s="1469"/>
      <c r="JMS45" s="1469"/>
      <c r="JMT45" s="1469"/>
      <c r="JMU45" s="1469"/>
      <c r="JMV45" s="1469"/>
      <c r="JMW45" s="1469"/>
      <c r="JMX45" s="1469"/>
      <c r="JMY45" s="1469"/>
      <c r="JMZ45" s="1469"/>
      <c r="JNA45" s="1469"/>
      <c r="JNB45" s="1469"/>
      <c r="JNC45" s="1469"/>
      <c r="JND45" s="1469"/>
      <c r="JNE45" s="1469"/>
      <c r="JNF45" s="1469"/>
      <c r="JNG45" s="1469"/>
      <c r="JNH45" s="1469"/>
      <c r="JNI45" s="1469"/>
      <c r="JNJ45" s="1469"/>
      <c r="JNK45" s="1469"/>
      <c r="JNL45" s="1469"/>
      <c r="JNM45" s="1469"/>
      <c r="JNN45" s="1469"/>
      <c r="JNO45" s="1469"/>
      <c r="JNP45" s="1469"/>
      <c r="JNQ45" s="1469"/>
      <c r="JNR45" s="1469"/>
      <c r="JNS45" s="1469"/>
      <c r="JNT45" s="1469"/>
      <c r="JNU45" s="1469"/>
      <c r="JNV45" s="1469"/>
      <c r="JNW45" s="1469"/>
      <c r="JNX45" s="1469"/>
      <c r="JNY45" s="1469"/>
      <c r="JNZ45" s="1469"/>
      <c r="JOA45" s="1469"/>
      <c r="JOB45" s="1469"/>
      <c r="JOC45" s="1469"/>
      <c r="JOD45" s="1469"/>
      <c r="JOE45" s="1469"/>
      <c r="JOF45" s="1469"/>
      <c r="JOG45" s="1469"/>
      <c r="JOH45" s="1469"/>
      <c r="JOI45" s="1469"/>
      <c r="JOJ45" s="1469"/>
      <c r="JOK45" s="1469"/>
      <c r="JOL45" s="1469"/>
      <c r="JOM45" s="1469"/>
      <c r="JON45" s="1469"/>
      <c r="JOO45" s="1469"/>
      <c r="JOP45" s="1469"/>
      <c r="JOQ45" s="1469"/>
      <c r="JOR45" s="1469"/>
      <c r="JOS45" s="1469"/>
      <c r="JOT45" s="1469"/>
      <c r="JOU45" s="1469"/>
      <c r="JOV45" s="1469"/>
      <c r="JOW45" s="1469"/>
      <c r="JOX45" s="1469"/>
      <c r="JOY45" s="1469"/>
      <c r="JOZ45" s="1469"/>
      <c r="JPA45" s="1469"/>
      <c r="JPB45" s="1469"/>
      <c r="JPC45" s="1469"/>
      <c r="JPD45" s="1469"/>
      <c r="JPE45" s="1469"/>
      <c r="JPF45" s="1469"/>
      <c r="JPG45" s="1469"/>
      <c r="JPH45" s="1469"/>
      <c r="JPI45" s="1469"/>
      <c r="JPJ45" s="1469"/>
      <c r="JPK45" s="1469"/>
      <c r="JPL45" s="1469"/>
      <c r="JPM45" s="1469"/>
      <c r="JPN45" s="1469"/>
      <c r="JPO45" s="1469"/>
      <c r="JPP45" s="1469"/>
      <c r="JPQ45" s="1469"/>
      <c r="JPR45" s="1469"/>
      <c r="JPS45" s="1469"/>
      <c r="JPT45" s="1469"/>
      <c r="JPU45" s="1469"/>
      <c r="JPV45" s="1469"/>
      <c r="JPW45" s="1469"/>
      <c r="JPX45" s="1469"/>
      <c r="JPY45" s="1469"/>
      <c r="JPZ45" s="1469"/>
      <c r="JQA45" s="1469"/>
      <c r="JQB45" s="1469"/>
      <c r="JQC45" s="1469"/>
      <c r="JQD45" s="1469"/>
      <c r="JQE45" s="1469"/>
      <c r="JQF45" s="1469"/>
      <c r="JQG45" s="1469"/>
      <c r="JQH45" s="1469"/>
      <c r="JQI45" s="1469"/>
      <c r="JQJ45" s="1469"/>
      <c r="JQK45" s="1469"/>
      <c r="JQL45" s="1469"/>
      <c r="JQM45" s="1469"/>
      <c r="JQN45" s="1469"/>
      <c r="JQO45" s="1469"/>
      <c r="JQP45" s="1469"/>
      <c r="JQQ45" s="1469"/>
      <c r="JQR45" s="1469"/>
      <c r="JQS45" s="1469"/>
      <c r="JQT45" s="1469"/>
      <c r="JQU45" s="1469"/>
      <c r="JQV45" s="1469"/>
      <c r="JQW45" s="1469"/>
      <c r="JQX45" s="1469"/>
      <c r="JQY45" s="1469"/>
      <c r="JQZ45" s="1469"/>
      <c r="JRA45" s="1469"/>
      <c r="JRB45" s="1469"/>
      <c r="JRC45" s="1469"/>
      <c r="JRD45" s="1469"/>
      <c r="JRE45" s="1469"/>
      <c r="JRF45" s="1469"/>
      <c r="JRG45" s="1469"/>
      <c r="JRH45" s="1469"/>
      <c r="JRI45" s="1469"/>
      <c r="JRJ45" s="1469"/>
      <c r="JRK45" s="1469"/>
      <c r="JRL45" s="1469"/>
      <c r="JRM45" s="1469"/>
      <c r="JRN45" s="1469"/>
      <c r="JRO45" s="1469"/>
      <c r="JRP45" s="1469"/>
      <c r="JRQ45" s="1469"/>
      <c r="JRR45" s="1469"/>
      <c r="JRS45" s="1469"/>
      <c r="JRT45" s="1469"/>
      <c r="JRU45" s="1469"/>
      <c r="JRV45" s="1469"/>
      <c r="JRW45" s="1469"/>
      <c r="JRX45" s="1469"/>
      <c r="JRY45" s="1469"/>
      <c r="JRZ45" s="1469"/>
      <c r="JSA45" s="1469"/>
      <c r="JSB45" s="1469"/>
      <c r="JSC45" s="1469"/>
      <c r="JSD45" s="1469"/>
      <c r="JSE45" s="1469"/>
      <c r="JSF45" s="1469"/>
      <c r="JSG45" s="1469"/>
      <c r="JSH45" s="1469"/>
      <c r="JSI45" s="1469"/>
      <c r="JSJ45" s="1469"/>
      <c r="JSK45" s="1469"/>
      <c r="JSL45" s="1469"/>
      <c r="JSM45" s="1469"/>
      <c r="JSN45" s="1469"/>
      <c r="JSO45" s="1469"/>
      <c r="JSP45" s="1469"/>
      <c r="JSQ45" s="1469"/>
      <c r="JSR45" s="1469"/>
      <c r="JSS45" s="1469"/>
      <c r="JST45" s="1469"/>
      <c r="JSU45" s="1469"/>
      <c r="JSV45" s="1469"/>
      <c r="JSW45" s="1469"/>
      <c r="JSX45" s="1469"/>
      <c r="JSY45" s="1469"/>
      <c r="JSZ45" s="1469"/>
      <c r="JTA45" s="1469"/>
      <c r="JTB45" s="1469"/>
      <c r="JTC45" s="1469"/>
      <c r="JTD45" s="1469"/>
      <c r="JTE45" s="1469"/>
      <c r="JTF45" s="1469"/>
      <c r="JTG45" s="1469"/>
      <c r="JTH45" s="1469"/>
      <c r="JTI45" s="1469"/>
      <c r="JTJ45" s="1469"/>
      <c r="JTK45" s="1469"/>
      <c r="JTL45" s="1469"/>
      <c r="JTM45" s="1469"/>
      <c r="JTN45" s="1469"/>
      <c r="JTO45" s="1469"/>
      <c r="JTP45" s="1469"/>
      <c r="JTQ45" s="1469"/>
      <c r="JTR45" s="1469"/>
      <c r="JTS45" s="1469"/>
      <c r="JTT45" s="1469"/>
      <c r="JTU45" s="1469"/>
      <c r="JTV45" s="1469"/>
      <c r="JTW45" s="1469"/>
      <c r="JTX45" s="1469"/>
      <c r="JTY45" s="1469"/>
      <c r="JTZ45" s="1469"/>
      <c r="JUA45" s="1469"/>
      <c r="JUB45" s="1469"/>
      <c r="JUC45" s="1469"/>
      <c r="JUD45" s="1469"/>
      <c r="JUE45" s="1469"/>
      <c r="JUF45" s="1469"/>
      <c r="JUG45" s="1469"/>
      <c r="JUH45" s="1469"/>
      <c r="JUI45" s="1469"/>
      <c r="JUJ45" s="1469"/>
      <c r="JUK45" s="1469"/>
      <c r="JUL45" s="1469"/>
      <c r="JUM45" s="1469"/>
      <c r="JUN45" s="1469"/>
      <c r="JUO45" s="1469"/>
      <c r="JUP45" s="1469"/>
      <c r="JUQ45" s="1469"/>
      <c r="JUR45" s="1469"/>
      <c r="JUS45" s="1469"/>
      <c r="JUT45" s="1469"/>
      <c r="JUU45" s="1469"/>
      <c r="JUV45" s="1469"/>
      <c r="JUW45" s="1469"/>
      <c r="JUX45" s="1469"/>
      <c r="JUY45" s="1469"/>
      <c r="JUZ45" s="1469"/>
      <c r="JVA45" s="1469"/>
      <c r="JVB45" s="1469"/>
      <c r="JVC45" s="1469"/>
      <c r="JVD45" s="1469"/>
      <c r="JVE45" s="1469"/>
      <c r="JVF45" s="1469"/>
      <c r="JVG45" s="1469"/>
      <c r="JVH45" s="1469"/>
      <c r="JVI45" s="1469"/>
      <c r="JVJ45" s="1469"/>
      <c r="JVK45" s="1469"/>
      <c r="JVL45" s="1469"/>
      <c r="JVM45" s="1469"/>
      <c r="JVN45" s="1469"/>
      <c r="JVO45" s="1469"/>
      <c r="JVP45" s="1469"/>
      <c r="JVQ45" s="1469"/>
      <c r="JVR45" s="1469"/>
      <c r="JVS45" s="1469"/>
      <c r="JVT45" s="1469"/>
      <c r="JVU45" s="1469"/>
      <c r="JVV45" s="1469"/>
      <c r="JVW45" s="1469"/>
      <c r="JVX45" s="1469"/>
      <c r="JVY45" s="1469"/>
      <c r="JVZ45" s="1469"/>
      <c r="JWA45" s="1469"/>
      <c r="JWB45" s="1469"/>
      <c r="JWC45" s="1469"/>
      <c r="JWD45" s="1469"/>
      <c r="JWE45" s="1469"/>
      <c r="JWF45" s="1469"/>
      <c r="JWG45" s="1469"/>
      <c r="JWH45" s="1469"/>
      <c r="JWI45" s="1469"/>
      <c r="JWJ45" s="1469"/>
      <c r="JWK45" s="1469"/>
      <c r="JWL45" s="1469"/>
      <c r="JWM45" s="1469"/>
      <c r="JWN45" s="1469"/>
      <c r="JWO45" s="1469"/>
      <c r="JWP45" s="1469"/>
      <c r="JWQ45" s="1469"/>
      <c r="JWR45" s="1469"/>
      <c r="JWS45" s="1469"/>
      <c r="JWT45" s="1469"/>
      <c r="JWU45" s="1469"/>
      <c r="JWV45" s="1469"/>
      <c r="JWW45" s="1469"/>
      <c r="JWX45" s="1469"/>
      <c r="JWY45" s="1469"/>
      <c r="JWZ45" s="1469"/>
      <c r="JXA45" s="1469"/>
      <c r="JXB45" s="1469"/>
      <c r="JXC45" s="1469"/>
      <c r="JXD45" s="1469"/>
      <c r="JXE45" s="1469"/>
      <c r="JXF45" s="1469"/>
      <c r="JXG45" s="1469"/>
      <c r="JXH45" s="1469"/>
      <c r="JXI45" s="1469"/>
      <c r="JXJ45" s="1469"/>
      <c r="JXK45" s="1469"/>
      <c r="JXL45" s="1469"/>
      <c r="JXM45" s="1469"/>
      <c r="JXN45" s="1469"/>
      <c r="JXO45" s="1469"/>
      <c r="JXP45" s="1469"/>
      <c r="JXQ45" s="1469"/>
      <c r="JXR45" s="1469"/>
      <c r="JXS45" s="1469"/>
      <c r="JXT45" s="1469"/>
      <c r="JXU45" s="1469"/>
      <c r="JXV45" s="1469"/>
      <c r="JXW45" s="1469"/>
      <c r="JXX45" s="1469"/>
      <c r="JXY45" s="1469"/>
      <c r="JXZ45" s="1469"/>
      <c r="JYA45" s="1469"/>
      <c r="JYB45" s="1469"/>
      <c r="JYC45" s="1469"/>
      <c r="JYD45" s="1469"/>
      <c r="JYE45" s="1469"/>
      <c r="JYF45" s="1469"/>
      <c r="JYG45" s="1469"/>
      <c r="JYH45" s="1469"/>
      <c r="JYI45" s="1469"/>
      <c r="JYJ45" s="1469"/>
      <c r="JYK45" s="1469"/>
      <c r="JYL45" s="1469"/>
      <c r="JYM45" s="1469"/>
      <c r="JYN45" s="1469"/>
      <c r="JYO45" s="1469"/>
      <c r="JYP45" s="1469"/>
      <c r="JYQ45" s="1469"/>
      <c r="JYR45" s="1469"/>
      <c r="JYS45" s="1469"/>
      <c r="JYT45" s="1469"/>
      <c r="JYU45" s="1469"/>
      <c r="JYV45" s="1469"/>
      <c r="JYW45" s="1469"/>
      <c r="JYX45" s="1469"/>
      <c r="JYY45" s="1469"/>
      <c r="JYZ45" s="1469"/>
      <c r="JZA45" s="1469"/>
      <c r="JZB45" s="1469"/>
      <c r="JZC45" s="1469"/>
      <c r="JZD45" s="1469"/>
      <c r="JZE45" s="1469"/>
      <c r="JZF45" s="1469"/>
      <c r="JZG45" s="1469"/>
      <c r="JZH45" s="1469"/>
      <c r="JZI45" s="1469"/>
      <c r="JZJ45" s="1469"/>
      <c r="JZK45" s="1469"/>
      <c r="JZL45" s="1469"/>
      <c r="JZM45" s="1469"/>
      <c r="JZN45" s="1469"/>
      <c r="JZO45" s="1469"/>
      <c r="JZP45" s="1469"/>
      <c r="JZQ45" s="1469"/>
      <c r="JZR45" s="1469"/>
      <c r="JZS45" s="1469"/>
      <c r="JZT45" s="1469"/>
      <c r="JZU45" s="1469"/>
      <c r="JZV45" s="1469"/>
      <c r="JZW45" s="1469"/>
      <c r="JZX45" s="1469"/>
      <c r="JZY45" s="1469"/>
      <c r="JZZ45" s="1469"/>
      <c r="KAA45" s="1469"/>
      <c r="KAB45" s="1469"/>
      <c r="KAC45" s="1469"/>
      <c r="KAD45" s="1469"/>
      <c r="KAE45" s="1469"/>
      <c r="KAF45" s="1469"/>
      <c r="KAG45" s="1469"/>
      <c r="KAH45" s="1469"/>
      <c r="KAI45" s="1469"/>
      <c r="KAJ45" s="1469"/>
      <c r="KAK45" s="1469"/>
      <c r="KAL45" s="1469"/>
      <c r="KAM45" s="1469"/>
      <c r="KAN45" s="1469"/>
      <c r="KAO45" s="1469"/>
      <c r="KAP45" s="1469"/>
      <c r="KAQ45" s="1469"/>
      <c r="KAR45" s="1469"/>
      <c r="KAS45" s="1469"/>
      <c r="KAT45" s="1469"/>
      <c r="KAU45" s="1469"/>
      <c r="KAV45" s="1469"/>
      <c r="KAW45" s="1469"/>
      <c r="KAX45" s="1469"/>
      <c r="KAY45" s="1469"/>
      <c r="KAZ45" s="1469"/>
      <c r="KBA45" s="1469"/>
      <c r="KBB45" s="1469"/>
      <c r="KBC45" s="1469"/>
      <c r="KBD45" s="1469"/>
      <c r="KBE45" s="1469"/>
      <c r="KBF45" s="1469"/>
      <c r="KBG45" s="1469"/>
      <c r="KBH45" s="1469"/>
      <c r="KBI45" s="1469"/>
      <c r="KBJ45" s="1469"/>
      <c r="KBK45" s="1469"/>
      <c r="KBL45" s="1469"/>
      <c r="KBM45" s="1469"/>
      <c r="KBN45" s="1469"/>
      <c r="KBO45" s="1469"/>
      <c r="KBP45" s="1469"/>
      <c r="KBQ45" s="1469"/>
      <c r="KBR45" s="1469"/>
      <c r="KBS45" s="1469"/>
      <c r="KBT45" s="1469"/>
      <c r="KBU45" s="1469"/>
      <c r="KBV45" s="1469"/>
      <c r="KBW45" s="1469"/>
      <c r="KBX45" s="1469"/>
      <c r="KBY45" s="1469"/>
      <c r="KBZ45" s="1469"/>
      <c r="KCA45" s="1469"/>
      <c r="KCB45" s="1469"/>
      <c r="KCC45" s="1469"/>
      <c r="KCD45" s="1469"/>
      <c r="KCE45" s="1469"/>
      <c r="KCF45" s="1469"/>
      <c r="KCG45" s="1469"/>
      <c r="KCH45" s="1469"/>
      <c r="KCI45" s="1469"/>
      <c r="KCJ45" s="1469"/>
      <c r="KCK45" s="1469"/>
      <c r="KCL45" s="1469"/>
      <c r="KCM45" s="1469"/>
      <c r="KCN45" s="1469"/>
      <c r="KCO45" s="1469"/>
      <c r="KCP45" s="1469"/>
      <c r="KCQ45" s="1469"/>
      <c r="KCR45" s="1469"/>
      <c r="KCS45" s="1469"/>
      <c r="KCT45" s="1469"/>
      <c r="KCU45" s="1469"/>
      <c r="KCV45" s="1469"/>
      <c r="KCW45" s="1469"/>
      <c r="KCX45" s="1469"/>
      <c r="KCY45" s="1469"/>
      <c r="KCZ45" s="1469"/>
      <c r="KDA45" s="1469"/>
      <c r="KDB45" s="1469"/>
      <c r="KDC45" s="1469"/>
      <c r="KDD45" s="1469"/>
      <c r="KDE45" s="1469"/>
      <c r="KDF45" s="1469"/>
      <c r="KDG45" s="1469"/>
      <c r="KDH45" s="1469"/>
      <c r="KDI45" s="1469"/>
      <c r="KDJ45" s="1469"/>
      <c r="KDK45" s="1469"/>
      <c r="KDL45" s="1469"/>
      <c r="KDM45" s="1469"/>
      <c r="KDN45" s="1469"/>
      <c r="KDO45" s="1469"/>
      <c r="KDP45" s="1469"/>
      <c r="KDQ45" s="1469"/>
      <c r="KDR45" s="1469"/>
      <c r="KDS45" s="1469"/>
      <c r="KDT45" s="1469"/>
      <c r="KDU45" s="1469"/>
      <c r="KDV45" s="1469"/>
      <c r="KDW45" s="1469"/>
      <c r="KDX45" s="1469"/>
      <c r="KDY45" s="1469"/>
      <c r="KDZ45" s="1469"/>
      <c r="KEA45" s="1469"/>
      <c r="KEB45" s="1469"/>
      <c r="KEC45" s="1469"/>
      <c r="KED45" s="1469"/>
      <c r="KEE45" s="1469"/>
      <c r="KEF45" s="1469"/>
      <c r="KEG45" s="1469"/>
      <c r="KEH45" s="1469"/>
      <c r="KEI45" s="1469"/>
      <c r="KEJ45" s="1469"/>
      <c r="KEK45" s="1469"/>
      <c r="KEL45" s="1469"/>
      <c r="KEM45" s="1469"/>
      <c r="KEN45" s="1469"/>
      <c r="KEO45" s="1469"/>
      <c r="KEP45" s="1469"/>
      <c r="KEQ45" s="1469"/>
      <c r="KER45" s="1469"/>
      <c r="KES45" s="1469"/>
      <c r="KET45" s="1469"/>
      <c r="KEU45" s="1469"/>
      <c r="KEV45" s="1469"/>
      <c r="KEW45" s="1469"/>
      <c r="KEX45" s="1469"/>
      <c r="KEY45" s="1469"/>
      <c r="KEZ45" s="1469"/>
      <c r="KFA45" s="1469"/>
      <c r="KFB45" s="1469"/>
      <c r="KFC45" s="1469"/>
      <c r="KFD45" s="1469"/>
      <c r="KFE45" s="1469"/>
      <c r="KFF45" s="1469"/>
      <c r="KFG45" s="1469"/>
      <c r="KFH45" s="1469"/>
      <c r="KFI45" s="1469"/>
      <c r="KFJ45" s="1469"/>
      <c r="KFK45" s="1469"/>
      <c r="KFL45" s="1469"/>
      <c r="KFM45" s="1469"/>
      <c r="KFN45" s="1469"/>
      <c r="KFO45" s="1469"/>
      <c r="KFP45" s="1469"/>
      <c r="KFQ45" s="1469"/>
      <c r="KFR45" s="1469"/>
      <c r="KFS45" s="1469"/>
      <c r="KFT45" s="1469"/>
      <c r="KFU45" s="1469"/>
      <c r="KFV45" s="1469"/>
      <c r="KFW45" s="1469"/>
      <c r="KFX45" s="1469"/>
      <c r="KFY45" s="1469"/>
      <c r="KFZ45" s="1469"/>
      <c r="KGA45" s="1469"/>
      <c r="KGB45" s="1469"/>
      <c r="KGC45" s="1469"/>
      <c r="KGD45" s="1469"/>
      <c r="KGE45" s="1469"/>
      <c r="KGF45" s="1469"/>
      <c r="KGG45" s="1469"/>
      <c r="KGH45" s="1469"/>
      <c r="KGI45" s="1469"/>
      <c r="KGJ45" s="1469"/>
      <c r="KGK45" s="1469"/>
      <c r="KGL45" s="1469"/>
      <c r="KGM45" s="1469"/>
      <c r="KGN45" s="1469"/>
      <c r="KGO45" s="1469"/>
      <c r="KGP45" s="1469"/>
      <c r="KGQ45" s="1469"/>
      <c r="KGR45" s="1469"/>
      <c r="KGS45" s="1469"/>
      <c r="KGT45" s="1469"/>
      <c r="KGU45" s="1469"/>
      <c r="KGV45" s="1469"/>
      <c r="KGW45" s="1469"/>
      <c r="KGX45" s="1469"/>
      <c r="KGY45" s="1469"/>
      <c r="KGZ45" s="1469"/>
      <c r="KHA45" s="1469"/>
      <c r="KHB45" s="1469"/>
      <c r="KHC45" s="1469"/>
      <c r="KHD45" s="1469"/>
      <c r="KHE45" s="1469"/>
      <c r="KHF45" s="1469"/>
      <c r="KHG45" s="1469"/>
      <c r="KHH45" s="1469"/>
      <c r="KHI45" s="1469"/>
      <c r="KHJ45" s="1469"/>
      <c r="KHK45" s="1469"/>
      <c r="KHL45" s="1469"/>
      <c r="KHM45" s="1469"/>
      <c r="KHN45" s="1469"/>
      <c r="KHO45" s="1469"/>
      <c r="KHP45" s="1469"/>
      <c r="KHQ45" s="1469"/>
      <c r="KHR45" s="1469"/>
      <c r="KHS45" s="1469"/>
      <c r="KHT45" s="1469"/>
      <c r="KHU45" s="1469"/>
      <c r="KHV45" s="1469"/>
      <c r="KHW45" s="1469"/>
      <c r="KHX45" s="1469"/>
      <c r="KHY45" s="1469"/>
      <c r="KHZ45" s="1469"/>
      <c r="KIA45" s="1469"/>
      <c r="KIB45" s="1469"/>
      <c r="KIC45" s="1469"/>
      <c r="KID45" s="1469"/>
      <c r="KIE45" s="1469"/>
      <c r="KIF45" s="1469"/>
      <c r="KIG45" s="1469"/>
      <c r="KIH45" s="1469"/>
      <c r="KII45" s="1469"/>
      <c r="KIJ45" s="1469"/>
      <c r="KIK45" s="1469"/>
      <c r="KIL45" s="1469"/>
      <c r="KIM45" s="1469"/>
      <c r="KIN45" s="1469"/>
      <c r="KIO45" s="1469"/>
      <c r="KIP45" s="1469"/>
      <c r="KIQ45" s="1469"/>
      <c r="KIR45" s="1469"/>
      <c r="KIS45" s="1469"/>
      <c r="KIT45" s="1469"/>
      <c r="KIU45" s="1469"/>
      <c r="KIV45" s="1469"/>
      <c r="KIW45" s="1469"/>
      <c r="KIX45" s="1469"/>
      <c r="KIY45" s="1469"/>
      <c r="KIZ45" s="1469"/>
      <c r="KJA45" s="1469"/>
      <c r="KJB45" s="1469"/>
      <c r="KJC45" s="1469"/>
      <c r="KJD45" s="1469"/>
      <c r="KJE45" s="1469"/>
      <c r="KJF45" s="1469"/>
      <c r="KJG45" s="1469"/>
      <c r="KJH45" s="1469"/>
      <c r="KJI45" s="1469"/>
      <c r="KJJ45" s="1469"/>
      <c r="KJK45" s="1469"/>
      <c r="KJL45" s="1469"/>
      <c r="KJM45" s="1469"/>
      <c r="KJN45" s="1469"/>
      <c r="KJO45" s="1469"/>
      <c r="KJP45" s="1469"/>
      <c r="KJQ45" s="1469"/>
      <c r="KJR45" s="1469"/>
      <c r="KJS45" s="1469"/>
      <c r="KJT45" s="1469"/>
      <c r="KJU45" s="1469"/>
      <c r="KJV45" s="1469"/>
      <c r="KJW45" s="1469"/>
      <c r="KJX45" s="1469"/>
      <c r="KJY45" s="1469"/>
      <c r="KJZ45" s="1469"/>
      <c r="KKA45" s="1469"/>
      <c r="KKB45" s="1469"/>
      <c r="KKC45" s="1469"/>
      <c r="KKD45" s="1469"/>
      <c r="KKE45" s="1469"/>
      <c r="KKF45" s="1469"/>
      <c r="KKG45" s="1469"/>
      <c r="KKH45" s="1469"/>
      <c r="KKI45" s="1469"/>
      <c r="KKJ45" s="1469"/>
      <c r="KKK45" s="1469"/>
      <c r="KKL45" s="1469"/>
      <c r="KKM45" s="1469"/>
      <c r="KKN45" s="1469"/>
      <c r="KKO45" s="1469"/>
      <c r="KKP45" s="1469"/>
      <c r="KKQ45" s="1469"/>
      <c r="KKR45" s="1469"/>
      <c r="KKS45" s="1469"/>
      <c r="KKT45" s="1469"/>
      <c r="KKU45" s="1469"/>
      <c r="KKV45" s="1469"/>
      <c r="KKW45" s="1469"/>
      <c r="KKX45" s="1469"/>
      <c r="KKY45" s="1469"/>
      <c r="KKZ45" s="1469"/>
      <c r="KLA45" s="1469"/>
      <c r="KLB45" s="1469"/>
      <c r="KLC45" s="1469"/>
      <c r="KLD45" s="1469"/>
      <c r="KLE45" s="1469"/>
      <c r="KLF45" s="1469"/>
      <c r="KLG45" s="1469"/>
      <c r="KLH45" s="1469"/>
      <c r="KLI45" s="1469"/>
      <c r="KLJ45" s="1469"/>
      <c r="KLK45" s="1469"/>
      <c r="KLL45" s="1469"/>
      <c r="KLM45" s="1469"/>
      <c r="KLN45" s="1469"/>
      <c r="KLO45" s="1469"/>
      <c r="KLP45" s="1469"/>
      <c r="KLQ45" s="1469"/>
      <c r="KLR45" s="1469"/>
      <c r="KLS45" s="1469"/>
      <c r="KLT45" s="1469"/>
      <c r="KLU45" s="1469"/>
      <c r="KLV45" s="1469"/>
      <c r="KLW45" s="1469"/>
      <c r="KLX45" s="1469"/>
      <c r="KLY45" s="1469"/>
      <c r="KLZ45" s="1469"/>
      <c r="KMA45" s="1469"/>
      <c r="KMB45" s="1469"/>
      <c r="KMC45" s="1469"/>
      <c r="KMD45" s="1469"/>
      <c r="KME45" s="1469"/>
      <c r="KMF45" s="1469"/>
      <c r="KMG45" s="1469"/>
      <c r="KMH45" s="1469"/>
      <c r="KMI45" s="1469"/>
      <c r="KMJ45" s="1469"/>
      <c r="KMK45" s="1469"/>
      <c r="KML45" s="1469"/>
      <c r="KMM45" s="1469"/>
      <c r="KMN45" s="1469"/>
      <c r="KMO45" s="1469"/>
      <c r="KMP45" s="1469"/>
      <c r="KMQ45" s="1469"/>
      <c r="KMR45" s="1469"/>
      <c r="KMS45" s="1469"/>
      <c r="KMT45" s="1469"/>
      <c r="KMU45" s="1469"/>
      <c r="KMV45" s="1469"/>
      <c r="KMW45" s="1469"/>
      <c r="KMX45" s="1469"/>
      <c r="KMY45" s="1469"/>
      <c r="KMZ45" s="1469"/>
      <c r="KNA45" s="1469"/>
      <c r="KNB45" s="1469"/>
      <c r="KNC45" s="1469"/>
      <c r="KND45" s="1469"/>
      <c r="KNE45" s="1469"/>
      <c r="KNF45" s="1469"/>
      <c r="KNG45" s="1469"/>
      <c r="KNH45" s="1469"/>
      <c r="KNI45" s="1469"/>
      <c r="KNJ45" s="1469"/>
      <c r="KNK45" s="1469"/>
      <c r="KNL45" s="1469"/>
      <c r="KNM45" s="1469"/>
      <c r="KNN45" s="1469"/>
      <c r="KNO45" s="1469"/>
      <c r="KNP45" s="1469"/>
      <c r="KNQ45" s="1469"/>
      <c r="KNR45" s="1469"/>
      <c r="KNS45" s="1469"/>
      <c r="KNT45" s="1469"/>
      <c r="KNU45" s="1469"/>
      <c r="KNV45" s="1469"/>
      <c r="KNW45" s="1469"/>
      <c r="KNX45" s="1469"/>
      <c r="KNY45" s="1469"/>
      <c r="KNZ45" s="1469"/>
      <c r="KOA45" s="1469"/>
      <c r="KOB45" s="1469"/>
      <c r="KOC45" s="1469"/>
      <c r="KOD45" s="1469"/>
      <c r="KOE45" s="1469"/>
      <c r="KOF45" s="1469"/>
      <c r="KOG45" s="1469"/>
      <c r="KOH45" s="1469"/>
      <c r="KOI45" s="1469"/>
      <c r="KOJ45" s="1469"/>
      <c r="KOK45" s="1469"/>
      <c r="KOL45" s="1469"/>
      <c r="KOM45" s="1469"/>
      <c r="KON45" s="1469"/>
      <c r="KOO45" s="1469"/>
      <c r="KOP45" s="1469"/>
      <c r="KOQ45" s="1469"/>
      <c r="KOR45" s="1469"/>
      <c r="KOS45" s="1469"/>
      <c r="KOT45" s="1469"/>
      <c r="KOU45" s="1469"/>
      <c r="KOV45" s="1469"/>
      <c r="KOW45" s="1469"/>
      <c r="KOX45" s="1469"/>
      <c r="KOY45" s="1469"/>
      <c r="KOZ45" s="1469"/>
      <c r="KPA45" s="1469"/>
      <c r="KPB45" s="1469"/>
      <c r="KPC45" s="1469"/>
      <c r="KPD45" s="1469"/>
      <c r="KPE45" s="1469"/>
      <c r="KPF45" s="1469"/>
      <c r="KPG45" s="1469"/>
      <c r="KPH45" s="1469"/>
      <c r="KPI45" s="1469"/>
      <c r="KPJ45" s="1469"/>
      <c r="KPK45" s="1469"/>
      <c r="KPL45" s="1469"/>
      <c r="KPM45" s="1469"/>
      <c r="KPN45" s="1469"/>
      <c r="KPO45" s="1469"/>
      <c r="KPP45" s="1469"/>
      <c r="KPQ45" s="1469"/>
      <c r="KPR45" s="1469"/>
      <c r="KPS45" s="1469"/>
      <c r="KPT45" s="1469"/>
      <c r="KPU45" s="1469"/>
      <c r="KPV45" s="1469"/>
      <c r="KPW45" s="1469"/>
      <c r="KPX45" s="1469"/>
      <c r="KPY45" s="1469"/>
      <c r="KPZ45" s="1469"/>
      <c r="KQA45" s="1469"/>
      <c r="KQB45" s="1469"/>
      <c r="KQC45" s="1469"/>
      <c r="KQD45" s="1469"/>
      <c r="KQE45" s="1469"/>
      <c r="KQF45" s="1469"/>
      <c r="KQG45" s="1469"/>
      <c r="KQH45" s="1469"/>
      <c r="KQI45" s="1469"/>
      <c r="KQJ45" s="1469"/>
      <c r="KQK45" s="1469"/>
      <c r="KQL45" s="1469"/>
      <c r="KQM45" s="1469"/>
      <c r="KQN45" s="1469"/>
      <c r="KQO45" s="1469"/>
      <c r="KQP45" s="1469"/>
      <c r="KQQ45" s="1469"/>
      <c r="KQR45" s="1469"/>
      <c r="KQS45" s="1469"/>
      <c r="KQT45" s="1469"/>
      <c r="KQU45" s="1469"/>
      <c r="KQV45" s="1469"/>
      <c r="KQW45" s="1469"/>
      <c r="KQX45" s="1469"/>
      <c r="KQY45" s="1469"/>
      <c r="KQZ45" s="1469"/>
      <c r="KRA45" s="1469"/>
      <c r="KRB45" s="1469"/>
      <c r="KRC45" s="1469"/>
      <c r="KRD45" s="1469"/>
      <c r="KRE45" s="1469"/>
      <c r="KRF45" s="1469"/>
      <c r="KRG45" s="1469"/>
      <c r="KRH45" s="1469"/>
      <c r="KRI45" s="1469"/>
      <c r="KRJ45" s="1469"/>
      <c r="KRK45" s="1469"/>
      <c r="KRL45" s="1469"/>
      <c r="KRM45" s="1469"/>
      <c r="KRN45" s="1469"/>
      <c r="KRO45" s="1469"/>
      <c r="KRP45" s="1469"/>
      <c r="KRQ45" s="1469"/>
      <c r="KRR45" s="1469"/>
      <c r="KRS45" s="1469"/>
      <c r="KRT45" s="1469"/>
      <c r="KRU45" s="1469"/>
      <c r="KRV45" s="1469"/>
      <c r="KRW45" s="1469"/>
      <c r="KRX45" s="1469"/>
      <c r="KRY45" s="1469"/>
      <c r="KRZ45" s="1469"/>
      <c r="KSA45" s="1469"/>
      <c r="KSB45" s="1469"/>
      <c r="KSC45" s="1469"/>
      <c r="KSD45" s="1469"/>
      <c r="KSE45" s="1469"/>
      <c r="KSF45" s="1469"/>
      <c r="KSG45" s="1469"/>
      <c r="KSH45" s="1469"/>
      <c r="KSI45" s="1469"/>
      <c r="KSJ45" s="1469"/>
      <c r="KSK45" s="1469"/>
      <c r="KSL45" s="1469"/>
      <c r="KSM45" s="1469"/>
      <c r="KSN45" s="1469"/>
      <c r="KSO45" s="1469"/>
      <c r="KSP45" s="1469"/>
      <c r="KSQ45" s="1469"/>
      <c r="KSR45" s="1469"/>
      <c r="KSS45" s="1469"/>
      <c r="KST45" s="1469"/>
      <c r="KSU45" s="1469"/>
      <c r="KSV45" s="1469"/>
      <c r="KSW45" s="1469"/>
      <c r="KSX45" s="1469"/>
      <c r="KSY45" s="1469"/>
      <c r="KSZ45" s="1469"/>
      <c r="KTA45" s="1469"/>
      <c r="KTB45" s="1469"/>
      <c r="KTC45" s="1469"/>
      <c r="KTD45" s="1469"/>
      <c r="KTE45" s="1469"/>
      <c r="KTF45" s="1469"/>
      <c r="KTG45" s="1469"/>
      <c r="KTH45" s="1469"/>
      <c r="KTI45" s="1469"/>
      <c r="KTJ45" s="1469"/>
      <c r="KTK45" s="1469"/>
      <c r="KTL45" s="1469"/>
      <c r="KTM45" s="1469"/>
      <c r="KTN45" s="1469"/>
      <c r="KTO45" s="1469"/>
      <c r="KTP45" s="1469"/>
      <c r="KTQ45" s="1469"/>
      <c r="KTR45" s="1469"/>
      <c r="KTS45" s="1469"/>
      <c r="KTT45" s="1469"/>
      <c r="KTU45" s="1469"/>
      <c r="KTV45" s="1469"/>
      <c r="KTW45" s="1469"/>
      <c r="KTX45" s="1469"/>
      <c r="KTY45" s="1469"/>
      <c r="KTZ45" s="1469"/>
      <c r="KUA45" s="1469"/>
      <c r="KUB45" s="1469"/>
      <c r="KUC45" s="1469"/>
      <c r="KUD45" s="1469"/>
      <c r="KUE45" s="1469"/>
      <c r="KUF45" s="1469"/>
      <c r="KUG45" s="1469"/>
      <c r="KUH45" s="1469"/>
      <c r="KUI45" s="1469"/>
      <c r="KUJ45" s="1469"/>
      <c r="KUK45" s="1469"/>
      <c r="KUL45" s="1469"/>
      <c r="KUM45" s="1469"/>
      <c r="KUN45" s="1469"/>
      <c r="KUO45" s="1469"/>
      <c r="KUP45" s="1469"/>
      <c r="KUQ45" s="1469"/>
      <c r="KUR45" s="1469"/>
      <c r="KUS45" s="1469"/>
      <c r="KUT45" s="1469"/>
      <c r="KUU45" s="1469"/>
      <c r="KUV45" s="1469"/>
      <c r="KUW45" s="1469"/>
      <c r="KUX45" s="1469"/>
      <c r="KUY45" s="1469"/>
      <c r="KUZ45" s="1469"/>
      <c r="KVA45" s="1469"/>
      <c r="KVB45" s="1469"/>
      <c r="KVC45" s="1469"/>
      <c r="KVD45" s="1469"/>
      <c r="KVE45" s="1469"/>
      <c r="KVF45" s="1469"/>
      <c r="KVG45" s="1469"/>
      <c r="KVH45" s="1469"/>
      <c r="KVI45" s="1469"/>
      <c r="KVJ45" s="1469"/>
      <c r="KVK45" s="1469"/>
      <c r="KVL45" s="1469"/>
      <c r="KVM45" s="1469"/>
      <c r="KVN45" s="1469"/>
      <c r="KVO45" s="1469"/>
      <c r="KVP45" s="1469"/>
      <c r="KVQ45" s="1469"/>
      <c r="KVR45" s="1469"/>
      <c r="KVS45" s="1469"/>
      <c r="KVT45" s="1469"/>
      <c r="KVU45" s="1469"/>
      <c r="KVV45" s="1469"/>
      <c r="KVW45" s="1469"/>
      <c r="KVX45" s="1469"/>
      <c r="KVY45" s="1469"/>
      <c r="KVZ45" s="1469"/>
      <c r="KWA45" s="1469"/>
      <c r="KWB45" s="1469"/>
      <c r="KWC45" s="1469"/>
      <c r="KWD45" s="1469"/>
      <c r="KWE45" s="1469"/>
      <c r="KWF45" s="1469"/>
      <c r="KWG45" s="1469"/>
      <c r="KWH45" s="1469"/>
      <c r="KWI45" s="1469"/>
      <c r="KWJ45" s="1469"/>
      <c r="KWK45" s="1469"/>
      <c r="KWL45" s="1469"/>
      <c r="KWM45" s="1469"/>
      <c r="KWN45" s="1469"/>
      <c r="KWO45" s="1469"/>
      <c r="KWP45" s="1469"/>
      <c r="KWQ45" s="1469"/>
      <c r="KWR45" s="1469"/>
      <c r="KWS45" s="1469"/>
      <c r="KWT45" s="1469"/>
      <c r="KWU45" s="1469"/>
      <c r="KWV45" s="1469"/>
      <c r="KWW45" s="1469"/>
      <c r="KWX45" s="1469"/>
      <c r="KWY45" s="1469"/>
      <c r="KWZ45" s="1469"/>
      <c r="KXA45" s="1469"/>
      <c r="KXB45" s="1469"/>
      <c r="KXC45" s="1469"/>
      <c r="KXD45" s="1469"/>
      <c r="KXE45" s="1469"/>
      <c r="KXF45" s="1469"/>
      <c r="KXG45" s="1469"/>
      <c r="KXH45" s="1469"/>
      <c r="KXI45" s="1469"/>
      <c r="KXJ45" s="1469"/>
      <c r="KXK45" s="1469"/>
      <c r="KXL45" s="1469"/>
      <c r="KXM45" s="1469"/>
      <c r="KXN45" s="1469"/>
      <c r="KXO45" s="1469"/>
      <c r="KXP45" s="1469"/>
      <c r="KXQ45" s="1469"/>
      <c r="KXR45" s="1469"/>
      <c r="KXS45" s="1469"/>
      <c r="KXT45" s="1469"/>
      <c r="KXU45" s="1469"/>
      <c r="KXV45" s="1469"/>
      <c r="KXW45" s="1469"/>
      <c r="KXX45" s="1469"/>
      <c r="KXY45" s="1469"/>
      <c r="KXZ45" s="1469"/>
      <c r="KYA45" s="1469"/>
      <c r="KYB45" s="1469"/>
      <c r="KYC45" s="1469"/>
      <c r="KYD45" s="1469"/>
      <c r="KYE45" s="1469"/>
      <c r="KYF45" s="1469"/>
      <c r="KYG45" s="1469"/>
      <c r="KYH45" s="1469"/>
      <c r="KYI45" s="1469"/>
      <c r="KYJ45" s="1469"/>
      <c r="KYK45" s="1469"/>
      <c r="KYL45" s="1469"/>
      <c r="KYM45" s="1469"/>
      <c r="KYN45" s="1469"/>
      <c r="KYO45" s="1469"/>
      <c r="KYP45" s="1469"/>
      <c r="KYQ45" s="1469"/>
      <c r="KYR45" s="1469"/>
      <c r="KYS45" s="1469"/>
      <c r="KYT45" s="1469"/>
      <c r="KYU45" s="1469"/>
      <c r="KYV45" s="1469"/>
      <c r="KYW45" s="1469"/>
      <c r="KYX45" s="1469"/>
      <c r="KYY45" s="1469"/>
      <c r="KYZ45" s="1469"/>
      <c r="KZA45" s="1469"/>
      <c r="KZB45" s="1469"/>
      <c r="KZC45" s="1469"/>
      <c r="KZD45" s="1469"/>
      <c r="KZE45" s="1469"/>
      <c r="KZF45" s="1469"/>
      <c r="KZG45" s="1469"/>
      <c r="KZH45" s="1469"/>
      <c r="KZI45" s="1469"/>
      <c r="KZJ45" s="1469"/>
      <c r="KZK45" s="1469"/>
      <c r="KZL45" s="1469"/>
      <c r="KZM45" s="1469"/>
      <c r="KZN45" s="1469"/>
      <c r="KZO45" s="1469"/>
      <c r="KZP45" s="1469"/>
      <c r="KZQ45" s="1469"/>
      <c r="KZR45" s="1469"/>
      <c r="KZS45" s="1469"/>
      <c r="KZT45" s="1469"/>
      <c r="KZU45" s="1469"/>
      <c r="KZV45" s="1469"/>
      <c r="KZW45" s="1469"/>
      <c r="KZX45" s="1469"/>
      <c r="KZY45" s="1469"/>
      <c r="KZZ45" s="1469"/>
      <c r="LAA45" s="1469"/>
      <c r="LAB45" s="1469"/>
      <c r="LAC45" s="1469"/>
      <c r="LAD45" s="1469"/>
      <c r="LAE45" s="1469"/>
      <c r="LAF45" s="1469"/>
      <c r="LAG45" s="1469"/>
      <c r="LAH45" s="1469"/>
      <c r="LAI45" s="1469"/>
      <c r="LAJ45" s="1469"/>
      <c r="LAK45" s="1469"/>
      <c r="LAL45" s="1469"/>
      <c r="LAM45" s="1469"/>
      <c r="LAN45" s="1469"/>
      <c r="LAO45" s="1469"/>
      <c r="LAP45" s="1469"/>
      <c r="LAQ45" s="1469"/>
      <c r="LAR45" s="1469"/>
      <c r="LAS45" s="1469"/>
      <c r="LAT45" s="1469"/>
      <c r="LAU45" s="1469"/>
      <c r="LAV45" s="1469"/>
      <c r="LAW45" s="1469"/>
      <c r="LAX45" s="1469"/>
      <c r="LAY45" s="1469"/>
      <c r="LAZ45" s="1469"/>
      <c r="LBA45" s="1469"/>
      <c r="LBB45" s="1469"/>
      <c r="LBC45" s="1469"/>
      <c r="LBD45" s="1469"/>
      <c r="LBE45" s="1469"/>
      <c r="LBF45" s="1469"/>
      <c r="LBG45" s="1469"/>
      <c r="LBH45" s="1469"/>
      <c r="LBI45" s="1469"/>
      <c r="LBJ45" s="1469"/>
      <c r="LBK45" s="1469"/>
      <c r="LBL45" s="1469"/>
      <c r="LBM45" s="1469"/>
      <c r="LBN45" s="1469"/>
      <c r="LBO45" s="1469"/>
      <c r="LBP45" s="1469"/>
      <c r="LBQ45" s="1469"/>
      <c r="LBR45" s="1469"/>
      <c r="LBS45" s="1469"/>
      <c r="LBT45" s="1469"/>
      <c r="LBU45" s="1469"/>
      <c r="LBV45" s="1469"/>
      <c r="LBW45" s="1469"/>
      <c r="LBX45" s="1469"/>
      <c r="LBY45" s="1469"/>
      <c r="LBZ45" s="1469"/>
      <c r="LCA45" s="1469"/>
      <c r="LCB45" s="1469"/>
      <c r="LCC45" s="1469"/>
      <c r="LCD45" s="1469"/>
      <c r="LCE45" s="1469"/>
      <c r="LCF45" s="1469"/>
      <c r="LCG45" s="1469"/>
      <c r="LCH45" s="1469"/>
      <c r="LCI45" s="1469"/>
      <c r="LCJ45" s="1469"/>
      <c r="LCK45" s="1469"/>
      <c r="LCL45" s="1469"/>
      <c r="LCM45" s="1469"/>
      <c r="LCN45" s="1469"/>
      <c r="LCO45" s="1469"/>
      <c r="LCP45" s="1469"/>
      <c r="LCQ45" s="1469"/>
      <c r="LCR45" s="1469"/>
      <c r="LCS45" s="1469"/>
      <c r="LCT45" s="1469"/>
      <c r="LCU45" s="1469"/>
      <c r="LCV45" s="1469"/>
      <c r="LCW45" s="1469"/>
      <c r="LCX45" s="1469"/>
      <c r="LCY45" s="1469"/>
      <c r="LCZ45" s="1469"/>
      <c r="LDA45" s="1469"/>
      <c r="LDB45" s="1469"/>
      <c r="LDC45" s="1469"/>
      <c r="LDD45" s="1469"/>
      <c r="LDE45" s="1469"/>
      <c r="LDF45" s="1469"/>
      <c r="LDG45" s="1469"/>
      <c r="LDH45" s="1469"/>
      <c r="LDI45" s="1469"/>
      <c r="LDJ45" s="1469"/>
      <c r="LDK45" s="1469"/>
      <c r="LDL45" s="1469"/>
      <c r="LDM45" s="1469"/>
      <c r="LDN45" s="1469"/>
      <c r="LDO45" s="1469"/>
      <c r="LDP45" s="1469"/>
      <c r="LDQ45" s="1469"/>
      <c r="LDR45" s="1469"/>
      <c r="LDS45" s="1469"/>
      <c r="LDT45" s="1469"/>
      <c r="LDU45" s="1469"/>
      <c r="LDV45" s="1469"/>
      <c r="LDW45" s="1469"/>
      <c r="LDX45" s="1469"/>
      <c r="LDY45" s="1469"/>
      <c r="LDZ45" s="1469"/>
      <c r="LEA45" s="1469"/>
      <c r="LEB45" s="1469"/>
      <c r="LEC45" s="1469"/>
      <c r="LED45" s="1469"/>
      <c r="LEE45" s="1469"/>
      <c r="LEF45" s="1469"/>
      <c r="LEG45" s="1469"/>
      <c r="LEH45" s="1469"/>
      <c r="LEI45" s="1469"/>
      <c r="LEJ45" s="1469"/>
      <c r="LEK45" s="1469"/>
      <c r="LEL45" s="1469"/>
      <c r="LEM45" s="1469"/>
      <c r="LEN45" s="1469"/>
      <c r="LEO45" s="1469"/>
      <c r="LEP45" s="1469"/>
      <c r="LEQ45" s="1469"/>
      <c r="LER45" s="1469"/>
      <c r="LES45" s="1469"/>
      <c r="LET45" s="1469"/>
      <c r="LEU45" s="1469"/>
      <c r="LEV45" s="1469"/>
      <c r="LEW45" s="1469"/>
      <c r="LEX45" s="1469"/>
      <c r="LEY45" s="1469"/>
      <c r="LEZ45" s="1469"/>
      <c r="LFA45" s="1469"/>
      <c r="LFB45" s="1469"/>
      <c r="LFC45" s="1469"/>
      <c r="LFD45" s="1469"/>
      <c r="LFE45" s="1469"/>
      <c r="LFF45" s="1469"/>
      <c r="LFG45" s="1469"/>
      <c r="LFH45" s="1469"/>
      <c r="LFI45" s="1469"/>
      <c r="LFJ45" s="1469"/>
      <c r="LFK45" s="1469"/>
      <c r="LFL45" s="1469"/>
      <c r="LFM45" s="1469"/>
      <c r="LFN45" s="1469"/>
      <c r="LFO45" s="1469"/>
      <c r="LFP45" s="1469"/>
      <c r="LFQ45" s="1469"/>
      <c r="LFR45" s="1469"/>
      <c r="LFS45" s="1469"/>
      <c r="LFT45" s="1469"/>
      <c r="LFU45" s="1469"/>
      <c r="LFV45" s="1469"/>
      <c r="LFW45" s="1469"/>
      <c r="LFX45" s="1469"/>
      <c r="LFY45" s="1469"/>
      <c r="LFZ45" s="1469"/>
      <c r="LGA45" s="1469"/>
      <c r="LGB45" s="1469"/>
      <c r="LGC45" s="1469"/>
      <c r="LGD45" s="1469"/>
      <c r="LGE45" s="1469"/>
      <c r="LGF45" s="1469"/>
      <c r="LGG45" s="1469"/>
      <c r="LGH45" s="1469"/>
      <c r="LGI45" s="1469"/>
      <c r="LGJ45" s="1469"/>
      <c r="LGK45" s="1469"/>
      <c r="LGL45" s="1469"/>
      <c r="LGM45" s="1469"/>
      <c r="LGN45" s="1469"/>
      <c r="LGO45" s="1469"/>
      <c r="LGP45" s="1469"/>
      <c r="LGQ45" s="1469"/>
      <c r="LGR45" s="1469"/>
      <c r="LGS45" s="1469"/>
      <c r="LGT45" s="1469"/>
      <c r="LGU45" s="1469"/>
      <c r="LGV45" s="1469"/>
      <c r="LGW45" s="1469"/>
      <c r="LGX45" s="1469"/>
      <c r="LGY45" s="1469"/>
      <c r="LGZ45" s="1469"/>
      <c r="LHA45" s="1469"/>
      <c r="LHB45" s="1469"/>
      <c r="LHC45" s="1469"/>
      <c r="LHD45" s="1469"/>
      <c r="LHE45" s="1469"/>
      <c r="LHF45" s="1469"/>
      <c r="LHG45" s="1469"/>
      <c r="LHH45" s="1469"/>
      <c r="LHI45" s="1469"/>
      <c r="LHJ45" s="1469"/>
      <c r="LHK45" s="1469"/>
      <c r="LHL45" s="1469"/>
      <c r="LHM45" s="1469"/>
      <c r="LHN45" s="1469"/>
      <c r="LHO45" s="1469"/>
      <c r="LHP45" s="1469"/>
      <c r="LHQ45" s="1469"/>
      <c r="LHR45" s="1469"/>
      <c r="LHS45" s="1469"/>
      <c r="LHT45" s="1469"/>
      <c r="LHU45" s="1469"/>
      <c r="LHV45" s="1469"/>
      <c r="LHW45" s="1469"/>
      <c r="LHX45" s="1469"/>
      <c r="LHY45" s="1469"/>
      <c r="LHZ45" s="1469"/>
      <c r="LIA45" s="1469"/>
      <c r="LIB45" s="1469"/>
      <c r="LIC45" s="1469"/>
      <c r="LID45" s="1469"/>
      <c r="LIE45" s="1469"/>
      <c r="LIF45" s="1469"/>
      <c r="LIG45" s="1469"/>
      <c r="LIH45" s="1469"/>
      <c r="LII45" s="1469"/>
      <c r="LIJ45" s="1469"/>
      <c r="LIK45" s="1469"/>
      <c r="LIL45" s="1469"/>
      <c r="LIM45" s="1469"/>
      <c r="LIN45" s="1469"/>
      <c r="LIO45" s="1469"/>
      <c r="LIP45" s="1469"/>
      <c r="LIQ45" s="1469"/>
      <c r="LIR45" s="1469"/>
      <c r="LIS45" s="1469"/>
      <c r="LIT45" s="1469"/>
      <c r="LIU45" s="1469"/>
      <c r="LIV45" s="1469"/>
      <c r="LIW45" s="1469"/>
      <c r="LIX45" s="1469"/>
      <c r="LIY45" s="1469"/>
      <c r="LIZ45" s="1469"/>
      <c r="LJA45" s="1469"/>
      <c r="LJB45" s="1469"/>
      <c r="LJC45" s="1469"/>
      <c r="LJD45" s="1469"/>
      <c r="LJE45" s="1469"/>
      <c r="LJF45" s="1469"/>
      <c r="LJG45" s="1469"/>
      <c r="LJH45" s="1469"/>
      <c r="LJI45" s="1469"/>
      <c r="LJJ45" s="1469"/>
      <c r="LJK45" s="1469"/>
      <c r="LJL45" s="1469"/>
      <c r="LJM45" s="1469"/>
      <c r="LJN45" s="1469"/>
      <c r="LJO45" s="1469"/>
      <c r="LJP45" s="1469"/>
      <c r="LJQ45" s="1469"/>
      <c r="LJR45" s="1469"/>
      <c r="LJS45" s="1469"/>
      <c r="LJT45" s="1469"/>
      <c r="LJU45" s="1469"/>
      <c r="LJV45" s="1469"/>
      <c r="LJW45" s="1469"/>
      <c r="LJX45" s="1469"/>
      <c r="LJY45" s="1469"/>
      <c r="LJZ45" s="1469"/>
      <c r="LKA45" s="1469"/>
      <c r="LKB45" s="1469"/>
      <c r="LKC45" s="1469"/>
      <c r="LKD45" s="1469"/>
      <c r="LKE45" s="1469"/>
      <c r="LKF45" s="1469"/>
      <c r="LKG45" s="1469"/>
      <c r="LKH45" s="1469"/>
      <c r="LKI45" s="1469"/>
      <c r="LKJ45" s="1469"/>
      <c r="LKK45" s="1469"/>
      <c r="LKL45" s="1469"/>
      <c r="LKM45" s="1469"/>
      <c r="LKN45" s="1469"/>
      <c r="LKO45" s="1469"/>
      <c r="LKP45" s="1469"/>
      <c r="LKQ45" s="1469"/>
      <c r="LKR45" s="1469"/>
      <c r="LKS45" s="1469"/>
      <c r="LKT45" s="1469"/>
      <c r="LKU45" s="1469"/>
      <c r="LKV45" s="1469"/>
      <c r="LKW45" s="1469"/>
      <c r="LKX45" s="1469"/>
      <c r="LKY45" s="1469"/>
      <c r="LKZ45" s="1469"/>
      <c r="LLA45" s="1469"/>
      <c r="LLB45" s="1469"/>
      <c r="LLC45" s="1469"/>
      <c r="LLD45" s="1469"/>
      <c r="LLE45" s="1469"/>
      <c r="LLF45" s="1469"/>
      <c r="LLG45" s="1469"/>
      <c r="LLH45" s="1469"/>
      <c r="LLI45" s="1469"/>
      <c r="LLJ45" s="1469"/>
      <c r="LLK45" s="1469"/>
      <c r="LLL45" s="1469"/>
      <c r="LLM45" s="1469"/>
      <c r="LLN45" s="1469"/>
      <c r="LLO45" s="1469"/>
      <c r="LLP45" s="1469"/>
      <c r="LLQ45" s="1469"/>
      <c r="LLR45" s="1469"/>
      <c r="LLS45" s="1469"/>
      <c r="LLT45" s="1469"/>
      <c r="LLU45" s="1469"/>
      <c r="LLV45" s="1469"/>
      <c r="LLW45" s="1469"/>
      <c r="LLX45" s="1469"/>
      <c r="LLY45" s="1469"/>
      <c r="LLZ45" s="1469"/>
      <c r="LMA45" s="1469"/>
      <c r="LMB45" s="1469"/>
      <c r="LMC45" s="1469"/>
      <c r="LMD45" s="1469"/>
      <c r="LME45" s="1469"/>
      <c r="LMF45" s="1469"/>
      <c r="LMG45" s="1469"/>
      <c r="LMH45" s="1469"/>
      <c r="LMI45" s="1469"/>
      <c r="LMJ45" s="1469"/>
      <c r="LMK45" s="1469"/>
      <c r="LML45" s="1469"/>
      <c r="LMM45" s="1469"/>
      <c r="LMN45" s="1469"/>
      <c r="LMO45" s="1469"/>
      <c r="LMP45" s="1469"/>
      <c r="LMQ45" s="1469"/>
      <c r="LMR45" s="1469"/>
      <c r="LMS45" s="1469"/>
      <c r="LMT45" s="1469"/>
      <c r="LMU45" s="1469"/>
      <c r="LMV45" s="1469"/>
      <c r="LMW45" s="1469"/>
      <c r="LMX45" s="1469"/>
      <c r="LMY45" s="1469"/>
      <c r="LMZ45" s="1469"/>
      <c r="LNA45" s="1469"/>
      <c r="LNB45" s="1469"/>
      <c r="LNC45" s="1469"/>
      <c r="LND45" s="1469"/>
      <c r="LNE45" s="1469"/>
      <c r="LNF45" s="1469"/>
      <c r="LNG45" s="1469"/>
      <c r="LNH45" s="1469"/>
      <c r="LNI45" s="1469"/>
      <c r="LNJ45" s="1469"/>
      <c r="LNK45" s="1469"/>
      <c r="LNL45" s="1469"/>
      <c r="LNM45" s="1469"/>
      <c r="LNN45" s="1469"/>
      <c r="LNO45" s="1469"/>
      <c r="LNP45" s="1469"/>
      <c r="LNQ45" s="1469"/>
      <c r="LNR45" s="1469"/>
      <c r="LNS45" s="1469"/>
      <c r="LNT45" s="1469"/>
      <c r="LNU45" s="1469"/>
      <c r="LNV45" s="1469"/>
      <c r="LNW45" s="1469"/>
      <c r="LNX45" s="1469"/>
      <c r="LNY45" s="1469"/>
      <c r="LNZ45" s="1469"/>
      <c r="LOA45" s="1469"/>
      <c r="LOB45" s="1469"/>
      <c r="LOC45" s="1469"/>
      <c r="LOD45" s="1469"/>
      <c r="LOE45" s="1469"/>
      <c r="LOF45" s="1469"/>
      <c r="LOG45" s="1469"/>
      <c r="LOH45" s="1469"/>
      <c r="LOI45" s="1469"/>
      <c r="LOJ45" s="1469"/>
      <c r="LOK45" s="1469"/>
      <c r="LOL45" s="1469"/>
      <c r="LOM45" s="1469"/>
      <c r="LON45" s="1469"/>
      <c r="LOO45" s="1469"/>
      <c r="LOP45" s="1469"/>
      <c r="LOQ45" s="1469"/>
      <c r="LOR45" s="1469"/>
      <c r="LOS45" s="1469"/>
      <c r="LOT45" s="1469"/>
      <c r="LOU45" s="1469"/>
      <c r="LOV45" s="1469"/>
      <c r="LOW45" s="1469"/>
      <c r="LOX45" s="1469"/>
      <c r="LOY45" s="1469"/>
      <c r="LOZ45" s="1469"/>
      <c r="LPA45" s="1469"/>
      <c r="LPB45" s="1469"/>
      <c r="LPC45" s="1469"/>
      <c r="LPD45" s="1469"/>
      <c r="LPE45" s="1469"/>
      <c r="LPF45" s="1469"/>
      <c r="LPG45" s="1469"/>
      <c r="LPH45" s="1469"/>
      <c r="LPI45" s="1469"/>
      <c r="LPJ45" s="1469"/>
      <c r="LPK45" s="1469"/>
      <c r="LPL45" s="1469"/>
      <c r="LPM45" s="1469"/>
      <c r="LPN45" s="1469"/>
      <c r="LPO45" s="1469"/>
      <c r="LPP45" s="1469"/>
      <c r="LPQ45" s="1469"/>
      <c r="LPR45" s="1469"/>
      <c r="LPS45" s="1469"/>
      <c r="LPT45" s="1469"/>
      <c r="LPU45" s="1469"/>
      <c r="LPV45" s="1469"/>
      <c r="LPW45" s="1469"/>
      <c r="LPX45" s="1469"/>
      <c r="LPY45" s="1469"/>
      <c r="LPZ45" s="1469"/>
      <c r="LQA45" s="1469"/>
      <c r="LQB45" s="1469"/>
      <c r="LQC45" s="1469"/>
      <c r="LQD45" s="1469"/>
      <c r="LQE45" s="1469"/>
      <c r="LQF45" s="1469"/>
      <c r="LQG45" s="1469"/>
      <c r="LQH45" s="1469"/>
      <c r="LQI45" s="1469"/>
      <c r="LQJ45" s="1469"/>
      <c r="LQK45" s="1469"/>
      <c r="LQL45" s="1469"/>
      <c r="LQM45" s="1469"/>
      <c r="LQN45" s="1469"/>
      <c r="LQO45" s="1469"/>
      <c r="LQP45" s="1469"/>
      <c r="LQQ45" s="1469"/>
      <c r="LQR45" s="1469"/>
      <c r="LQS45" s="1469"/>
      <c r="LQT45" s="1469"/>
      <c r="LQU45" s="1469"/>
      <c r="LQV45" s="1469"/>
      <c r="LQW45" s="1469"/>
      <c r="LQX45" s="1469"/>
      <c r="LQY45" s="1469"/>
      <c r="LQZ45" s="1469"/>
      <c r="LRA45" s="1469"/>
      <c r="LRB45" s="1469"/>
      <c r="LRC45" s="1469"/>
      <c r="LRD45" s="1469"/>
      <c r="LRE45" s="1469"/>
      <c r="LRF45" s="1469"/>
      <c r="LRG45" s="1469"/>
      <c r="LRH45" s="1469"/>
      <c r="LRI45" s="1469"/>
      <c r="LRJ45" s="1469"/>
      <c r="LRK45" s="1469"/>
      <c r="LRL45" s="1469"/>
      <c r="LRM45" s="1469"/>
      <c r="LRN45" s="1469"/>
      <c r="LRO45" s="1469"/>
      <c r="LRP45" s="1469"/>
      <c r="LRQ45" s="1469"/>
      <c r="LRR45" s="1469"/>
      <c r="LRS45" s="1469"/>
      <c r="LRT45" s="1469"/>
      <c r="LRU45" s="1469"/>
      <c r="LRV45" s="1469"/>
      <c r="LRW45" s="1469"/>
      <c r="LRX45" s="1469"/>
      <c r="LRY45" s="1469"/>
      <c r="LRZ45" s="1469"/>
      <c r="LSA45" s="1469"/>
      <c r="LSB45" s="1469"/>
      <c r="LSC45" s="1469"/>
      <c r="LSD45" s="1469"/>
      <c r="LSE45" s="1469"/>
      <c r="LSF45" s="1469"/>
      <c r="LSG45" s="1469"/>
      <c r="LSH45" s="1469"/>
      <c r="LSI45" s="1469"/>
      <c r="LSJ45" s="1469"/>
      <c r="LSK45" s="1469"/>
      <c r="LSL45" s="1469"/>
      <c r="LSM45" s="1469"/>
      <c r="LSN45" s="1469"/>
      <c r="LSO45" s="1469"/>
      <c r="LSP45" s="1469"/>
      <c r="LSQ45" s="1469"/>
      <c r="LSR45" s="1469"/>
      <c r="LSS45" s="1469"/>
      <c r="LST45" s="1469"/>
      <c r="LSU45" s="1469"/>
      <c r="LSV45" s="1469"/>
      <c r="LSW45" s="1469"/>
      <c r="LSX45" s="1469"/>
      <c r="LSY45" s="1469"/>
      <c r="LSZ45" s="1469"/>
      <c r="LTA45" s="1469"/>
      <c r="LTB45" s="1469"/>
      <c r="LTC45" s="1469"/>
      <c r="LTD45" s="1469"/>
      <c r="LTE45" s="1469"/>
      <c r="LTF45" s="1469"/>
      <c r="LTG45" s="1469"/>
      <c r="LTH45" s="1469"/>
      <c r="LTI45" s="1469"/>
      <c r="LTJ45" s="1469"/>
      <c r="LTK45" s="1469"/>
      <c r="LTL45" s="1469"/>
      <c r="LTM45" s="1469"/>
      <c r="LTN45" s="1469"/>
      <c r="LTO45" s="1469"/>
      <c r="LTP45" s="1469"/>
      <c r="LTQ45" s="1469"/>
      <c r="LTR45" s="1469"/>
      <c r="LTS45" s="1469"/>
      <c r="LTT45" s="1469"/>
      <c r="LTU45" s="1469"/>
      <c r="LTV45" s="1469"/>
      <c r="LTW45" s="1469"/>
      <c r="LTX45" s="1469"/>
      <c r="LTY45" s="1469"/>
      <c r="LTZ45" s="1469"/>
      <c r="LUA45" s="1469"/>
      <c r="LUB45" s="1469"/>
      <c r="LUC45" s="1469"/>
      <c r="LUD45" s="1469"/>
      <c r="LUE45" s="1469"/>
      <c r="LUF45" s="1469"/>
      <c r="LUG45" s="1469"/>
      <c r="LUH45" s="1469"/>
      <c r="LUI45" s="1469"/>
      <c r="LUJ45" s="1469"/>
      <c r="LUK45" s="1469"/>
      <c r="LUL45" s="1469"/>
      <c r="LUM45" s="1469"/>
      <c r="LUN45" s="1469"/>
      <c r="LUO45" s="1469"/>
      <c r="LUP45" s="1469"/>
      <c r="LUQ45" s="1469"/>
      <c r="LUR45" s="1469"/>
      <c r="LUS45" s="1469"/>
      <c r="LUT45" s="1469"/>
      <c r="LUU45" s="1469"/>
      <c r="LUV45" s="1469"/>
      <c r="LUW45" s="1469"/>
      <c r="LUX45" s="1469"/>
      <c r="LUY45" s="1469"/>
      <c r="LUZ45" s="1469"/>
      <c r="LVA45" s="1469"/>
      <c r="LVB45" s="1469"/>
      <c r="LVC45" s="1469"/>
      <c r="LVD45" s="1469"/>
      <c r="LVE45" s="1469"/>
      <c r="LVF45" s="1469"/>
      <c r="LVG45" s="1469"/>
      <c r="LVH45" s="1469"/>
      <c r="LVI45" s="1469"/>
      <c r="LVJ45" s="1469"/>
      <c r="LVK45" s="1469"/>
      <c r="LVL45" s="1469"/>
      <c r="LVM45" s="1469"/>
      <c r="LVN45" s="1469"/>
      <c r="LVO45" s="1469"/>
      <c r="LVP45" s="1469"/>
      <c r="LVQ45" s="1469"/>
      <c r="LVR45" s="1469"/>
      <c r="LVS45" s="1469"/>
      <c r="LVT45" s="1469"/>
      <c r="LVU45" s="1469"/>
      <c r="LVV45" s="1469"/>
      <c r="LVW45" s="1469"/>
      <c r="LVX45" s="1469"/>
      <c r="LVY45" s="1469"/>
      <c r="LVZ45" s="1469"/>
      <c r="LWA45" s="1469"/>
      <c r="LWB45" s="1469"/>
      <c r="LWC45" s="1469"/>
      <c r="LWD45" s="1469"/>
      <c r="LWE45" s="1469"/>
      <c r="LWF45" s="1469"/>
      <c r="LWG45" s="1469"/>
      <c r="LWH45" s="1469"/>
      <c r="LWI45" s="1469"/>
      <c r="LWJ45" s="1469"/>
      <c r="LWK45" s="1469"/>
      <c r="LWL45" s="1469"/>
      <c r="LWM45" s="1469"/>
      <c r="LWN45" s="1469"/>
      <c r="LWO45" s="1469"/>
      <c r="LWP45" s="1469"/>
      <c r="LWQ45" s="1469"/>
      <c r="LWR45" s="1469"/>
      <c r="LWS45" s="1469"/>
      <c r="LWT45" s="1469"/>
      <c r="LWU45" s="1469"/>
      <c r="LWV45" s="1469"/>
      <c r="LWW45" s="1469"/>
      <c r="LWX45" s="1469"/>
      <c r="LWY45" s="1469"/>
      <c r="LWZ45" s="1469"/>
      <c r="LXA45" s="1469"/>
      <c r="LXB45" s="1469"/>
      <c r="LXC45" s="1469"/>
      <c r="LXD45" s="1469"/>
      <c r="LXE45" s="1469"/>
      <c r="LXF45" s="1469"/>
      <c r="LXG45" s="1469"/>
      <c r="LXH45" s="1469"/>
      <c r="LXI45" s="1469"/>
      <c r="LXJ45" s="1469"/>
      <c r="LXK45" s="1469"/>
      <c r="LXL45" s="1469"/>
      <c r="LXM45" s="1469"/>
      <c r="LXN45" s="1469"/>
      <c r="LXO45" s="1469"/>
      <c r="LXP45" s="1469"/>
      <c r="LXQ45" s="1469"/>
      <c r="LXR45" s="1469"/>
      <c r="LXS45" s="1469"/>
      <c r="LXT45" s="1469"/>
      <c r="LXU45" s="1469"/>
      <c r="LXV45" s="1469"/>
      <c r="LXW45" s="1469"/>
      <c r="LXX45" s="1469"/>
      <c r="LXY45" s="1469"/>
      <c r="LXZ45" s="1469"/>
      <c r="LYA45" s="1469"/>
      <c r="LYB45" s="1469"/>
      <c r="LYC45" s="1469"/>
      <c r="LYD45" s="1469"/>
      <c r="LYE45" s="1469"/>
      <c r="LYF45" s="1469"/>
      <c r="LYG45" s="1469"/>
      <c r="LYH45" s="1469"/>
      <c r="LYI45" s="1469"/>
      <c r="LYJ45" s="1469"/>
      <c r="LYK45" s="1469"/>
      <c r="LYL45" s="1469"/>
      <c r="LYM45" s="1469"/>
      <c r="LYN45" s="1469"/>
      <c r="LYO45" s="1469"/>
      <c r="LYP45" s="1469"/>
      <c r="LYQ45" s="1469"/>
      <c r="LYR45" s="1469"/>
      <c r="LYS45" s="1469"/>
      <c r="LYT45" s="1469"/>
      <c r="LYU45" s="1469"/>
      <c r="LYV45" s="1469"/>
      <c r="LYW45" s="1469"/>
      <c r="LYX45" s="1469"/>
      <c r="LYY45" s="1469"/>
      <c r="LYZ45" s="1469"/>
      <c r="LZA45" s="1469"/>
      <c r="LZB45" s="1469"/>
      <c r="LZC45" s="1469"/>
      <c r="LZD45" s="1469"/>
      <c r="LZE45" s="1469"/>
      <c r="LZF45" s="1469"/>
      <c r="LZG45" s="1469"/>
      <c r="LZH45" s="1469"/>
      <c r="LZI45" s="1469"/>
      <c r="LZJ45" s="1469"/>
      <c r="LZK45" s="1469"/>
      <c r="LZL45" s="1469"/>
      <c r="LZM45" s="1469"/>
      <c r="LZN45" s="1469"/>
      <c r="LZO45" s="1469"/>
      <c r="LZP45" s="1469"/>
      <c r="LZQ45" s="1469"/>
      <c r="LZR45" s="1469"/>
      <c r="LZS45" s="1469"/>
      <c r="LZT45" s="1469"/>
      <c r="LZU45" s="1469"/>
      <c r="LZV45" s="1469"/>
      <c r="LZW45" s="1469"/>
      <c r="LZX45" s="1469"/>
      <c r="LZY45" s="1469"/>
      <c r="LZZ45" s="1469"/>
      <c r="MAA45" s="1469"/>
      <c r="MAB45" s="1469"/>
      <c r="MAC45" s="1469"/>
      <c r="MAD45" s="1469"/>
      <c r="MAE45" s="1469"/>
      <c r="MAF45" s="1469"/>
      <c r="MAG45" s="1469"/>
      <c r="MAH45" s="1469"/>
      <c r="MAI45" s="1469"/>
      <c r="MAJ45" s="1469"/>
      <c r="MAK45" s="1469"/>
      <c r="MAL45" s="1469"/>
      <c r="MAM45" s="1469"/>
      <c r="MAN45" s="1469"/>
      <c r="MAO45" s="1469"/>
      <c r="MAP45" s="1469"/>
      <c r="MAQ45" s="1469"/>
      <c r="MAR45" s="1469"/>
      <c r="MAS45" s="1469"/>
      <c r="MAT45" s="1469"/>
      <c r="MAU45" s="1469"/>
      <c r="MAV45" s="1469"/>
      <c r="MAW45" s="1469"/>
      <c r="MAX45" s="1469"/>
      <c r="MAY45" s="1469"/>
      <c r="MAZ45" s="1469"/>
      <c r="MBA45" s="1469"/>
      <c r="MBB45" s="1469"/>
      <c r="MBC45" s="1469"/>
      <c r="MBD45" s="1469"/>
      <c r="MBE45" s="1469"/>
      <c r="MBF45" s="1469"/>
      <c r="MBG45" s="1469"/>
      <c r="MBH45" s="1469"/>
      <c r="MBI45" s="1469"/>
      <c r="MBJ45" s="1469"/>
      <c r="MBK45" s="1469"/>
      <c r="MBL45" s="1469"/>
      <c r="MBM45" s="1469"/>
      <c r="MBN45" s="1469"/>
      <c r="MBO45" s="1469"/>
      <c r="MBP45" s="1469"/>
      <c r="MBQ45" s="1469"/>
      <c r="MBR45" s="1469"/>
      <c r="MBS45" s="1469"/>
      <c r="MBT45" s="1469"/>
      <c r="MBU45" s="1469"/>
      <c r="MBV45" s="1469"/>
      <c r="MBW45" s="1469"/>
      <c r="MBX45" s="1469"/>
      <c r="MBY45" s="1469"/>
      <c r="MBZ45" s="1469"/>
      <c r="MCA45" s="1469"/>
      <c r="MCB45" s="1469"/>
      <c r="MCC45" s="1469"/>
      <c r="MCD45" s="1469"/>
      <c r="MCE45" s="1469"/>
      <c r="MCF45" s="1469"/>
      <c r="MCG45" s="1469"/>
      <c r="MCH45" s="1469"/>
      <c r="MCI45" s="1469"/>
      <c r="MCJ45" s="1469"/>
      <c r="MCK45" s="1469"/>
      <c r="MCL45" s="1469"/>
      <c r="MCM45" s="1469"/>
      <c r="MCN45" s="1469"/>
      <c r="MCO45" s="1469"/>
      <c r="MCP45" s="1469"/>
      <c r="MCQ45" s="1469"/>
      <c r="MCR45" s="1469"/>
      <c r="MCS45" s="1469"/>
      <c r="MCT45" s="1469"/>
      <c r="MCU45" s="1469"/>
      <c r="MCV45" s="1469"/>
      <c r="MCW45" s="1469"/>
      <c r="MCX45" s="1469"/>
      <c r="MCY45" s="1469"/>
      <c r="MCZ45" s="1469"/>
      <c r="MDA45" s="1469"/>
      <c r="MDB45" s="1469"/>
      <c r="MDC45" s="1469"/>
      <c r="MDD45" s="1469"/>
      <c r="MDE45" s="1469"/>
      <c r="MDF45" s="1469"/>
      <c r="MDG45" s="1469"/>
      <c r="MDH45" s="1469"/>
      <c r="MDI45" s="1469"/>
      <c r="MDJ45" s="1469"/>
      <c r="MDK45" s="1469"/>
      <c r="MDL45" s="1469"/>
      <c r="MDM45" s="1469"/>
      <c r="MDN45" s="1469"/>
      <c r="MDO45" s="1469"/>
      <c r="MDP45" s="1469"/>
      <c r="MDQ45" s="1469"/>
      <c r="MDR45" s="1469"/>
      <c r="MDS45" s="1469"/>
      <c r="MDT45" s="1469"/>
      <c r="MDU45" s="1469"/>
      <c r="MDV45" s="1469"/>
      <c r="MDW45" s="1469"/>
      <c r="MDX45" s="1469"/>
      <c r="MDY45" s="1469"/>
      <c r="MDZ45" s="1469"/>
      <c r="MEA45" s="1469"/>
      <c r="MEB45" s="1469"/>
      <c r="MEC45" s="1469"/>
      <c r="MED45" s="1469"/>
      <c r="MEE45" s="1469"/>
      <c r="MEF45" s="1469"/>
      <c r="MEG45" s="1469"/>
      <c r="MEH45" s="1469"/>
      <c r="MEI45" s="1469"/>
      <c r="MEJ45" s="1469"/>
      <c r="MEK45" s="1469"/>
      <c r="MEL45" s="1469"/>
      <c r="MEM45" s="1469"/>
      <c r="MEN45" s="1469"/>
      <c r="MEO45" s="1469"/>
      <c r="MEP45" s="1469"/>
      <c r="MEQ45" s="1469"/>
      <c r="MER45" s="1469"/>
      <c r="MES45" s="1469"/>
      <c r="MET45" s="1469"/>
      <c r="MEU45" s="1469"/>
      <c r="MEV45" s="1469"/>
      <c r="MEW45" s="1469"/>
      <c r="MEX45" s="1469"/>
      <c r="MEY45" s="1469"/>
      <c r="MEZ45" s="1469"/>
      <c r="MFA45" s="1469"/>
      <c r="MFB45" s="1469"/>
      <c r="MFC45" s="1469"/>
      <c r="MFD45" s="1469"/>
      <c r="MFE45" s="1469"/>
      <c r="MFF45" s="1469"/>
      <c r="MFG45" s="1469"/>
      <c r="MFH45" s="1469"/>
      <c r="MFI45" s="1469"/>
      <c r="MFJ45" s="1469"/>
      <c r="MFK45" s="1469"/>
      <c r="MFL45" s="1469"/>
      <c r="MFM45" s="1469"/>
      <c r="MFN45" s="1469"/>
      <c r="MFO45" s="1469"/>
      <c r="MFP45" s="1469"/>
      <c r="MFQ45" s="1469"/>
      <c r="MFR45" s="1469"/>
      <c r="MFS45" s="1469"/>
      <c r="MFT45" s="1469"/>
      <c r="MFU45" s="1469"/>
      <c r="MFV45" s="1469"/>
      <c r="MFW45" s="1469"/>
      <c r="MFX45" s="1469"/>
      <c r="MFY45" s="1469"/>
      <c r="MFZ45" s="1469"/>
      <c r="MGA45" s="1469"/>
      <c r="MGB45" s="1469"/>
      <c r="MGC45" s="1469"/>
      <c r="MGD45" s="1469"/>
      <c r="MGE45" s="1469"/>
      <c r="MGF45" s="1469"/>
      <c r="MGG45" s="1469"/>
      <c r="MGH45" s="1469"/>
      <c r="MGI45" s="1469"/>
      <c r="MGJ45" s="1469"/>
      <c r="MGK45" s="1469"/>
      <c r="MGL45" s="1469"/>
      <c r="MGM45" s="1469"/>
      <c r="MGN45" s="1469"/>
      <c r="MGO45" s="1469"/>
      <c r="MGP45" s="1469"/>
      <c r="MGQ45" s="1469"/>
      <c r="MGR45" s="1469"/>
      <c r="MGS45" s="1469"/>
      <c r="MGT45" s="1469"/>
      <c r="MGU45" s="1469"/>
      <c r="MGV45" s="1469"/>
      <c r="MGW45" s="1469"/>
      <c r="MGX45" s="1469"/>
      <c r="MGY45" s="1469"/>
      <c r="MGZ45" s="1469"/>
      <c r="MHA45" s="1469"/>
      <c r="MHB45" s="1469"/>
      <c r="MHC45" s="1469"/>
      <c r="MHD45" s="1469"/>
      <c r="MHE45" s="1469"/>
      <c r="MHF45" s="1469"/>
      <c r="MHG45" s="1469"/>
      <c r="MHH45" s="1469"/>
      <c r="MHI45" s="1469"/>
      <c r="MHJ45" s="1469"/>
      <c r="MHK45" s="1469"/>
      <c r="MHL45" s="1469"/>
      <c r="MHM45" s="1469"/>
      <c r="MHN45" s="1469"/>
      <c r="MHO45" s="1469"/>
      <c r="MHP45" s="1469"/>
      <c r="MHQ45" s="1469"/>
      <c r="MHR45" s="1469"/>
      <c r="MHS45" s="1469"/>
      <c r="MHT45" s="1469"/>
      <c r="MHU45" s="1469"/>
      <c r="MHV45" s="1469"/>
      <c r="MHW45" s="1469"/>
      <c r="MHX45" s="1469"/>
      <c r="MHY45" s="1469"/>
      <c r="MHZ45" s="1469"/>
      <c r="MIA45" s="1469"/>
      <c r="MIB45" s="1469"/>
      <c r="MIC45" s="1469"/>
      <c r="MID45" s="1469"/>
      <c r="MIE45" s="1469"/>
      <c r="MIF45" s="1469"/>
      <c r="MIG45" s="1469"/>
      <c r="MIH45" s="1469"/>
      <c r="MII45" s="1469"/>
      <c r="MIJ45" s="1469"/>
      <c r="MIK45" s="1469"/>
      <c r="MIL45" s="1469"/>
      <c r="MIM45" s="1469"/>
      <c r="MIN45" s="1469"/>
      <c r="MIO45" s="1469"/>
      <c r="MIP45" s="1469"/>
      <c r="MIQ45" s="1469"/>
      <c r="MIR45" s="1469"/>
      <c r="MIS45" s="1469"/>
      <c r="MIT45" s="1469"/>
      <c r="MIU45" s="1469"/>
      <c r="MIV45" s="1469"/>
      <c r="MIW45" s="1469"/>
      <c r="MIX45" s="1469"/>
      <c r="MIY45" s="1469"/>
      <c r="MIZ45" s="1469"/>
      <c r="MJA45" s="1469"/>
      <c r="MJB45" s="1469"/>
      <c r="MJC45" s="1469"/>
      <c r="MJD45" s="1469"/>
      <c r="MJE45" s="1469"/>
      <c r="MJF45" s="1469"/>
      <c r="MJG45" s="1469"/>
      <c r="MJH45" s="1469"/>
      <c r="MJI45" s="1469"/>
      <c r="MJJ45" s="1469"/>
      <c r="MJK45" s="1469"/>
      <c r="MJL45" s="1469"/>
      <c r="MJM45" s="1469"/>
      <c r="MJN45" s="1469"/>
      <c r="MJO45" s="1469"/>
      <c r="MJP45" s="1469"/>
      <c r="MJQ45" s="1469"/>
      <c r="MJR45" s="1469"/>
      <c r="MJS45" s="1469"/>
      <c r="MJT45" s="1469"/>
      <c r="MJU45" s="1469"/>
      <c r="MJV45" s="1469"/>
      <c r="MJW45" s="1469"/>
      <c r="MJX45" s="1469"/>
      <c r="MJY45" s="1469"/>
      <c r="MJZ45" s="1469"/>
      <c r="MKA45" s="1469"/>
      <c r="MKB45" s="1469"/>
      <c r="MKC45" s="1469"/>
      <c r="MKD45" s="1469"/>
      <c r="MKE45" s="1469"/>
      <c r="MKF45" s="1469"/>
      <c r="MKG45" s="1469"/>
      <c r="MKH45" s="1469"/>
      <c r="MKI45" s="1469"/>
      <c r="MKJ45" s="1469"/>
      <c r="MKK45" s="1469"/>
      <c r="MKL45" s="1469"/>
      <c r="MKM45" s="1469"/>
      <c r="MKN45" s="1469"/>
      <c r="MKO45" s="1469"/>
      <c r="MKP45" s="1469"/>
      <c r="MKQ45" s="1469"/>
      <c r="MKR45" s="1469"/>
      <c r="MKS45" s="1469"/>
      <c r="MKT45" s="1469"/>
      <c r="MKU45" s="1469"/>
      <c r="MKV45" s="1469"/>
      <c r="MKW45" s="1469"/>
      <c r="MKX45" s="1469"/>
      <c r="MKY45" s="1469"/>
      <c r="MKZ45" s="1469"/>
      <c r="MLA45" s="1469"/>
      <c r="MLB45" s="1469"/>
      <c r="MLC45" s="1469"/>
      <c r="MLD45" s="1469"/>
      <c r="MLE45" s="1469"/>
      <c r="MLF45" s="1469"/>
      <c r="MLG45" s="1469"/>
      <c r="MLH45" s="1469"/>
      <c r="MLI45" s="1469"/>
      <c r="MLJ45" s="1469"/>
      <c r="MLK45" s="1469"/>
      <c r="MLL45" s="1469"/>
      <c r="MLM45" s="1469"/>
      <c r="MLN45" s="1469"/>
      <c r="MLO45" s="1469"/>
      <c r="MLP45" s="1469"/>
      <c r="MLQ45" s="1469"/>
      <c r="MLR45" s="1469"/>
      <c r="MLS45" s="1469"/>
      <c r="MLT45" s="1469"/>
      <c r="MLU45" s="1469"/>
      <c r="MLV45" s="1469"/>
      <c r="MLW45" s="1469"/>
      <c r="MLX45" s="1469"/>
      <c r="MLY45" s="1469"/>
      <c r="MLZ45" s="1469"/>
      <c r="MMA45" s="1469"/>
      <c r="MMB45" s="1469"/>
      <c r="MMC45" s="1469"/>
      <c r="MMD45" s="1469"/>
      <c r="MME45" s="1469"/>
      <c r="MMF45" s="1469"/>
      <c r="MMG45" s="1469"/>
      <c r="MMH45" s="1469"/>
      <c r="MMI45" s="1469"/>
      <c r="MMJ45" s="1469"/>
      <c r="MMK45" s="1469"/>
      <c r="MML45" s="1469"/>
      <c r="MMM45" s="1469"/>
      <c r="MMN45" s="1469"/>
      <c r="MMO45" s="1469"/>
      <c r="MMP45" s="1469"/>
      <c r="MMQ45" s="1469"/>
      <c r="MMR45" s="1469"/>
      <c r="MMS45" s="1469"/>
      <c r="MMT45" s="1469"/>
      <c r="MMU45" s="1469"/>
      <c r="MMV45" s="1469"/>
      <c r="MMW45" s="1469"/>
      <c r="MMX45" s="1469"/>
      <c r="MMY45" s="1469"/>
      <c r="MMZ45" s="1469"/>
      <c r="MNA45" s="1469"/>
      <c r="MNB45" s="1469"/>
      <c r="MNC45" s="1469"/>
      <c r="MND45" s="1469"/>
      <c r="MNE45" s="1469"/>
      <c r="MNF45" s="1469"/>
      <c r="MNG45" s="1469"/>
      <c r="MNH45" s="1469"/>
      <c r="MNI45" s="1469"/>
      <c r="MNJ45" s="1469"/>
      <c r="MNK45" s="1469"/>
      <c r="MNL45" s="1469"/>
      <c r="MNM45" s="1469"/>
      <c r="MNN45" s="1469"/>
      <c r="MNO45" s="1469"/>
      <c r="MNP45" s="1469"/>
      <c r="MNQ45" s="1469"/>
      <c r="MNR45" s="1469"/>
      <c r="MNS45" s="1469"/>
      <c r="MNT45" s="1469"/>
      <c r="MNU45" s="1469"/>
      <c r="MNV45" s="1469"/>
      <c r="MNW45" s="1469"/>
      <c r="MNX45" s="1469"/>
      <c r="MNY45" s="1469"/>
      <c r="MNZ45" s="1469"/>
      <c r="MOA45" s="1469"/>
      <c r="MOB45" s="1469"/>
      <c r="MOC45" s="1469"/>
      <c r="MOD45" s="1469"/>
      <c r="MOE45" s="1469"/>
      <c r="MOF45" s="1469"/>
      <c r="MOG45" s="1469"/>
      <c r="MOH45" s="1469"/>
      <c r="MOI45" s="1469"/>
      <c r="MOJ45" s="1469"/>
      <c r="MOK45" s="1469"/>
      <c r="MOL45" s="1469"/>
      <c r="MOM45" s="1469"/>
      <c r="MON45" s="1469"/>
      <c r="MOO45" s="1469"/>
      <c r="MOP45" s="1469"/>
      <c r="MOQ45" s="1469"/>
      <c r="MOR45" s="1469"/>
      <c r="MOS45" s="1469"/>
      <c r="MOT45" s="1469"/>
      <c r="MOU45" s="1469"/>
      <c r="MOV45" s="1469"/>
      <c r="MOW45" s="1469"/>
      <c r="MOX45" s="1469"/>
      <c r="MOY45" s="1469"/>
      <c r="MOZ45" s="1469"/>
      <c r="MPA45" s="1469"/>
      <c r="MPB45" s="1469"/>
      <c r="MPC45" s="1469"/>
      <c r="MPD45" s="1469"/>
      <c r="MPE45" s="1469"/>
      <c r="MPF45" s="1469"/>
      <c r="MPG45" s="1469"/>
      <c r="MPH45" s="1469"/>
      <c r="MPI45" s="1469"/>
      <c r="MPJ45" s="1469"/>
      <c r="MPK45" s="1469"/>
      <c r="MPL45" s="1469"/>
      <c r="MPM45" s="1469"/>
      <c r="MPN45" s="1469"/>
      <c r="MPO45" s="1469"/>
      <c r="MPP45" s="1469"/>
      <c r="MPQ45" s="1469"/>
      <c r="MPR45" s="1469"/>
      <c r="MPS45" s="1469"/>
      <c r="MPT45" s="1469"/>
      <c r="MPU45" s="1469"/>
      <c r="MPV45" s="1469"/>
      <c r="MPW45" s="1469"/>
      <c r="MPX45" s="1469"/>
      <c r="MPY45" s="1469"/>
      <c r="MPZ45" s="1469"/>
      <c r="MQA45" s="1469"/>
      <c r="MQB45" s="1469"/>
      <c r="MQC45" s="1469"/>
      <c r="MQD45" s="1469"/>
      <c r="MQE45" s="1469"/>
      <c r="MQF45" s="1469"/>
      <c r="MQG45" s="1469"/>
      <c r="MQH45" s="1469"/>
      <c r="MQI45" s="1469"/>
      <c r="MQJ45" s="1469"/>
      <c r="MQK45" s="1469"/>
      <c r="MQL45" s="1469"/>
      <c r="MQM45" s="1469"/>
      <c r="MQN45" s="1469"/>
      <c r="MQO45" s="1469"/>
      <c r="MQP45" s="1469"/>
      <c r="MQQ45" s="1469"/>
      <c r="MQR45" s="1469"/>
      <c r="MQS45" s="1469"/>
      <c r="MQT45" s="1469"/>
      <c r="MQU45" s="1469"/>
      <c r="MQV45" s="1469"/>
      <c r="MQW45" s="1469"/>
      <c r="MQX45" s="1469"/>
      <c r="MQY45" s="1469"/>
      <c r="MQZ45" s="1469"/>
      <c r="MRA45" s="1469"/>
      <c r="MRB45" s="1469"/>
      <c r="MRC45" s="1469"/>
      <c r="MRD45" s="1469"/>
      <c r="MRE45" s="1469"/>
      <c r="MRF45" s="1469"/>
      <c r="MRG45" s="1469"/>
      <c r="MRH45" s="1469"/>
      <c r="MRI45" s="1469"/>
      <c r="MRJ45" s="1469"/>
      <c r="MRK45" s="1469"/>
      <c r="MRL45" s="1469"/>
      <c r="MRM45" s="1469"/>
      <c r="MRN45" s="1469"/>
      <c r="MRO45" s="1469"/>
      <c r="MRP45" s="1469"/>
      <c r="MRQ45" s="1469"/>
      <c r="MRR45" s="1469"/>
      <c r="MRS45" s="1469"/>
      <c r="MRT45" s="1469"/>
      <c r="MRU45" s="1469"/>
      <c r="MRV45" s="1469"/>
      <c r="MRW45" s="1469"/>
      <c r="MRX45" s="1469"/>
      <c r="MRY45" s="1469"/>
      <c r="MRZ45" s="1469"/>
      <c r="MSA45" s="1469"/>
      <c r="MSB45" s="1469"/>
      <c r="MSC45" s="1469"/>
      <c r="MSD45" s="1469"/>
      <c r="MSE45" s="1469"/>
      <c r="MSF45" s="1469"/>
      <c r="MSG45" s="1469"/>
      <c r="MSH45" s="1469"/>
      <c r="MSI45" s="1469"/>
      <c r="MSJ45" s="1469"/>
      <c r="MSK45" s="1469"/>
      <c r="MSL45" s="1469"/>
      <c r="MSM45" s="1469"/>
      <c r="MSN45" s="1469"/>
      <c r="MSO45" s="1469"/>
      <c r="MSP45" s="1469"/>
      <c r="MSQ45" s="1469"/>
      <c r="MSR45" s="1469"/>
      <c r="MSS45" s="1469"/>
      <c r="MST45" s="1469"/>
      <c r="MSU45" s="1469"/>
      <c r="MSV45" s="1469"/>
      <c r="MSW45" s="1469"/>
      <c r="MSX45" s="1469"/>
      <c r="MSY45" s="1469"/>
      <c r="MSZ45" s="1469"/>
      <c r="MTA45" s="1469"/>
      <c r="MTB45" s="1469"/>
      <c r="MTC45" s="1469"/>
      <c r="MTD45" s="1469"/>
      <c r="MTE45" s="1469"/>
      <c r="MTF45" s="1469"/>
      <c r="MTG45" s="1469"/>
      <c r="MTH45" s="1469"/>
      <c r="MTI45" s="1469"/>
      <c r="MTJ45" s="1469"/>
      <c r="MTK45" s="1469"/>
      <c r="MTL45" s="1469"/>
      <c r="MTM45" s="1469"/>
      <c r="MTN45" s="1469"/>
      <c r="MTO45" s="1469"/>
      <c r="MTP45" s="1469"/>
      <c r="MTQ45" s="1469"/>
      <c r="MTR45" s="1469"/>
      <c r="MTS45" s="1469"/>
      <c r="MTT45" s="1469"/>
      <c r="MTU45" s="1469"/>
      <c r="MTV45" s="1469"/>
      <c r="MTW45" s="1469"/>
      <c r="MTX45" s="1469"/>
      <c r="MTY45" s="1469"/>
      <c r="MTZ45" s="1469"/>
      <c r="MUA45" s="1469"/>
      <c r="MUB45" s="1469"/>
      <c r="MUC45" s="1469"/>
      <c r="MUD45" s="1469"/>
      <c r="MUE45" s="1469"/>
      <c r="MUF45" s="1469"/>
      <c r="MUG45" s="1469"/>
      <c r="MUH45" s="1469"/>
      <c r="MUI45" s="1469"/>
      <c r="MUJ45" s="1469"/>
      <c r="MUK45" s="1469"/>
      <c r="MUL45" s="1469"/>
      <c r="MUM45" s="1469"/>
      <c r="MUN45" s="1469"/>
      <c r="MUO45" s="1469"/>
      <c r="MUP45" s="1469"/>
      <c r="MUQ45" s="1469"/>
      <c r="MUR45" s="1469"/>
      <c r="MUS45" s="1469"/>
      <c r="MUT45" s="1469"/>
      <c r="MUU45" s="1469"/>
      <c r="MUV45" s="1469"/>
      <c r="MUW45" s="1469"/>
      <c r="MUX45" s="1469"/>
      <c r="MUY45" s="1469"/>
      <c r="MUZ45" s="1469"/>
      <c r="MVA45" s="1469"/>
      <c r="MVB45" s="1469"/>
      <c r="MVC45" s="1469"/>
      <c r="MVD45" s="1469"/>
      <c r="MVE45" s="1469"/>
      <c r="MVF45" s="1469"/>
      <c r="MVG45" s="1469"/>
      <c r="MVH45" s="1469"/>
      <c r="MVI45" s="1469"/>
      <c r="MVJ45" s="1469"/>
      <c r="MVK45" s="1469"/>
      <c r="MVL45" s="1469"/>
      <c r="MVM45" s="1469"/>
      <c r="MVN45" s="1469"/>
      <c r="MVO45" s="1469"/>
      <c r="MVP45" s="1469"/>
      <c r="MVQ45" s="1469"/>
      <c r="MVR45" s="1469"/>
      <c r="MVS45" s="1469"/>
      <c r="MVT45" s="1469"/>
      <c r="MVU45" s="1469"/>
      <c r="MVV45" s="1469"/>
      <c r="MVW45" s="1469"/>
      <c r="MVX45" s="1469"/>
      <c r="MVY45" s="1469"/>
      <c r="MVZ45" s="1469"/>
      <c r="MWA45" s="1469"/>
      <c r="MWB45" s="1469"/>
      <c r="MWC45" s="1469"/>
      <c r="MWD45" s="1469"/>
      <c r="MWE45" s="1469"/>
      <c r="MWF45" s="1469"/>
      <c r="MWG45" s="1469"/>
      <c r="MWH45" s="1469"/>
      <c r="MWI45" s="1469"/>
      <c r="MWJ45" s="1469"/>
      <c r="MWK45" s="1469"/>
      <c r="MWL45" s="1469"/>
      <c r="MWM45" s="1469"/>
      <c r="MWN45" s="1469"/>
      <c r="MWO45" s="1469"/>
      <c r="MWP45" s="1469"/>
      <c r="MWQ45" s="1469"/>
      <c r="MWR45" s="1469"/>
      <c r="MWS45" s="1469"/>
      <c r="MWT45" s="1469"/>
      <c r="MWU45" s="1469"/>
      <c r="MWV45" s="1469"/>
      <c r="MWW45" s="1469"/>
      <c r="MWX45" s="1469"/>
      <c r="MWY45" s="1469"/>
      <c r="MWZ45" s="1469"/>
      <c r="MXA45" s="1469"/>
      <c r="MXB45" s="1469"/>
      <c r="MXC45" s="1469"/>
      <c r="MXD45" s="1469"/>
      <c r="MXE45" s="1469"/>
      <c r="MXF45" s="1469"/>
      <c r="MXG45" s="1469"/>
      <c r="MXH45" s="1469"/>
      <c r="MXI45" s="1469"/>
      <c r="MXJ45" s="1469"/>
      <c r="MXK45" s="1469"/>
      <c r="MXL45" s="1469"/>
      <c r="MXM45" s="1469"/>
      <c r="MXN45" s="1469"/>
      <c r="MXO45" s="1469"/>
      <c r="MXP45" s="1469"/>
      <c r="MXQ45" s="1469"/>
      <c r="MXR45" s="1469"/>
      <c r="MXS45" s="1469"/>
      <c r="MXT45" s="1469"/>
      <c r="MXU45" s="1469"/>
      <c r="MXV45" s="1469"/>
      <c r="MXW45" s="1469"/>
      <c r="MXX45" s="1469"/>
      <c r="MXY45" s="1469"/>
      <c r="MXZ45" s="1469"/>
      <c r="MYA45" s="1469"/>
      <c r="MYB45" s="1469"/>
      <c r="MYC45" s="1469"/>
      <c r="MYD45" s="1469"/>
      <c r="MYE45" s="1469"/>
      <c r="MYF45" s="1469"/>
      <c r="MYG45" s="1469"/>
      <c r="MYH45" s="1469"/>
      <c r="MYI45" s="1469"/>
      <c r="MYJ45" s="1469"/>
      <c r="MYK45" s="1469"/>
      <c r="MYL45" s="1469"/>
      <c r="MYM45" s="1469"/>
      <c r="MYN45" s="1469"/>
      <c r="MYO45" s="1469"/>
      <c r="MYP45" s="1469"/>
      <c r="MYQ45" s="1469"/>
      <c r="MYR45" s="1469"/>
      <c r="MYS45" s="1469"/>
      <c r="MYT45" s="1469"/>
      <c r="MYU45" s="1469"/>
      <c r="MYV45" s="1469"/>
      <c r="MYW45" s="1469"/>
      <c r="MYX45" s="1469"/>
      <c r="MYY45" s="1469"/>
      <c r="MYZ45" s="1469"/>
      <c r="MZA45" s="1469"/>
      <c r="MZB45" s="1469"/>
      <c r="MZC45" s="1469"/>
      <c r="MZD45" s="1469"/>
      <c r="MZE45" s="1469"/>
      <c r="MZF45" s="1469"/>
      <c r="MZG45" s="1469"/>
      <c r="MZH45" s="1469"/>
      <c r="MZI45" s="1469"/>
      <c r="MZJ45" s="1469"/>
      <c r="MZK45" s="1469"/>
      <c r="MZL45" s="1469"/>
      <c r="MZM45" s="1469"/>
      <c r="MZN45" s="1469"/>
      <c r="MZO45" s="1469"/>
      <c r="MZP45" s="1469"/>
      <c r="MZQ45" s="1469"/>
      <c r="MZR45" s="1469"/>
      <c r="MZS45" s="1469"/>
      <c r="MZT45" s="1469"/>
      <c r="MZU45" s="1469"/>
      <c r="MZV45" s="1469"/>
      <c r="MZW45" s="1469"/>
      <c r="MZX45" s="1469"/>
      <c r="MZY45" s="1469"/>
      <c r="MZZ45" s="1469"/>
      <c r="NAA45" s="1469"/>
      <c r="NAB45" s="1469"/>
      <c r="NAC45" s="1469"/>
      <c r="NAD45" s="1469"/>
      <c r="NAE45" s="1469"/>
      <c r="NAF45" s="1469"/>
      <c r="NAG45" s="1469"/>
      <c r="NAH45" s="1469"/>
      <c r="NAI45" s="1469"/>
      <c r="NAJ45" s="1469"/>
      <c r="NAK45" s="1469"/>
      <c r="NAL45" s="1469"/>
      <c r="NAM45" s="1469"/>
      <c r="NAN45" s="1469"/>
      <c r="NAO45" s="1469"/>
      <c r="NAP45" s="1469"/>
      <c r="NAQ45" s="1469"/>
      <c r="NAR45" s="1469"/>
      <c r="NAS45" s="1469"/>
      <c r="NAT45" s="1469"/>
      <c r="NAU45" s="1469"/>
      <c r="NAV45" s="1469"/>
      <c r="NAW45" s="1469"/>
      <c r="NAX45" s="1469"/>
      <c r="NAY45" s="1469"/>
      <c r="NAZ45" s="1469"/>
      <c r="NBA45" s="1469"/>
      <c r="NBB45" s="1469"/>
      <c r="NBC45" s="1469"/>
      <c r="NBD45" s="1469"/>
      <c r="NBE45" s="1469"/>
      <c r="NBF45" s="1469"/>
      <c r="NBG45" s="1469"/>
      <c r="NBH45" s="1469"/>
      <c r="NBI45" s="1469"/>
      <c r="NBJ45" s="1469"/>
      <c r="NBK45" s="1469"/>
      <c r="NBL45" s="1469"/>
      <c r="NBM45" s="1469"/>
      <c r="NBN45" s="1469"/>
      <c r="NBO45" s="1469"/>
      <c r="NBP45" s="1469"/>
      <c r="NBQ45" s="1469"/>
      <c r="NBR45" s="1469"/>
      <c r="NBS45" s="1469"/>
      <c r="NBT45" s="1469"/>
      <c r="NBU45" s="1469"/>
      <c r="NBV45" s="1469"/>
      <c r="NBW45" s="1469"/>
      <c r="NBX45" s="1469"/>
      <c r="NBY45" s="1469"/>
      <c r="NBZ45" s="1469"/>
      <c r="NCA45" s="1469"/>
      <c r="NCB45" s="1469"/>
      <c r="NCC45" s="1469"/>
      <c r="NCD45" s="1469"/>
      <c r="NCE45" s="1469"/>
      <c r="NCF45" s="1469"/>
      <c r="NCG45" s="1469"/>
      <c r="NCH45" s="1469"/>
      <c r="NCI45" s="1469"/>
      <c r="NCJ45" s="1469"/>
      <c r="NCK45" s="1469"/>
      <c r="NCL45" s="1469"/>
      <c r="NCM45" s="1469"/>
      <c r="NCN45" s="1469"/>
      <c r="NCO45" s="1469"/>
      <c r="NCP45" s="1469"/>
      <c r="NCQ45" s="1469"/>
      <c r="NCR45" s="1469"/>
      <c r="NCS45" s="1469"/>
      <c r="NCT45" s="1469"/>
      <c r="NCU45" s="1469"/>
      <c r="NCV45" s="1469"/>
      <c r="NCW45" s="1469"/>
      <c r="NCX45" s="1469"/>
      <c r="NCY45" s="1469"/>
      <c r="NCZ45" s="1469"/>
      <c r="NDA45" s="1469"/>
      <c r="NDB45" s="1469"/>
      <c r="NDC45" s="1469"/>
      <c r="NDD45" s="1469"/>
      <c r="NDE45" s="1469"/>
      <c r="NDF45" s="1469"/>
      <c r="NDG45" s="1469"/>
      <c r="NDH45" s="1469"/>
      <c r="NDI45" s="1469"/>
      <c r="NDJ45" s="1469"/>
      <c r="NDK45" s="1469"/>
      <c r="NDL45" s="1469"/>
      <c r="NDM45" s="1469"/>
      <c r="NDN45" s="1469"/>
      <c r="NDO45" s="1469"/>
      <c r="NDP45" s="1469"/>
      <c r="NDQ45" s="1469"/>
      <c r="NDR45" s="1469"/>
      <c r="NDS45" s="1469"/>
      <c r="NDT45" s="1469"/>
      <c r="NDU45" s="1469"/>
      <c r="NDV45" s="1469"/>
      <c r="NDW45" s="1469"/>
      <c r="NDX45" s="1469"/>
      <c r="NDY45" s="1469"/>
      <c r="NDZ45" s="1469"/>
      <c r="NEA45" s="1469"/>
      <c r="NEB45" s="1469"/>
      <c r="NEC45" s="1469"/>
      <c r="NED45" s="1469"/>
      <c r="NEE45" s="1469"/>
      <c r="NEF45" s="1469"/>
      <c r="NEG45" s="1469"/>
      <c r="NEH45" s="1469"/>
      <c r="NEI45" s="1469"/>
      <c r="NEJ45" s="1469"/>
      <c r="NEK45" s="1469"/>
      <c r="NEL45" s="1469"/>
      <c r="NEM45" s="1469"/>
      <c r="NEN45" s="1469"/>
      <c r="NEO45" s="1469"/>
      <c r="NEP45" s="1469"/>
      <c r="NEQ45" s="1469"/>
      <c r="NER45" s="1469"/>
      <c r="NES45" s="1469"/>
      <c r="NET45" s="1469"/>
      <c r="NEU45" s="1469"/>
      <c r="NEV45" s="1469"/>
      <c r="NEW45" s="1469"/>
      <c r="NEX45" s="1469"/>
      <c r="NEY45" s="1469"/>
      <c r="NEZ45" s="1469"/>
      <c r="NFA45" s="1469"/>
      <c r="NFB45" s="1469"/>
      <c r="NFC45" s="1469"/>
      <c r="NFD45" s="1469"/>
      <c r="NFE45" s="1469"/>
      <c r="NFF45" s="1469"/>
      <c r="NFG45" s="1469"/>
      <c r="NFH45" s="1469"/>
      <c r="NFI45" s="1469"/>
      <c r="NFJ45" s="1469"/>
      <c r="NFK45" s="1469"/>
      <c r="NFL45" s="1469"/>
      <c r="NFM45" s="1469"/>
      <c r="NFN45" s="1469"/>
      <c r="NFO45" s="1469"/>
      <c r="NFP45" s="1469"/>
      <c r="NFQ45" s="1469"/>
      <c r="NFR45" s="1469"/>
      <c r="NFS45" s="1469"/>
      <c r="NFT45" s="1469"/>
      <c r="NFU45" s="1469"/>
      <c r="NFV45" s="1469"/>
      <c r="NFW45" s="1469"/>
      <c r="NFX45" s="1469"/>
      <c r="NFY45" s="1469"/>
      <c r="NFZ45" s="1469"/>
      <c r="NGA45" s="1469"/>
      <c r="NGB45" s="1469"/>
      <c r="NGC45" s="1469"/>
      <c r="NGD45" s="1469"/>
      <c r="NGE45" s="1469"/>
      <c r="NGF45" s="1469"/>
      <c r="NGG45" s="1469"/>
      <c r="NGH45" s="1469"/>
      <c r="NGI45" s="1469"/>
      <c r="NGJ45" s="1469"/>
      <c r="NGK45" s="1469"/>
      <c r="NGL45" s="1469"/>
      <c r="NGM45" s="1469"/>
      <c r="NGN45" s="1469"/>
      <c r="NGO45" s="1469"/>
      <c r="NGP45" s="1469"/>
      <c r="NGQ45" s="1469"/>
      <c r="NGR45" s="1469"/>
      <c r="NGS45" s="1469"/>
      <c r="NGT45" s="1469"/>
      <c r="NGU45" s="1469"/>
      <c r="NGV45" s="1469"/>
      <c r="NGW45" s="1469"/>
      <c r="NGX45" s="1469"/>
      <c r="NGY45" s="1469"/>
      <c r="NGZ45" s="1469"/>
      <c r="NHA45" s="1469"/>
      <c r="NHB45" s="1469"/>
      <c r="NHC45" s="1469"/>
      <c r="NHD45" s="1469"/>
      <c r="NHE45" s="1469"/>
      <c r="NHF45" s="1469"/>
      <c r="NHG45" s="1469"/>
      <c r="NHH45" s="1469"/>
      <c r="NHI45" s="1469"/>
      <c r="NHJ45" s="1469"/>
      <c r="NHK45" s="1469"/>
      <c r="NHL45" s="1469"/>
      <c r="NHM45" s="1469"/>
      <c r="NHN45" s="1469"/>
      <c r="NHO45" s="1469"/>
      <c r="NHP45" s="1469"/>
      <c r="NHQ45" s="1469"/>
      <c r="NHR45" s="1469"/>
      <c r="NHS45" s="1469"/>
      <c r="NHT45" s="1469"/>
      <c r="NHU45" s="1469"/>
      <c r="NHV45" s="1469"/>
      <c r="NHW45" s="1469"/>
      <c r="NHX45" s="1469"/>
      <c r="NHY45" s="1469"/>
      <c r="NHZ45" s="1469"/>
      <c r="NIA45" s="1469"/>
      <c r="NIB45" s="1469"/>
      <c r="NIC45" s="1469"/>
      <c r="NID45" s="1469"/>
      <c r="NIE45" s="1469"/>
      <c r="NIF45" s="1469"/>
      <c r="NIG45" s="1469"/>
      <c r="NIH45" s="1469"/>
      <c r="NII45" s="1469"/>
      <c r="NIJ45" s="1469"/>
      <c r="NIK45" s="1469"/>
      <c r="NIL45" s="1469"/>
      <c r="NIM45" s="1469"/>
      <c r="NIN45" s="1469"/>
      <c r="NIO45" s="1469"/>
      <c r="NIP45" s="1469"/>
      <c r="NIQ45" s="1469"/>
      <c r="NIR45" s="1469"/>
      <c r="NIS45" s="1469"/>
      <c r="NIT45" s="1469"/>
      <c r="NIU45" s="1469"/>
      <c r="NIV45" s="1469"/>
      <c r="NIW45" s="1469"/>
      <c r="NIX45" s="1469"/>
      <c r="NIY45" s="1469"/>
      <c r="NIZ45" s="1469"/>
      <c r="NJA45" s="1469"/>
      <c r="NJB45" s="1469"/>
      <c r="NJC45" s="1469"/>
      <c r="NJD45" s="1469"/>
      <c r="NJE45" s="1469"/>
      <c r="NJF45" s="1469"/>
      <c r="NJG45" s="1469"/>
      <c r="NJH45" s="1469"/>
      <c r="NJI45" s="1469"/>
      <c r="NJJ45" s="1469"/>
      <c r="NJK45" s="1469"/>
      <c r="NJL45" s="1469"/>
      <c r="NJM45" s="1469"/>
      <c r="NJN45" s="1469"/>
      <c r="NJO45" s="1469"/>
      <c r="NJP45" s="1469"/>
      <c r="NJQ45" s="1469"/>
      <c r="NJR45" s="1469"/>
      <c r="NJS45" s="1469"/>
      <c r="NJT45" s="1469"/>
      <c r="NJU45" s="1469"/>
      <c r="NJV45" s="1469"/>
      <c r="NJW45" s="1469"/>
      <c r="NJX45" s="1469"/>
      <c r="NJY45" s="1469"/>
      <c r="NJZ45" s="1469"/>
      <c r="NKA45" s="1469"/>
      <c r="NKB45" s="1469"/>
      <c r="NKC45" s="1469"/>
      <c r="NKD45" s="1469"/>
      <c r="NKE45" s="1469"/>
      <c r="NKF45" s="1469"/>
      <c r="NKG45" s="1469"/>
      <c r="NKH45" s="1469"/>
      <c r="NKI45" s="1469"/>
      <c r="NKJ45" s="1469"/>
      <c r="NKK45" s="1469"/>
      <c r="NKL45" s="1469"/>
      <c r="NKM45" s="1469"/>
      <c r="NKN45" s="1469"/>
      <c r="NKO45" s="1469"/>
      <c r="NKP45" s="1469"/>
      <c r="NKQ45" s="1469"/>
      <c r="NKR45" s="1469"/>
      <c r="NKS45" s="1469"/>
      <c r="NKT45" s="1469"/>
      <c r="NKU45" s="1469"/>
      <c r="NKV45" s="1469"/>
      <c r="NKW45" s="1469"/>
      <c r="NKX45" s="1469"/>
      <c r="NKY45" s="1469"/>
      <c r="NKZ45" s="1469"/>
      <c r="NLA45" s="1469"/>
      <c r="NLB45" s="1469"/>
      <c r="NLC45" s="1469"/>
      <c r="NLD45" s="1469"/>
      <c r="NLE45" s="1469"/>
      <c r="NLF45" s="1469"/>
      <c r="NLG45" s="1469"/>
      <c r="NLH45" s="1469"/>
      <c r="NLI45" s="1469"/>
      <c r="NLJ45" s="1469"/>
      <c r="NLK45" s="1469"/>
      <c r="NLL45" s="1469"/>
      <c r="NLM45" s="1469"/>
      <c r="NLN45" s="1469"/>
      <c r="NLO45" s="1469"/>
      <c r="NLP45" s="1469"/>
      <c r="NLQ45" s="1469"/>
      <c r="NLR45" s="1469"/>
      <c r="NLS45" s="1469"/>
      <c r="NLT45" s="1469"/>
      <c r="NLU45" s="1469"/>
      <c r="NLV45" s="1469"/>
      <c r="NLW45" s="1469"/>
      <c r="NLX45" s="1469"/>
      <c r="NLY45" s="1469"/>
      <c r="NLZ45" s="1469"/>
      <c r="NMA45" s="1469"/>
      <c r="NMB45" s="1469"/>
      <c r="NMC45" s="1469"/>
      <c r="NMD45" s="1469"/>
      <c r="NME45" s="1469"/>
      <c r="NMF45" s="1469"/>
      <c r="NMG45" s="1469"/>
      <c r="NMH45" s="1469"/>
      <c r="NMI45" s="1469"/>
      <c r="NMJ45" s="1469"/>
      <c r="NMK45" s="1469"/>
      <c r="NML45" s="1469"/>
      <c r="NMM45" s="1469"/>
      <c r="NMN45" s="1469"/>
      <c r="NMO45" s="1469"/>
      <c r="NMP45" s="1469"/>
      <c r="NMQ45" s="1469"/>
      <c r="NMR45" s="1469"/>
      <c r="NMS45" s="1469"/>
      <c r="NMT45" s="1469"/>
      <c r="NMU45" s="1469"/>
      <c r="NMV45" s="1469"/>
      <c r="NMW45" s="1469"/>
      <c r="NMX45" s="1469"/>
      <c r="NMY45" s="1469"/>
      <c r="NMZ45" s="1469"/>
      <c r="NNA45" s="1469"/>
      <c r="NNB45" s="1469"/>
      <c r="NNC45" s="1469"/>
      <c r="NND45" s="1469"/>
      <c r="NNE45" s="1469"/>
      <c r="NNF45" s="1469"/>
      <c r="NNG45" s="1469"/>
      <c r="NNH45" s="1469"/>
      <c r="NNI45" s="1469"/>
      <c r="NNJ45" s="1469"/>
      <c r="NNK45" s="1469"/>
      <c r="NNL45" s="1469"/>
      <c r="NNM45" s="1469"/>
      <c r="NNN45" s="1469"/>
      <c r="NNO45" s="1469"/>
      <c r="NNP45" s="1469"/>
      <c r="NNQ45" s="1469"/>
      <c r="NNR45" s="1469"/>
      <c r="NNS45" s="1469"/>
      <c r="NNT45" s="1469"/>
      <c r="NNU45" s="1469"/>
      <c r="NNV45" s="1469"/>
      <c r="NNW45" s="1469"/>
      <c r="NNX45" s="1469"/>
      <c r="NNY45" s="1469"/>
      <c r="NNZ45" s="1469"/>
      <c r="NOA45" s="1469"/>
      <c r="NOB45" s="1469"/>
      <c r="NOC45" s="1469"/>
      <c r="NOD45" s="1469"/>
      <c r="NOE45" s="1469"/>
      <c r="NOF45" s="1469"/>
      <c r="NOG45" s="1469"/>
      <c r="NOH45" s="1469"/>
      <c r="NOI45" s="1469"/>
      <c r="NOJ45" s="1469"/>
      <c r="NOK45" s="1469"/>
      <c r="NOL45" s="1469"/>
      <c r="NOM45" s="1469"/>
      <c r="NON45" s="1469"/>
      <c r="NOO45" s="1469"/>
      <c r="NOP45" s="1469"/>
      <c r="NOQ45" s="1469"/>
      <c r="NOR45" s="1469"/>
      <c r="NOS45" s="1469"/>
      <c r="NOT45" s="1469"/>
      <c r="NOU45" s="1469"/>
      <c r="NOV45" s="1469"/>
      <c r="NOW45" s="1469"/>
      <c r="NOX45" s="1469"/>
      <c r="NOY45" s="1469"/>
      <c r="NOZ45" s="1469"/>
      <c r="NPA45" s="1469"/>
      <c r="NPB45" s="1469"/>
      <c r="NPC45" s="1469"/>
      <c r="NPD45" s="1469"/>
      <c r="NPE45" s="1469"/>
      <c r="NPF45" s="1469"/>
      <c r="NPG45" s="1469"/>
      <c r="NPH45" s="1469"/>
      <c r="NPI45" s="1469"/>
      <c r="NPJ45" s="1469"/>
      <c r="NPK45" s="1469"/>
      <c r="NPL45" s="1469"/>
      <c r="NPM45" s="1469"/>
      <c r="NPN45" s="1469"/>
      <c r="NPO45" s="1469"/>
      <c r="NPP45" s="1469"/>
      <c r="NPQ45" s="1469"/>
      <c r="NPR45" s="1469"/>
      <c r="NPS45" s="1469"/>
      <c r="NPT45" s="1469"/>
      <c r="NPU45" s="1469"/>
      <c r="NPV45" s="1469"/>
      <c r="NPW45" s="1469"/>
      <c r="NPX45" s="1469"/>
      <c r="NPY45" s="1469"/>
      <c r="NPZ45" s="1469"/>
      <c r="NQA45" s="1469"/>
      <c r="NQB45" s="1469"/>
      <c r="NQC45" s="1469"/>
      <c r="NQD45" s="1469"/>
      <c r="NQE45" s="1469"/>
      <c r="NQF45" s="1469"/>
      <c r="NQG45" s="1469"/>
      <c r="NQH45" s="1469"/>
      <c r="NQI45" s="1469"/>
      <c r="NQJ45" s="1469"/>
      <c r="NQK45" s="1469"/>
      <c r="NQL45" s="1469"/>
      <c r="NQM45" s="1469"/>
      <c r="NQN45" s="1469"/>
      <c r="NQO45" s="1469"/>
      <c r="NQP45" s="1469"/>
      <c r="NQQ45" s="1469"/>
      <c r="NQR45" s="1469"/>
      <c r="NQS45" s="1469"/>
      <c r="NQT45" s="1469"/>
      <c r="NQU45" s="1469"/>
      <c r="NQV45" s="1469"/>
      <c r="NQW45" s="1469"/>
      <c r="NQX45" s="1469"/>
      <c r="NQY45" s="1469"/>
      <c r="NQZ45" s="1469"/>
      <c r="NRA45" s="1469"/>
      <c r="NRB45" s="1469"/>
      <c r="NRC45" s="1469"/>
      <c r="NRD45" s="1469"/>
      <c r="NRE45" s="1469"/>
      <c r="NRF45" s="1469"/>
      <c r="NRG45" s="1469"/>
      <c r="NRH45" s="1469"/>
      <c r="NRI45" s="1469"/>
      <c r="NRJ45" s="1469"/>
      <c r="NRK45" s="1469"/>
      <c r="NRL45" s="1469"/>
      <c r="NRM45" s="1469"/>
      <c r="NRN45" s="1469"/>
      <c r="NRO45" s="1469"/>
      <c r="NRP45" s="1469"/>
      <c r="NRQ45" s="1469"/>
      <c r="NRR45" s="1469"/>
      <c r="NRS45" s="1469"/>
      <c r="NRT45" s="1469"/>
      <c r="NRU45" s="1469"/>
      <c r="NRV45" s="1469"/>
      <c r="NRW45" s="1469"/>
      <c r="NRX45" s="1469"/>
      <c r="NRY45" s="1469"/>
      <c r="NRZ45" s="1469"/>
      <c r="NSA45" s="1469"/>
      <c r="NSB45" s="1469"/>
      <c r="NSC45" s="1469"/>
      <c r="NSD45" s="1469"/>
      <c r="NSE45" s="1469"/>
      <c r="NSF45" s="1469"/>
      <c r="NSG45" s="1469"/>
      <c r="NSH45" s="1469"/>
      <c r="NSI45" s="1469"/>
      <c r="NSJ45" s="1469"/>
      <c r="NSK45" s="1469"/>
      <c r="NSL45" s="1469"/>
      <c r="NSM45" s="1469"/>
      <c r="NSN45" s="1469"/>
      <c r="NSO45" s="1469"/>
      <c r="NSP45" s="1469"/>
      <c r="NSQ45" s="1469"/>
      <c r="NSR45" s="1469"/>
      <c r="NSS45" s="1469"/>
      <c r="NST45" s="1469"/>
      <c r="NSU45" s="1469"/>
      <c r="NSV45" s="1469"/>
      <c r="NSW45" s="1469"/>
      <c r="NSX45" s="1469"/>
      <c r="NSY45" s="1469"/>
      <c r="NSZ45" s="1469"/>
      <c r="NTA45" s="1469"/>
      <c r="NTB45" s="1469"/>
      <c r="NTC45" s="1469"/>
      <c r="NTD45" s="1469"/>
      <c r="NTE45" s="1469"/>
      <c r="NTF45" s="1469"/>
      <c r="NTG45" s="1469"/>
      <c r="NTH45" s="1469"/>
      <c r="NTI45" s="1469"/>
      <c r="NTJ45" s="1469"/>
      <c r="NTK45" s="1469"/>
      <c r="NTL45" s="1469"/>
      <c r="NTM45" s="1469"/>
      <c r="NTN45" s="1469"/>
      <c r="NTO45" s="1469"/>
      <c r="NTP45" s="1469"/>
      <c r="NTQ45" s="1469"/>
      <c r="NTR45" s="1469"/>
      <c r="NTS45" s="1469"/>
      <c r="NTT45" s="1469"/>
      <c r="NTU45" s="1469"/>
      <c r="NTV45" s="1469"/>
      <c r="NTW45" s="1469"/>
      <c r="NTX45" s="1469"/>
      <c r="NTY45" s="1469"/>
      <c r="NTZ45" s="1469"/>
      <c r="NUA45" s="1469"/>
      <c r="NUB45" s="1469"/>
      <c r="NUC45" s="1469"/>
      <c r="NUD45" s="1469"/>
      <c r="NUE45" s="1469"/>
      <c r="NUF45" s="1469"/>
      <c r="NUG45" s="1469"/>
      <c r="NUH45" s="1469"/>
      <c r="NUI45" s="1469"/>
      <c r="NUJ45" s="1469"/>
      <c r="NUK45" s="1469"/>
      <c r="NUL45" s="1469"/>
      <c r="NUM45" s="1469"/>
      <c r="NUN45" s="1469"/>
      <c r="NUO45" s="1469"/>
      <c r="NUP45" s="1469"/>
      <c r="NUQ45" s="1469"/>
      <c r="NUR45" s="1469"/>
      <c r="NUS45" s="1469"/>
      <c r="NUT45" s="1469"/>
      <c r="NUU45" s="1469"/>
      <c r="NUV45" s="1469"/>
      <c r="NUW45" s="1469"/>
      <c r="NUX45" s="1469"/>
      <c r="NUY45" s="1469"/>
      <c r="NUZ45" s="1469"/>
      <c r="NVA45" s="1469"/>
      <c r="NVB45" s="1469"/>
      <c r="NVC45" s="1469"/>
      <c r="NVD45" s="1469"/>
      <c r="NVE45" s="1469"/>
      <c r="NVF45" s="1469"/>
      <c r="NVG45" s="1469"/>
      <c r="NVH45" s="1469"/>
      <c r="NVI45" s="1469"/>
      <c r="NVJ45" s="1469"/>
      <c r="NVK45" s="1469"/>
      <c r="NVL45" s="1469"/>
      <c r="NVM45" s="1469"/>
      <c r="NVN45" s="1469"/>
      <c r="NVO45" s="1469"/>
      <c r="NVP45" s="1469"/>
      <c r="NVQ45" s="1469"/>
      <c r="NVR45" s="1469"/>
      <c r="NVS45" s="1469"/>
      <c r="NVT45" s="1469"/>
      <c r="NVU45" s="1469"/>
      <c r="NVV45" s="1469"/>
      <c r="NVW45" s="1469"/>
      <c r="NVX45" s="1469"/>
      <c r="NVY45" s="1469"/>
      <c r="NVZ45" s="1469"/>
      <c r="NWA45" s="1469"/>
      <c r="NWB45" s="1469"/>
      <c r="NWC45" s="1469"/>
      <c r="NWD45" s="1469"/>
      <c r="NWE45" s="1469"/>
      <c r="NWF45" s="1469"/>
      <c r="NWG45" s="1469"/>
      <c r="NWH45" s="1469"/>
      <c r="NWI45" s="1469"/>
      <c r="NWJ45" s="1469"/>
      <c r="NWK45" s="1469"/>
      <c r="NWL45" s="1469"/>
      <c r="NWM45" s="1469"/>
      <c r="NWN45" s="1469"/>
      <c r="NWO45" s="1469"/>
      <c r="NWP45" s="1469"/>
      <c r="NWQ45" s="1469"/>
      <c r="NWR45" s="1469"/>
      <c r="NWS45" s="1469"/>
      <c r="NWT45" s="1469"/>
      <c r="NWU45" s="1469"/>
      <c r="NWV45" s="1469"/>
      <c r="NWW45" s="1469"/>
      <c r="NWX45" s="1469"/>
      <c r="NWY45" s="1469"/>
      <c r="NWZ45" s="1469"/>
      <c r="NXA45" s="1469"/>
      <c r="NXB45" s="1469"/>
      <c r="NXC45" s="1469"/>
      <c r="NXD45" s="1469"/>
      <c r="NXE45" s="1469"/>
      <c r="NXF45" s="1469"/>
      <c r="NXG45" s="1469"/>
      <c r="NXH45" s="1469"/>
      <c r="NXI45" s="1469"/>
      <c r="NXJ45" s="1469"/>
      <c r="NXK45" s="1469"/>
      <c r="NXL45" s="1469"/>
      <c r="NXM45" s="1469"/>
      <c r="NXN45" s="1469"/>
      <c r="NXO45" s="1469"/>
      <c r="NXP45" s="1469"/>
      <c r="NXQ45" s="1469"/>
      <c r="NXR45" s="1469"/>
      <c r="NXS45" s="1469"/>
      <c r="NXT45" s="1469"/>
      <c r="NXU45" s="1469"/>
      <c r="NXV45" s="1469"/>
      <c r="NXW45" s="1469"/>
      <c r="NXX45" s="1469"/>
      <c r="NXY45" s="1469"/>
      <c r="NXZ45" s="1469"/>
      <c r="NYA45" s="1469"/>
      <c r="NYB45" s="1469"/>
      <c r="NYC45" s="1469"/>
      <c r="NYD45" s="1469"/>
      <c r="NYE45" s="1469"/>
      <c r="NYF45" s="1469"/>
      <c r="NYG45" s="1469"/>
      <c r="NYH45" s="1469"/>
      <c r="NYI45" s="1469"/>
      <c r="NYJ45" s="1469"/>
      <c r="NYK45" s="1469"/>
      <c r="NYL45" s="1469"/>
      <c r="NYM45" s="1469"/>
      <c r="NYN45" s="1469"/>
      <c r="NYO45" s="1469"/>
      <c r="NYP45" s="1469"/>
      <c r="NYQ45" s="1469"/>
      <c r="NYR45" s="1469"/>
      <c r="NYS45" s="1469"/>
      <c r="NYT45" s="1469"/>
      <c r="NYU45" s="1469"/>
      <c r="NYV45" s="1469"/>
      <c r="NYW45" s="1469"/>
      <c r="NYX45" s="1469"/>
      <c r="NYY45" s="1469"/>
      <c r="NYZ45" s="1469"/>
      <c r="NZA45" s="1469"/>
      <c r="NZB45" s="1469"/>
      <c r="NZC45" s="1469"/>
      <c r="NZD45" s="1469"/>
      <c r="NZE45" s="1469"/>
      <c r="NZF45" s="1469"/>
      <c r="NZG45" s="1469"/>
      <c r="NZH45" s="1469"/>
      <c r="NZI45" s="1469"/>
      <c r="NZJ45" s="1469"/>
      <c r="NZK45" s="1469"/>
      <c r="NZL45" s="1469"/>
      <c r="NZM45" s="1469"/>
      <c r="NZN45" s="1469"/>
      <c r="NZO45" s="1469"/>
      <c r="NZP45" s="1469"/>
      <c r="NZQ45" s="1469"/>
      <c r="NZR45" s="1469"/>
      <c r="NZS45" s="1469"/>
      <c r="NZT45" s="1469"/>
      <c r="NZU45" s="1469"/>
      <c r="NZV45" s="1469"/>
      <c r="NZW45" s="1469"/>
      <c r="NZX45" s="1469"/>
      <c r="NZY45" s="1469"/>
      <c r="NZZ45" s="1469"/>
      <c r="OAA45" s="1469"/>
      <c r="OAB45" s="1469"/>
      <c r="OAC45" s="1469"/>
      <c r="OAD45" s="1469"/>
      <c r="OAE45" s="1469"/>
      <c r="OAF45" s="1469"/>
      <c r="OAG45" s="1469"/>
      <c r="OAH45" s="1469"/>
      <c r="OAI45" s="1469"/>
      <c r="OAJ45" s="1469"/>
      <c r="OAK45" s="1469"/>
      <c r="OAL45" s="1469"/>
      <c r="OAM45" s="1469"/>
      <c r="OAN45" s="1469"/>
      <c r="OAO45" s="1469"/>
      <c r="OAP45" s="1469"/>
      <c r="OAQ45" s="1469"/>
      <c r="OAR45" s="1469"/>
      <c r="OAS45" s="1469"/>
      <c r="OAT45" s="1469"/>
      <c r="OAU45" s="1469"/>
      <c r="OAV45" s="1469"/>
      <c r="OAW45" s="1469"/>
      <c r="OAX45" s="1469"/>
      <c r="OAY45" s="1469"/>
      <c r="OAZ45" s="1469"/>
      <c r="OBA45" s="1469"/>
      <c r="OBB45" s="1469"/>
      <c r="OBC45" s="1469"/>
      <c r="OBD45" s="1469"/>
      <c r="OBE45" s="1469"/>
      <c r="OBF45" s="1469"/>
      <c r="OBG45" s="1469"/>
      <c r="OBH45" s="1469"/>
      <c r="OBI45" s="1469"/>
      <c r="OBJ45" s="1469"/>
      <c r="OBK45" s="1469"/>
      <c r="OBL45" s="1469"/>
      <c r="OBM45" s="1469"/>
      <c r="OBN45" s="1469"/>
      <c r="OBO45" s="1469"/>
      <c r="OBP45" s="1469"/>
      <c r="OBQ45" s="1469"/>
      <c r="OBR45" s="1469"/>
      <c r="OBS45" s="1469"/>
      <c r="OBT45" s="1469"/>
      <c r="OBU45" s="1469"/>
      <c r="OBV45" s="1469"/>
      <c r="OBW45" s="1469"/>
      <c r="OBX45" s="1469"/>
      <c r="OBY45" s="1469"/>
      <c r="OBZ45" s="1469"/>
      <c r="OCA45" s="1469"/>
      <c r="OCB45" s="1469"/>
      <c r="OCC45" s="1469"/>
      <c r="OCD45" s="1469"/>
      <c r="OCE45" s="1469"/>
      <c r="OCF45" s="1469"/>
      <c r="OCG45" s="1469"/>
      <c r="OCH45" s="1469"/>
      <c r="OCI45" s="1469"/>
      <c r="OCJ45" s="1469"/>
      <c r="OCK45" s="1469"/>
      <c r="OCL45" s="1469"/>
      <c r="OCM45" s="1469"/>
      <c r="OCN45" s="1469"/>
      <c r="OCO45" s="1469"/>
      <c r="OCP45" s="1469"/>
      <c r="OCQ45" s="1469"/>
      <c r="OCR45" s="1469"/>
      <c r="OCS45" s="1469"/>
      <c r="OCT45" s="1469"/>
      <c r="OCU45" s="1469"/>
      <c r="OCV45" s="1469"/>
      <c r="OCW45" s="1469"/>
      <c r="OCX45" s="1469"/>
      <c r="OCY45" s="1469"/>
      <c r="OCZ45" s="1469"/>
      <c r="ODA45" s="1469"/>
      <c r="ODB45" s="1469"/>
      <c r="ODC45" s="1469"/>
      <c r="ODD45" s="1469"/>
      <c r="ODE45" s="1469"/>
      <c r="ODF45" s="1469"/>
      <c r="ODG45" s="1469"/>
      <c r="ODH45" s="1469"/>
      <c r="ODI45" s="1469"/>
      <c r="ODJ45" s="1469"/>
      <c r="ODK45" s="1469"/>
      <c r="ODL45" s="1469"/>
      <c r="ODM45" s="1469"/>
      <c r="ODN45" s="1469"/>
      <c r="ODO45" s="1469"/>
      <c r="ODP45" s="1469"/>
      <c r="ODQ45" s="1469"/>
      <c r="ODR45" s="1469"/>
      <c r="ODS45" s="1469"/>
      <c r="ODT45" s="1469"/>
      <c r="ODU45" s="1469"/>
      <c r="ODV45" s="1469"/>
      <c r="ODW45" s="1469"/>
      <c r="ODX45" s="1469"/>
      <c r="ODY45" s="1469"/>
      <c r="ODZ45" s="1469"/>
      <c r="OEA45" s="1469"/>
      <c r="OEB45" s="1469"/>
      <c r="OEC45" s="1469"/>
      <c r="OED45" s="1469"/>
      <c r="OEE45" s="1469"/>
      <c r="OEF45" s="1469"/>
      <c r="OEG45" s="1469"/>
      <c r="OEH45" s="1469"/>
      <c r="OEI45" s="1469"/>
      <c r="OEJ45" s="1469"/>
      <c r="OEK45" s="1469"/>
      <c r="OEL45" s="1469"/>
      <c r="OEM45" s="1469"/>
      <c r="OEN45" s="1469"/>
      <c r="OEO45" s="1469"/>
      <c r="OEP45" s="1469"/>
      <c r="OEQ45" s="1469"/>
      <c r="OER45" s="1469"/>
      <c r="OES45" s="1469"/>
      <c r="OET45" s="1469"/>
      <c r="OEU45" s="1469"/>
      <c r="OEV45" s="1469"/>
      <c r="OEW45" s="1469"/>
      <c r="OEX45" s="1469"/>
      <c r="OEY45" s="1469"/>
      <c r="OEZ45" s="1469"/>
      <c r="OFA45" s="1469"/>
      <c r="OFB45" s="1469"/>
      <c r="OFC45" s="1469"/>
      <c r="OFD45" s="1469"/>
      <c r="OFE45" s="1469"/>
      <c r="OFF45" s="1469"/>
      <c r="OFG45" s="1469"/>
      <c r="OFH45" s="1469"/>
      <c r="OFI45" s="1469"/>
      <c r="OFJ45" s="1469"/>
      <c r="OFK45" s="1469"/>
      <c r="OFL45" s="1469"/>
      <c r="OFM45" s="1469"/>
      <c r="OFN45" s="1469"/>
      <c r="OFO45" s="1469"/>
      <c r="OFP45" s="1469"/>
      <c r="OFQ45" s="1469"/>
      <c r="OFR45" s="1469"/>
      <c r="OFS45" s="1469"/>
      <c r="OFT45" s="1469"/>
      <c r="OFU45" s="1469"/>
      <c r="OFV45" s="1469"/>
      <c r="OFW45" s="1469"/>
      <c r="OFX45" s="1469"/>
      <c r="OFY45" s="1469"/>
      <c r="OFZ45" s="1469"/>
      <c r="OGA45" s="1469"/>
      <c r="OGB45" s="1469"/>
      <c r="OGC45" s="1469"/>
      <c r="OGD45" s="1469"/>
      <c r="OGE45" s="1469"/>
      <c r="OGF45" s="1469"/>
      <c r="OGG45" s="1469"/>
      <c r="OGH45" s="1469"/>
      <c r="OGI45" s="1469"/>
      <c r="OGJ45" s="1469"/>
      <c r="OGK45" s="1469"/>
      <c r="OGL45" s="1469"/>
      <c r="OGM45" s="1469"/>
      <c r="OGN45" s="1469"/>
      <c r="OGO45" s="1469"/>
      <c r="OGP45" s="1469"/>
      <c r="OGQ45" s="1469"/>
      <c r="OGR45" s="1469"/>
      <c r="OGS45" s="1469"/>
      <c r="OGT45" s="1469"/>
      <c r="OGU45" s="1469"/>
      <c r="OGV45" s="1469"/>
      <c r="OGW45" s="1469"/>
      <c r="OGX45" s="1469"/>
      <c r="OGY45" s="1469"/>
      <c r="OGZ45" s="1469"/>
      <c r="OHA45" s="1469"/>
      <c r="OHB45" s="1469"/>
      <c r="OHC45" s="1469"/>
      <c r="OHD45" s="1469"/>
      <c r="OHE45" s="1469"/>
      <c r="OHF45" s="1469"/>
      <c r="OHG45" s="1469"/>
      <c r="OHH45" s="1469"/>
      <c r="OHI45" s="1469"/>
      <c r="OHJ45" s="1469"/>
      <c r="OHK45" s="1469"/>
      <c r="OHL45" s="1469"/>
      <c r="OHM45" s="1469"/>
      <c r="OHN45" s="1469"/>
      <c r="OHO45" s="1469"/>
      <c r="OHP45" s="1469"/>
      <c r="OHQ45" s="1469"/>
      <c r="OHR45" s="1469"/>
      <c r="OHS45" s="1469"/>
      <c r="OHT45" s="1469"/>
      <c r="OHU45" s="1469"/>
      <c r="OHV45" s="1469"/>
      <c r="OHW45" s="1469"/>
      <c r="OHX45" s="1469"/>
      <c r="OHY45" s="1469"/>
      <c r="OHZ45" s="1469"/>
      <c r="OIA45" s="1469"/>
      <c r="OIB45" s="1469"/>
      <c r="OIC45" s="1469"/>
      <c r="OID45" s="1469"/>
      <c r="OIE45" s="1469"/>
      <c r="OIF45" s="1469"/>
      <c r="OIG45" s="1469"/>
      <c r="OIH45" s="1469"/>
      <c r="OII45" s="1469"/>
      <c r="OIJ45" s="1469"/>
      <c r="OIK45" s="1469"/>
      <c r="OIL45" s="1469"/>
      <c r="OIM45" s="1469"/>
      <c r="OIN45" s="1469"/>
      <c r="OIO45" s="1469"/>
      <c r="OIP45" s="1469"/>
      <c r="OIQ45" s="1469"/>
      <c r="OIR45" s="1469"/>
      <c r="OIS45" s="1469"/>
      <c r="OIT45" s="1469"/>
      <c r="OIU45" s="1469"/>
      <c r="OIV45" s="1469"/>
      <c r="OIW45" s="1469"/>
      <c r="OIX45" s="1469"/>
      <c r="OIY45" s="1469"/>
      <c r="OIZ45" s="1469"/>
      <c r="OJA45" s="1469"/>
      <c r="OJB45" s="1469"/>
      <c r="OJC45" s="1469"/>
      <c r="OJD45" s="1469"/>
      <c r="OJE45" s="1469"/>
      <c r="OJF45" s="1469"/>
      <c r="OJG45" s="1469"/>
      <c r="OJH45" s="1469"/>
      <c r="OJI45" s="1469"/>
      <c r="OJJ45" s="1469"/>
      <c r="OJK45" s="1469"/>
      <c r="OJL45" s="1469"/>
      <c r="OJM45" s="1469"/>
      <c r="OJN45" s="1469"/>
      <c r="OJO45" s="1469"/>
      <c r="OJP45" s="1469"/>
      <c r="OJQ45" s="1469"/>
      <c r="OJR45" s="1469"/>
      <c r="OJS45" s="1469"/>
      <c r="OJT45" s="1469"/>
      <c r="OJU45" s="1469"/>
      <c r="OJV45" s="1469"/>
      <c r="OJW45" s="1469"/>
      <c r="OJX45" s="1469"/>
      <c r="OJY45" s="1469"/>
      <c r="OJZ45" s="1469"/>
      <c r="OKA45" s="1469"/>
      <c r="OKB45" s="1469"/>
      <c r="OKC45" s="1469"/>
      <c r="OKD45" s="1469"/>
      <c r="OKE45" s="1469"/>
      <c r="OKF45" s="1469"/>
      <c r="OKG45" s="1469"/>
      <c r="OKH45" s="1469"/>
      <c r="OKI45" s="1469"/>
      <c r="OKJ45" s="1469"/>
      <c r="OKK45" s="1469"/>
      <c r="OKL45" s="1469"/>
      <c r="OKM45" s="1469"/>
      <c r="OKN45" s="1469"/>
      <c r="OKO45" s="1469"/>
      <c r="OKP45" s="1469"/>
      <c r="OKQ45" s="1469"/>
      <c r="OKR45" s="1469"/>
      <c r="OKS45" s="1469"/>
      <c r="OKT45" s="1469"/>
      <c r="OKU45" s="1469"/>
      <c r="OKV45" s="1469"/>
      <c r="OKW45" s="1469"/>
      <c r="OKX45" s="1469"/>
      <c r="OKY45" s="1469"/>
      <c r="OKZ45" s="1469"/>
      <c r="OLA45" s="1469"/>
      <c r="OLB45" s="1469"/>
      <c r="OLC45" s="1469"/>
      <c r="OLD45" s="1469"/>
      <c r="OLE45" s="1469"/>
      <c r="OLF45" s="1469"/>
      <c r="OLG45" s="1469"/>
      <c r="OLH45" s="1469"/>
      <c r="OLI45" s="1469"/>
      <c r="OLJ45" s="1469"/>
      <c r="OLK45" s="1469"/>
      <c r="OLL45" s="1469"/>
      <c r="OLM45" s="1469"/>
      <c r="OLN45" s="1469"/>
      <c r="OLO45" s="1469"/>
      <c r="OLP45" s="1469"/>
      <c r="OLQ45" s="1469"/>
      <c r="OLR45" s="1469"/>
      <c r="OLS45" s="1469"/>
      <c r="OLT45" s="1469"/>
      <c r="OLU45" s="1469"/>
      <c r="OLV45" s="1469"/>
      <c r="OLW45" s="1469"/>
      <c r="OLX45" s="1469"/>
      <c r="OLY45" s="1469"/>
      <c r="OLZ45" s="1469"/>
      <c r="OMA45" s="1469"/>
      <c r="OMB45" s="1469"/>
      <c r="OMC45" s="1469"/>
      <c r="OMD45" s="1469"/>
      <c r="OME45" s="1469"/>
      <c r="OMF45" s="1469"/>
      <c r="OMG45" s="1469"/>
      <c r="OMH45" s="1469"/>
      <c r="OMI45" s="1469"/>
      <c r="OMJ45" s="1469"/>
      <c r="OMK45" s="1469"/>
      <c r="OML45" s="1469"/>
      <c r="OMM45" s="1469"/>
      <c r="OMN45" s="1469"/>
      <c r="OMO45" s="1469"/>
      <c r="OMP45" s="1469"/>
      <c r="OMQ45" s="1469"/>
      <c r="OMR45" s="1469"/>
      <c r="OMS45" s="1469"/>
      <c r="OMT45" s="1469"/>
      <c r="OMU45" s="1469"/>
      <c r="OMV45" s="1469"/>
      <c r="OMW45" s="1469"/>
      <c r="OMX45" s="1469"/>
      <c r="OMY45" s="1469"/>
      <c r="OMZ45" s="1469"/>
      <c r="ONA45" s="1469"/>
      <c r="ONB45" s="1469"/>
      <c r="ONC45" s="1469"/>
      <c r="OND45" s="1469"/>
      <c r="ONE45" s="1469"/>
      <c r="ONF45" s="1469"/>
      <c r="ONG45" s="1469"/>
      <c r="ONH45" s="1469"/>
      <c r="ONI45" s="1469"/>
      <c r="ONJ45" s="1469"/>
      <c r="ONK45" s="1469"/>
      <c r="ONL45" s="1469"/>
      <c r="ONM45" s="1469"/>
      <c r="ONN45" s="1469"/>
      <c r="ONO45" s="1469"/>
      <c r="ONP45" s="1469"/>
      <c r="ONQ45" s="1469"/>
      <c r="ONR45" s="1469"/>
      <c r="ONS45" s="1469"/>
      <c r="ONT45" s="1469"/>
      <c r="ONU45" s="1469"/>
      <c r="ONV45" s="1469"/>
      <c r="ONW45" s="1469"/>
      <c r="ONX45" s="1469"/>
      <c r="ONY45" s="1469"/>
      <c r="ONZ45" s="1469"/>
      <c r="OOA45" s="1469"/>
      <c r="OOB45" s="1469"/>
      <c r="OOC45" s="1469"/>
      <c r="OOD45" s="1469"/>
      <c r="OOE45" s="1469"/>
      <c r="OOF45" s="1469"/>
      <c r="OOG45" s="1469"/>
      <c r="OOH45" s="1469"/>
      <c r="OOI45" s="1469"/>
      <c r="OOJ45" s="1469"/>
      <c r="OOK45" s="1469"/>
      <c r="OOL45" s="1469"/>
      <c r="OOM45" s="1469"/>
      <c r="OON45" s="1469"/>
      <c r="OOO45" s="1469"/>
      <c r="OOP45" s="1469"/>
      <c r="OOQ45" s="1469"/>
      <c r="OOR45" s="1469"/>
      <c r="OOS45" s="1469"/>
      <c r="OOT45" s="1469"/>
      <c r="OOU45" s="1469"/>
      <c r="OOV45" s="1469"/>
      <c r="OOW45" s="1469"/>
      <c r="OOX45" s="1469"/>
      <c r="OOY45" s="1469"/>
      <c r="OOZ45" s="1469"/>
      <c r="OPA45" s="1469"/>
      <c r="OPB45" s="1469"/>
      <c r="OPC45" s="1469"/>
      <c r="OPD45" s="1469"/>
      <c r="OPE45" s="1469"/>
      <c r="OPF45" s="1469"/>
      <c r="OPG45" s="1469"/>
      <c r="OPH45" s="1469"/>
      <c r="OPI45" s="1469"/>
      <c r="OPJ45" s="1469"/>
      <c r="OPK45" s="1469"/>
      <c r="OPL45" s="1469"/>
      <c r="OPM45" s="1469"/>
      <c r="OPN45" s="1469"/>
      <c r="OPO45" s="1469"/>
      <c r="OPP45" s="1469"/>
      <c r="OPQ45" s="1469"/>
      <c r="OPR45" s="1469"/>
      <c r="OPS45" s="1469"/>
      <c r="OPT45" s="1469"/>
      <c r="OPU45" s="1469"/>
      <c r="OPV45" s="1469"/>
      <c r="OPW45" s="1469"/>
      <c r="OPX45" s="1469"/>
      <c r="OPY45" s="1469"/>
      <c r="OPZ45" s="1469"/>
      <c r="OQA45" s="1469"/>
      <c r="OQB45" s="1469"/>
      <c r="OQC45" s="1469"/>
      <c r="OQD45" s="1469"/>
      <c r="OQE45" s="1469"/>
      <c r="OQF45" s="1469"/>
      <c r="OQG45" s="1469"/>
      <c r="OQH45" s="1469"/>
      <c r="OQI45" s="1469"/>
      <c r="OQJ45" s="1469"/>
      <c r="OQK45" s="1469"/>
      <c r="OQL45" s="1469"/>
      <c r="OQM45" s="1469"/>
      <c r="OQN45" s="1469"/>
      <c r="OQO45" s="1469"/>
      <c r="OQP45" s="1469"/>
      <c r="OQQ45" s="1469"/>
      <c r="OQR45" s="1469"/>
      <c r="OQS45" s="1469"/>
      <c r="OQT45" s="1469"/>
      <c r="OQU45" s="1469"/>
      <c r="OQV45" s="1469"/>
      <c r="OQW45" s="1469"/>
      <c r="OQX45" s="1469"/>
      <c r="OQY45" s="1469"/>
      <c r="OQZ45" s="1469"/>
      <c r="ORA45" s="1469"/>
      <c r="ORB45" s="1469"/>
      <c r="ORC45" s="1469"/>
      <c r="ORD45" s="1469"/>
      <c r="ORE45" s="1469"/>
      <c r="ORF45" s="1469"/>
      <c r="ORG45" s="1469"/>
      <c r="ORH45" s="1469"/>
      <c r="ORI45" s="1469"/>
      <c r="ORJ45" s="1469"/>
      <c r="ORK45" s="1469"/>
      <c r="ORL45" s="1469"/>
      <c r="ORM45" s="1469"/>
      <c r="ORN45" s="1469"/>
      <c r="ORO45" s="1469"/>
      <c r="ORP45" s="1469"/>
      <c r="ORQ45" s="1469"/>
      <c r="ORR45" s="1469"/>
      <c r="ORS45" s="1469"/>
      <c r="ORT45" s="1469"/>
      <c r="ORU45" s="1469"/>
      <c r="ORV45" s="1469"/>
      <c r="ORW45" s="1469"/>
      <c r="ORX45" s="1469"/>
      <c r="ORY45" s="1469"/>
      <c r="ORZ45" s="1469"/>
      <c r="OSA45" s="1469"/>
      <c r="OSB45" s="1469"/>
      <c r="OSC45" s="1469"/>
      <c r="OSD45" s="1469"/>
      <c r="OSE45" s="1469"/>
      <c r="OSF45" s="1469"/>
      <c r="OSG45" s="1469"/>
      <c r="OSH45" s="1469"/>
      <c r="OSI45" s="1469"/>
      <c r="OSJ45" s="1469"/>
      <c r="OSK45" s="1469"/>
      <c r="OSL45" s="1469"/>
      <c r="OSM45" s="1469"/>
      <c r="OSN45" s="1469"/>
      <c r="OSO45" s="1469"/>
      <c r="OSP45" s="1469"/>
      <c r="OSQ45" s="1469"/>
      <c r="OSR45" s="1469"/>
      <c r="OSS45" s="1469"/>
      <c r="OST45" s="1469"/>
      <c r="OSU45" s="1469"/>
      <c r="OSV45" s="1469"/>
      <c r="OSW45" s="1469"/>
      <c r="OSX45" s="1469"/>
      <c r="OSY45" s="1469"/>
      <c r="OSZ45" s="1469"/>
      <c r="OTA45" s="1469"/>
      <c r="OTB45" s="1469"/>
      <c r="OTC45" s="1469"/>
      <c r="OTD45" s="1469"/>
      <c r="OTE45" s="1469"/>
      <c r="OTF45" s="1469"/>
      <c r="OTG45" s="1469"/>
      <c r="OTH45" s="1469"/>
      <c r="OTI45" s="1469"/>
      <c r="OTJ45" s="1469"/>
      <c r="OTK45" s="1469"/>
      <c r="OTL45" s="1469"/>
      <c r="OTM45" s="1469"/>
      <c r="OTN45" s="1469"/>
      <c r="OTO45" s="1469"/>
      <c r="OTP45" s="1469"/>
      <c r="OTQ45" s="1469"/>
      <c r="OTR45" s="1469"/>
      <c r="OTS45" s="1469"/>
      <c r="OTT45" s="1469"/>
      <c r="OTU45" s="1469"/>
      <c r="OTV45" s="1469"/>
      <c r="OTW45" s="1469"/>
      <c r="OTX45" s="1469"/>
      <c r="OTY45" s="1469"/>
      <c r="OTZ45" s="1469"/>
      <c r="OUA45" s="1469"/>
      <c r="OUB45" s="1469"/>
      <c r="OUC45" s="1469"/>
      <c r="OUD45" s="1469"/>
      <c r="OUE45" s="1469"/>
      <c r="OUF45" s="1469"/>
      <c r="OUG45" s="1469"/>
      <c r="OUH45" s="1469"/>
      <c r="OUI45" s="1469"/>
      <c r="OUJ45" s="1469"/>
      <c r="OUK45" s="1469"/>
      <c r="OUL45" s="1469"/>
      <c r="OUM45" s="1469"/>
      <c r="OUN45" s="1469"/>
      <c r="OUO45" s="1469"/>
      <c r="OUP45" s="1469"/>
      <c r="OUQ45" s="1469"/>
      <c r="OUR45" s="1469"/>
      <c r="OUS45" s="1469"/>
      <c r="OUT45" s="1469"/>
      <c r="OUU45" s="1469"/>
      <c r="OUV45" s="1469"/>
      <c r="OUW45" s="1469"/>
      <c r="OUX45" s="1469"/>
      <c r="OUY45" s="1469"/>
      <c r="OUZ45" s="1469"/>
      <c r="OVA45" s="1469"/>
      <c r="OVB45" s="1469"/>
      <c r="OVC45" s="1469"/>
      <c r="OVD45" s="1469"/>
      <c r="OVE45" s="1469"/>
      <c r="OVF45" s="1469"/>
      <c r="OVG45" s="1469"/>
      <c r="OVH45" s="1469"/>
      <c r="OVI45" s="1469"/>
      <c r="OVJ45" s="1469"/>
      <c r="OVK45" s="1469"/>
      <c r="OVL45" s="1469"/>
      <c r="OVM45" s="1469"/>
      <c r="OVN45" s="1469"/>
      <c r="OVO45" s="1469"/>
      <c r="OVP45" s="1469"/>
      <c r="OVQ45" s="1469"/>
      <c r="OVR45" s="1469"/>
      <c r="OVS45" s="1469"/>
      <c r="OVT45" s="1469"/>
      <c r="OVU45" s="1469"/>
      <c r="OVV45" s="1469"/>
      <c r="OVW45" s="1469"/>
      <c r="OVX45" s="1469"/>
      <c r="OVY45" s="1469"/>
      <c r="OVZ45" s="1469"/>
      <c r="OWA45" s="1469"/>
      <c r="OWB45" s="1469"/>
      <c r="OWC45" s="1469"/>
      <c r="OWD45" s="1469"/>
      <c r="OWE45" s="1469"/>
      <c r="OWF45" s="1469"/>
      <c r="OWG45" s="1469"/>
      <c r="OWH45" s="1469"/>
      <c r="OWI45" s="1469"/>
      <c r="OWJ45" s="1469"/>
      <c r="OWK45" s="1469"/>
      <c r="OWL45" s="1469"/>
      <c r="OWM45" s="1469"/>
      <c r="OWN45" s="1469"/>
      <c r="OWO45" s="1469"/>
      <c r="OWP45" s="1469"/>
      <c r="OWQ45" s="1469"/>
      <c r="OWR45" s="1469"/>
      <c r="OWS45" s="1469"/>
      <c r="OWT45" s="1469"/>
      <c r="OWU45" s="1469"/>
      <c r="OWV45" s="1469"/>
      <c r="OWW45" s="1469"/>
      <c r="OWX45" s="1469"/>
      <c r="OWY45" s="1469"/>
      <c r="OWZ45" s="1469"/>
      <c r="OXA45" s="1469"/>
      <c r="OXB45" s="1469"/>
      <c r="OXC45" s="1469"/>
      <c r="OXD45" s="1469"/>
      <c r="OXE45" s="1469"/>
      <c r="OXF45" s="1469"/>
      <c r="OXG45" s="1469"/>
      <c r="OXH45" s="1469"/>
      <c r="OXI45" s="1469"/>
      <c r="OXJ45" s="1469"/>
      <c r="OXK45" s="1469"/>
      <c r="OXL45" s="1469"/>
      <c r="OXM45" s="1469"/>
      <c r="OXN45" s="1469"/>
      <c r="OXO45" s="1469"/>
      <c r="OXP45" s="1469"/>
      <c r="OXQ45" s="1469"/>
      <c r="OXR45" s="1469"/>
      <c r="OXS45" s="1469"/>
      <c r="OXT45" s="1469"/>
      <c r="OXU45" s="1469"/>
      <c r="OXV45" s="1469"/>
      <c r="OXW45" s="1469"/>
      <c r="OXX45" s="1469"/>
      <c r="OXY45" s="1469"/>
      <c r="OXZ45" s="1469"/>
      <c r="OYA45" s="1469"/>
      <c r="OYB45" s="1469"/>
      <c r="OYC45" s="1469"/>
      <c r="OYD45" s="1469"/>
      <c r="OYE45" s="1469"/>
      <c r="OYF45" s="1469"/>
      <c r="OYG45" s="1469"/>
      <c r="OYH45" s="1469"/>
      <c r="OYI45" s="1469"/>
      <c r="OYJ45" s="1469"/>
      <c r="OYK45" s="1469"/>
      <c r="OYL45" s="1469"/>
      <c r="OYM45" s="1469"/>
      <c r="OYN45" s="1469"/>
      <c r="OYO45" s="1469"/>
      <c r="OYP45" s="1469"/>
      <c r="OYQ45" s="1469"/>
      <c r="OYR45" s="1469"/>
      <c r="OYS45" s="1469"/>
      <c r="OYT45" s="1469"/>
      <c r="OYU45" s="1469"/>
      <c r="OYV45" s="1469"/>
      <c r="OYW45" s="1469"/>
      <c r="OYX45" s="1469"/>
      <c r="OYY45" s="1469"/>
      <c r="OYZ45" s="1469"/>
      <c r="OZA45" s="1469"/>
      <c r="OZB45" s="1469"/>
      <c r="OZC45" s="1469"/>
      <c r="OZD45" s="1469"/>
      <c r="OZE45" s="1469"/>
      <c r="OZF45" s="1469"/>
      <c r="OZG45" s="1469"/>
      <c r="OZH45" s="1469"/>
      <c r="OZI45" s="1469"/>
      <c r="OZJ45" s="1469"/>
      <c r="OZK45" s="1469"/>
      <c r="OZL45" s="1469"/>
      <c r="OZM45" s="1469"/>
      <c r="OZN45" s="1469"/>
      <c r="OZO45" s="1469"/>
      <c r="OZP45" s="1469"/>
      <c r="OZQ45" s="1469"/>
      <c r="OZR45" s="1469"/>
      <c r="OZS45" s="1469"/>
      <c r="OZT45" s="1469"/>
      <c r="OZU45" s="1469"/>
      <c r="OZV45" s="1469"/>
      <c r="OZW45" s="1469"/>
      <c r="OZX45" s="1469"/>
      <c r="OZY45" s="1469"/>
      <c r="OZZ45" s="1469"/>
      <c r="PAA45" s="1469"/>
      <c r="PAB45" s="1469"/>
      <c r="PAC45" s="1469"/>
      <c r="PAD45" s="1469"/>
      <c r="PAE45" s="1469"/>
      <c r="PAF45" s="1469"/>
      <c r="PAG45" s="1469"/>
      <c r="PAH45" s="1469"/>
      <c r="PAI45" s="1469"/>
      <c r="PAJ45" s="1469"/>
      <c r="PAK45" s="1469"/>
      <c r="PAL45" s="1469"/>
      <c r="PAM45" s="1469"/>
      <c r="PAN45" s="1469"/>
      <c r="PAO45" s="1469"/>
      <c r="PAP45" s="1469"/>
      <c r="PAQ45" s="1469"/>
      <c r="PAR45" s="1469"/>
      <c r="PAS45" s="1469"/>
      <c r="PAT45" s="1469"/>
      <c r="PAU45" s="1469"/>
      <c r="PAV45" s="1469"/>
      <c r="PAW45" s="1469"/>
      <c r="PAX45" s="1469"/>
      <c r="PAY45" s="1469"/>
      <c r="PAZ45" s="1469"/>
      <c r="PBA45" s="1469"/>
      <c r="PBB45" s="1469"/>
      <c r="PBC45" s="1469"/>
      <c r="PBD45" s="1469"/>
      <c r="PBE45" s="1469"/>
      <c r="PBF45" s="1469"/>
      <c r="PBG45" s="1469"/>
      <c r="PBH45" s="1469"/>
      <c r="PBI45" s="1469"/>
      <c r="PBJ45" s="1469"/>
      <c r="PBK45" s="1469"/>
      <c r="PBL45" s="1469"/>
      <c r="PBM45" s="1469"/>
      <c r="PBN45" s="1469"/>
      <c r="PBO45" s="1469"/>
      <c r="PBP45" s="1469"/>
      <c r="PBQ45" s="1469"/>
      <c r="PBR45" s="1469"/>
      <c r="PBS45" s="1469"/>
      <c r="PBT45" s="1469"/>
      <c r="PBU45" s="1469"/>
      <c r="PBV45" s="1469"/>
      <c r="PBW45" s="1469"/>
      <c r="PBX45" s="1469"/>
      <c r="PBY45" s="1469"/>
      <c r="PBZ45" s="1469"/>
      <c r="PCA45" s="1469"/>
      <c r="PCB45" s="1469"/>
      <c r="PCC45" s="1469"/>
      <c r="PCD45" s="1469"/>
      <c r="PCE45" s="1469"/>
      <c r="PCF45" s="1469"/>
      <c r="PCG45" s="1469"/>
      <c r="PCH45" s="1469"/>
      <c r="PCI45" s="1469"/>
      <c r="PCJ45" s="1469"/>
      <c r="PCK45" s="1469"/>
      <c r="PCL45" s="1469"/>
      <c r="PCM45" s="1469"/>
      <c r="PCN45" s="1469"/>
      <c r="PCO45" s="1469"/>
      <c r="PCP45" s="1469"/>
      <c r="PCQ45" s="1469"/>
      <c r="PCR45" s="1469"/>
      <c r="PCS45" s="1469"/>
      <c r="PCT45" s="1469"/>
      <c r="PCU45" s="1469"/>
      <c r="PCV45" s="1469"/>
      <c r="PCW45" s="1469"/>
      <c r="PCX45" s="1469"/>
      <c r="PCY45" s="1469"/>
      <c r="PCZ45" s="1469"/>
      <c r="PDA45" s="1469"/>
      <c r="PDB45" s="1469"/>
      <c r="PDC45" s="1469"/>
      <c r="PDD45" s="1469"/>
      <c r="PDE45" s="1469"/>
      <c r="PDF45" s="1469"/>
      <c r="PDG45" s="1469"/>
      <c r="PDH45" s="1469"/>
      <c r="PDI45" s="1469"/>
      <c r="PDJ45" s="1469"/>
      <c r="PDK45" s="1469"/>
      <c r="PDL45" s="1469"/>
      <c r="PDM45" s="1469"/>
      <c r="PDN45" s="1469"/>
      <c r="PDO45" s="1469"/>
      <c r="PDP45" s="1469"/>
      <c r="PDQ45" s="1469"/>
      <c r="PDR45" s="1469"/>
      <c r="PDS45" s="1469"/>
      <c r="PDT45" s="1469"/>
      <c r="PDU45" s="1469"/>
      <c r="PDV45" s="1469"/>
      <c r="PDW45" s="1469"/>
      <c r="PDX45" s="1469"/>
      <c r="PDY45" s="1469"/>
      <c r="PDZ45" s="1469"/>
      <c r="PEA45" s="1469"/>
      <c r="PEB45" s="1469"/>
      <c r="PEC45" s="1469"/>
      <c r="PED45" s="1469"/>
      <c r="PEE45" s="1469"/>
      <c r="PEF45" s="1469"/>
      <c r="PEG45" s="1469"/>
      <c r="PEH45" s="1469"/>
      <c r="PEI45" s="1469"/>
      <c r="PEJ45" s="1469"/>
      <c r="PEK45" s="1469"/>
      <c r="PEL45" s="1469"/>
      <c r="PEM45" s="1469"/>
      <c r="PEN45" s="1469"/>
      <c r="PEO45" s="1469"/>
      <c r="PEP45" s="1469"/>
      <c r="PEQ45" s="1469"/>
      <c r="PER45" s="1469"/>
      <c r="PES45" s="1469"/>
      <c r="PET45" s="1469"/>
      <c r="PEU45" s="1469"/>
      <c r="PEV45" s="1469"/>
      <c r="PEW45" s="1469"/>
      <c r="PEX45" s="1469"/>
      <c r="PEY45" s="1469"/>
      <c r="PEZ45" s="1469"/>
      <c r="PFA45" s="1469"/>
      <c r="PFB45" s="1469"/>
      <c r="PFC45" s="1469"/>
      <c r="PFD45" s="1469"/>
      <c r="PFE45" s="1469"/>
      <c r="PFF45" s="1469"/>
      <c r="PFG45" s="1469"/>
      <c r="PFH45" s="1469"/>
      <c r="PFI45" s="1469"/>
      <c r="PFJ45" s="1469"/>
      <c r="PFK45" s="1469"/>
      <c r="PFL45" s="1469"/>
      <c r="PFM45" s="1469"/>
      <c r="PFN45" s="1469"/>
      <c r="PFO45" s="1469"/>
      <c r="PFP45" s="1469"/>
      <c r="PFQ45" s="1469"/>
      <c r="PFR45" s="1469"/>
      <c r="PFS45" s="1469"/>
      <c r="PFT45" s="1469"/>
      <c r="PFU45" s="1469"/>
      <c r="PFV45" s="1469"/>
      <c r="PFW45" s="1469"/>
      <c r="PFX45" s="1469"/>
      <c r="PFY45" s="1469"/>
      <c r="PFZ45" s="1469"/>
      <c r="PGA45" s="1469"/>
      <c r="PGB45" s="1469"/>
      <c r="PGC45" s="1469"/>
      <c r="PGD45" s="1469"/>
      <c r="PGE45" s="1469"/>
      <c r="PGF45" s="1469"/>
      <c r="PGG45" s="1469"/>
      <c r="PGH45" s="1469"/>
      <c r="PGI45" s="1469"/>
      <c r="PGJ45" s="1469"/>
      <c r="PGK45" s="1469"/>
      <c r="PGL45" s="1469"/>
      <c r="PGM45" s="1469"/>
      <c r="PGN45" s="1469"/>
      <c r="PGO45" s="1469"/>
      <c r="PGP45" s="1469"/>
      <c r="PGQ45" s="1469"/>
      <c r="PGR45" s="1469"/>
      <c r="PGS45" s="1469"/>
      <c r="PGT45" s="1469"/>
      <c r="PGU45" s="1469"/>
      <c r="PGV45" s="1469"/>
      <c r="PGW45" s="1469"/>
      <c r="PGX45" s="1469"/>
      <c r="PGY45" s="1469"/>
      <c r="PGZ45" s="1469"/>
      <c r="PHA45" s="1469"/>
      <c r="PHB45" s="1469"/>
      <c r="PHC45" s="1469"/>
      <c r="PHD45" s="1469"/>
      <c r="PHE45" s="1469"/>
      <c r="PHF45" s="1469"/>
      <c r="PHG45" s="1469"/>
      <c r="PHH45" s="1469"/>
      <c r="PHI45" s="1469"/>
      <c r="PHJ45" s="1469"/>
      <c r="PHK45" s="1469"/>
      <c r="PHL45" s="1469"/>
      <c r="PHM45" s="1469"/>
      <c r="PHN45" s="1469"/>
      <c r="PHO45" s="1469"/>
      <c r="PHP45" s="1469"/>
      <c r="PHQ45" s="1469"/>
      <c r="PHR45" s="1469"/>
      <c r="PHS45" s="1469"/>
      <c r="PHT45" s="1469"/>
      <c r="PHU45" s="1469"/>
      <c r="PHV45" s="1469"/>
      <c r="PHW45" s="1469"/>
      <c r="PHX45" s="1469"/>
      <c r="PHY45" s="1469"/>
      <c r="PHZ45" s="1469"/>
      <c r="PIA45" s="1469"/>
      <c r="PIB45" s="1469"/>
      <c r="PIC45" s="1469"/>
      <c r="PID45" s="1469"/>
      <c r="PIE45" s="1469"/>
      <c r="PIF45" s="1469"/>
      <c r="PIG45" s="1469"/>
      <c r="PIH45" s="1469"/>
      <c r="PII45" s="1469"/>
      <c r="PIJ45" s="1469"/>
      <c r="PIK45" s="1469"/>
      <c r="PIL45" s="1469"/>
      <c r="PIM45" s="1469"/>
      <c r="PIN45" s="1469"/>
      <c r="PIO45" s="1469"/>
      <c r="PIP45" s="1469"/>
      <c r="PIQ45" s="1469"/>
      <c r="PIR45" s="1469"/>
      <c r="PIS45" s="1469"/>
      <c r="PIT45" s="1469"/>
      <c r="PIU45" s="1469"/>
      <c r="PIV45" s="1469"/>
      <c r="PIW45" s="1469"/>
      <c r="PIX45" s="1469"/>
      <c r="PIY45" s="1469"/>
      <c r="PIZ45" s="1469"/>
      <c r="PJA45" s="1469"/>
      <c r="PJB45" s="1469"/>
      <c r="PJC45" s="1469"/>
      <c r="PJD45" s="1469"/>
      <c r="PJE45" s="1469"/>
      <c r="PJF45" s="1469"/>
      <c r="PJG45" s="1469"/>
      <c r="PJH45" s="1469"/>
      <c r="PJI45" s="1469"/>
      <c r="PJJ45" s="1469"/>
      <c r="PJK45" s="1469"/>
      <c r="PJL45" s="1469"/>
      <c r="PJM45" s="1469"/>
      <c r="PJN45" s="1469"/>
      <c r="PJO45" s="1469"/>
      <c r="PJP45" s="1469"/>
      <c r="PJQ45" s="1469"/>
      <c r="PJR45" s="1469"/>
      <c r="PJS45" s="1469"/>
      <c r="PJT45" s="1469"/>
      <c r="PJU45" s="1469"/>
      <c r="PJV45" s="1469"/>
      <c r="PJW45" s="1469"/>
      <c r="PJX45" s="1469"/>
      <c r="PJY45" s="1469"/>
      <c r="PJZ45" s="1469"/>
      <c r="PKA45" s="1469"/>
      <c r="PKB45" s="1469"/>
      <c r="PKC45" s="1469"/>
      <c r="PKD45" s="1469"/>
      <c r="PKE45" s="1469"/>
      <c r="PKF45" s="1469"/>
      <c r="PKG45" s="1469"/>
      <c r="PKH45" s="1469"/>
      <c r="PKI45" s="1469"/>
      <c r="PKJ45" s="1469"/>
      <c r="PKK45" s="1469"/>
      <c r="PKL45" s="1469"/>
      <c r="PKM45" s="1469"/>
      <c r="PKN45" s="1469"/>
      <c r="PKO45" s="1469"/>
      <c r="PKP45" s="1469"/>
      <c r="PKQ45" s="1469"/>
      <c r="PKR45" s="1469"/>
      <c r="PKS45" s="1469"/>
      <c r="PKT45" s="1469"/>
      <c r="PKU45" s="1469"/>
      <c r="PKV45" s="1469"/>
      <c r="PKW45" s="1469"/>
      <c r="PKX45" s="1469"/>
      <c r="PKY45" s="1469"/>
      <c r="PKZ45" s="1469"/>
      <c r="PLA45" s="1469"/>
      <c r="PLB45" s="1469"/>
      <c r="PLC45" s="1469"/>
      <c r="PLD45" s="1469"/>
      <c r="PLE45" s="1469"/>
      <c r="PLF45" s="1469"/>
      <c r="PLG45" s="1469"/>
      <c r="PLH45" s="1469"/>
      <c r="PLI45" s="1469"/>
      <c r="PLJ45" s="1469"/>
      <c r="PLK45" s="1469"/>
      <c r="PLL45" s="1469"/>
      <c r="PLM45" s="1469"/>
      <c r="PLN45" s="1469"/>
      <c r="PLO45" s="1469"/>
      <c r="PLP45" s="1469"/>
      <c r="PLQ45" s="1469"/>
      <c r="PLR45" s="1469"/>
      <c r="PLS45" s="1469"/>
      <c r="PLT45" s="1469"/>
      <c r="PLU45" s="1469"/>
      <c r="PLV45" s="1469"/>
      <c r="PLW45" s="1469"/>
      <c r="PLX45" s="1469"/>
      <c r="PLY45" s="1469"/>
      <c r="PLZ45" s="1469"/>
      <c r="PMA45" s="1469"/>
      <c r="PMB45" s="1469"/>
      <c r="PMC45" s="1469"/>
      <c r="PMD45" s="1469"/>
      <c r="PME45" s="1469"/>
      <c r="PMF45" s="1469"/>
      <c r="PMG45" s="1469"/>
      <c r="PMH45" s="1469"/>
      <c r="PMI45" s="1469"/>
      <c r="PMJ45" s="1469"/>
      <c r="PMK45" s="1469"/>
      <c r="PML45" s="1469"/>
      <c r="PMM45" s="1469"/>
      <c r="PMN45" s="1469"/>
      <c r="PMO45" s="1469"/>
      <c r="PMP45" s="1469"/>
      <c r="PMQ45" s="1469"/>
      <c r="PMR45" s="1469"/>
      <c r="PMS45" s="1469"/>
      <c r="PMT45" s="1469"/>
      <c r="PMU45" s="1469"/>
      <c r="PMV45" s="1469"/>
      <c r="PMW45" s="1469"/>
      <c r="PMX45" s="1469"/>
      <c r="PMY45" s="1469"/>
      <c r="PMZ45" s="1469"/>
      <c r="PNA45" s="1469"/>
      <c r="PNB45" s="1469"/>
      <c r="PNC45" s="1469"/>
      <c r="PND45" s="1469"/>
      <c r="PNE45" s="1469"/>
      <c r="PNF45" s="1469"/>
      <c r="PNG45" s="1469"/>
      <c r="PNH45" s="1469"/>
      <c r="PNI45" s="1469"/>
      <c r="PNJ45" s="1469"/>
      <c r="PNK45" s="1469"/>
      <c r="PNL45" s="1469"/>
      <c r="PNM45" s="1469"/>
      <c r="PNN45" s="1469"/>
      <c r="PNO45" s="1469"/>
      <c r="PNP45" s="1469"/>
      <c r="PNQ45" s="1469"/>
      <c r="PNR45" s="1469"/>
      <c r="PNS45" s="1469"/>
      <c r="PNT45" s="1469"/>
      <c r="PNU45" s="1469"/>
      <c r="PNV45" s="1469"/>
      <c r="PNW45" s="1469"/>
      <c r="PNX45" s="1469"/>
      <c r="PNY45" s="1469"/>
      <c r="PNZ45" s="1469"/>
      <c r="POA45" s="1469"/>
      <c r="POB45" s="1469"/>
      <c r="POC45" s="1469"/>
      <c r="POD45" s="1469"/>
      <c r="POE45" s="1469"/>
      <c r="POF45" s="1469"/>
      <c r="POG45" s="1469"/>
      <c r="POH45" s="1469"/>
      <c r="POI45" s="1469"/>
      <c r="POJ45" s="1469"/>
      <c r="POK45" s="1469"/>
      <c r="POL45" s="1469"/>
      <c r="POM45" s="1469"/>
      <c r="PON45" s="1469"/>
      <c r="POO45" s="1469"/>
      <c r="POP45" s="1469"/>
      <c r="POQ45" s="1469"/>
      <c r="POR45" s="1469"/>
      <c r="POS45" s="1469"/>
      <c r="POT45" s="1469"/>
      <c r="POU45" s="1469"/>
      <c r="POV45" s="1469"/>
      <c r="POW45" s="1469"/>
      <c r="POX45" s="1469"/>
      <c r="POY45" s="1469"/>
      <c r="POZ45" s="1469"/>
      <c r="PPA45" s="1469"/>
      <c r="PPB45" s="1469"/>
      <c r="PPC45" s="1469"/>
      <c r="PPD45" s="1469"/>
      <c r="PPE45" s="1469"/>
      <c r="PPF45" s="1469"/>
      <c r="PPG45" s="1469"/>
      <c r="PPH45" s="1469"/>
      <c r="PPI45" s="1469"/>
      <c r="PPJ45" s="1469"/>
      <c r="PPK45" s="1469"/>
      <c r="PPL45" s="1469"/>
      <c r="PPM45" s="1469"/>
      <c r="PPN45" s="1469"/>
      <c r="PPO45" s="1469"/>
      <c r="PPP45" s="1469"/>
      <c r="PPQ45" s="1469"/>
      <c r="PPR45" s="1469"/>
      <c r="PPS45" s="1469"/>
      <c r="PPT45" s="1469"/>
      <c r="PPU45" s="1469"/>
      <c r="PPV45" s="1469"/>
      <c r="PPW45" s="1469"/>
      <c r="PPX45" s="1469"/>
      <c r="PPY45" s="1469"/>
      <c r="PPZ45" s="1469"/>
      <c r="PQA45" s="1469"/>
      <c r="PQB45" s="1469"/>
      <c r="PQC45" s="1469"/>
      <c r="PQD45" s="1469"/>
      <c r="PQE45" s="1469"/>
      <c r="PQF45" s="1469"/>
      <c r="PQG45" s="1469"/>
      <c r="PQH45" s="1469"/>
      <c r="PQI45" s="1469"/>
      <c r="PQJ45" s="1469"/>
      <c r="PQK45" s="1469"/>
      <c r="PQL45" s="1469"/>
      <c r="PQM45" s="1469"/>
      <c r="PQN45" s="1469"/>
      <c r="PQO45" s="1469"/>
      <c r="PQP45" s="1469"/>
      <c r="PQQ45" s="1469"/>
      <c r="PQR45" s="1469"/>
      <c r="PQS45" s="1469"/>
      <c r="PQT45" s="1469"/>
      <c r="PQU45" s="1469"/>
      <c r="PQV45" s="1469"/>
      <c r="PQW45" s="1469"/>
      <c r="PQX45" s="1469"/>
      <c r="PQY45" s="1469"/>
      <c r="PQZ45" s="1469"/>
      <c r="PRA45" s="1469"/>
      <c r="PRB45" s="1469"/>
      <c r="PRC45" s="1469"/>
      <c r="PRD45" s="1469"/>
      <c r="PRE45" s="1469"/>
      <c r="PRF45" s="1469"/>
      <c r="PRG45" s="1469"/>
      <c r="PRH45" s="1469"/>
      <c r="PRI45" s="1469"/>
      <c r="PRJ45" s="1469"/>
      <c r="PRK45" s="1469"/>
      <c r="PRL45" s="1469"/>
      <c r="PRM45" s="1469"/>
      <c r="PRN45" s="1469"/>
      <c r="PRO45" s="1469"/>
      <c r="PRP45" s="1469"/>
      <c r="PRQ45" s="1469"/>
      <c r="PRR45" s="1469"/>
      <c r="PRS45" s="1469"/>
      <c r="PRT45" s="1469"/>
      <c r="PRU45" s="1469"/>
      <c r="PRV45" s="1469"/>
      <c r="PRW45" s="1469"/>
      <c r="PRX45" s="1469"/>
      <c r="PRY45" s="1469"/>
      <c r="PRZ45" s="1469"/>
      <c r="PSA45" s="1469"/>
      <c r="PSB45" s="1469"/>
      <c r="PSC45" s="1469"/>
      <c r="PSD45" s="1469"/>
      <c r="PSE45" s="1469"/>
      <c r="PSF45" s="1469"/>
      <c r="PSG45" s="1469"/>
      <c r="PSH45" s="1469"/>
      <c r="PSI45" s="1469"/>
      <c r="PSJ45" s="1469"/>
      <c r="PSK45" s="1469"/>
      <c r="PSL45" s="1469"/>
      <c r="PSM45" s="1469"/>
      <c r="PSN45" s="1469"/>
      <c r="PSO45" s="1469"/>
      <c r="PSP45" s="1469"/>
      <c r="PSQ45" s="1469"/>
      <c r="PSR45" s="1469"/>
      <c r="PSS45" s="1469"/>
      <c r="PST45" s="1469"/>
      <c r="PSU45" s="1469"/>
      <c r="PSV45" s="1469"/>
      <c r="PSW45" s="1469"/>
      <c r="PSX45" s="1469"/>
      <c r="PSY45" s="1469"/>
      <c r="PSZ45" s="1469"/>
      <c r="PTA45" s="1469"/>
      <c r="PTB45" s="1469"/>
      <c r="PTC45" s="1469"/>
      <c r="PTD45" s="1469"/>
      <c r="PTE45" s="1469"/>
      <c r="PTF45" s="1469"/>
      <c r="PTG45" s="1469"/>
      <c r="PTH45" s="1469"/>
      <c r="PTI45" s="1469"/>
      <c r="PTJ45" s="1469"/>
      <c r="PTK45" s="1469"/>
      <c r="PTL45" s="1469"/>
      <c r="PTM45" s="1469"/>
      <c r="PTN45" s="1469"/>
      <c r="PTO45" s="1469"/>
      <c r="PTP45" s="1469"/>
      <c r="PTQ45" s="1469"/>
      <c r="PTR45" s="1469"/>
      <c r="PTS45" s="1469"/>
      <c r="PTT45" s="1469"/>
      <c r="PTU45" s="1469"/>
      <c r="PTV45" s="1469"/>
      <c r="PTW45" s="1469"/>
      <c r="PTX45" s="1469"/>
      <c r="PTY45" s="1469"/>
      <c r="PTZ45" s="1469"/>
      <c r="PUA45" s="1469"/>
      <c r="PUB45" s="1469"/>
      <c r="PUC45" s="1469"/>
      <c r="PUD45" s="1469"/>
      <c r="PUE45" s="1469"/>
      <c r="PUF45" s="1469"/>
      <c r="PUG45" s="1469"/>
      <c r="PUH45" s="1469"/>
      <c r="PUI45" s="1469"/>
      <c r="PUJ45" s="1469"/>
      <c r="PUK45" s="1469"/>
      <c r="PUL45" s="1469"/>
      <c r="PUM45" s="1469"/>
      <c r="PUN45" s="1469"/>
      <c r="PUO45" s="1469"/>
      <c r="PUP45" s="1469"/>
      <c r="PUQ45" s="1469"/>
      <c r="PUR45" s="1469"/>
      <c r="PUS45" s="1469"/>
      <c r="PUT45" s="1469"/>
      <c r="PUU45" s="1469"/>
      <c r="PUV45" s="1469"/>
      <c r="PUW45" s="1469"/>
      <c r="PUX45" s="1469"/>
      <c r="PUY45" s="1469"/>
      <c r="PUZ45" s="1469"/>
      <c r="PVA45" s="1469"/>
      <c r="PVB45" s="1469"/>
      <c r="PVC45" s="1469"/>
      <c r="PVD45" s="1469"/>
      <c r="PVE45" s="1469"/>
      <c r="PVF45" s="1469"/>
      <c r="PVG45" s="1469"/>
      <c r="PVH45" s="1469"/>
      <c r="PVI45" s="1469"/>
      <c r="PVJ45" s="1469"/>
      <c r="PVK45" s="1469"/>
      <c r="PVL45" s="1469"/>
      <c r="PVM45" s="1469"/>
      <c r="PVN45" s="1469"/>
      <c r="PVO45" s="1469"/>
      <c r="PVP45" s="1469"/>
      <c r="PVQ45" s="1469"/>
      <c r="PVR45" s="1469"/>
      <c r="PVS45" s="1469"/>
      <c r="PVT45" s="1469"/>
      <c r="PVU45" s="1469"/>
      <c r="PVV45" s="1469"/>
      <c r="PVW45" s="1469"/>
      <c r="PVX45" s="1469"/>
      <c r="PVY45" s="1469"/>
      <c r="PVZ45" s="1469"/>
      <c r="PWA45" s="1469"/>
      <c r="PWB45" s="1469"/>
      <c r="PWC45" s="1469"/>
      <c r="PWD45" s="1469"/>
      <c r="PWE45" s="1469"/>
      <c r="PWF45" s="1469"/>
      <c r="PWG45" s="1469"/>
      <c r="PWH45" s="1469"/>
      <c r="PWI45" s="1469"/>
      <c r="PWJ45" s="1469"/>
      <c r="PWK45" s="1469"/>
      <c r="PWL45" s="1469"/>
      <c r="PWM45" s="1469"/>
      <c r="PWN45" s="1469"/>
      <c r="PWO45" s="1469"/>
      <c r="PWP45" s="1469"/>
      <c r="PWQ45" s="1469"/>
      <c r="PWR45" s="1469"/>
      <c r="PWS45" s="1469"/>
      <c r="PWT45" s="1469"/>
      <c r="PWU45" s="1469"/>
      <c r="PWV45" s="1469"/>
      <c r="PWW45" s="1469"/>
      <c r="PWX45" s="1469"/>
      <c r="PWY45" s="1469"/>
      <c r="PWZ45" s="1469"/>
      <c r="PXA45" s="1469"/>
      <c r="PXB45" s="1469"/>
      <c r="PXC45" s="1469"/>
      <c r="PXD45" s="1469"/>
      <c r="PXE45" s="1469"/>
      <c r="PXF45" s="1469"/>
      <c r="PXG45" s="1469"/>
      <c r="PXH45" s="1469"/>
      <c r="PXI45" s="1469"/>
      <c r="PXJ45" s="1469"/>
      <c r="PXK45" s="1469"/>
      <c r="PXL45" s="1469"/>
      <c r="PXM45" s="1469"/>
      <c r="PXN45" s="1469"/>
      <c r="PXO45" s="1469"/>
      <c r="PXP45" s="1469"/>
      <c r="PXQ45" s="1469"/>
      <c r="PXR45" s="1469"/>
      <c r="PXS45" s="1469"/>
      <c r="PXT45" s="1469"/>
      <c r="PXU45" s="1469"/>
      <c r="PXV45" s="1469"/>
      <c r="PXW45" s="1469"/>
      <c r="PXX45" s="1469"/>
      <c r="PXY45" s="1469"/>
      <c r="PXZ45" s="1469"/>
      <c r="PYA45" s="1469"/>
      <c r="PYB45" s="1469"/>
      <c r="PYC45" s="1469"/>
      <c r="PYD45" s="1469"/>
      <c r="PYE45" s="1469"/>
      <c r="PYF45" s="1469"/>
      <c r="PYG45" s="1469"/>
      <c r="PYH45" s="1469"/>
      <c r="PYI45" s="1469"/>
      <c r="PYJ45" s="1469"/>
      <c r="PYK45" s="1469"/>
      <c r="PYL45" s="1469"/>
      <c r="PYM45" s="1469"/>
      <c r="PYN45" s="1469"/>
      <c r="PYO45" s="1469"/>
      <c r="PYP45" s="1469"/>
      <c r="PYQ45" s="1469"/>
      <c r="PYR45" s="1469"/>
      <c r="PYS45" s="1469"/>
      <c r="PYT45" s="1469"/>
      <c r="PYU45" s="1469"/>
      <c r="PYV45" s="1469"/>
      <c r="PYW45" s="1469"/>
      <c r="PYX45" s="1469"/>
      <c r="PYY45" s="1469"/>
      <c r="PYZ45" s="1469"/>
      <c r="PZA45" s="1469"/>
      <c r="PZB45" s="1469"/>
      <c r="PZC45" s="1469"/>
      <c r="PZD45" s="1469"/>
      <c r="PZE45" s="1469"/>
      <c r="PZF45" s="1469"/>
      <c r="PZG45" s="1469"/>
      <c r="PZH45" s="1469"/>
      <c r="PZI45" s="1469"/>
      <c r="PZJ45" s="1469"/>
      <c r="PZK45" s="1469"/>
      <c r="PZL45" s="1469"/>
      <c r="PZM45" s="1469"/>
      <c r="PZN45" s="1469"/>
      <c r="PZO45" s="1469"/>
      <c r="PZP45" s="1469"/>
      <c r="PZQ45" s="1469"/>
      <c r="PZR45" s="1469"/>
      <c r="PZS45" s="1469"/>
      <c r="PZT45" s="1469"/>
      <c r="PZU45" s="1469"/>
      <c r="PZV45" s="1469"/>
      <c r="PZW45" s="1469"/>
      <c r="PZX45" s="1469"/>
      <c r="PZY45" s="1469"/>
      <c r="PZZ45" s="1469"/>
      <c r="QAA45" s="1469"/>
      <c r="QAB45" s="1469"/>
      <c r="QAC45" s="1469"/>
      <c r="QAD45" s="1469"/>
      <c r="QAE45" s="1469"/>
      <c r="QAF45" s="1469"/>
      <c r="QAG45" s="1469"/>
      <c r="QAH45" s="1469"/>
      <c r="QAI45" s="1469"/>
      <c r="QAJ45" s="1469"/>
      <c r="QAK45" s="1469"/>
      <c r="QAL45" s="1469"/>
      <c r="QAM45" s="1469"/>
      <c r="QAN45" s="1469"/>
      <c r="QAO45" s="1469"/>
      <c r="QAP45" s="1469"/>
      <c r="QAQ45" s="1469"/>
      <c r="QAR45" s="1469"/>
      <c r="QAS45" s="1469"/>
      <c r="QAT45" s="1469"/>
      <c r="QAU45" s="1469"/>
      <c r="QAV45" s="1469"/>
      <c r="QAW45" s="1469"/>
      <c r="QAX45" s="1469"/>
      <c r="QAY45" s="1469"/>
      <c r="QAZ45" s="1469"/>
      <c r="QBA45" s="1469"/>
      <c r="QBB45" s="1469"/>
      <c r="QBC45" s="1469"/>
      <c r="QBD45" s="1469"/>
      <c r="QBE45" s="1469"/>
      <c r="QBF45" s="1469"/>
      <c r="QBG45" s="1469"/>
      <c r="QBH45" s="1469"/>
      <c r="QBI45" s="1469"/>
      <c r="QBJ45" s="1469"/>
      <c r="QBK45" s="1469"/>
      <c r="QBL45" s="1469"/>
      <c r="QBM45" s="1469"/>
      <c r="QBN45" s="1469"/>
      <c r="QBO45" s="1469"/>
      <c r="QBP45" s="1469"/>
      <c r="QBQ45" s="1469"/>
      <c r="QBR45" s="1469"/>
      <c r="QBS45" s="1469"/>
      <c r="QBT45" s="1469"/>
      <c r="QBU45" s="1469"/>
      <c r="QBV45" s="1469"/>
      <c r="QBW45" s="1469"/>
      <c r="QBX45" s="1469"/>
      <c r="QBY45" s="1469"/>
      <c r="QBZ45" s="1469"/>
      <c r="QCA45" s="1469"/>
      <c r="QCB45" s="1469"/>
      <c r="QCC45" s="1469"/>
      <c r="QCD45" s="1469"/>
      <c r="QCE45" s="1469"/>
      <c r="QCF45" s="1469"/>
      <c r="QCG45" s="1469"/>
      <c r="QCH45" s="1469"/>
      <c r="QCI45" s="1469"/>
      <c r="QCJ45" s="1469"/>
      <c r="QCK45" s="1469"/>
      <c r="QCL45" s="1469"/>
      <c r="QCM45" s="1469"/>
      <c r="QCN45" s="1469"/>
      <c r="QCO45" s="1469"/>
      <c r="QCP45" s="1469"/>
      <c r="QCQ45" s="1469"/>
      <c r="QCR45" s="1469"/>
      <c r="QCS45" s="1469"/>
      <c r="QCT45" s="1469"/>
      <c r="QCU45" s="1469"/>
      <c r="QCV45" s="1469"/>
      <c r="QCW45" s="1469"/>
      <c r="QCX45" s="1469"/>
      <c r="QCY45" s="1469"/>
      <c r="QCZ45" s="1469"/>
      <c r="QDA45" s="1469"/>
      <c r="QDB45" s="1469"/>
      <c r="QDC45" s="1469"/>
      <c r="QDD45" s="1469"/>
      <c r="QDE45" s="1469"/>
      <c r="QDF45" s="1469"/>
      <c r="QDG45" s="1469"/>
      <c r="QDH45" s="1469"/>
      <c r="QDI45" s="1469"/>
      <c r="QDJ45" s="1469"/>
      <c r="QDK45" s="1469"/>
      <c r="QDL45" s="1469"/>
      <c r="QDM45" s="1469"/>
      <c r="QDN45" s="1469"/>
      <c r="QDO45" s="1469"/>
      <c r="QDP45" s="1469"/>
      <c r="QDQ45" s="1469"/>
      <c r="QDR45" s="1469"/>
      <c r="QDS45" s="1469"/>
      <c r="QDT45" s="1469"/>
      <c r="QDU45" s="1469"/>
      <c r="QDV45" s="1469"/>
      <c r="QDW45" s="1469"/>
      <c r="QDX45" s="1469"/>
      <c r="QDY45" s="1469"/>
      <c r="QDZ45" s="1469"/>
      <c r="QEA45" s="1469"/>
      <c r="QEB45" s="1469"/>
      <c r="QEC45" s="1469"/>
      <c r="QED45" s="1469"/>
      <c r="QEE45" s="1469"/>
      <c r="QEF45" s="1469"/>
      <c r="QEG45" s="1469"/>
      <c r="QEH45" s="1469"/>
      <c r="QEI45" s="1469"/>
      <c r="QEJ45" s="1469"/>
      <c r="QEK45" s="1469"/>
      <c r="QEL45" s="1469"/>
      <c r="QEM45" s="1469"/>
      <c r="QEN45" s="1469"/>
      <c r="QEO45" s="1469"/>
      <c r="QEP45" s="1469"/>
      <c r="QEQ45" s="1469"/>
      <c r="QER45" s="1469"/>
      <c r="QES45" s="1469"/>
      <c r="QET45" s="1469"/>
      <c r="QEU45" s="1469"/>
      <c r="QEV45" s="1469"/>
      <c r="QEW45" s="1469"/>
      <c r="QEX45" s="1469"/>
      <c r="QEY45" s="1469"/>
      <c r="QEZ45" s="1469"/>
      <c r="QFA45" s="1469"/>
      <c r="QFB45" s="1469"/>
      <c r="QFC45" s="1469"/>
      <c r="QFD45" s="1469"/>
      <c r="QFE45" s="1469"/>
      <c r="QFF45" s="1469"/>
      <c r="QFG45" s="1469"/>
      <c r="QFH45" s="1469"/>
      <c r="QFI45" s="1469"/>
      <c r="QFJ45" s="1469"/>
      <c r="QFK45" s="1469"/>
      <c r="QFL45" s="1469"/>
      <c r="QFM45" s="1469"/>
      <c r="QFN45" s="1469"/>
      <c r="QFO45" s="1469"/>
      <c r="QFP45" s="1469"/>
      <c r="QFQ45" s="1469"/>
      <c r="QFR45" s="1469"/>
      <c r="QFS45" s="1469"/>
      <c r="QFT45" s="1469"/>
      <c r="QFU45" s="1469"/>
      <c r="QFV45" s="1469"/>
      <c r="QFW45" s="1469"/>
      <c r="QFX45" s="1469"/>
      <c r="QFY45" s="1469"/>
      <c r="QFZ45" s="1469"/>
      <c r="QGA45" s="1469"/>
      <c r="QGB45" s="1469"/>
      <c r="QGC45" s="1469"/>
      <c r="QGD45" s="1469"/>
      <c r="QGE45" s="1469"/>
      <c r="QGF45" s="1469"/>
      <c r="QGG45" s="1469"/>
      <c r="QGH45" s="1469"/>
      <c r="QGI45" s="1469"/>
      <c r="QGJ45" s="1469"/>
      <c r="QGK45" s="1469"/>
      <c r="QGL45" s="1469"/>
      <c r="QGM45" s="1469"/>
      <c r="QGN45" s="1469"/>
      <c r="QGO45" s="1469"/>
      <c r="QGP45" s="1469"/>
      <c r="QGQ45" s="1469"/>
      <c r="QGR45" s="1469"/>
      <c r="QGS45" s="1469"/>
      <c r="QGT45" s="1469"/>
      <c r="QGU45" s="1469"/>
      <c r="QGV45" s="1469"/>
      <c r="QGW45" s="1469"/>
      <c r="QGX45" s="1469"/>
      <c r="QGY45" s="1469"/>
      <c r="QGZ45" s="1469"/>
      <c r="QHA45" s="1469"/>
      <c r="QHB45" s="1469"/>
      <c r="QHC45" s="1469"/>
      <c r="QHD45" s="1469"/>
      <c r="QHE45" s="1469"/>
      <c r="QHF45" s="1469"/>
      <c r="QHG45" s="1469"/>
      <c r="QHH45" s="1469"/>
      <c r="QHI45" s="1469"/>
      <c r="QHJ45" s="1469"/>
      <c r="QHK45" s="1469"/>
      <c r="QHL45" s="1469"/>
      <c r="QHM45" s="1469"/>
      <c r="QHN45" s="1469"/>
      <c r="QHO45" s="1469"/>
      <c r="QHP45" s="1469"/>
      <c r="QHQ45" s="1469"/>
      <c r="QHR45" s="1469"/>
      <c r="QHS45" s="1469"/>
      <c r="QHT45" s="1469"/>
      <c r="QHU45" s="1469"/>
      <c r="QHV45" s="1469"/>
      <c r="QHW45" s="1469"/>
      <c r="QHX45" s="1469"/>
      <c r="QHY45" s="1469"/>
      <c r="QHZ45" s="1469"/>
      <c r="QIA45" s="1469"/>
      <c r="QIB45" s="1469"/>
      <c r="QIC45" s="1469"/>
      <c r="QID45" s="1469"/>
      <c r="QIE45" s="1469"/>
      <c r="QIF45" s="1469"/>
      <c r="QIG45" s="1469"/>
      <c r="QIH45" s="1469"/>
      <c r="QII45" s="1469"/>
      <c r="QIJ45" s="1469"/>
      <c r="QIK45" s="1469"/>
      <c r="QIL45" s="1469"/>
      <c r="QIM45" s="1469"/>
      <c r="QIN45" s="1469"/>
      <c r="QIO45" s="1469"/>
      <c r="QIP45" s="1469"/>
      <c r="QIQ45" s="1469"/>
      <c r="QIR45" s="1469"/>
      <c r="QIS45" s="1469"/>
      <c r="QIT45" s="1469"/>
      <c r="QIU45" s="1469"/>
      <c r="QIV45" s="1469"/>
      <c r="QIW45" s="1469"/>
      <c r="QIX45" s="1469"/>
      <c r="QIY45" s="1469"/>
      <c r="QIZ45" s="1469"/>
      <c r="QJA45" s="1469"/>
      <c r="QJB45" s="1469"/>
      <c r="QJC45" s="1469"/>
      <c r="QJD45" s="1469"/>
      <c r="QJE45" s="1469"/>
      <c r="QJF45" s="1469"/>
      <c r="QJG45" s="1469"/>
      <c r="QJH45" s="1469"/>
      <c r="QJI45" s="1469"/>
      <c r="QJJ45" s="1469"/>
      <c r="QJK45" s="1469"/>
      <c r="QJL45" s="1469"/>
      <c r="QJM45" s="1469"/>
      <c r="QJN45" s="1469"/>
      <c r="QJO45" s="1469"/>
      <c r="QJP45" s="1469"/>
      <c r="QJQ45" s="1469"/>
      <c r="QJR45" s="1469"/>
      <c r="QJS45" s="1469"/>
      <c r="QJT45" s="1469"/>
      <c r="QJU45" s="1469"/>
      <c r="QJV45" s="1469"/>
      <c r="QJW45" s="1469"/>
      <c r="QJX45" s="1469"/>
      <c r="QJY45" s="1469"/>
      <c r="QJZ45" s="1469"/>
      <c r="QKA45" s="1469"/>
      <c r="QKB45" s="1469"/>
      <c r="QKC45" s="1469"/>
      <c r="QKD45" s="1469"/>
      <c r="QKE45" s="1469"/>
      <c r="QKF45" s="1469"/>
      <c r="QKG45" s="1469"/>
      <c r="QKH45" s="1469"/>
      <c r="QKI45" s="1469"/>
      <c r="QKJ45" s="1469"/>
      <c r="QKK45" s="1469"/>
      <c r="QKL45" s="1469"/>
      <c r="QKM45" s="1469"/>
      <c r="QKN45" s="1469"/>
      <c r="QKO45" s="1469"/>
      <c r="QKP45" s="1469"/>
      <c r="QKQ45" s="1469"/>
      <c r="QKR45" s="1469"/>
      <c r="QKS45" s="1469"/>
      <c r="QKT45" s="1469"/>
      <c r="QKU45" s="1469"/>
      <c r="QKV45" s="1469"/>
      <c r="QKW45" s="1469"/>
      <c r="QKX45" s="1469"/>
      <c r="QKY45" s="1469"/>
      <c r="QKZ45" s="1469"/>
      <c r="QLA45" s="1469"/>
      <c r="QLB45" s="1469"/>
      <c r="QLC45" s="1469"/>
      <c r="QLD45" s="1469"/>
      <c r="QLE45" s="1469"/>
      <c r="QLF45" s="1469"/>
      <c r="QLG45" s="1469"/>
      <c r="QLH45" s="1469"/>
      <c r="QLI45" s="1469"/>
      <c r="QLJ45" s="1469"/>
      <c r="QLK45" s="1469"/>
      <c r="QLL45" s="1469"/>
      <c r="QLM45" s="1469"/>
      <c r="QLN45" s="1469"/>
      <c r="QLO45" s="1469"/>
      <c r="QLP45" s="1469"/>
      <c r="QLQ45" s="1469"/>
      <c r="QLR45" s="1469"/>
      <c r="QLS45" s="1469"/>
      <c r="QLT45" s="1469"/>
      <c r="QLU45" s="1469"/>
      <c r="QLV45" s="1469"/>
      <c r="QLW45" s="1469"/>
      <c r="QLX45" s="1469"/>
      <c r="QLY45" s="1469"/>
      <c r="QLZ45" s="1469"/>
      <c r="QMA45" s="1469"/>
      <c r="QMB45" s="1469"/>
      <c r="QMC45" s="1469"/>
      <c r="QMD45" s="1469"/>
      <c r="QME45" s="1469"/>
      <c r="QMF45" s="1469"/>
      <c r="QMG45" s="1469"/>
      <c r="QMH45" s="1469"/>
      <c r="QMI45" s="1469"/>
      <c r="QMJ45" s="1469"/>
      <c r="QMK45" s="1469"/>
      <c r="QML45" s="1469"/>
      <c r="QMM45" s="1469"/>
      <c r="QMN45" s="1469"/>
      <c r="QMO45" s="1469"/>
      <c r="QMP45" s="1469"/>
      <c r="QMQ45" s="1469"/>
      <c r="QMR45" s="1469"/>
      <c r="QMS45" s="1469"/>
      <c r="QMT45" s="1469"/>
      <c r="QMU45" s="1469"/>
      <c r="QMV45" s="1469"/>
      <c r="QMW45" s="1469"/>
      <c r="QMX45" s="1469"/>
      <c r="QMY45" s="1469"/>
      <c r="QMZ45" s="1469"/>
      <c r="QNA45" s="1469"/>
      <c r="QNB45" s="1469"/>
      <c r="QNC45" s="1469"/>
      <c r="QND45" s="1469"/>
      <c r="QNE45" s="1469"/>
      <c r="QNF45" s="1469"/>
      <c r="QNG45" s="1469"/>
      <c r="QNH45" s="1469"/>
      <c r="QNI45" s="1469"/>
      <c r="QNJ45" s="1469"/>
      <c r="QNK45" s="1469"/>
      <c r="QNL45" s="1469"/>
      <c r="QNM45" s="1469"/>
      <c r="QNN45" s="1469"/>
      <c r="QNO45" s="1469"/>
      <c r="QNP45" s="1469"/>
      <c r="QNQ45" s="1469"/>
      <c r="QNR45" s="1469"/>
      <c r="QNS45" s="1469"/>
      <c r="QNT45" s="1469"/>
      <c r="QNU45" s="1469"/>
      <c r="QNV45" s="1469"/>
      <c r="QNW45" s="1469"/>
      <c r="QNX45" s="1469"/>
      <c r="QNY45" s="1469"/>
      <c r="QNZ45" s="1469"/>
      <c r="QOA45" s="1469"/>
      <c r="QOB45" s="1469"/>
      <c r="QOC45" s="1469"/>
      <c r="QOD45" s="1469"/>
      <c r="QOE45" s="1469"/>
      <c r="QOF45" s="1469"/>
      <c r="QOG45" s="1469"/>
      <c r="QOH45" s="1469"/>
      <c r="QOI45" s="1469"/>
      <c r="QOJ45" s="1469"/>
      <c r="QOK45" s="1469"/>
      <c r="QOL45" s="1469"/>
      <c r="QOM45" s="1469"/>
      <c r="QON45" s="1469"/>
      <c r="QOO45" s="1469"/>
      <c r="QOP45" s="1469"/>
      <c r="QOQ45" s="1469"/>
      <c r="QOR45" s="1469"/>
      <c r="QOS45" s="1469"/>
      <c r="QOT45" s="1469"/>
      <c r="QOU45" s="1469"/>
      <c r="QOV45" s="1469"/>
      <c r="QOW45" s="1469"/>
      <c r="QOX45" s="1469"/>
      <c r="QOY45" s="1469"/>
      <c r="QOZ45" s="1469"/>
      <c r="QPA45" s="1469"/>
      <c r="QPB45" s="1469"/>
      <c r="QPC45" s="1469"/>
      <c r="QPD45" s="1469"/>
      <c r="QPE45" s="1469"/>
      <c r="QPF45" s="1469"/>
      <c r="QPG45" s="1469"/>
      <c r="QPH45" s="1469"/>
      <c r="QPI45" s="1469"/>
      <c r="QPJ45" s="1469"/>
      <c r="QPK45" s="1469"/>
      <c r="QPL45" s="1469"/>
      <c r="QPM45" s="1469"/>
      <c r="QPN45" s="1469"/>
      <c r="QPO45" s="1469"/>
      <c r="QPP45" s="1469"/>
      <c r="QPQ45" s="1469"/>
      <c r="QPR45" s="1469"/>
      <c r="QPS45" s="1469"/>
      <c r="QPT45" s="1469"/>
      <c r="QPU45" s="1469"/>
      <c r="QPV45" s="1469"/>
      <c r="QPW45" s="1469"/>
      <c r="QPX45" s="1469"/>
      <c r="QPY45" s="1469"/>
      <c r="QPZ45" s="1469"/>
      <c r="QQA45" s="1469"/>
      <c r="QQB45" s="1469"/>
      <c r="QQC45" s="1469"/>
      <c r="QQD45" s="1469"/>
      <c r="QQE45" s="1469"/>
      <c r="QQF45" s="1469"/>
      <c r="QQG45" s="1469"/>
      <c r="QQH45" s="1469"/>
      <c r="QQI45" s="1469"/>
      <c r="QQJ45" s="1469"/>
      <c r="QQK45" s="1469"/>
      <c r="QQL45" s="1469"/>
      <c r="QQM45" s="1469"/>
      <c r="QQN45" s="1469"/>
      <c r="QQO45" s="1469"/>
      <c r="QQP45" s="1469"/>
      <c r="QQQ45" s="1469"/>
      <c r="QQR45" s="1469"/>
      <c r="QQS45" s="1469"/>
      <c r="QQT45" s="1469"/>
      <c r="QQU45" s="1469"/>
      <c r="QQV45" s="1469"/>
      <c r="QQW45" s="1469"/>
      <c r="QQX45" s="1469"/>
      <c r="QQY45" s="1469"/>
      <c r="QQZ45" s="1469"/>
      <c r="QRA45" s="1469"/>
      <c r="QRB45" s="1469"/>
      <c r="QRC45" s="1469"/>
      <c r="QRD45" s="1469"/>
      <c r="QRE45" s="1469"/>
      <c r="QRF45" s="1469"/>
      <c r="QRG45" s="1469"/>
      <c r="QRH45" s="1469"/>
      <c r="QRI45" s="1469"/>
      <c r="QRJ45" s="1469"/>
      <c r="QRK45" s="1469"/>
      <c r="QRL45" s="1469"/>
      <c r="QRM45" s="1469"/>
      <c r="QRN45" s="1469"/>
      <c r="QRO45" s="1469"/>
      <c r="QRP45" s="1469"/>
      <c r="QRQ45" s="1469"/>
      <c r="QRR45" s="1469"/>
      <c r="QRS45" s="1469"/>
      <c r="QRT45" s="1469"/>
      <c r="QRU45" s="1469"/>
      <c r="QRV45" s="1469"/>
      <c r="QRW45" s="1469"/>
      <c r="QRX45" s="1469"/>
      <c r="QRY45" s="1469"/>
      <c r="QRZ45" s="1469"/>
      <c r="QSA45" s="1469"/>
      <c r="QSB45" s="1469"/>
      <c r="QSC45" s="1469"/>
      <c r="QSD45" s="1469"/>
      <c r="QSE45" s="1469"/>
      <c r="QSF45" s="1469"/>
      <c r="QSG45" s="1469"/>
      <c r="QSH45" s="1469"/>
      <c r="QSI45" s="1469"/>
      <c r="QSJ45" s="1469"/>
      <c r="QSK45" s="1469"/>
      <c r="QSL45" s="1469"/>
      <c r="QSM45" s="1469"/>
      <c r="QSN45" s="1469"/>
      <c r="QSO45" s="1469"/>
      <c r="QSP45" s="1469"/>
      <c r="QSQ45" s="1469"/>
      <c r="QSR45" s="1469"/>
      <c r="QSS45" s="1469"/>
      <c r="QST45" s="1469"/>
      <c r="QSU45" s="1469"/>
      <c r="QSV45" s="1469"/>
      <c r="QSW45" s="1469"/>
      <c r="QSX45" s="1469"/>
      <c r="QSY45" s="1469"/>
      <c r="QSZ45" s="1469"/>
      <c r="QTA45" s="1469"/>
      <c r="QTB45" s="1469"/>
      <c r="QTC45" s="1469"/>
      <c r="QTD45" s="1469"/>
      <c r="QTE45" s="1469"/>
      <c r="QTF45" s="1469"/>
      <c r="QTG45" s="1469"/>
      <c r="QTH45" s="1469"/>
      <c r="QTI45" s="1469"/>
      <c r="QTJ45" s="1469"/>
      <c r="QTK45" s="1469"/>
      <c r="QTL45" s="1469"/>
      <c r="QTM45" s="1469"/>
      <c r="QTN45" s="1469"/>
      <c r="QTO45" s="1469"/>
      <c r="QTP45" s="1469"/>
      <c r="QTQ45" s="1469"/>
      <c r="QTR45" s="1469"/>
      <c r="QTS45" s="1469"/>
      <c r="QTT45" s="1469"/>
      <c r="QTU45" s="1469"/>
      <c r="QTV45" s="1469"/>
      <c r="QTW45" s="1469"/>
      <c r="QTX45" s="1469"/>
      <c r="QTY45" s="1469"/>
      <c r="QTZ45" s="1469"/>
      <c r="QUA45" s="1469"/>
      <c r="QUB45" s="1469"/>
      <c r="QUC45" s="1469"/>
      <c r="QUD45" s="1469"/>
      <c r="QUE45" s="1469"/>
      <c r="QUF45" s="1469"/>
      <c r="QUG45" s="1469"/>
      <c r="QUH45" s="1469"/>
      <c r="QUI45" s="1469"/>
      <c r="QUJ45" s="1469"/>
      <c r="QUK45" s="1469"/>
      <c r="QUL45" s="1469"/>
      <c r="QUM45" s="1469"/>
      <c r="QUN45" s="1469"/>
      <c r="QUO45" s="1469"/>
      <c r="QUP45" s="1469"/>
      <c r="QUQ45" s="1469"/>
      <c r="QUR45" s="1469"/>
      <c r="QUS45" s="1469"/>
      <c r="QUT45" s="1469"/>
      <c r="QUU45" s="1469"/>
      <c r="QUV45" s="1469"/>
      <c r="QUW45" s="1469"/>
      <c r="QUX45" s="1469"/>
      <c r="QUY45" s="1469"/>
      <c r="QUZ45" s="1469"/>
      <c r="QVA45" s="1469"/>
      <c r="QVB45" s="1469"/>
      <c r="QVC45" s="1469"/>
      <c r="QVD45" s="1469"/>
      <c r="QVE45" s="1469"/>
      <c r="QVF45" s="1469"/>
      <c r="QVG45" s="1469"/>
      <c r="QVH45" s="1469"/>
      <c r="QVI45" s="1469"/>
      <c r="QVJ45" s="1469"/>
      <c r="QVK45" s="1469"/>
      <c r="QVL45" s="1469"/>
      <c r="QVM45" s="1469"/>
      <c r="QVN45" s="1469"/>
      <c r="QVO45" s="1469"/>
      <c r="QVP45" s="1469"/>
      <c r="QVQ45" s="1469"/>
      <c r="QVR45" s="1469"/>
      <c r="QVS45" s="1469"/>
      <c r="QVT45" s="1469"/>
      <c r="QVU45" s="1469"/>
      <c r="QVV45" s="1469"/>
      <c r="QVW45" s="1469"/>
      <c r="QVX45" s="1469"/>
      <c r="QVY45" s="1469"/>
      <c r="QVZ45" s="1469"/>
      <c r="QWA45" s="1469"/>
      <c r="QWB45" s="1469"/>
      <c r="QWC45" s="1469"/>
      <c r="QWD45" s="1469"/>
      <c r="QWE45" s="1469"/>
      <c r="QWF45" s="1469"/>
      <c r="QWG45" s="1469"/>
      <c r="QWH45" s="1469"/>
      <c r="QWI45" s="1469"/>
      <c r="QWJ45" s="1469"/>
      <c r="QWK45" s="1469"/>
      <c r="QWL45" s="1469"/>
      <c r="QWM45" s="1469"/>
      <c r="QWN45" s="1469"/>
      <c r="QWO45" s="1469"/>
      <c r="QWP45" s="1469"/>
      <c r="QWQ45" s="1469"/>
      <c r="QWR45" s="1469"/>
      <c r="QWS45" s="1469"/>
      <c r="QWT45" s="1469"/>
      <c r="QWU45" s="1469"/>
      <c r="QWV45" s="1469"/>
      <c r="QWW45" s="1469"/>
      <c r="QWX45" s="1469"/>
      <c r="QWY45" s="1469"/>
      <c r="QWZ45" s="1469"/>
      <c r="QXA45" s="1469"/>
      <c r="QXB45" s="1469"/>
      <c r="QXC45" s="1469"/>
      <c r="QXD45" s="1469"/>
      <c r="QXE45" s="1469"/>
      <c r="QXF45" s="1469"/>
      <c r="QXG45" s="1469"/>
      <c r="QXH45" s="1469"/>
      <c r="QXI45" s="1469"/>
      <c r="QXJ45" s="1469"/>
      <c r="QXK45" s="1469"/>
      <c r="QXL45" s="1469"/>
      <c r="QXM45" s="1469"/>
      <c r="QXN45" s="1469"/>
      <c r="QXO45" s="1469"/>
      <c r="QXP45" s="1469"/>
      <c r="QXQ45" s="1469"/>
      <c r="QXR45" s="1469"/>
      <c r="QXS45" s="1469"/>
      <c r="QXT45" s="1469"/>
      <c r="QXU45" s="1469"/>
      <c r="QXV45" s="1469"/>
      <c r="QXW45" s="1469"/>
      <c r="QXX45" s="1469"/>
      <c r="QXY45" s="1469"/>
      <c r="QXZ45" s="1469"/>
      <c r="QYA45" s="1469"/>
      <c r="QYB45" s="1469"/>
      <c r="QYC45" s="1469"/>
      <c r="QYD45" s="1469"/>
      <c r="QYE45" s="1469"/>
      <c r="QYF45" s="1469"/>
      <c r="QYG45" s="1469"/>
      <c r="QYH45" s="1469"/>
      <c r="QYI45" s="1469"/>
      <c r="QYJ45" s="1469"/>
      <c r="QYK45" s="1469"/>
      <c r="QYL45" s="1469"/>
      <c r="QYM45" s="1469"/>
      <c r="QYN45" s="1469"/>
      <c r="QYO45" s="1469"/>
      <c r="QYP45" s="1469"/>
      <c r="QYQ45" s="1469"/>
      <c r="QYR45" s="1469"/>
      <c r="QYS45" s="1469"/>
      <c r="QYT45" s="1469"/>
      <c r="QYU45" s="1469"/>
      <c r="QYV45" s="1469"/>
      <c r="QYW45" s="1469"/>
      <c r="QYX45" s="1469"/>
      <c r="QYY45" s="1469"/>
      <c r="QYZ45" s="1469"/>
      <c r="QZA45" s="1469"/>
      <c r="QZB45" s="1469"/>
      <c r="QZC45" s="1469"/>
      <c r="QZD45" s="1469"/>
      <c r="QZE45" s="1469"/>
      <c r="QZF45" s="1469"/>
      <c r="QZG45" s="1469"/>
      <c r="QZH45" s="1469"/>
      <c r="QZI45" s="1469"/>
      <c r="QZJ45" s="1469"/>
      <c r="QZK45" s="1469"/>
      <c r="QZL45" s="1469"/>
      <c r="QZM45" s="1469"/>
      <c r="QZN45" s="1469"/>
      <c r="QZO45" s="1469"/>
      <c r="QZP45" s="1469"/>
      <c r="QZQ45" s="1469"/>
      <c r="QZR45" s="1469"/>
      <c r="QZS45" s="1469"/>
      <c r="QZT45" s="1469"/>
      <c r="QZU45" s="1469"/>
      <c r="QZV45" s="1469"/>
      <c r="QZW45" s="1469"/>
      <c r="QZX45" s="1469"/>
      <c r="QZY45" s="1469"/>
      <c r="QZZ45" s="1469"/>
      <c r="RAA45" s="1469"/>
      <c r="RAB45" s="1469"/>
      <c r="RAC45" s="1469"/>
      <c r="RAD45" s="1469"/>
      <c r="RAE45" s="1469"/>
      <c r="RAF45" s="1469"/>
      <c r="RAG45" s="1469"/>
      <c r="RAH45" s="1469"/>
      <c r="RAI45" s="1469"/>
      <c r="RAJ45" s="1469"/>
      <c r="RAK45" s="1469"/>
      <c r="RAL45" s="1469"/>
      <c r="RAM45" s="1469"/>
      <c r="RAN45" s="1469"/>
      <c r="RAO45" s="1469"/>
      <c r="RAP45" s="1469"/>
      <c r="RAQ45" s="1469"/>
      <c r="RAR45" s="1469"/>
      <c r="RAS45" s="1469"/>
      <c r="RAT45" s="1469"/>
      <c r="RAU45" s="1469"/>
      <c r="RAV45" s="1469"/>
      <c r="RAW45" s="1469"/>
      <c r="RAX45" s="1469"/>
      <c r="RAY45" s="1469"/>
      <c r="RAZ45" s="1469"/>
      <c r="RBA45" s="1469"/>
      <c r="RBB45" s="1469"/>
      <c r="RBC45" s="1469"/>
      <c r="RBD45" s="1469"/>
      <c r="RBE45" s="1469"/>
      <c r="RBF45" s="1469"/>
      <c r="RBG45" s="1469"/>
      <c r="RBH45" s="1469"/>
      <c r="RBI45" s="1469"/>
      <c r="RBJ45" s="1469"/>
      <c r="RBK45" s="1469"/>
      <c r="RBL45" s="1469"/>
      <c r="RBM45" s="1469"/>
      <c r="RBN45" s="1469"/>
      <c r="RBO45" s="1469"/>
      <c r="RBP45" s="1469"/>
      <c r="RBQ45" s="1469"/>
      <c r="RBR45" s="1469"/>
      <c r="RBS45" s="1469"/>
      <c r="RBT45" s="1469"/>
      <c r="RBU45" s="1469"/>
      <c r="RBV45" s="1469"/>
      <c r="RBW45" s="1469"/>
      <c r="RBX45" s="1469"/>
      <c r="RBY45" s="1469"/>
      <c r="RBZ45" s="1469"/>
      <c r="RCA45" s="1469"/>
      <c r="RCB45" s="1469"/>
      <c r="RCC45" s="1469"/>
      <c r="RCD45" s="1469"/>
      <c r="RCE45" s="1469"/>
      <c r="RCF45" s="1469"/>
      <c r="RCG45" s="1469"/>
      <c r="RCH45" s="1469"/>
      <c r="RCI45" s="1469"/>
      <c r="RCJ45" s="1469"/>
      <c r="RCK45" s="1469"/>
      <c r="RCL45" s="1469"/>
      <c r="RCM45" s="1469"/>
      <c r="RCN45" s="1469"/>
      <c r="RCO45" s="1469"/>
      <c r="RCP45" s="1469"/>
      <c r="RCQ45" s="1469"/>
      <c r="RCR45" s="1469"/>
      <c r="RCS45" s="1469"/>
      <c r="RCT45" s="1469"/>
      <c r="RCU45" s="1469"/>
      <c r="RCV45" s="1469"/>
      <c r="RCW45" s="1469"/>
      <c r="RCX45" s="1469"/>
      <c r="RCY45" s="1469"/>
      <c r="RCZ45" s="1469"/>
      <c r="RDA45" s="1469"/>
      <c r="RDB45" s="1469"/>
      <c r="RDC45" s="1469"/>
      <c r="RDD45" s="1469"/>
      <c r="RDE45" s="1469"/>
      <c r="RDF45" s="1469"/>
      <c r="RDG45" s="1469"/>
      <c r="RDH45" s="1469"/>
      <c r="RDI45" s="1469"/>
      <c r="RDJ45" s="1469"/>
      <c r="RDK45" s="1469"/>
      <c r="RDL45" s="1469"/>
      <c r="RDM45" s="1469"/>
      <c r="RDN45" s="1469"/>
      <c r="RDO45" s="1469"/>
      <c r="RDP45" s="1469"/>
      <c r="RDQ45" s="1469"/>
      <c r="RDR45" s="1469"/>
      <c r="RDS45" s="1469"/>
      <c r="RDT45" s="1469"/>
      <c r="RDU45" s="1469"/>
      <c r="RDV45" s="1469"/>
      <c r="RDW45" s="1469"/>
      <c r="RDX45" s="1469"/>
      <c r="RDY45" s="1469"/>
      <c r="RDZ45" s="1469"/>
      <c r="REA45" s="1469"/>
      <c r="REB45" s="1469"/>
      <c r="REC45" s="1469"/>
      <c r="RED45" s="1469"/>
      <c r="REE45" s="1469"/>
      <c r="REF45" s="1469"/>
      <c r="REG45" s="1469"/>
      <c r="REH45" s="1469"/>
      <c r="REI45" s="1469"/>
      <c r="REJ45" s="1469"/>
      <c r="REK45" s="1469"/>
      <c r="REL45" s="1469"/>
      <c r="REM45" s="1469"/>
      <c r="REN45" s="1469"/>
      <c r="REO45" s="1469"/>
      <c r="REP45" s="1469"/>
      <c r="REQ45" s="1469"/>
      <c r="RER45" s="1469"/>
      <c r="RES45" s="1469"/>
      <c r="RET45" s="1469"/>
      <c r="REU45" s="1469"/>
      <c r="REV45" s="1469"/>
      <c r="REW45" s="1469"/>
      <c r="REX45" s="1469"/>
      <c r="REY45" s="1469"/>
      <c r="REZ45" s="1469"/>
      <c r="RFA45" s="1469"/>
      <c r="RFB45" s="1469"/>
      <c r="RFC45" s="1469"/>
      <c r="RFD45" s="1469"/>
      <c r="RFE45" s="1469"/>
      <c r="RFF45" s="1469"/>
      <c r="RFG45" s="1469"/>
      <c r="RFH45" s="1469"/>
      <c r="RFI45" s="1469"/>
      <c r="RFJ45" s="1469"/>
      <c r="RFK45" s="1469"/>
      <c r="RFL45" s="1469"/>
      <c r="RFM45" s="1469"/>
      <c r="RFN45" s="1469"/>
      <c r="RFO45" s="1469"/>
      <c r="RFP45" s="1469"/>
      <c r="RFQ45" s="1469"/>
      <c r="RFR45" s="1469"/>
      <c r="RFS45" s="1469"/>
      <c r="RFT45" s="1469"/>
      <c r="RFU45" s="1469"/>
      <c r="RFV45" s="1469"/>
      <c r="RFW45" s="1469"/>
      <c r="RFX45" s="1469"/>
      <c r="RFY45" s="1469"/>
      <c r="RFZ45" s="1469"/>
      <c r="RGA45" s="1469"/>
      <c r="RGB45" s="1469"/>
      <c r="RGC45" s="1469"/>
      <c r="RGD45" s="1469"/>
      <c r="RGE45" s="1469"/>
      <c r="RGF45" s="1469"/>
      <c r="RGG45" s="1469"/>
      <c r="RGH45" s="1469"/>
      <c r="RGI45" s="1469"/>
      <c r="RGJ45" s="1469"/>
      <c r="RGK45" s="1469"/>
      <c r="RGL45" s="1469"/>
      <c r="RGM45" s="1469"/>
      <c r="RGN45" s="1469"/>
      <c r="RGO45" s="1469"/>
      <c r="RGP45" s="1469"/>
      <c r="RGQ45" s="1469"/>
      <c r="RGR45" s="1469"/>
      <c r="RGS45" s="1469"/>
      <c r="RGT45" s="1469"/>
      <c r="RGU45" s="1469"/>
      <c r="RGV45" s="1469"/>
      <c r="RGW45" s="1469"/>
      <c r="RGX45" s="1469"/>
      <c r="RGY45" s="1469"/>
      <c r="RGZ45" s="1469"/>
      <c r="RHA45" s="1469"/>
      <c r="RHB45" s="1469"/>
      <c r="RHC45" s="1469"/>
      <c r="RHD45" s="1469"/>
      <c r="RHE45" s="1469"/>
      <c r="RHF45" s="1469"/>
      <c r="RHG45" s="1469"/>
      <c r="RHH45" s="1469"/>
      <c r="RHI45" s="1469"/>
      <c r="RHJ45" s="1469"/>
      <c r="RHK45" s="1469"/>
      <c r="RHL45" s="1469"/>
      <c r="RHM45" s="1469"/>
      <c r="RHN45" s="1469"/>
      <c r="RHO45" s="1469"/>
      <c r="RHP45" s="1469"/>
      <c r="RHQ45" s="1469"/>
      <c r="RHR45" s="1469"/>
      <c r="RHS45" s="1469"/>
      <c r="RHT45" s="1469"/>
      <c r="RHU45" s="1469"/>
      <c r="RHV45" s="1469"/>
      <c r="RHW45" s="1469"/>
      <c r="RHX45" s="1469"/>
      <c r="RHY45" s="1469"/>
      <c r="RHZ45" s="1469"/>
      <c r="RIA45" s="1469"/>
      <c r="RIB45" s="1469"/>
      <c r="RIC45" s="1469"/>
      <c r="RID45" s="1469"/>
      <c r="RIE45" s="1469"/>
      <c r="RIF45" s="1469"/>
      <c r="RIG45" s="1469"/>
      <c r="RIH45" s="1469"/>
      <c r="RII45" s="1469"/>
      <c r="RIJ45" s="1469"/>
      <c r="RIK45" s="1469"/>
      <c r="RIL45" s="1469"/>
      <c r="RIM45" s="1469"/>
      <c r="RIN45" s="1469"/>
      <c r="RIO45" s="1469"/>
      <c r="RIP45" s="1469"/>
      <c r="RIQ45" s="1469"/>
      <c r="RIR45" s="1469"/>
      <c r="RIS45" s="1469"/>
      <c r="RIT45" s="1469"/>
      <c r="RIU45" s="1469"/>
      <c r="RIV45" s="1469"/>
      <c r="RIW45" s="1469"/>
      <c r="RIX45" s="1469"/>
      <c r="RIY45" s="1469"/>
      <c r="RIZ45" s="1469"/>
      <c r="RJA45" s="1469"/>
      <c r="RJB45" s="1469"/>
      <c r="RJC45" s="1469"/>
      <c r="RJD45" s="1469"/>
      <c r="RJE45" s="1469"/>
      <c r="RJF45" s="1469"/>
      <c r="RJG45" s="1469"/>
      <c r="RJH45" s="1469"/>
      <c r="RJI45" s="1469"/>
      <c r="RJJ45" s="1469"/>
      <c r="RJK45" s="1469"/>
      <c r="RJL45" s="1469"/>
      <c r="RJM45" s="1469"/>
      <c r="RJN45" s="1469"/>
      <c r="RJO45" s="1469"/>
      <c r="RJP45" s="1469"/>
      <c r="RJQ45" s="1469"/>
      <c r="RJR45" s="1469"/>
      <c r="RJS45" s="1469"/>
      <c r="RJT45" s="1469"/>
      <c r="RJU45" s="1469"/>
      <c r="RJV45" s="1469"/>
      <c r="RJW45" s="1469"/>
      <c r="RJX45" s="1469"/>
      <c r="RJY45" s="1469"/>
      <c r="RJZ45" s="1469"/>
      <c r="RKA45" s="1469"/>
      <c r="RKB45" s="1469"/>
      <c r="RKC45" s="1469"/>
      <c r="RKD45" s="1469"/>
      <c r="RKE45" s="1469"/>
      <c r="RKF45" s="1469"/>
      <c r="RKG45" s="1469"/>
      <c r="RKH45" s="1469"/>
      <c r="RKI45" s="1469"/>
      <c r="RKJ45" s="1469"/>
      <c r="RKK45" s="1469"/>
      <c r="RKL45" s="1469"/>
      <c r="RKM45" s="1469"/>
      <c r="RKN45" s="1469"/>
      <c r="RKO45" s="1469"/>
      <c r="RKP45" s="1469"/>
      <c r="RKQ45" s="1469"/>
      <c r="RKR45" s="1469"/>
      <c r="RKS45" s="1469"/>
      <c r="RKT45" s="1469"/>
      <c r="RKU45" s="1469"/>
      <c r="RKV45" s="1469"/>
      <c r="RKW45" s="1469"/>
      <c r="RKX45" s="1469"/>
      <c r="RKY45" s="1469"/>
      <c r="RKZ45" s="1469"/>
      <c r="RLA45" s="1469"/>
      <c r="RLB45" s="1469"/>
      <c r="RLC45" s="1469"/>
      <c r="RLD45" s="1469"/>
      <c r="RLE45" s="1469"/>
      <c r="RLF45" s="1469"/>
      <c r="RLG45" s="1469"/>
      <c r="RLH45" s="1469"/>
      <c r="RLI45" s="1469"/>
      <c r="RLJ45" s="1469"/>
      <c r="RLK45" s="1469"/>
      <c r="RLL45" s="1469"/>
      <c r="RLM45" s="1469"/>
      <c r="RLN45" s="1469"/>
      <c r="RLO45" s="1469"/>
      <c r="RLP45" s="1469"/>
      <c r="RLQ45" s="1469"/>
      <c r="RLR45" s="1469"/>
      <c r="RLS45" s="1469"/>
      <c r="RLT45" s="1469"/>
      <c r="RLU45" s="1469"/>
      <c r="RLV45" s="1469"/>
      <c r="RLW45" s="1469"/>
      <c r="RLX45" s="1469"/>
      <c r="RLY45" s="1469"/>
      <c r="RLZ45" s="1469"/>
      <c r="RMA45" s="1469"/>
      <c r="RMB45" s="1469"/>
      <c r="RMC45" s="1469"/>
      <c r="RMD45" s="1469"/>
      <c r="RME45" s="1469"/>
      <c r="RMF45" s="1469"/>
      <c r="RMG45" s="1469"/>
      <c r="RMH45" s="1469"/>
      <c r="RMI45" s="1469"/>
      <c r="RMJ45" s="1469"/>
      <c r="RMK45" s="1469"/>
      <c r="RML45" s="1469"/>
      <c r="RMM45" s="1469"/>
      <c r="RMN45" s="1469"/>
      <c r="RMO45" s="1469"/>
      <c r="RMP45" s="1469"/>
      <c r="RMQ45" s="1469"/>
      <c r="RMR45" s="1469"/>
      <c r="RMS45" s="1469"/>
      <c r="RMT45" s="1469"/>
      <c r="RMU45" s="1469"/>
      <c r="RMV45" s="1469"/>
      <c r="RMW45" s="1469"/>
      <c r="RMX45" s="1469"/>
      <c r="RMY45" s="1469"/>
      <c r="RMZ45" s="1469"/>
      <c r="RNA45" s="1469"/>
      <c r="RNB45" s="1469"/>
      <c r="RNC45" s="1469"/>
      <c r="RND45" s="1469"/>
      <c r="RNE45" s="1469"/>
      <c r="RNF45" s="1469"/>
      <c r="RNG45" s="1469"/>
      <c r="RNH45" s="1469"/>
      <c r="RNI45" s="1469"/>
      <c r="RNJ45" s="1469"/>
      <c r="RNK45" s="1469"/>
      <c r="RNL45" s="1469"/>
      <c r="RNM45" s="1469"/>
      <c r="RNN45" s="1469"/>
      <c r="RNO45" s="1469"/>
      <c r="RNP45" s="1469"/>
      <c r="RNQ45" s="1469"/>
      <c r="RNR45" s="1469"/>
      <c r="RNS45" s="1469"/>
      <c r="RNT45" s="1469"/>
      <c r="RNU45" s="1469"/>
      <c r="RNV45" s="1469"/>
      <c r="RNW45" s="1469"/>
      <c r="RNX45" s="1469"/>
      <c r="RNY45" s="1469"/>
      <c r="RNZ45" s="1469"/>
      <c r="ROA45" s="1469"/>
      <c r="ROB45" s="1469"/>
      <c r="ROC45" s="1469"/>
      <c r="ROD45" s="1469"/>
      <c r="ROE45" s="1469"/>
      <c r="ROF45" s="1469"/>
      <c r="ROG45" s="1469"/>
      <c r="ROH45" s="1469"/>
      <c r="ROI45" s="1469"/>
      <c r="ROJ45" s="1469"/>
      <c r="ROK45" s="1469"/>
      <c r="ROL45" s="1469"/>
      <c r="ROM45" s="1469"/>
      <c r="RON45" s="1469"/>
      <c r="ROO45" s="1469"/>
      <c r="ROP45" s="1469"/>
      <c r="ROQ45" s="1469"/>
      <c r="ROR45" s="1469"/>
      <c r="ROS45" s="1469"/>
      <c r="ROT45" s="1469"/>
      <c r="ROU45" s="1469"/>
      <c r="ROV45" s="1469"/>
      <c r="ROW45" s="1469"/>
      <c r="ROX45" s="1469"/>
      <c r="ROY45" s="1469"/>
      <c r="ROZ45" s="1469"/>
      <c r="RPA45" s="1469"/>
      <c r="RPB45" s="1469"/>
      <c r="RPC45" s="1469"/>
      <c r="RPD45" s="1469"/>
      <c r="RPE45" s="1469"/>
      <c r="RPF45" s="1469"/>
      <c r="RPG45" s="1469"/>
      <c r="RPH45" s="1469"/>
      <c r="RPI45" s="1469"/>
      <c r="RPJ45" s="1469"/>
      <c r="RPK45" s="1469"/>
      <c r="RPL45" s="1469"/>
      <c r="RPM45" s="1469"/>
      <c r="RPN45" s="1469"/>
      <c r="RPO45" s="1469"/>
      <c r="RPP45" s="1469"/>
      <c r="RPQ45" s="1469"/>
      <c r="RPR45" s="1469"/>
      <c r="RPS45" s="1469"/>
      <c r="RPT45" s="1469"/>
      <c r="RPU45" s="1469"/>
      <c r="RPV45" s="1469"/>
      <c r="RPW45" s="1469"/>
      <c r="RPX45" s="1469"/>
      <c r="RPY45" s="1469"/>
      <c r="RPZ45" s="1469"/>
      <c r="RQA45" s="1469"/>
      <c r="RQB45" s="1469"/>
      <c r="RQC45" s="1469"/>
      <c r="RQD45" s="1469"/>
      <c r="RQE45" s="1469"/>
      <c r="RQF45" s="1469"/>
      <c r="RQG45" s="1469"/>
      <c r="RQH45" s="1469"/>
      <c r="RQI45" s="1469"/>
      <c r="RQJ45" s="1469"/>
      <c r="RQK45" s="1469"/>
      <c r="RQL45" s="1469"/>
      <c r="RQM45" s="1469"/>
      <c r="RQN45" s="1469"/>
      <c r="RQO45" s="1469"/>
      <c r="RQP45" s="1469"/>
      <c r="RQQ45" s="1469"/>
      <c r="RQR45" s="1469"/>
      <c r="RQS45" s="1469"/>
      <c r="RQT45" s="1469"/>
      <c r="RQU45" s="1469"/>
      <c r="RQV45" s="1469"/>
      <c r="RQW45" s="1469"/>
      <c r="RQX45" s="1469"/>
      <c r="RQY45" s="1469"/>
      <c r="RQZ45" s="1469"/>
      <c r="RRA45" s="1469"/>
      <c r="RRB45" s="1469"/>
      <c r="RRC45" s="1469"/>
      <c r="RRD45" s="1469"/>
      <c r="RRE45" s="1469"/>
      <c r="RRF45" s="1469"/>
      <c r="RRG45" s="1469"/>
      <c r="RRH45" s="1469"/>
      <c r="RRI45" s="1469"/>
      <c r="RRJ45" s="1469"/>
      <c r="RRK45" s="1469"/>
      <c r="RRL45" s="1469"/>
      <c r="RRM45" s="1469"/>
      <c r="RRN45" s="1469"/>
      <c r="RRO45" s="1469"/>
      <c r="RRP45" s="1469"/>
      <c r="RRQ45" s="1469"/>
      <c r="RRR45" s="1469"/>
      <c r="RRS45" s="1469"/>
      <c r="RRT45" s="1469"/>
      <c r="RRU45" s="1469"/>
      <c r="RRV45" s="1469"/>
      <c r="RRW45" s="1469"/>
      <c r="RRX45" s="1469"/>
      <c r="RRY45" s="1469"/>
      <c r="RRZ45" s="1469"/>
      <c r="RSA45" s="1469"/>
      <c r="RSB45" s="1469"/>
      <c r="RSC45" s="1469"/>
      <c r="RSD45" s="1469"/>
      <c r="RSE45" s="1469"/>
      <c r="RSF45" s="1469"/>
      <c r="RSG45" s="1469"/>
      <c r="RSH45" s="1469"/>
      <c r="RSI45" s="1469"/>
      <c r="RSJ45" s="1469"/>
      <c r="RSK45" s="1469"/>
      <c r="RSL45" s="1469"/>
      <c r="RSM45" s="1469"/>
      <c r="RSN45" s="1469"/>
      <c r="RSO45" s="1469"/>
      <c r="RSP45" s="1469"/>
      <c r="RSQ45" s="1469"/>
      <c r="RSR45" s="1469"/>
      <c r="RSS45" s="1469"/>
      <c r="RST45" s="1469"/>
      <c r="RSU45" s="1469"/>
      <c r="RSV45" s="1469"/>
      <c r="RSW45" s="1469"/>
      <c r="RSX45" s="1469"/>
      <c r="RSY45" s="1469"/>
      <c r="RSZ45" s="1469"/>
      <c r="RTA45" s="1469"/>
      <c r="RTB45" s="1469"/>
      <c r="RTC45" s="1469"/>
      <c r="RTD45" s="1469"/>
      <c r="RTE45" s="1469"/>
      <c r="RTF45" s="1469"/>
      <c r="RTG45" s="1469"/>
      <c r="RTH45" s="1469"/>
      <c r="RTI45" s="1469"/>
      <c r="RTJ45" s="1469"/>
      <c r="RTK45" s="1469"/>
      <c r="RTL45" s="1469"/>
      <c r="RTM45" s="1469"/>
      <c r="RTN45" s="1469"/>
      <c r="RTO45" s="1469"/>
      <c r="RTP45" s="1469"/>
      <c r="RTQ45" s="1469"/>
      <c r="RTR45" s="1469"/>
      <c r="RTS45" s="1469"/>
      <c r="RTT45" s="1469"/>
      <c r="RTU45" s="1469"/>
      <c r="RTV45" s="1469"/>
      <c r="RTW45" s="1469"/>
      <c r="RTX45" s="1469"/>
      <c r="RTY45" s="1469"/>
      <c r="RTZ45" s="1469"/>
      <c r="RUA45" s="1469"/>
      <c r="RUB45" s="1469"/>
      <c r="RUC45" s="1469"/>
      <c r="RUD45" s="1469"/>
      <c r="RUE45" s="1469"/>
      <c r="RUF45" s="1469"/>
      <c r="RUG45" s="1469"/>
      <c r="RUH45" s="1469"/>
      <c r="RUI45" s="1469"/>
      <c r="RUJ45" s="1469"/>
      <c r="RUK45" s="1469"/>
      <c r="RUL45" s="1469"/>
      <c r="RUM45" s="1469"/>
      <c r="RUN45" s="1469"/>
      <c r="RUO45" s="1469"/>
      <c r="RUP45" s="1469"/>
      <c r="RUQ45" s="1469"/>
      <c r="RUR45" s="1469"/>
      <c r="RUS45" s="1469"/>
      <c r="RUT45" s="1469"/>
      <c r="RUU45" s="1469"/>
      <c r="RUV45" s="1469"/>
      <c r="RUW45" s="1469"/>
      <c r="RUX45" s="1469"/>
      <c r="RUY45" s="1469"/>
      <c r="RUZ45" s="1469"/>
      <c r="RVA45" s="1469"/>
      <c r="RVB45" s="1469"/>
      <c r="RVC45" s="1469"/>
      <c r="RVD45" s="1469"/>
      <c r="RVE45" s="1469"/>
      <c r="RVF45" s="1469"/>
      <c r="RVG45" s="1469"/>
      <c r="RVH45" s="1469"/>
      <c r="RVI45" s="1469"/>
      <c r="RVJ45" s="1469"/>
      <c r="RVK45" s="1469"/>
      <c r="RVL45" s="1469"/>
      <c r="RVM45" s="1469"/>
      <c r="RVN45" s="1469"/>
      <c r="RVO45" s="1469"/>
      <c r="RVP45" s="1469"/>
      <c r="RVQ45" s="1469"/>
      <c r="RVR45" s="1469"/>
      <c r="RVS45" s="1469"/>
      <c r="RVT45" s="1469"/>
      <c r="RVU45" s="1469"/>
      <c r="RVV45" s="1469"/>
      <c r="RVW45" s="1469"/>
      <c r="RVX45" s="1469"/>
      <c r="RVY45" s="1469"/>
      <c r="RVZ45" s="1469"/>
      <c r="RWA45" s="1469"/>
      <c r="RWB45" s="1469"/>
      <c r="RWC45" s="1469"/>
      <c r="RWD45" s="1469"/>
      <c r="RWE45" s="1469"/>
      <c r="RWF45" s="1469"/>
      <c r="RWG45" s="1469"/>
      <c r="RWH45" s="1469"/>
      <c r="RWI45" s="1469"/>
      <c r="RWJ45" s="1469"/>
      <c r="RWK45" s="1469"/>
      <c r="RWL45" s="1469"/>
      <c r="RWM45" s="1469"/>
      <c r="RWN45" s="1469"/>
      <c r="RWO45" s="1469"/>
      <c r="RWP45" s="1469"/>
      <c r="RWQ45" s="1469"/>
      <c r="RWR45" s="1469"/>
      <c r="RWS45" s="1469"/>
      <c r="RWT45" s="1469"/>
      <c r="RWU45" s="1469"/>
      <c r="RWV45" s="1469"/>
      <c r="RWW45" s="1469"/>
      <c r="RWX45" s="1469"/>
      <c r="RWY45" s="1469"/>
      <c r="RWZ45" s="1469"/>
      <c r="RXA45" s="1469"/>
      <c r="RXB45" s="1469"/>
      <c r="RXC45" s="1469"/>
      <c r="RXD45" s="1469"/>
      <c r="RXE45" s="1469"/>
      <c r="RXF45" s="1469"/>
      <c r="RXG45" s="1469"/>
      <c r="RXH45" s="1469"/>
      <c r="RXI45" s="1469"/>
      <c r="RXJ45" s="1469"/>
      <c r="RXK45" s="1469"/>
      <c r="RXL45" s="1469"/>
      <c r="RXM45" s="1469"/>
      <c r="RXN45" s="1469"/>
      <c r="RXO45" s="1469"/>
      <c r="RXP45" s="1469"/>
      <c r="RXQ45" s="1469"/>
      <c r="RXR45" s="1469"/>
      <c r="RXS45" s="1469"/>
      <c r="RXT45" s="1469"/>
      <c r="RXU45" s="1469"/>
      <c r="RXV45" s="1469"/>
      <c r="RXW45" s="1469"/>
      <c r="RXX45" s="1469"/>
      <c r="RXY45" s="1469"/>
      <c r="RXZ45" s="1469"/>
      <c r="RYA45" s="1469"/>
      <c r="RYB45" s="1469"/>
      <c r="RYC45" s="1469"/>
      <c r="RYD45" s="1469"/>
      <c r="RYE45" s="1469"/>
      <c r="RYF45" s="1469"/>
      <c r="RYG45" s="1469"/>
      <c r="RYH45" s="1469"/>
      <c r="RYI45" s="1469"/>
      <c r="RYJ45" s="1469"/>
      <c r="RYK45" s="1469"/>
      <c r="RYL45" s="1469"/>
      <c r="RYM45" s="1469"/>
      <c r="RYN45" s="1469"/>
      <c r="RYO45" s="1469"/>
      <c r="RYP45" s="1469"/>
      <c r="RYQ45" s="1469"/>
      <c r="RYR45" s="1469"/>
      <c r="RYS45" s="1469"/>
      <c r="RYT45" s="1469"/>
      <c r="RYU45" s="1469"/>
      <c r="RYV45" s="1469"/>
      <c r="RYW45" s="1469"/>
      <c r="RYX45" s="1469"/>
      <c r="RYY45" s="1469"/>
      <c r="RYZ45" s="1469"/>
      <c r="RZA45" s="1469"/>
      <c r="RZB45" s="1469"/>
      <c r="RZC45" s="1469"/>
      <c r="RZD45" s="1469"/>
      <c r="RZE45" s="1469"/>
      <c r="RZF45" s="1469"/>
      <c r="RZG45" s="1469"/>
      <c r="RZH45" s="1469"/>
      <c r="RZI45" s="1469"/>
      <c r="RZJ45" s="1469"/>
      <c r="RZK45" s="1469"/>
      <c r="RZL45" s="1469"/>
      <c r="RZM45" s="1469"/>
      <c r="RZN45" s="1469"/>
      <c r="RZO45" s="1469"/>
      <c r="RZP45" s="1469"/>
      <c r="RZQ45" s="1469"/>
      <c r="RZR45" s="1469"/>
      <c r="RZS45" s="1469"/>
      <c r="RZT45" s="1469"/>
      <c r="RZU45" s="1469"/>
      <c r="RZV45" s="1469"/>
      <c r="RZW45" s="1469"/>
      <c r="RZX45" s="1469"/>
      <c r="RZY45" s="1469"/>
      <c r="RZZ45" s="1469"/>
      <c r="SAA45" s="1469"/>
      <c r="SAB45" s="1469"/>
      <c r="SAC45" s="1469"/>
      <c r="SAD45" s="1469"/>
      <c r="SAE45" s="1469"/>
      <c r="SAF45" s="1469"/>
      <c r="SAG45" s="1469"/>
      <c r="SAH45" s="1469"/>
      <c r="SAI45" s="1469"/>
      <c r="SAJ45" s="1469"/>
      <c r="SAK45" s="1469"/>
      <c r="SAL45" s="1469"/>
      <c r="SAM45" s="1469"/>
      <c r="SAN45" s="1469"/>
      <c r="SAO45" s="1469"/>
      <c r="SAP45" s="1469"/>
      <c r="SAQ45" s="1469"/>
      <c r="SAR45" s="1469"/>
      <c r="SAS45" s="1469"/>
      <c r="SAT45" s="1469"/>
      <c r="SAU45" s="1469"/>
      <c r="SAV45" s="1469"/>
      <c r="SAW45" s="1469"/>
      <c r="SAX45" s="1469"/>
      <c r="SAY45" s="1469"/>
      <c r="SAZ45" s="1469"/>
      <c r="SBA45" s="1469"/>
      <c r="SBB45" s="1469"/>
      <c r="SBC45" s="1469"/>
      <c r="SBD45" s="1469"/>
      <c r="SBE45" s="1469"/>
      <c r="SBF45" s="1469"/>
      <c r="SBG45" s="1469"/>
      <c r="SBH45" s="1469"/>
      <c r="SBI45" s="1469"/>
      <c r="SBJ45" s="1469"/>
      <c r="SBK45" s="1469"/>
      <c r="SBL45" s="1469"/>
      <c r="SBM45" s="1469"/>
      <c r="SBN45" s="1469"/>
      <c r="SBO45" s="1469"/>
      <c r="SBP45" s="1469"/>
      <c r="SBQ45" s="1469"/>
      <c r="SBR45" s="1469"/>
      <c r="SBS45" s="1469"/>
      <c r="SBT45" s="1469"/>
      <c r="SBU45" s="1469"/>
      <c r="SBV45" s="1469"/>
      <c r="SBW45" s="1469"/>
      <c r="SBX45" s="1469"/>
      <c r="SBY45" s="1469"/>
      <c r="SBZ45" s="1469"/>
      <c r="SCA45" s="1469"/>
      <c r="SCB45" s="1469"/>
      <c r="SCC45" s="1469"/>
      <c r="SCD45" s="1469"/>
      <c r="SCE45" s="1469"/>
      <c r="SCF45" s="1469"/>
      <c r="SCG45" s="1469"/>
      <c r="SCH45" s="1469"/>
      <c r="SCI45" s="1469"/>
      <c r="SCJ45" s="1469"/>
      <c r="SCK45" s="1469"/>
      <c r="SCL45" s="1469"/>
      <c r="SCM45" s="1469"/>
      <c r="SCN45" s="1469"/>
      <c r="SCO45" s="1469"/>
      <c r="SCP45" s="1469"/>
      <c r="SCQ45" s="1469"/>
      <c r="SCR45" s="1469"/>
      <c r="SCS45" s="1469"/>
      <c r="SCT45" s="1469"/>
      <c r="SCU45" s="1469"/>
      <c r="SCV45" s="1469"/>
      <c r="SCW45" s="1469"/>
      <c r="SCX45" s="1469"/>
      <c r="SCY45" s="1469"/>
      <c r="SCZ45" s="1469"/>
      <c r="SDA45" s="1469"/>
      <c r="SDB45" s="1469"/>
      <c r="SDC45" s="1469"/>
      <c r="SDD45" s="1469"/>
      <c r="SDE45" s="1469"/>
      <c r="SDF45" s="1469"/>
      <c r="SDG45" s="1469"/>
      <c r="SDH45" s="1469"/>
      <c r="SDI45" s="1469"/>
      <c r="SDJ45" s="1469"/>
      <c r="SDK45" s="1469"/>
      <c r="SDL45" s="1469"/>
      <c r="SDM45" s="1469"/>
      <c r="SDN45" s="1469"/>
      <c r="SDO45" s="1469"/>
      <c r="SDP45" s="1469"/>
      <c r="SDQ45" s="1469"/>
      <c r="SDR45" s="1469"/>
      <c r="SDS45" s="1469"/>
      <c r="SDT45" s="1469"/>
      <c r="SDU45" s="1469"/>
      <c r="SDV45" s="1469"/>
      <c r="SDW45" s="1469"/>
      <c r="SDX45" s="1469"/>
      <c r="SDY45" s="1469"/>
      <c r="SDZ45" s="1469"/>
      <c r="SEA45" s="1469"/>
      <c r="SEB45" s="1469"/>
      <c r="SEC45" s="1469"/>
      <c r="SED45" s="1469"/>
      <c r="SEE45" s="1469"/>
      <c r="SEF45" s="1469"/>
      <c r="SEG45" s="1469"/>
      <c r="SEH45" s="1469"/>
      <c r="SEI45" s="1469"/>
      <c r="SEJ45" s="1469"/>
      <c r="SEK45" s="1469"/>
      <c r="SEL45" s="1469"/>
      <c r="SEM45" s="1469"/>
      <c r="SEN45" s="1469"/>
      <c r="SEO45" s="1469"/>
      <c r="SEP45" s="1469"/>
      <c r="SEQ45" s="1469"/>
      <c r="SER45" s="1469"/>
      <c r="SES45" s="1469"/>
      <c r="SET45" s="1469"/>
      <c r="SEU45" s="1469"/>
      <c r="SEV45" s="1469"/>
      <c r="SEW45" s="1469"/>
      <c r="SEX45" s="1469"/>
      <c r="SEY45" s="1469"/>
      <c r="SEZ45" s="1469"/>
      <c r="SFA45" s="1469"/>
      <c r="SFB45" s="1469"/>
      <c r="SFC45" s="1469"/>
      <c r="SFD45" s="1469"/>
      <c r="SFE45" s="1469"/>
      <c r="SFF45" s="1469"/>
      <c r="SFG45" s="1469"/>
      <c r="SFH45" s="1469"/>
      <c r="SFI45" s="1469"/>
      <c r="SFJ45" s="1469"/>
      <c r="SFK45" s="1469"/>
      <c r="SFL45" s="1469"/>
      <c r="SFM45" s="1469"/>
      <c r="SFN45" s="1469"/>
      <c r="SFO45" s="1469"/>
      <c r="SFP45" s="1469"/>
      <c r="SFQ45" s="1469"/>
      <c r="SFR45" s="1469"/>
      <c r="SFS45" s="1469"/>
      <c r="SFT45" s="1469"/>
      <c r="SFU45" s="1469"/>
      <c r="SFV45" s="1469"/>
      <c r="SFW45" s="1469"/>
      <c r="SFX45" s="1469"/>
      <c r="SFY45" s="1469"/>
      <c r="SFZ45" s="1469"/>
      <c r="SGA45" s="1469"/>
      <c r="SGB45" s="1469"/>
      <c r="SGC45" s="1469"/>
      <c r="SGD45" s="1469"/>
      <c r="SGE45" s="1469"/>
      <c r="SGF45" s="1469"/>
      <c r="SGG45" s="1469"/>
      <c r="SGH45" s="1469"/>
      <c r="SGI45" s="1469"/>
      <c r="SGJ45" s="1469"/>
      <c r="SGK45" s="1469"/>
      <c r="SGL45" s="1469"/>
      <c r="SGM45" s="1469"/>
      <c r="SGN45" s="1469"/>
      <c r="SGO45" s="1469"/>
      <c r="SGP45" s="1469"/>
      <c r="SGQ45" s="1469"/>
      <c r="SGR45" s="1469"/>
      <c r="SGS45" s="1469"/>
      <c r="SGT45" s="1469"/>
      <c r="SGU45" s="1469"/>
      <c r="SGV45" s="1469"/>
      <c r="SGW45" s="1469"/>
      <c r="SGX45" s="1469"/>
      <c r="SGY45" s="1469"/>
      <c r="SGZ45" s="1469"/>
      <c r="SHA45" s="1469"/>
      <c r="SHB45" s="1469"/>
      <c r="SHC45" s="1469"/>
      <c r="SHD45" s="1469"/>
      <c r="SHE45" s="1469"/>
      <c r="SHF45" s="1469"/>
      <c r="SHG45" s="1469"/>
      <c r="SHH45" s="1469"/>
      <c r="SHI45" s="1469"/>
      <c r="SHJ45" s="1469"/>
      <c r="SHK45" s="1469"/>
      <c r="SHL45" s="1469"/>
      <c r="SHM45" s="1469"/>
      <c r="SHN45" s="1469"/>
      <c r="SHO45" s="1469"/>
      <c r="SHP45" s="1469"/>
      <c r="SHQ45" s="1469"/>
      <c r="SHR45" s="1469"/>
      <c r="SHS45" s="1469"/>
      <c r="SHT45" s="1469"/>
      <c r="SHU45" s="1469"/>
      <c r="SHV45" s="1469"/>
      <c r="SHW45" s="1469"/>
      <c r="SHX45" s="1469"/>
      <c r="SHY45" s="1469"/>
      <c r="SHZ45" s="1469"/>
      <c r="SIA45" s="1469"/>
      <c r="SIB45" s="1469"/>
      <c r="SIC45" s="1469"/>
      <c r="SID45" s="1469"/>
      <c r="SIE45" s="1469"/>
      <c r="SIF45" s="1469"/>
      <c r="SIG45" s="1469"/>
      <c r="SIH45" s="1469"/>
      <c r="SII45" s="1469"/>
      <c r="SIJ45" s="1469"/>
      <c r="SIK45" s="1469"/>
      <c r="SIL45" s="1469"/>
      <c r="SIM45" s="1469"/>
      <c r="SIN45" s="1469"/>
      <c r="SIO45" s="1469"/>
      <c r="SIP45" s="1469"/>
      <c r="SIQ45" s="1469"/>
      <c r="SIR45" s="1469"/>
      <c r="SIS45" s="1469"/>
      <c r="SIT45" s="1469"/>
      <c r="SIU45" s="1469"/>
      <c r="SIV45" s="1469"/>
      <c r="SIW45" s="1469"/>
      <c r="SIX45" s="1469"/>
      <c r="SIY45" s="1469"/>
      <c r="SIZ45" s="1469"/>
      <c r="SJA45" s="1469"/>
      <c r="SJB45" s="1469"/>
      <c r="SJC45" s="1469"/>
      <c r="SJD45" s="1469"/>
      <c r="SJE45" s="1469"/>
      <c r="SJF45" s="1469"/>
      <c r="SJG45" s="1469"/>
      <c r="SJH45" s="1469"/>
      <c r="SJI45" s="1469"/>
      <c r="SJJ45" s="1469"/>
      <c r="SJK45" s="1469"/>
      <c r="SJL45" s="1469"/>
      <c r="SJM45" s="1469"/>
      <c r="SJN45" s="1469"/>
      <c r="SJO45" s="1469"/>
      <c r="SJP45" s="1469"/>
      <c r="SJQ45" s="1469"/>
      <c r="SJR45" s="1469"/>
      <c r="SJS45" s="1469"/>
      <c r="SJT45" s="1469"/>
      <c r="SJU45" s="1469"/>
      <c r="SJV45" s="1469"/>
      <c r="SJW45" s="1469"/>
      <c r="SJX45" s="1469"/>
      <c r="SJY45" s="1469"/>
      <c r="SJZ45" s="1469"/>
      <c r="SKA45" s="1469"/>
      <c r="SKB45" s="1469"/>
      <c r="SKC45" s="1469"/>
      <c r="SKD45" s="1469"/>
      <c r="SKE45" s="1469"/>
      <c r="SKF45" s="1469"/>
      <c r="SKG45" s="1469"/>
      <c r="SKH45" s="1469"/>
      <c r="SKI45" s="1469"/>
      <c r="SKJ45" s="1469"/>
      <c r="SKK45" s="1469"/>
      <c r="SKL45" s="1469"/>
      <c r="SKM45" s="1469"/>
      <c r="SKN45" s="1469"/>
      <c r="SKO45" s="1469"/>
      <c r="SKP45" s="1469"/>
      <c r="SKQ45" s="1469"/>
      <c r="SKR45" s="1469"/>
      <c r="SKS45" s="1469"/>
      <c r="SKT45" s="1469"/>
      <c r="SKU45" s="1469"/>
      <c r="SKV45" s="1469"/>
      <c r="SKW45" s="1469"/>
      <c r="SKX45" s="1469"/>
      <c r="SKY45" s="1469"/>
      <c r="SKZ45" s="1469"/>
      <c r="SLA45" s="1469"/>
      <c r="SLB45" s="1469"/>
      <c r="SLC45" s="1469"/>
      <c r="SLD45" s="1469"/>
      <c r="SLE45" s="1469"/>
      <c r="SLF45" s="1469"/>
      <c r="SLG45" s="1469"/>
      <c r="SLH45" s="1469"/>
      <c r="SLI45" s="1469"/>
      <c r="SLJ45" s="1469"/>
      <c r="SLK45" s="1469"/>
      <c r="SLL45" s="1469"/>
      <c r="SLM45" s="1469"/>
      <c r="SLN45" s="1469"/>
      <c r="SLO45" s="1469"/>
      <c r="SLP45" s="1469"/>
      <c r="SLQ45" s="1469"/>
      <c r="SLR45" s="1469"/>
      <c r="SLS45" s="1469"/>
      <c r="SLT45" s="1469"/>
      <c r="SLU45" s="1469"/>
      <c r="SLV45" s="1469"/>
      <c r="SLW45" s="1469"/>
      <c r="SLX45" s="1469"/>
      <c r="SLY45" s="1469"/>
      <c r="SLZ45" s="1469"/>
      <c r="SMA45" s="1469"/>
      <c r="SMB45" s="1469"/>
      <c r="SMC45" s="1469"/>
      <c r="SMD45" s="1469"/>
      <c r="SME45" s="1469"/>
      <c r="SMF45" s="1469"/>
      <c r="SMG45" s="1469"/>
      <c r="SMH45" s="1469"/>
      <c r="SMI45" s="1469"/>
      <c r="SMJ45" s="1469"/>
      <c r="SMK45" s="1469"/>
      <c r="SML45" s="1469"/>
      <c r="SMM45" s="1469"/>
      <c r="SMN45" s="1469"/>
      <c r="SMO45" s="1469"/>
      <c r="SMP45" s="1469"/>
      <c r="SMQ45" s="1469"/>
      <c r="SMR45" s="1469"/>
      <c r="SMS45" s="1469"/>
      <c r="SMT45" s="1469"/>
      <c r="SMU45" s="1469"/>
      <c r="SMV45" s="1469"/>
      <c r="SMW45" s="1469"/>
      <c r="SMX45" s="1469"/>
      <c r="SMY45" s="1469"/>
      <c r="SMZ45" s="1469"/>
      <c r="SNA45" s="1469"/>
      <c r="SNB45" s="1469"/>
      <c r="SNC45" s="1469"/>
      <c r="SND45" s="1469"/>
      <c r="SNE45" s="1469"/>
      <c r="SNF45" s="1469"/>
      <c r="SNG45" s="1469"/>
      <c r="SNH45" s="1469"/>
      <c r="SNI45" s="1469"/>
      <c r="SNJ45" s="1469"/>
      <c r="SNK45" s="1469"/>
      <c r="SNL45" s="1469"/>
      <c r="SNM45" s="1469"/>
      <c r="SNN45" s="1469"/>
      <c r="SNO45" s="1469"/>
      <c r="SNP45" s="1469"/>
      <c r="SNQ45" s="1469"/>
      <c r="SNR45" s="1469"/>
      <c r="SNS45" s="1469"/>
      <c r="SNT45" s="1469"/>
      <c r="SNU45" s="1469"/>
      <c r="SNV45" s="1469"/>
      <c r="SNW45" s="1469"/>
      <c r="SNX45" s="1469"/>
      <c r="SNY45" s="1469"/>
      <c r="SNZ45" s="1469"/>
      <c r="SOA45" s="1469"/>
      <c r="SOB45" s="1469"/>
      <c r="SOC45" s="1469"/>
      <c r="SOD45" s="1469"/>
      <c r="SOE45" s="1469"/>
      <c r="SOF45" s="1469"/>
      <c r="SOG45" s="1469"/>
      <c r="SOH45" s="1469"/>
      <c r="SOI45" s="1469"/>
      <c r="SOJ45" s="1469"/>
      <c r="SOK45" s="1469"/>
      <c r="SOL45" s="1469"/>
      <c r="SOM45" s="1469"/>
      <c r="SON45" s="1469"/>
      <c r="SOO45" s="1469"/>
      <c r="SOP45" s="1469"/>
      <c r="SOQ45" s="1469"/>
      <c r="SOR45" s="1469"/>
      <c r="SOS45" s="1469"/>
      <c r="SOT45" s="1469"/>
      <c r="SOU45" s="1469"/>
      <c r="SOV45" s="1469"/>
      <c r="SOW45" s="1469"/>
      <c r="SOX45" s="1469"/>
      <c r="SOY45" s="1469"/>
      <c r="SOZ45" s="1469"/>
      <c r="SPA45" s="1469"/>
      <c r="SPB45" s="1469"/>
      <c r="SPC45" s="1469"/>
      <c r="SPD45" s="1469"/>
      <c r="SPE45" s="1469"/>
      <c r="SPF45" s="1469"/>
      <c r="SPG45" s="1469"/>
      <c r="SPH45" s="1469"/>
      <c r="SPI45" s="1469"/>
      <c r="SPJ45" s="1469"/>
      <c r="SPK45" s="1469"/>
      <c r="SPL45" s="1469"/>
      <c r="SPM45" s="1469"/>
      <c r="SPN45" s="1469"/>
      <c r="SPO45" s="1469"/>
      <c r="SPP45" s="1469"/>
      <c r="SPQ45" s="1469"/>
      <c r="SPR45" s="1469"/>
      <c r="SPS45" s="1469"/>
      <c r="SPT45" s="1469"/>
      <c r="SPU45" s="1469"/>
      <c r="SPV45" s="1469"/>
      <c r="SPW45" s="1469"/>
      <c r="SPX45" s="1469"/>
      <c r="SPY45" s="1469"/>
      <c r="SPZ45" s="1469"/>
      <c r="SQA45" s="1469"/>
      <c r="SQB45" s="1469"/>
      <c r="SQC45" s="1469"/>
      <c r="SQD45" s="1469"/>
      <c r="SQE45" s="1469"/>
      <c r="SQF45" s="1469"/>
      <c r="SQG45" s="1469"/>
      <c r="SQH45" s="1469"/>
      <c r="SQI45" s="1469"/>
      <c r="SQJ45" s="1469"/>
      <c r="SQK45" s="1469"/>
      <c r="SQL45" s="1469"/>
      <c r="SQM45" s="1469"/>
      <c r="SQN45" s="1469"/>
      <c r="SQO45" s="1469"/>
      <c r="SQP45" s="1469"/>
      <c r="SQQ45" s="1469"/>
      <c r="SQR45" s="1469"/>
      <c r="SQS45" s="1469"/>
      <c r="SQT45" s="1469"/>
      <c r="SQU45" s="1469"/>
      <c r="SQV45" s="1469"/>
      <c r="SQW45" s="1469"/>
      <c r="SQX45" s="1469"/>
      <c r="SQY45" s="1469"/>
      <c r="SQZ45" s="1469"/>
      <c r="SRA45" s="1469"/>
      <c r="SRB45" s="1469"/>
      <c r="SRC45" s="1469"/>
      <c r="SRD45" s="1469"/>
      <c r="SRE45" s="1469"/>
      <c r="SRF45" s="1469"/>
      <c r="SRG45" s="1469"/>
      <c r="SRH45" s="1469"/>
      <c r="SRI45" s="1469"/>
      <c r="SRJ45" s="1469"/>
      <c r="SRK45" s="1469"/>
      <c r="SRL45" s="1469"/>
      <c r="SRM45" s="1469"/>
      <c r="SRN45" s="1469"/>
      <c r="SRO45" s="1469"/>
      <c r="SRP45" s="1469"/>
      <c r="SRQ45" s="1469"/>
      <c r="SRR45" s="1469"/>
      <c r="SRS45" s="1469"/>
      <c r="SRT45" s="1469"/>
      <c r="SRU45" s="1469"/>
      <c r="SRV45" s="1469"/>
      <c r="SRW45" s="1469"/>
      <c r="SRX45" s="1469"/>
      <c r="SRY45" s="1469"/>
      <c r="SRZ45" s="1469"/>
      <c r="SSA45" s="1469"/>
      <c r="SSB45" s="1469"/>
      <c r="SSC45" s="1469"/>
      <c r="SSD45" s="1469"/>
      <c r="SSE45" s="1469"/>
      <c r="SSF45" s="1469"/>
      <c r="SSG45" s="1469"/>
      <c r="SSH45" s="1469"/>
      <c r="SSI45" s="1469"/>
      <c r="SSJ45" s="1469"/>
      <c r="SSK45" s="1469"/>
      <c r="SSL45" s="1469"/>
      <c r="SSM45" s="1469"/>
      <c r="SSN45" s="1469"/>
      <c r="SSO45" s="1469"/>
      <c r="SSP45" s="1469"/>
      <c r="SSQ45" s="1469"/>
      <c r="SSR45" s="1469"/>
      <c r="SSS45" s="1469"/>
      <c r="SST45" s="1469"/>
      <c r="SSU45" s="1469"/>
      <c r="SSV45" s="1469"/>
      <c r="SSW45" s="1469"/>
      <c r="SSX45" s="1469"/>
      <c r="SSY45" s="1469"/>
      <c r="SSZ45" s="1469"/>
      <c r="STA45" s="1469"/>
      <c r="STB45" s="1469"/>
      <c r="STC45" s="1469"/>
      <c r="STD45" s="1469"/>
      <c r="STE45" s="1469"/>
      <c r="STF45" s="1469"/>
      <c r="STG45" s="1469"/>
      <c r="STH45" s="1469"/>
      <c r="STI45" s="1469"/>
      <c r="STJ45" s="1469"/>
      <c r="STK45" s="1469"/>
      <c r="STL45" s="1469"/>
      <c r="STM45" s="1469"/>
      <c r="STN45" s="1469"/>
      <c r="STO45" s="1469"/>
      <c r="STP45" s="1469"/>
      <c r="STQ45" s="1469"/>
      <c r="STR45" s="1469"/>
      <c r="STS45" s="1469"/>
      <c r="STT45" s="1469"/>
      <c r="STU45" s="1469"/>
      <c r="STV45" s="1469"/>
      <c r="STW45" s="1469"/>
      <c r="STX45" s="1469"/>
      <c r="STY45" s="1469"/>
      <c r="STZ45" s="1469"/>
      <c r="SUA45" s="1469"/>
      <c r="SUB45" s="1469"/>
      <c r="SUC45" s="1469"/>
      <c r="SUD45" s="1469"/>
      <c r="SUE45" s="1469"/>
      <c r="SUF45" s="1469"/>
      <c r="SUG45" s="1469"/>
      <c r="SUH45" s="1469"/>
      <c r="SUI45" s="1469"/>
      <c r="SUJ45" s="1469"/>
      <c r="SUK45" s="1469"/>
      <c r="SUL45" s="1469"/>
      <c r="SUM45" s="1469"/>
      <c r="SUN45" s="1469"/>
      <c r="SUO45" s="1469"/>
      <c r="SUP45" s="1469"/>
      <c r="SUQ45" s="1469"/>
      <c r="SUR45" s="1469"/>
      <c r="SUS45" s="1469"/>
      <c r="SUT45" s="1469"/>
      <c r="SUU45" s="1469"/>
      <c r="SUV45" s="1469"/>
      <c r="SUW45" s="1469"/>
      <c r="SUX45" s="1469"/>
      <c r="SUY45" s="1469"/>
      <c r="SUZ45" s="1469"/>
      <c r="SVA45" s="1469"/>
      <c r="SVB45" s="1469"/>
      <c r="SVC45" s="1469"/>
      <c r="SVD45" s="1469"/>
      <c r="SVE45" s="1469"/>
      <c r="SVF45" s="1469"/>
      <c r="SVG45" s="1469"/>
      <c r="SVH45" s="1469"/>
      <c r="SVI45" s="1469"/>
      <c r="SVJ45" s="1469"/>
      <c r="SVK45" s="1469"/>
      <c r="SVL45" s="1469"/>
      <c r="SVM45" s="1469"/>
      <c r="SVN45" s="1469"/>
      <c r="SVO45" s="1469"/>
      <c r="SVP45" s="1469"/>
      <c r="SVQ45" s="1469"/>
      <c r="SVR45" s="1469"/>
      <c r="SVS45" s="1469"/>
      <c r="SVT45" s="1469"/>
      <c r="SVU45" s="1469"/>
      <c r="SVV45" s="1469"/>
      <c r="SVW45" s="1469"/>
      <c r="SVX45" s="1469"/>
      <c r="SVY45" s="1469"/>
      <c r="SVZ45" s="1469"/>
      <c r="SWA45" s="1469"/>
      <c r="SWB45" s="1469"/>
      <c r="SWC45" s="1469"/>
      <c r="SWD45" s="1469"/>
      <c r="SWE45" s="1469"/>
      <c r="SWF45" s="1469"/>
      <c r="SWG45" s="1469"/>
      <c r="SWH45" s="1469"/>
      <c r="SWI45" s="1469"/>
      <c r="SWJ45" s="1469"/>
      <c r="SWK45" s="1469"/>
      <c r="SWL45" s="1469"/>
      <c r="SWM45" s="1469"/>
      <c r="SWN45" s="1469"/>
      <c r="SWO45" s="1469"/>
      <c r="SWP45" s="1469"/>
      <c r="SWQ45" s="1469"/>
      <c r="SWR45" s="1469"/>
      <c r="SWS45" s="1469"/>
      <c r="SWT45" s="1469"/>
      <c r="SWU45" s="1469"/>
      <c r="SWV45" s="1469"/>
      <c r="SWW45" s="1469"/>
      <c r="SWX45" s="1469"/>
      <c r="SWY45" s="1469"/>
      <c r="SWZ45" s="1469"/>
      <c r="SXA45" s="1469"/>
      <c r="SXB45" s="1469"/>
      <c r="SXC45" s="1469"/>
      <c r="SXD45" s="1469"/>
      <c r="SXE45" s="1469"/>
      <c r="SXF45" s="1469"/>
      <c r="SXG45" s="1469"/>
      <c r="SXH45" s="1469"/>
      <c r="SXI45" s="1469"/>
      <c r="SXJ45" s="1469"/>
      <c r="SXK45" s="1469"/>
      <c r="SXL45" s="1469"/>
      <c r="SXM45" s="1469"/>
      <c r="SXN45" s="1469"/>
      <c r="SXO45" s="1469"/>
      <c r="SXP45" s="1469"/>
      <c r="SXQ45" s="1469"/>
      <c r="SXR45" s="1469"/>
      <c r="SXS45" s="1469"/>
      <c r="SXT45" s="1469"/>
      <c r="SXU45" s="1469"/>
      <c r="SXV45" s="1469"/>
      <c r="SXW45" s="1469"/>
      <c r="SXX45" s="1469"/>
      <c r="SXY45" s="1469"/>
      <c r="SXZ45" s="1469"/>
      <c r="SYA45" s="1469"/>
      <c r="SYB45" s="1469"/>
      <c r="SYC45" s="1469"/>
      <c r="SYD45" s="1469"/>
      <c r="SYE45" s="1469"/>
      <c r="SYF45" s="1469"/>
      <c r="SYG45" s="1469"/>
      <c r="SYH45" s="1469"/>
      <c r="SYI45" s="1469"/>
      <c r="SYJ45" s="1469"/>
      <c r="SYK45" s="1469"/>
      <c r="SYL45" s="1469"/>
      <c r="SYM45" s="1469"/>
      <c r="SYN45" s="1469"/>
      <c r="SYO45" s="1469"/>
      <c r="SYP45" s="1469"/>
      <c r="SYQ45" s="1469"/>
      <c r="SYR45" s="1469"/>
      <c r="SYS45" s="1469"/>
      <c r="SYT45" s="1469"/>
      <c r="SYU45" s="1469"/>
      <c r="SYV45" s="1469"/>
      <c r="SYW45" s="1469"/>
      <c r="SYX45" s="1469"/>
      <c r="SYY45" s="1469"/>
      <c r="SYZ45" s="1469"/>
      <c r="SZA45" s="1469"/>
      <c r="SZB45" s="1469"/>
      <c r="SZC45" s="1469"/>
      <c r="SZD45" s="1469"/>
      <c r="SZE45" s="1469"/>
      <c r="SZF45" s="1469"/>
      <c r="SZG45" s="1469"/>
      <c r="SZH45" s="1469"/>
      <c r="SZI45" s="1469"/>
      <c r="SZJ45" s="1469"/>
      <c r="SZK45" s="1469"/>
      <c r="SZL45" s="1469"/>
      <c r="SZM45" s="1469"/>
      <c r="SZN45" s="1469"/>
      <c r="SZO45" s="1469"/>
      <c r="SZP45" s="1469"/>
      <c r="SZQ45" s="1469"/>
      <c r="SZR45" s="1469"/>
      <c r="SZS45" s="1469"/>
      <c r="SZT45" s="1469"/>
      <c r="SZU45" s="1469"/>
      <c r="SZV45" s="1469"/>
      <c r="SZW45" s="1469"/>
      <c r="SZX45" s="1469"/>
      <c r="SZY45" s="1469"/>
      <c r="SZZ45" s="1469"/>
      <c r="TAA45" s="1469"/>
      <c r="TAB45" s="1469"/>
      <c r="TAC45" s="1469"/>
      <c r="TAD45" s="1469"/>
      <c r="TAE45" s="1469"/>
      <c r="TAF45" s="1469"/>
      <c r="TAG45" s="1469"/>
      <c r="TAH45" s="1469"/>
      <c r="TAI45" s="1469"/>
      <c r="TAJ45" s="1469"/>
      <c r="TAK45" s="1469"/>
      <c r="TAL45" s="1469"/>
      <c r="TAM45" s="1469"/>
      <c r="TAN45" s="1469"/>
      <c r="TAO45" s="1469"/>
      <c r="TAP45" s="1469"/>
      <c r="TAQ45" s="1469"/>
      <c r="TAR45" s="1469"/>
      <c r="TAS45" s="1469"/>
      <c r="TAT45" s="1469"/>
      <c r="TAU45" s="1469"/>
      <c r="TAV45" s="1469"/>
      <c r="TAW45" s="1469"/>
      <c r="TAX45" s="1469"/>
      <c r="TAY45" s="1469"/>
      <c r="TAZ45" s="1469"/>
      <c r="TBA45" s="1469"/>
      <c r="TBB45" s="1469"/>
      <c r="TBC45" s="1469"/>
      <c r="TBD45" s="1469"/>
      <c r="TBE45" s="1469"/>
      <c r="TBF45" s="1469"/>
      <c r="TBG45" s="1469"/>
      <c r="TBH45" s="1469"/>
      <c r="TBI45" s="1469"/>
      <c r="TBJ45" s="1469"/>
      <c r="TBK45" s="1469"/>
      <c r="TBL45" s="1469"/>
      <c r="TBM45" s="1469"/>
      <c r="TBN45" s="1469"/>
      <c r="TBO45" s="1469"/>
      <c r="TBP45" s="1469"/>
      <c r="TBQ45" s="1469"/>
      <c r="TBR45" s="1469"/>
      <c r="TBS45" s="1469"/>
      <c r="TBT45" s="1469"/>
      <c r="TBU45" s="1469"/>
      <c r="TBV45" s="1469"/>
      <c r="TBW45" s="1469"/>
      <c r="TBX45" s="1469"/>
      <c r="TBY45" s="1469"/>
      <c r="TBZ45" s="1469"/>
      <c r="TCA45" s="1469"/>
      <c r="TCB45" s="1469"/>
      <c r="TCC45" s="1469"/>
      <c r="TCD45" s="1469"/>
      <c r="TCE45" s="1469"/>
      <c r="TCF45" s="1469"/>
      <c r="TCG45" s="1469"/>
      <c r="TCH45" s="1469"/>
      <c r="TCI45" s="1469"/>
      <c r="TCJ45" s="1469"/>
      <c r="TCK45" s="1469"/>
      <c r="TCL45" s="1469"/>
      <c r="TCM45" s="1469"/>
      <c r="TCN45" s="1469"/>
      <c r="TCO45" s="1469"/>
      <c r="TCP45" s="1469"/>
      <c r="TCQ45" s="1469"/>
      <c r="TCR45" s="1469"/>
      <c r="TCS45" s="1469"/>
      <c r="TCT45" s="1469"/>
      <c r="TCU45" s="1469"/>
      <c r="TCV45" s="1469"/>
      <c r="TCW45" s="1469"/>
      <c r="TCX45" s="1469"/>
      <c r="TCY45" s="1469"/>
      <c r="TCZ45" s="1469"/>
      <c r="TDA45" s="1469"/>
      <c r="TDB45" s="1469"/>
      <c r="TDC45" s="1469"/>
      <c r="TDD45" s="1469"/>
      <c r="TDE45" s="1469"/>
      <c r="TDF45" s="1469"/>
      <c r="TDG45" s="1469"/>
      <c r="TDH45" s="1469"/>
      <c r="TDI45" s="1469"/>
      <c r="TDJ45" s="1469"/>
      <c r="TDK45" s="1469"/>
      <c r="TDL45" s="1469"/>
      <c r="TDM45" s="1469"/>
      <c r="TDN45" s="1469"/>
      <c r="TDO45" s="1469"/>
      <c r="TDP45" s="1469"/>
      <c r="TDQ45" s="1469"/>
      <c r="TDR45" s="1469"/>
      <c r="TDS45" s="1469"/>
      <c r="TDT45" s="1469"/>
      <c r="TDU45" s="1469"/>
      <c r="TDV45" s="1469"/>
      <c r="TDW45" s="1469"/>
      <c r="TDX45" s="1469"/>
      <c r="TDY45" s="1469"/>
      <c r="TDZ45" s="1469"/>
      <c r="TEA45" s="1469"/>
      <c r="TEB45" s="1469"/>
      <c r="TEC45" s="1469"/>
      <c r="TED45" s="1469"/>
      <c r="TEE45" s="1469"/>
      <c r="TEF45" s="1469"/>
      <c r="TEG45" s="1469"/>
      <c r="TEH45" s="1469"/>
      <c r="TEI45" s="1469"/>
      <c r="TEJ45" s="1469"/>
      <c r="TEK45" s="1469"/>
      <c r="TEL45" s="1469"/>
      <c r="TEM45" s="1469"/>
      <c r="TEN45" s="1469"/>
      <c r="TEO45" s="1469"/>
      <c r="TEP45" s="1469"/>
      <c r="TEQ45" s="1469"/>
      <c r="TER45" s="1469"/>
      <c r="TES45" s="1469"/>
      <c r="TET45" s="1469"/>
      <c r="TEU45" s="1469"/>
      <c r="TEV45" s="1469"/>
      <c r="TEW45" s="1469"/>
      <c r="TEX45" s="1469"/>
      <c r="TEY45" s="1469"/>
      <c r="TEZ45" s="1469"/>
      <c r="TFA45" s="1469"/>
      <c r="TFB45" s="1469"/>
      <c r="TFC45" s="1469"/>
      <c r="TFD45" s="1469"/>
      <c r="TFE45" s="1469"/>
      <c r="TFF45" s="1469"/>
      <c r="TFG45" s="1469"/>
      <c r="TFH45" s="1469"/>
      <c r="TFI45" s="1469"/>
      <c r="TFJ45" s="1469"/>
      <c r="TFK45" s="1469"/>
      <c r="TFL45" s="1469"/>
      <c r="TFM45" s="1469"/>
      <c r="TFN45" s="1469"/>
      <c r="TFO45" s="1469"/>
      <c r="TFP45" s="1469"/>
      <c r="TFQ45" s="1469"/>
      <c r="TFR45" s="1469"/>
      <c r="TFS45" s="1469"/>
      <c r="TFT45" s="1469"/>
      <c r="TFU45" s="1469"/>
      <c r="TFV45" s="1469"/>
      <c r="TFW45" s="1469"/>
      <c r="TFX45" s="1469"/>
      <c r="TFY45" s="1469"/>
      <c r="TFZ45" s="1469"/>
      <c r="TGA45" s="1469"/>
      <c r="TGB45" s="1469"/>
      <c r="TGC45" s="1469"/>
      <c r="TGD45" s="1469"/>
      <c r="TGE45" s="1469"/>
      <c r="TGF45" s="1469"/>
      <c r="TGG45" s="1469"/>
      <c r="TGH45" s="1469"/>
      <c r="TGI45" s="1469"/>
      <c r="TGJ45" s="1469"/>
      <c r="TGK45" s="1469"/>
      <c r="TGL45" s="1469"/>
      <c r="TGM45" s="1469"/>
      <c r="TGN45" s="1469"/>
      <c r="TGO45" s="1469"/>
      <c r="TGP45" s="1469"/>
      <c r="TGQ45" s="1469"/>
      <c r="TGR45" s="1469"/>
      <c r="TGS45" s="1469"/>
      <c r="TGT45" s="1469"/>
      <c r="TGU45" s="1469"/>
      <c r="TGV45" s="1469"/>
      <c r="TGW45" s="1469"/>
      <c r="TGX45" s="1469"/>
      <c r="TGY45" s="1469"/>
      <c r="TGZ45" s="1469"/>
      <c r="THA45" s="1469"/>
      <c r="THB45" s="1469"/>
      <c r="THC45" s="1469"/>
      <c r="THD45" s="1469"/>
      <c r="THE45" s="1469"/>
      <c r="THF45" s="1469"/>
      <c r="THG45" s="1469"/>
      <c r="THH45" s="1469"/>
      <c r="THI45" s="1469"/>
      <c r="THJ45" s="1469"/>
      <c r="THK45" s="1469"/>
      <c r="THL45" s="1469"/>
      <c r="THM45" s="1469"/>
      <c r="THN45" s="1469"/>
      <c r="THO45" s="1469"/>
      <c r="THP45" s="1469"/>
      <c r="THQ45" s="1469"/>
      <c r="THR45" s="1469"/>
      <c r="THS45" s="1469"/>
      <c r="THT45" s="1469"/>
      <c r="THU45" s="1469"/>
      <c r="THV45" s="1469"/>
      <c r="THW45" s="1469"/>
      <c r="THX45" s="1469"/>
      <c r="THY45" s="1469"/>
      <c r="THZ45" s="1469"/>
      <c r="TIA45" s="1469"/>
      <c r="TIB45" s="1469"/>
      <c r="TIC45" s="1469"/>
      <c r="TID45" s="1469"/>
      <c r="TIE45" s="1469"/>
      <c r="TIF45" s="1469"/>
      <c r="TIG45" s="1469"/>
      <c r="TIH45" s="1469"/>
      <c r="TII45" s="1469"/>
      <c r="TIJ45" s="1469"/>
      <c r="TIK45" s="1469"/>
      <c r="TIL45" s="1469"/>
      <c r="TIM45" s="1469"/>
      <c r="TIN45" s="1469"/>
      <c r="TIO45" s="1469"/>
      <c r="TIP45" s="1469"/>
      <c r="TIQ45" s="1469"/>
      <c r="TIR45" s="1469"/>
      <c r="TIS45" s="1469"/>
      <c r="TIT45" s="1469"/>
      <c r="TIU45" s="1469"/>
      <c r="TIV45" s="1469"/>
      <c r="TIW45" s="1469"/>
      <c r="TIX45" s="1469"/>
      <c r="TIY45" s="1469"/>
      <c r="TIZ45" s="1469"/>
      <c r="TJA45" s="1469"/>
      <c r="TJB45" s="1469"/>
      <c r="TJC45" s="1469"/>
      <c r="TJD45" s="1469"/>
      <c r="TJE45" s="1469"/>
      <c r="TJF45" s="1469"/>
      <c r="TJG45" s="1469"/>
      <c r="TJH45" s="1469"/>
      <c r="TJI45" s="1469"/>
      <c r="TJJ45" s="1469"/>
      <c r="TJK45" s="1469"/>
      <c r="TJL45" s="1469"/>
      <c r="TJM45" s="1469"/>
      <c r="TJN45" s="1469"/>
      <c r="TJO45" s="1469"/>
      <c r="TJP45" s="1469"/>
      <c r="TJQ45" s="1469"/>
      <c r="TJR45" s="1469"/>
      <c r="TJS45" s="1469"/>
      <c r="TJT45" s="1469"/>
      <c r="TJU45" s="1469"/>
      <c r="TJV45" s="1469"/>
      <c r="TJW45" s="1469"/>
      <c r="TJX45" s="1469"/>
      <c r="TJY45" s="1469"/>
      <c r="TJZ45" s="1469"/>
      <c r="TKA45" s="1469"/>
      <c r="TKB45" s="1469"/>
      <c r="TKC45" s="1469"/>
      <c r="TKD45" s="1469"/>
      <c r="TKE45" s="1469"/>
      <c r="TKF45" s="1469"/>
      <c r="TKG45" s="1469"/>
      <c r="TKH45" s="1469"/>
      <c r="TKI45" s="1469"/>
      <c r="TKJ45" s="1469"/>
      <c r="TKK45" s="1469"/>
      <c r="TKL45" s="1469"/>
      <c r="TKM45" s="1469"/>
      <c r="TKN45" s="1469"/>
      <c r="TKO45" s="1469"/>
      <c r="TKP45" s="1469"/>
      <c r="TKQ45" s="1469"/>
      <c r="TKR45" s="1469"/>
      <c r="TKS45" s="1469"/>
      <c r="TKT45" s="1469"/>
      <c r="TKU45" s="1469"/>
      <c r="TKV45" s="1469"/>
      <c r="TKW45" s="1469"/>
      <c r="TKX45" s="1469"/>
      <c r="TKY45" s="1469"/>
      <c r="TKZ45" s="1469"/>
      <c r="TLA45" s="1469"/>
      <c r="TLB45" s="1469"/>
      <c r="TLC45" s="1469"/>
      <c r="TLD45" s="1469"/>
      <c r="TLE45" s="1469"/>
      <c r="TLF45" s="1469"/>
      <c r="TLG45" s="1469"/>
      <c r="TLH45" s="1469"/>
      <c r="TLI45" s="1469"/>
      <c r="TLJ45" s="1469"/>
      <c r="TLK45" s="1469"/>
      <c r="TLL45" s="1469"/>
      <c r="TLM45" s="1469"/>
      <c r="TLN45" s="1469"/>
      <c r="TLO45" s="1469"/>
      <c r="TLP45" s="1469"/>
      <c r="TLQ45" s="1469"/>
      <c r="TLR45" s="1469"/>
      <c r="TLS45" s="1469"/>
      <c r="TLT45" s="1469"/>
      <c r="TLU45" s="1469"/>
      <c r="TLV45" s="1469"/>
      <c r="TLW45" s="1469"/>
      <c r="TLX45" s="1469"/>
      <c r="TLY45" s="1469"/>
      <c r="TLZ45" s="1469"/>
      <c r="TMA45" s="1469"/>
      <c r="TMB45" s="1469"/>
      <c r="TMC45" s="1469"/>
      <c r="TMD45" s="1469"/>
      <c r="TME45" s="1469"/>
      <c r="TMF45" s="1469"/>
      <c r="TMG45" s="1469"/>
      <c r="TMH45" s="1469"/>
      <c r="TMI45" s="1469"/>
      <c r="TMJ45" s="1469"/>
      <c r="TMK45" s="1469"/>
      <c r="TML45" s="1469"/>
      <c r="TMM45" s="1469"/>
      <c r="TMN45" s="1469"/>
      <c r="TMO45" s="1469"/>
      <c r="TMP45" s="1469"/>
      <c r="TMQ45" s="1469"/>
      <c r="TMR45" s="1469"/>
      <c r="TMS45" s="1469"/>
      <c r="TMT45" s="1469"/>
      <c r="TMU45" s="1469"/>
      <c r="TMV45" s="1469"/>
      <c r="TMW45" s="1469"/>
      <c r="TMX45" s="1469"/>
      <c r="TMY45" s="1469"/>
      <c r="TMZ45" s="1469"/>
      <c r="TNA45" s="1469"/>
      <c r="TNB45" s="1469"/>
      <c r="TNC45" s="1469"/>
      <c r="TND45" s="1469"/>
      <c r="TNE45" s="1469"/>
      <c r="TNF45" s="1469"/>
      <c r="TNG45" s="1469"/>
      <c r="TNH45" s="1469"/>
      <c r="TNI45" s="1469"/>
      <c r="TNJ45" s="1469"/>
      <c r="TNK45" s="1469"/>
      <c r="TNL45" s="1469"/>
      <c r="TNM45" s="1469"/>
      <c r="TNN45" s="1469"/>
      <c r="TNO45" s="1469"/>
      <c r="TNP45" s="1469"/>
      <c r="TNQ45" s="1469"/>
      <c r="TNR45" s="1469"/>
      <c r="TNS45" s="1469"/>
      <c r="TNT45" s="1469"/>
      <c r="TNU45" s="1469"/>
      <c r="TNV45" s="1469"/>
      <c r="TNW45" s="1469"/>
      <c r="TNX45" s="1469"/>
      <c r="TNY45" s="1469"/>
      <c r="TNZ45" s="1469"/>
      <c r="TOA45" s="1469"/>
      <c r="TOB45" s="1469"/>
      <c r="TOC45" s="1469"/>
      <c r="TOD45" s="1469"/>
      <c r="TOE45" s="1469"/>
      <c r="TOF45" s="1469"/>
      <c r="TOG45" s="1469"/>
      <c r="TOH45" s="1469"/>
      <c r="TOI45" s="1469"/>
      <c r="TOJ45" s="1469"/>
      <c r="TOK45" s="1469"/>
      <c r="TOL45" s="1469"/>
      <c r="TOM45" s="1469"/>
      <c r="TON45" s="1469"/>
      <c r="TOO45" s="1469"/>
      <c r="TOP45" s="1469"/>
      <c r="TOQ45" s="1469"/>
      <c r="TOR45" s="1469"/>
      <c r="TOS45" s="1469"/>
      <c r="TOT45" s="1469"/>
      <c r="TOU45" s="1469"/>
      <c r="TOV45" s="1469"/>
      <c r="TOW45" s="1469"/>
      <c r="TOX45" s="1469"/>
      <c r="TOY45" s="1469"/>
      <c r="TOZ45" s="1469"/>
      <c r="TPA45" s="1469"/>
      <c r="TPB45" s="1469"/>
      <c r="TPC45" s="1469"/>
      <c r="TPD45" s="1469"/>
      <c r="TPE45" s="1469"/>
      <c r="TPF45" s="1469"/>
      <c r="TPG45" s="1469"/>
      <c r="TPH45" s="1469"/>
      <c r="TPI45" s="1469"/>
      <c r="TPJ45" s="1469"/>
      <c r="TPK45" s="1469"/>
      <c r="TPL45" s="1469"/>
      <c r="TPM45" s="1469"/>
      <c r="TPN45" s="1469"/>
      <c r="TPO45" s="1469"/>
      <c r="TPP45" s="1469"/>
      <c r="TPQ45" s="1469"/>
      <c r="TPR45" s="1469"/>
      <c r="TPS45" s="1469"/>
      <c r="TPT45" s="1469"/>
      <c r="TPU45" s="1469"/>
      <c r="TPV45" s="1469"/>
      <c r="TPW45" s="1469"/>
      <c r="TPX45" s="1469"/>
      <c r="TPY45" s="1469"/>
      <c r="TPZ45" s="1469"/>
      <c r="TQA45" s="1469"/>
      <c r="TQB45" s="1469"/>
      <c r="TQC45" s="1469"/>
      <c r="TQD45" s="1469"/>
      <c r="TQE45" s="1469"/>
      <c r="TQF45" s="1469"/>
      <c r="TQG45" s="1469"/>
      <c r="TQH45" s="1469"/>
      <c r="TQI45" s="1469"/>
      <c r="TQJ45" s="1469"/>
      <c r="TQK45" s="1469"/>
      <c r="TQL45" s="1469"/>
      <c r="TQM45" s="1469"/>
      <c r="TQN45" s="1469"/>
      <c r="TQO45" s="1469"/>
      <c r="TQP45" s="1469"/>
      <c r="TQQ45" s="1469"/>
      <c r="TQR45" s="1469"/>
      <c r="TQS45" s="1469"/>
      <c r="TQT45" s="1469"/>
      <c r="TQU45" s="1469"/>
      <c r="TQV45" s="1469"/>
      <c r="TQW45" s="1469"/>
      <c r="TQX45" s="1469"/>
      <c r="TQY45" s="1469"/>
      <c r="TQZ45" s="1469"/>
      <c r="TRA45" s="1469"/>
      <c r="TRB45" s="1469"/>
      <c r="TRC45" s="1469"/>
      <c r="TRD45" s="1469"/>
      <c r="TRE45" s="1469"/>
      <c r="TRF45" s="1469"/>
      <c r="TRG45" s="1469"/>
      <c r="TRH45" s="1469"/>
      <c r="TRI45" s="1469"/>
      <c r="TRJ45" s="1469"/>
      <c r="TRK45" s="1469"/>
      <c r="TRL45" s="1469"/>
      <c r="TRM45" s="1469"/>
      <c r="TRN45" s="1469"/>
      <c r="TRO45" s="1469"/>
      <c r="TRP45" s="1469"/>
      <c r="TRQ45" s="1469"/>
      <c r="TRR45" s="1469"/>
      <c r="TRS45" s="1469"/>
      <c r="TRT45" s="1469"/>
      <c r="TRU45" s="1469"/>
      <c r="TRV45" s="1469"/>
      <c r="TRW45" s="1469"/>
      <c r="TRX45" s="1469"/>
      <c r="TRY45" s="1469"/>
      <c r="TRZ45" s="1469"/>
      <c r="TSA45" s="1469"/>
      <c r="TSB45" s="1469"/>
      <c r="TSC45" s="1469"/>
      <c r="TSD45" s="1469"/>
      <c r="TSE45" s="1469"/>
      <c r="TSF45" s="1469"/>
      <c r="TSG45" s="1469"/>
      <c r="TSH45" s="1469"/>
      <c r="TSI45" s="1469"/>
      <c r="TSJ45" s="1469"/>
      <c r="TSK45" s="1469"/>
      <c r="TSL45" s="1469"/>
      <c r="TSM45" s="1469"/>
      <c r="TSN45" s="1469"/>
      <c r="TSO45" s="1469"/>
      <c r="TSP45" s="1469"/>
      <c r="TSQ45" s="1469"/>
      <c r="TSR45" s="1469"/>
      <c r="TSS45" s="1469"/>
      <c r="TST45" s="1469"/>
      <c r="TSU45" s="1469"/>
      <c r="TSV45" s="1469"/>
      <c r="TSW45" s="1469"/>
      <c r="TSX45" s="1469"/>
      <c r="TSY45" s="1469"/>
      <c r="TSZ45" s="1469"/>
      <c r="TTA45" s="1469"/>
      <c r="TTB45" s="1469"/>
      <c r="TTC45" s="1469"/>
      <c r="TTD45" s="1469"/>
      <c r="TTE45" s="1469"/>
      <c r="TTF45" s="1469"/>
      <c r="TTG45" s="1469"/>
      <c r="TTH45" s="1469"/>
      <c r="TTI45" s="1469"/>
      <c r="TTJ45" s="1469"/>
      <c r="TTK45" s="1469"/>
      <c r="TTL45" s="1469"/>
      <c r="TTM45" s="1469"/>
      <c r="TTN45" s="1469"/>
      <c r="TTO45" s="1469"/>
      <c r="TTP45" s="1469"/>
      <c r="TTQ45" s="1469"/>
      <c r="TTR45" s="1469"/>
      <c r="TTS45" s="1469"/>
      <c r="TTT45" s="1469"/>
      <c r="TTU45" s="1469"/>
      <c r="TTV45" s="1469"/>
      <c r="TTW45" s="1469"/>
      <c r="TTX45" s="1469"/>
      <c r="TTY45" s="1469"/>
      <c r="TTZ45" s="1469"/>
      <c r="TUA45" s="1469"/>
      <c r="TUB45" s="1469"/>
      <c r="TUC45" s="1469"/>
      <c r="TUD45" s="1469"/>
      <c r="TUE45" s="1469"/>
      <c r="TUF45" s="1469"/>
      <c r="TUG45" s="1469"/>
      <c r="TUH45" s="1469"/>
      <c r="TUI45" s="1469"/>
      <c r="TUJ45" s="1469"/>
      <c r="TUK45" s="1469"/>
      <c r="TUL45" s="1469"/>
      <c r="TUM45" s="1469"/>
      <c r="TUN45" s="1469"/>
      <c r="TUO45" s="1469"/>
      <c r="TUP45" s="1469"/>
      <c r="TUQ45" s="1469"/>
      <c r="TUR45" s="1469"/>
      <c r="TUS45" s="1469"/>
      <c r="TUT45" s="1469"/>
      <c r="TUU45" s="1469"/>
      <c r="TUV45" s="1469"/>
      <c r="TUW45" s="1469"/>
      <c r="TUX45" s="1469"/>
      <c r="TUY45" s="1469"/>
      <c r="TUZ45" s="1469"/>
      <c r="TVA45" s="1469"/>
      <c r="TVB45" s="1469"/>
      <c r="TVC45" s="1469"/>
      <c r="TVD45" s="1469"/>
      <c r="TVE45" s="1469"/>
      <c r="TVF45" s="1469"/>
      <c r="TVG45" s="1469"/>
      <c r="TVH45" s="1469"/>
      <c r="TVI45" s="1469"/>
      <c r="TVJ45" s="1469"/>
      <c r="TVK45" s="1469"/>
      <c r="TVL45" s="1469"/>
      <c r="TVM45" s="1469"/>
      <c r="TVN45" s="1469"/>
      <c r="TVO45" s="1469"/>
      <c r="TVP45" s="1469"/>
      <c r="TVQ45" s="1469"/>
      <c r="TVR45" s="1469"/>
      <c r="TVS45" s="1469"/>
      <c r="TVT45" s="1469"/>
      <c r="TVU45" s="1469"/>
      <c r="TVV45" s="1469"/>
      <c r="TVW45" s="1469"/>
      <c r="TVX45" s="1469"/>
      <c r="TVY45" s="1469"/>
      <c r="TVZ45" s="1469"/>
      <c r="TWA45" s="1469"/>
      <c r="TWB45" s="1469"/>
      <c r="TWC45" s="1469"/>
      <c r="TWD45" s="1469"/>
      <c r="TWE45" s="1469"/>
      <c r="TWF45" s="1469"/>
      <c r="TWG45" s="1469"/>
      <c r="TWH45" s="1469"/>
      <c r="TWI45" s="1469"/>
      <c r="TWJ45" s="1469"/>
      <c r="TWK45" s="1469"/>
      <c r="TWL45" s="1469"/>
      <c r="TWM45" s="1469"/>
      <c r="TWN45" s="1469"/>
      <c r="TWO45" s="1469"/>
      <c r="TWP45" s="1469"/>
      <c r="TWQ45" s="1469"/>
      <c r="TWR45" s="1469"/>
      <c r="TWS45" s="1469"/>
      <c r="TWT45" s="1469"/>
      <c r="TWU45" s="1469"/>
      <c r="TWV45" s="1469"/>
      <c r="TWW45" s="1469"/>
      <c r="TWX45" s="1469"/>
      <c r="TWY45" s="1469"/>
      <c r="TWZ45" s="1469"/>
      <c r="TXA45" s="1469"/>
      <c r="TXB45" s="1469"/>
      <c r="TXC45" s="1469"/>
      <c r="TXD45" s="1469"/>
      <c r="TXE45" s="1469"/>
      <c r="TXF45" s="1469"/>
      <c r="TXG45" s="1469"/>
      <c r="TXH45" s="1469"/>
      <c r="TXI45" s="1469"/>
      <c r="TXJ45" s="1469"/>
      <c r="TXK45" s="1469"/>
      <c r="TXL45" s="1469"/>
      <c r="TXM45" s="1469"/>
      <c r="TXN45" s="1469"/>
      <c r="TXO45" s="1469"/>
      <c r="TXP45" s="1469"/>
      <c r="TXQ45" s="1469"/>
      <c r="TXR45" s="1469"/>
      <c r="TXS45" s="1469"/>
      <c r="TXT45" s="1469"/>
      <c r="TXU45" s="1469"/>
      <c r="TXV45" s="1469"/>
      <c r="TXW45" s="1469"/>
      <c r="TXX45" s="1469"/>
      <c r="TXY45" s="1469"/>
      <c r="TXZ45" s="1469"/>
      <c r="TYA45" s="1469"/>
      <c r="TYB45" s="1469"/>
      <c r="TYC45" s="1469"/>
      <c r="TYD45" s="1469"/>
      <c r="TYE45" s="1469"/>
      <c r="TYF45" s="1469"/>
      <c r="TYG45" s="1469"/>
      <c r="TYH45" s="1469"/>
      <c r="TYI45" s="1469"/>
      <c r="TYJ45" s="1469"/>
      <c r="TYK45" s="1469"/>
      <c r="TYL45" s="1469"/>
      <c r="TYM45" s="1469"/>
      <c r="TYN45" s="1469"/>
      <c r="TYO45" s="1469"/>
      <c r="TYP45" s="1469"/>
      <c r="TYQ45" s="1469"/>
      <c r="TYR45" s="1469"/>
      <c r="TYS45" s="1469"/>
      <c r="TYT45" s="1469"/>
      <c r="TYU45" s="1469"/>
      <c r="TYV45" s="1469"/>
      <c r="TYW45" s="1469"/>
      <c r="TYX45" s="1469"/>
      <c r="TYY45" s="1469"/>
      <c r="TYZ45" s="1469"/>
      <c r="TZA45" s="1469"/>
      <c r="TZB45" s="1469"/>
      <c r="TZC45" s="1469"/>
      <c r="TZD45" s="1469"/>
      <c r="TZE45" s="1469"/>
      <c r="TZF45" s="1469"/>
      <c r="TZG45" s="1469"/>
      <c r="TZH45" s="1469"/>
      <c r="TZI45" s="1469"/>
      <c r="TZJ45" s="1469"/>
      <c r="TZK45" s="1469"/>
      <c r="TZL45" s="1469"/>
      <c r="TZM45" s="1469"/>
      <c r="TZN45" s="1469"/>
      <c r="TZO45" s="1469"/>
      <c r="TZP45" s="1469"/>
      <c r="TZQ45" s="1469"/>
      <c r="TZR45" s="1469"/>
      <c r="TZS45" s="1469"/>
      <c r="TZT45" s="1469"/>
      <c r="TZU45" s="1469"/>
      <c r="TZV45" s="1469"/>
      <c r="TZW45" s="1469"/>
      <c r="TZX45" s="1469"/>
      <c r="TZY45" s="1469"/>
      <c r="TZZ45" s="1469"/>
      <c r="UAA45" s="1469"/>
      <c r="UAB45" s="1469"/>
      <c r="UAC45" s="1469"/>
      <c r="UAD45" s="1469"/>
      <c r="UAE45" s="1469"/>
      <c r="UAF45" s="1469"/>
      <c r="UAG45" s="1469"/>
      <c r="UAH45" s="1469"/>
      <c r="UAI45" s="1469"/>
      <c r="UAJ45" s="1469"/>
      <c r="UAK45" s="1469"/>
      <c r="UAL45" s="1469"/>
      <c r="UAM45" s="1469"/>
      <c r="UAN45" s="1469"/>
      <c r="UAO45" s="1469"/>
      <c r="UAP45" s="1469"/>
      <c r="UAQ45" s="1469"/>
      <c r="UAR45" s="1469"/>
      <c r="UAS45" s="1469"/>
      <c r="UAT45" s="1469"/>
      <c r="UAU45" s="1469"/>
      <c r="UAV45" s="1469"/>
      <c r="UAW45" s="1469"/>
      <c r="UAX45" s="1469"/>
      <c r="UAY45" s="1469"/>
      <c r="UAZ45" s="1469"/>
      <c r="UBA45" s="1469"/>
      <c r="UBB45" s="1469"/>
      <c r="UBC45" s="1469"/>
      <c r="UBD45" s="1469"/>
      <c r="UBE45" s="1469"/>
      <c r="UBF45" s="1469"/>
      <c r="UBG45" s="1469"/>
      <c r="UBH45" s="1469"/>
      <c r="UBI45" s="1469"/>
      <c r="UBJ45" s="1469"/>
      <c r="UBK45" s="1469"/>
      <c r="UBL45" s="1469"/>
      <c r="UBM45" s="1469"/>
      <c r="UBN45" s="1469"/>
      <c r="UBO45" s="1469"/>
      <c r="UBP45" s="1469"/>
      <c r="UBQ45" s="1469"/>
      <c r="UBR45" s="1469"/>
      <c r="UBS45" s="1469"/>
      <c r="UBT45" s="1469"/>
      <c r="UBU45" s="1469"/>
      <c r="UBV45" s="1469"/>
      <c r="UBW45" s="1469"/>
      <c r="UBX45" s="1469"/>
      <c r="UBY45" s="1469"/>
      <c r="UBZ45" s="1469"/>
      <c r="UCA45" s="1469"/>
      <c r="UCB45" s="1469"/>
      <c r="UCC45" s="1469"/>
      <c r="UCD45" s="1469"/>
      <c r="UCE45" s="1469"/>
      <c r="UCF45" s="1469"/>
      <c r="UCG45" s="1469"/>
      <c r="UCH45" s="1469"/>
      <c r="UCI45" s="1469"/>
      <c r="UCJ45" s="1469"/>
      <c r="UCK45" s="1469"/>
      <c r="UCL45" s="1469"/>
      <c r="UCM45" s="1469"/>
      <c r="UCN45" s="1469"/>
      <c r="UCO45" s="1469"/>
      <c r="UCP45" s="1469"/>
      <c r="UCQ45" s="1469"/>
      <c r="UCR45" s="1469"/>
      <c r="UCS45" s="1469"/>
      <c r="UCT45" s="1469"/>
      <c r="UCU45" s="1469"/>
      <c r="UCV45" s="1469"/>
      <c r="UCW45" s="1469"/>
      <c r="UCX45" s="1469"/>
      <c r="UCY45" s="1469"/>
      <c r="UCZ45" s="1469"/>
      <c r="UDA45" s="1469"/>
      <c r="UDB45" s="1469"/>
      <c r="UDC45" s="1469"/>
      <c r="UDD45" s="1469"/>
      <c r="UDE45" s="1469"/>
      <c r="UDF45" s="1469"/>
      <c r="UDG45" s="1469"/>
      <c r="UDH45" s="1469"/>
      <c r="UDI45" s="1469"/>
      <c r="UDJ45" s="1469"/>
      <c r="UDK45" s="1469"/>
      <c r="UDL45" s="1469"/>
      <c r="UDM45" s="1469"/>
      <c r="UDN45" s="1469"/>
      <c r="UDO45" s="1469"/>
      <c r="UDP45" s="1469"/>
      <c r="UDQ45" s="1469"/>
      <c r="UDR45" s="1469"/>
      <c r="UDS45" s="1469"/>
      <c r="UDT45" s="1469"/>
      <c r="UDU45" s="1469"/>
      <c r="UDV45" s="1469"/>
      <c r="UDW45" s="1469"/>
      <c r="UDX45" s="1469"/>
      <c r="UDY45" s="1469"/>
      <c r="UDZ45" s="1469"/>
      <c r="UEA45" s="1469"/>
      <c r="UEB45" s="1469"/>
      <c r="UEC45" s="1469"/>
      <c r="UED45" s="1469"/>
      <c r="UEE45" s="1469"/>
      <c r="UEF45" s="1469"/>
      <c r="UEG45" s="1469"/>
      <c r="UEH45" s="1469"/>
      <c r="UEI45" s="1469"/>
      <c r="UEJ45" s="1469"/>
      <c r="UEK45" s="1469"/>
      <c r="UEL45" s="1469"/>
      <c r="UEM45" s="1469"/>
      <c r="UEN45" s="1469"/>
      <c r="UEO45" s="1469"/>
      <c r="UEP45" s="1469"/>
      <c r="UEQ45" s="1469"/>
      <c r="UER45" s="1469"/>
      <c r="UES45" s="1469"/>
      <c r="UET45" s="1469"/>
      <c r="UEU45" s="1469"/>
      <c r="UEV45" s="1469"/>
      <c r="UEW45" s="1469"/>
      <c r="UEX45" s="1469"/>
      <c r="UEY45" s="1469"/>
      <c r="UEZ45" s="1469"/>
      <c r="UFA45" s="1469"/>
      <c r="UFB45" s="1469"/>
      <c r="UFC45" s="1469"/>
      <c r="UFD45" s="1469"/>
      <c r="UFE45" s="1469"/>
      <c r="UFF45" s="1469"/>
      <c r="UFG45" s="1469"/>
      <c r="UFH45" s="1469"/>
      <c r="UFI45" s="1469"/>
      <c r="UFJ45" s="1469"/>
      <c r="UFK45" s="1469"/>
      <c r="UFL45" s="1469"/>
      <c r="UFM45" s="1469"/>
      <c r="UFN45" s="1469"/>
      <c r="UFO45" s="1469"/>
      <c r="UFP45" s="1469"/>
      <c r="UFQ45" s="1469"/>
      <c r="UFR45" s="1469"/>
      <c r="UFS45" s="1469"/>
      <c r="UFT45" s="1469"/>
      <c r="UFU45" s="1469"/>
      <c r="UFV45" s="1469"/>
      <c r="UFW45" s="1469"/>
      <c r="UFX45" s="1469"/>
      <c r="UFY45" s="1469"/>
      <c r="UFZ45" s="1469"/>
      <c r="UGA45" s="1469"/>
      <c r="UGB45" s="1469"/>
      <c r="UGC45" s="1469"/>
      <c r="UGD45" s="1469"/>
      <c r="UGE45" s="1469"/>
      <c r="UGF45" s="1469"/>
      <c r="UGG45" s="1469"/>
      <c r="UGH45" s="1469"/>
      <c r="UGI45" s="1469"/>
      <c r="UGJ45" s="1469"/>
      <c r="UGK45" s="1469"/>
      <c r="UGL45" s="1469"/>
      <c r="UGM45" s="1469"/>
      <c r="UGN45" s="1469"/>
      <c r="UGO45" s="1469"/>
      <c r="UGP45" s="1469"/>
      <c r="UGQ45" s="1469"/>
      <c r="UGR45" s="1469"/>
      <c r="UGS45" s="1469"/>
      <c r="UGT45" s="1469"/>
      <c r="UGU45" s="1469"/>
      <c r="UGV45" s="1469"/>
      <c r="UGW45" s="1469"/>
      <c r="UGX45" s="1469"/>
      <c r="UGY45" s="1469"/>
      <c r="UGZ45" s="1469"/>
      <c r="UHA45" s="1469"/>
      <c r="UHB45" s="1469"/>
      <c r="UHC45" s="1469"/>
      <c r="UHD45" s="1469"/>
      <c r="UHE45" s="1469"/>
      <c r="UHF45" s="1469"/>
      <c r="UHG45" s="1469"/>
      <c r="UHH45" s="1469"/>
      <c r="UHI45" s="1469"/>
      <c r="UHJ45" s="1469"/>
      <c r="UHK45" s="1469"/>
      <c r="UHL45" s="1469"/>
      <c r="UHM45" s="1469"/>
      <c r="UHN45" s="1469"/>
      <c r="UHO45" s="1469"/>
      <c r="UHP45" s="1469"/>
      <c r="UHQ45" s="1469"/>
      <c r="UHR45" s="1469"/>
      <c r="UHS45" s="1469"/>
      <c r="UHT45" s="1469"/>
      <c r="UHU45" s="1469"/>
      <c r="UHV45" s="1469"/>
      <c r="UHW45" s="1469"/>
      <c r="UHX45" s="1469"/>
      <c r="UHY45" s="1469"/>
      <c r="UHZ45" s="1469"/>
      <c r="UIA45" s="1469"/>
      <c r="UIB45" s="1469"/>
      <c r="UIC45" s="1469"/>
      <c r="UID45" s="1469"/>
      <c r="UIE45" s="1469"/>
      <c r="UIF45" s="1469"/>
      <c r="UIG45" s="1469"/>
      <c r="UIH45" s="1469"/>
      <c r="UII45" s="1469"/>
      <c r="UIJ45" s="1469"/>
      <c r="UIK45" s="1469"/>
      <c r="UIL45" s="1469"/>
      <c r="UIM45" s="1469"/>
      <c r="UIN45" s="1469"/>
      <c r="UIO45" s="1469"/>
      <c r="UIP45" s="1469"/>
      <c r="UIQ45" s="1469"/>
      <c r="UIR45" s="1469"/>
      <c r="UIS45" s="1469"/>
      <c r="UIT45" s="1469"/>
      <c r="UIU45" s="1469"/>
      <c r="UIV45" s="1469"/>
      <c r="UIW45" s="1469"/>
      <c r="UIX45" s="1469"/>
      <c r="UIY45" s="1469"/>
      <c r="UIZ45" s="1469"/>
      <c r="UJA45" s="1469"/>
      <c r="UJB45" s="1469"/>
      <c r="UJC45" s="1469"/>
      <c r="UJD45" s="1469"/>
      <c r="UJE45" s="1469"/>
      <c r="UJF45" s="1469"/>
      <c r="UJG45" s="1469"/>
      <c r="UJH45" s="1469"/>
      <c r="UJI45" s="1469"/>
      <c r="UJJ45" s="1469"/>
      <c r="UJK45" s="1469"/>
      <c r="UJL45" s="1469"/>
      <c r="UJM45" s="1469"/>
      <c r="UJN45" s="1469"/>
      <c r="UJO45" s="1469"/>
      <c r="UJP45" s="1469"/>
      <c r="UJQ45" s="1469"/>
      <c r="UJR45" s="1469"/>
      <c r="UJS45" s="1469"/>
      <c r="UJT45" s="1469"/>
      <c r="UJU45" s="1469"/>
      <c r="UJV45" s="1469"/>
      <c r="UJW45" s="1469"/>
      <c r="UJX45" s="1469"/>
      <c r="UJY45" s="1469"/>
      <c r="UJZ45" s="1469"/>
      <c r="UKA45" s="1469"/>
      <c r="UKB45" s="1469"/>
      <c r="UKC45" s="1469"/>
      <c r="UKD45" s="1469"/>
      <c r="UKE45" s="1469"/>
      <c r="UKF45" s="1469"/>
      <c r="UKG45" s="1469"/>
      <c r="UKH45" s="1469"/>
      <c r="UKI45" s="1469"/>
      <c r="UKJ45" s="1469"/>
      <c r="UKK45" s="1469"/>
      <c r="UKL45" s="1469"/>
      <c r="UKM45" s="1469"/>
      <c r="UKN45" s="1469"/>
      <c r="UKO45" s="1469"/>
      <c r="UKP45" s="1469"/>
      <c r="UKQ45" s="1469"/>
      <c r="UKR45" s="1469"/>
      <c r="UKS45" s="1469"/>
      <c r="UKT45" s="1469"/>
      <c r="UKU45" s="1469"/>
      <c r="UKV45" s="1469"/>
      <c r="UKW45" s="1469"/>
      <c r="UKX45" s="1469"/>
      <c r="UKY45" s="1469"/>
      <c r="UKZ45" s="1469"/>
      <c r="ULA45" s="1469"/>
      <c r="ULB45" s="1469"/>
      <c r="ULC45" s="1469"/>
      <c r="ULD45" s="1469"/>
      <c r="ULE45" s="1469"/>
      <c r="ULF45" s="1469"/>
      <c r="ULG45" s="1469"/>
      <c r="ULH45" s="1469"/>
      <c r="ULI45" s="1469"/>
      <c r="ULJ45" s="1469"/>
      <c r="ULK45" s="1469"/>
      <c r="ULL45" s="1469"/>
      <c r="ULM45" s="1469"/>
      <c r="ULN45" s="1469"/>
      <c r="ULO45" s="1469"/>
      <c r="ULP45" s="1469"/>
      <c r="ULQ45" s="1469"/>
      <c r="ULR45" s="1469"/>
      <c r="ULS45" s="1469"/>
      <c r="ULT45" s="1469"/>
      <c r="ULU45" s="1469"/>
      <c r="ULV45" s="1469"/>
      <c r="ULW45" s="1469"/>
      <c r="ULX45" s="1469"/>
      <c r="ULY45" s="1469"/>
      <c r="ULZ45" s="1469"/>
      <c r="UMA45" s="1469"/>
      <c r="UMB45" s="1469"/>
      <c r="UMC45" s="1469"/>
      <c r="UMD45" s="1469"/>
      <c r="UME45" s="1469"/>
      <c r="UMF45" s="1469"/>
      <c r="UMG45" s="1469"/>
      <c r="UMH45" s="1469"/>
      <c r="UMI45" s="1469"/>
      <c r="UMJ45" s="1469"/>
      <c r="UMK45" s="1469"/>
      <c r="UML45" s="1469"/>
      <c r="UMM45" s="1469"/>
      <c r="UMN45" s="1469"/>
      <c r="UMO45" s="1469"/>
      <c r="UMP45" s="1469"/>
      <c r="UMQ45" s="1469"/>
      <c r="UMR45" s="1469"/>
      <c r="UMS45" s="1469"/>
      <c r="UMT45" s="1469"/>
      <c r="UMU45" s="1469"/>
      <c r="UMV45" s="1469"/>
      <c r="UMW45" s="1469"/>
      <c r="UMX45" s="1469"/>
      <c r="UMY45" s="1469"/>
      <c r="UMZ45" s="1469"/>
      <c r="UNA45" s="1469"/>
      <c r="UNB45" s="1469"/>
      <c r="UNC45" s="1469"/>
      <c r="UND45" s="1469"/>
      <c r="UNE45" s="1469"/>
      <c r="UNF45" s="1469"/>
      <c r="UNG45" s="1469"/>
      <c r="UNH45" s="1469"/>
      <c r="UNI45" s="1469"/>
      <c r="UNJ45" s="1469"/>
      <c r="UNK45" s="1469"/>
      <c r="UNL45" s="1469"/>
      <c r="UNM45" s="1469"/>
      <c r="UNN45" s="1469"/>
      <c r="UNO45" s="1469"/>
      <c r="UNP45" s="1469"/>
      <c r="UNQ45" s="1469"/>
      <c r="UNR45" s="1469"/>
      <c r="UNS45" s="1469"/>
      <c r="UNT45" s="1469"/>
      <c r="UNU45" s="1469"/>
      <c r="UNV45" s="1469"/>
      <c r="UNW45" s="1469"/>
      <c r="UNX45" s="1469"/>
      <c r="UNY45" s="1469"/>
      <c r="UNZ45" s="1469"/>
      <c r="UOA45" s="1469"/>
      <c r="UOB45" s="1469"/>
      <c r="UOC45" s="1469"/>
      <c r="UOD45" s="1469"/>
      <c r="UOE45" s="1469"/>
      <c r="UOF45" s="1469"/>
      <c r="UOG45" s="1469"/>
      <c r="UOH45" s="1469"/>
      <c r="UOI45" s="1469"/>
      <c r="UOJ45" s="1469"/>
      <c r="UOK45" s="1469"/>
      <c r="UOL45" s="1469"/>
      <c r="UOM45" s="1469"/>
      <c r="UON45" s="1469"/>
      <c r="UOO45" s="1469"/>
      <c r="UOP45" s="1469"/>
      <c r="UOQ45" s="1469"/>
      <c r="UOR45" s="1469"/>
      <c r="UOS45" s="1469"/>
      <c r="UOT45" s="1469"/>
      <c r="UOU45" s="1469"/>
      <c r="UOV45" s="1469"/>
      <c r="UOW45" s="1469"/>
      <c r="UOX45" s="1469"/>
      <c r="UOY45" s="1469"/>
      <c r="UOZ45" s="1469"/>
      <c r="UPA45" s="1469"/>
      <c r="UPB45" s="1469"/>
      <c r="UPC45" s="1469"/>
      <c r="UPD45" s="1469"/>
      <c r="UPE45" s="1469"/>
      <c r="UPF45" s="1469"/>
      <c r="UPG45" s="1469"/>
      <c r="UPH45" s="1469"/>
      <c r="UPI45" s="1469"/>
      <c r="UPJ45" s="1469"/>
      <c r="UPK45" s="1469"/>
      <c r="UPL45" s="1469"/>
      <c r="UPM45" s="1469"/>
      <c r="UPN45" s="1469"/>
      <c r="UPO45" s="1469"/>
      <c r="UPP45" s="1469"/>
      <c r="UPQ45" s="1469"/>
      <c r="UPR45" s="1469"/>
      <c r="UPS45" s="1469"/>
      <c r="UPT45" s="1469"/>
      <c r="UPU45" s="1469"/>
      <c r="UPV45" s="1469"/>
      <c r="UPW45" s="1469"/>
      <c r="UPX45" s="1469"/>
      <c r="UPY45" s="1469"/>
      <c r="UPZ45" s="1469"/>
      <c r="UQA45" s="1469"/>
      <c r="UQB45" s="1469"/>
      <c r="UQC45" s="1469"/>
      <c r="UQD45" s="1469"/>
      <c r="UQE45" s="1469"/>
      <c r="UQF45" s="1469"/>
      <c r="UQG45" s="1469"/>
      <c r="UQH45" s="1469"/>
      <c r="UQI45" s="1469"/>
      <c r="UQJ45" s="1469"/>
      <c r="UQK45" s="1469"/>
      <c r="UQL45" s="1469"/>
      <c r="UQM45" s="1469"/>
      <c r="UQN45" s="1469"/>
      <c r="UQO45" s="1469"/>
      <c r="UQP45" s="1469"/>
      <c r="UQQ45" s="1469"/>
      <c r="UQR45" s="1469"/>
      <c r="UQS45" s="1469"/>
      <c r="UQT45" s="1469"/>
      <c r="UQU45" s="1469"/>
      <c r="UQV45" s="1469"/>
      <c r="UQW45" s="1469"/>
      <c r="UQX45" s="1469"/>
      <c r="UQY45" s="1469"/>
      <c r="UQZ45" s="1469"/>
      <c r="URA45" s="1469"/>
      <c r="URB45" s="1469"/>
      <c r="URC45" s="1469"/>
      <c r="URD45" s="1469"/>
      <c r="URE45" s="1469"/>
      <c r="URF45" s="1469"/>
      <c r="URG45" s="1469"/>
      <c r="URH45" s="1469"/>
      <c r="URI45" s="1469"/>
      <c r="URJ45" s="1469"/>
      <c r="URK45" s="1469"/>
      <c r="URL45" s="1469"/>
      <c r="URM45" s="1469"/>
      <c r="URN45" s="1469"/>
      <c r="URO45" s="1469"/>
      <c r="URP45" s="1469"/>
      <c r="URQ45" s="1469"/>
      <c r="URR45" s="1469"/>
      <c r="URS45" s="1469"/>
      <c r="URT45" s="1469"/>
      <c r="URU45" s="1469"/>
      <c r="URV45" s="1469"/>
      <c r="URW45" s="1469"/>
      <c r="URX45" s="1469"/>
      <c r="URY45" s="1469"/>
      <c r="URZ45" s="1469"/>
      <c r="USA45" s="1469"/>
      <c r="USB45" s="1469"/>
      <c r="USC45" s="1469"/>
      <c r="USD45" s="1469"/>
      <c r="USE45" s="1469"/>
      <c r="USF45" s="1469"/>
      <c r="USG45" s="1469"/>
      <c r="USH45" s="1469"/>
      <c r="USI45" s="1469"/>
      <c r="USJ45" s="1469"/>
      <c r="USK45" s="1469"/>
      <c r="USL45" s="1469"/>
      <c r="USM45" s="1469"/>
      <c r="USN45" s="1469"/>
      <c r="USO45" s="1469"/>
      <c r="USP45" s="1469"/>
      <c r="USQ45" s="1469"/>
      <c r="USR45" s="1469"/>
      <c r="USS45" s="1469"/>
      <c r="UST45" s="1469"/>
      <c r="USU45" s="1469"/>
      <c r="USV45" s="1469"/>
      <c r="USW45" s="1469"/>
      <c r="USX45" s="1469"/>
      <c r="USY45" s="1469"/>
      <c r="USZ45" s="1469"/>
      <c r="UTA45" s="1469"/>
      <c r="UTB45" s="1469"/>
      <c r="UTC45" s="1469"/>
      <c r="UTD45" s="1469"/>
      <c r="UTE45" s="1469"/>
      <c r="UTF45" s="1469"/>
      <c r="UTG45" s="1469"/>
      <c r="UTH45" s="1469"/>
      <c r="UTI45" s="1469"/>
      <c r="UTJ45" s="1469"/>
      <c r="UTK45" s="1469"/>
      <c r="UTL45" s="1469"/>
      <c r="UTM45" s="1469"/>
      <c r="UTN45" s="1469"/>
      <c r="UTO45" s="1469"/>
      <c r="UTP45" s="1469"/>
      <c r="UTQ45" s="1469"/>
      <c r="UTR45" s="1469"/>
      <c r="UTS45" s="1469"/>
      <c r="UTT45" s="1469"/>
      <c r="UTU45" s="1469"/>
      <c r="UTV45" s="1469"/>
      <c r="UTW45" s="1469"/>
      <c r="UTX45" s="1469"/>
      <c r="UTY45" s="1469"/>
      <c r="UTZ45" s="1469"/>
      <c r="UUA45" s="1469"/>
      <c r="UUB45" s="1469"/>
      <c r="UUC45" s="1469"/>
      <c r="UUD45" s="1469"/>
      <c r="UUE45" s="1469"/>
      <c r="UUF45" s="1469"/>
      <c r="UUG45" s="1469"/>
      <c r="UUH45" s="1469"/>
      <c r="UUI45" s="1469"/>
      <c r="UUJ45" s="1469"/>
      <c r="UUK45" s="1469"/>
      <c r="UUL45" s="1469"/>
      <c r="UUM45" s="1469"/>
      <c r="UUN45" s="1469"/>
      <c r="UUO45" s="1469"/>
      <c r="UUP45" s="1469"/>
      <c r="UUQ45" s="1469"/>
      <c r="UUR45" s="1469"/>
      <c r="UUS45" s="1469"/>
      <c r="UUT45" s="1469"/>
      <c r="UUU45" s="1469"/>
      <c r="UUV45" s="1469"/>
      <c r="UUW45" s="1469"/>
      <c r="UUX45" s="1469"/>
      <c r="UUY45" s="1469"/>
      <c r="UUZ45" s="1469"/>
      <c r="UVA45" s="1469"/>
      <c r="UVB45" s="1469"/>
      <c r="UVC45" s="1469"/>
      <c r="UVD45" s="1469"/>
      <c r="UVE45" s="1469"/>
      <c r="UVF45" s="1469"/>
      <c r="UVG45" s="1469"/>
      <c r="UVH45" s="1469"/>
      <c r="UVI45" s="1469"/>
      <c r="UVJ45" s="1469"/>
      <c r="UVK45" s="1469"/>
      <c r="UVL45" s="1469"/>
      <c r="UVM45" s="1469"/>
      <c r="UVN45" s="1469"/>
      <c r="UVO45" s="1469"/>
      <c r="UVP45" s="1469"/>
      <c r="UVQ45" s="1469"/>
      <c r="UVR45" s="1469"/>
      <c r="UVS45" s="1469"/>
      <c r="UVT45" s="1469"/>
      <c r="UVU45" s="1469"/>
      <c r="UVV45" s="1469"/>
      <c r="UVW45" s="1469"/>
      <c r="UVX45" s="1469"/>
      <c r="UVY45" s="1469"/>
      <c r="UVZ45" s="1469"/>
      <c r="UWA45" s="1469"/>
      <c r="UWB45" s="1469"/>
      <c r="UWC45" s="1469"/>
      <c r="UWD45" s="1469"/>
      <c r="UWE45" s="1469"/>
      <c r="UWF45" s="1469"/>
      <c r="UWG45" s="1469"/>
      <c r="UWH45" s="1469"/>
      <c r="UWI45" s="1469"/>
      <c r="UWJ45" s="1469"/>
      <c r="UWK45" s="1469"/>
      <c r="UWL45" s="1469"/>
      <c r="UWM45" s="1469"/>
      <c r="UWN45" s="1469"/>
      <c r="UWO45" s="1469"/>
      <c r="UWP45" s="1469"/>
      <c r="UWQ45" s="1469"/>
      <c r="UWR45" s="1469"/>
      <c r="UWS45" s="1469"/>
      <c r="UWT45" s="1469"/>
      <c r="UWU45" s="1469"/>
      <c r="UWV45" s="1469"/>
      <c r="UWW45" s="1469"/>
      <c r="UWX45" s="1469"/>
      <c r="UWY45" s="1469"/>
      <c r="UWZ45" s="1469"/>
      <c r="UXA45" s="1469"/>
      <c r="UXB45" s="1469"/>
      <c r="UXC45" s="1469"/>
      <c r="UXD45" s="1469"/>
      <c r="UXE45" s="1469"/>
      <c r="UXF45" s="1469"/>
      <c r="UXG45" s="1469"/>
      <c r="UXH45" s="1469"/>
      <c r="UXI45" s="1469"/>
      <c r="UXJ45" s="1469"/>
      <c r="UXK45" s="1469"/>
      <c r="UXL45" s="1469"/>
      <c r="UXM45" s="1469"/>
      <c r="UXN45" s="1469"/>
      <c r="UXO45" s="1469"/>
      <c r="UXP45" s="1469"/>
      <c r="UXQ45" s="1469"/>
      <c r="UXR45" s="1469"/>
      <c r="UXS45" s="1469"/>
      <c r="UXT45" s="1469"/>
      <c r="UXU45" s="1469"/>
      <c r="UXV45" s="1469"/>
      <c r="UXW45" s="1469"/>
      <c r="UXX45" s="1469"/>
      <c r="UXY45" s="1469"/>
      <c r="UXZ45" s="1469"/>
      <c r="UYA45" s="1469"/>
      <c r="UYB45" s="1469"/>
      <c r="UYC45" s="1469"/>
      <c r="UYD45" s="1469"/>
      <c r="UYE45" s="1469"/>
      <c r="UYF45" s="1469"/>
      <c r="UYG45" s="1469"/>
      <c r="UYH45" s="1469"/>
      <c r="UYI45" s="1469"/>
      <c r="UYJ45" s="1469"/>
      <c r="UYK45" s="1469"/>
      <c r="UYL45" s="1469"/>
      <c r="UYM45" s="1469"/>
      <c r="UYN45" s="1469"/>
      <c r="UYO45" s="1469"/>
      <c r="UYP45" s="1469"/>
      <c r="UYQ45" s="1469"/>
      <c r="UYR45" s="1469"/>
      <c r="UYS45" s="1469"/>
      <c r="UYT45" s="1469"/>
      <c r="UYU45" s="1469"/>
      <c r="UYV45" s="1469"/>
      <c r="UYW45" s="1469"/>
      <c r="UYX45" s="1469"/>
      <c r="UYY45" s="1469"/>
      <c r="UYZ45" s="1469"/>
      <c r="UZA45" s="1469"/>
      <c r="UZB45" s="1469"/>
      <c r="UZC45" s="1469"/>
      <c r="UZD45" s="1469"/>
      <c r="UZE45" s="1469"/>
      <c r="UZF45" s="1469"/>
      <c r="UZG45" s="1469"/>
      <c r="UZH45" s="1469"/>
      <c r="UZI45" s="1469"/>
      <c r="UZJ45" s="1469"/>
      <c r="UZK45" s="1469"/>
      <c r="UZL45" s="1469"/>
      <c r="UZM45" s="1469"/>
      <c r="UZN45" s="1469"/>
      <c r="UZO45" s="1469"/>
      <c r="UZP45" s="1469"/>
      <c r="UZQ45" s="1469"/>
      <c r="UZR45" s="1469"/>
      <c r="UZS45" s="1469"/>
      <c r="UZT45" s="1469"/>
      <c r="UZU45" s="1469"/>
      <c r="UZV45" s="1469"/>
      <c r="UZW45" s="1469"/>
      <c r="UZX45" s="1469"/>
      <c r="UZY45" s="1469"/>
      <c r="UZZ45" s="1469"/>
      <c r="VAA45" s="1469"/>
      <c r="VAB45" s="1469"/>
      <c r="VAC45" s="1469"/>
      <c r="VAD45" s="1469"/>
      <c r="VAE45" s="1469"/>
      <c r="VAF45" s="1469"/>
      <c r="VAG45" s="1469"/>
      <c r="VAH45" s="1469"/>
      <c r="VAI45" s="1469"/>
      <c r="VAJ45" s="1469"/>
      <c r="VAK45" s="1469"/>
      <c r="VAL45" s="1469"/>
      <c r="VAM45" s="1469"/>
      <c r="VAN45" s="1469"/>
      <c r="VAO45" s="1469"/>
      <c r="VAP45" s="1469"/>
      <c r="VAQ45" s="1469"/>
      <c r="VAR45" s="1469"/>
      <c r="VAS45" s="1469"/>
      <c r="VAT45" s="1469"/>
      <c r="VAU45" s="1469"/>
      <c r="VAV45" s="1469"/>
      <c r="VAW45" s="1469"/>
      <c r="VAX45" s="1469"/>
      <c r="VAY45" s="1469"/>
      <c r="VAZ45" s="1469"/>
      <c r="VBA45" s="1469"/>
      <c r="VBB45" s="1469"/>
      <c r="VBC45" s="1469"/>
      <c r="VBD45" s="1469"/>
      <c r="VBE45" s="1469"/>
      <c r="VBF45" s="1469"/>
      <c r="VBG45" s="1469"/>
      <c r="VBH45" s="1469"/>
      <c r="VBI45" s="1469"/>
      <c r="VBJ45" s="1469"/>
      <c r="VBK45" s="1469"/>
      <c r="VBL45" s="1469"/>
      <c r="VBM45" s="1469"/>
      <c r="VBN45" s="1469"/>
      <c r="VBO45" s="1469"/>
      <c r="VBP45" s="1469"/>
      <c r="VBQ45" s="1469"/>
      <c r="VBR45" s="1469"/>
      <c r="VBS45" s="1469"/>
      <c r="VBT45" s="1469"/>
      <c r="VBU45" s="1469"/>
      <c r="VBV45" s="1469"/>
      <c r="VBW45" s="1469"/>
      <c r="VBX45" s="1469"/>
      <c r="VBY45" s="1469"/>
      <c r="VBZ45" s="1469"/>
      <c r="VCA45" s="1469"/>
      <c r="VCB45" s="1469"/>
      <c r="VCC45" s="1469"/>
      <c r="VCD45" s="1469"/>
      <c r="VCE45" s="1469"/>
      <c r="VCF45" s="1469"/>
      <c r="VCG45" s="1469"/>
      <c r="VCH45" s="1469"/>
      <c r="VCI45" s="1469"/>
      <c r="VCJ45" s="1469"/>
      <c r="VCK45" s="1469"/>
      <c r="VCL45" s="1469"/>
      <c r="VCM45" s="1469"/>
      <c r="VCN45" s="1469"/>
      <c r="VCO45" s="1469"/>
      <c r="VCP45" s="1469"/>
      <c r="VCQ45" s="1469"/>
      <c r="VCR45" s="1469"/>
      <c r="VCS45" s="1469"/>
      <c r="VCT45" s="1469"/>
      <c r="VCU45" s="1469"/>
      <c r="VCV45" s="1469"/>
      <c r="VCW45" s="1469"/>
      <c r="VCX45" s="1469"/>
      <c r="VCY45" s="1469"/>
      <c r="VCZ45" s="1469"/>
      <c r="VDA45" s="1469"/>
      <c r="VDB45" s="1469"/>
      <c r="VDC45" s="1469"/>
      <c r="VDD45" s="1469"/>
      <c r="VDE45" s="1469"/>
      <c r="VDF45" s="1469"/>
      <c r="VDG45" s="1469"/>
      <c r="VDH45" s="1469"/>
      <c r="VDI45" s="1469"/>
      <c r="VDJ45" s="1469"/>
      <c r="VDK45" s="1469"/>
      <c r="VDL45" s="1469"/>
      <c r="VDM45" s="1469"/>
      <c r="VDN45" s="1469"/>
      <c r="VDO45" s="1469"/>
      <c r="VDP45" s="1469"/>
      <c r="VDQ45" s="1469"/>
      <c r="VDR45" s="1469"/>
      <c r="VDS45" s="1469"/>
      <c r="VDT45" s="1469"/>
      <c r="VDU45" s="1469"/>
      <c r="VDV45" s="1469"/>
      <c r="VDW45" s="1469"/>
      <c r="VDX45" s="1469"/>
      <c r="VDY45" s="1469"/>
      <c r="VDZ45" s="1469"/>
      <c r="VEA45" s="1469"/>
      <c r="VEB45" s="1469"/>
      <c r="VEC45" s="1469"/>
      <c r="VED45" s="1469"/>
      <c r="VEE45" s="1469"/>
      <c r="VEF45" s="1469"/>
      <c r="VEG45" s="1469"/>
      <c r="VEH45" s="1469"/>
      <c r="VEI45" s="1469"/>
      <c r="VEJ45" s="1469"/>
      <c r="VEK45" s="1469"/>
      <c r="VEL45" s="1469"/>
      <c r="VEM45" s="1469"/>
      <c r="VEN45" s="1469"/>
      <c r="VEO45" s="1469"/>
      <c r="VEP45" s="1469"/>
      <c r="VEQ45" s="1469"/>
      <c r="VER45" s="1469"/>
      <c r="VES45" s="1469"/>
      <c r="VET45" s="1469"/>
      <c r="VEU45" s="1469"/>
      <c r="VEV45" s="1469"/>
      <c r="VEW45" s="1469"/>
      <c r="VEX45" s="1469"/>
      <c r="VEY45" s="1469"/>
      <c r="VEZ45" s="1469"/>
      <c r="VFA45" s="1469"/>
      <c r="VFB45" s="1469"/>
      <c r="VFC45" s="1469"/>
      <c r="VFD45" s="1469"/>
      <c r="VFE45" s="1469"/>
      <c r="VFF45" s="1469"/>
      <c r="VFG45" s="1469"/>
      <c r="VFH45" s="1469"/>
      <c r="VFI45" s="1469"/>
      <c r="VFJ45" s="1469"/>
      <c r="VFK45" s="1469"/>
      <c r="VFL45" s="1469"/>
      <c r="VFM45" s="1469"/>
      <c r="VFN45" s="1469"/>
      <c r="VFO45" s="1469"/>
      <c r="VFP45" s="1469"/>
      <c r="VFQ45" s="1469"/>
      <c r="VFR45" s="1469"/>
      <c r="VFS45" s="1469"/>
      <c r="VFT45" s="1469"/>
      <c r="VFU45" s="1469"/>
      <c r="VFV45" s="1469"/>
      <c r="VFW45" s="1469"/>
      <c r="VFX45" s="1469"/>
      <c r="VFY45" s="1469"/>
      <c r="VFZ45" s="1469"/>
      <c r="VGA45" s="1469"/>
      <c r="VGB45" s="1469"/>
      <c r="VGC45" s="1469"/>
      <c r="VGD45" s="1469"/>
      <c r="VGE45" s="1469"/>
      <c r="VGF45" s="1469"/>
      <c r="VGG45" s="1469"/>
      <c r="VGH45" s="1469"/>
      <c r="VGI45" s="1469"/>
      <c r="VGJ45" s="1469"/>
      <c r="VGK45" s="1469"/>
      <c r="VGL45" s="1469"/>
      <c r="VGM45" s="1469"/>
      <c r="VGN45" s="1469"/>
      <c r="VGO45" s="1469"/>
      <c r="VGP45" s="1469"/>
      <c r="VGQ45" s="1469"/>
      <c r="VGR45" s="1469"/>
      <c r="VGS45" s="1469"/>
      <c r="VGT45" s="1469"/>
      <c r="VGU45" s="1469"/>
      <c r="VGV45" s="1469"/>
      <c r="VGW45" s="1469"/>
      <c r="VGX45" s="1469"/>
      <c r="VGY45" s="1469"/>
      <c r="VGZ45" s="1469"/>
      <c r="VHA45" s="1469"/>
      <c r="VHB45" s="1469"/>
      <c r="VHC45" s="1469"/>
      <c r="VHD45" s="1469"/>
      <c r="VHE45" s="1469"/>
      <c r="VHF45" s="1469"/>
      <c r="VHG45" s="1469"/>
      <c r="VHH45" s="1469"/>
      <c r="VHI45" s="1469"/>
      <c r="VHJ45" s="1469"/>
      <c r="VHK45" s="1469"/>
      <c r="VHL45" s="1469"/>
      <c r="VHM45" s="1469"/>
      <c r="VHN45" s="1469"/>
      <c r="VHO45" s="1469"/>
      <c r="VHP45" s="1469"/>
      <c r="VHQ45" s="1469"/>
      <c r="VHR45" s="1469"/>
      <c r="VHS45" s="1469"/>
      <c r="VHT45" s="1469"/>
      <c r="VHU45" s="1469"/>
      <c r="VHV45" s="1469"/>
      <c r="VHW45" s="1469"/>
      <c r="VHX45" s="1469"/>
      <c r="VHY45" s="1469"/>
      <c r="VHZ45" s="1469"/>
      <c r="VIA45" s="1469"/>
      <c r="VIB45" s="1469"/>
      <c r="VIC45" s="1469"/>
      <c r="VID45" s="1469"/>
      <c r="VIE45" s="1469"/>
      <c r="VIF45" s="1469"/>
      <c r="VIG45" s="1469"/>
      <c r="VIH45" s="1469"/>
      <c r="VII45" s="1469"/>
      <c r="VIJ45" s="1469"/>
      <c r="VIK45" s="1469"/>
      <c r="VIL45" s="1469"/>
      <c r="VIM45" s="1469"/>
      <c r="VIN45" s="1469"/>
      <c r="VIO45" s="1469"/>
      <c r="VIP45" s="1469"/>
      <c r="VIQ45" s="1469"/>
      <c r="VIR45" s="1469"/>
      <c r="VIS45" s="1469"/>
      <c r="VIT45" s="1469"/>
      <c r="VIU45" s="1469"/>
      <c r="VIV45" s="1469"/>
      <c r="VIW45" s="1469"/>
      <c r="VIX45" s="1469"/>
      <c r="VIY45" s="1469"/>
      <c r="VIZ45" s="1469"/>
      <c r="VJA45" s="1469"/>
      <c r="VJB45" s="1469"/>
      <c r="VJC45" s="1469"/>
      <c r="VJD45" s="1469"/>
      <c r="VJE45" s="1469"/>
      <c r="VJF45" s="1469"/>
      <c r="VJG45" s="1469"/>
      <c r="VJH45" s="1469"/>
      <c r="VJI45" s="1469"/>
      <c r="VJJ45" s="1469"/>
      <c r="VJK45" s="1469"/>
      <c r="VJL45" s="1469"/>
      <c r="VJM45" s="1469"/>
      <c r="VJN45" s="1469"/>
      <c r="VJO45" s="1469"/>
      <c r="VJP45" s="1469"/>
      <c r="VJQ45" s="1469"/>
      <c r="VJR45" s="1469"/>
      <c r="VJS45" s="1469"/>
      <c r="VJT45" s="1469"/>
      <c r="VJU45" s="1469"/>
      <c r="VJV45" s="1469"/>
      <c r="VJW45" s="1469"/>
      <c r="VJX45" s="1469"/>
      <c r="VJY45" s="1469"/>
      <c r="VJZ45" s="1469"/>
      <c r="VKA45" s="1469"/>
      <c r="VKB45" s="1469"/>
      <c r="VKC45" s="1469"/>
      <c r="VKD45" s="1469"/>
      <c r="VKE45" s="1469"/>
      <c r="VKF45" s="1469"/>
      <c r="VKG45" s="1469"/>
      <c r="VKH45" s="1469"/>
      <c r="VKI45" s="1469"/>
      <c r="VKJ45" s="1469"/>
      <c r="VKK45" s="1469"/>
      <c r="VKL45" s="1469"/>
      <c r="VKM45" s="1469"/>
      <c r="VKN45" s="1469"/>
      <c r="VKO45" s="1469"/>
      <c r="VKP45" s="1469"/>
      <c r="VKQ45" s="1469"/>
      <c r="VKR45" s="1469"/>
      <c r="VKS45" s="1469"/>
      <c r="VKT45" s="1469"/>
      <c r="VKU45" s="1469"/>
      <c r="VKV45" s="1469"/>
      <c r="VKW45" s="1469"/>
      <c r="VKX45" s="1469"/>
      <c r="VKY45" s="1469"/>
      <c r="VKZ45" s="1469"/>
      <c r="VLA45" s="1469"/>
      <c r="VLB45" s="1469"/>
      <c r="VLC45" s="1469"/>
      <c r="VLD45" s="1469"/>
      <c r="VLE45" s="1469"/>
      <c r="VLF45" s="1469"/>
      <c r="VLG45" s="1469"/>
      <c r="VLH45" s="1469"/>
      <c r="VLI45" s="1469"/>
      <c r="VLJ45" s="1469"/>
      <c r="VLK45" s="1469"/>
      <c r="VLL45" s="1469"/>
      <c r="VLM45" s="1469"/>
      <c r="VLN45" s="1469"/>
      <c r="VLO45" s="1469"/>
      <c r="VLP45" s="1469"/>
      <c r="VLQ45" s="1469"/>
      <c r="VLR45" s="1469"/>
      <c r="VLS45" s="1469"/>
      <c r="VLT45" s="1469"/>
      <c r="VLU45" s="1469"/>
      <c r="VLV45" s="1469"/>
      <c r="VLW45" s="1469"/>
      <c r="VLX45" s="1469"/>
      <c r="VLY45" s="1469"/>
      <c r="VLZ45" s="1469"/>
      <c r="VMA45" s="1469"/>
      <c r="VMB45" s="1469"/>
      <c r="VMC45" s="1469"/>
      <c r="VMD45" s="1469"/>
      <c r="VME45" s="1469"/>
      <c r="VMF45" s="1469"/>
      <c r="VMG45" s="1469"/>
      <c r="VMH45" s="1469"/>
      <c r="VMI45" s="1469"/>
      <c r="VMJ45" s="1469"/>
      <c r="VMK45" s="1469"/>
      <c r="VML45" s="1469"/>
      <c r="VMM45" s="1469"/>
      <c r="VMN45" s="1469"/>
      <c r="VMO45" s="1469"/>
      <c r="VMP45" s="1469"/>
      <c r="VMQ45" s="1469"/>
      <c r="VMR45" s="1469"/>
      <c r="VMS45" s="1469"/>
      <c r="VMT45" s="1469"/>
      <c r="VMU45" s="1469"/>
      <c r="VMV45" s="1469"/>
      <c r="VMW45" s="1469"/>
      <c r="VMX45" s="1469"/>
      <c r="VMY45" s="1469"/>
      <c r="VMZ45" s="1469"/>
      <c r="VNA45" s="1469"/>
      <c r="VNB45" s="1469"/>
      <c r="VNC45" s="1469"/>
      <c r="VND45" s="1469"/>
      <c r="VNE45" s="1469"/>
      <c r="VNF45" s="1469"/>
      <c r="VNG45" s="1469"/>
      <c r="VNH45" s="1469"/>
      <c r="VNI45" s="1469"/>
      <c r="VNJ45" s="1469"/>
      <c r="VNK45" s="1469"/>
      <c r="VNL45" s="1469"/>
      <c r="VNM45" s="1469"/>
      <c r="VNN45" s="1469"/>
      <c r="VNO45" s="1469"/>
      <c r="VNP45" s="1469"/>
      <c r="VNQ45" s="1469"/>
      <c r="VNR45" s="1469"/>
      <c r="VNS45" s="1469"/>
      <c r="VNT45" s="1469"/>
      <c r="VNU45" s="1469"/>
      <c r="VNV45" s="1469"/>
      <c r="VNW45" s="1469"/>
      <c r="VNX45" s="1469"/>
      <c r="VNY45" s="1469"/>
      <c r="VNZ45" s="1469"/>
      <c r="VOA45" s="1469"/>
      <c r="VOB45" s="1469"/>
      <c r="VOC45" s="1469"/>
      <c r="VOD45" s="1469"/>
      <c r="VOE45" s="1469"/>
      <c r="VOF45" s="1469"/>
      <c r="VOG45" s="1469"/>
      <c r="VOH45" s="1469"/>
      <c r="VOI45" s="1469"/>
      <c r="VOJ45" s="1469"/>
      <c r="VOK45" s="1469"/>
      <c r="VOL45" s="1469"/>
      <c r="VOM45" s="1469"/>
      <c r="VON45" s="1469"/>
      <c r="VOO45" s="1469"/>
      <c r="VOP45" s="1469"/>
      <c r="VOQ45" s="1469"/>
      <c r="VOR45" s="1469"/>
      <c r="VOS45" s="1469"/>
      <c r="VOT45" s="1469"/>
      <c r="VOU45" s="1469"/>
      <c r="VOV45" s="1469"/>
      <c r="VOW45" s="1469"/>
      <c r="VOX45" s="1469"/>
      <c r="VOY45" s="1469"/>
      <c r="VOZ45" s="1469"/>
      <c r="VPA45" s="1469"/>
      <c r="VPB45" s="1469"/>
      <c r="VPC45" s="1469"/>
      <c r="VPD45" s="1469"/>
      <c r="VPE45" s="1469"/>
      <c r="VPF45" s="1469"/>
      <c r="VPG45" s="1469"/>
      <c r="VPH45" s="1469"/>
      <c r="VPI45" s="1469"/>
      <c r="VPJ45" s="1469"/>
      <c r="VPK45" s="1469"/>
      <c r="VPL45" s="1469"/>
      <c r="VPM45" s="1469"/>
      <c r="VPN45" s="1469"/>
      <c r="VPO45" s="1469"/>
      <c r="VPP45" s="1469"/>
      <c r="VPQ45" s="1469"/>
      <c r="VPR45" s="1469"/>
      <c r="VPS45" s="1469"/>
      <c r="VPT45" s="1469"/>
      <c r="VPU45" s="1469"/>
      <c r="VPV45" s="1469"/>
      <c r="VPW45" s="1469"/>
      <c r="VPX45" s="1469"/>
      <c r="VPY45" s="1469"/>
      <c r="VPZ45" s="1469"/>
      <c r="VQA45" s="1469"/>
      <c r="VQB45" s="1469"/>
      <c r="VQC45" s="1469"/>
      <c r="VQD45" s="1469"/>
      <c r="VQE45" s="1469"/>
      <c r="VQF45" s="1469"/>
      <c r="VQG45" s="1469"/>
      <c r="VQH45" s="1469"/>
      <c r="VQI45" s="1469"/>
      <c r="VQJ45" s="1469"/>
      <c r="VQK45" s="1469"/>
      <c r="VQL45" s="1469"/>
      <c r="VQM45" s="1469"/>
      <c r="VQN45" s="1469"/>
      <c r="VQO45" s="1469"/>
      <c r="VQP45" s="1469"/>
      <c r="VQQ45" s="1469"/>
      <c r="VQR45" s="1469"/>
      <c r="VQS45" s="1469"/>
      <c r="VQT45" s="1469"/>
      <c r="VQU45" s="1469"/>
      <c r="VQV45" s="1469"/>
      <c r="VQW45" s="1469"/>
      <c r="VQX45" s="1469"/>
      <c r="VQY45" s="1469"/>
      <c r="VQZ45" s="1469"/>
      <c r="VRA45" s="1469"/>
      <c r="VRB45" s="1469"/>
      <c r="VRC45" s="1469"/>
      <c r="VRD45" s="1469"/>
      <c r="VRE45" s="1469"/>
      <c r="VRF45" s="1469"/>
      <c r="VRG45" s="1469"/>
      <c r="VRH45" s="1469"/>
      <c r="VRI45" s="1469"/>
      <c r="VRJ45" s="1469"/>
      <c r="VRK45" s="1469"/>
      <c r="VRL45" s="1469"/>
      <c r="VRM45" s="1469"/>
      <c r="VRN45" s="1469"/>
      <c r="VRO45" s="1469"/>
      <c r="VRP45" s="1469"/>
      <c r="VRQ45" s="1469"/>
      <c r="VRR45" s="1469"/>
      <c r="VRS45" s="1469"/>
      <c r="VRT45" s="1469"/>
      <c r="VRU45" s="1469"/>
      <c r="VRV45" s="1469"/>
      <c r="VRW45" s="1469"/>
      <c r="VRX45" s="1469"/>
      <c r="VRY45" s="1469"/>
      <c r="VRZ45" s="1469"/>
      <c r="VSA45" s="1469"/>
      <c r="VSB45" s="1469"/>
      <c r="VSC45" s="1469"/>
      <c r="VSD45" s="1469"/>
      <c r="VSE45" s="1469"/>
      <c r="VSF45" s="1469"/>
      <c r="VSG45" s="1469"/>
      <c r="VSH45" s="1469"/>
      <c r="VSI45" s="1469"/>
      <c r="VSJ45" s="1469"/>
      <c r="VSK45" s="1469"/>
      <c r="VSL45" s="1469"/>
      <c r="VSM45" s="1469"/>
      <c r="VSN45" s="1469"/>
      <c r="VSO45" s="1469"/>
      <c r="VSP45" s="1469"/>
      <c r="VSQ45" s="1469"/>
      <c r="VSR45" s="1469"/>
      <c r="VSS45" s="1469"/>
      <c r="VST45" s="1469"/>
      <c r="VSU45" s="1469"/>
      <c r="VSV45" s="1469"/>
      <c r="VSW45" s="1469"/>
      <c r="VSX45" s="1469"/>
      <c r="VSY45" s="1469"/>
      <c r="VSZ45" s="1469"/>
      <c r="VTA45" s="1469"/>
      <c r="VTB45" s="1469"/>
      <c r="VTC45" s="1469"/>
      <c r="VTD45" s="1469"/>
      <c r="VTE45" s="1469"/>
      <c r="VTF45" s="1469"/>
      <c r="VTG45" s="1469"/>
      <c r="VTH45" s="1469"/>
      <c r="VTI45" s="1469"/>
      <c r="VTJ45" s="1469"/>
      <c r="VTK45" s="1469"/>
      <c r="VTL45" s="1469"/>
      <c r="VTM45" s="1469"/>
      <c r="VTN45" s="1469"/>
      <c r="VTO45" s="1469"/>
      <c r="VTP45" s="1469"/>
      <c r="VTQ45" s="1469"/>
      <c r="VTR45" s="1469"/>
      <c r="VTS45" s="1469"/>
      <c r="VTT45" s="1469"/>
      <c r="VTU45" s="1469"/>
      <c r="VTV45" s="1469"/>
      <c r="VTW45" s="1469"/>
      <c r="VTX45" s="1469"/>
      <c r="VTY45" s="1469"/>
      <c r="VTZ45" s="1469"/>
      <c r="VUA45" s="1469"/>
      <c r="VUB45" s="1469"/>
      <c r="VUC45" s="1469"/>
      <c r="VUD45" s="1469"/>
      <c r="VUE45" s="1469"/>
      <c r="VUF45" s="1469"/>
      <c r="VUG45" s="1469"/>
      <c r="VUH45" s="1469"/>
      <c r="VUI45" s="1469"/>
      <c r="VUJ45" s="1469"/>
      <c r="VUK45" s="1469"/>
      <c r="VUL45" s="1469"/>
      <c r="VUM45" s="1469"/>
      <c r="VUN45" s="1469"/>
      <c r="VUO45" s="1469"/>
      <c r="VUP45" s="1469"/>
      <c r="VUQ45" s="1469"/>
      <c r="VUR45" s="1469"/>
      <c r="VUS45" s="1469"/>
      <c r="VUT45" s="1469"/>
      <c r="VUU45" s="1469"/>
      <c r="VUV45" s="1469"/>
      <c r="VUW45" s="1469"/>
      <c r="VUX45" s="1469"/>
      <c r="VUY45" s="1469"/>
      <c r="VUZ45" s="1469"/>
      <c r="VVA45" s="1469"/>
      <c r="VVB45" s="1469"/>
      <c r="VVC45" s="1469"/>
      <c r="VVD45" s="1469"/>
      <c r="VVE45" s="1469"/>
      <c r="VVF45" s="1469"/>
      <c r="VVG45" s="1469"/>
      <c r="VVH45" s="1469"/>
      <c r="VVI45" s="1469"/>
      <c r="VVJ45" s="1469"/>
      <c r="VVK45" s="1469"/>
      <c r="VVL45" s="1469"/>
      <c r="VVM45" s="1469"/>
      <c r="VVN45" s="1469"/>
      <c r="VVO45" s="1469"/>
      <c r="VVP45" s="1469"/>
      <c r="VVQ45" s="1469"/>
      <c r="VVR45" s="1469"/>
      <c r="VVS45" s="1469"/>
      <c r="VVT45" s="1469"/>
      <c r="VVU45" s="1469"/>
      <c r="VVV45" s="1469"/>
      <c r="VVW45" s="1469"/>
      <c r="VVX45" s="1469"/>
      <c r="VVY45" s="1469"/>
      <c r="VVZ45" s="1469"/>
      <c r="VWA45" s="1469"/>
      <c r="VWB45" s="1469"/>
      <c r="VWC45" s="1469"/>
      <c r="VWD45" s="1469"/>
      <c r="VWE45" s="1469"/>
      <c r="VWF45" s="1469"/>
      <c r="VWG45" s="1469"/>
      <c r="VWH45" s="1469"/>
      <c r="VWI45" s="1469"/>
      <c r="VWJ45" s="1469"/>
      <c r="VWK45" s="1469"/>
      <c r="VWL45" s="1469"/>
      <c r="VWM45" s="1469"/>
      <c r="VWN45" s="1469"/>
      <c r="VWO45" s="1469"/>
      <c r="VWP45" s="1469"/>
      <c r="VWQ45" s="1469"/>
      <c r="VWR45" s="1469"/>
      <c r="VWS45" s="1469"/>
      <c r="VWT45" s="1469"/>
      <c r="VWU45" s="1469"/>
      <c r="VWV45" s="1469"/>
      <c r="VWW45" s="1469"/>
      <c r="VWX45" s="1469"/>
      <c r="VWY45" s="1469"/>
      <c r="VWZ45" s="1469"/>
      <c r="VXA45" s="1469"/>
      <c r="VXB45" s="1469"/>
      <c r="VXC45" s="1469"/>
      <c r="VXD45" s="1469"/>
      <c r="VXE45" s="1469"/>
      <c r="VXF45" s="1469"/>
      <c r="VXG45" s="1469"/>
      <c r="VXH45" s="1469"/>
      <c r="VXI45" s="1469"/>
      <c r="VXJ45" s="1469"/>
      <c r="VXK45" s="1469"/>
      <c r="VXL45" s="1469"/>
      <c r="VXM45" s="1469"/>
      <c r="VXN45" s="1469"/>
      <c r="VXO45" s="1469"/>
      <c r="VXP45" s="1469"/>
      <c r="VXQ45" s="1469"/>
      <c r="VXR45" s="1469"/>
      <c r="VXS45" s="1469"/>
      <c r="VXT45" s="1469"/>
      <c r="VXU45" s="1469"/>
      <c r="VXV45" s="1469"/>
      <c r="VXW45" s="1469"/>
      <c r="VXX45" s="1469"/>
      <c r="VXY45" s="1469"/>
      <c r="VXZ45" s="1469"/>
      <c r="VYA45" s="1469"/>
      <c r="VYB45" s="1469"/>
      <c r="VYC45" s="1469"/>
      <c r="VYD45" s="1469"/>
      <c r="VYE45" s="1469"/>
      <c r="VYF45" s="1469"/>
      <c r="VYG45" s="1469"/>
      <c r="VYH45" s="1469"/>
      <c r="VYI45" s="1469"/>
      <c r="VYJ45" s="1469"/>
      <c r="VYK45" s="1469"/>
      <c r="VYL45" s="1469"/>
      <c r="VYM45" s="1469"/>
      <c r="VYN45" s="1469"/>
      <c r="VYO45" s="1469"/>
      <c r="VYP45" s="1469"/>
      <c r="VYQ45" s="1469"/>
      <c r="VYR45" s="1469"/>
      <c r="VYS45" s="1469"/>
      <c r="VYT45" s="1469"/>
      <c r="VYU45" s="1469"/>
      <c r="VYV45" s="1469"/>
      <c r="VYW45" s="1469"/>
      <c r="VYX45" s="1469"/>
      <c r="VYY45" s="1469"/>
      <c r="VYZ45" s="1469"/>
      <c r="VZA45" s="1469"/>
      <c r="VZB45" s="1469"/>
      <c r="VZC45" s="1469"/>
      <c r="VZD45" s="1469"/>
      <c r="VZE45" s="1469"/>
      <c r="VZF45" s="1469"/>
      <c r="VZG45" s="1469"/>
      <c r="VZH45" s="1469"/>
      <c r="VZI45" s="1469"/>
      <c r="VZJ45" s="1469"/>
      <c r="VZK45" s="1469"/>
      <c r="VZL45" s="1469"/>
      <c r="VZM45" s="1469"/>
      <c r="VZN45" s="1469"/>
      <c r="VZO45" s="1469"/>
      <c r="VZP45" s="1469"/>
      <c r="VZQ45" s="1469"/>
      <c r="VZR45" s="1469"/>
      <c r="VZS45" s="1469"/>
      <c r="VZT45" s="1469"/>
      <c r="VZU45" s="1469"/>
      <c r="VZV45" s="1469"/>
      <c r="VZW45" s="1469"/>
      <c r="VZX45" s="1469"/>
      <c r="VZY45" s="1469"/>
      <c r="VZZ45" s="1469"/>
      <c r="WAA45" s="1469"/>
      <c r="WAB45" s="1469"/>
      <c r="WAC45" s="1469"/>
      <c r="WAD45" s="1469"/>
      <c r="WAE45" s="1469"/>
      <c r="WAF45" s="1469"/>
      <c r="WAG45" s="1469"/>
      <c r="WAH45" s="1469"/>
      <c r="WAI45" s="1469"/>
      <c r="WAJ45" s="1469"/>
      <c r="WAK45" s="1469"/>
      <c r="WAL45" s="1469"/>
      <c r="WAM45" s="1469"/>
      <c r="WAN45" s="1469"/>
      <c r="WAO45" s="1469"/>
      <c r="WAP45" s="1469"/>
      <c r="WAQ45" s="1469"/>
      <c r="WAR45" s="1469"/>
      <c r="WAS45" s="1469"/>
      <c r="WAT45" s="1469"/>
      <c r="WAU45" s="1469"/>
      <c r="WAV45" s="1469"/>
      <c r="WAW45" s="1469"/>
      <c r="WAX45" s="1469"/>
      <c r="WAY45" s="1469"/>
      <c r="WAZ45" s="1469"/>
      <c r="WBA45" s="1469"/>
      <c r="WBB45" s="1469"/>
      <c r="WBC45" s="1469"/>
      <c r="WBD45" s="1469"/>
      <c r="WBE45" s="1469"/>
      <c r="WBF45" s="1469"/>
      <c r="WBG45" s="1469"/>
      <c r="WBH45" s="1469"/>
      <c r="WBI45" s="1469"/>
      <c r="WBJ45" s="1469"/>
      <c r="WBK45" s="1469"/>
      <c r="WBL45" s="1469"/>
      <c r="WBM45" s="1469"/>
      <c r="WBN45" s="1469"/>
      <c r="WBO45" s="1469"/>
      <c r="WBP45" s="1469"/>
      <c r="WBQ45" s="1469"/>
      <c r="WBR45" s="1469"/>
      <c r="WBS45" s="1469"/>
      <c r="WBT45" s="1469"/>
      <c r="WBU45" s="1469"/>
      <c r="WBV45" s="1469"/>
      <c r="WBW45" s="1469"/>
      <c r="WBX45" s="1469"/>
      <c r="WBY45" s="1469"/>
      <c r="WBZ45" s="1469"/>
      <c r="WCA45" s="1469"/>
      <c r="WCB45" s="1469"/>
      <c r="WCC45" s="1469"/>
      <c r="WCD45" s="1469"/>
      <c r="WCE45" s="1469"/>
      <c r="WCF45" s="1469"/>
      <c r="WCG45" s="1469"/>
      <c r="WCH45" s="1469"/>
      <c r="WCI45" s="1469"/>
      <c r="WCJ45" s="1469"/>
      <c r="WCK45" s="1469"/>
      <c r="WCL45" s="1469"/>
      <c r="WCM45" s="1469"/>
      <c r="WCN45" s="1469"/>
      <c r="WCO45" s="1469"/>
      <c r="WCP45" s="1469"/>
      <c r="WCQ45" s="1469"/>
      <c r="WCR45" s="1469"/>
      <c r="WCS45" s="1469"/>
      <c r="WCT45" s="1469"/>
      <c r="WCU45" s="1469"/>
      <c r="WCV45" s="1469"/>
      <c r="WCW45" s="1469"/>
      <c r="WCX45" s="1469"/>
      <c r="WCY45" s="1469"/>
      <c r="WCZ45" s="1469"/>
      <c r="WDA45" s="1469"/>
      <c r="WDB45" s="1469"/>
      <c r="WDC45" s="1469"/>
      <c r="WDD45" s="1469"/>
      <c r="WDE45" s="1469"/>
      <c r="WDF45" s="1469"/>
      <c r="WDG45" s="1469"/>
      <c r="WDH45" s="1469"/>
      <c r="WDI45" s="1469"/>
      <c r="WDJ45" s="1469"/>
      <c r="WDK45" s="1469"/>
      <c r="WDL45" s="1469"/>
      <c r="WDM45" s="1469"/>
      <c r="WDN45" s="1469"/>
      <c r="WDO45" s="1469"/>
      <c r="WDP45" s="1469"/>
      <c r="WDQ45" s="1469"/>
      <c r="WDR45" s="1469"/>
      <c r="WDS45" s="1469"/>
      <c r="WDT45" s="1469"/>
      <c r="WDU45" s="1469"/>
      <c r="WDV45" s="1469"/>
      <c r="WDW45" s="1469"/>
      <c r="WDX45" s="1469"/>
      <c r="WDY45" s="1469"/>
      <c r="WDZ45" s="1469"/>
      <c r="WEA45" s="1469"/>
      <c r="WEB45" s="1469"/>
      <c r="WEC45" s="1469"/>
      <c r="WED45" s="1469"/>
      <c r="WEE45" s="1469"/>
      <c r="WEF45" s="1469"/>
      <c r="WEG45" s="1469"/>
      <c r="WEH45" s="1469"/>
      <c r="WEI45" s="1469"/>
      <c r="WEJ45" s="1469"/>
      <c r="WEK45" s="1469"/>
      <c r="WEL45" s="1469"/>
      <c r="WEM45" s="1469"/>
      <c r="WEN45" s="1469"/>
      <c r="WEO45" s="1469"/>
      <c r="WEP45" s="1469"/>
      <c r="WEQ45" s="1469"/>
      <c r="WER45" s="1469"/>
      <c r="WES45" s="1469"/>
      <c r="WET45" s="1469"/>
      <c r="WEU45" s="1469"/>
      <c r="WEV45" s="1469"/>
      <c r="WEW45" s="1469"/>
      <c r="WEX45" s="1469"/>
      <c r="WEY45" s="1469"/>
      <c r="WEZ45" s="1469"/>
      <c r="WFA45" s="1469"/>
      <c r="WFB45" s="1469"/>
      <c r="WFC45" s="1469"/>
      <c r="WFD45" s="1469"/>
      <c r="WFE45" s="1469"/>
      <c r="WFF45" s="1469"/>
      <c r="WFG45" s="1469"/>
      <c r="WFH45" s="1469"/>
      <c r="WFI45" s="1469"/>
      <c r="WFJ45" s="1469"/>
      <c r="WFK45" s="1469"/>
      <c r="WFL45" s="1469"/>
      <c r="WFM45" s="1469"/>
      <c r="WFN45" s="1469"/>
      <c r="WFO45" s="1469"/>
      <c r="WFP45" s="1469"/>
      <c r="WFQ45" s="1469"/>
      <c r="WFR45" s="1469"/>
      <c r="WFS45" s="1469"/>
      <c r="WFT45" s="1469"/>
      <c r="WFU45" s="1469"/>
      <c r="WFV45" s="1469"/>
      <c r="WFW45" s="1469"/>
      <c r="WFX45" s="1469"/>
      <c r="WFY45" s="1469"/>
      <c r="WFZ45" s="1469"/>
      <c r="WGA45" s="1469"/>
      <c r="WGB45" s="1469"/>
      <c r="WGC45" s="1469"/>
      <c r="WGD45" s="1469"/>
      <c r="WGE45" s="1469"/>
      <c r="WGF45" s="1469"/>
      <c r="WGG45" s="1469"/>
      <c r="WGH45" s="1469"/>
      <c r="WGI45" s="1469"/>
      <c r="WGJ45" s="1469"/>
      <c r="WGK45" s="1469"/>
      <c r="WGL45" s="1469"/>
      <c r="WGM45" s="1469"/>
      <c r="WGN45" s="1469"/>
      <c r="WGO45" s="1469"/>
      <c r="WGP45" s="1469"/>
      <c r="WGQ45" s="1469"/>
      <c r="WGR45" s="1469"/>
      <c r="WGS45" s="1469"/>
      <c r="WGT45" s="1469"/>
      <c r="WGU45" s="1469"/>
      <c r="WGV45" s="1469"/>
      <c r="WGW45" s="1469"/>
      <c r="WGX45" s="1469"/>
      <c r="WGY45" s="1469"/>
      <c r="WGZ45" s="1469"/>
      <c r="WHA45" s="1469"/>
      <c r="WHB45" s="1469"/>
      <c r="WHC45" s="1469"/>
      <c r="WHD45" s="1469"/>
      <c r="WHE45" s="1469"/>
      <c r="WHF45" s="1469"/>
      <c r="WHG45" s="1469"/>
      <c r="WHH45" s="1469"/>
      <c r="WHI45" s="1469"/>
      <c r="WHJ45" s="1469"/>
      <c r="WHK45" s="1469"/>
      <c r="WHL45" s="1469"/>
      <c r="WHM45" s="1469"/>
      <c r="WHN45" s="1469"/>
      <c r="WHO45" s="1469"/>
      <c r="WHP45" s="1469"/>
      <c r="WHQ45" s="1469"/>
      <c r="WHR45" s="1469"/>
      <c r="WHS45" s="1469"/>
      <c r="WHT45" s="1469"/>
      <c r="WHU45" s="1469"/>
      <c r="WHV45" s="1469"/>
      <c r="WHW45" s="1469"/>
      <c r="WHX45" s="1469"/>
      <c r="WHY45" s="1469"/>
      <c r="WHZ45" s="1469"/>
      <c r="WIA45" s="1469"/>
      <c r="WIB45" s="1469"/>
      <c r="WIC45" s="1469"/>
      <c r="WID45" s="1469"/>
      <c r="WIE45" s="1469"/>
      <c r="WIF45" s="1469"/>
      <c r="WIG45" s="1469"/>
      <c r="WIH45" s="1469"/>
      <c r="WII45" s="1469"/>
      <c r="WIJ45" s="1469"/>
      <c r="WIK45" s="1469"/>
      <c r="WIL45" s="1469"/>
      <c r="WIM45" s="1469"/>
      <c r="WIN45" s="1469"/>
      <c r="WIO45" s="1469"/>
      <c r="WIP45" s="1469"/>
      <c r="WIQ45" s="1469"/>
      <c r="WIR45" s="1469"/>
      <c r="WIS45" s="1469"/>
      <c r="WIT45" s="1469"/>
      <c r="WIU45" s="1469"/>
      <c r="WIV45" s="1469"/>
      <c r="WIW45" s="1469"/>
      <c r="WIX45" s="1469"/>
      <c r="WIY45" s="1469"/>
      <c r="WIZ45" s="1469"/>
      <c r="WJA45" s="1469"/>
      <c r="WJB45" s="1469"/>
      <c r="WJC45" s="1469"/>
      <c r="WJD45" s="1469"/>
      <c r="WJE45" s="1469"/>
      <c r="WJF45" s="1469"/>
      <c r="WJG45" s="1469"/>
      <c r="WJH45" s="1469"/>
      <c r="WJI45" s="1469"/>
      <c r="WJJ45" s="1469"/>
      <c r="WJK45" s="1469"/>
      <c r="WJL45" s="1469"/>
      <c r="WJM45" s="1469"/>
      <c r="WJN45" s="1469"/>
      <c r="WJO45" s="1469"/>
      <c r="WJP45" s="1469"/>
      <c r="WJQ45" s="1469"/>
      <c r="WJR45" s="1469"/>
      <c r="WJS45" s="1469"/>
      <c r="WJT45" s="1469"/>
      <c r="WJU45" s="1469"/>
      <c r="WJV45" s="1469"/>
      <c r="WJW45" s="1469"/>
      <c r="WJX45" s="1469"/>
      <c r="WJY45" s="1469"/>
      <c r="WJZ45" s="1469"/>
      <c r="WKA45" s="1469"/>
      <c r="WKB45" s="1469"/>
      <c r="WKC45" s="1469"/>
      <c r="WKD45" s="1469"/>
      <c r="WKE45" s="1469"/>
      <c r="WKF45" s="1469"/>
      <c r="WKG45" s="1469"/>
      <c r="WKH45" s="1469"/>
      <c r="WKI45" s="1469"/>
      <c r="WKJ45" s="1469"/>
      <c r="WKK45" s="1469"/>
      <c r="WKL45" s="1469"/>
      <c r="WKM45" s="1469"/>
      <c r="WKN45" s="1469"/>
      <c r="WKO45" s="1469"/>
      <c r="WKP45" s="1469"/>
      <c r="WKQ45" s="1469"/>
      <c r="WKR45" s="1469"/>
      <c r="WKS45" s="1469"/>
      <c r="WKT45" s="1469"/>
      <c r="WKU45" s="1469"/>
      <c r="WKV45" s="1469"/>
      <c r="WKW45" s="1469"/>
      <c r="WKX45" s="1469"/>
      <c r="WKY45" s="1469"/>
      <c r="WKZ45" s="1469"/>
      <c r="WLA45" s="1469"/>
      <c r="WLB45" s="1469"/>
      <c r="WLC45" s="1469"/>
      <c r="WLD45" s="1469"/>
      <c r="WLE45" s="1469"/>
      <c r="WLF45" s="1469"/>
      <c r="WLG45" s="1469"/>
      <c r="WLH45" s="1469"/>
      <c r="WLI45" s="1469"/>
      <c r="WLJ45" s="1469"/>
      <c r="WLK45" s="1469"/>
      <c r="WLL45" s="1469"/>
      <c r="WLM45" s="1469"/>
      <c r="WLN45" s="1469"/>
      <c r="WLO45" s="1469"/>
      <c r="WLP45" s="1469"/>
      <c r="WLQ45" s="1469"/>
      <c r="WLR45" s="1469"/>
      <c r="WLS45" s="1469"/>
      <c r="WLT45" s="1469"/>
      <c r="WLU45" s="1469"/>
      <c r="WLV45" s="1469"/>
      <c r="WLW45" s="1469"/>
      <c r="WLX45" s="1469"/>
      <c r="WLY45" s="1469"/>
      <c r="WLZ45" s="1469"/>
      <c r="WMA45" s="1469"/>
      <c r="WMB45" s="1469"/>
      <c r="WMC45" s="1469"/>
      <c r="WMD45" s="1469"/>
      <c r="WME45" s="1469"/>
      <c r="WMF45" s="1469"/>
      <c r="WMG45" s="1469"/>
      <c r="WMH45" s="1469"/>
      <c r="WMI45" s="1469"/>
      <c r="WMJ45" s="1469"/>
      <c r="WMK45" s="1469"/>
      <c r="WML45" s="1469"/>
      <c r="WMM45" s="1469"/>
      <c r="WMN45" s="1469"/>
      <c r="WMO45" s="1469"/>
      <c r="WMP45" s="1469"/>
      <c r="WMQ45" s="1469"/>
      <c r="WMR45" s="1469"/>
      <c r="WMS45" s="1469"/>
      <c r="WMT45" s="1469"/>
      <c r="WMU45" s="1469"/>
      <c r="WMV45" s="1469"/>
      <c r="WMW45" s="1469"/>
      <c r="WMX45" s="1469"/>
      <c r="WMY45" s="1469"/>
      <c r="WMZ45" s="1469"/>
      <c r="WNA45" s="1469"/>
      <c r="WNB45" s="1469"/>
      <c r="WNC45" s="1469"/>
      <c r="WND45" s="1469"/>
      <c r="WNE45" s="1469"/>
      <c r="WNF45" s="1469"/>
      <c r="WNG45" s="1469"/>
      <c r="WNH45" s="1469"/>
      <c r="WNI45" s="1469"/>
      <c r="WNJ45" s="1469"/>
      <c r="WNK45" s="1469"/>
      <c r="WNL45" s="1469"/>
      <c r="WNM45" s="1469"/>
      <c r="WNN45" s="1469"/>
      <c r="WNO45" s="1469"/>
      <c r="WNP45" s="1469"/>
      <c r="WNQ45" s="1469"/>
      <c r="WNR45" s="1469"/>
      <c r="WNS45" s="1469"/>
      <c r="WNT45" s="1469"/>
      <c r="WNU45" s="1469"/>
      <c r="WNV45" s="1469"/>
      <c r="WNW45" s="1469"/>
      <c r="WNX45" s="1469"/>
      <c r="WNY45" s="1469"/>
      <c r="WNZ45" s="1469"/>
      <c r="WOA45" s="1469"/>
      <c r="WOB45" s="1469"/>
      <c r="WOC45" s="1469"/>
      <c r="WOD45" s="1469"/>
      <c r="WOE45" s="1469"/>
      <c r="WOF45" s="1469"/>
      <c r="WOG45" s="1469"/>
      <c r="WOH45" s="1469"/>
      <c r="WOI45" s="1469"/>
      <c r="WOJ45" s="1469"/>
      <c r="WOK45" s="1469"/>
      <c r="WOL45" s="1469"/>
      <c r="WOM45" s="1469"/>
      <c r="WON45" s="1469"/>
      <c r="WOO45" s="1469"/>
      <c r="WOP45" s="1469"/>
      <c r="WOQ45" s="1469"/>
      <c r="WOR45" s="1469"/>
      <c r="WOS45" s="1469"/>
      <c r="WOT45" s="1469"/>
      <c r="WOU45" s="1469"/>
      <c r="WOV45" s="1469"/>
      <c r="WOW45" s="1469"/>
      <c r="WOX45" s="1469"/>
      <c r="WOY45" s="1469"/>
      <c r="WOZ45" s="1469"/>
      <c r="WPA45" s="1469"/>
      <c r="WPB45" s="1469"/>
      <c r="WPC45" s="1469"/>
      <c r="WPD45" s="1469"/>
      <c r="WPE45" s="1469"/>
      <c r="WPF45" s="1469"/>
      <c r="WPG45" s="1469"/>
      <c r="WPH45" s="1469"/>
      <c r="WPI45" s="1469"/>
      <c r="WPJ45" s="1469"/>
      <c r="WPK45" s="1469"/>
      <c r="WPL45" s="1469"/>
      <c r="WPM45" s="1469"/>
      <c r="WPN45" s="1469"/>
      <c r="WPO45" s="1469"/>
      <c r="WPP45" s="1469"/>
      <c r="WPQ45" s="1469"/>
      <c r="WPR45" s="1469"/>
      <c r="WPS45" s="1469"/>
      <c r="WPT45" s="1469"/>
      <c r="WPU45" s="1469"/>
      <c r="WPV45" s="1469"/>
      <c r="WPW45" s="1469"/>
      <c r="WPX45" s="1469"/>
      <c r="WPY45" s="1469"/>
      <c r="WPZ45" s="1469"/>
      <c r="WQA45" s="1469"/>
      <c r="WQB45" s="1469"/>
      <c r="WQC45" s="1469"/>
      <c r="WQD45" s="1469"/>
      <c r="WQE45" s="1469"/>
      <c r="WQF45" s="1469"/>
      <c r="WQG45" s="1469"/>
      <c r="WQH45" s="1469"/>
      <c r="WQI45" s="1469"/>
      <c r="WQJ45" s="1469"/>
      <c r="WQK45" s="1469"/>
      <c r="WQL45" s="1469"/>
      <c r="WQM45" s="1469"/>
      <c r="WQN45" s="1469"/>
      <c r="WQO45" s="1469"/>
      <c r="WQP45" s="1469"/>
      <c r="WQQ45" s="1469"/>
      <c r="WQR45" s="1469"/>
      <c r="WQS45" s="1469"/>
      <c r="WQT45" s="1469"/>
      <c r="WQU45" s="1469"/>
      <c r="WQV45" s="1469"/>
      <c r="WQW45" s="1469"/>
      <c r="WQX45" s="1469"/>
      <c r="WQY45" s="1469"/>
      <c r="WQZ45" s="1469"/>
      <c r="WRA45" s="1469"/>
      <c r="WRB45" s="1469"/>
      <c r="WRC45" s="1469"/>
      <c r="WRD45" s="1469"/>
      <c r="WRE45" s="1469"/>
      <c r="WRF45" s="1469"/>
      <c r="WRG45" s="1469"/>
      <c r="WRH45" s="1469"/>
      <c r="WRI45" s="1469"/>
      <c r="WRJ45" s="1469"/>
      <c r="WRK45" s="1469"/>
      <c r="WRL45" s="1469"/>
      <c r="WRM45" s="1469"/>
      <c r="WRN45" s="1469"/>
      <c r="WRO45" s="1469"/>
      <c r="WRP45" s="1469"/>
      <c r="WRQ45" s="1469"/>
      <c r="WRR45" s="1469"/>
      <c r="WRS45" s="1469"/>
      <c r="WRT45" s="1469"/>
      <c r="WRU45" s="1469"/>
      <c r="WRV45" s="1469"/>
      <c r="WRW45" s="1469"/>
      <c r="WRX45" s="1469"/>
      <c r="WRY45" s="1469"/>
      <c r="WRZ45" s="1469"/>
      <c r="WSA45" s="1469"/>
      <c r="WSB45" s="1469"/>
      <c r="WSC45" s="1469"/>
      <c r="WSD45" s="1469"/>
      <c r="WSE45" s="1469"/>
      <c r="WSF45" s="1469"/>
      <c r="WSG45" s="1469"/>
      <c r="WSH45" s="1469"/>
      <c r="WSI45" s="1469"/>
      <c r="WSJ45" s="1469"/>
      <c r="WSK45" s="1469"/>
      <c r="WSL45" s="1469"/>
      <c r="WSM45" s="1469"/>
      <c r="WSN45" s="1469"/>
      <c r="WSO45" s="1469"/>
      <c r="WSP45" s="1469"/>
      <c r="WSQ45" s="1469"/>
      <c r="WSR45" s="1469"/>
      <c r="WSS45" s="1469"/>
      <c r="WST45" s="1469"/>
      <c r="WSU45" s="1469"/>
      <c r="WSV45" s="1469"/>
      <c r="WSW45" s="1469"/>
      <c r="WSX45" s="1469"/>
      <c r="WSY45" s="1469"/>
      <c r="WSZ45" s="1469"/>
      <c r="WTA45" s="1469"/>
      <c r="WTB45" s="1469"/>
      <c r="WTC45" s="1469"/>
      <c r="WTD45" s="1469"/>
      <c r="WTE45" s="1469"/>
      <c r="WTF45" s="1469"/>
      <c r="WTG45" s="1469"/>
      <c r="WTH45" s="1469"/>
      <c r="WTI45" s="1469"/>
      <c r="WTJ45" s="1469"/>
      <c r="WTK45" s="1469"/>
      <c r="WTL45" s="1469"/>
      <c r="WTM45" s="1469"/>
      <c r="WTN45" s="1469"/>
      <c r="WTO45" s="1469"/>
      <c r="WTP45" s="1469"/>
      <c r="WTQ45" s="1469"/>
      <c r="WTR45" s="1469"/>
      <c r="WTS45" s="1469"/>
      <c r="WTT45" s="1469"/>
      <c r="WTU45" s="1469"/>
      <c r="WTV45" s="1469"/>
      <c r="WTW45" s="1469"/>
      <c r="WTX45" s="1469"/>
      <c r="WTY45" s="1469"/>
      <c r="WTZ45" s="1469"/>
      <c r="WUA45" s="1469"/>
      <c r="WUB45" s="1469"/>
      <c r="WUC45" s="1469"/>
      <c r="WUD45" s="1469"/>
      <c r="WUE45" s="1469"/>
      <c r="WUF45" s="1469"/>
      <c r="WUG45" s="1469"/>
      <c r="WUH45" s="1469"/>
      <c r="WUI45" s="1469"/>
      <c r="WUJ45" s="1469"/>
      <c r="WUK45" s="1469"/>
      <c r="WUL45" s="1469"/>
      <c r="WUM45" s="1469"/>
      <c r="WUN45" s="1469"/>
      <c r="WUO45" s="1469"/>
      <c r="WUP45" s="1469"/>
      <c r="WUQ45" s="1469"/>
      <c r="WUR45" s="1469"/>
      <c r="WUS45" s="1469"/>
      <c r="WUT45" s="1469"/>
      <c r="WUU45" s="1469"/>
      <c r="WUV45" s="1469"/>
      <c r="WUW45" s="1469"/>
      <c r="WUX45" s="1469"/>
      <c r="WUY45" s="1469"/>
      <c r="WUZ45" s="1469"/>
      <c r="WVA45" s="1469"/>
      <c r="WVB45" s="1469"/>
      <c r="WVC45" s="1469"/>
      <c r="WVD45" s="1469"/>
      <c r="WVE45" s="1469"/>
      <c r="WVF45" s="1469"/>
      <c r="WVG45" s="1469"/>
      <c r="WVH45" s="1469"/>
      <c r="WVI45" s="1469"/>
      <c r="WVJ45" s="1469"/>
      <c r="WVK45" s="1469"/>
      <c r="WVL45" s="1469"/>
      <c r="WVM45" s="1469"/>
      <c r="WVN45" s="1469"/>
      <c r="WVO45" s="1469"/>
      <c r="WVP45" s="1469"/>
      <c r="WVQ45" s="1469"/>
      <c r="WVR45" s="1469"/>
      <c r="WVS45" s="1469"/>
      <c r="WVT45" s="1469"/>
      <c r="WVU45" s="1469"/>
      <c r="WVV45" s="1469"/>
      <c r="WVW45" s="1469"/>
      <c r="WVX45" s="1469"/>
      <c r="WVY45" s="1469"/>
      <c r="WVZ45" s="1469"/>
      <c r="WWA45" s="1469"/>
      <c r="WWB45" s="1469"/>
      <c r="WWC45" s="1469"/>
      <c r="WWD45" s="1469"/>
      <c r="WWE45" s="1469"/>
      <c r="WWF45" s="1469"/>
      <c r="WWG45" s="1469"/>
      <c r="WWH45" s="1469"/>
      <c r="WWI45" s="1469"/>
      <c r="WWJ45" s="1469"/>
      <c r="WWK45" s="1469"/>
      <c r="WWL45" s="1469"/>
      <c r="WWM45" s="1469"/>
      <c r="WWN45" s="1469"/>
      <c r="WWO45" s="1469"/>
      <c r="WWP45" s="1469"/>
      <c r="WWQ45" s="1469"/>
      <c r="WWR45" s="1469"/>
      <c r="WWS45" s="1469"/>
      <c r="WWT45" s="1469"/>
      <c r="WWU45" s="1469"/>
      <c r="WWV45" s="1469"/>
      <c r="WWW45" s="1469"/>
      <c r="WWX45" s="1469"/>
      <c r="WWY45" s="1469"/>
      <c r="WWZ45" s="1469"/>
      <c r="WXA45" s="1469"/>
      <c r="WXB45" s="1469"/>
      <c r="WXC45" s="1469"/>
      <c r="WXD45" s="1469"/>
      <c r="WXE45" s="1469"/>
      <c r="WXF45" s="1469"/>
      <c r="WXG45" s="1469"/>
      <c r="WXH45" s="1469"/>
      <c r="WXI45" s="1469"/>
      <c r="WXJ45" s="1469"/>
      <c r="WXK45" s="1469"/>
      <c r="WXL45" s="1469"/>
      <c r="WXM45" s="1469"/>
      <c r="WXN45" s="1469"/>
      <c r="WXO45" s="1469"/>
      <c r="WXP45" s="1469"/>
      <c r="WXQ45" s="1469"/>
      <c r="WXR45" s="1469"/>
      <c r="WXS45" s="1469"/>
      <c r="WXT45" s="1469"/>
      <c r="WXU45" s="1469"/>
      <c r="WXV45" s="1469"/>
      <c r="WXW45" s="1469"/>
      <c r="WXX45" s="1469"/>
      <c r="WXY45" s="1469"/>
      <c r="WXZ45" s="1469"/>
      <c r="WYA45" s="1469"/>
      <c r="WYB45" s="1469"/>
      <c r="WYC45" s="1469"/>
      <c r="WYD45" s="1469"/>
      <c r="WYE45" s="1469"/>
      <c r="WYF45" s="1469"/>
      <c r="WYG45" s="1469"/>
      <c r="WYH45" s="1469"/>
      <c r="WYI45" s="1469"/>
      <c r="WYJ45" s="1469"/>
      <c r="WYK45" s="1469"/>
      <c r="WYL45" s="1469"/>
      <c r="WYM45" s="1469"/>
      <c r="WYN45" s="1469"/>
      <c r="WYO45" s="1469"/>
      <c r="WYP45" s="1469"/>
      <c r="WYQ45" s="1469"/>
      <c r="WYR45" s="1469"/>
      <c r="WYS45" s="1469"/>
      <c r="WYT45" s="1469"/>
      <c r="WYU45" s="1469"/>
      <c r="WYV45" s="1469"/>
      <c r="WYW45" s="1469"/>
      <c r="WYX45" s="1469"/>
      <c r="WYY45" s="1469"/>
      <c r="WYZ45" s="1469"/>
      <c r="WZA45" s="1469"/>
      <c r="WZB45" s="1469"/>
      <c r="WZC45" s="1469"/>
      <c r="WZD45" s="1469"/>
      <c r="WZE45" s="1469"/>
      <c r="WZF45" s="1469"/>
      <c r="WZG45" s="1469"/>
      <c r="WZH45" s="1469"/>
      <c r="WZI45" s="1469"/>
      <c r="WZJ45" s="1469"/>
      <c r="WZK45" s="1469"/>
      <c r="WZL45" s="1469"/>
      <c r="WZM45" s="1469"/>
      <c r="WZN45" s="1469"/>
      <c r="WZO45" s="1469"/>
      <c r="WZP45" s="1469"/>
      <c r="WZQ45" s="1469"/>
      <c r="WZR45" s="1469"/>
      <c r="WZS45" s="1469"/>
      <c r="WZT45" s="1469"/>
      <c r="WZU45" s="1469"/>
      <c r="WZV45" s="1469"/>
      <c r="WZW45" s="1469"/>
      <c r="WZX45" s="1469"/>
      <c r="WZY45" s="1469"/>
      <c r="WZZ45" s="1469"/>
      <c r="XAA45" s="1469"/>
      <c r="XAB45" s="1469"/>
      <c r="XAC45" s="1469"/>
      <c r="XAD45" s="1469"/>
      <c r="XAE45" s="1469"/>
      <c r="XAF45" s="1469"/>
      <c r="XAG45" s="1469"/>
      <c r="XAH45" s="1469"/>
      <c r="XAI45" s="1469"/>
      <c r="XAJ45" s="1469"/>
      <c r="XAK45" s="1469"/>
      <c r="XAL45" s="1469"/>
      <c r="XAM45" s="1469"/>
      <c r="XAN45" s="1469"/>
      <c r="XAO45" s="1469"/>
      <c r="XAP45" s="1469"/>
      <c r="XAQ45" s="1469"/>
      <c r="XAR45" s="1469"/>
      <c r="XAS45" s="1469"/>
      <c r="XAT45" s="1469"/>
      <c r="XAU45" s="1469"/>
      <c r="XAV45" s="1469"/>
      <c r="XAW45" s="1469"/>
      <c r="XAX45" s="1469"/>
      <c r="XAY45" s="1469"/>
      <c r="XAZ45" s="1469"/>
      <c r="XBA45" s="1469"/>
      <c r="XBB45" s="1469"/>
      <c r="XBC45" s="1469"/>
      <c r="XBD45" s="1469"/>
      <c r="XBE45" s="1469"/>
      <c r="XBF45" s="1469"/>
      <c r="XBG45" s="1469"/>
      <c r="XBH45" s="1469"/>
      <c r="XBI45" s="1469"/>
      <c r="XBJ45" s="1469"/>
      <c r="XBK45" s="1469"/>
      <c r="XBL45" s="1469"/>
      <c r="XBM45" s="1469"/>
      <c r="XBN45" s="1469"/>
      <c r="XBO45" s="1469"/>
      <c r="XBP45" s="1469"/>
      <c r="XBQ45" s="1469"/>
      <c r="XBR45" s="1469"/>
      <c r="XBS45" s="1469"/>
      <c r="XBT45" s="1469"/>
      <c r="XBU45" s="1469"/>
      <c r="XBV45" s="1469"/>
      <c r="XBW45" s="1469"/>
      <c r="XBX45" s="1469"/>
      <c r="XBY45" s="1469"/>
      <c r="XBZ45" s="1469"/>
      <c r="XCA45" s="1469"/>
      <c r="XCB45" s="1469"/>
      <c r="XCC45" s="1469"/>
      <c r="XCD45" s="1469"/>
      <c r="XCE45" s="1469"/>
      <c r="XCF45" s="1469"/>
      <c r="XCG45" s="1469"/>
      <c r="XCH45" s="1469"/>
      <c r="XCI45" s="1469"/>
      <c r="XCJ45" s="1469"/>
      <c r="XCK45" s="1469"/>
      <c r="XCL45" s="1469"/>
      <c r="XCM45" s="1469"/>
      <c r="XCN45" s="1469"/>
      <c r="XCO45" s="1469"/>
      <c r="XCP45" s="1469"/>
      <c r="XCQ45" s="1469"/>
      <c r="XCR45" s="1469"/>
      <c r="XCS45" s="1469"/>
      <c r="XCT45" s="1469"/>
      <c r="XCU45" s="1469"/>
      <c r="XCV45" s="1469"/>
      <c r="XCW45" s="1469"/>
      <c r="XCX45" s="1469"/>
      <c r="XCY45" s="1469"/>
      <c r="XCZ45" s="1469"/>
      <c r="XDA45" s="1469"/>
      <c r="XDB45" s="1469"/>
      <c r="XDC45" s="1469"/>
      <c r="XDD45" s="1469"/>
      <c r="XDE45" s="1469"/>
      <c r="XDF45" s="1469"/>
      <c r="XDG45" s="1469"/>
      <c r="XDH45" s="1469"/>
      <c r="XDI45" s="1469"/>
      <c r="XDJ45" s="1469"/>
      <c r="XDK45" s="1469"/>
      <c r="XDL45" s="1469"/>
      <c r="XDM45" s="1469"/>
      <c r="XDN45" s="1469"/>
      <c r="XDO45" s="1469"/>
      <c r="XDP45" s="1469"/>
      <c r="XDQ45" s="1469"/>
      <c r="XDR45" s="1469"/>
      <c r="XDS45" s="1469"/>
      <c r="XDT45" s="1469"/>
      <c r="XDU45" s="1469"/>
      <c r="XDV45" s="1469"/>
      <c r="XDW45" s="1469"/>
      <c r="XDX45" s="1469"/>
      <c r="XDY45" s="1469"/>
      <c r="XDZ45" s="1469"/>
      <c r="XEA45" s="1469"/>
      <c r="XEB45" s="1469"/>
      <c r="XEC45" s="1469"/>
      <c r="XED45" s="1469"/>
      <c r="XEE45" s="1469"/>
      <c r="XEF45" s="1469"/>
      <c r="XEG45" s="1469"/>
      <c r="XEH45" s="1469"/>
      <c r="XEI45" s="1469"/>
      <c r="XEJ45" s="1469"/>
      <c r="XEK45" s="1469"/>
      <c r="XEL45" s="1469"/>
      <c r="XEM45" s="1469"/>
      <c r="XEN45" s="1469"/>
      <c r="XEO45" s="1469"/>
      <c r="XEP45" s="1469"/>
      <c r="XEQ45" s="1469"/>
      <c r="XER45" s="1469"/>
      <c r="XES45" s="1469"/>
      <c r="XET45" s="1469"/>
      <c r="XEU45" s="1469"/>
      <c r="XEV45" s="1469"/>
      <c r="XEW45" s="1469"/>
      <c r="XEX45" s="1469"/>
      <c r="XEY45" s="1469"/>
      <c r="XEZ45" s="1469"/>
      <c r="XFA45" s="1469"/>
      <c r="XFB45" s="1469"/>
    </row>
  </sheetData>
  <mergeCells count="3">
    <mergeCell ref="A1:H1"/>
    <mergeCell ref="A2:H2"/>
    <mergeCell ref="C3:D3"/>
  </mergeCells>
  <pageMargins left="0.65" right="0.22" top="0.51" bottom="0.77" header="0.3" footer="0.3"/>
  <pageSetup paperSize="9" scale="79" orientation="portrait" verticalDpi="300" r:id="rId1"/>
</worksheet>
</file>

<file path=xl/worksheets/sheet10.xml><?xml version="1.0" encoding="utf-8"?>
<worksheet xmlns="http://schemas.openxmlformats.org/spreadsheetml/2006/main" xmlns:r="http://schemas.openxmlformats.org/officeDocument/2006/relationships">
  <dimension ref="A1:F160"/>
  <sheetViews>
    <sheetView workbookViewId="0">
      <selection activeCell="G26" sqref="G26"/>
    </sheetView>
  </sheetViews>
  <sheetFormatPr defaultRowHeight="15"/>
  <cols>
    <col min="3" max="3" width="30.140625" customWidth="1"/>
    <col min="4" max="4" width="13" customWidth="1"/>
    <col min="5" max="5" width="11.7109375" customWidth="1"/>
  </cols>
  <sheetData>
    <row r="1" spans="1:6">
      <c r="C1" t="s">
        <v>241</v>
      </c>
    </row>
    <row r="2" spans="1:6">
      <c r="C2" t="s">
        <v>642</v>
      </c>
    </row>
    <row r="3" spans="1:6">
      <c r="A3" t="s">
        <v>242</v>
      </c>
      <c r="B3" t="s">
        <v>150</v>
      </c>
      <c r="C3" t="s">
        <v>5491</v>
      </c>
      <c r="E3" t="s">
        <v>5492</v>
      </c>
    </row>
    <row r="4" spans="1:6">
      <c r="A4" t="s">
        <v>21</v>
      </c>
      <c r="B4" t="s">
        <v>21</v>
      </c>
      <c r="C4" t="s">
        <v>21</v>
      </c>
      <c r="D4" t="s">
        <v>21</v>
      </c>
      <c r="E4" t="s">
        <v>21</v>
      </c>
      <c r="F4" t="s">
        <v>21</v>
      </c>
    </row>
    <row r="5" spans="1:6">
      <c r="A5" t="s">
        <v>244</v>
      </c>
      <c r="B5" t="s">
        <v>150</v>
      </c>
      <c r="C5" t="s">
        <v>245</v>
      </c>
      <c r="D5" t="s">
        <v>246</v>
      </c>
      <c r="E5" t="s">
        <v>247</v>
      </c>
      <c r="F5" t="s">
        <v>248</v>
      </c>
    </row>
    <row r="6" spans="1:6">
      <c r="A6" t="s">
        <v>21</v>
      </c>
      <c r="B6" t="s">
        <v>21</v>
      </c>
      <c r="C6" t="s">
        <v>21</v>
      </c>
      <c r="D6" t="s">
        <v>21</v>
      </c>
      <c r="E6" t="s">
        <v>21</v>
      </c>
      <c r="F6" t="s">
        <v>21</v>
      </c>
    </row>
    <row r="7" spans="1:6">
      <c r="B7" t="s">
        <v>249</v>
      </c>
      <c r="C7" t="s">
        <v>250</v>
      </c>
    </row>
    <row r="8" spans="1:6">
      <c r="C8" t="s">
        <v>21</v>
      </c>
    </row>
    <row r="9" spans="1:6">
      <c r="A9">
        <v>0.96</v>
      </c>
      <c r="B9" t="s">
        <v>251</v>
      </c>
      <c r="C9" t="s">
        <v>252</v>
      </c>
      <c r="D9">
        <v>6040</v>
      </c>
      <c r="E9" t="s">
        <v>251</v>
      </c>
      <c r="F9">
        <v>5798.4</v>
      </c>
    </row>
    <row r="10" spans="1:6">
      <c r="A10">
        <v>1</v>
      </c>
      <c r="B10" t="s">
        <v>151</v>
      </c>
      <c r="C10" t="s">
        <v>253</v>
      </c>
      <c r="D10">
        <v>2265.5</v>
      </c>
      <c r="E10" t="s">
        <v>151</v>
      </c>
      <c r="F10">
        <v>2265.5</v>
      </c>
    </row>
    <row r="11" spans="1:6">
      <c r="A11">
        <v>1</v>
      </c>
      <c r="B11" t="s">
        <v>151</v>
      </c>
      <c r="C11" t="s">
        <v>254</v>
      </c>
      <c r="D11">
        <v>154</v>
      </c>
      <c r="E11" t="s">
        <v>151</v>
      </c>
      <c r="F11">
        <v>154</v>
      </c>
    </row>
    <row r="12" spans="1:6">
      <c r="B12" t="s">
        <v>226</v>
      </c>
      <c r="C12" t="s">
        <v>237</v>
      </c>
      <c r="D12" t="s">
        <v>150</v>
      </c>
      <c r="E12" t="s">
        <v>226</v>
      </c>
      <c r="F12">
        <v>0</v>
      </c>
    </row>
    <row r="13" spans="1:6">
      <c r="F13" t="s">
        <v>21</v>
      </c>
    </row>
    <row r="14" spans="1:6">
      <c r="C14" t="s">
        <v>255</v>
      </c>
      <c r="F14">
        <v>8217.9</v>
      </c>
    </row>
    <row r="15" spans="1:6">
      <c r="F15" t="s">
        <v>21</v>
      </c>
    </row>
    <row r="16" spans="1:6">
      <c r="B16" t="s">
        <v>249</v>
      </c>
      <c r="C16" t="s">
        <v>256</v>
      </c>
    </row>
    <row r="17" spans="1:6">
      <c r="C17" t="s">
        <v>21</v>
      </c>
    </row>
    <row r="18" spans="1:6">
      <c r="A18">
        <v>0.72</v>
      </c>
      <c r="B18" t="s">
        <v>251</v>
      </c>
      <c r="C18" t="s">
        <v>252</v>
      </c>
      <c r="D18">
        <v>6040</v>
      </c>
      <c r="E18" t="s">
        <v>251</v>
      </c>
      <c r="F18">
        <v>4348.8</v>
      </c>
    </row>
    <row r="19" spans="1:6">
      <c r="A19">
        <v>1</v>
      </c>
      <c r="B19" t="s">
        <v>151</v>
      </c>
      <c r="C19" t="s">
        <v>253</v>
      </c>
      <c r="D19">
        <v>2265.5</v>
      </c>
      <c r="E19" t="s">
        <v>151</v>
      </c>
      <c r="F19">
        <v>2265.5</v>
      </c>
    </row>
    <row r="20" spans="1:6">
      <c r="A20">
        <v>1</v>
      </c>
      <c r="B20" t="s">
        <v>151</v>
      </c>
      <c r="C20" t="s">
        <v>254</v>
      </c>
      <c r="D20">
        <v>154</v>
      </c>
      <c r="E20" t="s">
        <v>151</v>
      </c>
      <c r="F20">
        <v>154</v>
      </c>
    </row>
    <row r="21" spans="1:6">
      <c r="B21" t="s">
        <v>226</v>
      </c>
      <c r="C21" t="s">
        <v>237</v>
      </c>
      <c r="D21" t="s">
        <v>150</v>
      </c>
      <c r="E21" t="s">
        <v>226</v>
      </c>
      <c r="F21">
        <v>0</v>
      </c>
    </row>
    <row r="22" spans="1:6">
      <c r="F22" t="s">
        <v>21</v>
      </c>
    </row>
    <row r="23" spans="1:6">
      <c r="C23" t="s">
        <v>255</v>
      </c>
      <c r="F23">
        <v>6768.3</v>
      </c>
    </row>
    <row r="24" spans="1:6">
      <c r="F24" t="s">
        <v>21</v>
      </c>
    </row>
    <row r="25" spans="1:6">
      <c r="B25" t="s">
        <v>249</v>
      </c>
      <c r="C25" t="s">
        <v>257</v>
      </c>
    </row>
    <row r="26" spans="1:6">
      <c r="C26" t="s">
        <v>21</v>
      </c>
    </row>
    <row r="27" spans="1:6">
      <c r="A27">
        <v>0.48</v>
      </c>
      <c r="B27" t="s">
        <v>251</v>
      </c>
      <c r="C27" t="s">
        <v>252</v>
      </c>
      <c r="D27">
        <v>6040</v>
      </c>
      <c r="E27" t="s">
        <v>251</v>
      </c>
      <c r="F27">
        <v>2899.2</v>
      </c>
    </row>
    <row r="28" spans="1:6">
      <c r="A28">
        <v>1</v>
      </c>
      <c r="B28" t="s">
        <v>151</v>
      </c>
      <c r="C28" t="s">
        <v>253</v>
      </c>
      <c r="D28">
        <v>2265.5</v>
      </c>
      <c r="E28" t="s">
        <v>151</v>
      </c>
      <c r="F28">
        <v>2265.5</v>
      </c>
    </row>
    <row r="29" spans="1:6">
      <c r="A29">
        <v>1</v>
      </c>
      <c r="B29" t="s">
        <v>151</v>
      </c>
      <c r="C29" t="s">
        <v>254</v>
      </c>
      <c r="D29">
        <v>154</v>
      </c>
      <c r="E29" t="s">
        <v>151</v>
      </c>
      <c r="F29">
        <v>154</v>
      </c>
    </row>
    <row r="30" spans="1:6">
      <c r="B30" t="s">
        <v>226</v>
      </c>
      <c r="C30" t="s">
        <v>237</v>
      </c>
      <c r="D30" t="s">
        <v>150</v>
      </c>
      <c r="E30" t="s">
        <v>226</v>
      </c>
      <c r="F30">
        <v>0</v>
      </c>
    </row>
    <row r="31" spans="1:6">
      <c r="F31" t="s">
        <v>21</v>
      </c>
    </row>
    <row r="32" spans="1:6">
      <c r="C32" t="s">
        <v>255</v>
      </c>
      <c r="F32">
        <v>5318.7</v>
      </c>
    </row>
    <row r="33" spans="1:6">
      <c r="F33" t="s">
        <v>21</v>
      </c>
    </row>
    <row r="34" spans="1:6">
      <c r="B34" t="s">
        <v>249</v>
      </c>
      <c r="C34" t="s">
        <v>258</v>
      </c>
    </row>
    <row r="35" spans="1:6">
      <c r="A35">
        <v>0.36</v>
      </c>
      <c r="B35" t="s">
        <v>251</v>
      </c>
      <c r="C35" t="s">
        <v>252</v>
      </c>
      <c r="D35">
        <v>6040</v>
      </c>
      <c r="E35" t="s">
        <v>251</v>
      </c>
      <c r="F35">
        <v>2174.4</v>
      </c>
    </row>
    <row r="36" spans="1:6">
      <c r="A36">
        <v>1</v>
      </c>
      <c r="B36" t="s">
        <v>151</v>
      </c>
      <c r="C36" t="s">
        <v>253</v>
      </c>
      <c r="D36">
        <v>2265.5</v>
      </c>
      <c r="E36" t="s">
        <v>151</v>
      </c>
      <c r="F36">
        <v>2265.5</v>
      </c>
    </row>
    <row r="37" spans="1:6">
      <c r="A37">
        <v>1</v>
      </c>
      <c r="B37" t="s">
        <v>151</v>
      </c>
      <c r="C37" t="s">
        <v>254</v>
      </c>
      <c r="D37">
        <v>154</v>
      </c>
      <c r="E37" t="s">
        <v>151</v>
      </c>
      <c r="F37">
        <v>154</v>
      </c>
    </row>
    <row r="38" spans="1:6">
      <c r="B38" t="s">
        <v>226</v>
      </c>
      <c r="C38" t="s">
        <v>237</v>
      </c>
      <c r="D38" t="s">
        <v>150</v>
      </c>
      <c r="E38" t="s">
        <v>226</v>
      </c>
      <c r="F38">
        <v>0</v>
      </c>
    </row>
    <row r="39" spans="1:6">
      <c r="F39" t="s">
        <v>21</v>
      </c>
    </row>
    <row r="40" spans="1:6">
      <c r="C40" t="s">
        <v>255</v>
      </c>
      <c r="F40">
        <v>4593.8999999999996</v>
      </c>
    </row>
    <row r="41" spans="1:6">
      <c r="F41" t="s">
        <v>21</v>
      </c>
    </row>
    <row r="42" spans="1:6">
      <c r="B42" t="s">
        <v>249</v>
      </c>
      <c r="C42" t="s">
        <v>259</v>
      </c>
    </row>
    <row r="43" spans="1:6">
      <c r="C43" t="s">
        <v>21</v>
      </c>
    </row>
    <row r="44" spans="1:6">
      <c r="A44">
        <v>0.28799999999999998</v>
      </c>
      <c r="B44" t="s">
        <v>251</v>
      </c>
      <c r="C44" t="s">
        <v>252</v>
      </c>
      <c r="D44">
        <v>6040</v>
      </c>
      <c r="E44" t="s">
        <v>251</v>
      </c>
      <c r="F44">
        <v>1739.52</v>
      </c>
    </row>
    <row r="45" spans="1:6">
      <c r="A45">
        <v>1</v>
      </c>
      <c r="B45" t="s">
        <v>151</v>
      </c>
      <c r="C45" t="s">
        <v>253</v>
      </c>
      <c r="D45">
        <v>2265.5</v>
      </c>
      <c r="E45" t="s">
        <v>151</v>
      </c>
      <c r="F45">
        <v>2265.5</v>
      </c>
    </row>
    <row r="46" spans="1:6">
      <c r="A46">
        <v>1</v>
      </c>
      <c r="B46" t="s">
        <v>151</v>
      </c>
      <c r="C46" t="s">
        <v>254</v>
      </c>
      <c r="D46">
        <v>154</v>
      </c>
      <c r="E46" t="s">
        <v>151</v>
      </c>
      <c r="F46">
        <v>154</v>
      </c>
    </row>
    <row r="47" spans="1:6">
      <c r="B47" t="s">
        <v>226</v>
      </c>
      <c r="C47" t="s">
        <v>237</v>
      </c>
      <c r="D47" t="s">
        <v>150</v>
      </c>
      <c r="E47" t="s">
        <v>226</v>
      </c>
      <c r="F47">
        <v>0</v>
      </c>
    </row>
    <row r="48" spans="1:6">
      <c r="F48" t="s">
        <v>21</v>
      </c>
    </row>
    <row r="49" spans="1:6">
      <c r="C49" t="s">
        <v>255</v>
      </c>
      <c r="F49">
        <v>4159.0200000000004</v>
      </c>
    </row>
    <row r="50" spans="1:6">
      <c r="F50" t="s">
        <v>21</v>
      </c>
    </row>
    <row r="51" spans="1:6">
      <c r="B51" t="s">
        <v>249</v>
      </c>
      <c r="C51" t="s">
        <v>260</v>
      </c>
    </row>
    <row r="52" spans="1:6">
      <c r="C52" t="s">
        <v>21</v>
      </c>
    </row>
    <row r="53" spans="1:6">
      <c r="A53">
        <v>0.24</v>
      </c>
      <c r="B53" t="s">
        <v>251</v>
      </c>
      <c r="C53" t="s">
        <v>252</v>
      </c>
      <c r="D53">
        <v>6040</v>
      </c>
      <c r="E53" t="s">
        <v>251</v>
      </c>
      <c r="F53">
        <v>1449.6</v>
      </c>
    </row>
    <row r="54" spans="1:6">
      <c r="A54">
        <v>1</v>
      </c>
      <c r="B54" t="s">
        <v>151</v>
      </c>
      <c r="C54" t="s">
        <v>253</v>
      </c>
      <c r="D54">
        <v>2265.5</v>
      </c>
      <c r="E54" t="s">
        <v>151</v>
      </c>
      <c r="F54">
        <v>2265.5</v>
      </c>
    </row>
    <row r="55" spans="1:6">
      <c r="A55">
        <v>1</v>
      </c>
      <c r="B55" t="s">
        <v>151</v>
      </c>
      <c r="C55" t="s">
        <v>254</v>
      </c>
      <c r="D55">
        <v>154</v>
      </c>
      <c r="E55" t="s">
        <v>151</v>
      </c>
      <c r="F55">
        <v>154</v>
      </c>
    </row>
    <row r="56" spans="1:6">
      <c r="B56" t="s">
        <v>226</v>
      </c>
      <c r="C56" t="s">
        <v>237</v>
      </c>
      <c r="D56" t="s">
        <v>150</v>
      </c>
      <c r="E56" t="s">
        <v>226</v>
      </c>
      <c r="F56">
        <v>0</v>
      </c>
    </row>
    <row r="57" spans="1:6">
      <c r="F57" t="s">
        <v>21</v>
      </c>
    </row>
    <row r="58" spans="1:6">
      <c r="C58" t="s">
        <v>255</v>
      </c>
      <c r="F58">
        <v>3869.1</v>
      </c>
    </row>
    <row r="59" spans="1:6">
      <c r="A59" t="s">
        <v>150</v>
      </c>
    </row>
    <row r="60" spans="1:6">
      <c r="F60" t="s">
        <v>21</v>
      </c>
    </row>
    <row r="61" spans="1:6">
      <c r="B61" t="s">
        <v>249</v>
      </c>
      <c r="C61" t="s">
        <v>383</v>
      </c>
    </row>
    <row r="62" spans="1:6">
      <c r="C62" t="s">
        <v>21</v>
      </c>
    </row>
    <row r="63" spans="1:6">
      <c r="A63">
        <v>0.20599999999999999</v>
      </c>
      <c r="B63" t="s">
        <v>251</v>
      </c>
      <c r="C63" t="s">
        <v>252</v>
      </c>
      <c r="D63">
        <v>6040</v>
      </c>
      <c r="E63" t="s">
        <v>251</v>
      </c>
      <c r="F63">
        <v>1244.24</v>
      </c>
    </row>
    <row r="64" spans="1:6">
      <c r="A64">
        <v>1</v>
      </c>
      <c r="B64" t="s">
        <v>151</v>
      </c>
      <c r="C64" t="s">
        <v>253</v>
      </c>
      <c r="D64">
        <v>2265.5</v>
      </c>
      <c r="E64" t="s">
        <v>151</v>
      </c>
      <c r="F64">
        <v>2265.5</v>
      </c>
    </row>
    <row r="65" spans="1:6">
      <c r="A65">
        <v>1</v>
      </c>
      <c r="B65" t="s">
        <v>151</v>
      </c>
      <c r="C65" t="s">
        <v>254</v>
      </c>
      <c r="D65">
        <v>154</v>
      </c>
      <c r="E65" t="s">
        <v>151</v>
      </c>
      <c r="F65">
        <v>154</v>
      </c>
    </row>
    <row r="66" spans="1:6">
      <c r="B66" t="s">
        <v>226</v>
      </c>
      <c r="C66" t="s">
        <v>237</v>
      </c>
      <c r="D66" t="s">
        <v>150</v>
      </c>
      <c r="E66" t="s">
        <v>226</v>
      </c>
      <c r="F66">
        <v>0</v>
      </c>
    </row>
    <row r="67" spans="1:6">
      <c r="F67" t="s">
        <v>21</v>
      </c>
    </row>
    <row r="68" spans="1:6">
      <c r="C68" t="s">
        <v>255</v>
      </c>
      <c r="F68">
        <v>3663.74</v>
      </c>
    </row>
    <row r="69" spans="1:6">
      <c r="F69" t="s">
        <v>21</v>
      </c>
    </row>
    <row r="70" spans="1:6">
      <c r="B70" t="s">
        <v>249</v>
      </c>
      <c r="C70" t="s">
        <v>384</v>
      </c>
    </row>
    <row r="71" spans="1:6">
      <c r="C71" t="s">
        <v>21</v>
      </c>
    </row>
    <row r="72" spans="1:6">
      <c r="A72">
        <v>0.18</v>
      </c>
      <c r="B72" t="s">
        <v>251</v>
      </c>
      <c r="C72" t="s">
        <v>252</v>
      </c>
      <c r="D72">
        <v>6040</v>
      </c>
      <c r="E72" t="s">
        <v>251</v>
      </c>
      <c r="F72">
        <v>1087.2</v>
      </c>
    </row>
    <row r="73" spans="1:6">
      <c r="A73">
        <v>1</v>
      </c>
      <c r="B73" t="s">
        <v>151</v>
      </c>
      <c r="C73" t="s">
        <v>253</v>
      </c>
      <c r="D73">
        <v>2265.5</v>
      </c>
      <c r="E73" t="s">
        <v>151</v>
      </c>
      <c r="F73">
        <v>2265.5</v>
      </c>
    </row>
    <row r="74" spans="1:6">
      <c r="A74">
        <v>1</v>
      </c>
      <c r="B74" t="s">
        <v>151</v>
      </c>
      <c r="C74" t="s">
        <v>254</v>
      </c>
      <c r="D74">
        <v>154</v>
      </c>
      <c r="E74" t="s">
        <v>151</v>
      </c>
      <c r="F74">
        <v>154</v>
      </c>
    </row>
    <row r="75" spans="1:6">
      <c r="B75" t="s">
        <v>226</v>
      </c>
      <c r="C75" t="s">
        <v>237</v>
      </c>
      <c r="D75" t="s">
        <v>150</v>
      </c>
      <c r="E75" t="s">
        <v>226</v>
      </c>
      <c r="F75">
        <v>0</v>
      </c>
    </row>
    <row r="76" spans="1:6">
      <c r="F76" t="s">
        <v>21</v>
      </c>
    </row>
    <row r="77" spans="1:6">
      <c r="C77" t="s">
        <v>255</v>
      </c>
      <c r="F77">
        <v>3506.7</v>
      </c>
    </row>
    <row r="78" spans="1:6">
      <c r="F78" t="s">
        <v>21</v>
      </c>
    </row>
    <row r="79" spans="1:6">
      <c r="A79">
        <v>1.1000000000000001</v>
      </c>
      <c r="B79" t="s">
        <v>150</v>
      </c>
      <c r="C79" t="s">
        <v>770</v>
      </c>
    </row>
    <row r="80" spans="1:6">
      <c r="A80" t="s">
        <v>150</v>
      </c>
      <c r="C80" t="s">
        <v>775</v>
      </c>
    </row>
    <row r="81" spans="1:6">
      <c r="A81">
        <v>10</v>
      </c>
      <c r="B81" t="s">
        <v>151</v>
      </c>
      <c r="C81" t="s">
        <v>261</v>
      </c>
      <c r="D81">
        <v>148.75</v>
      </c>
      <c r="E81" t="s">
        <v>151</v>
      </c>
      <c r="F81">
        <v>1487.5</v>
      </c>
    </row>
    <row r="82" spans="1:6">
      <c r="A82">
        <v>10</v>
      </c>
      <c r="B82" t="s">
        <v>151</v>
      </c>
      <c r="C82" t="s">
        <v>778</v>
      </c>
      <c r="D82">
        <v>148.75</v>
      </c>
      <c r="E82" t="s">
        <v>151</v>
      </c>
      <c r="F82">
        <v>1487.5</v>
      </c>
    </row>
    <row r="83" spans="1:6">
      <c r="A83">
        <v>10</v>
      </c>
      <c r="B83" t="s">
        <v>151</v>
      </c>
      <c r="C83" t="s">
        <v>262</v>
      </c>
      <c r="D83">
        <v>17.243333333333336</v>
      </c>
      <c r="E83" t="s">
        <v>151</v>
      </c>
      <c r="F83">
        <v>172.43333333333337</v>
      </c>
    </row>
    <row r="84" spans="1:6">
      <c r="B84" t="s">
        <v>226</v>
      </c>
      <c r="C84" t="s">
        <v>237</v>
      </c>
      <c r="E84" t="s">
        <v>226</v>
      </c>
      <c r="F84">
        <v>0</v>
      </c>
    </row>
    <row r="85" spans="1:6">
      <c r="F85" t="s">
        <v>21</v>
      </c>
    </row>
    <row r="86" spans="1:6">
      <c r="C86" t="s">
        <v>263</v>
      </c>
      <c r="F86">
        <v>3147.4333333333334</v>
      </c>
    </row>
    <row r="87" spans="1:6">
      <c r="F87" t="s">
        <v>21</v>
      </c>
    </row>
    <row r="88" spans="1:6">
      <c r="C88" t="s">
        <v>785</v>
      </c>
      <c r="D88" t="s">
        <v>265</v>
      </c>
      <c r="F88">
        <v>314.74333333333334</v>
      </c>
    </row>
    <row r="89" spans="1:6">
      <c r="D89" t="s">
        <v>266</v>
      </c>
      <c r="F89">
        <v>329.02</v>
      </c>
    </row>
    <row r="90" spans="1:6">
      <c r="A90" t="s">
        <v>788</v>
      </c>
      <c r="C90" t="s">
        <v>789</v>
      </c>
      <c r="D90" t="s">
        <v>265</v>
      </c>
      <c r="F90">
        <v>297.5</v>
      </c>
    </row>
    <row r="91" spans="1:6">
      <c r="D91" t="s">
        <v>266</v>
      </c>
      <c r="F91">
        <v>311.77999999999997</v>
      </c>
    </row>
    <row r="92" spans="1:6">
      <c r="A92" t="s">
        <v>792</v>
      </c>
      <c r="B92" t="s">
        <v>150</v>
      </c>
      <c r="C92" t="s">
        <v>5801</v>
      </c>
    </row>
    <row r="93" spans="1:6">
      <c r="A93" t="s">
        <v>150</v>
      </c>
      <c r="C93" t="s">
        <v>21</v>
      </c>
    </row>
    <row r="94" spans="1:6">
      <c r="A94">
        <v>10</v>
      </c>
      <c r="B94" t="s">
        <v>151</v>
      </c>
      <c r="C94" t="s">
        <v>795</v>
      </c>
      <c r="D94">
        <v>221.47999999999996</v>
      </c>
      <c r="E94" t="s">
        <v>151</v>
      </c>
      <c r="F94">
        <v>2214.7999999999997</v>
      </c>
    </row>
    <row r="95" spans="1:6">
      <c r="A95">
        <v>10</v>
      </c>
      <c r="B95" t="s">
        <v>151</v>
      </c>
      <c r="C95" t="s">
        <v>778</v>
      </c>
      <c r="D95">
        <v>221.47999999999996</v>
      </c>
      <c r="E95" t="s">
        <v>151</v>
      </c>
      <c r="F95">
        <v>2214.7999999999997</v>
      </c>
    </row>
    <row r="96" spans="1:6">
      <c r="A96">
        <v>10</v>
      </c>
      <c r="B96" t="s">
        <v>151</v>
      </c>
      <c r="C96" t="s">
        <v>262</v>
      </c>
      <c r="D96">
        <v>17.243333333333336</v>
      </c>
      <c r="E96" t="s">
        <v>151</v>
      </c>
      <c r="F96">
        <v>172.43333333333337</v>
      </c>
    </row>
    <row r="97" spans="1:6">
      <c r="B97" t="s">
        <v>226</v>
      </c>
      <c r="C97" t="s">
        <v>237</v>
      </c>
      <c r="E97" t="s">
        <v>226</v>
      </c>
      <c r="F97">
        <v>0</v>
      </c>
    </row>
    <row r="98" spans="1:6">
      <c r="F98" t="s">
        <v>21</v>
      </c>
    </row>
    <row r="99" spans="1:6">
      <c r="C99" t="s">
        <v>263</v>
      </c>
      <c r="F99">
        <v>4602.0333333333328</v>
      </c>
    </row>
    <row r="100" spans="1:6">
      <c r="F100" t="s">
        <v>21</v>
      </c>
    </row>
    <row r="101" spans="1:6">
      <c r="C101" t="s">
        <v>785</v>
      </c>
      <c r="D101" t="s">
        <v>265</v>
      </c>
      <c r="F101">
        <v>460.20333333333326</v>
      </c>
    </row>
    <row r="102" spans="1:6">
      <c r="D102" t="s">
        <v>266</v>
      </c>
      <c r="F102">
        <v>474.48</v>
      </c>
    </row>
    <row r="104" spans="1:6">
      <c r="A104">
        <v>1.7</v>
      </c>
      <c r="C104" t="s">
        <v>796</v>
      </c>
      <c r="D104" t="s">
        <v>265</v>
      </c>
      <c r="F104">
        <v>442.96</v>
      </c>
    </row>
    <row r="105" spans="1:6">
      <c r="D105" t="s">
        <v>266</v>
      </c>
      <c r="F105">
        <v>457.24</v>
      </c>
    </row>
    <row r="108" spans="1:6">
      <c r="A108">
        <v>1.4</v>
      </c>
      <c r="B108" t="s">
        <v>150</v>
      </c>
      <c r="C108" t="s">
        <v>5802</v>
      </c>
    </row>
    <row r="110" spans="1:6">
      <c r="A110">
        <v>10</v>
      </c>
      <c r="B110" t="s">
        <v>151</v>
      </c>
      <c r="C110" t="s">
        <v>261</v>
      </c>
      <c r="D110">
        <v>148.75</v>
      </c>
      <c r="E110" t="s">
        <v>151</v>
      </c>
      <c r="F110">
        <v>1487.5</v>
      </c>
    </row>
    <row r="111" spans="1:6">
      <c r="A111">
        <v>10</v>
      </c>
      <c r="B111" t="s">
        <v>151</v>
      </c>
      <c r="C111" t="s">
        <v>262</v>
      </c>
      <c r="D111">
        <v>17.243333333333336</v>
      </c>
      <c r="E111" t="s">
        <v>151</v>
      </c>
      <c r="F111">
        <v>172.43333333333337</v>
      </c>
    </row>
    <row r="112" spans="1:6">
      <c r="B112" t="s">
        <v>226</v>
      </c>
      <c r="C112" t="s">
        <v>237</v>
      </c>
      <c r="E112" t="s">
        <v>226</v>
      </c>
      <c r="F112">
        <v>0</v>
      </c>
    </row>
    <row r="113" spans="1:6">
      <c r="F113" t="s">
        <v>21</v>
      </c>
    </row>
    <row r="114" spans="1:6">
      <c r="C114" t="s">
        <v>263</v>
      </c>
      <c r="F114">
        <v>1659.9333333333334</v>
      </c>
    </row>
    <row r="115" spans="1:6">
      <c r="F115" t="s">
        <v>21</v>
      </c>
    </row>
    <row r="116" spans="1:6">
      <c r="F116">
        <v>165.99333333333334</v>
      </c>
    </row>
    <row r="118" spans="1:6">
      <c r="A118">
        <v>1.5</v>
      </c>
      <c r="C118" t="s">
        <v>264</v>
      </c>
      <c r="D118" t="s">
        <v>265</v>
      </c>
      <c r="F118">
        <v>148.75</v>
      </c>
    </row>
    <row r="119" spans="1:6">
      <c r="D119" t="s">
        <v>266</v>
      </c>
      <c r="F119">
        <v>163.03</v>
      </c>
    </row>
    <row r="120" spans="1:6">
      <c r="D120" t="s">
        <v>799</v>
      </c>
      <c r="F120">
        <v>177.31</v>
      </c>
    </row>
    <row r="121" spans="1:6">
      <c r="D121" t="s">
        <v>800</v>
      </c>
      <c r="F121">
        <v>191.59</v>
      </c>
    </row>
    <row r="122" spans="1:6">
      <c r="A122">
        <v>1.8</v>
      </c>
      <c r="C122" t="s">
        <v>3407</v>
      </c>
    </row>
    <row r="124" spans="1:6">
      <c r="A124">
        <v>10</v>
      </c>
      <c r="B124" t="s">
        <v>151</v>
      </c>
      <c r="C124" t="s">
        <v>795</v>
      </c>
      <c r="D124">
        <v>221.47999999999996</v>
      </c>
      <c r="E124" t="s">
        <v>151</v>
      </c>
      <c r="F124">
        <v>2214.7999999999997</v>
      </c>
    </row>
    <row r="125" spans="1:6">
      <c r="B125" t="s">
        <v>287</v>
      </c>
      <c r="E125" t="s">
        <v>287</v>
      </c>
      <c r="F125">
        <v>0</v>
      </c>
    </row>
    <row r="126" spans="1:6">
      <c r="F126" t="s">
        <v>21</v>
      </c>
    </row>
    <row r="127" spans="1:6">
      <c r="C127" t="s">
        <v>263</v>
      </c>
      <c r="F127">
        <v>2214.7999999999997</v>
      </c>
    </row>
    <row r="128" spans="1:6">
      <c r="F128" t="s">
        <v>21</v>
      </c>
    </row>
    <row r="129" spans="1:6">
      <c r="C129" t="s">
        <v>3408</v>
      </c>
      <c r="D129" t="s">
        <v>265</v>
      </c>
      <c r="F129">
        <v>221.48</v>
      </c>
    </row>
    <row r="130" spans="1:6">
      <c r="D130" t="s">
        <v>266</v>
      </c>
      <c r="F130">
        <v>235.76</v>
      </c>
    </row>
    <row r="132" spans="1:6">
      <c r="A132">
        <v>1.6</v>
      </c>
      <c r="C132" t="s">
        <v>807</v>
      </c>
    </row>
    <row r="133" spans="1:6">
      <c r="C133" t="s">
        <v>808</v>
      </c>
      <c r="D133" t="s">
        <v>265</v>
      </c>
      <c r="F133">
        <v>223.125</v>
      </c>
    </row>
    <row r="134" spans="1:6">
      <c r="A134" t="s">
        <v>150</v>
      </c>
      <c r="C134" t="s">
        <v>809</v>
      </c>
      <c r="D134" t="s">
        <v>266</v>
      </c>
      <c r="F134">
        <v>237.41</v>
      </c>
    </row>
    <row r="135" spans="1:6">
      <c r="F135" t="s">
        <v>156</v>
      </c>
    </row>
    <row r="136" spans="1:6">
      <c r="C136" t="s">
        <v>810</v>
      </c>
      <c r="D136" t="s">
        <v>265</v>
      </c>
      <c r="F136">
        <v>185.9375</v>
      </c>
    </row>
    <row r="137" spans="1:6">
      <c r="A137" t="s">
        <v>374</v>
      </c>
      <c r="B137" t="s">
        <v>249</v>
      </c>
      <c r="C137" t="s">
        <v>375</v>
      </c>
    </row>
    <row r="138" spans="1:6">
      <c r="C138" t="s">
        <v>3409</v>
      </c>
    </row>
    <row r="139" spans="1:6">
      <c r="C139" t="s">
        <v>21</v>
      </c>
    </row>
    <row r="140" spans="1:6">
      <c r="A140">
        <v>1</v>
      </c>
      <c r="B140" t="s">
        <v>151</v>
      </c>
      <c r="C140" t="s">
        <v>376</v>
      </c>
      <c r="D140">
        <v>2265.5</v>
      </c>
      <c r="E140" t="s">
        <v>151</v>
      </c>
      <c r="F140">
        <v>2265.5</v>
      </c>
    </row>
    <row r="141" spans="1:6">
      <c r="A141">
        <v>1</v>
      </c>
      <c r="B141" t="s">
        <v>151</v>
      </c>
      <c r="C141" t="s">
        <v>377</v>
      </c>
      <c r="D141">
        <v>45.43</v>
      </c>
      <c r="E141" t="s">
        <v>151</v>
      </c>
      <c r="F141">
        <v>45.43</v>
      </c>
    </row>
    <row r="142" spans="1:6">
      <c r="B142" t="s">
        <v>226</v>
      </c>
      <c r="C142" t="s">
        <v>237</v>
      </c>
      <c r="D142" t="s">
        <v>150</v>
      </c>
      <c r="E142" t="s">
        <v>226</v>
      </c>
      <c r="F142">
        <v>0</v>
      </c>
    </row>
    <row r="143" spans="1:6">
      <c r="F143" t="s">
        <v>21</v>
      </c>
    </row>
    <row r="144" spans="1:6">
      <c r="C144" t="s">
        <v>378</v>
      </c>
      <c r="F144">
        <v>2310.9299999999998</v>
      </c>
    </row>
    <row r="145" spans="1:6">
      <c r="F145" t="s">
        <v>21</v>
      </c>
    </row>
    <row r="146" spans="1:6">
      <c r="B146" t="s">
        <v>249</v>
      </c>
      <c r="C146" t="s">
        <v>5803</v>
      </c>
    </row>
    <row r="147" spans="1:6">
      <c r="C147" t="s">
        <v>394</v>
      </c>
    </row>
    <row r="148" spans="1:6">
      <c r="C148" t="s">
        <v>395</v>
      </c>
    </row>
    <row r="149" spans="1:6">
      <c r="C149" t="s">
        <v>21</v>
      </c>
    </row>
    <row r="150" spans="1:6">
      <c r="A150">
        <v>1.34</v>
      </c>
      <c r="B150" t="s">
        <v>13</v>
      </c>
      <c r="C150" t="s">
        <v>3410</v>
      </c>
      <c r="D150">
        <v>73.8</v>
      </c>
      <c r="E150" t="s">
        <v>13</v>
      </c>
      <c r="F150">
        <f>A150*D150</f>
        <v>98.891999999999996</v>
      </c>
    </row>
    <row r="151" spans="1:6">
      <c r="A151">
        <v>0.5</v>
      </c>
      <c r="B151" t="s">
        <v>4</v>
      </c>
      <c r="C151" t="s">
        <v>322</v>
      </c>
      <c r="D151">
        <v>1058.3999999999999</v>
      </c>
      <c r="E151" t="s">
        <v>4</v>
      </c>
      <c r="F151">
        <f t="shared" ref="F151:F154" si="0">A151*D151</f>
        <v>529.19999999999993</v>
      </c>
    </row>
    <row r="152" spans="1:6">
      <c r="A152">
        <v>0.5</v>
      </c>
      <c r="B152" t="s">
        <v>4</v>
      </c>
      <c r="C152" t="s">
        <v>235</v>
      </c>
      <c r="D152">
        <v>865.19999999999993</v>
      </c>
      <c r="E152" t="s">
        <v>4</v>
      </c>
      <c r="F152">
        <f t="shared" si="0"/>
        <v>432.59999999999997</v>
      </c>
    </row>
    <row r="153" spans="1:6">
      <c r="A153">
        <v>0.8</v>
      </c>
      <c r="B153" t="s">
        <v>4</v>
      </c>
      <c r="C153" t="s">
        <v>236</v>
      </c>
      <c r="D153">
        <v>709.8</v>
      </c>
      <c r="E153" t="s">
        <v>4</v>
      </c>
      <c r="F153">
        <f t="shared" si="0"/>
        <v>567.84</v>
      </c>
    </row>
    <row r="154" spans="1:6">
      <c r="A154">
        <v>10</v>
      </c>
      <c r="B154" t="s">
        <v>306</v>
      </c>
      <c r="C154" t="s">
        <v>2797</v>
      </c>
      <c r="D154">
        <v>4</v>
      </c>
      <c r="E154" t="s">
        <v>306</v>
      </c>
      <c r="F154">
        <f t="shared" si="0"/>
        <v>40</v>
      </c>
    </row>
    <row r="155" spans="1:6">
      <c r="B155" t="s">
        <v>226</v>
      </c>
      <c r="C155" t="s">
        <v>323</v>
      </c>
      <c r="D155" t="s">
        <v>150</v>
      </c>
      <c r="E155" t="s">
        <v>226</v>
      </c>
      <c r="F155">
        <v>2.6</v>
      </c>
    </row>
    <row r="156" spans="1:6">
      <c r="F156" t="s">
        <v>21</v>
      </c>
    </row>
    <row r="157" spans="1:6">
      <c r="C157" t="s">
        <v>238</v>
      </c>
      <c r="F157" s="1934">
        <f>SUM(F150:F155)</f>
        <v>1671.1319999999996</v>
      </c>
    </row>
    <row r="158" spans="1:6">
      <c r="F158" t="s">
        <v>21</v>
      </c>
    </row>
    <row r="159" spans="1:6">
      <c r="C159" t="s">
        <v>155</v>
      </c>
      <c r="F159" s="1934">
        <f>+F157/10</f>
        <v>167.11319999999995</v>
      </c>
    </row>
    <row r="160" spans="1:6">
      <c r="A160" t="s">
        <v>150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sheetPr syncVertical="1" syncRef="F667" transitionEvaluation="1"/>
  <dimension ref="A1:DZ8305"/>
  <sheetViews>
    <sheetView view="pageBreakPreview" topLeftCell="F667" zoomScaleNormal="60" zoomScaleSheetLayoutView="100" workbookViewId="0">
      <selection activeCell="I684" sqref="I684"/>
    </sheetView>
  </sheetViews>
  <sheetFormatPr defaultColWidth="9.5703125" defaultRowHeight="15.75"/>
  <cols>
    <col min="1" max="1" width="10" style="956" hidden="1" customWidth="1"/>
    <col min="2" max="2" width="58.85546875" style="956" hidden="1" customWidth="1"/>
    <col min="3" max="3" width="15.140625" style="956" hidden="1" customWidth="1"/>
    <col min="4" max="4" width="12.5703125" style="956" hidden="1" customWidth="1"/>
    <col min="5" max="5" width="11.85546875" style="956" hidden="1" customWidth="1"/>
    <col min="6" max="6" width="10" style="956" customWidth="1"/>
    <col min="7" max="7" width="8.42578125" style="957" customWidth="1"/>
    <col min="8" max="8" width="60.28515625" style="956" customWidth="1"/>
    <col min="9" max="9" width="12.85546875" style="956" customWidth="1"/>
    <col min="10" max="10" width="11.85546875" style="958" customWidth="1"/>
    <col min="11" max="11" width="14.7109375" style="956" customWidth="1"/>
    <col min="12" max="12" width="12.5703125" style="956" customWidth="1"/>
    <col min="13" max="13" width="12.28515625" style="956" customWidth="1"/>
    <col min="14" max="14" width="14" style="956" customWidth="1"/>
    <col min="15" max="15" width="61.85546875" style="956" customWidth="1"/>
    <col min="16" max="16" width="12.5703125" style="956" customWidth="1"/>
    <col min="17" max="17" width="11.85546875" style="956" customWidth="1"/>
    <col min="18" max="18" width="13.28515625" style="956" customWidth="1"/>
    <col min="19" max="19" width="12.28515625" style="956" customWidth="1"/>
    <col min="20" max="20" width="11.5703125" style="956" customWidth="1"/>
    <col min="21" max="21" width="11.85546875" style="956" customWidth="1"/>
    <col min="22" max="22" width="67.5703125" style="956" customWidth="1"/>
    <col min="23" max="23" width="19" style="956" customWidth="1"/>
    <col min="24" max="24" width="13.7109375" style="956" customWidth="1"/>
    <col min="25" max="25" width="17.28515625" style="956" customWidth="1"/>
    <col min="26" max="26" width="12.42578125" style="956" customWidth="1"/>
    <col min="27" max="27" width="11.140625" style="956" customWidth="1"/>
    <col min="28" max="28" width="12.42578125" style="956" customWidth="1"/>
    <col min="29" max="29" width="78.28515625" style="956" customWidth="1"/>
    <col min="30" max="30" width="13.42578125" style="956" customWidth="1"/>
    <col min="31" max="31" width="11.28515625" style="956" customWidth="1"/>
    <col min="32" max="32" width="22.28515625" style="956" customWidth="1"/>
    <col min="33" max="33" width="11.5703125" style="956" customWidth="1"/>
    <col min="34" max="34" width="11.28515625" style="956" customWidth="1"/>
    <col min="35" max="16384" width="9.5703125" style="956"/>
  </cols>
  <sheetData>
    <row r="1" spans="1:18">
      <c r="A1" s="962"/>
    </row>
    <row r="2" spans="1:18" ht="19.5">
      <c r="A2" s="962"/>
      <c r="H2" s="965" t="s">
        <v>4602</v>
      </c>
    </row>
    <row r="3" spans="1:18">
      <c r="A3" s="962"/>
      <c r="H3" s="966" t="s">
        <v>4603</v>
      </c>
    </row>
    <row r="4" spans="1:18">
      <c r="A4" s="962"/>
    </row>
    <row r="5" spans="1:18">
      <c r="A5" s="962"/>
      <c r="H5" s="967" t="s">
        <v>4604</v>
      </c>
    </row>
    <row r="6" spans="1:18" ht="31.5">
      <c r="A6" s="962"/>
      <c r="H6" s="968" t="s">
        <v>4605</v>
      </c>
      <c r="O6" s="969" t="s">
        <v>4606</v>
      </c>
    </row>
    <row r="7" spans="1:18">
      <c r="A7" s="962"/>
      <c r="H7" s="968" t="s">
        <v>4607</v>
      </c>
    </row>
    <row r="8" spans="1:18">
      <c r="A8" s="962"/>
      <c r="H8" s="970"/>
    </row>
    <row r="9" spans="1:18">
      <c r="A9" s="962"/>
      <c r="H9" s="968" t="s">
        <v>4608</v>
      </c>
    </row>
    <row r="10" spans="1:18">
      <c r="A10" s="962"/>
    </row>
    <row r="11" spans="1:18" ht="173.25">
      <c r="A11" s="962"/>
      <c r="H11" s="971" t="s">
        <v>4609</v>
      </c>
      <c r="M11" s="972"/>
      <c r="N11" s="972"/>
      <c r="O11" s="971" t="s">
        <v>4610</v>
      </c>
      <c r="P11" s="972"/>
      <c r="Q11" s="972"/>
      <c r="R11" s="972"/>
    </row>
    <row r="12" spans="1:18" ht="31.5">
      <c r="A12" s="962"/>
      <c r="F12" s="972">
        <v>90</v>
      </c>
      <c r="G12" s="972" t="s">
        <v>303</v>
      </c>
      <c r="H12" s="973" t="s">
        <v>4611</v>
      </c>
      <c r="I12" s="974">
        <v>16.55</v>
      </c>
      <c r="J12" s="972" t="s">
        <v>3322</v>
      </c>
      <c r="K12" s="972">
        <f>F12*I12</f>
        <v>1489.5</v>
      </c>
      <c r="M12" s="972"/>
      <c r="N12" s="972"/>
      <c r="O12" s="969"/>
      <c r="P12" s="972"/>
      <c r="Q12" s="972"/>
      <c r="R12" s="972"/>
    </row>
    <row r="13" spans="1:18" ht="31.5">
      <c r="A13" s="962"/>
      <c r="E13" s="972"/>
      <c r="F13" s="972">
        <v>45</v>
      </c>
      <c r="G13" s="972" t="s">
        <v>303</v>
      </c>
      <c r="H13" s="971" t="s">
        <v>4612</v>
      </c>
      <c r="I13" s="974">
        <v>20</v>
      </c>
      <c r="J13" s="972" t="s">
        <v>2990</v>
      </c>
      <c r="K13" s="972">
        <f t="shared" ref="K13:K25" si="0">F13*I13</f>
        <v>900</v>
      </c>
      <c r="L13" s="972"/>
      <c r="M13" s="972"/>
      <c r="N13" s="972"/>
      <c r="P13" s="972" t="s">
        <v>150</v>
      </c>
      <c r="Q13" s="972"/>
      <c r="R13" s="972"/>
    </row>
    <row r="14" spans="1:18">
      <c r="A14" s="962"/>
      <c r="E14" s="972"/>
      <c r="F14" s="972">
        <v>20</v>
      </c>
      <c r="G14" s="972" t="s">
        <v>68</v>
      </c>
      <c r="H14" s="972" t="s">
        <v>4613</v>
      </c>
      <c r="I14" s="974">
        <v>3.15</v>
      </c>
      <c r="J14" s="972" t="s">
        <v>68</v>
      </c>
      <c r="K14" s="972">
        <f t="shared" si="0"/>
        <v>63</v>
      </c>
      <c r="L14" s="972"/>
      <c r="M14" s="972"/>
      <c r="N14" s="972"/>
      <c r="O14" s="972"/>
      <c r="P14" s="972"/>
      <c r="Q14" s="972"/>
      <c r="R14" s="972"/>
    </row>
    <row r="15" spans="1:18" ht="31.5">
      <c r="A15" s="962"/>
      <c r="E15" s="972"/>
      <c r="F15" s="972">
        <v>10</v>
      </c>
      <c r="G15" s="972" t="s">
        <v>68</v>
      </c>
      <c r="H15" s="972" t="s">
        <v>5752</v>
      </c>
      <c r="I15" s="975">
        <f>16.05/12</f>
        <v>1.3375000000000001</v>
      </c>
      <c r="J15" s="972" t="s">
        <v>68</v>
      </c>
      <c r="K15" s="972">
        <f t="shared" si="0"/>
        <v>13.375000000000002</v>
      </c>
      <c r="L15" s="972"/>
      <c r="M15" s="972">
        <v>90</v>
      </c>
      <c r="N15" s="972" t="s">
        <v>303</v>
      </c>
      <c r="O15" s="973" t="s">
        <v>3321</v>
      </c>
      <c r="P15" s="972">
        <f>I25</f>
        <v>16.55</v>
      </c>
      <c r="Q15" s="972" t="s">
        <v>303</v>
      </c>
      <c r="R15" s="972">
        <f>M15*P15</f>
        <v>1489.5</v>
      </c>
    </row>
    <row r="16" spans="1:18" ht="31.5">
      <c r="A16" s="962"/>
      <c r="E16" s="972"/>
      <c r="F16" s="972">
        <v>1</v>
      </c>
      <c r="G16" s="972" t="s">
        <v>68</v>
      </c>
      <c r="H16" s="972" t="s">
        <v>4614</v>
      </c>
      <c r="I16" s="975">
        <v>70.7</v>
      </c>
      <c r="J16" s="972" t="s">
        <v>68</v>
      </c>
      <c r="K16" s="972">
        <f t="shared" si="0"/>
        <v>70.7</v>
      </c>
      <c r="L16" s="972"/>
      <c r="M16" s="972">
        <v>45</v>
      </c>
      <c r="N16" s="972" t="s">
        <v>303</v>
      </c>
      <c r="O16" s="971" t="s">
        <v>3323</v>
      </c>
      <c r="P16" s="972">
        <f>I13</f>
        <v>20</v>
      </c>
      <c r="Q16" s="972" t="s">
        <v>2990</v>
      </c>
      <c r="R16" s="972">
        <f t="shared" ref="R16:R28" si="1">M16*P16</f>
        <v>900</v>
      </c>
    </row>
    <row r="17" spans="1:20">
      <c r="A17" s="962"/>
      <c r="E17" s="972"/>
      <c r="F17" s="972"/>
      <c r="G17" s="972"/>
      <c r="H17" s="972"/>
      <c r="I17" s="972"/>
      <c r="J17" s="972"/>
      <c r="K17" s="972"/>
      <c r="L17" s="972"/>
      <c r="M17" s="972">
        <v>75</v>
      </c>
      <c r="N17" s="972" t="s">
        <v>68</v>
      </c>
      <c r="O17" s="972" t="s">
        <v>4615</v>
      </c>
      <c r="P17" s="975">
        <v>3.6</v>
      </c>
      <c r="Q17" s="972" t="s">
        <v>3329</v>
      </c>
      <c r="R17" s="972">
        <f>M17*P17/12</f>
        <v>22.5</v>
      </c>
    </row>
    <row r="18" spans="1:20">
      <c r="A18" s="962"/>
      <c r="E18" s="972"/>
      <c r="F18" s="976">
        <v>1.4999999999999999E-2</v>
      </c>
      <c r="G18" s="972" t="s">
        <v>306</v>
      </c>
      <c r="H18" s="972" t="s">
        <v>5753</v>
      </c>
      <c r="I18" s="974">
        <v>661</v>
      </c>
      <c r="J18" s="972" t="s">
        <v>306</v>
      </c>
      <c r="K18" s="972">
        <f t="shared" si="0"/>
        <v>9.9149999999999991</v>
      </c>
      <c r="L18" s="972"/>
      <c r="M18" s="972">
        <v>12</v>
      </c>
      <c r="N18" s="972" t="s">
        <v>68</v>
      </c>
      <c r="O18" s="972" t="s">
        <v>3324</v>
      </c>
      <c r="P18" s="972">
        <f>I14</f>
        <v>3.15</v>
      </c>
      <c r="Q18" s="972" t="s">
        <v>68</v>
      </c>
      <c r="R18" s="972">
        <f t="shared" si="1"/>
        <v>37.799999999999997</v>
      </c>
    </row>
    <row r="19" spans="1:20">
      <c r="A19" s="962"/>
      <c r="E19" s="972"/>
      <c r="F19" s="972">
        <v>10</v>
      </c>
      <c r="G19" s="972" t="s">
        <v>68</v>
      </c>
      <c r="H19" s="972" t="s">
        <v>5754</v>
      </c>
      <c r="I19" s="974">
        <f>194.5/12</f>
        <v>16.208333333333332</v>
      </c>
      <c r="J19" s="972" t="s">
        <v>68</v>
      </c>
      <c r="K19" s="972">
        <f t="shared" si="0"/>
        <v>162.08333333333331</v>
      </c>
      <c r="L19" s="972"/>
      <c r="M19" s="972">
        <v>6</v>
      </c>
      <c r="N19" s="972" t="s">
        <v>68</v>
      </c>
      <c r="O19" s="972" t="s">
        <v>3327</v>
      </c>
      <c r="P19" s="972">
        <f>I15</f>
        <v>1.3375000000000001</v>
      </c>
      <c r="Q19" s="972" t="s">
        <v>68</v>
      </c>
      <c r="R19" s="972">
        <f t="shared" si="1"/>
        <v>8.0250000000000004</v>
      </c>
    </row>
    <row r="20" spans="1:20">
      <c r="A20" s="962"/>
      <c r="E20" s="972"/>
      <c r="F20" s="972">
        <v>10</v>
      </c>
      <c r="G20" s="972" t="s">
        <v>68</v>
      </c>
      <c r="H20" s="972" t="s">
        <v>4616</v>
      </c>
      <c r="I20" s="974">
        <v>13.8</v>
      </c>
      <c r="J20" s="972" t="s">
        <v>68</v>
      </c>
      <c r="K20" s="972">
        <f t="shared" si="0"/>
        <v>138</v>
      </c>
      <c r="L20" s="972"/>
      <c r="M20" s="972">
        <v>150</v>
      </c>
      <c r="N20" s="972" t="s">
        <v>154</v>
      </c>
      <c r="O20" s="972" t="s">
        <v>4617</v>
      </c>
      <c r="P20" s="972">
        <f>I749</f>
        <v>287</v>
      </c>
      <c r="Q20" s="972">
        <v>1000</v>
      </c>
      <c r="R20" s="972">
        <f>(M20*P20)/1000</f>
        <v>43.05</v>
      </c>
    </row>
    <row r="21" spans="1:20">
      <c r="A21" s="962"/>
      <c r="E21" s="972"/>
      <c r="F21" s="972">
        <v>10</v>
      </c>
      <c r="G21" s="972" t="s">
        <v>68</v>
      </c>
      <c r="H21" s="972" t="s">
        <v>5755</v>
      </c>
      <c r="I21" s="974">
        <f>43.25/12</f>
        <v>3.6041666666666665</v>
      </c>
      <c r="J21" s="972" t="s">
        <v>68</v>
      </c>
      <c r="K21" s="972">
        <f t="shared" si="0"/>
        <v>36.041666666666664</v>
      </c>
      <c r="L21" s="972"/>
      <c r="M21" s="976">
        <v>7</v>
      </c>
      <c r="N21" s="972" t="s">
        <v>154</v>
      </c>
      <c r="O21" s="972" t="s">
        <v>4618</v>
      </c>
      <c r="P21" s="972">
        <f>I21</f>
        <v>3.6041666666666665</v>
      </c>
      <c r="Q21" s="972" t="s">
        <v>68</v>
      </c>
      <c r="R21" s="972">
        <f t="shared" si="1"/>
        <v>25.229166666666664</v>
      </c>
    </row>
    <row r="22" spans="1:20">
      <c r="A22" s="962"/>
      <c r="E22" s="972"/>
      <c r="F22" s="972">
        <v>1.25</v>
      </c>
      <c r="G22" s="972" t="s">
        <v>3336</v>
      </c>
      <c r="H22" s="972" t="s">
        <v>278</v>
      </c>
      <c r="I22" s="974">
        <f>[5]Data!C67/20</f>
        <v>302</v>
      </c>
      <c r="J22" s="972" t="s">
        <v>3336</v>
      </c>
      <c r="K22" s="972">
        <f t="shared" si="0"/>
        <v>377.5</v>
      </c>
      <c r="L22" s="972"/>
      <c r="M22" s="972">
        <v>6</v>
      </c>
      <c r="N22" s="972" t="s">
        <v>68</v>
      </c>
      <c r="O22" s="972" t="s">
        <v>3332</v>
      </c>
      <c r="P22" s="972">
        <f>I20</f>
        <v>13.8</v>
      </c>
      <c r="Q22" s="972" t="s">
        <v>340</v>
      </c>
      <c r="R22" s="972">
        <f t="shared" si="1"/>
        <v>82.800000000000011</v>
      </c>
    </row>
    <row r="23" spans="1:20">
      <c r="A23" s="962"/>
      <c r="E23" s="972"/>
      <c r="F23" s="972">
        <v>10</v>
      </c>
      <c r="G23" s="972" t="s">
        <v>68</v>
      </c>
      <c r="H23" s="972" t="s">
        <v>4619</v>
      </c>
      <c r="I23" s="990">
        <f>I16</f>
        <v>70.7</v>
      </c>
      <c r="J23" s="972" t="s">
        <v>68</v>
      </c>
      <c r="K23" s="972">
        <f t="shared" si="0"/>
        <v>707</v>
      </c>
      <c r="L23" s="972"/>
      <c r="M23" s="972">
        <v>6</v>
      </c>
      <c r="N23" s="972" t="s">
        <v>68</v>
      </c>
      <c r="O23" s="972" t="str">
        <f>H19</f>
        <v>5 amps flush type switch p-118, Part-C,1 a ( 194.5/12=16.21)</v>
      </c>
      <c r="P23" s="972">
        <f>I19</f>
        <v>16.208333333333332</v>
      </c>
      <c r="Q23" s="972" t="str">
        <f>J19</f>
        <v>No</v>
      </c>
      <c r="R23" s="972">
        <f>(M23*P23)</f>
        <v>97.25</v>
      </c>
    </row>
    <row r="24" spans="1:20">
      <c r="A24" s="962"/>
      <c r="E24" s="972"/>
      <c r="F24" s="972">
        <v>0.15</v>
      </c>
      <c r="G24" s="972" t="s">
        <v>306</v>
      </c>
      <c r="H24" s="972" t="s">
        <v>4620</v>
      </c>
      <c r="I24" s="990">
        <f>I18</f>
        <v>661</v>
      </c>
      <c r="J24" s="972" t="s">
        <v>306</v>
      </c>
      <c r="K24" s="972">
        <f t="shared" si="0"/>
        <v>99.149999999999991</v>
      </c>
      <c r="L24" s="972"/>
      <c r="M24" s="972">
        <v>1</v>
      </c>
      <c r="N24" s="972" t="s">
        <v>3333</v>
      </c>
      <c r="O24" s="972" t="s">
        <v>4621</v>
      </c>
      <c r="P24" s="972">
        <f>I748</f>
        <v>69.400000000000006</v>
      </c>
      <c r="Q24" s="972" t="s">
        <v>3333</v>
      </c>
      <c r="R24" s="972">
        <f>(M24*P24)</f>
        <v>69.400000000000006</v>
      </c>
    </row>
    <row r="25" spans="1:20" ht="31.5">
      <c r="A25" s="962"/>
      <c r="E25" s="972"/>
      <c r="F25" s="972">
        <v>45</v>
      </c>
      <c r="G25" s="972" t="s">
        <v>303</v>
      </c>
      <c r="H25" s="973" t="s">
        <v>4622</v>
      </c>
      <c r="I25" s="990">
        <f>I12</f>
        <v>16.55</v>
      </c>
      <c r="J25" s="972" t="s">
        <v>3341</v>
      </c>
      <c r="K25" s="972">
        <f t="shared" si="0"/>
        <v>744.75</v>
      </c>
      <c r="L25" s="972"/>
      <c r="M25" s="972">
        <v>6</v>
      </c>
      <c r="N25" s="972" t="s">
        <v>154</v>
      </c>
      <c r="O25" s="971" t="s">
        <v>4623</v>
      </c>
      <c r="P25" s="977">
        <v>9.4499999999999993</v>
      </c>
      <c r="Q25" s="972" t="s">
        <v>68</v>
      </c>
      <c r="R25" s="972">
        <f t="shared" si="1"/>
        <v>56.699999999999996</v>
      </c>
    </row>
    <row r="26" spans="1:20">
      <c r="A26" s="962"/>
      <c r="E26" s="972"/>
      <c r="F26" s="972" t="s">
        <v>287</v>
      </c>
      <c r="G26" s="972"/>
      <c r="H26" s="972" t="s">
        <v>910</v>
      </c>
      <c r="I26" s="972"/>
      <c r="J26" s="972" t="s">
        <v>287</v>
      </c>
      <c r="K26" s="972">
        <f>K42</f>
        <v>11454</v>
      </c>
      <c r="L26" s="972"/>
      <c r="M26" s="978">
        <v>0.16666666666666666</v>
      </c>
      <c r="N26" s="972" t="s">
        <v>4624</v>
      </c>
      <c r="O26" s="972" t="s">
        <v>278</v>
      </c>
      <c r="P26" s="972">
        <f>I22</f>
        <v>302</v>
      </c>
      <c r="Q26" s="972" t="s">
        <v>4624</v>
      </c>
      <c r="R26" s="972">
        <f t="shared" si="1"/>
        <v>50.333333333333329</v>
      </c>
    </row>
    <row r="27" spans="1:20" ht="31.5">
      <c r="A27" s="962"/>
      <c r="E27" s="972"/>
      <c r="F27" s="972" t="s">
        <v>287</v>
      </c>
      <c r="G27" s="972"/>
      <c r="H27" s="972" t="s">
        <v>4594</v>
      </c>
      <c r="I27" s="972"/>
      <c r="J27" s="972" t="s">
        <v>287</v>
      </c>
      <c r="K27" s="972">
        <v>34.979999999999997</v>
      </c>
      <c r="L27" s="972"/>
      <c r="M27" s="972">
        <v>45</v>
      </c>
      <c r="N27" s="972" t="s">
        <v>54</v>
      </c>
      <c r="O27" s="964" t="s">
        <v>3340</v>
      </c>
      <c r="P27" s="972">
        <f>P15</f>
        <v>16.55</v>
      </c>
      <c r="Q27" s="972" t="s">
        <v>306</v>
      </c>
      <c r="R27" s="972">
        <f t="shared" si="1"/>
        <v>744.75</v>
      </c>
    </row>
    <row r="28" spans="1:20">
      <c r="A28" s="962"/>
      <c r="E28" s="972"/>
      <c r="F28" s="972"/>
      <c r="G28" s="972"/>
      <c r="H28" s="979" t="s">
        <v>3345</v>
      </c>
      <c r="I28" s="972"/>
      <c r="J28" s="972"/>
      <c r="K28" s="980">
        <f>SUM(K12:K27)</f>
        <v>16299.994999999999</v>
      </c>
      <c r="L28" s="972">
        <f>1630*10</f>
        <v>16300</v>
      </c>
      <c r="M28" s="972">
        <v>6</v>
      </c>
      <c r="N28" s="972" t="s">
        <v>3343</v>
      </c>
      <c r="O28" s="972" t="s">
        <v>910</v>
      </c>
      <c r="P28" s="972">
        <f>R46</f>
        <v>1207</v>
      </c>
      <c r="Q28" s="972" t="s">
        <v>3343</v>
      </c>
      <c r="R28" s="972">
        <f t="shared" si="1"/>
        <v>7242</v>
      </c>
    </row>
    <row r="29" spans="1:20">
      <c r="A29" s="962"/>
      <c r="E29" s="972"/>
      <c r="F29" s="972"/>
      <c r="G29" s="972"/>
      <c r="H29" s="981" t="s">
        <v>3346</v>
      </c>
      <c r="I29" s="972"/>
      <c r="J29" s="972"/>
      <c r="K29" s="982">
        <f>K28/10</f>
        <v>1629.9994999999999</v>
      </c>
      <c r="L29" s="972">
        <f>L28-K28</f>
        <v>5.0000000010186341E-3</v>
      </c>
      <c r="M29" s="972"/>
      <c r="N29" s="972" t="s">
        <v>2458</v>
      </c>
      <c r="O29" s="972" t="s">
        <v>4625</v>
      </c>
      <c r="P29" s="972"/>
      <c r="Q29" s="972"/>
      <c r="R29" s="972">
        <v>40.409999999999997</v>
      </c>
    </row>
    <row r="30" spans="1:20">
      <c r="A30" s="962"/>
      <c r="E30" s="972"/>
      <c r="F30" s="972"/>
      <c r="G30" s="972"/>
      <c r="H30" s="972"/>
      <c r="I30" s="972"/>
      <c r="J30" s="972"/>
      <c r="K30" s="972"/>
      <c r="L30" s="972"/>
      <c r="M30" s="972"/>
      <c r="N30" s="972"/>
      <c r="P30" s="972"/>
      <c r="Q30" s="972"/>
      <c r="R30" s="972">
        <f>SUM(R15:R29)</f>
        <v>10909.747500000001</v>
      </c>
    </row>
    <row r="31" spans="1:20">
      <c r="A31" s="962"/>
      <c r="E31" s="972"/>
      <c r="F31" s="972"/>
      <c r="G31" s="972"/>
      <c r="H31" s="982" t="s">
        <v>3347</v>
      </c>
      <c r="I31" s="972"/>
      <c r="J31" s="972"/>
      <c r="K31" s="972"/>
      <c r="L31" s="972"/>
      <c r="M31" s="972"/>
      <c r="N31" s="972"/>
      <c r="O31" s="979" t="s">
        <v>4626</v>
      </c>
      <c r="P31" s="972"/>
      <c r="Q31" s="972"/>
      <c r="R31" s="980"/>
    </row>
    <row r="32" spans="1:20">
      <c r="A32" s="962"/>
      <c r="E32" s="972"/>
      <c r="F32" s="972"/>
      <c r="G32" s="972"/>
      <c r="H32" s="972"/>
      <c r="I32" s="972"/>
      <c r="J32" s="972"/>
      <c r="K32" s="972"/>
      <c r="L32" s="972"/>
      <c r="M32" s="972"/>
      <c r="N32" s="972"/>
      <c r="O32" s="981" t="s">
        <v>3346</v>
      </c>
      <c r="P32" s="972"/>
      <c r="Q32" s="972"/>
      <c r="R32" s="982">
        <f>R30/6</f>
        <v>1818.2912500000002</v>
      </c>
      <c r="S32" s="956">
        <f>1677.8*6</f>
        <v>10066.799999999999</v>
      </c>
      <c r="T32" s="956">
        <f>S32-R31</f>
        <v>10066.799999999999</v>
      </c>
    </row>
    <row r="33" spans="1:19">
      <c r="A33" s="962"/>
      <c r="E33" s="972"/>
      <c r="F33" s="972"/>
      <c r="G33" s="972"/>
      <c r="H33" s="982" t="s">
        <v>3348</v>
      </c>
      <c r="I33" s="972"/>
      <c r="J33" s="972"/>
      <c r="K33" s="972"/>
      <c r="L33" s="972"/>
      <c r="M33" s="972"/>
      <c r="N33" s="972"/>
      <c r="O33" s="972"/>
      <c r="P33" s="972"/>
      <c r="Q33" s="972"/>
      <c r="R33" s="972"/>
      <c r="S33" s="956">
        <f>S32-R30</f>
        <v>-842.94750000000204</v>
      </c>
    </row>
    <row r="34" spans="1:19">
      <c r="A34" s="962"/>
      <c r="E34" s="972"/>
      <c r="F34" s="972"/>
      <c r="G34" s="972"/>
      <c r="H34" s="972"/>
      <c r="I34" s="972"/>
      <c r="J34" s="972"/>
      <c r="K34" s="972"/>
      <c r="L34" s="972"/>
      <c r="M34" s="972"/>
    </row>
    <row r="35" spans="1:19">
      <c r="A35" s="962"/>
      <c r="E35" s="972"/>
      <c r="F35" s="972">
        <v>1</v>
      </c>
      <c r="G35" s="972" t="s">
        <v>68</v>
      </c>
      <c r="H35" s="972" t="s">
        <v>5756</v>
      </c>
      <c r="I35" s="975">
        <v>898</v>
      </c>
      <c r="J35" s="972" t="s">
        <v>68</v>
      </c>
      <c r="K35" s="972">
        <f>F35*I35</f>
        <v>898</v>
      </c>
      <c r="L35" s="972"/>
      <c r="M35" s="972"/>
      <c r="N35" s="982" t="s">
        <v>3347</v>
      </c>
      <c r="O35" s="972"/>
      <c r="P35" s="972"/>
      <c r="Q35" s="972"/>
    </row>
    <row r="36" spans="1:19">
      <c r="A36" s="962"/>
      <c r="E36" s="972"/>
      <c r="F36" s="972">
        <v>2</v>
      </c>
      <c r="G36" s="972" t="s">
        <v>68</v>
      </c>
      <c r="H36" s="972" t="s">
        <v>5757</v>
      </c>
      <c r="I36" s="975">
        <v>783</v>
      </c>
      <c r="J36" s="972" t="s">
        <v>68</v>
      </c>
      <c r="K36" s="972">
        <f t="shared" ref="K36:K41" si="2">F36*I36</f>
        <v>1566</v>
      </c>
      <c r="L36" s="972"/>
      <c r="M36" s="972"/>
      <c r="N36" s="972"/>
      <c r="O36" s="972"/>
      <c r="P36" s="972"/>
      <c r="Q36" s="972"/>
    </row>
    <row r="37" spans="1:19">
      <c r="A37" s="962"/>
      <c r="E37" s="972"/>
      <c r="F37" s="972">
        <v>3</v>
      </c>
      <c r="G37" s="972" t="s">
        <v>68</v>
      </c>
      <c r="H37" s="972" t="s">
        <v>5758</v>
      </c>
      <c r="I37" s="975">
        <v>778</v>
      </c>
      <c r="J37" s="972" t="s">
        <v>68</v>
      </c>
      <c r="K37" s="972">
        <f t="shared" si="2"/>
        <v>2334</v>
      </c>
      <c r="L37" s="972"/>
      <c r="M37" s="972"/>
      <c r="N37" s="982" t="s">
        <v>3348</v>
      </c>
      <c r="O37" s="972"/>
      <c r="P37" s="972"/>
      <c r="Q37" s="972"/>
    </row>
    <row r="38" spans="1:19">
      <c r="A38" s="962"/>
      <c r="E38" s="972"/>
      <c r="F38" s="972">
        <v>4</v>
      </c>
      <c r="G38" s="972" t="s">
        <v>68</v>
      </c>
      <c r="H38" s="972" t="s">
        <v>5759</v>
      </c>
      <c r="I38" s="975">
        <v>611</v>
      </c>
      <c r="J38" s="972" t="s">
        <v>68</v>
      </c>
      <c r="K38" s="972">
        <f t="shared" si="2"/>
        <v>2444</v>
      </c>
      <c r="L38" s="972"/>
      <c r="M38" s="972"/>
      <c r="N38" s="972"/>
      <c r="O38" s="972"/>
      <c r="P38" s="972"/>
      <c r="Q38" s="972"/>
    </row>
    <row r="39" spans="1:19">
      <c r="A39" s="962"/>
      <c r="E39" s="972"/>
      <c r="F39" s="972"/>
      <c r="G39" s="972"/>
      <c r="H39" s="982" t="s">
        <v>4627</v>
      </c>
      <c r="I39" s="972"/>
      <c r="J39" s="972"/>
      <c r="K39" s="972"/>
      <c r="M39" s="972">
        <v>1</v>
      </c>
      <c r="N39" s="972" t="s">
        <v>68</v>
      </c>
      <c r="O39" s="972" t="s">
        <v>3349</v>
      </c>
      <c r="P39" s="972">
        <f>I35</f>
        <v>898</v>
      </c>
      <c r="Q39" s="972" t="s">
        <v>68</v>
      </c>
      <c r="R39" s="972">
        <f>M39*P39</f>
        <v>898</v>
      </c>
    </row>
    <row r="40" spans="1:19" ht="18">
      <c r="A40" s="962"/>
      <c r="E40" s="972"/>
      <c r="F40" s="972">
        <v>2</v>
      </c>
      <c r="G40" s="972" t="s">
        <v>68</v>
      </c>
      <c r="H40" s="972" t="s">
        <v>4628</v>
      </c>
      <c r="I40" s="975">
        <v>884</v>
      </c>
      <c r="J40" s="972" t="s">
        <v>68</v>
      </c>
      <c r="K40" s="972">
        <f t="shared" si="2"/>
        <v>1768</v>
      </c>
      <c r="M40" s="972">
        <v>2</v>
      </c>
      <c r="N40" s="972" t="s">
        <v>68</v>
      </c>
      <c r="O40" s="972" t="s">
        <v>3350</v>
      </c>
      <c r="P40" s="972">
        <f>I36</f>
        <v>783</v>
      </c>
      <c r="Q40" s="972" t="s">
        <v>68</v>
      </c>
      <c r="R40" s="972">
        <f>M40*P40</f>
        <v>1566</v>
      </c>
    </row>
    <row r="41" spans="1:19">
      <c r="A41" s="962"/>
      <c r="E41" s="972"/>
      <c r="F41" s="972">
        <v>4</v>
      </c>
      <c r="G41" s="972" t="s">
        <v>68</v>
      </c>
      <c r="H41" s="972" t="str">
        <f>H38</f>
        <v>Electrical HELPERp-12 it-102</v>
      </c>
      <c r="I41" s="975">
        <f>I38</f>
        <v>611</v>
      </c>
      <c r="J41" s="972" t="s">
        <v>68</v>
      </c>
      <c r="K41" s="972">
        <f t="shared" si="2"/>
        <v>2444</v>
      </c>
      <c r="M41" s="972">
        <v>3</v>
      </c>
      <c r="N41" s="972" t="s">
        <v>68</v>
      </c>
      <c r="O41" s="972" t="s">
        <v>3351</v>
      </c>
      <c r="P41" s="972">
        <f>I37</f>
        <v>778</v>
      </c>
      <c r="Q41" s="972" t="s">
        <v>68</v>
      </c>
      <c r="R41" s="972">
        <f>M41*P41</f>
        <v>2334</v>
      </c>
    </row>
    <row r="42" spans="1:19">
      <c r="A42" s="962"/>
      <c r="E42" s="972"/>
      <c r="F42" s="972"/>
      <c r="G42" s="972"/>
      <c r="H42" s="972"/>
      <c r="I42" s="972"/>
      <c r="J42" s="972"/>
      <c r="K42" s="983">
        <f>SUM(K35:K41)</f>
        <v>11454</v>
      </c>
      <c r="M42" s="972">
        <v>4</v>
      </c>
      <c r="N42" s="972" t="s">
        <v>68</v>
      </c>
      <c r="O42" s="972" t="s">
        <v>3352</v>
      </c>
      <c r="P42" s="972">
        <f>I38</f>
        <v>611</v>
      </c>
      <c r="Q42" s="972" t="s">
        <v>68</v>
      </c>
      <c r="R42" s="972">
        <f>M42*P42</f>
        <v>2444</v>
      </c>
    </row>
    <row r="43" spans="1:19">
      <c r="A43" s="962"/>
      <c r="E43" s="972"/>
      <c r="F43" s="972"/>
      <c r="G43" s="972"/>
      <c r="H43" s="972"/>
      <c r="I43" s="972"/>
      <c r="J43" s="972"/>
      <c r="K43" s="980"/>
      <c r="M43" s="972"/>
      <c r="N43" s="972"/>
      <c r="O43" s="972"/>
      <c r="P43" s="972"/>
      <c r="Q43" s="972"/>
      <c r="R43" s="972"/>
    </row>
    <row r="44" spans="1:19" ht="51">
      <c r="A44" s="962"/>
      <c r="E44" s="972"/>
      <c r="F44" s="972"/>
      <c r="G44" s="972"/>
      <c r="H44" s="963" t="s">
        <v>4629</v>
      </c>
      <c r="I44" s="972"/>
      <c r="J44" s="972"/>
      <c r="K44" s="972"/>
      <c r="L44" s="972"/>
      <c r="M44" s="972"/>
      <c r="O44" s="984" t="s">
        <v>4630</v>
      </c>
      <c r="R44" s="985">
        <f>SUM(R39:R42)</f>
        <v>7242</v>
      </c>
    </row>
    <row r="45" spans="1:19">
      <c r="A45" s="962"/>
      <c r="E45" s="972"/>
      <c r="F45" s="972"/>
      <c r="G45" s="972"/>
      <c r="H45" s="963" t="s">
        <v>4631</v>
      </c>
      <c r="I45" s="972"/>
      <c r="J45" s="972"/>
      <c r="K45" s="972"/>
      <c r="L45" s="972"/>
      <c r="M45" s="972"/>
    </row>
    <row r="46" spans="1:19">
      <c r="A46" s="962"/>
      <c r="E46" s="972"/>
      <c r="F46" s="972"/>
      <c r="G46" s="972"/>
      <c r="H46" s="972"/>
      <c r="I46" s="972"/>
      <c r="J46" s="972"/>
      <c r="K46" s="972"/>
      <c r="L46" s="972"/>
      <c r="M46" s="972"/>
      <c r="Q46" s="986" t="s">
        <v>4632</v>
      </c>
      <c r="R46" s="987">
        <f>R44/6</f>
        <v>1207</v>
      </c>
    </row>
    <row r="47" spans="1:19" ht="189">
      <c r="A47" s="962"/>
      <c r="E47" s="972"/>
      <c r="F47" s="972"/>
      <c r="G47" s="972"/>
      <c r="H47" s="971" t="s">
        <v>4633</v>
      </c>
      <c r="I47" s="972"/>
      <c r="J47" s="972"/>
      <c r="K47" s="972"/>
      <c r="L47" s="972"/>
      <c r="M47" s="972"/>
      <c r="O47" s="971" t="s">
        <v>4634</v>
      </c>
    </row>
    <row r="48" spans="1:19" ht="31.5">
      <c r="A48" s="962"/>
      <c r="E48" s="972"/>
      <c r="F48" s="972"/>
      <c r="G48" s="972"/>
      <c r="H48" s="972" t="s">
        <v>3367</v>
      </c>
      <c r="I48" s="972"/>
      <c r="J48" s="972"/>
      <c r="K48" s="972">
        <f>K28-K27</f>
        <v>16265.014999999999</v>
      </c>
      <c r="L48" s="972"/>
      <c r="M48" s="972">
        <v>90</v>
      </c>
      <c r="N48" s="972" t="s">
        <v>303</v>
      </c>
      <c r="O48" s="973" t="s">
        <v>3321</v>
      </c>
      <c r="P48" s="972">
        <f>P15</f>
        <v>16.55</v>
      </c>
      <c r="Q48" s="972" t="s">
        <v>303</v>
      </c>
      <c r="R48" s="972">
        <f>M48*P48</f>
        <v>1489.5</v>
      </c>
    </row>
    <row r="49" spans="1:20" ht="31.5">
      <c r="A49" s="962"/>
      <c r="E49" s="972"/>
      <c r="F49" s="972"/>
      <c r="G49" s="972"/>
      <c r="H49" s="972" t="s">
        <v>3368</v>
      </c>
      <c r="I49" s="972"/>
      <c r="J49" s="972"/>
      <c r="K49" s="972">
        <f>K20</f>
        <v>138</v>
      </c>
      <c r="L49" s="972"/>
      <c r="M49" s="972">
        <v>45</v>
      </c>
      <c r="N49" s="972" t="s">
        <v>303</v>
      </c>
      <c r="O49" s="971" t="s">
        <v>3323</v>
      </c>
      <c r="P49" s="972">
        <f t="shared" ref="P49:P56" si="3">P16</f>
        <v>20</v>
      </c>
      <c r="Q49" s="972" t="s">
        <v>2990</v>
      </c>
      <c r="R49" s="972">
        <f>M49*P49</f>
        <v>900</v>
      </c>
    </row>
    <row r="50" spans="1:20" ht="31.5">
      <c r="A50" s="962"/>
      <c r="E50" s="972"/>
      <c r="F50" s="972"/>
      <c r="G50" s="972"/>
      <c r="H50" s="1900" t="s">
        <v>5760</v>
      </c>
      <c r="I50" s="975"/>
      <c r="J50" s="975"/>
      <c r="K50" s="975">
        <f>16.65*10</f>
        <v>166.5</v>
      </c>
      <c r="L50" s="972"/>
      <c r="M50" s="972">
        <v>75</v>
      </c>
      <c r="N50" s="972" t="s">
        <v>68</v>
      </c>
      <c r="O50" s="972" t="s">
        <v>4635</v>
      </c>
      <c r="P50" s="972">
        <f t="shared" si="3"/>
        <v>3.6</v>
      </c>
      <c r="Q50" s="972" t="s">
        <v>3329</v>
      </c>
      <c r="R50" s="972">
        <f>M50*P50/12</f>
        <v>22.5</v>
      </c>
    </row>
    <row r="51" spans="1:20">
      <c r="A51" s="962"/>
      <c r="E51" s="972"/>
      <c r="F51" s="972"/>
      <c r="G51" s="972"/>
      <c r="H51" s="972" t="s">
        <v>337</v>
      </c>
      <c r="I51" s="972"/>
      <c r="J51" s="972"/>
      <c r="K51" s="972">
        <v>36.479999999999997</v>
      </c>
      <c r="L51" s="972"/>
      <c r="M51" s="972">
        <v>12</v>
      </c>
      <c r="N51" s="972" t="s">
        <v>68</v>
      </c>
      <c r="O51" s="972" t="s">
        <v>3324</v>
      </c>
      <c r="P51" s="972">
        <f t="shared" si="3"/>
        <v>3.15</v>
      </c>
      <c r="Q51" s="972" t="s">
        <v>68</v>
      </c>
      <c r="R51" s="972">
        <f>M51*P51</f>
        <v>37.799999999999997</v>
      </c>
    </row>
    <row r="52" spans="1:20">
      <c r="A52" s="962"/>
      <c r="E52" s="972"/>
      <c r="F52" s="972"/>
      <c r="G52" s="972"/>
      <c r="H52" s="979" t="s">
        <v>3370</v>
      </c>
      <c r="I52" s="972"/>
      <c r="J52" s="972"/>
      <c r="K52" s="980">
        <f>K48-K49+K50+K51</f>
        <v>16329.994999999999</v>
      </c>
      <c r="L52" s="972">
        <f>1638*10</f>
        <v>16380</v>
      </c>
      <c r="M52" s="972">
        <v>6</v>
      </c>
      <c r="N52" s="972" t="s">
        <v>68</v>
      </c>
      <c r="O52" s="972" t="s">
        <v>3327</v>
      </c>
      <c r="P52" s="972">
        <f t="shared" si="3"/>
        <v>1.3375000000000001</v>
      </c>
      <c r="Q52" s="972" t="s">
        <v>68</v>
      </c>
      <c r="R52" s="972">
        <f>M52*P52</f>
        <v>8.0250000000000004</v>
      </c>
    </row>
    <row r="53" spans="1:20">
      <c r="A53" s="962"/>
      <c r="E53" s="972"/>
      <c r="F53" s="972"/>
      <c r="G53" s="972"/>
      <c r="H53" s="981" t="s">
        <v>3371</v>
      </c>
      <c r="I53" s="972"/>
      <c r="J53" s="972"/>
      <c r="K53" s="982">
        <f>K52/10</f>
        <v>1632.9994999999999</v>
      </c>
      <c r="L53" s="972">
        <f>L52-K52</f>
        <v>50.005000000001019</v>
      </c>
      <c r="M53" s="972">
        <v>150</v>
      </c>
      <c r="N53" s="972" t="s">
        <v>154</v>
      </c>
      <c r="O53" s="972" t="str">
        <f>O20</f>
        <v>Teakwood plugs 1.5"x1"x2"</v>
      </c>
      <c r="P53" s="972">
        <f t="shared" si="3"/>
        <v>287</v>
      </c>
      <c r="Q53" s="972">
        <v>1000</v>
      </c>
      <c r="R53" s="972">
        <f>(M53*P53)/1000</f>
        <v>43.05</v>
      </c>
    </row>
    <row r="54" spans="1:20">
      <c r="A54" s="962"/>
      <c r="E54" s="972"/>
      <c r="F54" s="972"/>
      <c r="G54" s="972"/>
      <c r="H54" s="972"/>
      <c r="I54" s="972"/>
      <c r="J54" s="972"/>
      <c r="K54" s="972"/>
      <c r="L54" s="972"/>
      <c r="M54" s="976">
        <v>7</v>
      </c>
      <c r="N54" s="972" t="s">
        <v>154</v>
      </c>
      <c r="O54" s="972" t="s">
        <v>4618</v>
      </c>
      <c r="P54" s="972">
        <f t="shared" si="3"/>
        <v>3.6041666666666665</v>
      </c>
      <c r="Q54" s="972" t="s">
        <v>68</v>
      </c>
      <c r="R54" s="972">
        <f>M54*P54</f>
        <v>25.229166666666664</v>
      </c>
    </row>
    <row r="55" spans="1:20">
      <c r="A55" s="962"/>
      <c r="E55" s="972"/>
      <c r="F55" s="972"/>
      <c r="G55" s="972"/>
      <c r="H55" s="982" t="s">
        <v>4636</v>
      </c>
      <c r="I55" s="972"/>
      <c r="J55" s="972"/>
      <c r="K55" s="972"/>
      <c r="L55" s="972"/>
      <c r="M55" s="972">
        <v>6</v>
      </c>
      <c r="N55" s="972" t="s">
        <v>68</v>
      </c>
      <c r="O55" s="972" t="s">
        <v>3332</v>
      </c>
      <c r="P55" s="972">
        <f t="shared" si="3"/>
        <v>13.8</v>
      </c>
      <c r="Q55" s="972" t="s">
        <v>340</v>
      </c>
      <c r="R55" s="972">
        <f>M55*P55</f>
        <v>82.800000000000011</v>
      </c>
    </row>
    <row r="56" spans="1:20" ht="47.25">
      <c r="A56" s="962"/>
      <c r="E56" s="972"/>
      <c r="F56" s="972"/>
      <c r="G56" s="972"/>
      <c r="H56" s="969" t="s">
        <v>4637</v>
      </c>
      <c r="I56" s="972"/>
      <c r="J56" s="972"/>
      <c r="K56" s="972"/>
      <c r="L56" s="972"/>
      <c r="M56" s="972">
        <v>6</v>
      </c>
      <c r="N56" s="972" t="s">
        <v>68</v>
      </c>
      <c r="O56" s="972" t="str">
        <f>O23</f>
        <v>5 amps flush type switch p-118, Part-C,1 a ( 194.5/12=16.21)</v>
      </c>
      <c r="P56" s="972">
        <f t="shared" si="3"/>
        <v>16.208333333333332</v>
      </c>
      <c r="Q56" s="972" t="s">
        <v>3329</v>
      </c>
      <c r="R56" s="972">
        <f>(M56*P56)</f>
        <v>97.25</v>
      </c>
    </row>
    <row r="57" spans="1:20">
      <c r="A57" s="962"/>
      <c r="E57" s="972"/>
      <c r="F57" s="972"/>
      <c r="G57" s="972"/>
      <c r="H57" s="972"/>
      <c r="I57" s="972"/>
      <c r="J57" s="972"/>
      <c r="K57" s="972"/>
      <c r="L57" s="972"/>
      <c r="M57" s="972">
        <v>1</v>
      </c>
      <c r="N57" s="972" t="s">
        <v>3333</v>
      </c>
      <c r="O57" s="972" t="str">
        <f>O24</f>
        <v>Brass screws  ( 40 mm x 6 no) P-85 Part-L c</v>
      </c>
      <c r="P57" s="972">
        <f>P24</f>
        <v>69.400000000000006</v>
      </c>
      <c r="Q57" s="972" t="s">
        <v>3333</v>
      </c>
      <c r="R57" s="972">
        <f>(M57*P57)</f>
        <v>69.400000000000006</v>
      </c>
    </row>
    <row r="58" spans="1:20" ht="173.25">
      <c r="A58" s="962"/>
      <c r="E58" s="972"/>
      <c r="F58" s="972"/>
      <c r="G58" s="972"/>
      <c r="H58" s="971" t="s">
        <v>4638</v>
      </c>
      <c r="I58" s="972"/>
      <c r="J58" s="972"/>
      <c r="K58" s="972"/>
      <c r="L58" s="972"/>
      <c r="M58" s="972">
        <v>6</v>
      </c>
      <c r="N58" s="972" t="s">
        <v>154</v>
      </c>
      <c r="O58" s="971" t="s">
        <v>4639</v>
      </c>
      <c r="P58" s="977">
        <v>67.5</v>
      </c>
      <c r="Q58" s="972" t="s">
        <v>1950</v>
      </c>
      <c r="R58" s="972">
        <f>M58*P58</f>
        <v>405</v>
      </c>
    </row>
    <row r="59" spans="1:20">
      <c r="A59" s="962"/>
      <c r="E59" s="972"/>
      <c r="F59" s="972"/>
      <c r="G59" s="972"/>
      <c r="H59" s="972" t="s">
        <v>4640</v>
      </c>
      <c r="I59" s="972"/>
      <c r="J59" s="972"/>
      <c r="K59" s="972">
        <f>K48</f>
        <v>16265.014999999999</v>
      </c>
      <c r="L59" s="972"/>
      <c r="M59" s="978">
        <v>0.16666666666666666</v>
      </c>
      <c r="N59" s="972" t="s">
        <v>4624</v>
      </c>
      <c r="O59" s="972" t="s">
        <v>278</v>
      </c>
      <c r="P59" s="972">
        <f>P26</f>
        <v>302</v>
      </c>
      <c r="Q59" s="972" t="s">
        <v>4624</v>
      </c>
      <c r="R59" s="972">
        <f>M59*P59</f>
        <v>50.333333333333329</v>
      </c>
    </row>
    <row r="60" spans="1:20">
      <c r="A60" s="962"/>
      <c r="E60" s="972"/>
      <c r="F60" s="972"/>
      <c r="G60" s="972"/>
      <c r="H60" s="972" t="s">
        <v>4641</v>
      </c>
      <c r="I60" s="972"/>
      <c r="J60" s="972"/>
      <c r="K60" s="972">
        <f>K49</f>
        <v>138</v>
      </c>
      <c r="L60" s="972"/>
      <c r="M60" s="972"/>
      <c r="N60" s="972"/>
      <c r="O60" s="964"/>
      <c r="P60" s="972"/>
      <c r="Q60" s="972"/>
      <c r="R60" s="972"/>
    </row>
    <row r="61" spans="1:20">
      <c r="A61" s="962"/>
      <c r="E61" s="972"/>
      <c r="F61" s="972"/>
      <c r="G61" s="972"/>
      <c r="H61" s="972" t="s">
        <v>4642</v>
      </c>
      <c r="I61" s="972"/>
      <c r="J61" s="972"/>
      <c r="K61" s="972">
        <f>K21</f>
        <v>36.041666666666664</v>
      </c>
      <c r="L61" s="972"/>
      <c r="M61" s="972">
        <v>6</v>
      </c>
      <c r="N61" s="972" t="s">
        <v>3343</v>
      </c>
      <c r="O61" s="972" t="s">
        <v>910</v>
      </c>
      <c r="P61" s="972">
        <f>R46</f>
        <v>1207</v>
      </c>
      <c r="Q61" s="972" t="s">
        <v>3343</v>
      </c>
      <c r="R61" s="972">
        <f>M61*P61</f>
        <v>7242</v>
      </c>
    </row>
    <row r="62" spans="1:20">
      <c r="A62" s="962"/>
      <c r="E62" s="972"/>
      <c r="F62" s="972"/>
      <c r="G62" s="972"/>
      <c r="H62" s="972" t="s">
        <v>4643</v>
      </c>
      <c r="I62" s="972"/>
      <c r="J62" s="972"/>
      <c r="K62" s="972">
        <f>K19</f>
        <v>162.08333333333331</v>
      </c>
      <c r="L62" s="972"/>
      <c r="M62" s="972"/>
      <c r="N62" s="972" t="s">
        <v>2458</v>
      </c>
      <c r="O62" s="972" t="s">
        <v>4625</v>
      </c>
      <c r="P62" s="972"/>
      <c r="Q62" s="972"/>
      <c r="R62" s="972">
        <v>21.12</v>
      </c>
    </row>
    <row r="63" spans="1:20">
      <c r="A63" s="962"/>
      <c r="E63" s="972"/>
      <c r="F63" s="972"/>
      <c r="G63" s="972"/>
      <c r="H63" s="972" t="s">
        <v>5761</v>
      </c>
      <c r="I63" s="972"/>
      <c r="J63" s="972"/>
      <c r="K63" s="974">
        <f>10*41.7</f>
        <v>417</v>
      </c>
      <c r="L63" s="972"/>
      <c r="M63" s="972"/>
      <c r="N63" s="972"/>
      <c r="P63" s="972"/>
      <c r="Q63" s="972"/>
      <c r="R63" s="972"/>
    </row>
    <row r="64" spans="1:20">
      <c r="A64" s="962"/>
      <c r="E64" s="972"/>
      <c r="F64" s="972"/>
      <c r="G64" s="972"/>
      <c r="H64" s="977" t="s">
        <v>5762</v>
      </c>
      <c r="I64" s="972"/>
      <c r="J64" s="972"/>
      <c r="K64" s="975">
        <f>10*16.65</f>
        <v>166.5</v>
      </c>
      <c r="L64" s="972"/>
      <c r="M64" s="972"/>
      <c r="N64" s="972"/>
      <c r="O64" s="979" t="s">
        <v>4626</v>
      </c>
      <c r="P64" s="972"/>
      <c r="Q64" s="972"/>
      <c r="R64" s="980">
        <f>SUM(R48:R63)</f>
        <v>10494.007500000002</v>
      </c>
      <c r="T64" s="956">
        <f>T65-R64</f>
        <v>-10494</v>
      </c>
    </row>
    <row r="65" spans="1:20">
      <c r="A65" s="962"/>
      <c r="E65" s="972"/>
      <c r="F65" s="972"/>
      <c r="G65" s="972"/>
      <c r="H65" s="972" t="s">
        <v>4644</v>
      </c>
      <c r="I65" s="972"/>
      <c r="J65" s="972"/>
      <c r="K65" s="974">
        <f>16.5*10</f>
        <v>165</v>
      </c>
      <c r="L65" s="972"/>
      <c r="M65" s="972"/>
      <c r="N65" s="972"/>
      <c r="O65" s="981" t="s">
        <v>3346</v>
      </c>
      <c r="P65" s="972"/>
      <c r="Q65" s="972"/>
      <c r="R65" s="982">
        <f>R64/6</f>
        <v>1749.0012500000003</v>
      </c>
      <c r="S65" s="956">
        <f>1749*6</f>
        <v>10494</v>
      </c>
      <c r="T65" s="956">
        <f>R64-S65</f>
        <v>7.5000000015279511E-3</v>
      </c>
    </row>
    <row r="66" spans="1:20">
      <c r="A66" s="962"/>
      <c r="E66" s="972"/>
      <c r="F66" s="972"/>
      <c r="G66" s="972"/>
      <c r="H66" s="972" t="s">
        <v>337</v>
      </c>
      <c r="I66" s="972"/>
      <c r="J66" s="972"/>
      <c r="K66" s="972">
        <v>22.58</v>
      </c>
      <c r="L66" s="972"/>
      <c r="M66" s="972"/>
      <c r="S66" s="956">
        <f>S65</f>
        <v>10494</v>
      </c>
    </row>
    <row r="67" spans="1:20">
      <c r="A67" s="962"/>
      <c r="E67" s="972"/>
      <c r="F67" s="972"/>
      <c r="G67" s="972"/>
      <c r="H67" s="979" t="s">
        <v>3370</v>
      </c>
      <c r="I67" s="972"/>
      <c r="J67" s="972"/>
      <c r="K67" s="980">
        <f>(K59-K60-K61-K62)+(K63+K64+K65+K66)</f>
        <v>16699.97</v>
      </c>
      <c r="L67" s="972">
        <f>1670*10</f>
        <v>16700</v>
      </c>
      <c r="M67" s="972"/>
      <c r="S67" s="956">
        <f>S66-R64</f>
        <v>-7.5000000015279511E-3</v>
      </c>
    </row>
    <row r="68" spans="1:20">
      <c r="A68" s="962"/>
      <c r="E68" s="972"/>
      <c r="F68" s="972"/>
      <c r="G68" s="972"/>
      <c r="H68" s="981" t="s">
        <v>3357</v>
      </c>
      <c r="I68" s="972"/>
      <c r="J68" s="972"/>
      <c r="K68" s="982">
        <f>K67/10</f>
        <v>1669.9970000000001</v>
      </c>
      <c r="L68" s="972">
        <f>L67-K67</f>
        <v>2.9999999998835847E-2</v>
      </c>
      <c r="M68" s="972"/>
    </row>
    <row r="69" spans="1:20">
      <c r="A69" s="962"/>
      <c r="E69" s="972"/>
      <c r="F69" s="972"/>
      <c r="G69" s="972"/>
      <c r="H69" s="972"/>
      <c r="I69" s="972"/>
      <c r="J69" s="972"/>
      <c r="K69" s="972"/>
      <c r="L69" s="972"/>
      <c r="M69" s="972"/>
    </row>
    <row r="70" spans="1:20">
      <c r="A70" s="962"/>
      <c r="E70" s="972"/>
      <c r="F70" s="972"/>
      <c r="G70" s="972"/>
      <c r="H70" s="982" t="s">
        <v>4645</v>
      </c>
      <c r="I70" s="972"/>
      <c r="J70" s="972"/>
      <c r="K70" s="972"/>
      <c r="L70" s="972"/>
      <c r="M70" s="972"/>
    </row>
    <row r="71" spans="1:20">
      <c r="A71" s="962"/>
      <c r="E71" s="972"/>
      <c r="F71" s="972"/>
      <c r="G71" s="972"/>
      <c r="H71" s="982" t="s">
        <v>4646</v>
      </c>
      <c r="I71" s="972"/>
      <c r="J71" s="972"/>
      <c r="K71" s="972"/>
      <c r="L71" s="972"/>
      <c r="M71" s="972"/>
    </row>
    <row r="72" spans="1:20" ht="157.5">
      <c r="A72" s="962"/>
      <c r="E72" s="972"/>
      <c r="F72" s="972"/>
      <c r="G72" s="972"/>
      <c r="H72" s="971" t="s">
        <v>4647</v>
      </c>
      <c r="I72" s="972"/>
      <c r="J72" s="972"/>
      <c r="K72" s="972"/>
      <c r="L72" s="972"/>
      <c r="M72" s="972"/>
    </row>
    <row r="73" spans="1:20">
      <c r="A73" s="962"/>
      <c r="E73" s="972"/>
      <c r="F73" s="972"/>
      <c r="G73" s="972"/>
      <c r="H73" s="972"/>
      <c r="I73" s="972"/>
      <c r="J73" s="972"/>
      <c r="K73" s="972"/>
      <c r="L73" s="972"/>
      <c r="M73" s="972"/>
    </row>
    <row r="74" spans="1:20" ht="31.5">
      <c r="A74" s="962"/>
      <c r="E74" s="972"/>
      <c r="F74" s="972">
        <v>90</v>
      </c>
      <c r="G74" s="972" t="s">
        <v>303</v>
      </c>
      <c r="H74" s="964" t="str">
        <f t="shared" ref="H74:I77" si="4">H12</f>
        <v>1.5 sqmm copper PVC insulated unsheathed single core cable (P-125 it-2/b)</v>
      </c>
      <c r="I74" s="972">
        <f t="shared" si="4"/>
        <v>16.55</v>
      </c>
      <c r="J74" s="972" t="s">
        <v>3341</v>
      </c>
      <c r="K74" s="972">
        <f>F74*I74</f>
        <v>1489.5</v>
      </c>
      <c r="L74" s="972"/>
      <c r="M74" s="972"/>
    </row>
    <row r="75" spans="1:20" ht="31.5">
      <c r="A75" s="962"/>
      <c r="E75" s="972"/>
      <c r="F75" s="972">
        <v>45</v>
      </c>
      <c r="G75" s="972" t="s">
        <v>303</v>
      </c>
      <c r="H75" s="971" t="str">
        <f t="shared" si="4"/>
        <v>PVC rigid conduit pipe 19 mm / 20mm heavy duty with ISI mark p-128 part -I IX-1 b</v>
      </c>
      <c r="I75" s="972">
        <f t="shared" si="4"/>
        <v>20</v>
      </c>
      <c r="J75" s="972" t="s">
        <v>303</v>
      </c>
      <c r="K75" s="972">
        <f t="shared" ref="K75:K86" si="5">F75*I75</f>
        <v>900</v>
      </c>
      <c r="L75" s="972"/>
      <c r="M75" s="972"/>
    </row>
    <row r="76" spans="1:20">
      <c r="A76" s="962"/>
      <c r="E76" s="972"/>
      <c r="F76" s="972">
        <v>20</v>
      </c>
      <c r="G76" s="972" t="s">
        <v>68</v>
      </c>
      <c r="H76" s="972" t="str">
        <f t="shared" si="4"/>
        <v>19 mm PVC rigid bends - p-128 part -I IX-2b</v>
      </c>
      <c r="I76" s="972">
        <f t="shared" si="4"/>
        <v>3.15</v>
      </c>
      <c r="J76" s="972" t="s">
        <v>68</v>
      </c>
      <c r="K76" s="972">
        <f t="shared" si="5"/>
        <v>63</v>
      </c>
      <c r="L76" s="972"/>
      <c r="M76" s="972"/>
    </row>
    <row r="77" spans="1:20">
      <c r="A77" s="962"/>
      <c r="E77" s="972"/>
      <c r="F77" s="972">
        <v>10</v>
      </c>
      <c r="G77" s="972" t="s">
        <v>68</v>
      </c>
      <c r="H77" s="972" t="str">
        <f t="shared" si="4"/>
        <v>19 mm PVC rigid tees (p-129 4b, 16.05/12=1.34)</v>
      </c>
      <c r="I77" s="972">
        <f t="shared" si="4"/>
        <v>1.3375000000000001</v>
      </c>
      <c r="J77" s="972" t="s">
        <v>68</v>
      </c>
      <c r="K77" s="972">
        <f t="shared" si="5"/>
        <v>13.375000000000002</v>
      </c>
      <c r="L77" s="972"/>
      <c r="M77" s="972"/>
    </row>
    <row r="78" spans="1:20">
      <c r="A78" s="962"/>
      <c r="E78" s="972"/>
      <c r="F78" s="972">
        <v>10</v>
      </c>
      <c r="G78" s="972" t="s">
        <v>68</v>
      </c>
      <c r="H78" s="972" t="str">
        <f>H21</f>
        <v>19 mm PVC junction box  ( p-129,6-b( 43.25/12=3.6)</v>
      </c>
      <c r="I78" s="972">
        <f>I21</f>
        <v>3.6041666666666665</v>
      </c>
      <c r="J78" s="972" t="s">
        <v>68</v>
      </c>
      <c r="K78" s="972">
        <f t="shared" si="5"/>
        <v>36.041666666666664</v>
      </c>
      <c r="L78" s="972"/>
      <c r="M78" s="972"/>
    </row>
    <row r="79" spans="1:20">
      <c r="A79" s="962"/>
      <c r="E79" s="972"/>
      <c r="F79" s="972">
        <v>10</v>
      </c>
      <c r="G79" s="972" t="s">
        <v>68</v>
      </c>
      <c r="H79" s="972" t="str">
        <f>H20</f>
        <v>Ceiling rose p-116 it-27</v>
      </c>
      <c r="I79" s="972">
        <f>I20</f>
        <v>13.8</v>
      </c>
      <c r="J79" s="972" t="s">
        <v>68</v>
      </c>
      <c r="K79" s="972">
        <f t="shared" si="5"/>
        <v>138</v>
      </c>
      <c r="L79" s="972"/>
      <c r="M79" s="972"/>
    </row>
    <row r="80" spans="1:20">
      <c r="A80" s="962"/>
      <c r="E80" s="972"/>
      <c r="F80" s="972">
        <v>10</v>
      </c>
      <c r="G80" s="972" t="s">
        <v>68</v>
      </c>
      <c r="H80" s="972" t="str">
        <f>H19</f>
        <v>5 amps flush type switch p-118, Part-C,1 a ( 194.5/12=16.21)</v>
      </c>
      <c r="I80" s="972">
        <f>I19</f>
        <v>16.208333333333332</v>
      </c>
      <c r="J80" s="972" t="s">
        <v>68</v>
      </c>
      <c r="K80" s="972">
        <f t="shared" si="5"/>
        <v>162.08333333333331</v>
      </c>
      <c r="L80" s="972"/>
      <c r="M80" s="972"/>
    </row>
    <row r="81" spans="1:13">
      <c r="A81" s="962"/>
      <c r="E81" s="972"/>
      <c r="F81" s="972">
        <v>10</v>
      </c>
      <c r="G81" s="972" t="s">
        <v>68</v>
      </c>
      <c r="H81" s="972" t="s">
        <v>4648</v>
      </c>
      <c r="I81" s="974">
        <v>115.1</v>
      </c>
      <c r="J81" s="972" t="s">
        <v>68</v>
      </c>
      <c r="K81" s="972">
        <f t="shared" si="5"/>
        <v>1151</v>
      </c>
      <c r="L81" s="972"/>
      <c r="M81" s="972"/>
    </row>
    <row r="82" spans="1:13">
      <c r="A82" s="962"/>
      <c r="E82" s="972"/>
      <c r="F82" s="972">
        <v>0.6</v>
      </c>
      <c r="G82" s="972" t="s">
        <v>306</v>
      </c>
      <c r="H82" s="972" t="str">
        <f>H24</f>
        <v>3 mm thick laminated Hylem sheet p-128 it-7a part-I</v>
      </c>
      <c r="I82" s="972">
        <f>I18</f>
        <v>661</v>
      </c>
      <c r="J82" s="972" t="s">
        <v>306</v>
      </c>
      <c r="K82" s="972">
        <f t="shared" si="5"/>
        <v>396.59999999999997</v>
      </c>
      <c r="L82" s="972"/>
      <c r="M82" s="972"/>
    </row>
    <row r="83" spans="1:13">
      <c r="A83" s="962"/>
      <c r="E83" s="972"/>
      <c r="F83" s="972">
        <v>1</v>
      </c>
      <c r="G83" s="972" t="s">
        <v>68</v>
      </c>
      <c r="H83" s="972" t="s">
        <v>4649</v>
      </c>
      <c r="I83" s="972">
        <f>I23</f>
        <v>70.7</v>
      </c>
      <c r="J83" s="972" t="s">
        <v>68</v>
      </c>
      <c r="K83" s="972">
        <f t="shared" si="5"/>
        <v>70.7</v>
      </c>
      <c r="L83" s="972"/>
      <c r="M83" s="972"/>
    </row>
    <row r="84" spans="1:13">
      <c r="A84" s="962"/>
      <c r="E84" s="972"/>
      <c r="F84" s="976">
        <v>1.4999999999999999E-2</v>
      </c>
      <c r="G84" s="972" t="s">
        <v>306</v>
      </c>
      <c r="H84" s="972" t="str">
        <f>H82</f>
        <v>3 mm thick laminated Hylem sheet p-128 it-7a part-I</v>
      </c>
      <c r="I84" s="972">
        <f>I82</f>
        <v>661</v>
      </c>
      <c r="J84" s="972" t="s">
        <v>306</v>
      </c>
      <c r="K84" s="972">
        <f t="shared" si="5"/>
        <v>9.9149999999999991</v>
      </c>
      <c r="L84" s="972"/>
      <c r="M84" s="972"/>
    </row>
    <row r="85" spans="1:13">
      <c r="A85" s="962"/>
      <c r="E85" s="972"/>
      <c r="F85" s="972">
        <v>1.25</v>
      </c>
      <c r="G85" s="972" t="s">
        <v>3336</v>
      </c>
      <c r="H85" s="972" t="s">
        <v>278</v>
      </c>
      <c r="I85" s="972">
        <f>I22</f>
        <v>302</v>
      </c>
      <c r="J85" s="972" t="s">
        <v>3336</v>
      </c>
      <c r="K85" s="972">
        <f t="shared" si="5"/>
        <v>377.5</v>
      </c>
      <c r="L85" s="972"/>
      <c r="M85" s="972"/>
    </row>
    <row r="86" spans="1:13" ht="31.5">
      <c r="A86" s="962"/>
      <c r="E86" s="972"/>
      <c r="F86" s="972">
        <v>45</v>
      </c>
      <c r="G86" s="972" t="s">
        <v>303</v>
      </c>
      <c r="H86" s="964" t="str">
        <f>H25</f>
        <v>1.5 sqmm copper PVC insulated unsheathed single core cable (P-123 it-2/b)</v>
      </c>
      <c r="I86" s="972">
        <f>I12</f>
        <v>16.55</v>
      </c>
      <c r="J86" s="972" t="s">
        <v>3341</v>
      </c>
      <c r="K86" s="972">
        <f t="shared" si="5"/>
        <v>744.75</v>
      </c>
      <c r="L86" s="972"/>
      <c r="M86" s="972"/>
    </row>
    <row r="87" spans="1:13">
      <c r="A87" s="962"/>
      <c r="E87" s="972"/>
      <c r="F87" s="972" t="s">
        <v>287</v>
      </c>
      <c r="G87" s="972"/>
      <c r="H87" s="972" t="s">
        <v>910</v>
      </c>
      <c r="I87" s="972"/>
      <c r="J87" s="972"/>
      <c r="K87" s="972">
        <f>K42</f>
        <v>11454</v>
      </c>
      <c r="L87" s="972"/>
      <c r="M87" s="972"/>
    </row>
    <row r="88" spans="1:13">
      <c r="A88" s="962"/>
      <c r="E88" s="972"/>
      <c r="F88" s="972" t="s">
        <v>287</v>
      </c>
      <c r="G88" s="972"/>
      <c r="H88" s="972" t="s">
        <v>337</v>
      </c>
      <c r="I88" s="972"/>
      <c r="J88" s="972"/>
      <c r="K88" s="972">
        <v>43.53</v>
      </c>
      <c r="L88" s="972"/>
      <c r="M88" s="972"/>
    </row>
    <row r="89" spans="1:13">
      <c r="A89" s="962"/>
      <c r="E89" s="972"/>
      <c r="F89" s="972"/>
      <c r="G89" s="972"/>
      <c r="H89" s="979" t="s">
        <v>3370</v>
      </c>
      <c r="I89" s="972"/>
      <c r="J89" s="972"/>
      <c r="K89" s="980">
        <f>SUM(K74:K88)</f>
        <v>17049.994999999999</v>
      </c>
      <c r="L89" s="972">
        <f>1705*10</f>
        <v>17050</v>
      </c>
      <c r="M89" s="972">
        <f>11920-K89</f>
        <v>-5129.994999999999</v>
      </c>
    </row>
    <row r="90" spans="1:13">
      <c r="A90" s="962"/>
      <c r="E90" s="972"/>
      <c r="F90" s="972"/>
      <c r="G90" s="972"/>
      <c r="H90" s="981" t="s">
        <v>3357</v>
      </c>
      <c r="I90" s="972"/>
      <c r="J90" s="972"/>
      <c r="K90" s="982">
        <f>K89/10</f>
        <v>1704.9994999999999</v>
      </c>
      <c r="L90" s="972">
        <f>L89-K89</f>
        <v>5.0000000010186341E-3</v>
      </c>
      <c r="M90" s="972"/>
    </row>
    <row r="91" spans="1:13">
      <c r="A91" s="962"/>
      <c r="E91" s="972"/>
      <c r="F91" s="972"/>
      <c r="G91" s="972"/>
      <c r="H91" s="982" t="s">
        <v>4650</v>
      </c>
      <c r="I91" s="972"/>
      <c r="J91" s="972"/>
      <c r="K91" s="982"/>
      <c r="L91" s="972">
        <f>L90*10</f>
        <v>5.0000000010186341E-2</v>
      </c>
      <c r="M91" s="972"/>
    </row>
    <row r="92" spans="1:13">
      <c r="A92" s="962"/>
      <c r="E92" s="972"/>
      <c r="F92" s="972"/>
      <c r="G92" s="972"/>
      <c r="H92" s="988" t="s">
        <v>4651</v>
      </c>
      <c r="I92" s="972">
        <f>90</f>
        <v>90</v>
      </c>
      <c r="J92" s="972"/>
      <c r="K92" s="982"/>
      <c r="L92" s="972"/>
      <c r="M92" s="972"/>
    </row>
    <row r="93" spans="1:13">
      <c r="A93" s="962"/>
      <c r="E93" s="972"/>
      <c r="F93" s="972"/>
      <c r="G93" s="972"/>
      <c r="H93" s="988" t="s">
        <v>4652</v>
      </c>
      <c r="I93" s="989">
        <v>8.2500000000000004E-2</v>
      </c>
      <c r="J93" s="972"/>
      <c r="K93" s="982"/>
      <c r="L93" s="972"/>
      <c r="M93" s="972"/>
    </row>
    <row r="94" spans="1:13" ht="18">
      <c r="A94" s="962"/>
      <c r="E94" s="972"/>
      <c r="F94" s="972"/>
      <c r="G94" s="972"/>
      <c r="H94" s="988" t="s">
        <v>4653</v>
      </c>
      <c r="I94" s="976">
        <v>0.13500000000000001</v>
      </c>
      <c r="J94" s="972"/>
      <c r="K94" s="982">
        <f>I92*I94/I93</f>
        <v>147.27272727272728</v>
      </c>
      <c r="L94" s="972"/>
      <c r="M94" s="972"/>
    </row>
    <row r="95" spans="1:13">
      <c r="A95" s="962"/>
      <c r="E95" s="972"/>
      <c r="F95" s="972"/>
      <c r="G95" s="972"/>
      <c r="H95" s="981"/>
      <c r="I95" s="972"/>
      <c r="J95" s="972"/>
      <c r="K95" s="982"/>
      <c r="L95" s="972"/>
      <c r="M95" s="972"/>
    </row>
    <row r="96" spans="1:13">
      <c r="A96" s="962"/>
      <c r="E96" s="972"/>
      <c r="F96" s="972"/>
      <c r="G96" s="972"/>
      <c r="H96" s="972"/>
      <c r="I96" s="972"/>
      <c r="J96" s="972"/>
      <c r="K96" s="972"/>
      <c r="L96" s="972"/>
      <c r="M96" s="972"/>
    </row>
    <row r="97" spans="1:13">
      <c r="A97" s="962"/>
      <c r="E97" s="972"/>
      <c r="F97" s="972"/>
      <c r="G97" s="972"/>
      <c r="H97" s="982" t="s">
        <v>4654</v>
      </c>
      <c r="I97" s="972"/>
      <c r="J97" s="972"/>
      <c r="K97" s="972"/>
      <c r="L97" s="972"/>
      <c r="M97" s="972"/>
    </row>
    <row r="98" spans="1:13">
      <c r="A98" s="962"/>
      <c r="E98" s="972"/>
      <c r="F98" s="972"/>
      <c r="G98" s="972"/>
      <c r="H98" s="982" t="s">
        <v>4655</v>
      </c>
      <c r="I98" s="972"/>
      <c r="J98" s="972"/>
      <c r="K98" s="972"/>
      <c r="L98" s="972"/>
      <c r="M98" s="972"/>
    </row>
    <row r="99" spans="1:13" ht="157.5">
      <c r="A99" s="962"/>
      <c r="E99" s="972"/>
      <c r="F99" s="972"/>
      <c r="G99" s="972"/>
      <c r="H99" s="971" t="s">
        <v>4656</v>
      </c>
      <c r="I99" s="972"/>
      <c r="J99" s="972"/>
      <c r="K99" s="972"/>
      <c r="L99" s="972"/>
      <c r="M99" s="972"/>
    </row>
    <row r="100" spans="1:13" ht="31.5">
      <c r="A100" s="962"/>
      <c r="E100" s="972"/>
      <c r="F100" s="972">
        <v>90</v>
      </c>
      <c r="G100" s="972" t="s">
        <v>303</v>
      </c>
      <c r="H100" s="964" t="s">
        <v>3321</v>
      </c>
      <c r="I100" s="972">
        <f>I12</f>
        <v>16.55</v>
      </c>
      <c r="J100" s="972" t="s">
        <v>3322</v>
      </c>
      <c r="K100" s="972">
        <f>F100*I100</f>
        <v>1489.5</v>
      </c>
      <c r="L100" s="972"/>
      <c r="M100" s="972"/>
    </row>
    <row r="101" spans="1:13" ht="31.5">
      <c r="A101" s="962"/>
      <c r="E101" s="972"/>
      <c r="F101" s="972">
        <v>30</v>
      </c>
      <c r="G101" s="972" t="s">
        <v>303</v>
      </c>
      <c r="H101" s="971" t="s">
        <v>3323</v>
      </c>
      <c r="I101" s="972">
        <f>I75</f>
        <v>20</v>
      </c>
      <c r="J101" s="972" t="s">
        <v>303</v>
      </c>
      <c r="K101" s="972">
        <f t="shared" ref="K101:K110" si="6">F101*I101</f>
        <v>600</v>
      </c>
      <c r="L101" s="972"/>
      <c r="M101" s="972"/>
    </row>
    <row r="102" spans="1:13">
      <c r="A102" s="962"/>
      <c r="E102" s="972"/>
      <c r="F102" s="972">
        <v>10</v>
      </c>
      <c r="G102" s="972" t="s">
        <v>68</v>
      </c>
      <c r="H102" s="972" t="s">
        <v>3324</v>
      </c>
      <c r="I102" s="972">
        <f>I76</f>
        <v>3.15</v>
      </c>
      <c r="J102" s="972" t="s">
        <v>68</v>
      </c>
      <c r="K102" s="972">
        <f t="shared" si="6"/>
        <v>31.5</v>
      </c>
      <c r="L102" s="972"/>
      <c r="M102" s="972"/>
    </row>
    <row r="103" spans="1:13">
      <c r="A103" s="962"/>
      <c r="E103" s="972"/>
      <c r="F103" s="972">
        <v>5</v>
      </c>
      <c r="G103" s="972" t="s">
        <v>68</v>
      </c>
      <c r="H103" s="972" t="s">
        <v>3327</v>
      </c>
      <c r="I103" s="972">
        <f>I77</f>
        <v>1.3375000000000001</v>
      </c>
      <c r="J103" s="972" t="s">
        <v>68</v>
      </c>
      <c r="K103" s="972">
        <f t="shared" si="6"/>
        <v>6.6875000000000009</v>
      </c>
      <c r="L103" s="972"/>
      <c r="M103" s="972"/>
    </row>
    <row r="104" spans="1:13" ht="31.5">
      <c r="A104" s="962"/>
      <c r="E104" s="972"/>
      <c r="F104" s="972">
        <v>10</v>
      </c>
      <c r="G104" s="972" t="s">
        <v>68</v>
      </c>
      <c r="H104" s="971" t="s">
        <v>4657</v>
      </c>
      <c r="I104" s="975">
        <f>241.3/12</f>
        <v>20.108333333333334</v>
      </c>
      <c r="J104" s="972" t="s">
        <v>68</v>
      </c>
      <c r="K104" s="972">
        <f t="shared" si="6"/>
        <v>201.08333333333334</v>
      </c>
      <c r="L104" s="972"/>
      <c r="M104" s="972">
        <f>253/12</f>
        <v>21.083333333333332</v>
      </c>
    </row>
    <row r="105" spans="1:13">
      <c r="A105" s="962"/>
      <c r="E105" s="972"/>
      <c r="F105" s="972">
        <v>5</v>
      </c>
      <c r="G105" s="972" t="s">
        <v>68</v>
      </c>
      <c r="H105" s="972" t="s">
        <v>3332</v>
      </c>
      <c r="I105" s="972">
        <f>I79</f>
        <v>13.8</v>
      </c>
      <c r="J105" s="972" t="s">
        <v>68</v>
      </c>
      <c r="K105" s="972">
        <f t="shared" si="6"/>
        <v>69</v>
      </c>
      <c r="L105" s="972"/>
      <c r="M105" s="972"/>
    </row>
    <row r="106" spans="1:13">
      <c r="A106" s="962"/>
      <c r="E106" s="972"/>
      <c r="F106" s="972">
        <v>5</v>
      </c>
      <c r="G106" s="972" t="s">
        <v>68</v>
      </c>
      <c r="H106" s="972" t="s">
        <v>4658</v>
      </c>
      <c r="I106" s="972">
        <f>I78</f>
        <v>3.6041666666666665</v>
      </c>
      <c r="J106" s="972" t="s">
        <v>68</v>
      </c>
      <c r="K106" s="972">
        <f t="shared" si="6"/>
        <v>18.020833333333332</v>
      </c>
      <c r="L106" s="972"/>
      <c r="M106" s="972"/>
    </row>
    <row r="107" spans="1:13">
      <c r="A107" s="962"/>
      <c r="E107" s="972"/>
      <c r="F107" s="972">
        <v>6</v>
      </c>
      <c r="G107" s="972" t="s">
        <v>68</v>
      </c>
      <c r="H107" s="972" t="s">
        <v>3374</v>
      </c>
      <c r="I107" s="972">
        <f>I83</f>
        <v>70.7</v>
      </c>
      <c r="J107" s="972" t="s">
        <v>68</v>
      </c>
      <c r="K107" s="972">
        <f t="shared" si="6"/>
        <v>424.20000000000005</v>
      </c>
      <c r="L107" s="972"/>
      <c r="M107" s="972"/>
    </row>
    <row r="108" spans="1:13">
      <c r="A108" s="962"/>
      <c r="E108" s="972"/>
      <c r="F108" s="972">
        <v>0.09</v>
      </c>
      <c r="G108" s="972" t="s">
        <v>306</v>
      </c>
      <c r="H108" s="972" t="s">
        <v>3375</v>
      </c>
      <c r="I108" s="972">
        <f>I82</f>
        <v>661</v>
      </c>
      <c r="J108" s="972" t="s">
        <v>306</v>
      </c>
      <c r="K108" s="972">
        <f t="shared" si="6"/>
        <v>59.489999999999995</v>
      </c>
      <c r="L108" s="972"/>
      <c r="M108" s="972"/>
    </row>
    <row r="109" spans="1:13">
      <c r="A109" s="962"/>
      <c r="E109" s="972"/>
      <c r="F109" s="972">
        <v>1.25</v>
      </c>
      <c r="G109" s="972" t="s">
        <v>3336</v>
      </c>
      <c r="H109" s="972" t="s">
        <v>278</v>
      </c>
      <c r="I109" s="972">
        <f>I85</f>
        <v>302</v>
      </c>
      <c r="J109" s="972" t="s">
        <v>3336</v>
      </c>
      <c r="K109" s="972">
        <f t="shared" si="6"/>
        <v>377.5</v>
      </c>
      <c r="L109" s="972"/>
      <c r="M109" s="972"/>
    </row>
    <row r="110" spans="1:13" ht="31.5">
      <c r="A110" s="962"/>
      <c r="E110" s="972"/>
      <c r="F110" s="972">
        <v>30</v>
      </c>
      <c r="G110" s="972" t="s">
        <v>303</v>
      </c>
      <c r="H110" s="964" t="s">
        <v>3340</v>
      </c>
      <c r="I110" s="972">
        <f>I100</f>
        <v>16.55</v>
      </c>
      <c r="J110" s="972" t="s">
        <v>3341</v>
      </c>
      <c r="K110" s="972">
        <f t="shared" si="6"/>
        <v>496.5</v>
      </c>
      <c r="L110" s="972"/>
      <c r="M110" s="972"/>
    </row>
    <row r="111" spans="1:13">
      <c r="A111" s="962"/>
      <c r="E111" s="972"/>
      <c r="F111" s="972"/>
      <c r="G111" s="972"/>
      <c r="H111" s="972" t="s">
        <v>910</v>
      </c>
      <c r="I111" s="972"/>
      <c r="J111" s="972"/>
      <c r="K111" s="972">
        <f>K42</f>
        <v>11454</v>
      </c>
      <c r="L111" s="972"/>
      <c r="M111" s="972"/>
    </row>
    <row r="112" spans="1:13">
      <c r="A112" s="962"/>
      <c r="E112" s="972"/>
      <c r="F112" s="972"/>
      <c r="G112" s="972"/>
      <c r="H112" s="972" t="s">
        <v>337</v>
      </c>
      <c r="I112" s="972"/>
      <c r="J112" s="972"/>
      <c r="K112" s="990">
        <v>32.51</v>
      </c>
      <c r="L112" s="972"/>
      <c r="M112" s="972"/>
    </row>
    <row r="113" spans="1:14">
      <c r="A113" s="962"/>
      <c r="E113" s="972"/>
      <c r="F113" s="972"/>
      <c r="G113" s="972"/>
      <c r="H113" s="979" t="s">
        <v>3492</v>
      </c>
      <c r="I113" s="972"/>
      <c r="J113" s="972"/>
      <c r="K113" s="980">
        <f>SUM(K100:K112)</f>
        <v>15259.991666666667</v>
      </c>
      <c r="L113" s="972">
        <f>3052*5</f>
        <v>15260</v>
      </c>
      <c r="M113" s="972"/>
    </row>
    <row r="114" spans="1:14">
      <c r="A114" s="962"/>
      <c r="E114" s="972"/>
      <c r="F114" s="972"/>
      <c r="G114" s="972"/>
      <c r="H114" s="981" t="s">
        <v>3357</v>
      </c>
      <c r="I114" s="972"/>
      <c r="J114" s="972"/>
      <c r="K114" s="982">
        <f>K113/5</f>
        <v>3051.9983333333334</v>
      </c>
      <c r="L114" s="972">
        <f>L113-K113</f>
        <v>8.3333333332120674E-3</v>
      </c>
      <c r="M114" s="972"/>
    </row>
    <row r="115" spans="1:14">
      <c r="A115" s="962"/>
      <c r="E115" s="972"/>
      <c r="F115" s="972"/>
      <c r="G115" s="972"/>
      <c r="H115" s="972"/>
      <c r="I115" s="972"/>
      <c r="J115" s="972"/>
      <c r="K115" s="972"/>
      <c r="L115" s="972"/>
      <c r="M115" s="972"/>
    </row>
    <row r="116" spans="1:14">
      <c r="A116" s="962"/>
      <c r="E116" s="972"/>
      <c r="F116" s="972"/>
      <c r="G116" s="972"/>
      <c r="H116" s="982" t="s">
        <v>4659</v>
      </c>
      <c r="I116" s="972"/>
      <c r="J116" s="972"/>
      <c r="K116" s="972"/>
      <c r="L116" s="972"/>
      <c r="M116" s="972"/>
    </row>
    <row r="117" spans="1:14">
      <c r="A117" s="962"/>
      <c r="E117" s="972"/>
      <c r="F117" s="972"/>
      <c r="G117" s="972"/>
      <c r="H117" s="982" t="s">
        <v>4660</v>
      </c>
      <c r="I117" s="972"/>
      <c r="J117" s="972"/>
      <c r="K117" s="972"/>
      <c r="L117" s="972"/>
      <c r="M117" s="972"/>
    </row>
    <row r="118" spans="1:14">
      <c r="A118" s="962"/>
      <c r="E118" s="972"/>
      <c r="F118" s="972"/>
      <c r="G118" s="972"/>
      <c r="H118" s="972"/>
      <c r="I118" s="972"/>
      <c r="J118" s="972"/>
      <c r="K118" s="972"/>
      <c r="L118" s="972"/>
      <c r="M118" s="972"/>
    </row>
    <row r="119" spans="1:14" ht="157.5">
      <c r="A119" s="962"/>
      <c r="E119" s="972"/>
      <c r="F119" s="972"/>
      <c r="G119" s="972"/>
      <c r="H119" s="971" t="s">
        <v>3373</v>
      </c>
      <c r="I119" s="972"/>
      <c r="J119" s="972"/>
      <c r="K119" s="972"/>
      <c r="L119" s="972"/>
      <c r="M119" s="972"/>
    </row>
    <row r="120" spans="1:14" ht="31.5">
      <c r="A120" s="962"/>
      <c r="E120" s="972"/>
      <c r="F120" s="972">
        <v>90</v>
      </c>
      <c r="G120" s="972" t="s">
        <v>303</v>
      </c>
      <c r="H120" s="964" t="s">
        <v>3321</v>
      </c>
      <c r="I120" s="972">
        <f>I100</f>
        <v>16.55</v>
      </c>
      <c r="J120" s="972" t="s">
        <v>3341</v>
      </c>
      <c r="K120" s="972">
        <f>F120*I120</f>
        <v>1489.5</v>
      </c>
      <c r="L120" s="972"/>
      <c r="M120" s="972"/>
    </row>
    <row r="121" spans="1:14" ht="31.5">
      <c r="E121" s="972"/>
      <c r="F121" s="972">
        <v>45</v>
      </c>
      <c r="G121" s="972" t="s">
        <v>303</v>
      </c>
      <c r="H121" s="971" t="s">
        <v>3323</v>
      </c>
      <c r="I121" s="972">
        <f>I101</f>
        <v>20</v>
      </c>
      <c r="J121" s="972" t="s">
        <v>303</v>
      </c>
      <c r="K121" s="972">
        <f t="shared" ref="K121:K130" si="7">F121*I121</f>
        <v>900</v>
      </c>
      <c r="L121" s="972"/>
      <c r="M121" s="972"/>
    </row>
    <row r="122" spans="1:14">
      <c r="E122" s="972"/>
      <c r="F122" s="972">
        <v>20</v>
      </c>
      <c r="G122" s="972" t="s">
        <v>68</v>
      </c>
      <c r="H122" s="972" t="s">
        <v>3324</v>
      </c>
      <c r="I122" s="972">
        <f>I102</f>
        <v>3.15</v>
      </c>
      <c r="J122" s="972" t="s">
        <v>3329</v>
      </c>
      <c r="K122" s="972">
        <f t="shared" si="7"/>
        <v>63</v>
      </c>
      <c r="L122" s="972"/>
      <c r="M122" s="972"/>
    </row>
    <row r="123" spans="1:14">
      <c r="E123" s="972"/>
      <c r="F123" s="972">
        <v>10</v>
      </c>
      <c r="G123" s="972" t="s">
        <v>68</v>
      </c>
      <c r="H123" s="972" t="s">
        <v>3327</v>
      </c>
      <c r="I123" s="972">
        <f>I103</f>
        <v>1.3375000000000001</v>
      </c>
      <c r="J123" s="972" t="s">
        <v>3329</v>
      </c>
      <c r="K123" s="972">
        <f t="shared" si="7"/>
        <v>13.375000000000002</v>
      </c>
      <c r="L123" s="972"/>
      <c r="M123" s="972"/>
    </row>
    <row r="124" spans="1:14">
      <c r="E124" s="972"/>
      <c r="F124" s="972">
        <v>1</v>
      </c>
      <c r="G124" s="972" t="s">
        <v>68</v>
      </c>
      <c r="H124" s="972" t="s">
        <v>3374</v>
      </c>
      <c r="I124" s="972">
        <f>I107</f>
        <v>70.7</v>
      </c>
      <c r="J124" s="972" t="s">
        <v>68</v>
      </c>
      <c r="K124" s="972">
        <f t="shared" si="7"/>
        <v>70.7</v>
      </c>
      <c r="L124" s="972"/>
      <c r="M124" s="972"/>
    </row>
    <row r="125" spans="1:14">
      <c r="E125" s="972"/>
      <c r="F125" s="976">
        <v>1.4999999999999999E-2</v>
      </c>
      <c r="G125" s="972" t="s">
        <v>306</v>
      </c>
      <c r="H125" s="972" t="s">
        <v>3375</v>
      </c>
      <c r="I125" s="972">
        <f>I18</f>
        <v>661</v>
      </c>
      <c r="J125" s="972" t="s">
        <v>306</v>
      </c>
      <c r="K125" s="972">
        <f t="shared" si="7"/>
        <v>9.9149999999999991</v>
      </c>
      <c r="L125" s="972"/>
      <c r="M125" s="972"/>
    </row>
    <row r="126" spans="1:14" ht="47.25">
      <c r="E126" s="972"/>
      <c r="F126" s="972">
        <v>15</v>
      </c>
      <c r="G126" s="972" t="s">
        <v>68</v>
      </c>
      <c r="H126" s="971" t="s">
        <v>5763</v>
      </c>
      <c r="I126" s="975">
        <f>(194.5/12)+24.1</f>
        <v>40.308333333333337</v>
      </c>
      <c r="J126" s="972" t="s">
        <v>68</v>
      </c>
      <c r="K126" s="972">
        <f t="shared" si="7"/>
        <v>604.625</v>
      </c>
      <c r="L126" s="991">
        <f>192.6+239</f>
        <v>431.6</v>
      </c>
      <c r="M126" s="972">
        <f>L126/12</f>
        <v>35.966666666666669</v>
      </c>
      <c r="N126" s="956">
        <f>M126/12</f>
        <v>2.9972222222222222</v>
      </c>
    </row>
    <row r="127" spans="1:14">
      <c r="E127" s="972"/>
      <c r="F127" s="972">
        <v>15</v>
      </c>
      <c r="G127" s="972" t="s">
        <v>68</v>
      </c>
      <c r="H127" s="972" t="s">
        <v>3374</v>
      </c>
      <c r="I127" s="972">
        <f>I124</f>
        <v>70.7</v>
      </c>
      <c r="J127" s="972" t="s">
        <v>68</v>
      </c>
      <c r="K127" s="972">
        <f t="shared" si="7"/>
        <v>1060.5</v>
      </c>
      <c r="L127" s="972"/>
      <c r="M127" s="972"/>
    </row>
    <row r="128" spans="1:14">
      <c r="E128" s="972"/>
      <c r="F128" s="976">
        <v>0.22500000000000001</v>
      </c>
      <c r="G128" s="972" t="s">
        <v>306</v>
      </c>
      <c r="H128" s="972" t="s">
        <v>3375</v>
      </c>
      <c r="I128" s="972">
        <f>I125</f>
        <v>661</v>
      </c>
      <c r="J128" s="972" t="s">
        <v>3377</v>
      </c>
      <c r="K128" s="972">
        <f t="shared" si="7"/>
        <v>148.72499999999999</v>
      </c>
      <c r="L128" s="972"/>
      <c r="M128" s="972"/>
    </row>
    <row r="129" spans="5:13">
      <c r="E129" s="972"/>
      <c r="F129" s="972">
        <v>1.25</v>
      </c>
      <c r="G129" s="972" t="s">
        <v>3336</v>
      </c>
      <c r="H129" s="972" t="s">
        <v>278</v>
      </c>
      <c r="I129" s="972">
        <f>I109</f>
        <v>302</v>
      </c>
      <c r="J129" s="972" t="s">
        <v>3336</v>
      </c>
      <c r="K129" s="972">
        <f t="shared" si="7"/>
        <v>377.5</v>
      </c>
      <c r="L129" s="972"/>
      <c r="M129" s="972"/>
    </row>
    <row r="130" spans="5:13" ht="31.5">
      <c r="E130" s="972"/>
      <c r="F130" s="972">
        <v>45</v>
      </c>
      <c r="G130" s="972" t="s">
        <v>306</v>
      </c>
      <c r="H130" s="964" t="s">
        <v>3340</v>
      </c>
      <c r="I130" s="972">
        <f>I120</f>
        <v>16.55</v>
      </c>
      <c r="J130" s="972" t="s">
        <v>3341</v>
      </c>
      <c r="K130" s="972">
        <f t="shared" si="7"/>
        <v>744.75</v>
      </c>
      <c r="L130" s="972"/>
      <c r="M130" s="972"/>
    </row>
    <row r="131" spans="5:13">
      <c r="E131" s="972"/>
      <c r="F131" s="972"/>
      <c r="G131" s="972"/>
      <c r="H131" s="972" t="s">
        <v>910</v>
      </c>
      <c r="I131" s="972"/>
      <c r="J131" s="972"/>
      <c r="K131" s="972">
        <f>K87</f>
        <v>11454</v>
      </c>
      <c r="L131" s="972"/>
      <c r="M131" s="972"/>
    </row>
    <row r="132" spans="5:13">
      <c r="E132" s="972"/>
      <c r="F132" s="972"/>
      <c r="G132" s="972"/>
      <c r="H132" s="972" t="s">
        <v>337</v>
      </c>
      <c r="I132" s="972"/>
      <c r="J132" s="972"/>
      <c r="K132" s="972">
        <v>58.35</v>
      </c>
      <c r="L132" s="972"/>
      <c r="M132" s="972"/>
    </row>
    <row r="133" spans="5:13">
      <c r="E133" s="972"/>
      <c r="F133" s="972"/>
      <c r="G133" s="972"/>
      <c r="H133" s="979" t="s">
        <v>3378</v>
      </c>
      <c r="I133" s="972"/>
      <c r="J133" s="972"/>
      <c r="K133" s="980">
        <f>SUM(K120:K132)</f>
        <v>16994.939999999999</v>
      </c>
      <c r="L133" s="972">
        <f>1133*15</f>
        <v>16995</v>
      </c>
      <c r="M133" s="972"/>
    </row>
    <row r="134" spans="5:13">
      <c r="E134" s="972"/>
      <c r="F134" s="972"/>
      <c r="G134" s="972"/>
      <c r="H134" s="981" t="s">
        <v>3357</v>
      </c>
      <c r="I134" s="972"/>
      <c r="J134" s="972"/>
      <c r="K134" s="982">
        <f>K133/15</f>
        <v>1132.9959999999999</v>
      </c>
      <c r="L134" s="972">
        <f>L133-K133</f>
        <v>6.0000000001309672E-2</v>
      </c>
      <c r="M134" s="972"/>
    </row>
    <row r="135" spans="5:13">
      <c r="E135" s="972"/>
      <c r="F135" s="972"/>
      <c r="G135" s="972"/>
      <c r="H135" s="972"/>
      <c r="I135" s="972"/>
      <c r="J135" s="972"/>
      <c r="K135" s="972"/>
      <c r="L135" s="972"/>
      <c r="M135" s="972"/>
    </row>
    <row r="136" spans="5:13">
      <c r="E136" s="972"/>
      <c r="F136" s="972"/>
      <c r="G136" s="972"/>
      <c r="H136" s="982" t="s">
        <v>3353</v>
      </c>
      <c r="I136" s="972"/>
      <c r="J136" s="972"/>
      <c r="K136" s="972"/>
      <c r="L136" s="972"/>
      <c r="M136" s="972"/>
    </row>
    <row r="137" spans="5:13">
      <c r="E137" s="972"/>
      <c r="F137" s="972"/>
      <c r="G137" s="972"/>
      <c r="H137" s="982" t="s">
        <v>3354</v>
      </c>
      <c r="I137" s="972"/>
      <c r="J137" s="972"/>
      <c r="K137" s="972"/>
      <c r="L137" s="972"/>
      <c r="M137" s="972"/>
    </row>
    <row r="138" spans="5:13">
      <c r="E138" s="972"/>
      <c r="F138" s="972"/>
      <c r="G138" s="972"/>
      <c r="H138" s="972"/>
      <c r="I138" s="972"/>
      <c r="J138" s="972"/>
      <c r="K138" s="972"/>
      <c r="L138" s="972"/>
      <c r="M138" s="972"/>
    </row>
    <row r="139" spans="5:13" ht="157.5">
      <c r="E139" s="972"/>
      <c r="F139" s="972"/>
      <c r="G139" s="972"/>
      <c r="H139" s="971" t="s">
        <v>3355</v>
      </c>
      <c r="I139" s="972"/>
      <c r="J139" s="972"/>
      <c r="K139" s="972"/>
      <c r="L139" s="972"/>
      <c r="M139" s="972"/>
    </row>
    <row r="140" spans="5:13">
      <c r="E140" s="972"/>
      <c r="F140" s="972"/>
      <c r="G140" s="972"/>
      <c r="H140" s="972"/>
      <c r="I140" s="972"/>
      <c r="J140" s="972"/>
      <c r="K140" s="972"/>
      <c r="L140" s="972"/>
      <c r="M140" s="972"/>
    </row>
    <row r="141" spans="5:13" ht="31.5">
      <c r="E141" s="972"/>
      <c r="F141" s="972">
        <v>5</v>
      </c>
      <c r="G141" s="972" t="s">
        <v>303</v>
      </c>
      <c r="H141" s="973" t="s">
        <v>3321</v>
      </c>
      <c r="I141" s="972">
        <f>I120</f>
        <v>16.55</v>
      </c>
      <c r="J141" s="972" t="s">
        <v>2990</v>
      </c>
      <c r="K141" s="972">
        <f>F141*I141</f>
        <v>82.75</v>
      </c>
      <c r="L141" s="972"/>
      <c r="M141" s="972"/>
    </row>
    <row r="142" spans="5:13" ht="31.5">
      <c r="E142" s="972"/>
      <c r="F142" s="972">
        <v>2.5</v>
      </c>
      <c r="G142" s="972" t="s">
        <v>303</v>
      </c>
      <c r="H142" s="971" t="s">
        <v>3323</v>
      </c>
      <c r="I142" s="972">
        <f>I121</f>
        <v>20</v>
      </c>
      <c r="J142" s="972" t="s">
        <v>303</v>
      </c>
      <c r="K142" s="972">
        <f>F142*I142</f>
        <v>50</v>
      </c>
      <c r="L142" s="972"/>
      <c r="M142" s="972"/>
    </row>
    <row r="143" spans="5:13" ht="47.25">
      <c r="E143" s="972"/>
      <c r="F143" s="972">
        <v>1</v>
      </c>
      <c r="G143" s="972" t="s">
        <v>68</v>
      </c>
      <c r="H143" s="971" t="str">
        <f>H126</f>
        <v>5 A 5 pin non - inter locking switch and plug ( flush type ) part - c (I a) + part - d (I a)( Rs. 194.50/12 + 24.10) p-118 +123 part d a</v>
      </c>
      <c r="I143" s="990">
        <f>I126</f>
        <v>40.308333333333337</v>
      </c>
      <c r="J143" s="972" t="s">
        <v>68</v>
      </c>
      <c r="K143" s="972">
        <f>F143*I143</f>
        <v>40.308333333333337</v>
      </c>
      <c r="L143" s="972"/>
      <c r="M143" s="972"/>
    </row>
    <row r="144" spans="5:13">
      <c r="E144" s="972"/>
      <c r="F144" s="972"/>
      <c r="G144" s="972"/>
      <c r="H144" s="972" t="s">
        <v>910</v>
      </c>
      <c r="I144" s="972"/>
      <c r="J144" s="972"/>
      <c r="K144" s="972">
        <f>ROUND(K42*5/90,2)</f>
        <v>636.33000000000004</v>
      </c>
      <c r="L144" s="972"/>
      <c r="M144" s="972"/>
    </row>
    <row r="145" spans="5:13">
      <c r="E145" s="972"/>
      <c r="F145" s="972"/>
      <c r="G145" s="972"/>
      <c r="H145" s="972" t="s">
        <v>337</v>
      </c>
      <c r="I145" s="972"/>
      <c r="J145" s="972"/>
      <c r="K145" s="972">
        <v>25.61</v>
      </c>
      <c r="L145" s="972"/>
      <c r="M145" s="972"/>
    </row>
    <row r="146" spans="5:13">
      <c r="E146" s="972"/>
      <c r="F146" s="972"/>
      <c r="G146" s="972"/>
      <c r="H146" s="981" t="s">
        <v>3357</v>
      </c>
      <c r="I146" s="972"/>
      <c r="J146" s="972"/>
      <c r="K146" s="983">
        <f>SUM(K141:K145)</f>
        <v>834.99833333333333</v>
      </c>
      <c r="L146" s="972">
        <f>835-K146</f>
        <v>1.6666666666651508E-3</v>
      </c>
      <c r="M146" s="972"/>
    </row>
    <row r="147" spans="5:13">
      <c r="E147" s="972"/>
      <c r="F147" s="972"/>
      <c r="G147" s="972"/>
      <c r="H147" s="972"/>
      <c r="I147" s="972"/>
      <c r="J147" s="972"/>
      <c r="K147" s="972"/>
      <c r="L147" s="972"/>
      <c r="M147" s="972"/>
    </row>
    <row r="148" spans="5:13">
      <c r="E148" s="972"/>
      <c r="F148" s="972"/>
      <c r="G148" s="972"/>
      <c r="H148" s="982" t="s">
        <v>3379</v>
      </c>
      <c r="I148" s="972"/>
      <c r="J148" s="972"/>
      <c r="K148" s="972"/>
      <c r="L148" s="972"/>
      <c r="M148" s="972"/>
    </row>
    <row r="149" spans="5:13">
      <c r="E149" s="972"/>
      <c r="F149" s="972"/>
      <c r="G149" s="972"/>
      <c r="H149" s="982" t="s">
        <v>3380</v>
      </c>
      <c r="I149" s="972"/>
      <c r="J149" s="972"/>
      <c r="K149" s="972"/>
      <c r="L149" s="972"/>
      <c r="M149" s="972"/>
    </row>
    <row r="150" spans="5:13">
      <c r="E150" s="972"/>
      <c r="F150" s="972"/>
      <c r="G150" s="972"/>
      <c r="H150" s="972"/>
      <c r="I150" s="972"/>
      <c r="J150" s="972"/>
      <c r="K150" s="972"/>
      <c r="L150" s="972"/>
      <c r="M150" s="972"/>
    </row>
    <row r="151" spans="5:13" ht="60.75">
      <c r="E151" s="972"/>
      <c r="F151" s="972"/>
      <c r="G151" s="972"/>
      <c r="H151" s="971" t="s">
        <v>4661</v>
      </c>
      <c r="I151" s="972"/>
      <c r="J151" s="972"/>
      <c r="K151" s="972"/>
      <c r="L151" s="972"/>
      <c r="M151" s="972"/>
    </row>
    <row r="152" spans="5:13">
      <c r="E152" s="972"/>
      <c r="F152" s="972"/>
      <c r="G152" s="972"/>
      <c r="H152" s="972"/>
      <c r="I152" s="972"/>
      <c r="J152" s="972"/>
      <c r="K152" s="972"/>
      <c r="L152" s="972"/>
      <c r="M152" s="972"/>
    </row>
    <row r="153" spans="5:13">
      <c r="E153" s="972"/>
      <c r="F153" s="972">
        <v>1</v>
      </c>
      <c r="G153" s="972" t="s">
        <v>68</v>
      </c>
      <c r="H153" s="972" t="s">
        <v>3382</v>
      </c>
      <c r="I153" s="975">
        <v>54.5</v>
      </c>
      <c r="J153" s="972" t="s">
        <v>68</v>
      </c>
      <c r="K153" s="972">
        <f>F153*I153</f>
        <v>54.5</v>
      </c>
      <c r="L153" s="972"/>
      <c r="M153" s="972"/>
    </row>
    <row r="154" spans="5:13">
      <c r="E154" s="972"/>
      <c r="F154" s="972">
        <v>1</v>
      </c>
      <c r="G154" s="972" t="s">
        <v>68</v>
      </c>
      <c r="H154" s="972" t="s">
        <v>3383</v>
      </c>
      <c r="I154" s="972">
        <f>I124</f>
        <v>70.7</v>
      </c>
      <c r="J154" s="972" t="s">
        <v>68</v>
      </c>
      <c r="K154" s="972">
        <f>F154*I154</f>
        <v>70.7</v>
      </c>
      <c r="L154" s="972"/>
      <c r="M154" s="972"/>
    </row>
    <row r="155" spans="5:13">
      <c r="E155" s="972"/>
      <c r="F155" s="976">
        <v>1.4999999999999999E-2</v>
      </c>
      <c r="G155" s="972" t="s">
        <v>306</v>
      </c>
      <c r="H155" s="972" t="s">
        <v>3384</v>
      </c>
      <c r="I155" s="972">
        <f>I125</f>
        <v>661</v>
      </c>
      <c r="J155" s="972" t="s">
        <v>306</v>
      </c>
      <c r="K155" s="972">
        <f>F155*I155</f>
        <v>9.9149999999999991</v>
      </c>
      <c r="L155" s="972"/>
      <c r="M155" s="972"/>
    </row>
    <row r="156" spans="5:13" ht="31.5">
      <c r="E156" s="972"/>
      <c r="F156" s="972" t="s">
        <v>287</v>
      </c>
      <c r="G156" s="972"/>
      <c r="H156" s="971" t="s">
        <v>3385</v>
      </c>
      <c r="I156" s="972"/>
      <c r="J156" s="972"/>
      <c r="K156" s="972">
        <v>14.88</v>
      </c>
      <c r="L156" s="972">
        <f>(K153+K154+K155)*2%</f>
        <v>2.7023000000000001</v>
      </c>
      <c r="M156" s="972"/>
    </row>
    <row r="157" spans="5:13">
      <c r="E157" s="972"/>
      <c r="F157" s="972"/>
      <c r="G157" s="972"/>
      <c r="H157" s="981" t="s">
        <v>2718</v>
      </c>
      <c r="I157" s="972"/>
      <c r="J157" s="972"/>
      <c r="K157" s="983">
        <f>SUM(K153:K156)</f>
        <v>149.995</v>
      </c>
      <c r="L157" s="972">
        <f>150-K157</f>
        <v>4.9999999999954525E-3</v>
      </c>
      <c r="M157" s="972"/>
    </row>
    <row r="158" spans="5:13">
      <c r="E158" s="972"/>
      <c r="F158" s="972"/>
      <c r="G158" s="972"/>
      <c r="H158" s="972"/>
      <c r="I158" s="972"/>
      <c r="J158" s="972"/>
      <c r="K158" s="972">
        <f>K157*18</f>
        <v>2699.91</v>
      </c>
      <c r="L158" s="972"/>
      <c r="M158" s="972"/>
    </row>
    <row r="159" spans="5:13">
      <c r="E159" s="972"/>
      <c r="F159" s="972"/>
      <c r="G159" s="972"/>
      <c r="H159" s="982" t="s">
        <v>4662</v>
      </c>
      <c r="I159" s="972"/>
      <c r="J159" s="972"/>
      <c r="K159" s="972"/>
      <c r="L159" s="972"/>
      <c r="M159" s="972"/>
    </row>
    <row r="160" spans="5:13" ht="47.25">
      <c r="E160" s="972"/>
      <c r="F160" s="972"/>
      <c r="G160" s="972"/>
      <c r="H160" s="969" t="s">
        <v>4663</v>
      </c>
      <c r="I160" s="972"/>
      <c r="J160" s="972"/>
      <c r="K160" s="972"/>
      <c r="L160" s="972"/>
      <c r="M160" s="972"/>
    </row>
    <row r="161" spans="5:13">
      <c r="E161" s="972"/>
      <c r="F161" s="972"/>
      <c r="G161" s="972"/>
      <c r="H161" s="969"/>
      <c r="I161" s="972"/>
      <c r="J161" s="972"/>
      <c r="K161" s="972"/>
      <c r="L161" s="972"/>
      <c r="M161" s="972"/>
    </row>
    <row r="162" spans="5:13" ht="189">
      <c r="E162" s="972"/>
      <c r="F162" s="972"/>
      <c r="G162" s="972"/>
      <c r="H162" s="971" t="s">
        <v>4664</v>
      </c>
      <c r="I162" s="972"/>
      <c r="J162" s="972"/>
      <c r="K162" s="972"/>
      <c r="L162" s="972"/>
      <c r="M162" s="972"/>
    </row>
    <row r="163" spans="5:13">
      <c r="E163" s="972"/>
      <c r="F163" s="972"/>
      <c r="G163" s="972"/>
      <c r="H163" s="972"/>
      <c r="I163" s="972"/>
      <c r="J163" s="972"/>
      <c r="K163" s="972"/>
      <c r="L163" s="972"/>
      <c r="M163" s="972"/>
    </row>
    <row r="164" spans="5:13" ht="31.5">
      <c r="E164" s="972"/>
      <c r="F164" s="972">
        <v>90</v>
      </c>
      <c r="G164" s="972" t="s">
        <v>303</v>
      </c>
      <c r="H164" s="964" t="s">
        <v>3321</v>
      </c>
      <c r="I164" s="972">
        <f>I12</f>
        <v>16.55</v>
      </c>
      <c r="J164" s="972" t="s">
        <v>303</v>
      </c>
      <c r="K164" s="972">
        <f>F164*I164</f>
        <v>1489.5</v>
      </c>
      <c r="L164" s="972"/>
      <c r="M164" s="972"/>
    </row>
    <row r="165" spans="5:13" ht="31.5">
      <c r="E165" s="972"/>
      <c r="F165" s="972">
        <v>45</v>
      </c>
      <c r="G165" s="972" t="s">
        <v>303</v>
      </c>
      <c r="H165" s="971" t="s">
        <v>3323</v>
      </c>
      <c r="I165" s="972">
        <f>I13</f>
        <v>20</v>
      </c>
      <c r="J165" s="972" t="s">
        <v>2990</v>
      </c>
      <c r="K165" s="972">
        <f t="shared" ref="K165:K176" si="8">F165*I165</f>
        <v>900</v>
      </c>
      <c r="L165" s="972"/>
      <c r="M165" s="972"/>
    </row>
    <row r="166" spans="5:13">
      <c r="E166" s="972"/>
      <c r="F166" s="972">
        <v>12</v>
      </c>
      <c r="G166" s="972" t="s">
        <v>68</v>
      </c>
      <c r="H166" s="972" t="s">
        <v>3324</v>
      </c>
      <c r="I166" s="972">
        <f>I14</f>
        <v>3.15</v>
      </c>
      <c r="J166" s="972" t="s">
        <v>68</v>
      </c>
      <c r="K166" s="972">
        <f t="shared" si="8"/>
        <v>37.799999999999997</v>
      </c>
      <c r="L166" s="972"/>
      <c r="M166" s="972"/>
    </row>
    <row r="167" spans="5:13">
      <c r="E167" s="972"/>
      <c r="F167" s="972">
        <v>6</v>
      </c>
      <c r="G167" s="972" t="s">
        <v>68</v>
      </c>
      <c r="H167" s="972" t="s">
        <v>3327</v>
      </c>
      <c r="I167" s="972">
        <f>I15</f>
        <v>1.3375000000000001</v>
      </c>
      <c r="J167" s="972" t="s">
        <v>68</v>
      </c>
      <c r="K167" s="972">
        <f t="shared" si="8"/>
        <v>8.0250000000000004</v>
      </c>
      <c r="L167" s="972"/>
      <c r="M167" s="972"/>
    </row>
    <row r="168" spans="5:13">
      <c r="E168" s="972"/>
      <c r="F168" s="972">
        <v>1</v>
      </c>
      <c r="G168" s="972" t="s">
        <v>68</v>
      </c>
      <c r="H168" s="972" t="s">
        <v>4665</v>
      </c>
      <c r="I168" s="972">
        <f>I16</f>
        <v>70.7</v>
      </c>
      <c r="J168" s="972" t="s">
        <v>68</v>
      </c>
      <c r="K168" s="972">
        <f t="shared" si="8"/>
        <v>70.7</v>
      </c>
      <c r="L168" s="972"/>
      <c r="M168" s="972"/>
    </row>
    <row r="169" spans="5:13">
      <c r="E169" s="972"/>
      <c r="F169" s="976">
        <v>1.4999999999999999E-2</v>
      </c>
      <c r="G169" s="972" t="s">
        <v>306</v>
      </c>
      <c r="H169" s="972" t="s">
        <v>3330</v>
      </c>
      <c r="I169" s="972">
        <f t="shared" ref="I169:I176" si="9">I18</f>
        <v>661</v>
      </c>
      <c r="J169" s="972" t="s">
        <v>306</v>
      </c>
      <c r="K169" s="972">
        <f t="shared" si="8"/>
        <v>9.9149999999999991</v>
      </c>
      <c r="L169" s="972"/>
      <c r="M169" s="972"/>
    </row>
    <row r="170" spans="5:13">
      <c r="E170" s="972"/>
      <c r="F170" s="972">
        <v>6</v>
      </c>
      <c r="G170" s="972" t="s">
        <v>68</v>
      </c>
      <c r="H170" s="972" t="s">
        <v>3331</v>
      </c>
      <c r="I170" s="972">
        <f t="shared" si="9"/>
        <v>16.208333333333332</v>
      </c>
      <c r="J170" s="972" t="s">
        <v>3329</v>
      </c>
      <c r="K170" s="972">
        <f t="shared" si="8"/>
        <v>97.25</v>
      </c>
      <c r="L170" s="972"/>
      <c r="M170" s="972"/>
    </row>
    <row r="171" spans="5:13">
      <c r="E171" s="972"/>
      <c r="F171" s="972">
        <v>6</v>
      </c>
      <c r="G171" s="972" t="s">
        <v>68</v>
      </c>
      <c r="H171" s="972" t="s">
        <v>3332</v>
      </c>
      <c r="I171" s="972">
        <f t="shared" si="9"/>
        <v>13.8</v>
      </c>
      <c r="J171" s="972" t="s">
        <v>68</v>
      </c>
      <c r="K171" s="972">
        <f t="shared" si="8"/>
        <v>82.800000000000011</v>
      </c>
      <c r="L171" s="972"/>
      <c r="M171" s="972"/>
    </row>
    <row r="172" spans="5:13">
      <c r="E172" s="972"/>
      <c r="F172" s="972">
        <v>6</v>
      </c>
      <c r="G172" s="972" t="s">
        <v>68</v>
      </c>
      <c r="H172" s="972" t="s">
        <v>4658</v>
      </c>
      <c r="I172" s="972">
        <f t="shared" si="9"/>
        <v>3.6041666666666665</v>
      </c>
      <c r="J172" s="972" t="s">
        <v>68</v>
      </c>
      <c r="K172" s="972">
        <f t="shared" si="8"/>
        <v>21.625</v>
      </c>
      <c r="L172" s="972"/>
      <c r="M172" s="972"/>
    </row>
    <row r="173" spans="5:13">
      <c r="E173" s="972"/>
      <c r="F173" s="972">
        <v>1.25</v>
      </c>
      <c r="G173" s="972" t="s">
        <v>3336</v>
      </c>
      <c r="H173" s="972" t="s">
        <v>278</v>
      </c>
      <c r="I173" s="972">
        <f t="shared" si="9"/>
        <v>302</v>
      </c>
      <c r="J173" s="972" t="s">
        <v>3336</v>
      </c>
      <c r="K173" s="972">
        <f t="shared" si="8"/>
        <v>377.5</v>
      </c>
      <c r="L173" s="972"/>
      <c r="M173" s="972"/>
    </row>
    <row r="174" spans="5:13">
      <c r="E174" s="972"/>
      <c r="F174" s="972">
        <v>6</v>
      </c>
      <c r="G174" s="972" t="s">
        <v>68</v>
      </c>
      <c r="H174" s="972" t="s">
        <v>4666</v>
      </c>
      <c r="I174" s="972">
        <f t="shared" si="9"/>
        <v>70.7</v>
      </c>
      <c r="J174" s="972" t="s">
        <v>68</v>
      </c>
      <c r="K174" s="972">
        <f t="shared" si="8"/>
        <v>424.20000000000005</v>
      </c>
      <c r="L174" s="972"/>
      <c r="M174" s="972"/>
    </row>
    <row r="175" spans="5:13">
      <c r="E175" s="972"/>
      <c r="F175" s="972">
        <v>0.09</v>
      </c>
      <c r="G175" s="972" t="s">
        <v>306</v>
      </c>
      <c r="H175" s="972" t="s">
        <v>4667</v>
      </c>
      <c r="I175" s="972">
        <f t="shared" si="9"/>
        <v>661</v>
      </c>
      <c r="J175" s="972" t="s">
        <v>306</v>
      </c>
      <c r="K175" s="972">
        <f t="shared" si="8"/>
        <v>59.489999999999995</v>
      </c>
      <c r="L175" s="972"/>
      <c r="M175" s="972"/>
    </row>
    <row r="176" spans="5:13" ht="31.5">
      <c r="E176" s="972"/>
      <c r="F176" s="972">
        <v>45</v>
      </c>
      <c r="G176" s="972"/>
      <c r="H176" s="964" t="s">
        <v>3340</v>
      </c>
      <c r="I176" s="972">
        <f t="shared" si="9"/>
        <v>16.55</v>
      </c>
      <c r="J176" s="972" t="s">
        <v>3341</v>
      </c>
      <c r="K176" s="972">
        <f t="shared" si="8"/>
        <v>744.75</v>
      </c>
      <c r="L176" s="972"/>
      <c r="M176" s="972"/>
    </row>
    <row r="177" spans="5:13">
      <c r="E177" s="972"/>
      <c r="F177" s="972"/>
      <c r="G177" s="972"/>
      <c r="H177" s="972" t="s">
        <v>910</v>
      </c>
      <c r="I177" s="972"/>
      <c r="J177" s="972" t="s">
        <v>287</v>
      </c>
      <c r="K177" s="972">
        <f>K26</f>
        <v>11454</v>
      </c>
      <c r="L177" s="972"/>
      <c r="M177" s="972"/>
    </row>
    <row r="178" spans="5:13">
      <c r="E178" s="972"/>
      <c r="F178" s="972"/>
      <c r="G178" s="972"/>
      <c r="H178" s="972" t="s">
        <v>337</v>
      </c>
      <c r="I178" s="972"/>
      <c r="J178" s="972" t="s">
        <v>287</v>
      </c>
      <c r="K178" s="972">
        <v>62.44</v>
      </c>
      <c r="L178" s="972"/>
      <c r="M178" s="972"/>
    </row>
    <row r="179" spans="5:13">
      <c r="E179" s="972"/>
      <c r="F179" s="972"/>
      <c r="G179" s="972"/>
      <c r="H179" s="979" t="s">
        <v>4626</v>
      </c>
      <c r="I179" s="972"/>
      <c r="J179" s="972"/>
      <c r="K179" s="980">
        <f>SUM(K164:K178)</f>
        <v>15839.995000000001</v>
      </c>
      <c r="L179" s="972"/>
      <c r="M179" s="972"/>
    </row>
    <row r="180" spans="5:13">
      <c r="E180" s="972"/>
      <c r="F180" s="972"/>
      <c r="G180" s="972"/>
      <c r="H180" s="981" t="s">
        <v>3346</v>
      </c>
      <c r="I180" s="972"/>
      <c r="J180" s="972"/>
      <c r="K180" s="982">
        <f>K179/6</f>
        <v>2639.999166666667</v>
      </c>
      <c r="L180" s="972">
        <f>2640*6</f>
        <v>15840</v>
      </c>
      <c r="M180" s="972">
        <f>L180-K179</f>
        <v>4.9999999991996447E-3</v>
      </c>
    </row>
    <row r="181" spans="5:13">
      <c r="E181" s="972"/>
      <c r="F181" s="972"/>
      <c r="G181" s="972"/>
      <c r="H181" s="972"/>
      <c r="I181" s="972"/>
      <c r="J181" s="972"/>
      <c r="K181" s="972"/>
      <c r="L181" s="972">
        <f>L180-K179</f>
        <v>4.9999999991996447E-3</v>
      </c>
      <c r="M181" s="972"/>
    </row>
    <row r="182" spans="5:13">
      <c r="E182" s="972"/>
      <c r="F182" s="972"/>
      <c r="G182" s="972"/>
      <c r="H182" s="982" t="s">
        <v>4668</v>
      </c>
      <c r="I182" s="972"/>
      <c r="J182" s="972"/>
      <c r="K182" s="972"/>
      <c r="L182" s="972">
        <f>L181*6</f>
        <v>2.9999999995197868E-2</v>
      </c>
      <c r="M182" s="972"/>
    </row>
    <row r="183" spans="5:13" ht="47.25">
      <c r="E183" s="972"/>
      <c r="F183" s="972"/>
      <c r="G183" s="972"/>
      <c r="H183" s="969" t="s">
        <v>4669</v>
      </c>
      <c r="I183" s="972"/>
      <c r="J183" s="972"/>
      <c r="K183" s="972"/>
      <c r="L183" s="972"/>
      <c r="M183" s="972"/>
    </row>
    <row r="184" spans="5:13">
      <c r="E184" s="972"/>
      <c r="F184" s="972"/>
      <c r="G184" s="972"/>
      <c r="H184" s="972"/>
      <c r="I184" s="972"/>
      <c r="J184" s="972"/>
      <c r="K184" s="972"/>
      <c r="L184" s="972"/>
      <c r="M184" s="972"/>
    </row>
    <row r="185" spans="5:13" ht="204.75">
      <c r="E185" s="972"/>
      <c r="F185" s="972"/>
      <c r="G185" s="972"/>
      <c r="H185" s="971" t="s">
        <v>4670</v>
      </c>
      <c r="I185" s="972"/>
      <c r="J185" s="972"/>
      <c r="K185" s="972"/>
      <c r="L185" s="972"/>
      <c r="M185" s="972"/>
    </row>
    <row r="186" spans="5:13">
      <c r="E186" s="972"/>
      <c r="F186" s="972"/>
      <c r="G186" s="972"/>
      <c r="H186" s="972"/>
      <c r="I186" s="972"/>
      <c r="J186" s="972"/>
      <c r="K186" s="972"/>
      <c r="L186" s="972"/>
      <c r="M186" s="972"/>
    </row>
    <row r="187" spans="5:13">
      <c r="E187" s="972"/>
      <c r="F187" s="972"/>
      <c r="G187" s="972"/>
      <c r="H187" s="972" t="s">
        <v>4671</v>
      </c>
      <c r="I187" s="972"/>
      <c r="J187" s="972"/>
      <c r="K187" s="972">
        <f>K179-K178</f>
        <v>15777.555</v>
      </c>
      <c r="L187" s="972"/>
      <c r="M187" s="972"/>
    </row>
    <row r="188" spans="5:13">
      <c r="E188" s="972"/>
      <c r="F188" s="972"/>
      <c r="G188" s="972"/>
      <c r="H188" s="972" t="s">
        <v>4672</v>
      </c>
      <c r="I188" s="972"/>
      <c r="J188" s="972"/>
      <c r="K188" s="972">
        <f>K171</f>
        <v>82.800000000000011</v>
      </c>
      <c r="L188" s="972"/>
      <c r="M188" s="972"/>
    </row>
    <row r="189" spans="5:13" ht="31.5">
      <c r="E189" s="972"/>
      <c r="F189" s="972"/>
      <c r="G189" s="972"/>
      <c r="H189" s="971" t="s">
        <v>5764</v>
      </c>
      <c r="I189" s="972"/>
      <c r="J189" s="972"/>
      <c r="K189" s="975">
        <f>16.65*6</f>
        <v>99.899999999999991</v>
      </c>
      <c r="L189" s="972"/>
      <c r="M189" s="972"/>
    </row>
    <row r="190" spans="5:13">
      <c r="E190" s="972"/>
      <c r="F190" s="972"/>
      <c r="G190" s="972"/>
      <c r="H190" s="972" t="s">
        <v>337</v>
      </c>
      <c r="I190" s="972"/>
      <c r="J190" s="972"/>
      <c r="K190" s="972">
        <v>45.34</v>
      </c>
      <c r="L190" s="972"/>
      <c r="M190" s="972"/>
    </row>
    <row r="191" spans="5:13">
      <c r="E191" s="972"/>
      <c r="F191" s="972"/>
      <c r="G191" s="972"/>
      <c r="H191" s="979" t="s">
        <v>4673</v>
      </c>
      <c r="I191" s="972"/>
      <c r="J191" s="972"/>
      <c r="K191" s="980">
        <f>(K187-K188)+K189+K190</f>
        <v>15839.995000000001</v>
      </c>
      <c r="L191" s="972">
        <f>2640*6</f>
        <v>15840</v>
      </c>
      <c r="M191" s="972"/>
    </row>
    <row r="192" spans="5:13">
      <c r="E192" s="972"/>
      <c r="F192" s="972"/>
      <c r="G192" s="972"/>
      <c r="H192" s="981" t="s">
        <v>4674</v>
      </c>
      <c r="I192" s="972"/>
      <c r="J192" s="972"/>
      <c r="K192" s="982">
        <f>K191/6</f>
        <v>2639.999166666667</v>
      </c>
      <c r="L192" s="972">
        <f>L191-K191</f>
        <v>4.9999999991996447E-3</v>
      </c>
      <c r="M192" s="972"/>
    </row>
    <row r="193" spans="5:13">
      <c r="E193" s="972"/>
      <c r="F193" s="972"/>
      <c r="G193" s="972"/>
      <c r="H193" s="972"/>
      <c r="I193" s="972"/>
      <c r="J193" s="972"/>
      <c r="K193" s="972"/>
      <c r="L193" s="972"/>
      <c r="M193" s="972"/>
    </row>
    <row r="194" spans="5:13">
      <c r="E194" s="972"/>
      <c r="F194" s="972"/>
      <c r="G194" s="972"/>
      <c r="H194" s="982" t="s">
        <v>4675</v>
      </c>
      <c r="I194" s="972"/>
      <c r="J194" s="972"/>
      <c r="K194" s="972"/>
      <c r="L194" s="972"/>
      <c r="M194" s="972"/>
    </row>
    <row r="195" spans="5:13" ht="31.5">
      <c r="E195" s="972"/>
      <c r="F195" s="972"/>
      <c r="G195" s="972"/>
      <c r="H195" s="969" t="s">
        <v>4606</v>
      </c>
      <c r="I195" s="972"/>
      <c r="J195" s="972"/>
      <c r="K195" s="972"/>
      <c r="L195" s="972"/>
      <c r="M195" s="972"/>
    </row>
    <row r="196" spans="5:13" ht="189">
      <c r="E196" s="972"/>
      <c r="F196" s="972"/>
      <c r="G196" s="972"/>
      <c r="H196" s="971" t="s">
        <v>4676</v>
      </c>
      <c r="I196" s="972"/>
      <c r="J196" s="972"/>
      <c r="K196" s="972"/>
      <c r="L196" s="972"/>
      <c r="M196" s="972"/>
    </row>
    <row r="197" spans="5:13" ht="31.5">
      <c r="E197" s="972"/>
      <c r="F197" s="972">
        <v>90</v>
      </c>
      <c r="G197" s="972" t="s">
        <v>303</v>
      </c>
      <c r="H197" s="964" t="s">
        <v>3321</v>
      </c>
      <c r="I197" s="972">
        <f t="shared" ref="I197:I209" si="10">I74</f>
        <v>16.55</v>
      </c>
      <c r="J197" s="972" t="s">
        <v>3322</v>
      </c>
      <c r="K197" s="972">
        <f>F197*I197</f>
        <v>1489.5</v>
      </c>
      <c r="L197" s="972"/>
      <c r="M197" s="972"/>
    </row>
    <row r="198" spans="5:13" ht="31.5">
      <c r="E198" s="972"/>
      <c r="F198" s="972">
        <v>45</v>
      </c>
      <c r="G198" s="972" t="s">
        <v>303</v>
      </c>
      <c r="H198" s="971" t="s">
        <v>3323</v>
      </c>
      <c r="I198" s="972">
        <f t="shared" si="10"/>
        <v>20</v>
      </c>
      <c r="J198" s="972" t="s">
        <v>303</v>
      </c>
      <c r="K198" s="972">
        <f t="shared" ref="K198:K209" si="11">F198*I198</f>
        <v>900</v>
      </c>
      <c r="L198" s="972"/>
      <c r="M198" s="972"/>
    </row>
    <row r="199" spans="5:13">
      <c r="E199" s="972"/>
      <c r="F199" s="972">
        <v>12</v>
      </c>
      <c r="G199" s="972" t="s">
        <v>68</v>
      </c>
      <c r="H199" s="972" t="s">
        <v>3324</v>
      </c>
      <c r="I199" s="972">
        <f t="shared" si="10"/>
        <v>3.15</v>
      </c>
      <c r="J199" s="972" t="s">
        <v>68</v>
      </c>
      <c r="K199" s="972">
        <f t="shared" si="11"/>
        <v>37.799999999999997</v>
      </c>
      <c r="L199" s="972"/>
      <c r="M199" s="972"/>
    </row>
    <row r="200" spans="5:13">
      <c r="E200" s="972"/>
      <c r="F200" s="972">
        <v>6</v>
      </c>
      <c r="G200" s="972" t="s">
        <v>68</v>
      </c>
      <c r="H200" s="972" t="s">
        <v>3327</v>
      </c>
      <c r="I200" s="972">
        <f t="shared" si="10"/>
        <v>1.3375000000000001</v>
      </c>
      <c r="J200" s="972" t="s">
        <v>68</v>
      </c>
      <c r="K200" s="972">
        <f t="shared" si="11"/>
        <v>8.0250000000000004</v>
      </c>
      <c r="L200" s="972"/>
      <c r="M200" s="972"/>
    </row>
    <row r="201" spans="5:13">
      <c r="E201" s="972"/>
      <c r="F201" s="972">
        <v>6</v>
      </c>
      <c r="G201" s="972" t="s">
        <v>68</v>
      </c>
      <c r="H201" s="972" t="s">
        <v>4677</v>
      </c>
      <c r="I201" s="972">
        <f t="shared" si="10"/>
        <v>3.6041666666666665</v>
      </c>
      <c r="J201" s="972" t="s">
        <v>68</v>
      </c>
      <c r="K201" s="972">
        <f t="shared" si="11"/>
        <v>21.625</v>
      </c>
      <c r="L201" s="972"/>
      <c r="M201" s="972"/>
    </row>
    <row r="202" spans="5:13">
      <c r="E202" s="972"/>
      <c r="F202" s="972">
        <v>6</v>
      </c>
      <c r="G202" s="972" t="s">
        <v>68</v>
      </c>
      <c r="H202" s="972" t="s">
        <v>3332</v>
      </c>
      <c r="I202" s="972">
        <f t="shared" si="10"/>
        <v>13.8</v>
      </c>
      <c r="J202" s="972" t="s">
        <v>68</v>
      </c>
      <c r="K202" s="972">
        <f t="shared" si="11"/>
        <v>82.800000000000011</v>
      </c>
      <c r="L202" s="972"/>
      <c r="M202" s="972"/>
    </row>
    <row r="203" spans="5:13">
      <c r="E203" s="972"/>
      <c r="F203" s="972">
        <v>6</v>
      </c>
      <c r="G203" s="972" t="s">
        <v>68</v>
      </c>
      <c r="H203" s="972" t="s">
        <v>3331</v>
      </c>
      <c r="I203" s="972">
        <f t="shared" si="10"/>
        <v>16.208333333333332</v>
      </c>
      <c r="J203" s="972" t="s">
        <v>3329</v>
      </c>
      <c r="K203" s="972">
        <f t="shared" si="11"/>
        <v>97.25</v>
      </c>
      <c r="L203" s="972"/>
      <c r="M203" s="972"/>
    </row>
    <row r="204" spans="5:13">
      <c r="E204" s="972"/>
      <c r="F204" s="972">
        <v>6</v>
      </c>
      <c r="G204" s="972" t="s">
        <v>68</v>
      </c>
      <c r="H204" s="972" t="s">
        <v>4678</v>
      </c>
      <c r="I204" s="972">
        <f t="shared" si="10"/>
        <v>115.1</v>
      </c>
      <c r="J204" s="972" t="s">
        <v>68</v>
      </c>
      <c r="K204" s="972">
        <f t="shared" si="11"/>
        <v>690.59999999999991</v>
      </c>
      <c r="L204" s="972"/>
      <c r="M204" s="972"/>
    </row>
    <row r="205" spans="5:13">
      <c r="E205" s="972"/>
      <c r="F205" s="972">
        <v>0.36</v>
      </c>
      <c r="G205" s="972" t="s">
        <v>306</v>
      </c>
      <c r="H205" s="972" t="s">
        <v>4667</v>
      </c>
      <c r="I205" s="972">
        <f t="shared" si="10"/>
        <v>661</v>
      </c>
      <c r="J205" s="972" t="s">
        <v>306</v>
      </c>
      <c r="K205" s="972">
        <f t="shared" si="11"/>
        <v>237.95999999999998</v>
      </c>
      <c r="L205" s="972"/>
      <c r="M205" s="972"/>
    </row>
    <row r="206" spans="5:13">
      <c r="E206" s="972"/>
      <c r="F206" s="972">
        <v>1</v>
      </c>
      <c r="G206" s="972" t="s">
        <v>68</v>
      </c>
      <c r="H206" s="972" t="s">
        <v>4649</v>
      </c>
      <c r="I206" s="972">
        <f t="shared" si="10"/>
        <v>70.7</v>
      </c>
      <c r="J206" s="972" t="s">
        <v>68</v>
      </c>
      <c r="K206" s="972">
        <f t="shared" si="11"/>
        <v>70.7</v>
      </c>
      <c r="L206" s="972"/>
      <c r="M206" s="972"/>
    </row>
    <row r="207" spans="5:13">
      <c r="E207" s="972"/>
      <c r="F207" s="976">
        <v>1.4999999999999999E-2</v>
      </c>
      <c r="G207" s="972" t="s">
        <v>306</v>
      </c>
      <c r="H207" s="972" t="s">
        <v>4667</v>
      </c>
      <c r="I207" s="972">
        <f t="shared" si="10"/>
        <v>661</v>
      </c>
      <c r="J207" s="972" t="s">
        <v>306</v>
      </c>
      <c r="K207" s="972">
        <f t="shared" si="11"/>
        <v>9.9149999999999991</v>
      </c>
      <c r="L207" s="972"/>
      <c r="M207" s="972"/>
    </row>
    <row r="208" spans="5:13">
      <c r="E208" s="972"/>
      <c r="F208" s="972">
        <v>1.25</v>
      </c>
      <c r="G208" s="972" t="s">
        <v>3336</v>
      </c>
      <c r="H208" s="972" t="s">
        <v>278</v>
      </c>
      <c r="I208" s="972">
        <f t="shared" si="10"/>
        <v>302</v>
      </c>
      <c r="J208" s="972" t="s">
        <v>3336</v>
      </c>
      <c r="K208" s="972">
        <f t="shared" si="11"/>
        <v>377.5</v>
      </c>
      <c r="L208" s="972"/>
      <c r="M208" s="972"/>
    </row>
    <row r="209" spans="5:13" ht="31.5">
      <c r="E209" s="972"/>
      <c r="F209" s="972">
        <v>45</v>
      </c>
      <c r="G209" s="972" t="s">
        <v>303</v>
      </c>
      <c r="H209" s="964" t="s">
        <v>3340</v>
      </c>
      <c r="I209" s="972">
        <f t="shared" si="10"/>
        <v>16.55</v>
      </c>
      <c r="J209" s="972" t="s">
        <v>3322</v>
      </c>
      <c r="K209" s="972">
        <f t="shared" si="11"/>
        <v>744.75</v>
      </c>
      <c r="L209" s="972"/>
      <c r="M209" s="972"/>
    </row>
    <row r="210" spans="5:13">
      <c r="E210" s="972"/>
      <c r="F210" s="972"/>
      <c r="G210" s="972"/>
      <c r="H210" s="972" t="s">
        <v>910</v>
      </c>
      <c r="I210" s="972"/>
      <c r="J210" s="972"/>
      <c r="K210" s="972">
        <f>K87</f>
        <v>11454</v>
      </c>
      <c r="L210" s="972"/>
      <c r="M210" s="972"/>
    </row>
    <row r="211" spans="5:13">
      <c r="E211" s="972"/>
      <c r="F211" s="972"/>
      <c r="G211" s="972"/>
      <c r="H211" s="972" t="s">
        <v>337</v>
      </c>
      <c r="I211" s="972"/>
      <c r="J211" s="972"/>
      <c r="K211" s="972">
        <v>49.57</v>
      </c>
      <c r="L211" s="972">
        <f>43.19-K211</f>
        <v>-6.3800000000000026</v>
      </c>
      <c r="M211" s="972"/>
    </row>
    <row r="212" spans="5:13">
      <c r="E212" s="972"/>
      <c r="F212" s="972"/>
      <c r="G212" s="972"/>
      <c r="H212" s="979" t="s">
        <v>4673</v>
      </c>
      <c r="I212" s="972"/>
      <c r="J212" s="972"/>
      <c r="K212" s="980">
        <f>SUM(K197:K211)</f>
        <v>16271.994999999999</v>
      </c>
      <c r="L212" s="972">
        <f>2712*6</f>
        <v>16272</v>
      </c>
      <c r="M212" s="972"/>
    </row>
    <row r="213" spans="5:13">
      <c r="E213" s="972"/>
      <c r="F213" s="972"/>
      <c r="G213" s="972"/>
      <c r="H213" s="981" t="s">
        <v>3357</v>
      </c>
      <c r="I213" s="972"/>
      <c r="J213" s="972"/>
      <c r="K213" s="982">
        <f>K212/6</f>
        <v>2711.9991666666665</v>
      </c>
      <c r="L213" s="972">
        <f>L212-K212</f>
        <v>5.0000000010186341E-3</v>
      </c>
      <c r="M213" s="972"/>
    </row>
    <row r="214" spans="5:13">
      <c r="E214" s="972"/>
      <c r="F214" s="972"/>
      <c r="G214" s="972"/>
      <c r="H214" s="972"/>
      <c r="I214" s="972"/>
      <c r="J214" s="972"/>
      <c r="K214" s="972"/>
      <c r="L214" s="972"/>
      <c r="M214" s="972"/>
    </row>
    <row r="215" spans="5:13">
      <c r="E215" s="972"/>
      <c r="F215" s="972"/>
      <c r="G215" s="972"/>
      <c r="H215" s="982" t="s">
        <v>4679</v>
      </c>
      <c r="I215" s="972"/>
      <c r="J215" s="972"/>
      <c r="K215" s="972">
        <f>0.13*6</f>
        <v>0.78</v>
      </c>
      <c r="L215" s="972"/>
      <c r="M215" s="972"/>
    </row>
    <row r="216" spans="5:13" ht="47.25">
      <c r="E216" s="972"/>
      <c r="F216" s="972"/>
      <c r="G216" s="972"/>
      <c r="H216" s="969" t="s">
        <v>4680</v>
      </c>
      <c r="I216" s="972"/>
      <c r="J216" s="972"/>
      <c r="K216" s="972"/>
      <c r="L216" s="972"/>
      <c r="M216" s="972"/>
    </row>
    <row r="217" spans="5:13" ht="189">
      <c r="E217" s="972"/>
      <c r="F217" s="972"/>
      <c r="G217" s="972"/>
      <c r="H217" s="971" t="s">
        <v>4681</v>
      </c>
      <c r="I217" s="972"/>
      <c r="J217" s="972"/>
      <c r="K217" s="972"/>
      <c r="L217" s="972"/>
      <c r="M217" s="972"/>
    </row>
    <row r="218" spans="5:13" ht="31.5">
      <c r="E218" s="972"/>
      <c r="F218" s="972">
        <v>90</v>
      </c>
      <c r="G218" s="972" t="s">
        <v>303</v>
      </c>
      <c r="H218" s="973" t="s">
        <v>3321</v>
      </c>
      <c r="I218" s="972">
        <f t="shared" ref="I218:I228" si="12">I100</f>
        <v>16.55</v>
      </c>
      <c r="J218" s="972" t="s">
        <v>3322</v>
      </c>
      <c r="K218" s="972">
        <f>F218*I218</f>
        <v>1489.5</v>
      </c>
      <c r="L218" s="972"/>
      <c r="M218" s="972"/>
    </row>
    <row r="219" spans="5:13" ht="31.5">
      <c r="E219" s="972"/>
      <c r="F219" s="972">
        <v>30</v>
      </c>
      <c r="G219" s="972" t="s">
        <v>303</v>
      </c>
      <c r="H219" s="971" t="s">
        <v>3323</v>
      </c>
      <c r="I219" s="972">
        <f t="shared" si="12"/>
        <v>20</v>
      </c>
      <c r="J219" s="972" t="s">
        <v>303</v>
      </c>
      <c r="K219" s="972">
        <f t="shared" ref="K219:K228" si="13">F219*I219</f>
        <v>600</v>
      </c>
      <c r="L219" s="972"/>
      <c r="M219" s="972"/>
    </row>
    <row r="220" spans="5:13">
      <c r="E220" s="972"/>
      <c r="F220" s="972">
        <v>6</v>
      </c>
      <c r="G220" s="972" t="s">
        <v>68</v>
      </c>
      <c r="H220" s="972" t="s">
        <v>3324</v>
      </c>
      <c r="I220" s="972">
        <f t="shared" si="12"/>
        <v>3.15</v>
      </c>
      <c r="J220" s="972" t="s">
        <v>68</v>
      </c>
      <c r="K220" s="972">
        <f t="shared" si="13"/>
        <v>18.899999999999999</v>
      </c>
      <c r="L220" s="972"/>
      <c r="M220" s="972"/>
    </row>
    <row r="221" spans="5:13">
      <c r="E221" s="972"/>
      <c r="F221" s="972">
        <v>3</v>
      </c>
      <c r="G221" s="972" t="s">
        <v>68</v>
      </c>
      <c r="H221" s="972" t="s">
        <v>3327</v>
      </c>
      <c r="I221" s="972">
        <f t="shared" si="12"/>
        <v>1.3375000000000001</v>
      </c>
      <c r="J221" s="972" t="s">
        <v>68</v>
      </c>
      <c r="K221" s="972">
        <f t="shared" si="13"/>
        <v>4.0125000000000002</v>
      </c>
      <c r="L221" s="972"/>
      <c r="M221" s="972"/>
    </row>
    <row r="222" spans="5:13">
      <c r="E222" s="972"/>
      <c r="F222" s="972">
        <v>6</v>
      </c>
      <c r="G222" s="972" t="s">
        <v>68</v>
      </c>
      <c r="H222" s="972" t="s">
        <v>3489</v>
      </c>
      <c r="I222" s="972">
        <f t="shared" si="12"/>
        <v>20.108333333333334</v>
      </c>
      <c r="J222" s="972" t="s">
        <v>68</v>
      </c>
      <c r="K222" s="972">
        <f t="shared" si="13"/>
        <v>120.65</v>
      </c>
      <c r="L222" s="972"/>
      <c r="M222" s="972"/>
    </row>
    <row r="223" spans="5:13">
      <c r="E223" s="972"/>
      <c r="F223" s="972">
        <v>3</v>
      </c>
      <c r="G223" s="972" t="s">
        <v>68</v>
      </c>
      <c r="H223" s="972" t="s">
        <v>3332</v>
      </c>
      <c r="I223" s="972">
        <f t="shared" si="12"/>
        <v>13.8</v>
      </c>
      <c r="J223" s="972" t="s">
        <v>68</v>
      </c>
      <c r="K223" s="972">
        <f t="shared" si="13"/>
        <v>41.400000000000006</v>
      </c>
      <c r="L223" s="972"/>
      <c r="M223" s="972"/>
    </row>
    <row r="224" spans="5:13">
      <c r="E224" s="972"/>
      <c r="F224" s="972">
        <v>3</v>
      </c>
      <c r="G224" s="972" t="s">
        <v>68</v>
      </c>
      <c r="H224" s="972" t="s">
        <v>4658</v>
      </c>
      <c r="I224" s="972">
        <f t="shared" si="12"/>
        <v>3.6041666666666665</v>
      </c>
      <c r="J224" s="972" t="s">
        <v>68</v>
      </c>
      <c r="K224" s="972">
        <f t="shared" si="13"/>
        <v>10.8125</v>
      </c>
      <c r="L224" s="972"/>
      <c r="M224" s="972"/>
    </row>
    <row r="225" spans="5:33">
      <c r="E225" s="972"/>
      <c r="F225" s="972">
        <v>3</v>
      </c>
      <c r="G225" s="972" t="s">
        <v>68</v>
      </c>
      <c r="H225" s="972" t="s">
        <v>3374</v>
      </c>
      <c r="I225" s="972">
        <f t="shared" si="12"/>
        <v>70.7</v>
      </c>
      <c r="J225" s="972" t="s">
        <v>68</v>
      </c>
      <c r="K225" s="972">
        <f t="shared" si="13"/>
        <v>212.10000000000002</v>
      </c>
      <c r="L225" s="972"/>
      <c r="M225" s="972"/>
    </row>
    <row r="226" spans="5:33">
      <c r="E226" s="972"/>
      <c r="F226" s="976">
        <v>5.3999999999999999E-2</v>
      </c>
      <c r="G226" s="972" t="s">
        <v>306</v>
      </c>
      <c r="H226" s="972" t="s">
        <v>3375</v>
      </c>
      <c r="I226" s="972">
        <f t="shared" si="12"/>
        <v>661</v>
      </c>
      <c r="J226" s="972" t="s">
        <v>306</v>
      </c>
      <c r="K226" s="972">
        <f t="shared" si="13"/>
        <v>35.694000000000003</v>
      </c>
      <c r="L226" s="972"/>
      <c r="M226" s="972"/>
    </row>
    <row r="227" spans="5:33">
      <c r="E227" s="972"/>
      <c r="F227" s="972">
        <v>1.25</v>
      </c>
      <c r="G227" s="972" t="s">
        <v>3336</v>
      </c>
      <c r="H227" s="972" t="s">
        <v>278</v>
      </c>
      <c r="I227" s="972">
        <f t="shared" si="12"/>
        <v>302</v>
      </c>
      <c r="J227" s="972" t="s">
        <v>3336</v>
      </c>
      <c r="K227" s="972">
        <f t="shared" si="13"/>
        <v>377.5</v>
      </c>
      <c r="L227" s="972"/>
      <c r="M227" s="972"/>
    </row>
    <row r="228" spans="5:33" ht="31.5">
      <c r="E228" s="972"/>
      <c r="F228" s="972">
        <v>30</v>
      </c>
      <c r="G228" s="972" t="s">
        <v>303</v>
      </c>
      <c r="H228" s="964" t="s">
        <v>3340</v>
      </c>
      <c r="I228" s="972">
        <f t="shared" si="12"/>
        <v>16.55</v>
      </c>
      <c r="J228" s="972" t="s">
        <v>3322</v>
      </c>
      <c r="K228" s="972">
        <f t="shared" si="13"/>
        <v>496.5</v>
      </c>
      <c r="L228" s="972"/>
      <c r="M228" s="972"/>
    </row>
    <row r="229" spans="5:33">
      <c r="E229" s="972"/>
      <c r="F229" s="972"/>
      <c r="G229" s="972"/>
      <c r="H229" s="972" t="s">
        <v>910</v>
      </c>
      <c r="I229" s="972"/>
      <c r="J229" s="972"/>
      <c r="K229" s="972">
        <f>K111</f>
        <v>11454</v>
      </c>
      <c r="L229" s="972"/>
      <c r="M229" s="972"/>
    </row>
    <row r="230" spans="5:33">
      <c r="E230" s="972"/>
      <c r="F230" s="972"/>
      <c r="G230" s="972"/>
      <c r="H230" s="972" t="s">
        <v>337</v>
      </c>
      <c r="I230" s="972"/>
      <c r="J230" s="972"/>
      <c r="K230" s="972">
        <v>18.93</v>
      </c>
      <c r="L230" s="972"/>
      <c r="M230" s="972"/>
    </row>
    <row r="231" spans="5:33">
      <c r="E231" s="972"/>
      <c r="F231" s="972"/>
      <c r="G231" s="972"/>
      <c r="H231" s="979" t="s">
        <v>4682</v>
      </c>
      <c r="I231" s="972"/>
      <c r="J231" s="972"/>
      <c r="K231" s="980">
        <f>SUM(K218:K230)</f>
        <v>14879.999</v>
      </c>
      <c r="L231" s="972">
        <f>4960*3</f>
        <v>14880</v>
      </c>
      <c r="M231" s="972"/>
    </row>
    <row r="232" spans="5:33">
      <c r="E232" s="972"/>
      <c r="F232" s="972"/>
      <c r="G232" s="972"/>
      <c r="H232" s="981" t="s">
        <v>3357</v>
      </c>
      <c r="I232" s="972"/>
      <c r="J232" s="972"/>
      <c r="K232" s="982">
        <f>K231/3</f>
        <v>4959.9996666666666</v>
      </c>
      <c r="L232" s="972">
        <f>L231-K231</f>
        <v>1.0000000002037268E-3</v>
      </c>
      <c r="M232" s="972"/>
    </row>
    <row r="233" spans="5:33">
      <c r="E233" s="972"/>
      <c r="F233" s="972"/>
      <c r="G233" s="972"/>
      <c r="H233" s="972"/>
      <c r="I233" s="972"/>
      <c r="J233" s="972"/>
      <c r="K233" s="972"/>
      <c r="L233" s="972"/>
      <c r="M233" s="972"/>
    </row>
    <row r="234" spans="5:33">
      <c r="E234" s="972"/>
      <c r="F234" s="972"/>
      <c r="G234" s="972"/>
      <c r="H234" s="992" t="s">
        <v>4683</v>
      </c>
      <c r="I234" s="972"/>
      <c r="J234" s="972"/>
      <c r="K234" s="972"/>
      <c r="L234" s="972"/>
      <c r="M234" s="972"/>
    </row>
    <row r="235" spans="5:33">
      <c r="E235" s="972"/>
      <c r="F235" s="972"/>
      <c r="G235" s="972"/>
      <c r="H235" s="972"/>
      <c r="I235" s="972"/>
      <c r="J235" s="972"/>
      <c r="K235" s="972"/>
      <c r="L235" s="972"/>
      <c r="M235" s="972"/>
    </row>
    <row r="236" spans="5:33">
      <c r="E236" s="972"/>
      <c r="F236" s="972"/>
      <c r="G236" s="972"/>
      <c r="H236" s="982" t="s">
        <v>4684</v>
      </c>
      <c r="I236" s="972"/>
      <c r="J236" s="972"/>
      <c r="K236" s="972"/>
      <c r="L236" s="972"/>
      <c r="M236" s="972"/>
      <c r="N236" s="972"/>
      <c r="O236" s="982" t="s">
        <v>4685</v>
      </c>
      <c r="P236" s="972"/>
      <c r="Q236" s="972"/>
      <c r="R236" s="972"/>
    </row>
    <row r="237" spans="5:33">
      <c r="E237" s="972"/>
      <c r="F237" s="972"/>
      <c r="G237" s="972"/>
      <c r="H237" s="982" t="s">
        <v>4686</v>
      </c>
      <c r="I237" s="972"/>
      <c r="J237" s="972"/>
      <c r="K237" s="972"/>
      <c r="L237" s="972"/>
      <c r="M237" s="972"/>
      <c r="N237" s="972"/>
      <c r="O237" s="982" t="s">
        <v>4687</v>
      </c>
      <c r="P237" s="972"/>
      <c r="Q237" s="972"/>
      <c r="R237" s="972"/>
      <c r="AA237" s="972"/>
      <c r="AB237" s="972"/>
      <c r="AC237" s="972"/>
      <c r="AD237" s="982" t="s">
        <v>5765</v>
      </c>
      <c r="AE237" s="972"/>
      <c r="AF237" s="972"/>
      <c r="AG237" s="972"/>
    </row>
    <row r="238" spans="5:33">
      <c r="E238" s="972"/>
      <c r="F238" s="972"/>
      <c r="G238" s="972"/>
      <c r="H238" s="972"/>
      <c r="I238" s="972"/>
      <c r="J238" s="972"/>
      <c r="K238" s="972"/>
      <c r="L238" s="972"/>
      <c r="M238" s="972"/>
      <c r="N238" s="972"/>
      <c r="O238" s="972"/>
      <c r="P238" s="972"/>
      <c r="Q238" s="972"/>
      <c r="R238" s="972"/>
      <c r="AA238" s="972"/>
      <c r="AB238" s="972"/>
      <c r="AC238" s="972"/>
      <c r="AD238" s="972"/>
      <c r="AE238" s="972"/>
      <c r="AF238" s="972"/>
      <c r="AG238" s="972"/>
    </row>
    <row r="239" spans="5:33" ht="123.75" customHeight="1">
      <c r="E239" s="972"/>
      <c r="F239" s="972"/>
      <c r="G239" s="972"/>
      <c r="H239" s="971" t="s">
        <v>4688</v>
      </c>
      <c r="I239" s="972"/>
      <c r="J239" s="972"/>
      <c r="K239" s="972"/>
      <c r="L239" s="972"/>
      <c r="M239" s="972"/>
      <c r="N239" s="972"/>
      <c r="O239" s="971" t="s">
        <v>4689</v>
      </c>
      <c r="P239" s="972"/>
      <c r="Q239" s="972"/>
      <c r="R239" s="972"/>
      <c r="AA239" s="972"/>
      <c r="AB239" s="972"/>
      <c r="AC239" s="972"/>
      <c r="AD239" s="971" t="s">
        <v>5766</v>
      </c>
      <c r="AE239" s="972"/>
      <c r="AF239" s="972"/>
      <c r="AG239" s="972"/>
    </row>
    <row r="240" spans="5:33" ht="16.5" customHeight="1">
      <c r="E240" s="972"/>
      <c r="F240" s="972"/>
      <c r="G240" s="972"/>
      <c r="H240" s="972"/>
      <c r="I240" s="972"/>
      <c r="J240" s="972"/>
      <c r="K240" s="972"/>
      <c r="L240" s="972"/>
      <c r="M240" s="972">
        <v>180</v>
      </c>
      <c r="N240" s="972" t="s">
        <v>303</v>
      </c>
      <c r="O240" s="964" t="s">
        <v>4690</v>
      </c>
      <c r="P240" s="975">
        <v>56.7</v>
      </c>
      <c r="Q240" s="972" t="s">
        <v>3322</v>
      </c>
      <c r="R240" s="972">
        <f>M240*P240</f>
        <v>10206</v>
      </c>
      <c r="AA240" s="972"/>
      <c r="AB240" s="972">
        <v>180</v>
      </c>
      <c r="AC240" s="972" t="s">
        <v>303</v>
      </c>
      <c r="AD240" s="964" t="s">
        <v>5767</v>
      </c>
      <c r="AE240" s="975">
        <v>85.3</v>
      </c>
      <c r="AF240" s="972" t="s">
        <v>3322</v>
      </c>
      <c r="AG240" s="972">
        <f>AB240*AE240</f>
        <v>15354</v>
      </c>
    </row>
    <row r="241" spans="5:35" ht="27" customHeight="1">
      <c r="E241" s="972"/>
      <c r="F241" s="972">
        <v>180</v>
      </c>
      <c r="G241" s="972" t="s">
        <v>303</v>
      </c>
      <c r="H241" s="973" t="s">
        <v>3321</v>
      </c>
      <c r="I241" s="972">
        <f>I218</f>
        <v>16.55</v>
      </c>
      <c r="J241" s="972" t="s">
        <v>303</v>
      </c>
      <c r="K241" s="972">
        <f>F241*I241</f>
        <v>2979</v>
      </c>
      <c r="L241" s="972"/>
      <c r="M241" s="972">
        <v>90</v>
      </c>
      <c r="N241" s="972" t="s">
        <v>303</v>
      </c>
      <c r="O241" s="971" t="s">
        <v>3323</v>
      </c>
      <c r="P241" s="990">
        <f>I268</f>
        <v>20</v>
      </c>
      <c r="Q241" s="972" t="s">
        <v>303</v>
      </c>
      <c r="R241" s="972">
        <f>M241*P241</f>
        <v>1800</v>
      </c>
      <c r="AA241" s="972"/>
      <c r="AB241" s="972">
        <v>90</v>
      </c>
      <c r="AC241" s="972" t="s">
        <v>303</v>
      </c>
      <c r="AD241" s="971" t="s">
        <v>3323</v>
      </c>
      <c r="AE241" s="990">
        <v>19.100000000000001</v>
      </c>
      <c r="AF241" s="972" t="s">
        <v>303</v>
      </c>
      <c r="AG241" s="972">
        <f>AB241*AE241</f>
        <v>1719.0000000000002</v>
      </c>
    </row>
    <row r="242" spans="5:35" ht="31.5">
      <c r="E242" s="972"/>
      <c r="F242" s="972">
        <v>90</v>
      </c>
      <c r="G242" s="972" t="s">
        <v>303</v>
      </c>
      <c r="H242" s="971" t="s">
        <v>3323</v>
      </c>
      <c r="I242" s="972">
        <f>I219</f>
        <v>20</v>
      </c>
      <c r="J242" s="972" t="s">
        <v>303</v>
      </c>
      <c r="K242" s="972">
        <f>F242*I242</f>
        <v>1800</v>
      </c>
      <c r="L242" s="972"/>
      <c r="M242" s="972">
        <v>3</v>
      </c>
      <c r="N242" s="972" t="s">
        <v>3336</v>
      </c>
      <c r="O242" s="972" t="s">
        <v>278</v>
      </c>
      <c r="P242" s="990">
        <f>I269</f>
        <v>302</v>
      </c>
      <c r="Q242" s="972" t="s">
        <v>3336</v>
      </c>
      <c r="R242" s="972">
        <f>M242*P242</f>
        <v>906</v>
      </c>
      <c r="AA242" s="972"/>
      <c r="AB242" s="972">
        <v>3</v>
      </c>
      <c r="AC242" s="972" t="s">
        <v>3336</v>
      </c>
      <c r="AD242" s="972" t="s">
        <v>278</v>
      </c>
      <c r="AE242" s="990">
        <f>P242</f>
        <v>302</v>
      </c>
      <c r="AF242" s="972" t="s">
        <v>3336</v>
      </c>
      <c r="AG242" s="972">
        <f>AB242*AE242</f>
        <v>906</v>
      </c>
    </row>
    <row r="243" spans="5:35" ht="25.5" customHeight="1">
      <c r="E243" s="972"/>
      <c r="F243" s="972">
        <v>3</v>
      </c>
      <c r="G243" s="972" t="s">
        <v>3336</v>
      </c>
      <c r="H243" s="972" t="s">
        <v>278</v>
      </c>
      <c r="I243" s="972">
        <f>I227</f>
        <v>302</v>
      </c>
      <c r="J243" s="972" t="s">
        <v>3336</v>
      </c>
      <c r="K243" s="972">
        <f>F243*I243</f>
        <v>906</v>
      </c>
      <c r="L243" s="972"/>
      <c r="M243" s="972">
        <v>90</v>
      </c>
      <c r="N243" s="972" t="s">
        <v>303</v>
      </c>
      <c r="O243" s="964" t="s">
        <v>4691</v>
      </c>
      <c r="P243" s="990">
        <v>40.950000000000003</v>
      </c>
      <c r="Q243" s="972" t="s">
        <v>3322</v>
      </c>
      <c r="R243" s="972">
        <f>M243*P243</f>
        <v>3685.5000000000005</v>
      </c>
      <c r="AA243" s="972"/>
      <c r="AB243" s="972">
        <v>90</v>
      </c>
      <c r="AC243" s="972" t="s">
        <v>303</v>
      </c>
      <c r="AD243" s="964" t="s">
        <v>5768</v>
      </c>
      <c r="AE243" s="990">
        <v>56.7</v>
      </c>
      <c r="AF243" s="972" t="s">
        <v>3322</v>
      </c>
      <c r="AG243" s="972">
        <f>AB243*AE243</f>
        <v>5103</v>
      </c>
    </row>
    <row r="244" spans="5:35" ht="31.5">
      <c r="E244" s="972"/>
      <c r="F244" s="972">
        <v>90</v>
      </c>
      <c r="G244" s="972" t="s">
        <v>303</v>
      </c>
      <c r="H244" s="973" t="s">
        <v>3340</v>
      </c>
      <c r="I244" s="972">
        <f>I241</f>
        <v>16.55</v>
      </c>
      <c r="J244" s="972" t="s">
        <v>3322</v>
      </c>
      <c r="K244" s="972">
        <f>F244*I244</f>
        <v>1489.5</v>
      </c>
      <c r="L244" s="972"/>
      <c r="M244" s="972"/>
      <c r="N244" s="972"/>
      <c r="O244" s="972" t="s">
        <v>910</v>
      </c>
      <c r="P244" s="972"/>
      <c r="Q244" s="972"/>
      <c r="R244" s="972">
        <f>K271</f>
        <v>11454</v>
      </c>
      <c r="AA244" s="972"/>
      <c r="AB244" s="972"/>
      <c r="AC244" s="972"/>
      <c r="AD244" s="972" t="s">
        <v>910</v>
      </c>
      <c r="AE244" s="990"/>
      <c r="AF244" s="972"/>
      <c r="AG244" s="972">
        <f>R244</f>
        <v>11454</v>
      </c>
    </row>
    <row r="245" spans="5:35">
      <c r="E245" s="972"/>
      <c r="F245" s="972"/>
      <c r="G245" s="972"/>
      <c r="H245" s="972" t="s">
        <v>910</v>
      </c>
      <c r="I245" s="972"/>
      <c r="J245" s="972"/>
      <c r="K245" s="972">
        <f>K229</f>
        <v>11454</v>
      </c>
      <c r="L245" s="972"/>
      <c r="M245" s="972"/>
      <c r="N245" s="972"/>
      <c r="O245" s="972" t="s">
        <v>337</v>
      </c>
      <c r="P245" s="972"/>
      <c r="Q245" s="972"/>
      <c r="R245" s="972">
        <v>79</v>
      </c>
      <c r="AA245" s="972"/>
      <c r="AB245" s="972"/>
      <c r="AC245" s="972"/>
      <c r="AD245" s="972" t="s">
        <v>337</v>
      </c>
      <c r="AE245" s="972"/>
      <c r="AF245" s="972"/>
      <c r="AG245" s="972">
        <v>79</v>
      </c>
    </row>
    <row r="246" spans="5:35">
      <c r="E246" s="972"/>
      <c r="F246" s="972"/>
      <c r="G246" s="972"/>
      <c r="H246" s="972"/>
      <c r="I246" s="972"/>
      <c r="J246" s="972"/>
      <c r="K246" s="972">
        <f>SUM(K241:K245)</f>
        <v>18628.5</v>
      </c>
      <c r="L246" s="972"/>
      <c r="M246" s="972"/>
      <c r="N246" s="972"/>
      <c r="O246" s="979" t="s">
        <v>4692</v>
      </c>
      <c r="P246" s="972"/>
      <c r="Q246" s="972"/>
      <c r="R246" s="980">
        <f>SUM(R240:R245)</f>
        <v>28130.5</v>
      </c>
      <c r="AA246" s="972"/>
      <c r="AB246" s="972"/>
      <c r="AC246" s="972"/>
      <c r="AD246" s="979" t="s">
        <v>4692</v>
      </c>
      <c r="AE246" s="972"/>
      <c r="AF246" s="972"/>
      <c r="AG246" s="980">
        <f>SUM(AG240:AG245)</f>
        <v>34615</v>
      </c>
      <c r="AH246" s="956">
        <f>345.6*90</f>
        <v>31104.000000000004</v>
      </c>
      <c r="AI246" s="956">
        <f>AH246-AG246</f>
        <v>-3510.9999999999964</v>
      </c>
    </row>
    <row r="247" spans="5:35">
      <c r="E247" s="972"/>
      <c r="F247" s="972"/>
      <c r="G247" s="972"/>
      <c r="H247" s="972" t="s">
        <v>337</v>
      </c>
      <c r="I247" s="972"/>
      <c r="J247" s="972"/>
      <c r="K247" s="972">
        <v>91.5</v>
      </c>
      <c r="L247" s="972"/>
      <c r="M247" s="972"/>
      <c r="N247" s="972"/>
      <c r="O247" s="981" t="s">
        <v>3364</v>
      </c>
      <c r="P247" s="972"/>
      <c r="Q247" s="972"/>
      <c r="R247" s="982">
        <f>R246/90</f>
        <v>312.56111111111113</v>
      </c>
      <c r="S247" s="956">
        <f>297.4*90</f>
        <v>26765.999999999996</v>
      </c>
      <c r="T247" s="956">
        <f>S247-R246</f>
        <v>-1364.5000000000036</v>
      </c>
      <c r="V247" s="956">
        <f>R246-R240</f>
        <v>17924.5</v>
      </c>
      <c r="AA247" s="972"/>
      <c r="AB247" s="972"/>
      <c r="AC247" s="972"/>
      <c r="AD247" s="981" t="s">
        <v>3364</v>
      </c>
      <c r="AE247" s="972"/>
      <c r="AF247" s="972"/>
      <c r="AG247" s="982">
        <f>AG246/90</f>
        <v>384.61111111111109</v>
      </c>
      <c r="AH247" s="956">
        <f>AH246/90</f>
        <v>345.6</v>
      </c>
      <c r="AI247" s="956">
        <f>AG247-AH247</f>
        <v>39.011111111111063</v>
      </c>
    </row>
    <row r="248" spans="5:35">
      <c r="E248" s="972"/>
      <c r="F248" s="972"/>
      <c r="G248" s="972"/>
      <c r="H248" s="979" t="s">
        <v>4692</v>
      </c>
      <c r="I248" s="972"/>
      <c r="J248" s="972"/>
      <c r="K248" s="980">
        <f>SUM(K246:K247)</f>
        <v>18720</v>
      </c>
      <c r="L248" s="972"/>
      <c r="M248" s="972"/>
      <c r="N248" s="972"/>
      <c r="O248" s="972"/>
      <c r="P248" s="972"/>
      <c r="Q248" s="972"/>
      <c r="R248" s="972"/>
      <c r="S248" s="956">
        <f>S247-R246</f>
        <v>-1364.5000000000036</v>
      </c>
      <c r="V248" s="956">
        <f>V247+AG240</f>
        <v>33278.5</v>
      </c>
      <c r="AA248" s="972"/>
      <c r="AB248" s="972"/>
      <c r="AC248" s="972"/>
      <c r="AD248" s="972"/>
      <c r="AE248" s="972"/>
      <c r="AF248" s="972"/>
      <c r="AG248" s="972"/>
      <c r="AI248" s="956">
        <f>AI247*90</f>
        <v>3510.9999999999955</v>
      </c>
    </row>
    <row r="249" spans="5:35">
      <c r="E249" s="972"/>
      <c r="F249" s="972"/>
      <c r="G249" s="972"/>
      <c r="H249" s="981" t="s">
        <v>3364</v>
      </c>
      <c r="I249" s="972"/>
      <c r="J249" s="972"/>
      <c r="K249" s="982">
        <f>K248/90</f>
        <v>208</v>
      </c>
      <c r="L249" s="972">
        <f>208*90</f>
        <v>18720</v>
      </c>
      <c r="M249" s="972"/>
      <c r="S249" s="956">
        <f>212.5*90</f>
        <v>19125</v>
      </c>
      <c r="V249" s="956">
        <f>V248/90</f>
        <v>369.76111111111112</v>
      </c>
    </row>
    <row r="250" spans="5:35">
      <c r="E250" s="972"/>
      <c r="F250" s="972"/>
      <c r="G250" s="972"/>
      <c r="H250" s="972"/>
      <c r="I250" s="972"/>
      <c r="J250" s="972"/>
      <c r="K250" s="972"/>
      <c r="L250" s="972">
        <f>L249-K248</f>
        <v>0</v>
      </c>
      <c r="M250" s="972"/>
      <c r="S250" s="956">
        <f>S249-R246</f>
        <v>-9005.5</v>
      </c>
    </row>
    <row r="251" spans="5:35">
      <c r="E251" s="972"/>
      <c r="F251" s="972"/>
      <c r="G251" s="972"/>
      <c r="H251" s="982" t="s">
        <v>4693</v>
      </c>
      <c r="I251" s="972"/>
      <c r="J251" s="972"/>
      <c r="K251" s="972"/>
      <c r="L251" s="972"/>
      <c r="M251" s="972"/>
    </row>
    <row r="252" spans="5:35">
      <c r="E252" s="972"/>
      <c r="F252" s="972"/>
      <c r="G252" s="972"/>
      <c r="H252" s="982" t="s">
        <v>4505</v>
      </c>
      <c r="I252" s="972"/>
      <c r="J252" s="972"/>
      <c r="K252" s="972"/>
      <c r="L252" s="972"/>
      <c r="M252" s="972"/>
    </row>
    <row r="253" spans="5:35">
      <c r="E253" s="972"/>
      <c r="F253" s="972"/>
      <c r="G253" s="972"/>
      <c r="H253" s="972"/>
      <c r="I253" s="972"/>
      <c r="J253" s="972"/>
      <c r="K253" s="972"/>
      <c r="L253" s="972"/>
      <c r="M253" s="972"/>
    </row>
    <row r="254" spans="5:35" ht="110.25">
      <c r="E254" s="972"/>
      <c r="F254" s="972"/>
      <c r="G254" s="972"/>
      <c r="H254" s="971" t="s">
        <v>3359</v>
      </c>
      <c r="I254" s="972"/>
      <c r="J254" s="972"/>
      <c r="K254" s="972"/>
      <c r="L254" s="972"/>
      <c r="M254" s="972"/>
    </row>
    <row r="255" spans="5:35">
      <c r="E255" s="972"/>
      <c r="F255" s="972"/>
      <c r="G255" s="972"/>
      <c r="H255" s="972"/>
      <c r="I255" s="972"/>
      <c r="J255" s="972"/>
      <c r="K255" s="972"/>
      <c r="L255" s="972"/>
      <c r="M255" s="972"/>
    </row>
    <row r="256" spans="5:35">
      <c r="E256" s="972"/>
      <c r="F256" s="972"/>
      <c r="G256" s="972"/>
      <c r="H256" s="972" t="s">
        <v>4694</v>
      </c>
      <c r="I256" s="972"/>
      <c r="J256" s="972"/>
      <c r="K256" s="972">
        <f>K246</f>
        <v>18628.5</v>
      </c>
      <c r="L256" s="972"/>
      <c r="M256" s="972"/>
    </row>
    <row r="257" spans="5:18" ht="31.5">
      <c r="E257" s="972"/>
      <c r="F257" s="972">
        <v>180</v>
      </c>
      <c r="G257" s="972" t="s">
        <v>303</v>
      </c>
      <c r="H257" s="971" t="s">
        <v>4695</v>
      </c>
      <c r="I257" s="975">
        <v>25.75</v>
      </c>
      <c r="J257" s="972" t="s">
        <v>303</v>
      </c>
      <c r="K257" s="972">
        <f>F257*I257</f>
        <v>4635</v>
      </c>
      <c r="L257" s="972"/>
      <c r="M257" s="972"/>
    </row>
    <row r="258" spans="5:18" ht="31.5">
      <c r="E258" s="972"/>
      <c r="F258" s="972">
        <v>180</v>
      </c>
      <c r="G258" s="972" t="s">
        <v>303</v>
      </c>
      <c r="H258" s="971" t="s">
        <v>3362</v>
      </c>
      <c r="I258" s="972">
        <f>I244</f>
        <v>16.55</v>
      </c>
      <c r="J258" s="972" t="s">
        <v>3322</v>
      </c>
      <c r="K258" s="972">
        <f>F258*I258</f>
        <v>2979</v>
      </c>
      <c r="L258" s="972"/>
      <c r="M258" s="972"/>
    </row>
    <row r="259" spans="5:18">
      <c r="E259" s="972"/>
      <c r="F259" s="972"/>
      <c r="G259" s="972"/>
      <c r="H259" s="972" t="s">
        <v>337</v>
      </c>
      <c r="I259" s="972"/>
      <c r="J259" s="972"/>
      <c r="K259" s="972">
        <v>55.5</v>
      </c>
      <c r="L259" s="972"/>
      <c r="M259" s="972"/>
    </row>
    <row r="260" spans="5:18">
      <c r="E260" s="972"/>
      <c r="F260" s="972"/>
      <c r="G260" s="972"/>
      <c r="H260" s="979" t="s">
        <v>3363</v>
      </c>
      <c r="I260" s="972"/>
      <c r="J260" s="972"/>
      <c r="K260" s="980">
        <f>K256+K257-K258+K259</f>
        <v>20340</v>
      </c>
      <c r="L260" s="972">
        <f>L261-K260</f>
        <v>0</v>
      </c>
      <c r="M260" s="972"/>
    </row>
    <row r="261" spans="5:18">
      <c r="E261" s="972"/>
      <c r="F261" s="972"/>
      <c r="G261" s="972"/>
      <c r="H261" s="981" t="s">
        <v>3364</v>
      </c>
      <c r="I261" s="972"/>
      <c r="J261" s="972"/>
      <c r="K261" s="982">
        <f>K260/90</f>
        <v>226</v>
      </c>
      <c r="L261" s="956">
        <f>226*90</f>
        <v>20340</v>
      </c>
      <c r="M261" s="972"/>
    </row>
    <row r="262" spans="5:18">
      <c r="E262" s="972"/>
      <c r="F262" s="972"/>
      <c r="G262" s="972"/>
      <c r="H262" s="972"/>
      <c r="I262" s="972"/>
      <c r="J262" s="972"/>
      <c r="K262" s="972"/>
      <c r="L262" s="972"/>
      <c r="M262" s="972"/>
    </row>
    <row r="263" spans="5:18">
      <c r="E263" s="972"/>
      <c r="F263" s="972"/>
      <c r="G263" s="972"/>
      <c r="H263" s="982" t="s">
        <v>4685</v>
      </c>
      <c r="I263" s="972"/>
      <c r="J263" s="972"/>
      <c r="K263" s="972"/>
      <c r="L263" s="972"/>
      <c r="M263" s="972"/>
    </row>
    <row r="264" spans="5:18">
      <c r="E264" s="972"/>
      <c r="F264" s="972"/>
      <c r="G264" s="972"/>
      <c r="H264" s="982" t="s">
        <v>4506</v>
      </c>
      <c r="I264" s="972"/>
      <c r="J264" s="972"/>
      <c r="K264" s="972"/>
      <c r="L264" s="972"/>
      <c r="M264" s="972"/>
    </row>
    <row r="265" spans="5:18">
      <c r="E265" s="972"/>
      <c r="F265" s="972"/>
      <c r="G265" s="972"/>
      <c r="H265" s="972"/>
      <c r="I265" s="972"/>
      <c r="J265" s="972"/>
      <c r="K265" s="972"/>
      <c r="L265" s="972"/>
      <c r="M265" s="972"/>
    </row>
    <row r="266" spans="5:18" ht="110.25">
      <c r="E266" s="972"/>
      <c r="F266" s="972"/>
      <c r="G266" s="972"/>
      <c r="H266" s="971" t="s">
        <v>4696</v>
      </c>
      <c r="I266" s="972"/>
      <c r="J266" s="972"/>
      <c r="K266" s="972"/>
      <c r="L266" s="972"/>
      <c r="M266" s="972"/>
      <c r="N266" s="972"/>
      <c r="O266" s="971"/>
      <c r="P266" s="972"/>
      <c r="Q266" s="972"/>
      <c r="R266" s="972"/>
    </row>
    <row r="267" spans="5:18" ht="31.5">
      <c r="E267" s="972"/>
      <c r="F267" s="972">
        <v>180</v>
      </c>
      <c r="G267" s="972" t="s">
        <v>303</v>
      </c>
      <c r="H267" s="973" t="s">
        <v>4697</v>
      </c>
      <c r="I267" s="975">
        <v>40.950000000000003</v>
      </c>
      <c r="J267" s="972" t="s">
        <v>3322</v>
      </c>
      <c r="K267" s="972">
        <f>F267*I267</f>
        <v>7371.0000000000009</v>
      </c>
      <c r="L267" s="972"/>
      <c r="M267" s="972"/>
      <c r="N267" s="972"/>
      <c r="O267" s="964"/>
      <c r="P267" s="972"/>
      <c r="Q267" s="972"/>
      <c r="R267" s="972"/>
    </row>
    <row r="268" spans="5:18" ht="31.5">
      <c r="E268" s="972"/>
      <c r="F268" s="972">
        <v>90</v>
      </c>
      <c r="G268" s="972" t="s">
        <v>303</v>
      </c>
      <c r="H268" s="971" t="s">
        <v>3323</v>
      </c>
      <c r="I268" s="972">
        <f>I242</f>
        <v>20</v>
      </c>
      <c r="J268" s="972" t="s">
        <v>303</v>
      </c>
      <c r="K268" s="972">
        <f>F268*I268</f>
        <v>1800</v>
      </c>
      <c r="L268" s="972"/>
      <c r="M268" s="972"/>
      <c r="N268" s="972"/>
      <c r="O268" s="971"/>
      <c r="P268" s="972"/>
      <c r="Q268" s="972"/>
      <c r="R268" s="972"/>
    </row>
    <row r="269" spans="5:18">
      <c r="E269" s="972"/>
      <c r="F269" s="972">
        <v>3</v>
      </c>
      <c r="G269" s="972" t="s">
        <v>3336</v>
      </c>
      <c r="H269" s="972" t="s">
        <v>278</v>
      </c>
      <c r="I269" s="972">
        <f>I243</f>
        <v>302</v>
      </c>
      <c r="J269" s="972" t="s">
        <v>3336</v>
      </c>
      <c r="K269" s="972">
        <f>F269*I269</f>
        <v>906</v>
      </c>
      <c r="L269" s="972"/>
      <c r="M269" s="972"/>
      <c r="N269" s="972"/>
      <c r="O269" s="972"/>
      <c r="P269" s="972"/>
      <c r="Q269" s="972"/>
      <c r="R269" s="972"/>
    </row>
    <row r="270" spans="5:18" ht="31.5">
      <c r="E270" s="972"/>
      <c r="F270" s="972">
        <v>90</v>
      </c>
      <c r="G270" s="972" t="s">
        <v>303</v>
      </c>
      <c r="H270" s="973" t="s">
        <v>4698</v>
      </c>
      <c r="I270" s="972">
        <f>I257</f>
        <v>25.75</v>
      </c>
      <c r="J270" s="972" t="s">
        <v>3322</v>
      </c>
      <c r="K270" s="972">
        <f>F270*I270</f>
        <v>2317.5</v>
      </c>
      <c r="L270" s="972"/>
      <c r="M270" s="972"/>
      <c r="N270" s="972"/>
      <c r="O270" s="964"/>
      <c r="P270" s="972"/>
      <c r="Q270" s="972"/>
      <c r="R270" s="972"/>
    </row>
    <row r="271" spans="5:18">
      <c r="E271" s="972"/>
      <c r="F271" s="972"/>
      <c r="G271" s="972"/>
      <c r="H271" s="972" t="s">
        <v>910</v>
      </c>
      <c r="I271" s="972"/>
      <c r="J271" s="972"/>
      <c r="K271" s="972">
        <f>K245</f>
        <v>11454</v>
      </c>
      <c r="L271" s="972"/>
      <c r="M271" s="972"/>
      <c r="N271" s="972"/>
      <c r="O271" s="972"/>
      <c r="P271" s="972"/>
      <c r="Q271" s="972"/>
      <c r="R271" s="972"/>
    </row>
    <row r="272" spans="5:18">
      <c r="E272" s="972"/>
      <c r="F272" s="972"/>
      <c r="G272" s="972"/>
      <c r="H272" s="972" t="s">
        <v>337</v>
      </c>
      <c r="I272" s="972"/>
      <c r="J272" s="972"/>
      <c r="K272" s="972">
        <v>91.5</v>
      </c>
      <c r="L272" s="972"/>
      <c r="M272" s="972"/>
      <c r="N272" s="972"/>
      <c r="O272" s="972"/>
      <c r="P272" s="972"/>
      <c r="Q272" s="972"/>
      <c r="R272" s="972"/>
    </row>
    <row r="273" spans="5:19">
      <c r="E273" s="972"/>
      <c r="F273" s="972"/>
      <c r="G273" s="972"/>
      <c r="H273" s="979" t="s">
        <v>4692</v>
      </c>
      <c r="I273" s="972"/>
      <c r="J273" s="972"/>
      <c r="K273" s="980">
        <f>SUM(K267:K272)</f>
        <v>23940</v>
      </c>
      <c r="L273" s="972"/>
      <c r="M273" s="972"/>
      <c r="N273" s="972"/>
      <c r="O273" s="979"/>
      <c r="P273" s="972"/>
      <c r="Q273" s="972"/>
      <c r="R273" s="980"/>
    </row>
    <row r="274" spans="5:19">
      <c r="E274" s="972"/>
      <c r="F274" s="972"/>
      <c r="G274" s="972"/>
      <c r="H274" s="981" t="s">
        <v>3364</v>
      </c>
      <c r="I274" s="972"/>
      <c r="J274" s="972"/>
      <c r="K274" s="982">
        <f>K273/90</f>
        <v>266</v>
      </c>
      <c r="L274" s="972">
        <f>266*90</f>
        <v>23940</v>
      </c>
      <c r="M274" s="972"/>
      <c r="N274" s="972"/>
      <c r="O274" s="981"/>
      <c r="P274" s="972"/>
      <c r="Q274" s="972"/>
      <c r="R274" s="982"/>
    </row>
    <row r="275" spans="5:19">
      <c r="E275" s="972"/>
      <c r="F275" s="972"/>
      <c r="G275" s="972"/>
      <c r="H275" s="972"/>
      <c r="I275" s="972"/>
      <c r="J275" s="972"/>
      <c r="K275" s="972"/>
      <c r="L275" s="972">
        <f>L274-K273</f>
        <v>0</v>
      </c>
      <c r="M275" s="972"/>
    </row>
    <row r="276" spans="5:19">
      <c r="E276" s="972"/>
      <c r="F276" s="972"/>
      <c r="G276" s="972"/>
      <c r="H276" s="972"/>
      <c r="I276" s="972"/>
      <c r="J276" s="972"/>
      <c r="K276" s="972"/>
      <c r="L276" s="972"/>
      <c r="M276" s="972"/>
    </row>
    <row r="277" spans="5:19" ht="15.75" customHeight="1">
      <c r="E277" s="972"/>
      <c r="F277" s="972"/>
      <c r="G277" s="972"/>
      <c r="H277" s="982" t="s">
        <v>4699</v>
      </c>
      <c r="I277" s="972"/>
      <c r="J277" s="972"/>
      <c r="K277" s="972"/>
      <c r="L277" s="972"/>
      <c r="M277" s="972"/>
      <c r="N277" s="972"/>
      <c r="O277" s="982" t="s">
        <v>4699</v>
      </c>
      <c r="P277" s="972"/>
      <c r="Q277" s="972"/>
      <c r="R277" s="972"/>
      <c r="S277" s="972"/>
    </row>
    <row r="278" spans="5:19">
      <c r="E278" s="972"/>
      <c r="F278" s="972"/>
      <c r="G278" s="972"/>
      <c r="H278" s="982" t="s">
        <v>4507</v>
      </c>
      <c r="I278" s="972"/>
      <c r="J278" s="972"/>
      <c r="K278" s="972"/>
      <c r="L278" s="972"/>
      <c r="M278" s="972"/>
      <c r="N278" s="972"/>
      <c r="O278" s="982" t="s">
        <v>4700</v>
      </c>
      <c r="P278" s="972"/>
      <c r="Q278" s="972"/>
      <c r="R278" s="972"/>
      <c r="S278" s="972"/>
    </row>
    <row r="279" spans="5:19">
      <c r="E279" s="972"/>
      <c r="F279" s="972"/>
      <c r="G279" s="972"/>
      <c r="H279" s="972"/>
      <c r="I279" s="972"/>
      <c r="J279" s="972"/>
      <c r="K279" s="972"/>
      <c r="L279" s="972"/>
      <c r="M279" s="972"/>
      <c r="N279" s="972"/>
      <c r="O279" s="972"/>
      <c r="P279" s="972"/>
      <c r="Q279" s="972"/>
      <c r="R279" s="972"/>
      <c r="S279" s="972"/>
    </row>
    <row r="280" spans="5:19" ht="110.25">
      <c r="E280" s="972"/>
      <c r="F280" s="972"/>
      <c r="G280" s="972"/>
      <c r="H280" s="971" t="s">
        <v>4701</v>
      </c>
      <c r="I280" s="972"/>
      <c r="J280" s="972"/>
      <c r="K280" s="972"/>
      <c r="L280" s="972"/>
      <c r="M280" s="972"/>
      <c r="N280" s="972"/>
      <c r="O280" s="2005" t="s">
        <v>4702</v>
      </c>
      <c r="P280" s="2005"/>
      <c r="Q280" s="972"/>
      <c r="R280" s="972"/>
      <c r="S280" s="972"/>
    </row>
    <row r="281" spans="5:19" ht="31.5">
      <c r="E281" s="972"/>
      <c r="F281" s="972">
        <v>360</v>
      </c>
      <c r="G281" s="972"/>
      <c r="H281" s="973" t="s">
        <v>4703</v>
      </c>
      <c r="I281" s="990">
        <f>I267</f>
        <v>40.950000000000003</v>
      </c>
      <c r="J281" s="972" t="s">
        <v>3322</v>
      </c>
      <c r="K281" s="972">
        <f>F281*I281</f>
        <v>14742.000000000002</v>
      </c>
      <c r="L281" s="972"/>
      <c r="M281" s="972">
        <v>360</v>
      </c>
      <c r="N281" s="972"/>
      <c r="O281" s="964" t="s">
        <v>4704</v>
      </c>
      <c r="P281" s="990">
        <v>60.65</v>
      </c>
      <c r="Q281" s="972" t="s">
        <v>3322</v>
      </c>
      <c r="R281" s="972">
        <f>M281*P281</f>
        <v>21834</v>
      </c>
      <c r="S281" s="972"/>
    </row>
    <row r="282" spans="5:19" ht="31.5">
      <c r="E282" s="972"/>
      <c r="F282" s="972">
        <v>90</v>
      </c>
      <c r="G282" s="972"/>
      <c r="H282" s="971" t="s">
        <v>4705</v>
      </c>
      <c r="I282" s="975">
        <v>29.8</v>
      </c>
      <c r="J282" s="972" t="s">
        <v>303</v>
      </c>
      <c r="K282" s="972">
        <f>F282*I282</f>
        <v>2682</v>
      </c>
      <c r="L282" s="972"/>
      <c r="M282" s="972">
        <v>90</v>
      </c>
      <c r="N282" s="972"/>
      <c r="O282" s="971" t="s">
        <v>4706</v>
      </c>
      <c r="P282" s="990">
        <f>I282</f>
        <v>29.8</v>
      </c>
      <c r="Q282" s="972" t="s">
        <v>303</v>
      </c>
      <c r="R282" s="972">
        <f>M282*P282</f>
        <v>2682</v>
      </c>
      <c r="S282" s="972"/>
    </row>
    <row r="283" spans="5:19">
      <c r="E283" s="972"/>
      <c r="F283" s="972">
        <v>3</v>
      </c>
      <c r="G283" s="972"/>
      <c r="H283" s="972" t="s">
        <v>278</v>
      </c>
      <c r="I283" s="972">
        <f>I269</f>
        <v>302</v>
      </c>
      <c r="J283" s="972" t="s">
        <v>3336</v>
      </c>
      <c r="K283" s="972">
        <f>F283*I283</f>
        <v>906</v>
      </c>
      <c r="L283" s="972"/>
      <c r="M283" s="972">
        <v>3</v>
      </c>
      <c r="N283" s="972"/>
      <c r="O283" s="972" t="s">
        <v>278</v>
      </c>
      <c r="P283" s="990">
        <f>I283</f>
        <v>302</v>
      </c>
      <c r="Q283" s="972" t="s">
        <v>3336</v>
      </c>
      <c r="R283" s="972">
        <f>M283*P283</f>
        <v>906</v>
      </c>
      <c r="S283" s="972"/>
    </row>
    <row r="284" spans="5:19" ht="31.5">
      <c r="E284" s="972"/>
      <c r="F284" s="972">
        <v>90</v>
      </c>
      <c r="G284" s="972"/>
      <c r="H284" s="973" t="s">
        <v>4707</v>
      </c>
      <c r="I284" s="972">
        <f>I270</f>
        <v>25.75</v>
      </c>
      <c r="J284" s="972" t="s">
        <v>3322</v>
      </c>
      <c r="K284" s="972">
        <f>F284*I284</f>
        <v>2317.5</v>
      </c>
      <c r="L284" s="972"/>
      <c r="M284" s="972">
        <v>90</v>
      </c>
      <c r="N284" s="972"/>
      <c r="O284" s="964" t="s">
        <v>4708</v>
      </c>
      <c r="P284" s="990">
        <f>P243</f>
        <v>40.950000000000003</v>
      </c>
      <c r="Q284" s="972" t="s">
        <v>3322</v>
      </c>
      <c r="R284" s="972">
        <f>M284*P284</f>
        <v>3685.5000000000005</v>
      </c>
      <c r="S284" s="972"/>
    </row>
    <row r="285" spans="5:19">
      <c r="E285" s="972"/>
      <c r="F285" s="972"/>
      <c r="G285" s="972"/>
      <c r="H285" s="972" t="s">
        <v>910</v>
      </c>
      <c r="I285" s="972"/>
      <c r="J285" s="972"/>
      <c r="K285" s="972">
        <f>I291</f>
        <v>15075</v>
      </c>
      <c r="L285" s="972"/>
      <c r="M285" s="972"/>
      <c r="N285" s="972"/>
      <c r="O285" s="972" t="s">
        <v>910</v>
      </c>
      <c r="P285" s="972"/>
      <c r="Q285" s="972"/>
      <c r="R285" s="972">
        <f>K285</f>
        <v>15075</v>
      </c>
      <c r="S285" s="972"/>
    </row>
    <row r="286" spans="5:19">
      <c r="E286" s="972"/>
      <c r="F286" s="972"/>
      <c r="G286" s="972"/>
      <c r="H286" s="972" t="s">
        <v>337</v>
      </c>
      <c r="I286" s="972"/>
      <c r="J286" s="972"/>
      <c r="K286" s="972">
        <v>97.5</v>
      </c>
      <c r="L286" s="972"/>
      <c r="M286" s="972"/>
      <c r="N286" s="972"/>
      <c r="O286" s="972" t="s">
        <v>337</v>
      </c>
      <c r="P286" s="972"/>
      <c r="Q286" s="972"/>
      <c r="R286" s="972">
        <v>97.5</v>
      </c>
      <c r="S286" s="972"/>
    </row>
    <row r="287" spans="5:19">
      <c r="E287" s="972"/>
      <c r="F287" s="972"/>
      <c r="G287" s="972"/>
      <c r="H287" s="979" t="s">
        <v>4692</v>
      </c>
      <c r="I287" s="972"/>
      <c r="J287" s="972"/>
      <c r="K287" s="980">
        <f>SUM(K281:K286)</f>
        <v>35820</v>
      </c>
      <c r="L287" s="972"/>
      <c r="M287" s="972"/>
      <c r="N287" s="972"/>
      <c r="O287" s="979" t="s">
        <v>4692</v>
      </c>
      <c r="P287" s="972"/>
      <c r="Q287" s="972"/>
      <c r="R287" s="980">
        <f>SUM(R281:R286)</f>
        <v>44280</v>
      </c>
      <c r="S287" s="972"/>
    </row>
    <row r="288" spans="5:19">
      <c r="E288" s="972"/>
      <c r="F288" s="972"/>
      <c r="G288" s="972"/>
      <c r="H288" s="981" t="s">
        <v>3364</v>
      </c>
      <c r="I288" s="972"/>
      <c r="J288" s="972"/>
      <c r="K288" s="982">
        <f>K287/90</f>
        <v>398</v>
      </c>
      <c r="L288" s="972">
        <f>398*90</f>
        <v>35820</v>
      </c>
      <c r="M288" s="972"/>
      <c r="N288" s="972"/>
      <c r="O288" s="981" t="s">
        <v>3364</v>
      </c>
      <c r="P288" s="972"/>
      <c r="Q288" s="972"/>
      <c r="R288" s="982">
        <f>R287/90</f>
        <v>492</v>
      </c>
      <c r="S288" s="972">
        <f>492*90</f>
        <v>44280</v>
      </c>
    </row>
    <row r="289" spans="5:130">
      <c r="E289" s="972"/>
      <c r="F289" s="972"/>
      <c r="G289" s="972"/>
      <c r="H289" s="972"/>
      <c r="I289" s="972"/>
      <c r="J289" s="972"/>
      <c r="K289" s="972"/>
      <c r="L289" s="972">
        <f>L288-K287</f>
        <v>0</v>
      </c>
      <c r="M289" s="972"/>
      <c r="S289" s="956">
        <f>S288-R287</f>
        <v>0</v>
      </c>
    </row>
    <row r="290" spans="5:130">
      <c r="E290" s="972"/>
      <c r="F290" s="972"/>
      <c r="G290" s="972"/>
      <c r="H290" s="982" t="s">
        <v>4709</v>
      </c>
      <c r="I290" s="972"/>
      <c r="J290" s="972"/>
      <c r="K290" s="972"/>
      <c r="L290" s="972"/>
      <c r="M290" s="972"/>
    </row>
    <row r="291" spans="5:130">
      <c r="E291" s="972"/>
      <c r="F291" s="993"/>
      <c r="G291" s="993"/>
      <c r="H291" s="993" t="s">
        <v>4710</v>
      </c>
      <c r="I291" s="994">
        <f>(1.5*K42)-((K40+K41)/2)</f>
        <v>15075</v>
      </c>
      <c r="J291" s="993"/>
      <c r="K291" s="993"/>
      <c r="L291" s="993">
        <f>(1.5*5914)-((888+1232)/2)</f>
        <v>7811</v>
      </c>
      <c r="M291" s="972"/>
      <c r="N291" s="972"/>
      <c r="O291" s="982" t="s">
        <v>4699</v>
      </c>
      <c r="P291" s="972"/>
      <c r="Q291" s="972"/>
      <c r="R291" s="972"/>
      <c r="S291" s="995"/>
      <c r="T291" s="995"/>
      <c r="U291" s="995"/>
      <c r="V291" s="995"/>
      <c r="W291" s="995"/>
      <c r="X291" s="995"/>
      <c r="Y291" s="995"/>
      <c r="Z291" s="995"/>
      <c r="AA291" s="995"/>
      <c r="AB291" s="995"/>
      <c r="AC291" s="995"/>
      <c r="AD291" s="995"/>
      <c r="AE291" s="995"/>
      <c r="AF291" s="995"/>
      <c r="AG291" s="995"/>
      <c r="AH291" s="995"/>
      <c r="AI291" s="995"/>
      <c r="AJ291" s="995"/>
      <c r="AK291" s="995"/>
      <c r="AL291" s="995"/>
      <c r="AM291" s="995"/>
      <c r="AN291" s="995"/>
      <c r="AO291" s="995"/>
      <c r="AP291" s="995"/>
      <c r="AQ291" s="995"/>
      <c r="AR291" s="995"/>
      <c r="AS291" s="995"/>
      <c r="AT291" s="995"/>
      <c r="AU291" s="995"/>
      <c r="AV291" s="995"/>
      <c r="AW291" s="995"/>
      <c r="AX291" s="995"/>
      <c r="AY291" s="995"/>
      <c r="AZ291" s="995"/>
      <c r="BA291" s="995"/>
      <c r="BB291" s="995"/>
      <c r="BC291" s="995"/>
      <c r="BD291" s="995"/>
      <c r="BE291" s="995"/>
      <c r="BF291" s="995"/>
      <c r="BG291" s="995"/>
      <c r="BH291" s="995"/>
      <c r="BI291" s="995"/>
      <c r="BJ291" s="995"/>
      <c r="BK291" s="995"/>
      <c r="BL291" s="995"/>
      <c r="BM291" s="995"/>
      <c r="BN291" s="995"/>
      <c r="BO291" s="995"/>
      <c r="BP291" s="995"/>
      <c r="BQ291" s="995"/>
      <c r="BR291" s="995"/>
      <c r="BS291" s="995"/>
      <c r="BT291" s="995"/>
      <c r="BU291" s="995"/>
      <c r="BV291" s="995"/>
      <c r="BW291" s="995"/>
      <c r="BX291" s="995"/>
      <c r="BY291" s="995"/>
      <c r="BZ291" s="995"/>
      <c r="CA291" s="995"/>
      <c r="CB291" s="995"/>
      <c r="CC291" s="995"/>
      <c r="CD291" s="995"/>
      <c r="CE291" s="995"/>
      <c r="CF291" s="995"/>
      <c r="CG291" s="995"/>
      <c r="CH291" s="995"/>
      <c r="CI291" s="995"/>
      <c r="CJ291" s="995"/>
      <c r="CK291" s="995"/>
      <c r="CL291" s="995"/>
      <c r="CM291" s="995"/>
      <c r="CN291" s="995"/>
      <c r="CO291" s="995"/>
      <c r="CP291" s="995"/>
      <c r="CQ291" s="995"/>
      <c r="CR291" s="995"/>
      <c r="CS291" s="995"/>
      <c r="CT291" s="995"/>
      <c r="CU291" s="995"/>
      <c r="CV291" s="995"/>
      <c r="CW291" s="995"/>
      <c r="CX291" s="995"/>
      <c r="CY291" s="995"/>
      <c r="CZ291" s="995"/>
      <c r="DA291" s="995"/>
      <c r="DB291" s="995"/>
      <c r="DC291" s="995"/>
      <c r="DD291" s="995"/>
      <c r="DE291" s="995"/>
      <c r="DF291" s="995"/>
      <c r="DG291" s="995"/>
      <c r="DH291" s="995"/>
      <c r="DI291" s="995"/>
      <c r="DJ291" s="995"/>
      <c r="DK291" s="995"/>
      <c r="DL291" s="995"/>
      <c r="DM291" s="995"/>
      <c r="DN291" s="995"/>
      <c r="DO291" s="995"/>
      <c r="DP291" s="995"/>
      <c r="DQ291" s="995"/>
      <c r="DR291" s="995"/>
      <c r="DS291" s="995"/>
      <c r="DT291" s="995"/>
      <c r="DU291" s="995"/>
      <c r="DV291" s="995"/>
      <c r="DW291" s="995"/>
      <c r="DX291" s="995"/>
      <c r="DY291" s="995"/>
      <c r="DZ291" s="995"/>
    </row>
    <row r="292" spans="5:130" s="995" customFormat="1">
      <c r="E292" s="993"/>
      <c r="F292" s="972"/>
      <c r="G292" s="972"/>
      <c r="H292" s="972">
        <f>1.5*K42-(K40+K41)/2</f>
        <v>15075</v>
      </c>
      <c r="I292" s="972"/>
      <c r="J292" s="972"/>
      <c r="K292" s="972"/>
      <c r="L292" s="972"/>
      <c r="M292" s="972"/>
      <c r="N292" s="972"/>
      <c r="O292" s="982" t="s">
        <v>4711</v>
      </c>
      <c r="P292" s="972"/>
      <c r="Q292" s="972"/>
      <c r="R292" s="972"/>
      <c r="S292" s="956"/>
      <c r="T292" s="956"/>
      <c r="U292" s="956"/>
      <c r="V292" s="956"/>
      <c r="W292" s="956"/>
      <c r="X292" s="956"/>
      <c r="Y292" s="956"/>
      <c r="Z292" s="956"/>
      <c r="AA292" s="956"/>
      <c r="AB292" s="956"/>
      <c r="AC292" s="956"/>
      <c r="AD292" s="956"/>
      <c r="AE292" s="956"/>
      <c r="AF292" s="956"/>
      <c r="AG292" s="956"/>
      <c r="AH292" s="956"/>
      <c r="AI292" s="956"/>
      <c r="AJ292" s="956"/>
      <c r="AK292" s="956"/>
      <c r="AL292" s="956"/>
      <c r="AM292" s="956"/>
      <c r="AN292" s="956"/>
      <c r="AO292" s="956"/>
      <c r="AP292" s="956"/>
      <c r="AQ292" s="956"/>
      <c r="AR292" s="956"/>
      <c r="AS292" s="956"/>
      <c r="AT292" s="956"/>
      <c r="AU292" s="956"/>
      <c r="AV292" s="956"/>
      <c r="AW292" s="956"/>
      <c r="AX292" s="956"/>
      <c r="AY292" s="956"/>
      <c r="AZ292" s="956"/>
      <c r="BA292" s="956"/>
      <c r="BB292" s="956"/>
      <c r="BC292" s="956"/>
      <c r="BD292" s="956"/>
      <c r="BE292" s="956"/>
      <c r="BF292" s="956"/>
      <c r="BG292" s="956"/>
      <c r="BH292" s="956"/>
      <c r="BI292" s="956"/>
      <c r="BJ292" s="956"/>
      <c r="BK292" s="956"/>
      <c r="BL292" s="956"/>
      <c r="BM292" s="956"/>
      <c r="BN292" s="956"/>
      <c r="BO292" s="956"/>
      <c r="BP292" s="956"/>
      <c r="BQ292" s="956"/>
      <c r="BR292" s="956"/>
      <c r="BS292" s="956"/>
      <c r="BT292" s="956"/>
      <c r="BU292" s="956"/>
      <c r="BV292" s="956"/>
      <c r="BW292" s="956"/>
      <c r="BX292" s="956"/>
      <c r="BY292" s="956"/>
      <c r="BZ292" s="956"/>
      <c r="CA292" s="956"/>
      <c r="CB292" s="956"/>
      <c r="CC292" s="956"/>
      <c r="CD292" s="956"/>
      <c r="CE292" s="956"/>
      <c r="CF292" s="956"/>
      <c r="CG292" s="956"/>
      <c r="CH292" s="956"/>
      <c r="CI292" s="956"/>
      <c r="CJ292" s="956"/>
      <c r="CK292" s="956"/>
      <c r="CL292" s="956"/>
      <c r="CM292" s="956"/>
      <c r="CN292" s="956"/>
      <c r="CO292" s="956"/>
      <c r="CP292" s="956"/>
      <c r="CQ292" s="956"/>
      <c r="CR292" s="956"/>
      <c r="CS292" s="956"/>
      <c r="CT292" s="956"/>
      <c r="CU292" s="956"/>
      <c r="CV292" s="956"/>
      <c r="CW292" s="956"/>
      <c r="CX292" s="956"/>
      <c r="CY292" s="956"/>
      <c r="CZ292" s="956"/>
      <c r="DA292" s="956"/>
      <c r="DB292" s="956"/>
      <c r="DC292" s="956"/>
      <c r="DD292" s="956"/>
      <c r="DE292" s="956"/>
      <c r="DF292" s="956"/>
      <c r="DG292" s="956"/>
      <c r="DH292" s="956"/>
      <c r="DI292" s="956"/>
      <c r="DJ292" s="956"/>
      <c r="DK292" s="956"/>
      <c r="DL292" s="956"/>
      <c r="DM292" s="956"/>
      <c r="DN292" s="956"/>
      <c r="DO292" s="956"/>
      <c r="DP292" s="956"/>
      <c r="DQ292" s="956"/>
      <c r="DR292" s="956"/>
      <c r="DS292" s="956"/>
      <c r="DT292" s="956"/>
      <c r="DU292" s="956"/>
      <c r="DV292" s="956"/>
      <c r="DW292" s="956"/>
      <c r="DX292" s="956"/>
      <c r="DY292" s="956"/>
      <c r="DZ292" s="956"/>
    </row>
    <row r="293" spans="5:130">
      <c r="E293" s="972"/>
      <c r="F293" s="972"/>
      <c r="G293" s="972"/>
      <c r="H293" s="972"/>
      <c r="I293" s="972"/>
      <c r="J293" s="972"/>
      <c r="K293" s="972"/>
      <c r="L293" s="972"/>
      <c r="M293" s="972"/>
      <c r="N293" s="972"/>
      <c r="O293" s="972"/>
      <c r="P293" s="972"/>
      <c r="Q293" s="972"/>
      <c r="R293" s="972"/>
    </row>
    <row r="294" spans="5:130" ht="110.25">
      <c r="E294" s="972"/>
      <c r="F294" s="972"/>
      <c r="G294" s="972"/>
      <c r="I294" s="972"/>
      <c r="J294" s="972"/>
      <c r="K294" s="972"/>
      <c r="L294" s="972"/>
      <c r="M294" s="972"/>
      <c r="N294" s="972"/>
      <c r="O294" s="971" t="s">
        <v>4712</v>
      </c>
      <c r="P294" s="972"/>
      <c r="Q294" s="972"/>
      <c r="R294" s="972"/>
    </row>
    <row r="295" spans="5:130" ht="31.5">
      <c r="E295" s="972"/>
      <c r="F295" s="972"/>
      <c r="G295" s="972"/>
      <c r="H295" s="992" t="s">
        <v>4713</v>
      </c>
      <c r="I295" s="972"/>
      <c r="J295" s="972"/>
      <c r="K295" s="972"/>
      <c r="L295" s="972"/>
      <c r="M295" s="972">
        <v>360</v>
      </c>
      <c r="N295" s="972"/>
      <c r="O295" s="996" t="s">
        <v>4714</v>
      </c>
      <c r="P295" s="975">
        <v>85.3</v>
      </c>
      <c r="Q295" s="972" t="s">
        <v>3322</v>
      </c>
      <c r="R295" s="972">
        <f>M295*P295</f>
        <v>30708</v>
      </c>
    </row>
    <row r="296" spans="5:130" ht="31.5">
      <c r="E296" s="972"/>
      <c r="F296" s="972"/>
      <c r="G296" s="972"/>
      <c r="H296" s="982" t="s">
        <v>3386</v>
      </c>
      <c r="I296" s="972"/>
      <c r="J296" s="972"/>
      <c r="K296" s="972"/>
      <c r="L296" s="972"/>
      <c r="M296" s="972">
        <v>90</v>
      </c>
      <c r="N296" s="972"/>
      <c r="O296" s="971" t="s">
        <v>4715</v>
      </c>
      <c r="P296" s="990">
        <f>P282</f>
        <v>29.8</v>
      </c>
      <c r="Q296" s="972" t="s">
        <v>303</v>
      </c>
      <c r="R296" s="972">
        <f>M296*P296</f>
        <v>2682</v>
      </c>
    </row>
    <row r="297" spans="5:130">
      <c r="E297" s="972"/>
      <c r="F297" s="972"/>
      <c r="G297" s="972"/>
      <c r="H297" s="972"/>
      <c r="I297" s="972"/>
      <c r="J297" s="972"/>
      <c r="K297" s="972"/>
      <c r="L297" s="972"/>
      <c r="M297" s="972">
        <v>3</v>
      </c>
      <c r="N297" s="972"/>
      <c r="O297" s="972" t="s">
        <v>278</v>
      </c>
      <c r="P297" s="990">
        <f>P283</f>
        <v>302</v>
      </c>
      <c r="Q297" s="972" t="s">
        <v>3336</v>
      </c>
      <c r="R297" s="972">
        <f>M297*P297</f>
        <v>906</v>
      </c>
    </row>
    <row r="298" spans="5:130" ht="31.5">
      <c r="E298" s="972"/>
      <c r="F298" s="972"/>
      <c r="G298" s="972"/>
      <c r="H298" s="982" t="s">
        <v>3387</v>
      </c>
      <c r="I298" s="972"/>
      <c r="J298" s="972"/>
      <c r="K298" s="972"/>
      <c r="L298" s="972"/>
      <c r="M298" s="972">
        <v>90</v>
      </c>
      <c r="N298" s="972"/>
      <c r="O298" s="964" t="s">
        <v>4716</v>
      </c>
      <c r="P298" s="990">
        <f>P281</f>
        <v>60.65</v>
      </c>
      <c r="Q298" s="972" t="s">
        <v>3322</v>
      </c>
      <c r="R298" s="972">
        <f>M298*P298</f>
        <v>5458.5</v>
      </c>
    </row>
    <row r="299" spans="5:130">
      <c r="E299" s="972"/>
      <c r="F299" s="972"/>
      <c r="G299" s="972"/>
      <c r="H299" s="972"/>
      <c r="I299" s="972"/>
      <c r="J299" s="972"/>
      <c r="K299" s="972"/>
      <c r="L299" s="972"/>
      <c r="M299" s="972"/>
      <c r="N299" s="972"/>
      <c r="O299" s="972" t="s">
        <v>910</v>
      </c>
      <c r="P299" s="972"/>
      <c r="Q299" s="972"/>
      <c r="R299" s="972">
        <f>R285</f>
        <v>15075</v>
      </c>
    </row>
    <row r="300" spans="5:130" ht="47.25">
      <c r="E300" s="972"/>
      <c r="F300" s="972"/>
      <c r="G300" s="972"/>
      <c r="H300" s="971" t="s">
        <v>3388</v>
      </c>
      <c r="I300" s="972"/>
      <c r="J300" s="972"/>
      <c r="K300" s="972"/>
      <c r="L300" s="972"/>
      <c r="M300" s="972"/>
      <c r="N300" s="972"/>
      <c r="O300" s="972" t="s">
        <v>337</v>
      </c>
      <c r="P300" s="972"/>
      <c r="Q300" s="972"/>
      <c r="R300" s="972">
        <v>60.5</v>
      </c>
    </row>
    <row r="301" spans="5:130">
      <c r="E301" s="972"/>
      <c r="F301" s="972">
        <v>1</v>
      </c>
      <c r="G301" s="972" t="s">
        <v>68</v>
      </c>
      <c r="H301" s="972" t="s">
        <v>3389</v>
      </c>
      <c r="I301" s="975">
        <v>277.60000000000002</v>
      </c>
      <c r="J301" s="972" t="s">
        <v>68</v>
      </c>
      <c r="K301" s="972">
        <f>F301*I301</f>
        <v>277.60000000000002</v>
      </c>
      <c r="L301" s="972"/>
      <c r="M301" s="972"/>
      <c r="N301" s="972"/>
      <c r="O301" s="979" t="s">
        <v>4692</v>
      </c>
      <c r="P301" s="972"/>
      <c r="Q301" s="972"/>
      <c r="R301" s="980">
        <f>SUM(R295:R300)</f>
        <v>54890</v>
      </c>
    </row>
    <row r="302" spans="5:130">
      <c r="E302" s="972"/>
      <c r="F302" s="972"/>
      <c r="G302" s="972"/>
      <c r="H302" s="972" t="s">
        <v>337</v>
      </c>
      <c r="I302" s="972"/>
      <c r="J302" s="972"/>
      <c r="K302" s="972">
        <f>13.88-0.41</f>
        <v>13.47</v>
      </c>
      <c r="L302" s="972">
        <f>K301*5%</f>
        <v>13.880000000000003</v>
      </c>
      <c r="M302" s="972"/>
      <c r="N302" s="972"/>
      <c r="O302" s="981" t="s">
        <v>3364</v>
      </c>
      <c r="P302" s="972"/>
      <c r="Q302" s="972"/>
      <c r="R302" s="982">
        <f>R301/90</f>
        <v>609.88888888888891</v>
      </c>
      <c r="S302" s="956">
        <f>589.3*90</f>
        <v>53036.999999999993</v>
      </c>
    </row>
    <row r="303" spans="5:130">
      <c r="E303" s="972"/>
      <c r="F303" s="972"/>
      <c r="G303" s="972"/>
      <c r="H303" s="972" t="s">
        <v>910</v>
      </c>
      <c r="I303" s="972"/>
      <c r="J303" s="972"/>
      <c r="K303" s="972">
        <f>K311</f>
        <v>225.93333333333334</v>
      </c>
      <c r="L303" s="972"/>
      <c r="M303" s="972"/>
      <c r="S303" s="956">
        <f>S302-R301</f>
        <v>-1853.0000000000073</v>
      </c>
    </row>
    <row r="304" spans="5:130">
      <c r="E304" s="972"/>
      <c r="F304" s="972"/>
      <c r="G304" s="972"/>
      <c r="H304" s="981" t="s">
        <v>3390</v>
      </c>
      <c r="I304" s="972"/>
      <c r="J304" s="972"/>
      <c r="K304" s="982">
        <f>SUM(K301:K303)</f>
        <v>517.00333333333333</v>
      </c>
      <c r="L304" s="972">
        <f>K304-517</f>
        <v>3.3333333333303017E-3</v>
      </c>
      <c r="M304" s="972"/>
    </row>
    <row r="305" spans="5:130">
      <c r="E305" s="972"/>
      <c r="F305" s="972"/>
      <c r="G305" s="972"/>
      <c r="H305" s="972"/>
      <c r="I305" s="972"/>
      <c r="J305" s="972"/>
      <c r="K305" s="972"/>
      <c r="L305" s="972"/>
      <c r="M305" s="972"/>
    </row>
    <row r="306" spans="5:130">
      <c r="E306" s="972"/>
      <c r="F306" s="972"/>
      <c r="G306" s="972"/>
      <c r="H306" s="972"/>
      <c r="I306" s="972"/>
      <c r="J306" s="972"/>
      <c r="K306" s="972"/>
      <c r="L306" s="972"/>
      <c r="M306" s="972"/>
    </row>
    <row r="307" spans="5:130">
      <c r="E307" s="972"/>
      <c r="F307" s="972"/>
      <c r="G307" s="972"/>
      <c r="H307" s="983" t="s">
        <v>3391</v>
      </c>
      <c r="I307" s="972"/>
      <c r="J307" s="972"/>
      <c r="K307" s="972"/>
      <c r="L307" s="972"/>
      <c r="M307" s="972"/>
    </row>
    <row r="308" spans="5:130">
      <c r="E308" s="972"/>
      <c r="F308" s="972">
        <v>2</v>
      </c>
      <c r="G308" s="972" t="s">
        <v>68</v>
      </c>
      <c r="H308" s="972" t="s">
        <v>3392</v>
      </c>
      <c r="I308" s="972">
        <f>I37</f>
        <v>778</v>
      </c>
      <c r="J308" s="972" t="s">
        <v>68</v>
      </c>
      <c r="K308" s="972">
        <f>F308*I308</f>
        <v>1556</v>
      </c>
      <c r="L308" s="972"/>
      <c r="M308" s="972"/>
    </row>
    <row r="309" spans="5:130">
      <c r="E309" s="972"/>
      <c r="F309" s="972">
        <v>3</v>
      </c>
      <c r="G309" s="972" t="s">
        <v>68</v>
      </c>
      <c r="H309" s="972" t="s">
        <v>3393</v>
      </c>
      <c r="I309" s="972">
        <f>I38</f>
        <v>611</v>
      </c>
      <c r="J309" s="972" t="s">
        <v>68</v>
      </c>
      <c r="K309" s="972">
        <f>F309*I309</f>
        <v>1833</v>
      </c>
      <c r="L309" s="972"/>
      <c r="M309" s="972"/>
    </row>
    <row r="310" spans="5:130">
      <c r="E310" s="972"/>
      <c r="F310" s="972"/>
      <c r="G310" s="972"/>
      <c r="H310" s="979" t="s">
        <v>3394</v>
      </c>
      <c r="I310" s="972"/>
      <c r="J310" s="972"/>
      <c r="K310" s="980">
        <f>SUM(K308:K309)</f>
        <v>3389</v>
      </c>
      <c r="L310" s="972"/>
      <c r="M310" s="972"/>
    </row>
    <row r="311" spans="5:130">
      <c r="E311" s="972"/>
      <c r="F311" s="972"/>
      <c r="G311" s="972"/>
      <c r="H311" s="981" t="s">
        <v>3395</v>
      </c>
      <c r="I311" s="972"/>
      <c r="J311" s="972"/>
      <c r="K311" s="982">
        <f>K310/15</f>
        <v>225.93333333333334</v>
      </c>
      <c r="L311" s="972"/>
      <c r="M311" s="972"/>
    </row>
    <row r="312" spans="5:130">
      <c r="E312" s="972"/>
      <c r="F312" s="972"/>
      <c r="G312" s="972"/>
      <c r="H312" s="972"/>
      <c r="I312" s="972"/>
      <c r="J312" s="972"/>
      <c r="K312" s="972"/>
      <c r="L312" s="972"/>
      <c r="M312" s="972"/>
    </row>
    <row r="313" spans="5:130">
      <c r="E313" s="972"/>
      <c r="F313" s="972"/>
      <c r="G313" s="972"/>
      <c r="H313" s="982" t="s">
        <v>4717</v>
      </c>
      <c r="I313" s="972"/>
      <c r="J313" s="972"/>
      <c r="K313" s="972"/>
      <c r="L313" s="972"/>
      <c r="M313" s="972"/>
    </row>
    <row r="314" spans="5:130">
      <c r="E314" s="972"/>
      <c r="F314" s="972"/>
      <c r="G314" s="972"/>
      <c r="H314" s="972"/>
      <c r="I314" s="972"/>
      <c r="J314" s="972"/>
      <c r="K314" s="972"/>
      <c r="L314" s="972"/>
      <c r="M314" s="972"/>
    </row>
    <row r="315" spans="5:130" ht="63">
      <c r="E315" s="972"/>
      <c r="F315" s="972"/>
      <c r="G315" s="972"/>
      <c r="H315" s="969" t="s">
        <v>4718</v>
      </c>
      <c r="I315" s="972"/>
      <c r="J315" s="972"/>
      <c r="K315" s="972"/>
      <c r="L315" s="972"/>
      <c r="M315" s="972"/>
    </row>
    <row r="316" spans="5:130">
      <c r="E316" s="972"/>
      <c r="F316" s="972"/>
      <c r="G316" s="972"/>
      <c r="H316" s="972"/>
      <c r="I316" s="972"/>
      <c r="J316" s="972"/>
      <c r="K316" s="972"/>
      <c r="L316" s="972"/>
      <c r="M316" s="972"/>
    </row>
    <row r="317" spans="5:130" ht="63">
      <c r="E317" s="972"/>
      <c r="F317" s="972"/>
      <c r="G317" s="972"/>
      <c r="H317" s="971" t="s">
        <v>4719</v>
      </c>
      <c r="I317" s="972"/>
      <c r="J317" s="972"/>
      <c r="K317" s="972"/>
      <c r="L317" s="972"/>
      <c r="M317" s="972"/>
    </row>
    <row r="318" spans="5:130">
      <c r="E318" s="972"/>
      <c r="F318" s="972"/>
      <c r="G318" s="972"/>
      <c r="H318" s="972"/>
      <c r="I318" s="972"/>
      <c r="J318" s="972"/>
      <c r="K318" s="972"/>
      <c r="L318" s="972"/>
      <c r="M318" s="972"/>
    </row>
    <row r="319" spans="5:130" ht="31.5">
      <c r="E319" s="972"/>
      <c r="F319" s="997">
        <v>1</v>
      </c>
      <c r="G319" s="997" t="s">
        <v>68</v>
      </c>
      <c r="H319" s="998" t="s">
        <v>4720</v>
      </c>
      <c r="I319" s="999">
        <v>344</v>
      </c>
      <c r="J319" s="997" t="s">
        <v>68</v>
      </c>
      <c r="K319" s="997">
        <f>F319*I319</f>
        <v>344</v>
      </c>
      <c r="L319" s="997"/>
      <c r="M319" s="997"/>
      <c r="N319" s="1000"/>
      <c r="O319" s="1000"/>
      <c r="P319" s="1000"/>
      <c r="Q319" s="1000"/>
      <c r="R319" s="1000"/>
      <c r="S319" s="1000"/>
      <c r="T319" s="1000"/>
      <c r="U319" s="1000"/>
      <c r="V319" s="1000"/>
      <c r="W319" s="1000"/>
      <c r="X319" s="1000"/>
      <c r="Y319" s="1000"/>
      <c r="Z319" s="1000"/>
      <c r="AA319" s="1000"/>
      <c r="AB319" s="1000"/>
      <c r="AC319" s="1000"/>
      <c r="AD319" s="1000"/>
      <c r="AE319" s="1000"/>
      <c r="AF319" s="1000"/>
      <c r="AG319" s="1000"/>
      <c r="AH319" s="1000"/>
      <c r="AI319" s="1000"/>
      <c r="AJ319" s="1000"/>
      <c r="AK319" s="1000"/>
      <c r="AL319" s="1000"/>
      <c r="AM319" s="1000"/>
      <c r="AN319" s="1000"/>
      <c r="AO319" s="1000"/>
      <c r="AP319" s="1000"/>
      <c r="AQ319" s="1000"/>
      <c r="AR319" s="1000"/>
      <c r="AS319" s="1000"/>
      <c r="AT319" s="1000"/>
      <c r="AU319" s="1000"/>
      <c r="AV319" s="1000"/>
      <c r="AW319" s="1000"/>
      <c r="AX319" s="1000"/>
      <c r="AY319" s="1000"/>
      <c r="AZ319" s="1000"/>
      <c r="BA319" s="1000"/>
      <c r="BB319" s="1000"/>
      <c r="BC319" s="1000"/>
      <c r="BD319" s="1000"/>
      <c r="BE319" s="1000"/>
      <c r="BF319" s="1000"/>
      <c r="BG319" s="1000"/>
      <c r="BH319" s="1000"/>
      <c r="BI319" s="1000"/>
      <c r="BJ319" s="1000"/>
      <c r="BK319" s="1000"/>
      <c r="BL319" s="1000"/>
      <c r="BM319" s="1000"/>
      <c r="BN319" s="1000"/>
      <c r="BO319" s="1000"/>
      <c r="BP319" s="1000"/>
      <c r="BQ319" s="1000"/>
      <c r="BR319" s="1000"/>
      <c r="BS319" s="1000"/>
      <c r="BT319" s="1000"/>
      <c r="BU319" s="1000"/>
      <c r="BV319" s="1000"/>
      <c r="BW319" s="1000"/>
      <c r="BX319" s="1000"/>
      <c r="BY319" s="1000"/>
      <c r="BZ319" s="1000"/>
      <c r="CA319" s="1000"/>
      <c r="CB319" s="1000"/>
      <c r="CC319" s="1000"/>
      <c r="CD319" s="1000"/>
      <c r="CE319" s="1000"/>
      <c r="CF319" s="1000"/>
      <c r="CG319" s="1000"/>
      <c r="CH319" s="1000"/>
      <c r="CI319" s="1000"/>
      <c r="CJ319" s="1000"/>
      <c r="CK319" s="1000"/>
      <c r="CL319" s="1000"/>
      <c r="CM319" s="1000"/>
      <c r="CN319" s="1000"/>
      <c r="CO319" s="1000"/>
      <c r="CP319" s="1000"/>
      <c r="CQ319" s="1000"/>
      <c r="CR319" s="1000"/>
      <c r="CS319" s="1000"/>
      <c r="CT319" s="1000"/>
      <c r="CU319" s="1000"/>
      <c r="CV319" s="1000"/>
      <c r="CW319" s="1000"/>
      <c r="CX319" s="1000"/>
      <c r="CY319" s="1000"/>
      <c r="CZ319" s="1000"/>
      <c r="DA319" s="1000"/>
      <c r="DB319" s="1000"/>
      <c r="DC319" s="1000"/>
      <c r="DD319" s="1000"/>
      <c r="DE319" s="1000"/>
      <c r="DF319" s="1000"/>
      <c r="DG319" s="1000"/>
      <c r="DH319" s="1000"/>
      <c r="DI319" s="1000"/>
      <c r="DJ319" s="1000"/>
      <c r="DK319" s="1000"/>
      <c r="DL319" s="1000"/>
      <c r="DM319" s="1000"/>
      <c r="DN319" s="1000"/>
      <c r="DO319" s="1000"/>
      <c r="DP319" s="1000"/>
      <c r="DQ319" s="1000"/>
      <c r="DR319" s="1000"/>
      <c r="DS319" s="1000"/>
      <c r="DT319" s="1000"/>
      <c r="DU319" s="1000"/>
      <c r="DV319" s="1000"/>
      <c r="DW319" s="1000"/>
      <c r="DX319" s="1000"/>
      <c r="DY319" s="1000"/>
      <c r="DZ319" s="1000"/>
    </row>
    <row r="320" spans="5:130" s="1000" customFormat="1" ht="31.5">
      <c r="E320" s="997"/>
      <c r="F320" s="997">
        <v>1</v>
      </c>
      <c r="G320" s="997" t="s">
        <v>68</v>
      </c>
      <c r="H320" s="998" t="s">
        <v>4721</v>
      </c>
      <c r="I320" s="1001">
        <v>60.5</v>
      </c>
      <c r="J320" s="997" t="s">
        <v>68</v>
      </c>
      <c r="K320" s="997">
        <f>F320*I320</f>
        <v>60.5</v>
      </c>
      <c r="L320" s="997"/>
      <c r="M320" s="997"/>
    </row>
    <row r="321" spans="5:130" s="1000" customFormat="1" ht="31.5">
      <c r="E321" s="997"/>
      <c r="F321" s="972"/>
      <c r="G321" s="972"/>
      <c r="H321" s="971" t="s">
        <v>4722</v>
      </c>
      <c r="I321" s="972"/>
      <c r="J321" s="972"/>
      <c r="K321" s="972">
        <v>10.25</v>
      </c>
      <c r="L321" s="972"/>
      <c r="M321" s="972"/>
      <c r="N321" s="956"/>
      <c r="O321" s="956"/>
      <c r="P321" s="956"/>
      <c r="Q321" s="956"/>
      <c r="R321" s="956"/>
      <c r="S321" s="956"/>
      <c r="T321" s="956"/>
      <c r="U321" s="956"/>
      <c r="V321" s="956"/>
      <c r="W321" s="956"/>
      <c r="X321" s="956"/>
      <c r="Y321" s="956"/>
      <c r="Z321" s="956"/>
      <c r="AA321" s="956"/>
      <c r="AB321" s="956"/>
      <c r="AC321" s="956"/>
      <c r="AD321" s="956"/>
      <c r="AE321" s="956"/>
      <c r="AF321" s="956"/>
      <c r="AG321" s="956"/>
      <c r="AH321" s="956"/>
      <c r="AI321" s="956"/>
      <c r="AJ321" s="956"/>
      <c r="AK321" s="956"/>
      <c r="AL321" s="956"/>
      <c r="AM321" s="956"/>
      <c r="AN321" s="956"/>
      <c r="AO321" s="956"/>
      <c r="AP321" s="956"/>
      <c r="AQ321" s="956"/>
      <c r="AR321" s="956"/>
      <c r="AS321" s="956"/>
      <c r="AT321" s="956"/>
      <c r="AU321" s="956"/>
      <c r="AV321" s="956"/>
      <c r="AW321" s="956"/>
      <c r="AX321" s="956"/>
      <c r="AY321" s="956"/>
      <c r="AZ321" s="956"/>
      <c r="BA321" s="956"/>
      <c r="BB321" s="956"/>
      <c r="BC321" s="956"/>
      <c r="BD321" s="956"/>
      <c r="BE321" s="956"/>
      <c r="BF321" s="956"/>
      <c r="BG321" s="956"/>
      <c r="BH321" s="956"/>
      <c r="BI321" s="956"/>
      <c r="BJ321" s="956"/>
      <c r="BK321" s="956"/>
      <c r="BL321" s="956"/>
      <c r="BM321" s="956"/>
      <c r="BN321" s="956"/>
      <c r="BO321" s="956"/>
      <c r="BP321" s="956"/>
      <c r="BQ321" s="956"/>
      <c r="BR321" s="956"/>
      <c r="BS321" s="956"/>
      <c r="BT321" s="956"/>
      <c r="BU321" s="956"/>
      <c r="BV321" s="956"/>
      <c r="BW321" s="956"/>
      <c r="BX321" s="956"/>
      <c r="BY321" s="956"/>
      <c r="BZ321" s="956"/>
      <c r="CA321" s="956"/>
      <c r="CB321" s="956"/>
      <c r="CC321" s="956"/>
      <c r="CD321" s="956"/>
      <c r="CE321" s="956"/>
      <c r="CF321" s="956"/>
      <c r="CG321" s="956"/>
      <c r="CH321" s="956"/>
      <c r="CI321" s="956"/>
      <c r="CJ321" s="956"/>
      <c r="CK321" s="956"/>
      <c r="CL321" s="956"/>
      <c r="CM321" s="956"/>
      <c r="CN321" s="956"/>
      <c r="CO321" s="956"/>
      <c r="CP321" s="956"/>
      <c r="CQ321" s="956"/>
      <c r="CR321" s="956"/>
      <c r="CS321" s="956"/>
      <c r="CT321" s="956"/>
      <c r="CU321" s="956"/>
      <c r="CV321" s="956"/>
      <c r="CW321" s="956"/>
      <c r="CX321" s="956"/>
      <c r="CY321" s="956"/>
      <c r="CZ321" s="956"/>
      <c r="DA321" s="956"/>
      <c r="DB321" s="956"/>
      <c r="DC321" s="956"/>
      <c r="DD321" s="956"/>
      <c r="DE321" s="956"/>
      <c r="DF321" s="956"/>
      <c r="DG321" s="956"/>
      <c r="DH321" s="956"/>
      <c r="DI321" s="956"/>
      <c r="DJ321" s="956"/>
      <c r="DK321" s="956"/>
      <c r="DL321" s="956"/>
      <c r="DM321" s="956"/>
      <c r="DN321" s="956"/>
      <c r="DO321" s="956"/>
      <c r="DP321" s="956"/>
      <c r="DQ321" s="956"/>
      <c r="DR321" s="956"/>
      <c r="DS321" s="956"/>
      <c r="DT321" s="956"/>
      <c r="DU321" s="956"/>
      <c r="DV321" s="956"/>
      <c r="DW321" s="956"/>
      <c r="DX321" s="956"/>
      <c r="DY321" s="956"/>
      <c r="DZ321" s="956"/>
    </row>
    <row r="322" spans="5:130">
      <c r="E322" s="972"/>
      <c r="F322" s="972"/>
      <c r="G322" s="972"/>
      <c r="H322" s="972" t="s">
        <v>910</v>
      </c>
      <c r="I322" s="972"/>
      <c r="J322" s="972"/>
      <c r="K322" s="972">
        <f>K330</f>
        <v>501.25</v>
      </c>
      <c r="L322" s="972"/>
      <c r="M322" s="972"/>
    </row>
    <row r="323" spans="5:130">
      <c r="E323" s="972"/>
      <c r="F323" s="972"/>
      <c r="G323" s="972"/>
      <c r="H323" s="981" t="s">
        <v>3395</v>
      </c>
      <c r="I323" s="972"/>
      <c r="J323" s="972"/>
      <c r="K323" s="982">
        <f>SUM(K319:K322)</f>
        <v>916</v>
      </c>
      <c r="L323" s="972">
        <f>K323-916</f>
        <v>0</v>
      </c>
      <c r="M323" s="972">
        <f>577-576.75</f>
        <v>0.25</v>
      </c>
    </row>
    <row r="324" spans="5:130">
      <c r="E324" s="972"/>
      <c r="F324" s="972"/>
      <c r="G324" s="972"/>
      <c r="H324" s="972"/>
      <c r="I324" s="972"/>
      <c r="J324" s="972"/>
      <c r="K324" s="972"/>
      <c r="L324" s="972"/>
      <c r="M324" s="972"/>
    </row>
    <row r="325" spans="5:130">
      <c r="E325" s="972"/>
      <c r="F325" s="972"/>
      <c r="G325" s="972"/>
      <c r="H325" s="972"/>
      <c r="I325" s="972"/>
      <c r="J325" s="972"/>
      <c r="K325" s="972"/>
      <c r="L325" s="972"/>
      <c r="M325" s="972"/>
    </row>
    <row r="326" spans="5:130">
      <c r="E326" s="972"/>
      <c r="F326" s="972"/>
      <c r="G326" s="972"/>
      <c r="H326" s="983" t="s">
        <v>910</v>
      </c>
      <c r="I326" s="972"/>
      <c r="J326" s="972"/>
      <c r="K326" s="972"/>
      <c r="L326" s="972"/>
      <c r="M326" s="972"/>
    </row>
    <row r="327" spans="5:130">
      <c r="E327" s="972"/>
      <c r="F327" s="972">
        <v>1</v>
      </c>
      <c r="G327" s="972" t="s">
        <v>68</v>
      </c>
      <c r="H327" s="972" t="s">
        <v>4723</v>
      </c>
      <c r="I327" s="972">
        <f>I36</f>
        <v>783</v>
      </c>
      <c r="J327" s="972" t="s">
        <v>68</v>
      </c>
      <c r="K327" s="972">
        <f>F327*I327</f>
        <v>783</v>
      </c>
      <c r="L327" s="972"/>
      <c r="M327" s="972"/>
    </row>
    <row r="328" spans="5:130">
      <c r="E328" s="972"/>
      <c r="F328" s="972">
        <v>2</v>
      </c>
      <c r="G328" s="972" t="s">
        <v>68</v>
      </c>
      <c r="H328" s="972" t="s">
        <v>3393</v>
      </c>
      <c r="I328" s="972">
        <f>I309</f>
        <v>611</v>
      </c>
      <c r="J328" s="972" t="s">
        <v>68</v>
      </c>
      <c r="K328" s="972">
        <f>F328*I328</f>
        <v>1222</v>
      </c>
      <c r="L328" s="972"/>
      <c r="M328" s="972"/>
    </row>
    <row r="329" spans="5:130">
      <c r="E329" s="972"/>
      <c r="F329" s="972"/>
      <c r="G329" s="972"/>
      <c r="H329" s="979" t="s">
        <v>4724</v>
      </c>
      <c r="I329" s="972"/>
      <c r="J329" s="972"/>
      <c r="K329" s="980">
        <f>SUM(K327:K328)</f>
        <v>2005</v>
      </c>
      <c r="L329" s="972"/>
      <c r="M329" s="972"/>
    </row>
    <row r="330" spans="5:130">
      <c r="E330" s="972"/>
      <c r="F330" s="972"/>
      <c r="G330" s="972"/>
      <c r="H330" s="981" t="s">
        <v>4601</v>
      </c>
      <c r="I330" s="972"/>
      <c r="J330" s="972"/>
      <c r="K330" s="982">
        <f>K329/4</f>
        <v>501.25</v>
      </c>
      <c r="L330" s="972"/>
      <c r="M330" s="972"/>
    </row>
    <row r="331" spans="5:130">
      <c r="E331" s="972"/>
      <c r="F331" s="972"/>
      <c r="G331" s="972"/>
      <c r="H331" s="972"/>
      <c r="I331" s="972"/>
      <c r="J331" s="972"/>
      <c r="K331" s="972"/>
      <c r="L331" s="972"/>
      <c r="M331" s="972"/>
    </row>
    <row r="332" spans="5:130">
      <c r="E332" s="972"/>
      <c r="F332" s="972"/>
      <c r="G332" s="972"/>
      <c r="H332" s="982" t="s">
        <v>4725</v>
      </c>
      <c r="I332" s="972"/>
      <c r="J332" s="972"/>
      <c r="K332" s="972"/>
      <c r="L332" s="972"/>
      <c r="M332" s="972"/>
    </row>
    <row r="333" spans="5:130">
      <c r="E333" s="972"/>
      <c r="F333" s="972"/>
      <c r="G333" s="972"/>
      <c r="H333" s="972"/>
      <c r="I333" s="972"/>
      <c r="J333" s="972"/>
      <c r="K333" s="972"/>
      <c r="L333" s="972"/>
      <c r="M333" s="972"/>
    </row>
    <row r="334" spans="5:130" ht="63">
      <c r="E334" s="972"/>
      <c r="F334" s="972"/>
      <c r="G334" s="972"/>
      <c r="H334" s="969" t="s">
        <v>4508</v>
      </c>
      <c r="I334" s="972"/>
      <c r="J334" s="972"/>
      <c r="K334" s="972"/>
      <c r="L334" s="972"/>
      <c r="M334" s="972"/>
    </row>
    <row r="335" spans="5:130">
      <c r="E335" s="972"/>
      <c r="F335" s="972"/>
      <c r="G335" s="972"/>
      <c r="H335" s="972"/>
      <c r="I335" s="972"/>
      <c r="J335" s="972"/>
      <c r="K335" s="972"/>
      <c r="L335" s="972"/>
      <c r="M335" s="972"/>
    </row>
    <row r="336" spans="5:130" ht="63">
      <c r="E336" s="972"/>
      <c r="F336" s="972"/>
      <c r="G336" s="972"/>
      <c r="H336" s="971" t="s">
        <v>4726</v>
      </c>
      <c r="I336" s="972"/>
      <c r="J336" s="972"/>
      <c r="K336" s="972"/>
      <c r="L336" s="972"/>
      <c r="M336" s="972"/>
    </row>
    <row r="337" spans="5:130">
      <c r="E337" s="972"/>
      <c r="F337" s="972"/>
      <c r="G337" s="972"/>
      <c r="H337" s="972"/>
      <c r="I337" s="972"/>
      <c r="J337" s="972"/>
      <c r="K337" s="972"/>
      <c r="L337" s="972"/>
      <c r="M337" s="972"/>
    </row>
    <row r="338" spans="5:130" ht="31.5">
      <c r="E338" s="972"/>
      <c r="F338" s="997">
        <v>1</v>
      </c>
      <c r="G338" s="997" t="s">
        <v>68</v>
      </c>
      <c r="H338" s="998" t="s">
        <v>5769</v>
      </c>
      <c r="I338" s="999">
        <v>775</v>
      </c>
      <c r="J338" s="997" t="s">
        <v>68</v>
      </c>
      <c r="K338" s="997">
        <f>F338*I338</f>
        <v>775</v>
      </c>
      <c r="L338" s="997"/>
      <c r="M338" s="997"/>
      <c r="N338" s="1000"/>
      <c r="O338" s="1000"/>
      <c r="P338" s="1000"/>
      <c r="Q338" s="1000"/>
      <c r="R338" s="1000"/>
      <c r="S338" s="1000"/>
      <c r="T338" s="1000"/>
      <c r="U338" s="1000"/>
      <c r="V338" s="1000"/>
      <c r="W338" s="1000"/>
      <c r="X338" s="1000"/>
      <c r="Y338" s="1000"/>
      <c r="Z338" s="1000"/>
      <c r="AA338" s="1000"/>
      <c r="AB338" s="1000"/>
      <c r="AC338" s="1000"/>
      <c r="AD338" s="1000"/>
      <c r="AE338" s="1000"/>
      <c r="AF338" s="1000"/>
      <c r="AG338" s="1000"/>
      <c r="AH338" s="1000"/>
      <c r="AI338" s="1000"/>
      <c r="AJ338" s="1000"/>
      <c r="AK338" s="1000"/>
      <c r="AL338" s="1000"/>
      <c r="AM338" s="1000"/>
      <c r="AN338" s="1000"/>
      <c r="AO338" s="1000"/>
      <c r="AP338" s="1000"/>
      <c r="AQ338" s="1000"/>
      <c r="AR338" s="1000"/>
      <c r="AS338" s="1000"/>
      <c r="AT338" s="1000"/>
      <c r="AU338" s="1000"/>
      <c r="AV338" s="1000"/>
      <c r="AW338" s="1000"/>
      <c r="AX338" s="1000"/>
      <c r="AY338" s="1000"/>
      <c r="AZ338" s="1000"/>
      <c r="BA338" s="1000"/>
      <c r="BB338" s="1000"/>
      <c r="BC338" s="1000"/>
      <c r="BD338" s="1000"/>
      <c r="BE338" s="1000"/>
      <c r="BF338" s="1000"/>
      <c r="BG338" s="1000"/>
      <c r="BH338" s="1000"/>
      <c r="BI338" s="1000"/>
      <c r="BJ338" s="1000"/>
      <c r="BK338" s="1000"/>
      <c r="BL338" s="1000"/>
      <c r="BM338" s="1000"/>
      <c r="BN338" s="1000"/>
      <c r="BO338" s="1000"/>
      <c r="BP338" s="1000"/>
      <c r="BQ338" s="1000"/>
      <c r="BR338" s="1000"/>
      <c r="BS338" s="1000"/>
      <c r="BT338" s="1000"/>
      <c r="BU338" s="1000"/>
      <c r="BV338" s="1000"/>
      <c r="BW338" s="1000"/>
      <c r="BX338" s="1000"/>
      <c r="BY338" s="1000"/>
      <c r="BZ338" s="1000"/>
      <c r="CA338" s="1000"/>
      <c r="CB338" s="1000"/>
      <c r="CC338" s="1000"/>
      <c r="CD338" s="1000"/>
      <c r="CE338" s="1000"/>
      <c r="CF338" s="1000"/>
      <c r="CG338" s="1000"/>
      <c r="CH338" s="1000"/>
      <c r="CI338" s="1000"/>
      <c r="CJ338" s="1000"/>
      <c r="CK338" s="1000"/>
      <c r="CL338" s="1000"/>
      <c r="CM338" s="1000"/>
      <c r="CN338" s="1000"/>
      <c r="CO338" s="1000"/>
      <c r="CP338" s="1000"/>
      <c r="CQ338" s="1000"/>
      <c r="CR338" s="1000"/>
      <c r="CS338" s="1000"/>
      <c r="CT338" s="1000"/>
      <c r="CU338" s="1000"/>
      <c r="CV338" s="1000"/>
      <c r="CW338" s="1000"/>
      <c r="CX338" s="1000"/>
      <c r="CY338" s="1000"/>
      <c r="CZ338" s="1000"/>
      <c r="DA338" s="1000"/>
      <c r="DB338" s="1000"/>
      <c r="DC338" s="1000"/>
      <c r="DD338" s="1000"/>
      <c r="DE338" s="1000"/>
      <c r="DF338" s="1000"/>
      <c r="DG338" s="1000"/>
      <c r="DH338" s="1000"/>
      <c r="DI338" s="1000"/>
      <c r="DJ338" s="1000"/>
      <c r="DK338" s="1000"/>
      <c r="DL338" s="1000"/>
      <c r="DM338" s="1000"/>
      <c r="DN338" s="1000"/>
      <c r="DO338" s="1000"/>
      <c r="DP338" s="1000"/>
      <c r="DQ338" s="1000"/>
      <c r="DR338" s="1000"/>
      <c r="DS338" s="1000"/>
      <c r="DT338" s="1000"/>
      <c r="DU338" s="1000"/>
      <c r="DV338" s="1000"/>
      <c r="DW338" s="1000"/>
      <c r="DX338" s="1000"/>
      <c r="DY338" s="1000"/>
      <c r="DZ338" s="1000"/>
    </row>
    <row r="339" spans="5:130" s="1000" customFormat="1" ht="31.5">
      <c r="E339" s="997"/>
      <c r="F339" s="997">
        <v>1</v>
      </c>
      <c r="G339" s="997" t="s">
        <v>68</v>
      </c>
      <c r="H339" s="1002" t="s">
        <v>4727</v>
      </c>
      <c r="I339" s="997">
        <f>I320</f>
        <v>60.5</v>
      </c>
      <c r="J339" s="997" t="s">
        <v>68</v>
      </c>
      <c r="K339" s="997">
        <f>F339*I339</f>
        <v>60.5</v>
      </c>
      <c r="L339" s="997"/>
      <c r="M339" s="997"/>
    </row>
    <row r="340" spans="5:130" s="1000" customFormat="1" ht="31.5">
      <c r="E340" s="997"/>
      <c r="F340" s="972"/>
      <c r="G340" s="972"/>
      <c r="H340" s="971" t="s">
        <v>4722</v>
      </c>
      <c r="I340" s="972"/>
      <c r="J340" s="972"/>
      <c r="K340" s="972">
        <v>8.85</v>
      </c>
      <c r="L340" s="972"/>
      <c r="M340" s="972"/>
      <c r="N340" s="956"/>
      <c r="O340" s="956"/>
      <c r="P340" s="956"/>
      <c r="Q340" s="956"/>
      <c r="R340" s="956"/>
      <c r="S340" s="956"/>
      <c r="T340" s="956"/>
      <c r="U340" s="956"/>
      <c r="V340" s="956"/>
      <c r="W340" s="956"/>
      <c r="X340" s="956"/>
      <c r="Y340" s="956"/>
      <c r="Z340" s="956"/>
      <c r="AA340" s="956"/>
      <c r="AB340" s="956"/>
      <c r="AC340" s="956"/>
      <c r="AD340" s="956"/>
      <c r="AE340" s="956"/>
      <c r="AF340" s="956"/>
      <c r="AG340" s="956"/>
      <c r="AH340" s="956"/>
      <c r="AI340" s="956"/>
      <c r="AJ340" s="956"/>
      <c r="AK340" s="956"/>
      <c r="AL340" s="956"/>
      <c r="AM340" s="956"/>
      <c r="AN340" s="956"/>
      <c r="AO340" s="956"/>
      <c r="AP340" s="956"/>
      <c r="AQ340" s="956"/>
      <c r="AR340" s="956"/>
      <c r="AS340" s="956"/>
      <c r="AT340" s="956"/>
      <c r="AU340" s="956"/>
      <c r="AV340" s="956"/>
      <c r="AW340" s="956"/>
      <c r="AX340" s="956"/>
      <c r="AY340" s="956"/>
      <c r="AZ340" s="956"/>
      <c r="BA340" s="956"/>
      <c r="BB340" s="956"/>
      <c r="BC340" s="956"/>
      <c r="BD340" s="956"/>
      <c r="BE340" s="956"/>
      <c r="BF340" s="956"/>
      <c r="BG340" s="956"/>
      <c r="BH340" s="956"/>
      <c r="BI340" s="956"/>
      <c r="BJ340" s="956"/>
      <c r="BK340" s="956"/>
      <c r="BL340" s="956"/>
      <c r="BM340" s="956"/>
      <c r="BN340" s="956"/>
      <c r="BO340" s="956"/>
      <c r="BP340" s="956"/>
      <c r="BQ340" s="956"/>
      <c r="BR340" s="956"/>
      <c r="BS340" s="956"/>
      <c r="BT340" s="956"/>
      <c r="BU340" s="956"/>
      <c r="BV340" s="956"/>
      <c r="BW340" s="956"/>
      <c r="BX340" s="956"/>
      <c r="BY340" s="956"/>
      <c r="BZ340" s="956"/>
      <c r="CA340" s="956"/>
      <c r="CB340" s="956"/>
      <c r="CC340" s="956"/>
      <c r="CD340" s="956"/>
      <c r="CE340" s="956"/>
      <c r="CF340" s="956"/>
      <c r="CG340" s="956"/>
      <c r="CH340" s="956"/>
      <c r="CI340" s="956"/>
      <c r="CJ340" s="956"/>
      <c r="CK340" s="956"/>
      <c r="CL340" s="956"/>
      <c r="CM340" s="956"/>
      <c r="CN340" s="956"/>
      <c r="CO340" s="956"/>
      <c r="CP340" s="956"/>
      <c r="CQ340" s="956"/>
      <c r="CR340" s="956"/>
      <c r="CS340" s="956"/>
      <c r="CT340" s="956"/>
      <c r="CU340" s="956"/>
      <c r="CV340" s="956"/>
      <c r="CW340" s="956"/>
      <c r="CX340" s="956"/>
      <c r="CY340" s="956"/>
      <c r="CZ340" s="956"/>
      <c r="DA340" s="956"/>
      <c r="DB340" s="956"/>
      <c r="DC340" s="956"/>
      <c r="DD340" s="956"/>
      <c r="DE340" s="956"/>
      <c r="DF340" s="956"/>
      <c r="DG340" s="956"/>
      <c r="DH340" s="956"/>
      <c r="DI340" s="956"/>
      <c r="DJ340" s="956"/>
      <c r="DK340" s="956"/>
      <c r="DL340" s="956"/>
      <c r="DM340" s="956"/>
      <c r="DN340" s="956"/>
      <c r="DO340" s="956"/>
      <c r="DP340" s="956"/>
      <c r="DQ340" s="956"/>
      <c r="DR340" s="956"/>
      <c r="DS340" s="956"/>
      <c r="DT340" s="956"/>
      <c r="DU340" s="956"/>
      <c r="DV340" s="956"/>
      <c r="DW340" s="956"/>
      <c r="DX340" s="956"/>
      <c r="DY340" s="956"/>
      <c r="DZ340" s="956"/>
    </row>
    <row r="341" spans="5:130">
      <c r="E341" s="972"/>
      <c r="F341" s="972"/>
      <c r="G341" s="972"/>
      <c r="H341" s="972" t="s">
        <v>910</v>
      </c>
      <c r="I341" s="972"/>
      <c r="J341" s="972"/>
      <c r="K341" s="972">
        <f>K330</f>
        <v>501.25</v>
      </c>
      <c r="L341" s="972"/>
      <c r="M341" s="972"/>
    </row>
    <row r="342" spans="5:130">
      <c r="E342" s="972"/>
      <c r="F342" s="972"/>
      <c r="G342" s="972"/>
      <c r="H342" s="981" t="s">
        <v>3395</v>
      </c>
      <c r="I342" s="972"/>
      <c r="J342" s="972"/>
      <c r="K342" s="982">
        <f>SUM(K338:K341)</f>
        <v>1345.6</v>
      </c>
      <c r="L342" s="972"/>
      <c r="M342" s="972">
        <f>K342-1345</f>
        <v>0.59999999999990905</v>
      </c>
    </row>
    <row r="343" spans="5:130">
      <c r="E343" s="972"/>
      <c r="F343" s="972"/>
      <c r="G343" s="972"/>
      <c r="H343" s="972"/>
      <c r="I343" s="972"/>
      <c r="J343" s="972"/>
      <c r="K343" s="972"/>
      <c r="L343" s="972"/>
      <c r="M343" s="972"/>
    </row>
    <row r="344" spans="5:130">
      <c r="E344" s="972"/>
      <c r="F344" s="972"/>
      <c r="G344" s="972"/>
      <c r="H344" s="972"/>
      <c r="I344" s="972"/>
      <c r="J344" s="972"/>
      <c r="K344" s="972"/>
      <c r="L344" s="972"/>
      <c r="M344" s="972"/>
    </row>
    <row r="345" spans="5:130">
      <c r="E345" s="972"/>
      <c r="F345" s="972"/>
      <c r="G345" s="972"/>
      <c r="H345" s="982" t="s">
        <v>4728</v>
      </c>
      <c r="I345" s="972"/>
      <c r="J345" s="972"/>
      <c r="K345" s="972"/>
      <c r="L345" s="972"/>
      <c r="M345" s="972"/>
    </row>
    <row r="346" spans="5:130">
      <c r="E346" s="972"/>
      <c r="F346" s="972"/>
      <c r="G346" s="972"/>
      <c r="H346" s="972"/>
      <c r="I346" s="972"/>
      <c r="J346" s="972"/>
      <c r="K346" s="972"/>
      <c r="L346" s="972"/>
      <c r="M346" s="972"/>
    </row>
    <row r="347" spans="5:130" ht="47.25">
      <c r="E347" s="972"/>
      <c r="F347" s="972"/>
      <c r="G347" s="972"/>
      <c r="H347" s="971" t="s">
        <v>4509</v>
      </c>
      <c r="I347" s="972"/>
      <c r="J347" s="972"/>
      <c r="K347" s="972"/>
      <c r="L347" s="972"/>
      <c r="M347" s="972"/>
    </row>
    <row r="348" spans="5:130">
      <c r="E348" s="972"/>
      <c r="F348" s="972"/>
      <c r="G348" s="972"/>
      <c r="H348" s="972"/>
      <c r="I348" s="972"/>
      <c r="J348" s="972"/>
      <c r="K348" s="972"/>
      <c r="L348" s="972"/>
      <c r="M348" s="972"/>
    </row>
    <row r="349" spans="5:130" ht="31.5">
      <c r="E349" s="972"/>
      <c r="F349" s="972">
        <v>1</v>
      </c>
      <c r="G349" s="972" t="s">
        <v>68</v>
      </c>
      <c r="H349" s="971" t="s">
        <v>4729</v>
      </c>
      <c r="I349" s="974">
        <v>462</v>
      </c>
      <c r="J349" s="972" t="s">
        <v>68</v>
      </c>
      <c r="K349" s="972">
        <f>F349*I349</f>
        <v>462</v>
      </c>
      <c r="L349" s="972"/>
      <c r="M349" s="972"/>
    </row>
    <row r="350" spans="5:130">
      <c r="E350" s="972"/>
      <c r="F350" s="972">
        <v>1</v>
      </c>
      <c r="G350" s="972" t="s">
        <v>68</v>
      </c>
      <c r="H350" s="972" t="s">
        <v>4730</v>
      </c>
      <c r="I350" s="972">
        <f>I339</f>
        <v>60.5</v>
      </c>
      <c r="J350" s="972" t="s">
        <v>68</v>
      </c>
      <c r="K350" s="972">
        <f>F350*I350</f>
        <v>60.5</v>
      </c>
      <c r="L350" s="972"/>
      <c r="M350" s="972"/>
    </row>
    <row r="351" spans="5:130">
      <c r="E351" s="972"/>
      <c r="F351" s="972"/>
      <c r="G351" s="972"/>
      <c r="H351" s="972" t="s">
        <v>337</v>
      </c>
      <c r="I351" s="972"/>
      <c r="J351" s="972"/>
      <c r="K351" s="972">
        <v>11.85</v>
      </c>
      <c r="L351" s="972"/>
      <c r="M351" s="972"/>
    </row>
    <row r="352" spans="5:130">
      <c r="E352" s="972"/>
      <c r="F352" s="972"/>
      <c r="G352" s="972"/>
      <c r="H352" s="972" t="s">
        <v>4731</v>
      </c>
      <c r="I352" s="972"/>
      <c r="J352" s="972"/>
      <c r="K352" s="972">
        <f>K330</f>
        <v>501.25</v>
      </c>
      <c r="L352" s="972"/>
      <c r="M352" s="972"/>
    </row>
    <row r="353" spans="5:13">
      <c r="E353" s="972"/>
      <c r="F353" s="972"/>
      <c r="G353" s="972"/>
      <c r="H353" s="981" t="s">
        <v>2718</v>
      </c>
      <c r="I353" s="972"/>
      <c r="J353" s="972"/>
      <c r="K353" s="982">
        <f>SUM(K349:K352)</f>
        <v>1035.5999999999999</v>
      </c>
      <c r="L353" s="972">
        <f>K353-1035</f>
        <v>0.59999999999990905</v>
      </c>
      <c r="M353" s="972">
        <f>917-K353</f>
        <v>-118.59999999999991</v>
      </c>
    </row>
    <row r="354" spans="5:13">
      <c r="E354" s="972"/>
      <c r="F354" s="972"/>
      <c r="G354" s="972"/>
      <c r="H354" s="972"/>
      <c r="I354" s="972"/>
      <c r="J354" s="972"/>
      <c r="K354" s="972"/>
      <c r="L354" s="972"/>
      <c r="M354" s="972"/>
    </row>
    <row r="355" spans="5:13">
      <c r="E355" s="972"/>
      <c r="F355" s="972"/>
      <c r="G355" s="972"/>
      <c r="H355" s="982" t="s">
        <v>4725</v>
      </c>
      <c r="I355" s="972"/>
      <c r="J355" s="972"/>
      <c r="K355" s="972"/>
      <c r="L355" s="972"/>
      <c r="M355" s="972"/>
    </row>
    <row r="356" spans="5:13">
      <c r="E356" s="972"/>
      <c r="F356" s="972"/>
      <c r="G356" s="972"/>
      <c r="H356" s="972"/>
      <c r="I356" s="972"/>
      <c r="J356" s="972"/>
      <c r="K356" s="972"/>
      <c r="L356" s="972"/>
      <c r="M356" s="972"/>
    </row>
    <row r="357" spans="5:13" ht="47.25">
      <c r="E357" s="972"/>
      <c r="F357" s="972"/>
      <c r="G357" s="972"/>
      <c r="H357" s="969" t="s">
        <v>4510</v>
      </c>
      <c r="I357" s="972"/>
      <c r="J357" s="972"/>
      <c r="K357" s="972"/>
      <c r="L357" s="972"/>
      <c r="M357" s="972"/>
    </row>
    <row r="358" spans="5:13">
      <c r="E358" s="972"/>
      <c r="F358" s="972"/>
      <c r="G358" s="972"/>
      <c r="H358" s="972"/>
      <c r="I358" s="972"/>
      <c r="J358" s="972"/>
      <c r="K358" s="972"/>
      <c r="L358" s="972"/>
      <c r="M358" s="972"/>
    </row>
    <row r="359" spans="5:13" ht="78.75">
      <c r="E359" s="972"/>
      <c r="F359" s="972"/>
      <c r="G359" s="972"/>
      <c r="H359" s="971" t="s">
        <v>4732</v>
      </c>
      <c r="I359" s="972"/>
      <c r="J359" s="972"/>
      <c r="K359" s="972"/>
      <c r="L359" s="972"/>
      <c r="M359" s="972"/>
    </row>
    <row r="360" spans="5:13" ht="31.5">
      <c r="E360" s="972"/>
      <c r="F360" s="972">
        <v>1</v>
      </c>
      <c r="G360" s="972" t="s">
        <v>68</v>
      </c>
      <c r="H360" s="1003" t="s">
        <v>4733</v>
      </c>
      <c r="I360" s="977">
        <v>889</v>
      </c>
      <c r="J360" s="972" t="s">
        <v>68</v>
      </c>
      <c r="K360" s="972">
        <f>F360*I360</f>
        <v>889</v>
      </c>
      <c r="L360" s="972"/>
      <c r="M360" s="972"/>
    </row>
    <row r="361" spans="5:13" ht="31.5">
      <c r="E361" s="972"/>
      <c r="F361" s="972">
        <v>1</v>
      </c>
      <c r="G361" s="972" t="s">
        <v>68</v>
      </c>
      <c r="H361" s="971" t="s">
        <v>4734</v>
      </c>
      <c r="I361" s="977">
        <v>161.30000000000001</v>
      </c>
      <c r="J361" s="972" t="s">
        <v>68</v>
      </c>
      <c r="K361" s="972">
        <f>F361*I361</f>
        <v>161.30000000000001</v>
      </c>
      <c r="L361" s="972"/>
      <c r="M361" s="972"/>
    </row>
    <row r="362" spans="5:13" ht="31.5">
      <c r="E362" s="972"/>
      <c r="F362" s="972"/>
      <c r="G362" s="972"/>
      <c r="H362" s="971" t="s">
        <v>4735</v>
      </c>
      <c r="I362" s="972"/>
      <c r="J362" s="972"/>
      <c r="K362" s="972">
        <v>13.97</v>
      </c>
      <c r="L362" s="972"/>
      <c r="M362" s="972"/>
    </row>
    <row r="363" spans="5:13">
      <c r="E363" s="972"/>
      <c r="F363" s="972"/>
      <c r="G363" s="972"/>
      <c r="H363" s="972" t="s">
        <v>910</v>
      </c>
      <c r="I363" s="972"/>
      <c r="J363" s="972"/>
      <c r="K363" s="972">
        <f>K370</f>
        <v>668.33333333333337</v>
      </c>
      <c r="L363" s="972"/>
      <c r="M363" s="972"/>
    </row>
    <row r="364" spans="5:13">
      <c r="E364" s="972"/>
      <c r="F364" s="972"/>
      <c r="G364" s="972"/>
      <c r="H364" s="981" t="s">
        <v>2718</v>
      </c>
      <c r="I364" s="972"/>
      <c r="J364" s="972"/>
      <c r="K364" s="982">
        <f>SUM(K360:K363)</f>
        <v>1732.6033333333335</v>
      </c>
      <c r="L364" s="972">
        <f>1723-K364</f>
        <v>-9.6033333333334667</v>
      </c>
      <c r="M364" s="972">
        <f>K364-1003</f>
        <v>729.60333333333347</v>
      </c>
    </row>
    <row r="365" spans="5:13">
      <c r="E365" s="972"/>
      <c r="F365" s="972"/>
      <c r="G365" s="972"/>
      <c r="H365" s="972"/>
      <c r="I365" s="972"/>
      <c r="J365" s="972"/>
      <c r="K365" s="972"/>
      <c r="L365" s="972"/>
      <c r="M365" s="972"/>
    </row>
    <row r="366" spans="5:13">
      <c r="E366" s="972"/>
      <c r="F366" s="972"/>
      <c r="G366" s="972"/>
      <c r="H366" s="980" t="s">
        <v>910</v>
      </c>
      <c r="I366" s="972"/>
      <c r="J366" s="972"/>
      <c r="K366" s="972"/>
      <c r="L366" s="972"/>
      <c r="M366" s="972"/>
    </row>
    <row r="367" spans="5:13">
      <c r="E367" s="972"/>
      <c r="F367" s="972">
        <v>1</v>
      </c>
      <c r="G367" s="972" t="s">
        <v>68</v>
      </c>
      <c r="H367" s="972" t="s">
        <v>4736</v>
      </c>
      <c r="I367" s="972">
        <f>I327</f>
        <v>783</v>
      </c>
      <c r="J367" s="972" t="s">
        <v>68</v>
      </c>
      <c r="K367" s="972">
        <f>F367*I367</f>
        <v>783</v>
      </c>
      <c r="L367" s="972"/>
      <c r="M367" s="972"/>
    </row>
    <row r="368" spans="5:13">
      <c r="E368" s="972"/>
      <c r="F368" s="972">
        <v>2</v>
      </c>
      <c r="G368" s="972" t="s">
        <v>68</v>
      </c>
      <c r="H368" s="972" t="s">
        <v>4596</v>
      </c>
      <c r="I368" s="972">
        <f>I328</f>
        <v>611</v>
      </c>
      <c r="J368" s="972" t="s">
        <v>68</v>
      </c>
      <c r="K368" s="972">
        <f>F368*I368</f>
        <v>1222</v>
      </c>
      <c r="L368" s="972"/>
      <c r="M368" s="972"/>
    </row>
    <row r="369" spans="5:18">
      <c r="E369" s="972"/>
      <c r="F369" s="972"/>
      <c r="G369" s="972"/>
      <c r="H369" s="979" t="s">
        <v>4597</v>
      </c>
      <c r="I369" s="972"/>
      <c r="J369" s="972"/>
      <c r="K369" s="972">
        <f>SUM(K367:K368)</f>
        <v>2005</v>
      </c>
      <c r="L369" s="972"/>
      <c r="M369" s="972"/>
    </row>
    <row r="370" spans="5:18">
      <c r="E370" s="972"/>
      <c r="F370" s="972"/>
      <c r="G370" s="972"/>
      <c r="H370" s="981" t="s">
        <v>3395</v>
      </c>
      <c r="I370" s="972"/>
      <c r="J370" s="972"/>
      <c r="K370" s="982">
        <f>K369/3</f>
        <v>668.33333333333337</v>
      </c>
      <c r="L370" s="972"/>
      <c r="M370" s="972"/>
    </row>
    <row r="371" spans="5:18">
      <c r="E371" s="972"/>
      <c r="F371" s="972"/>
      <c r="G371" s="972"/>
      <c r="H371" s="972"/>
      <c r="I371" s="972"/>
      <c r="J371" s="972"/>
      <c r="K371" s="972"/>
      <c r="L371" s="972"/>
      <c r="M371" s="972"/>
    </row>
    <row r="372" spans="5:18">
      <c r="E372" s="972"/>
      <c r="F372" s="972"/>
      <c r="G372" s="972"/>
      <c r="H372" s="982" t="s">
        <v>4737</v>
      </c>
      <c r="I372" s="972"/>
      <c r="J372" s="972"/>
      <c r="K372" s="972"/>
      <c r="L372" s="972"/>
      <c r="M372" s="972"/>
    </row>
    <row r="373" spans="5:18">
      <c r="E373" s="972"/>
      <c r="F373" s="972"/>
      <c r="G373" s="972"/>
      <c r="H373" s="972"/>
      <c r="I373" s="972"/>
      <c r="J373" s="972"/>
      <c r="K373" s="972"/>
      <c r="L373" s="972"/>
      <c r="M373" s="972"/>
    </row>
    <row r="374" spans="5:18" ht="61.5">
      <c r="E374" s="972"/>
      <c r="F374" s="972"/>
      <c r="G374" s="972"/>
      <c r="H374" s="969" t="s">
        <v>5770</v>
      </c>
      <c r="I374" s="972"/>
      <c r="J374" s="972"/>
      <c r="K374" s="972"/>
      <c r="L374" s="972"/>
      <c r="M374" s="972"/>
      <c r="N374" s="972"/>
      <c r="O374" s="969" t="s">
        <v>5771</v>
      </c>
      <c r="P374" s="972"/>
      <c r="Q374" s="972"/>
      <c r="R374" s="972"/>
    </row>
    <row r="375" spans="5:18" ht="31.5">
      <c r="E375" s="972"/>
      <c r="F375" s="972">
        <v>1</v>
      </c>
      <c r="G375" s="972" t="s">
        <v>68</v>
      </c>
      <c r="H375" s="971" t="s">
        <v>5772</v>
      </c>
      <c r="I375" s="975">
        <v>1315</v>
      </c>
      <c r="J375" s="972" t="s">
        <v>68</v>
      </c>
      <c r="K375" s="972">
        <f>F375*I375</f>
        <v>1315</v>
      </c>
      <c r="L375" s="972"/>
      <c r="M375" s="972">
        <v>1</v>
      </c>
      <c r="N375" s="972" t="s">
        <v>68</v>
      </c>
      <c r="O375" s="971" t="s">
        <v>5773</v>
      </c>
      <c r="P375" s="975">
        <v>2866</v>
      </c>
      <c r="Q375" s="972" t="s">
        <v>68</v>
      </c>
      <c r="R375" s="972">
        <f>M375*P375</f>
        <v>2866</v>
      </c>
    </row>
    <row r="376" spans="5:18" ht="31.5">
      <c r="E376" s="972"/>
      <c r="F376" s="972">
        <v>1</v>
      </c>
      <c r="G376" s="972" t="s">
        <v>68</v>
      </c>
      <c r="H376" s="971" t="s">
        <v>4734</v>
      </c>
      <c r="I376" s="972">
        <f>I361</f>
        <v>161.30000000000001</v>
      </c>
      <c r="J376" s="972" t="s">
        <v>68</v>
      </c>
      <c r="K376" s="972">
        <f>F376*I376</f>
        <v>161.30000000000001</v>
      </c>
      <c r="L376" s="972"/>
      <c r="M376" s="972">
        <v>1</v>
      </c>
      <c r="N376" s="972" t="s">
        <v>68</v>
      </c>
      <c r="O376" s="971" t="s">
        <v>4734</v>
      </c>
      <c r="P376" s="972">
        <f>I376</f>
        <v>161.30000000000001</v>
      </c>
      <c r="Q376" s="972" t="s">
        <v>68</v>
      </c>
      <c r="R376" s="972">
        <f>M376*P376</f>
        <v>161.30000000000001</v>
      </c>
    </row>
    <row r="377" spans="5:18" ht="31.5">
      <c r="E377" s="972"/>
      <c r="F377" s="972"/>
      <c r="G377" s="972"/>
      <c r="H377" s="971" t="s">
        <v>4735</v>
      </c>
      <c r="I377" s="972"/>
      <c r="J377" s="972"/>
      <c r="K377" s="972">
        <v>14.37</v>
      </c>
      <c r="L377" s="972"/>
      <c r="M377" s="972"/>
      <c r="N377" s="972"/>
      <c r="O377" s="971" t="s">
        <v>4735</v>
      </c>
      <c r="P377" s="972"/>
      <c r="Q377" s="972"/>
      <c r="R377" s="972">
        <f>K377</f>
        <v>14.37</v>
      </c>
    </row>
    <row r="378" spans="5:18">
      <c r="E378" s="972"/>
      <c r="F378" s="972"/>
      <c r="G378" s="972"/>
      <c r="H378" s="972" t="s">
        <v>910</v>
      </c>
      <c r="I378" s="972"/>
      <c r="J378" s="972"/>
      <c r="K378" s="972">
        <f>K370</f>
        <v>668.33333333333337</v>
      </c>
      <c r="L378" s="972"/>
      <c r="M378" s="972"/>
      <c r="N378" s="972"/>
      <c r="O378" s="972" t="s">
        <v>910</v>
      </c>
      <c r="P378" s="972"/>
      <c r="Q378" s="972"/>
      <c r="R378" s="972">
        <f>K378</f>
        <v>668.33333333333337</v>
      </c>
    </row>
    <row r="379" spans="5:18">
      <c r="E379" s="972"/>
      <c r="F379" s="972"/>
      <c r="G379" s="972"/>
      <c r="H379" s="981" t="s">
        <v>2718</v>
      </c>
      <c r="I379" s="972"/>
      <c r="J379" s="972"/>
      <c r="K379" s="982">
        <f>SUM(K375:K378)</f>
        <v>2159.0033333333331</v>
      </c>
      <c r="L379" s="972">
        <f>2159-K379</f>
        <v>-3.333333333102928E-3</v>
      </c>
      <c r="M379" s="972"/>
      <c r="N379" s="972"/>
      <c r="O379" s="981" t="s">
        <v>2718</v>
      </c>
      <c r="P379" s="972"/>
      <c r="Q379" s="972"/>
      <c r="R379" s="982">
        <f>SUM(R375:R378)</f>
        <v>3710.0033333333336</v>
      </c>
    </row>
    <row r="380" spans="5:18">
      <c r="E380" s="972"/>
      <c r="F380" s="972"/>
      <c r="G380" s="972"/>
      <c r="H380" s="972"/>
      <c r="I380" s="972"/>
      <c r="J380" s="972"/>
      <c r="K380" s="972"/>
      <c r="L380" s="972"/>
      <c r="M380" s="972"/>
      <c r="N380" s="972"/>
      <c r="O380" s="972"/>
      <c r="P380" s="972"/>
      <c r="Q380" s="972"/>
      <c r="R380" s="972"/>
    </row>
    <row r="381" spans="5:18">
      <c r="E381" s="972"/>
      <c r="F381" s="972"/>
      <c r="G381" s="972"/>
      <c r="H381" s="982" t="s">
        <v>4738</v>
      </c>
      <c r="I381" s="972"/>
      <c r="J381" s="972"/>
      <c r="K381" s="972"/>
      <c r="L381" s="972"/>
      <c r="M381" s="972"/>
    </row>
    <row r="382" spans="5:18">
      <c r="E382" s="972"/>
      <c r="F382" s="972"/>
      <c r="G382" s="972"/>
      <c r="H382" s="972"/>
      <c r="I382" s="972"/>
      <c r="J382" s="972"/>
      <c r="K382" s="972"/>
      <c r="L382" s="972"/>
      <c r="M382" s="972"/>
    </row>
    <row r="383" spans="5:18" ht="63">
      <c r="E383" s="972"/>
      <c r="F383" s="972"/>
      <c r="G383" s="972"/>
      <c r="H383" s="969" t="s">
        <v>4513</v>
      </c>
      <c r="I383" s="972"/>
      <c r="J383" s="972"/>
      <c r="K383" s="972"/>
      <c r="L383" s="972"/>
      <c r="M383" s="972"/>
    </row>
    <row r="384" spans="5:18" ht="78.75">
      <c r="E384" s="972"/>
      <c r="F384" s="972"/>
      <c r="G384" s="972"/>
      <c r="H384" s="971" t="s">
        <v>4739</v>
      </c>
      <c r="I384" s="972"/>
      <c r="J384" s="972"/>
      <c r="K384" s="972"/>
      <c r="L384" s="972"/>
      <c r="M384" s="972"/>
    </row>
    <row r="385" spans="5:14">
      <c r="E385" s="972"/>
      <c r="F385" s="972"/>
      <c r="G385" s="972"/>
      <c r="H385" s="972"/>
      <c r="I385" s="972"/>
      <c r="J385" s="972"/>
      <c r="K385" s="972"/>
      <c r="L385" s="972"/>
      <c r="M385" s="972"/>
    </row>
    <row r="386" spans="5:14" ht="31.5">
      <c r="E386" s="972"/>
      <c r="F386" s="972">
        <v>1</v>
      </c>
      <c r="G386" s="972" t="s">
        <v>68</v>
      </c>
      <c r="H386" s="971" t="s">
        <v>4740</v>
      </c>
      <c r="I386" s="974">
        <v>2311</v>
      </c>
      <c r="J386" s="972" t="s">
        <v>68</v>
      </c>
      <c r="K386" s="972">
        <f>F386*I386</f>
        <v>2311</v>
      </c>
      <c r="L386" s="972"/>
      <c r="M386" s="972"/>
    </row>
    <row r="387" spans="5:14">
      <c r="E387" s="972"/>
      <c r="F387" s="972">
        <v>1</v>
      </c>
      <c r="G387" s="972" t="s">
        <v>68</v>
      </c>
      <c r="H387" s="972" t="s">
        <v>4741</v>
      </c>
      <c r="I387" s="990">
        <f>K391</f>
        <v>422.33400000000006</v>
      </c>
      <c r="J387" s="972" t="s">
        <v>68</v>
      </c>
      <c r="K387" s="972">
        <f>F387*I387</f>
        <v>422.33400000000006</v>
      </c>
      <c r="L387" s="972"/>
      <c r="M387" s="972"/>
    </row>
    <row r="388" spans="5:14" ht="31.5">
      <c r="E388" s="972"/>
      <c r="F388" s="972"/>
      <c r="G388" s="972"/>
      <c r="H388" s="971" t="s">
        <v>4742</v>
      </c>
      <c r="I388" s="972"/>
      <c r="J388" s="972"/>
      <c r="K388" s="972">
        <v>28.34</v>
      </c>
      <c r="L388" s="972"/>
      <c r="M388" s="972"/>
    </row>
    <row r="389" spans="5:14">
      <c r="E389" s="972"/>
      <c r="F389" s="972"/>
      <c r="G389" s="972"/>
      <c r="H389" s="972" t="s">
        <v>910</v>
      </c>
      <c r="I389" s="972"/>
      <c r="J389" s="972"/>
      <c r="K389" s="972">
        <f>K370</f>
        <v>668.33333333333337</v>
      </c>
      <c r="L389" s="972"/>
      <c r="M389" s="972"/>
    </row>
    <row r="390" spans="5:14">
      <c r="E390" s="972"/>
      <c r="F390" s="972"/>
      <c r="G390" s="972"/>
      <c r="H390" s="981" t="s">
        <v>2718</v>
      </c>
      <c r="I390" s="972"/>
      <c r="J390" s="972"/>
      <c r="K390" s="982">
        <f>SUM(K386:K389)</f>
        <v>3430.0073333333335</v>
      </c>
      <c r="L390" s="972">
        <f>3343-K390</f>
        <v>-87.007333333333463</v>
      </c>
      <c r="M390" s="972">
        <f>3533-K390</f>
        <v>102.99266666666654</v>
      </c>
    </row>
    <row r="391" spans="5:14" ht="31.5">
      <c r="E391" s="972"/>
      <c r="F391" s="972"/>
      <c r="G391" s="972"/>
      <c r="H391" s="971" t="s">
        <v>5774</v>
      </c>
      <c r="I391" s="974">
        <f>N391</f>
        <v>104280</v>
      </c>
      <c r="J391" s="1004">
        <f>0.75*0.45*0.012</f>
        <v>4.0500000000000006E-3</v>
      </c>
      <c r="K391" s="972">
        <f>J391*I391</f>
        <v>422.33400000000006</v>
      </c>
      <c r="L391" s="972"/>
      <c r="M391" s="972"/>
      <c r="N391" s="956">
        <f>12980 +91300</f>
        <v>104280</v>
      </c>
    </row>
    <row r="392" spans="5:14">
      <c r="E392" s="972"/>
      <c r="F392" s="972"/>
      <c r="G392" s="972"/>
      <c r="H392" s="982" t="s">
        <v>4743</v>
      </c>
      <c r="I392" s="972"/>
      <c r="J392" s="972"/>
      <c r="K392" s="972"/>
      <c r="L392" s="972"/>
      <c r="M392" s="972"/>
    </row>
    <row r="393" spans="5:14">
      <c r="E393" s="972"/>
      <c r="F393" s="972"/>
      <c r="G393" s="972"/>
      <c r="H393" s="972"/>
      <c r="I393" s="972"/>
      <c r="J393" s="972"/>
      <c r="K393" s="972"/>
      <c r="L393" s="972"/>
      <c r="M393" s="972"/>
    </row>
    <row r="394" spans="5:14" ht="78.75">
      <c r="E394" s="972"/>
      <c r="F394" s="972"/>
      <c r="G394" s="972"/>
      <c r="H394" s="969" t="s">
        <v>4512</v>
      </c>
      <c r="I394" s="972"/>
      <c r="J394" s="972"/>
      <c r="K394" s="972"/>
      <c r="L394" s="972"/>
      <c r="M394" s="972"/>
    </row>
    <row r="395" spans="5:14">
      <c r="E395" s="972"/>
      <c r="F395" s="972"/>
      <c r="G395" s="972"/>
      <c r="H395" s="972"/>
      <c r="I395" s="972"/>
      <c r="J395" s="972"/>
      <c r="K395" s="972"/>
      <c r="L395" s="972"/>
      <c r="M395" s="972"/>
    </row>
    <row r="396" spans="5:14">
      <c r="E396" s="972"/>
      <c r="F396" s="972"/>
      <c r="G396" s="972"/>
      <c r="H396" s="972" t="s">
        <v>4744</v>
      </c>
      <c r="I396" s="972"/>
      <c r="J396" s="972"/>
      <c r="K396" s="972"/>
      <c r="L396" s="972"/>
      <c r="M396" s="972"/>
    </row>
    <row r="397" spans="5:14">
      <c r="E397" s="972"/>
      <c r="F397" s="972"/>
      <c r="G397" s="972"/>
      <c r="H397" s="972"/>
      <c r="I397" s="972"/>
      <c r="J397" s="972"/>
      <c r="K397" s="972"/>
      <c r="L397" s="972"/>
      <c r="M397" s="972"/>
    </row>
    <row r="398" spans="5:14">
      <c r="E398" s="972"/>
      <c r="F398" s="972"/>
      <c r="G398" s="972"/>
      <c r="H398" s="972" t="s">
        <v>4745</v>
      </c>
      <c r="I398" s="972"/>
      <c r="J398" s="972"/>
      <c r="K398" s="972">
        <f>K390</f>
        <v>3430.0073333333335</v>
      </c>
      <c r="L398" s="972"/>
      <c r="M398" s="972"/>
    </row>
    <row r="399" spans="5:14">
      <c r="E399" s="972"/>
      <c r="F399" s="972">
        <v>1</v>
      </c>
      <c r="G399" s="972" t="s">
        <v>68</v>
      </c>
      <c r="H399" s="972" t="s">
        <v>4746</v>
      </c>
      <c r="I399" s="974">
        <v>3093</v>
      </c>
      <c r="J399" s="972" t="s">
        <v>68</v>
      </c>
      <c r="K399" s="972">
        <f>F399*I399</f>
        <v>3093</v>
      </c>
      <c r="L399" s="972"/>
      <c r="M399" s="972"/>
    </row>
    <row r="400" spans="5:14">
      <c r="E400" s="972"/>
      <c r="F400" s="972">
        <v>1</v>
      </c>
      <c r="G400" s="972" t="s">
        <v>68</v>
      </c>
      <c r="H400" s="972" t="s">
        <v>5775</v>
      </c>
      <c r="I400" s="990">
        <f>I386</f>
        <v>2311</v>
      </c>
      <c r="J400" s="972" t="s">
        <v>68</v>
      </c>
      <c r="K400" s="972">
        <f>F400*I400</f>
        <v>2311</v>
      </c>
      <c r="L400" s="972"/>
      <c r="M400" s="972"/>
    </row>
    <row r="401" spans="5:19">
      <c r="E401" s="972"/>
      <c r="F401" s="972"/>
      <c r="G401" s="972"/>
      <c r="H401" s="972" t="s">
        <v>337</v>
      </c>
      <c r="I401" s="972"/>
      <c r="J401" s="972"/>
      <c r="K401" s="972"/>
      <c r="L401" s="972"/>
      <c r="M401" s="972"/>
    </row>
    <row r="402" spans="5:19">
      <c r="E402" s="972"/>
      <c r="F402" s="972"/>
      <c r="G402" s="972"/>
      <c r="H402" s="981" t="s">
        <v>2718</v>
      </c>
      <c r="I402" s="972"/>
      <c r="J402" s="972"/>
      <c r="K402" s="982">
        <f>K398+K399-K400+K401</f>
        <v>4212.007333333333</v>
      </c>
      <c r="L402" s="972">
        <f>4017-K402</f>
        <v>-195.00733333333301</v>
      </c>
      <c r="M402" s="972"/>
    </row>
    <row r="403" spans="5:19">
      <c r="E403" s="972"/>
      <c r="F403" s="972"/>
      <c r="G403" s="972"/>
      <c r="H403" s="972"/>
      <c r="I403" s="972"/>
      <c r="J403" s="972"/>
      <c r="K403" s="972">
        <f>K402*2</f>
        <v>8424.014666666666</v>
      </c>
      <c r="L403" s="972"/>
      <c r="M403" s="972"/>
    </row>
    <row r="404" spans="5:19">
      <c r="E404" s="972"/>
      <c r="F404" s="972"/>
      <c r="G404" s="972"/>
      <c r="H404" s="982" t="s">
        <v>4737</v>
      </c>
      <c r="I404" s="972"/>
      <c r="J404" s="972"/>
      <c r="K404" s="972"/>
      <c r="L404" s="972"/>
      <c r="M404" s="972"/>
    </row>
    <row r="405" spans="5:19">
      <c r="E405" s="972"/>
      <c r="F405" s="972"/>
      <c r="G405" s="972"/>
      <c r="H405" s="972"/>
      <c r="I405" s="972"/>
      <c r="J405" s="972"/>
      <c r="K405" s="972"/>
      <c r="L405" s="972"/>
      <c r="M405" s="972"/>
      <c r="P405" s="956" t="s">
        <v>4747</v>
      </c>
    </row>
    <row r="406" spans="5:19" ht="31.5">
      <c r="E406" s="972"/>
      <c r="F406" s="972"/>
      <c r="G406" s="972"/>
      <c r="H406" s="969" t="s">
        <v>4514</v>
      </c>
      <c r="I406" s="972"/>
      <c r="J406" s="972"/>
      <c r="K406" s="972"/>
      <c r="L406" s="972"/>
      <c r="M406" s="972"/>
      <c r="O406" s="969" t="s">
        <v>4748</v>
      </c>
    </row>
    <row r="407" spans="5:19">
      <c r="E407" s="972"/>
      <c r="F407" s="972"/>
      <c r="G407" s="972"/>
      <c r="H407" s="972"/>
      <c r="I407" s="972"/>
      <c r="J407" s="972"/>
      <c r="K407" s="972"/>
      <c r="L407" s="972"/>
      <c r="M407" s="972"/>
    </row>
    <row r="408" spans="5:19" ht="78.75">
      <c r="E408" s="972"/>
      <c r="F408" s="972"/>
      <c r="G408" s="972"/>
      <c r="H408" s="971" t="s">
        <v>4749</v>
      </c>
      <c r="I408" s="972"/>
      <c r="J408" s="972"/>
      <c r="K408" s="972"/>
      <c r="L408" s="972"/>
      <c r="M408" s="972">
        <v>1</v>
      </c>
      <c r="N408" s="972" t="s">
        <v>68</v>
      </c>
      <c r="O408" s="970" t="s">
        <v>4750</v>
      </c>
      <c r="P408" s="972">
        <v>2487</v>
      </c>
      <c r="Q408" s="972" t="s">
        <v>68</v>
      </c>
      <c r="R408" s="972">
        <f>P408*M408</f>
        <v>2487</v>
      </c>
    </row>
    <row r="409" spans="5:19">
      <c r="E409" s="972"/>
      <c r="F409" s="972">
        <v>2</v>
      </c>
      <c r="G409" s="972" t="s">
        <v>68</v>
      </c>
      <c r="H409" s="972" t="s">
        <v>4751</v>
      </c>
      <c r="I409" s="974">
        <v>558</v>
      </c>
      <c r="J409" s="972" t="s">
        <v>4600</v>
      </c>
      <c r="K409" s="972">
        <f>F409*(I409/100)</f>
        <v>11.16</v>
      </c>
      <c r="L409" s="972"/>
      <c r="M409" s="972"/>
      <c r="N409" s="972"/>
      <c r="O409" s="972"/>
      <c r="P409" s="974"/>
      <c r="Q409" s="972"/>
      <c r="R409" s="972"/>
    </row>
    <row r="410" spans="5:19">
      <c r="E410" s="972"/>
      <c r="F410" s="972">
        <v>2</v>
      </c>
      <c r="G410" s="972" t="s">
        <v>303</v>
      </c>
      <c r="H410" s="972" t="s">
        <v>4752</v>
      </c>
      <c r="I410" s="1005">
        <v>914.1</v>
      </c>
      <c r="J410" s="972" t="s">
        <v>4753</v>
      </c>
      <c r="K410" s="972">
        <f>F410*(I410/100)</f>
        <v>18.282</v>
      </c>
      <c r="L410" s="972"/>
      <c r="M410" s="972">
        <v>1</v>
      </c>
      <c r="N410" s="972" t="s">
        <v>303</v>
      </c>
      <c r="O410" s="972" t="s">
        <v>4754</v>
      </c>
      <c r="P410" s="1005">
        <v>8.5500000000000007</v>
      </c>
      <c r="Q410" s="972" t="s">
        <v>4755</v>
      </c>
      <c r="R410" s="972">
        <f>P410*M410</f>
        <v>8.5500000000000007</v>
      </c>
      <c r="S410" s="956">
        <f>R408+R410</f>
        <v>2495.5500000000002</v>
      </c>
    </row>
    <row r="411" spans="5:19">
      <c r="E411" s="972"/>
      <c r="F411" s="972"/>
      <c r="G411" s="972"/>
      <c r="H411" s="972" t="s">
        <v>4756</v>
      </c>
      <c r="I411" s="972"/>
      <c r="J411" s="972"/>
      <c r="K411" s="972">
        <v>8.61</v>
      </c>
      <c r="L411" s="972"/>
      <c r="M411" s="972"/>
      <c r="N411" s="972"/>
      <c r="O411" s="972" t="s">
        <v>4757</v>
      </c>
      <c r="P411" s="972"/>
      <c r="Q411" s="972"/>
      <c r="R411" s="972">
        <v>25.2</v>
      </c>
    </row>
    <row r="412" spans="5:19">
      <c r="E412" s="972"/>
      <c r="F412" s="972"/>
      <c r="G412" s="972"/>
      <c r="H412" s="972" t="s">
        <v>4758</v>
      </c>
      <c r="I412" s="972"/>
      <c r="J412" s="972"/>
      <c r="K412" s="972">
        <f>K420</f>
        <v>260.75</v>
      </c>
      <c r="L412" s="972"/>
      <c r="M412" s="972"/>
      <c r="N412" s="972"/>
      <c r="O412" s="972" t="s">
        <v>4758</v>
      </c>
      <c r="P412" s="972"/>
      <c r="Q412" s="972"/>
      <c r="R412" s="972">
        <f>K412</f>
        <v>260.75</v>
      </c>
    </row>
    <row r="413" spans="5:19">
      <c r="E413" s="972"/>
      <c r="F413" s="972"/>
      <c r="G413" s="972"/>
      <c r="H413" s="981" t="s">
        <v>2718</v>
      </c>
      <c r="I413" s="972"/>
      <c r="J413" s="972"/>
      <c r="K413" s="982">
        <f>SUM(K409:K412)</f>
        <v>298.80200000000002</v>
      </c>
      <c r="L413" s="972">
        <f>384.3+249</f>
        <v>633.29999999999995</v>
      </c>
      <c r="M413" s="972"/>
      <c r="N413" s="972"/>
      <c r="O413" s="981" t="s">
        <v>2718</v>
      </c>
      <c r="P413" s="972"/>
      <c r="Q413" s="972"/>
      <c r="R413" s="982">
        <f>SUM(R408:R412)</f>
        <v>2781.5</v>
      </c>
    </row>
    <row r="414" spans="5:19">
      <c r="E414" s="972"/>
      <c r="F414" s="972"/>
      <c r="G414" s="972"/>
      <c r="H414" s="972"/>
      <c r="I414" s="972"/>
      <c r="J414" s="972"/>
      <c r="K414" s="972"/>
      <c r="L414" s="972"/>
      <c r="M414" s="972"/>
    </row>
    <row r="415" spans="5:19">
      <c r="E415" s="972"/>
      <c r="F415" s="972"/>
      <c r="H415" s="980" t="s">
        <v>4759</v>
      </c>
      <c r="I415" s="972"/>
      <c r="J415" s="972"/>
      <c r="K415" s="972"/>
      <c r="L415" s="972"/>
      <c r="M415" s="972"/>
    </row>
    <row r="416" spans="5:19">
      <c r="E416" s="972"/>
      <c r="F416" s="972">
        <v>1</v>
      </c>
      <c r="G416" s="972" t="s">
        <v>68</v>
      </c>
      <c r="H416" s="972" t="s">
        <v>4723</v>
      </c>
      <c r="I416" s="972">
        <f>I36</f>
        <v>783</v>
      </c>
      <c r="J416" s="972" t="s">
        <v>68</v>
      </c>
      <c r="K416" s="972">
        <f>F416*I416</f>
        <v>783</v>
      </c>
      <c r="L416" s="972"/>
      <c r="M416" s="972"/>
    </row>
    <row r="417" spans="5:13">
      <c r="E417" s="972"/>
      <c r="F417" s="972">
        <v>2</v>
      </c>
      <c r="G417" s="972" t="s">
        <v>68</v>
      </c>
      <c r="H417" s="972" t="s">
        <v>3392</v>
      </c>
      <c r="I417" s="972">
        <f>I37</f>
        <v>778</v>
      </c>
      <c r="J417" s="972" t="s">
        <v>68</v>
      </c>
      <c r="K417" s="972">
        <f>F417*I417</f>
        <v>1556</v>
      </c>
      <c r="L417" s="972"/>
      <c r="M417" s="972"/>
    </row>
    <row r="418" spans="5:13">
      <c r="E418" s="972"/>
      <c r="F418" s="972">
        <v>3</v>
      </c>
      <c r="G418" s="972" t="s">
        <v>68</v>
      </c>
      <c r="H418" s="972" t="s">
        <v>4596</v>
      </c>
      <c r="I418" s="972">
        <f>I38</f>
        <v>611</v>
      </c>
      <c r="J418" s="972" t="s">
        <v>68</v>
      </c>
      <c r="K418" s="972">
        <f>F418*I418</f>
        <v>1833</v>
      </c>
      <c r="L418" s="972"/>
      <c r="M418" s="972"/>
    </row>
    <row r="419" spans="5:13">
      <c r="E419" s="972"/>
      <c r="F419" s="972"/>
      <c r="G419" s="972"/>
      <c r="H419" s="979" t="s">
        <v>4760</v>
      </c>
      <c r="I419" s="972"/>
      <c r="J419" s="972"/>
      <c r="K419" s="980">
        <f>SUM(K416:K418)</f>
        <v>4172</v>
      </c>
      <c r="L419" s="972"/>
      <c r="M419" s="972"/>
    </row>
    <row r="420" spans="5:13">
      <c r="E420" s="972"/>
      <c r="F420" s="972"/>
      <c r="G420" s="972"/>
      <c r="H420" s="981" t="s">
        <v>3395</v>
      </c>
      <c r="I420" s="972"/>
      <c r="J420" s="972"/>
      <c r="K420" s="982">
        <f>K419/16</f>
        <v>260.75</v>
      </c>
      <c r="L420" s="972"/>
      <c r="M420" s="972"/>
    </row>
    <row r="421" spans="5:13">
      <c r="E421" s="972"/>
      <c r="F421" s="972"/>
      <c r="G421" s="972"/>
      <c r="H421" s="972"/>
      <c r="I421" s="972"/>
      <c r="J421" s="972"/>
      <c r="K421" s="972"/>
      <c r="L421" s="972"/>
      <c r="M421" s="972"/>
    </row>
    <row r="422" spans="5:13">
      <c r="E422" s="972"/>
      <c r="F422" s="972"/>
      <c r="G422" s="972"/>
      <c r="H422" s="982" t="s">
        <v>4761</v>
      </c>
      <c r="I422" s="972"/>
      <c r="J422" s="972"/>
      <c r="K422" s="972"/>
      <c r="L422" s="972"/>
      <c r="M422" s="972"/>
    </row>
    <row r="423" spans="5:13" ht="31.5">
      <c r="E423" s="972"/>
      <c r="F423" s="972"/>
      <c r="G423" s="972"/>
      <c r="H423" s="969" t="s">
        <v>4515</v>
      </c>
      <c r="I423" s="972"/>
      <c r="J423" s="972"/>
      <c r="K423" s="972"/>
      <c r="L423" s="972"/>
      <c r="M423" s="972"/>
    </row>
    <row r="424" spans="5:13">
      <c r="E424" s="972"/>
      <c r="F424" s="972"/>
      <c r="G424" s="972"/>
      <c r="H424" s="972"/>
      <c r="I424" s="972"/>
      <c r="J424" s="972"/>
      <c r="K424" s="972"/>
      <c r="L424" s="972"/>
      <c r="M424" s="972"/>
    </row>
    <row r="425" spans="5:13" ht="110.25">
      <c r="E425" s="972"/>
      <c r="F425" s="972"/>
      <c r="G425" s="972"/>
      <c r="H425" s="971" t="s">
        <v>4762</v>
      </c>
      <c r="I425" s="972"/>
      <c r="J425" s="972"/>
      <c r="K425" s="972"/>
      <c r="L425" s="972"/>
      <c r="M425" s="972"/>
    </row>
    <row r="426" spans="5:13">
      <c r="E426" s="972"/>
      <c r="F426" s="972">
        <v>1.5</v>
      </c>
      <c r="G426" s="972" t="s">
        <v>303</v>
      </c>
      <c r="H426" s="972" t="s">
        <v>4763</v>
      </c>
      <c r="I426" s="974">
        <v>36.200000000000003</v>
      </c>
      <c r="J426" s="972" t="s">
        <v>303</v>
      </c>
      <c r="K426" s="972">
        <f>F426*I426</f>
        <v>54.300000000000004</v>
      </c>
      <c r="L426" s="972"/>
      <c r="M426" s="972"/>
    </row>
    <row r="427" spans="5:13">
      <c r="E427" s="972"/>
      <c r="F427" s="972">
        <v>2</v>
      </c>
      <c r="G427" s="972" t="s">
        <v>68</v>
      </c>
      <c r="H427" s="972" t="s">
        <v>4764</v>
      </c>
      <c r="I427" s="972">
        <f>I409</f>
        <v>558</v>
      </c>
      <c r="J427" s="972" t="s">
        <v>4600</v>
      </c>
      <c r="K427" s="972">
        <f>F427*(I427/100)</f>
        <v>11.16</v>
      </c>
      <c r="L427" s="972"/>
      <c r="M427" s="972"/>
    </row>
    <row r="428" spans="5:13">
      <c r="E428" s="972"/>
      <c r="F428" s="972">
        <v>2</v>
      </c>
      <c r="G428" s="972" t="s">
        <v>303</v>
      </c>
      <c r="H428" s="972" t="s">
        <v>4752</v>
      </c>
      <c r="I428" s="972">
        <f>I410</f>
        <v>914.1</v>
      </c>
      <c r="J428" s="972" t="s">
        <v>303</v>
      </c>
      <c r="K428" s="972">
        <f>F428*(I428/100)</f>
        <v>18.282</v>
      </c>
      <c r="L428" s="972"/>
      <c r="M428" s="972"/>
    </row>
    <row r="429" spans="5:13" ht="31.5">
      <c r="E429" s="972"/>
      <c r="F429" s="972"/>
      <c r="G429" s="972"/>
      <c r="H429" s="971" t="s">
        <v>4765</v>
      </c>
      <c r="I429" s="972"/>
      <c r="J429" s="972"/>
      <c r="K429" s="972">
        <v>6.06</v>
      </c>
      <c r="L429" s="972"/>
      <c r="M429" s="972"/>
    </row>
    <row r="430" spans="5:13">
      <c r="E430" s="972"/>
      <c r="F430" s="972"/>
      <c r="G430" s="972"/>
      <c r="H430" s="972" t="s">
        <v>910</v>
      </c>
      <c r="I430" s="972"/>
      <c r="J430" s="972"/>
      <c r="K430" s="972">
        <f>K438</f>
        <v>417.2</v>
      </c>
      <c r="L430" s="972"/>
      <c r="M430" s="972"/>
    </row>
    <row r="431" spans="5:13">
      <c r="E431" s="972"/>
      <c r="F431" s="972"/>
      <c r="G431" s="972"/>
      <c r="H431" s="981" t="s">
        <v>2718</v>
      </c>
      <c r="I431" s="972"/>
      <c r="J431" s="972"/>
      <c r="K431" s="982">
        <f>SUM(K426:K430)</f>
        <v>507.00200000000001</v>
      </c>
      <c r="L431" s="972">
        <f>K431-320</f>
        <v>187.00200000000001</v>
      </c>
      <c r="M431" s="972"/>
    </row>
    <row r="432" spans="5:13">
      <c r="E432" s="972"/>
      <c r="F432" s="972"/>
      <c r="G432" s="972"/>
      <c r="H432" s="972"/>
      <c r="I432" s="972"/>
      <c r="J432" s="972"/>
      <c r="K432" s="972"/>
      <c r="L432" s="972"/>
      <c r="M432" s="972"/>
    </row>
    <row r="433" spans="5:13">
      <c r="E433" s="972"/>
      <c r="F433" s="972"/>
      <c r="G433" s="972"/>
      <c r="H433" s="982" t="s">
        <v>2328</v>
      </c>
      <c r="I433" s="972"/>
      <c r="J433" s="972"/>
      <c r="K433" s="972"/>
      <c r="L433" s="972"/>
      <c r="M433" s="972"/>
    </row>
    <row r="434" spans="5:13">
      <c r="E434" s="972"/>
      <c r="F434" s="972">
        <v>1</v>
      </c>
      <c r="G434" s="972" t="s">
        <v>68</v>
      </c>
      <c r="H434" s="972" t="s">
        <v>4723</v>
      </c>
      <c r="I434" s="972">
        <f>I416</f>
        <v>783</v>
      </c>
      <c r="J434" s="972" t="s">
        <v>68</v>
      </c>
      <c r="K434" s="972">
        <f>F434*I434</f>
        <v>783</v>
      </c>
      <c r="L434" s="972"/>
      <c r="M434" s="972"/>
    </row>
    <row r="435" spans="5:13">
      <c r="E435" s="972"/>
      <c r="F435" s="972">
        <v>2</v>
      </c>
      <c r="G435" s="972" t="s">
        <v>68</v>
      </c>
      <c r="H435" s="972" t="s">
        <v>3392</v>
      </c>
      <c r="I435" s="972">
        <f>I417</f>
        <v>778</v>
      </c>
      <c r="J435" s="972" t="s">
        <v>68</v>
      </c>
      <c r="K435" s="972">
        <f>F435*I435</f>
        <v>1556</v>
      </c>
      <c r="L435" s="972"/>
      <c r="M435" s="972"/>
    </row>
    <row r="436" spans="5:13">
      <c r="E436" s="972"/>
      <c r="F436" s="972">
        <v>3</v>
      </c>
      <c r="G436" s="972" t="s">
        <v>68</v>
      </c>
      <c r="H436" s="972" t="s">
        <v>4596</v>
      </c>
      <c r="I436" s="972">
        <f>I418</f>
        <v>611</v>
      </c>
      <c r="J436" s="972" t="s">
        <v>68</v>
      </c>
      <c r="K436" s="972">
        <f>F436*I436</f>
        <v>1833</v>
      </c>
      <c r="L436" s="972"/>
      <c r="M436" s="972"/>
    </row>
    <row r="437" spans="5:13">
      <c r="E437" s="972"/>
      <c r="F437" s="972"/>
      <c r="G437" s="972"/>
      <c r="H437" s="979" t="s">
        <v>4766</v>
      </c>
      <c r="I437" s="972"/>
      <c r="J437" s="972"/>
      <c r="K437" s="980">
        <f>SUM(K434:K436)</f>
        <v>4172</v>
      </c>
      <c r="L437" s="972"/>
      <c r="M437" s="972"/>
    </row>
    <row r="438" spans="5:13">
      <c r="E438" s="972"/>
      <c r="F438" s="972"/>
      <c r="G438" s="972"/>
      <c r="H438" s="981" t="s">
        <v>3395</v>
      </c>
      <c r="I438" s="972"/>
      <c r="J438" s="972"/>
      <c r="K438" s="982">
        <f>K437/10</f>
        <v>417.2</v>
      </c>
      <c r="L438" s="972"/>
      <c r="M438" s="972"/>
    </row>
    <row r="439" spans="5:13">
      <c r="E439" s="972"/>
      <c r="F439" s="972"/>
      <c r="G439" s="972"/>
      <c r="H439" s="972"/>
      <c r="I439" s="972"/>
      <c r="J439" s="972"/>
      <c r="K439" s="972"/>
      <c r="L439" s="972"/>
      <c r="M439" s="972"/>
    </row>
    <row r="440" spans="5:13">
      <c r="E440" s="972"/>
      <c r="F440" s="972"/>
      <c r="G440" s="972"/>
      <c r="H440" s="982" t="s">
        <v>4743</v>
      </c>
      <c r="I440" s="972"/>
      <c r="J440" s="972"/>
      <c r="K440" s="972"/>
      <c r="L440" s="972"/>
      <c r="M440" s="972"/>
    </row>
    <row r="441" spans="5:13" ht="63">
      <c r="E441" s="972"/>
      <c r="F441" s="972"/>
      <c r="G441" s="972"/>
      <c r="H441" s="971" t="s">
        <v>4767</v>
      </c>
      <c r="I441" s="972"/>
      <c r="J441" s="972"/>
      <c r="K441" s="972"/>
      <c r="L441" s="972"/>
      <c r="M441" s="972"/>
    </row>
    <row r="442" spans="5:13">
      <c r="E442" s="972"/>
      <c r="F442" s="972"/>
      <c r="G442" s="972"/>
      <c r="H442" s="972"/>
      <c r="I442" s="972"/>
      <c r="J442" s="972"/>
      <c r="K442" s="972"/>
      <c r="L442" s="972"/>
      <c r="M442" s="972"/>
    </row>
    <row r="443" spans="5:13">
      <c r="E443" s="972"/>
      <c r="F443" s="972">
        <v>1</v>
      </c>
      <c r="G443" s="972" t="s">
        <v>303</v>
      </c>
      <c r="H443" s="972" t="s">
        <v>4752</v>
      </c>
      <c r="I443" s="972">
        <f>I428</f>
        <v>914.1</v>
      </c>
      <c r="J443" s="972" t="s">
        <v>4768</v>
      </c>
      <c r="K443" s="972">
        <f>F443*(I443/100)</f>
        <v>9.141</v>
      </c>
      <c r="L443" s="972"/>
      <c r="M443" s="972"/>
    </row>
    <row r="444" spans="5:13">
      <c r="E444" s="972"/>
      <c r="F444" s="972"/>
      <c r="G444" s="972"/>
      <c r="H444" s="972" t="s">
        <v>2328</v>
      </c>
      <c r="I444" s="972"/>
      <c r="J444" s="972"/>
      <c r="K444" s="972">
        <f>K451</f>
        <v>556.6</v>
      </c>
      <c r="L444" s="972"/>
      <c r="M444" s="972"/>
    </row>
    <row r="445" spans="5:13">
      <c r="E445" s="972"/>
      <c r="F445" s="972"/>
      <c r="G445" s="972"/>
      <c r="H445" s="972" t="s">
        <v>4594</v>
      </c>
      <c r="J445" s="972"/>
      <c r="K445" s="972">
        <v>5.26</v>
      </c>
      <c r="L445" s="972"/>
      <c r="M445" s="972"/>
    </row>
    <row r="446" spans="5:13">
      <c r="E446" s="972"/>
      <c r="F446" s="972"/>
      <c r="G446" s="972"/>
      <c r="H446" s="980" t="s">
        <v>4769</v>
      </c>
      <c r="I446" s="982" t="s">
        <v>2718</v>
      </c>
      <c r="J446" s="972"/>
      <c r="K446" s="982">
        <f>SUM(K443:K445)</f>
        <v>571.00099999999998</v>
      </c>
      <c r="L446" s="972">
        <f>467-K446</f>
        <v>-104.00099999999998</v>
      </c>
      <c r="M446" s="972"/>
    </row>
    <row r="447" spans="5:13">
      <c r="E447" s="972"/>
      <c r="F447" s="972">
        <v>1</v>
      </c>
      <c r="G447" s="972" t="s">
        <v>68</v>
      </c>
      <c r="H447" s="972" t="s">
        <v>4723</v>
      </c>
      <c r="I447" s="972">
        <f>I434</f>
        <v>783</v>
      </c>
      <c r="J447" s="972" t="s">
        <v>68</v>
      </c>
      <c r="K447" s="972">
        <f>F447*I447</f>
        <v>783</v>
      </c>
      <c r="L447" s="972"/>
      <c r="M447" s="972"/>
    </row>
    <row r="448" spans="5:13">
      <c r="E448" s="972"/>
      <c r="F448" s="972">
        <v>1</v>
      </c>
      <c r="G448" s="972" t="s">
        <v>68</v>
      </c>
      <c r="H448" s="972" t="s">
        <v>3392</v>
      </c>
      <c r="I448" s="972">
        <f>I435</f>
        <v>778</v>
      </c>
      <c r="J448" s="972" t="s">
        <v>68</v>
      </c>
      <c r="K448" s="972">
        <f>F448*I448</f>
        <v>778</v>
      </c>
      <c r="L448" s="972"/>
      <c r="M448" s="972"/>
    </row>
    <row r="449" spans="5:13">
      <c r="E449" s="972"/>
      <c r="F449" s="972">
        <v>2</v>
      </c>
      <c r="G449" s="972" t="s">
        <v>68</v>
      </c>
      <c r="H449" s="972" t="s">
        <v>4596</v>
      </c>
      <c r="I449" s="972">
        <f>I436</f>
        <v>611</v>
      </c>
      <c r="J449" s="972" t="s">
        <v>68</v>
      </c>
      <c r="K449" s="972">
        <f>F449*I449</f>
        <v>1222</v>
      </c>
      <c r="L449" s="972"/>
      <c r="M449" s="972"/>
    </row>
    <row r="450" spans="5:13">
      <c r="E450" s="972"/>
      <c r="F450" s="972"/>
      <c r="G450" s="972"/>
      <c r="H450" s="979" t="s">
        <v>4770</v>
      </c>
      <c r="I450" s="972"/>
      <c r="J450" s="972"/>
      <c r="K450" s="980">
        <f>SUM(K447:K449)</f>
        <v>2783</v>
      </c>
      <c r="L450" s="972"/>
      <c r="M450" s="972"/>
    </row>
    <row r="451" spans="5:13">
      <c r="E451" s="972"/>
      <c r="F451" s="972"/>
      <c r="G451" s="972"/>
      <c r="H451" s="981" t="s">
        <v>2718</v>
      </c>
      <c r="I451" s="972"/>
      <c r="J451" s="972"/>
      <c r="K451" s="982">
        <f>K450/5</f>
        <v>556.6</v>
      </c>
      <c r="L451" s="972"/>
      <c r="M451" s="972"/>
    </row>
    <row r="452" spans="5:13">
      <c r="E452" s="972"/>
      <c r="F452" s="972"/>
      <c r="G452" s="972"/>
      <c r="H452" s="1006" t="s">
        <v>4771</v>
      </c>
      <c r="I452" s="972"/>
      <c r="J452" s="972"/>
      <c r="K452" s="972"/>
      <c r="L452" s="972"/>
      <c r="M452" s="972"/>
    </row>
    <row r="453" spans="5:13">
      <c r="E453" s="972"/>
      <c r="F453" s="972"/>
      <c r="G453" s="972"/>
      <c r="H453" s="982" t="s">
        <v>4772</v>
      </c>
      <c r="I453" s="972"/>
      <c r="J453" s="972"/>
      <c r="K453" s="972"/>
      <c r="L453" s="972"/>
      <c r="M453" s="972"/>
    </row>
    <row r="454" spans="5:13">
      <c r="E454" s="972"/>
      <c r="F454" s="972"/>
      <c r="G454" s="972"/>
      <c r="H454" s="982" t="s">
        <v>4773</v>
      </c>
      <c r="I454" s="972"/>
      <c r="J454" s="972"/>
      <c r="K454" s="972"/>
      <c r="L454" s="972"/>
      <c r="M454" s="972"/>
    </row>
    <row r="455" spans="5:13">
      <c r="E455" s="972"/>
      <c r="F455" s="972"/>
      <c r="G455" s="972"/>
      <c r="H455" s="990" t="s">
        <v>4774</v>
      </c>
      <c r="I455" s="972"/>
      <c r="J455" s="972"/>
      <c r="K455" s="972"/>
      <c r="L455" s="972"/>
      <c r="M455" s="972"/>
    </row>
    <row r="456" spans="5:13" ht="63">
      <c r="E456" s="972"/>
      <c r="F456" s="972"/>
      <c r="G456" s="972"/>
      <c r="H456" s="971" t="s">
        <v>4775</v>
      </c>
      <c r="I456" s="972"/>
      <c r="J456" s="972"/>
      <c r="K456" s="972"/>
      <c r="L456" s="972"/>
      <c r="M456" s="972"/>
    </row>
    <row r="457" spans="5:13">
      <c r="E457" s="972"/>
      <c r="F457" s="972"/>
      <c r="G457" s="972"/>
      <c r="H457" s="972"/>
      <c r="I457" s="972"/>
      <c r="J457" s="972"/>
      <c r="K457" s="972"/>
      <c r="L457" s="972"/>
      <c r="M457" s="972"/>
    </row>
    <row r="458" spans="5:13">
      <c r="E458" s="972"/>
      <c r="F458" s="972">
        <v>9.5</v>
      </c>
      <c r="G458" s="972" t="s">
        <v>13</v>
      </c>
      <c r="H458" s="972" t="s">
        <v>4776</v>
      </c>
      <c r="I458" s="974">
        <v>101.5</v>
      </c>
      <c r="J458" s="972" t="s">
        <v>13</v>
      </c>
      <c r="K458" s="972">
        <f>F458*I458</f>
        <v>964.25</v>
      </c>
      <c r="L458" s="972"/>
      <c r="M458" s="972"/>
    </row>
    <row r="459" spans="5:13">
      <c r="E459" s="972"/>
      <c r="F459" s="972">
        <v>0.5</v>
      </c>
      <c r="G459" s="972" t="s">
        <v>13</v>
      </c>
      <c r="H459" s="972" t="s">
        <v>5776</v>
      </c>
      <c r="I459" s="977">
        <v>21.3</v>
      </c>
      <c r="J459" s="972"/>
      <c r="K459" s="972">
        <f>F459*I459</f>
        <v>10.65</v>
      </c>
      <c r="L459" s="972"/>
      <c r="M459" s="972"/>
    </row>
    <row r="460" spans="5:13">
      <c r="E460" s="972"/>
      <c r="F460" s="972"/>
      <c r="G460" s="972"/>
      <c r="H460" s="972" t="s">
        <v>2379</v>
      </c>
      <c r="I460" s="972"/>
      <c r="J460" s="972"/>
      <c r="K460" s="972">
        <f>K468</f>
        <v>1389</v>
      </c>
      <c r="L460" s="972"/>
      <c r="M460" s="972"/>
    </row>
    <row r="461" spans="5:13">
      <c r="E461" s="972"/>
      <c r="F461" s="972"/>
      <c r="G461" s="972"/>
      <c r="H461" s="972" t="s">
        <v>337</v>
      </c>
      <c r="I461" s="972"/>
      <c r="J461" s="972"/>
      <c r="K461" s="972">
        <v>3.2</v>
      </c>
      <c r="L461" s="972">
        <f>24.2*90</f>
        <v>2178</v>
      </c>
      <c r="M461" s="972"/>
    </row>
    <row r="462" spans="5:13">
      <c r="E462" s="972"/>
      <c r="F462" s="972"/>
      <c r="G462" s="972"/>
      <c r="H462" s="979" t="s">
        <v>4777</v>
      </c>
      <c r="I462" s="972"/>
      <c r="J462" s="972"/>
      <c r="K462" s="980">
        <f>SUM(K458:K461)</f>
        <v>2367.1</v>
      </c>
      <c r="L462" s="972">
        <f>L461-K462</f>
        <v>-189.09999999999991</v>
      </c>
      <c r="M462" s="972"/>
    </row>
    <row r="463" spans="5:13">
      <c r="E463" s="972"/>
      <c r="F463" s="972"/>
      <c r="G463" s="972"/>
      <c r="H463" s="981" t="s">
        <v>4778</v>
      </c>
      <c r="I463" s="972"/>
      <c r="J463" s="972"/>
      <c r="K463" s="982">
        <f>K462/90</f>
        <v>26.301111111111108</v>
      </c>
      <c r="L463" s="972">
        <f>26.3*90</f>
        <v>2367</v>
      </c>
      <c r="M463" s="972">
        <f>L463-K462</f>
        <v>-9.9999999999909051E-2</v>
      </c>
    </row>
    <row r="464" spans="5:13">
      <c r="E464" s="972"/>
      <c r="F464" s="972"/>
      <c r="G464" s="972"/>
      <c r="H464" s="972"/>
      <c r="I464" s="972"/>
      <c r="J464" s="972"/>
      <c r="K464" s="982"/>
      <c r="L464" s="972">
        <f>L463-K462</f>
        <v>-9.9999999999909051E-2</v>
      </c>
      <c r="M464" s="972"/>
    </row>
    <row r="465" spans="5:13">
      <c r="E465" s="972"/>
      <c r="F465" s="972"/>
      <c r="G465" s="972"/>
      <c r="H465" s="980" t="s">
        <v>4779</v>
      </c>
      <c r="I465" s="972"/>
      <c r="J465" s="972"/>
      <c r="K465" s="972"/>
      <c r="L465" s="972"/>
      <c r="M465" s="972"/>
    </row>
    <row r="466" spans="5:13">
      <c r="E466" s="972"/>
      <c r="F466" s="972">
        <v>1</v>
      </c>
      <c r="G466" s="972"/>
      <c r="H466" s="972" t="s">
        <v>3392</v>
      </c>
      <c r="I466" s="972">
        <f>I448</f>
        <v>778</v>
      </c>
      <c r="J466" s="972" t="s">
        <v>68</v>
      </c>
      <c r="K466" s="972">
        <f>F466*I466</f>
        <v>778</v>
      </c>
      <c r="L466" s="972"/>
      <c r="M466" s="972"/>
    </row>
    <row r="467" spans="5:13">
      <c r="E467" s="972"/>
      <c r="F467" s="972">
        <v>1</v>
      </c>
      <c r="G467" s="972"/>
      <c r="H467" s="972" t="s">
        <v>4596</v>
      </c>
      <c r="I467" s="972">
        <f>I449</f>
        <v>611</v>
      </c>
      <c r="J467" s="972" t="s">
        <v>68</v>
      </c>
      <c r="K467" s="972">
        <f>F467*I467</f>
        <v>611</v>
      </c>
      <c r="L467" s="972"/>
      <c r="M467" s="972"/>
    </row>
    <row r="468" spans="5:13" ht="24.75">
      <c r="E468" s="972"/>
      <c r="F468" s="972"/>
      <c r="G468" s="972"/>
      <c r="H468" s="972"/>
      <c r="I468" s="972"/>
      <c r="J468" s="972"/>
      <c r="K468" s="982">
        <f>SUM(K466:K467)</f>
        <v>1389</v>
      </c>
      <c r="L468" s="1007" t="s">
        <v>5777</v>
      </c>
      <c r="M468" s="972"/>
    </row>
    <row r="469" spans="5:13">
      <c r="E469" s="972"/>
      <c r="F469" s="972" t="s">
        <v>4780</v>
      </c>
      <c r="G469" s="972"/>
      <c r="H469" s="972"/>
      <c r="I469" s="972"/>
      <c r="J469" s="972"/>
      <c r="K469" s="972"/>
      <c r="L469" s="972"/>
      <c r="M469" s="972"/>
    </row>
    <row r="470" spans="5:13">
      <c r="E470" s="972"/>
      <c r="F470" s="972"/>
      <c r="G470" s="972"/>
      <c r="H470" s="972"/>
      <c r="I470" s="972"/>
      <c r="J470" s="972"/>
      <c r="K470" s="972"/>
      <c r="L470" s="972"/>
      <c r="M470" s="972"/>
    </row>
    <row r="471" spans="5:13">
      <c r="E471" s="972"/>
      <c r="F471" s="972"/>
      <c r="G471" s="972"/>
      <c r="H471" s="982" t="s">
        <v>4781</v>
      </c>
      <c r="I471" s="972"/>
      <c r="J471" s="972"/>
      <c r="K471" s="972"/>
      <c r="L471" s="972"/>
      <c r="M471" s="972"/>
    </row>
    <row r="472" spans="5:13">
      <c r="E472" s="972"/>
      <c r="F472" s="972"/>
      <c r="G472" s="972"/>
      <c r="H472" s="982" t="s">
        <v>4782</v>
      </c>
      <c r="I472" s="972"/>
      <c r="J472" s="972"/>
      <c r="K472" s="972"/>
      <c r="L472" s="972"/>
      <c r="M472" s="972"/>
    </row>
    <row r="473" spans="5:13">
      <c r="E473" s="972"/>
      <c r="F473" s="972"/>
      <c r="G473" s="972"/>
      <c r="H473" s="972"/>
      <c r="I473" s="972"/>
      <c r="J473" s="972"/>
      <c r="K473" s="972"/>
      <c r="L473" s="972"/>
      <c r="M473" s="972"/>
    </row>
    <row r="474" spans="5:13" ht="47.25">
      <c r="E474" s="972"/>
      <c r="F474" s="972"/>
      <c r="G474" s="972"/>
      <c r="H474" s="971" t="s">
        <v>4783</v>
      </c>
      <c r="I474" s="972"/>
      <c r="J474" s="972"/>
      <c r="K474" s="972"/>
      <c r="L474" s="972"/>
      <c r="M474" s="972"/>
    </row>
    <row r="475" spans="5:13">
      <c r="E475" s="972"/>
      <c r="F475" s="972">
        <v>2.5</v>
      </c>
      <c r="G475" s="972" t="s">
        <v>303</v>
      </c>
      <c r="H475" s="972" t="s">
        <v>4784</v>
      </c>
      <c r="I475" s="974">
        <v>163</v>
      </c>
      <c r="J475" s="972" t="s">
        <v>303</v>
      </c>
      <c r="K475" s="972">
        <f>F475*I475</f>
        <v>407.5</v>
      </c>
      <c r="L475" s="972"/>
      <c r="M475" s="972"/>
    </row>
    <row r="476" spans="5:13">
      <c r="E476" s="972"/>
      <c r="F476" s="972">
        <v>1</v>
      </c>
      <c r="G476" s="972" t="s">
        <v>303</v>
      </c>
      <c r="H476" s="972" t="s">
        <v>4785</v>
      </c>
      <c r="I476" s="974">
        <v>98.6</v>
      </c>
      <c r="J476" s="972" t="s">
        <v>303</v>
      </c>
      <c r="K476" s="972">
        <f t="shared" ref="K476:K485" si="14">F476*I476</f>
        <v>98.6</v>
      </c>
      <c r="L476" s="972"/>
      <c r="M476" s="972"/>
    </row>
    <row r="477" spans="5:13">
      <c r="E477" s="972"/>
      <c r="F477" s="972">
        <v>1</v>
      </c>
      <c r="G477" s="972" t="s">
        <v>303</v>
      </c>
      <c r="H477" s="972" t="s">
        <v>4786</v>
      </c>
      <c r="I477" s="974">
        <v>69.8</v>
      </c>
      <c r="J477" s="972" t="s">
        <v>303</v>
      </c>
      <c r="K477" s="972">
        <f t="shared" si="14"/>
        <v>69.8</v>
      </c>
      <c r="L477" s="972"/>
      <c r="M477" s="972"/>
    </row>
    <row r="478" spans="5:13">
      <c r="E478" s="972"/>
      <c r="F478" s="972">
        <v>1</v>
      </c>
      <c r="G478" s="972" t="s">
        <v>68</v>
      </c>
      <c r="H478" s="972" t="s">
        <v>4787</v>
      </c>
      <c r="I478" s="974">
        <v>52</v>
      </c>
      <c r="J478" s="972" t="s">
        <v>68</v>
      </c>
      <c r="K478" s="972">
        <f t="shared" si="14"/>
        <v>52</v>
      </c>
      <c r="L478" s="972"/>
      <c r="M478" s="972"/>
    </row>
    <row r="479" spans="5:13">
      <c r="E479" s="972"/>
      <c r="F479" s="972">
        <v>1</v>
      </c>
      <c r="G479" s="972" t="s">
        <v>2084</v>
      </c>
      <c r="H479" s="972" t="s">
        <v>4788</v>
      </c>
      <c r="I479" s="977">
        <v>24.1</v>
      </c>
      <c r="J479" s="972" t="s">
        <v>2084</v>
      </c>
      <c r="K479" s="972">
        <f t="shared" si="14"/>
        <v>24.1</v>
      </c>
      <c r="L479" s="972"/>
      <c r="M479" s="972"/>
    </row>
    <row r="480" spans="5:13">
      <c r="E480" s="972"/>
      <c r="F480" s="972">
        <v>1</v>
      </c>
      <c r="G480" s="972" t="s">
        <v>287</v>
      </c>
      <c r="H480" s="972" t="s">
        <v>4789</v>
      </c>
      <c r="I480" s="977">
        <v>447</v>
      </c>
      <c r="J480" s="972" t="s">
        <v>287</v>
      </c>
      <c r="K480" s="972">
        <f t="shared" si="14"/>
        <v>447</v>
      </c>
      <c r="L480" s="972"/>
      <c r="M480" s="972"/>
    </row>
    <row r="481" spans="5:14">
      <c r="E481" s="972"/>
      <c r="F481" s="972">
        <v>1</v>
      </c>
      <c r="G481" s="972" t="s">
        <v>68</v>
      </c>
      <c r="H481" s="972" t="s">
        <v>4790</v>
      </c>
      <c r="I481" s="977">
        <v>100</v>
      </c>
      <c r="J481" s="972" t="s">
        <v>68</v>
      </c>
      <c r="K481" s="972">
        <f t="shared" si="14"/>
        <v>100</v>
      </c>
      <c r="L481" s="972"/>
      <c r="M481" s="972"/>
    </row>
    <row r="482" spans="5:14">
      <c r="E482" s="972"/>
      <c r="F482" s="972">
        <v>40</v>
      </c>
      <c r="G482" s="972" t="s">
        <v>13</v>
      </c>
      <c r="H482" s="972" t="s">
        <v>5778</v>
      </c>
      <c r="I482" s="977">
        <f>101.7/20.32</f>
        <v>5.0049212598425195</v>
      </c>
      <c r="J482" s="972" t="s">
        <v>13</v>
      </c>
      <c r="K482" s="972">
        <f t="shared" si="14"/>
        <v>200.19685039370077</v>
      </c>
      <c r="L482" s="972">
        <f>101.7/20.32</f>
        <v>5.0049212598425195</v>
      </c>
      <c r="M482" s="972"/>
    </row>
    <row r="483" spans="5:14">
      <c r="E483" s="972"/>
      <c r="F483" s="972">
        <v>2</v>
      </c>
      <c r="G483" s="972" t="s">
        <v>68</v>
      </c>
      <c r="H483" s="972" t="s">
        <v>4791</v>
      </c>
      <c r="I483" s="974">
        <v>13.6</v>
      </c>
      <c r="J483" s="972" t="s">
        <v>68</v>
      </c>
      <c r="K483" s="972">
        <f t="shared" si="14"/>
        <v>27.2</v>
      </c>
      <c r="L483" s="972"/>
      <c r="M483" s="972"/>
      <c r="N483" s="956">
        <f>97.15/20.32</f>
        <v>4.7810039370078741</v>
      </c>
    </row>
    <row r="484" spans="5:14">
      <c r="E484" s="972"/>
      <c r="F484" s="972">
        <v>4</v>
      </c>
      <c r="G484" s="972" t="s">
        <v>68</v>
      </c>
      <c r="H484" s="972" t="s">
        <v>4792</v>
      </c>
      <c r="I484" s="974">
        <v>13.6</v>
      </c>
      <c r="J484" s="972" t="s">
        <v>68</v>
      </c>
      <c r="K484" s="972">
        <f t="shared" si="14"/>
        <v>54.4</v>
      </c>
      <c r="L484" s="972"/>
      <c r="M484" s="972"/>
    </row>
    <row r="485" spans="5:14">
      <c r="E485" s="972"/>
      <c r="F485" s="972">
        <v>10</v>
      </c>
      <c r="G485" s="972" t="s">
        <v>13</v>
      </c>
      <c r="H485" s="972" t="s">
        <v>5779</v>
      </c>
      <c r="I485" s="974">
        <v>3.7</v>
      </c>
      <c r="J485" s="972" t="s">
        <v>13</v>
      </c>
      <c r="K485" s="972">
        <f t="shared" si="14"/>
        <v>37</v>
      </c>
      <c r="L485" s="972"/>
      <c r="M485" s="972"/>
    </row>
    <row r="486" spans="5:14">
      <c r="E486" s="972"/>
      <c r="F486" s="972"/>
      <c r="G486" s="972"/>
      <c r="H486" s="972" t="s">
        <v>337</v>
      </c>
      <c r="I486" s="972"/>
      <c r="J486" s="972"/>
      <c r="K486" s="972">
        <v>10</v>
      </c>
      <c r="L486" s="972"/>
      <c r="M486" s="972"/>
    </row>
    <row r="487" spans="5:14">
      <c r="E487" s="972"/>
      <c r="F487" s="972"/>
      <c r="G487" s="972"/>
      <c r="H487" s="972" t="s">
        <v>910</v>
      </c>
      <c r="I487" s="972"/>
      <c r="J487" s="972"/>
      <c r="K487" s="990">
        <f>K493</f>
        <v>1394</v>
      </c>
      <c r="L487" s="972"/>
      <c r="M487" s="972"/>
    </row>
    <row r="488" spans="5:14">
      <c r="E488" s="972"/>
      <c r="F488" s="972"/>
      <c r="G488" s="972"/>
      <c r="H488" s="981" t="s">
        <v>2718</v>
      </c>
      <c r="I488" s="972"/>
      <c r="J488" s="972"/>
      <c r="K488" s="982">
        <f>SUM(K475:K487)</f>
        <v>2921.7968503937009</v>
      </c>
      <c r="L488" s="972">
        <f>K488-2920</f>
        <v>1.7968503937008791</v>
      </c>
      <c r="M488" s="972"/>
    </row>
    <row r="489" spans="5:14">
      <c r="E489" s="972"/>
      <c r="F489" s="972"/>
      <c r="G489" s="972"/>
      <c r="H489" s="972"/>
      <c r="I489" s="972"/>
      <c r="J489" s="972"/>
      <c r="K489" s="972"/>
      <c r="L489" s="972"/>
      <c r="M489" s="972"/>
    </row>
    <row r="490" spans="5:14">
      <c r="E490" s="972"/>
      <c r="F490" s="972"/>
      <c r="G490" s="972"/>
      <c r="H490" s="980" t="s">
        <v>910</v>
      </c>
      <c r="I490" s="972"/>
      <c r="J490" s="972"/>
      <c r="K490" s="972"/>
      <c r="L490" s="972"/>
      <c r="M490" s="972"/>
    </row>
    <row r="491" spans="5:14">
      <c r="E491" s="972"/>
      <c r="F491" s="972">
        <v>1</v>
      </c>
      <c r="G491" s="972" t="s">
        <v>68</v>
      </c>
      <c r="H491" s="972" t="s">
        <v>4723</v>
      </c>
      <c r="I491" s="972">
        <f>I447</f>
        <v>783</v>
      </c>
      <c r="J491" s="972" t="s">
        <v>68</v>
      </c>
      <c r="K491" s="972">
        <f>F491*I491</f>
        <v>783</v>
      </c>
      <c r="L491" s="972"/>
      <c r="M491" s="972"/>
    </row>
    <row r="492" spans="5:14">
      <c r="E492" s="972"/>
      <c r="F492" s="972">
        <v>1</v>
      </c>
      <c r="G492" s="972" t="s">
        <v>68</v>
      </c>
      <c r="H492" s="972" t="s">
        <v>4596</v>
      </c>
      <c r="I492" s="972">
        <f>I467</f>
        <v>611</v>
      </c>
      <c r="J492" s="972" t="s">
        <v>68</v>
      </c>
      <c r="K492" s="972">
        <f>F492*I492</f>
        <v>611</v>
      </c>
      <c r="L492" s="972"/>
      <c r="M492" s="972"/>
    </row>
    <row r="493" spans="5:14">
      <c r="E493" s="972"/>
      <c r="F493" s="972"/>
      <c r="G493" s="972"/>
      <c r="H493" s="972"/>
      <c r="I493" s="972"/>
      <c r="J493" s="972"/>
      <c r="K493" s="982">
        <f>SUM(K491:K492)</f>
        <v>1394</v>
      </c>
      <c r="L493" s="972"/>
      <c r="M493" s="972"/>
    </row>
    <row r="494" spans="5:14">
      <c r="E494" s="972"/>
      <c r="F494" s="972"/>
      <c r="G494" s="972"/>
      <c r="H494" s="982" t="s">
        <v>4793</v>
      </c>
      <c r="I494" s="972"/>
      <c r="J494" s="972"/>
      <c r="K494" s="972"/>
      <c r="L494" s="972"/>
      <c r="M494" s="972"/>
    </row>
    <row r="495" spans="5:14">
      <c r="E495" s="972"/>
      <c r="F495" s="972"/>
      <c r="G495" s="972"/>
      <c r="H495" s="982" t="s">
        <v>4794</v>
      </c>
      <c r="I495" s="972"/>
      <c r="J495" s="972"/>
      <c r="K495" s="972"/>
      <c r="L495" s="972"/>
      <c r="M495" s="972"/>
    </row>
    <row r="496" spans="5:14">
      <c r="E496" s="972"/>
      <c r="F496" s="972"/>
      <c r="G496" s="972"/>
      <c r="H496" s="972"/>
      <c r="I496" s="972"/>
      <c r="J496" s="972"/>
      <c r="K496" s="972"/>
      <c r="L496" s="972"/>
      <c r="M496" s="972"/>
    </row>
    <row r="497" spans="5:13" ht="78.75">
      <c r="E497" s="972"/>
      <c r="F497" s="972"/>
      <c r="G497" s="972"/>
      <c r="H497" s="971" t="s">
        <v>4795</v>
      </c>
      <c r="I497" s="972"/>
      <c r="J497" s="972"/>
      <c r="K497" s="972"/>
      <c r="L497" s="972"/>
      <c r="M497" s="972"/>
    </row>
    <row r="498" spans="5:13">
      <c r="E498" s="972"/>
      <c r="F498" s="972"/>
      <c r="G498" s="972"/>
      <c r="H498" s="972"/>
      <c r="I498" s="972"/>
      <c r="J498" s="972"/>
      <c r="K498" s="972"/>
      <c r="L498" s="972"/>
      <c r="M498" s="972"/>
    </row>
    <row r="499" spans="5:13">
      <c r="E499" s="972"/>
      <c r="F499" s="972">
        <v>1</v>
      </c>
      <c r="G499" s="972" t="s">
        <v>68</v>
      </c>
      <c r="H499" s="972" t="s">
        <v>4796</v>
      </c>
      <c r="I499" s="972">
        <f>K504</f>
        <v>62.57</v>
      </c>
      <c r="J499" s="972" t="s">
        <v>340</v>
      </c>
      <c r="K499" s="972">
        <f>F499*I499</f>
        <v>62.57</v>
      </c>
      <c r="L499" s="972"/>
      <c r="M499" s="972"/>
    </row>
    <row r="500" spans="5:13" ht="47.25">
      <c r="E500" s="972"/>
      <c r="F500" s="972"/>
      <c r="G500" s="972"/>
      <c r="H500" s="971" t="s">
        <v>4797</v>
      </c>
      <c r="I500" s="972"/>
      <c r="J500" s="972" t="s">
        <v>287</v>
      </c>
      <c r="K500" s="972">
        <v>15.64</v>
      </c>
      <c r="L500" s="972"/>
      <c r="M500" s="972"/>
    </row>
    <row r="501" spans="5:13">
      <c r="E501" s="972"/>
      <c r="F501" s="972"/>
      <c r="G501" s="972"/>
      <c r="H501" s="972" t="s">
        <v>2328</v>
      </c>
      <c r="I501" s="972"/>
      <c r="J501" s="972"/>
      <c r="K501" s="972">
        <f>K509</f>
        <v>311.7</v>
      </c>
      <c r="L501" s="972"/>
      <c r="M501" s="972"/>
    </row>
    <row r="502" spans="5:13">
      <c r="E502" s="972"/>
      <c r="F502" s="972"/>
      <c r="G502" s="972"/>
      <c r="H502" s="981" t="s">
        <v>2718</v>
      </c>
      <c r="I502" s="972"/>
      <c r="J502" s="972"/>
      <c r="K502" s="982">
        <f>SUM(K499:K501)</f>
        <v>389.90999999999997</v>
      </c>
      <c r="L502" s="972">
        <f>K502-261</f>
        <v>128.90999999999997</v>
      </c>
      <c r="M502" s="972"/>
    </row>
    <row r="503" spans="5:13">
      <c r="E503" s="972"/>
      <c r="F503" s="972"/>
      <c r="G503" s="972"/>
      <c r="H503" s="972"/>
      <c r="I503" s="972"/>
      <c r="J503" s="972"/>
      <c r="K503" s="972"/>
      <c r="L503" s="972"/>
      <c r="M503" s="972"/>
    </row>
    <row r="504" spans="5:13">
      <c r="E504" s="972"/>
      <c r="F504" s="972"/>
      <c r="G504" s="972"/>
      <c r="H504" s="982" t="s">
        <v>4798</v>
      </c>
      <c r="I504" s="990">
        <f>I391</f>
        <v>104280</v>
      </c>
      <c r="J504" s="1008">
        <v>5.9999999999999995E-4</v>
      </c>
      <c r="K504" s="990">
        <f>ROUND(I504*J504,2)</f>
        <v>62.57</v>
      </c>
      <c r="L504" s="972"/>
      <c r="M504" s="972"/>
    </row>
    <row r="505" spans="5:13">
      <c r="E505" s="972"/>
      <c r="F505" s="972"/>
      <c r="G505" s="972"/>
      <c r="H505" s="972" t="s">
        <v>2328</v>
      </c>
      <c r="I505" s="972"/>
      <c r="J505" s="972"/>
      <c r="K505" s="972"/>
      <c r="L505" s="972"/>
      <c r="M505" s="972"/>
    </row>
    <row r="506" spans="5:13">
      <c r="E506" s="972"/>
      <c r="F506" s="972">
        <v>1</v>
      </c>
      <c r="G506" s="972" t="s">
        <v>68</v>
      </c>
      <c r="H506" s="972" t="s">
        <v>4799</v>
      </c>
      <c r="I506" s="972">
        <f>I447</f>
        <v>783</v>
      </c>
      <c r="J506" s="972" t="s">
        <v>340</v>
      </c>
      <c r="K506" s="972">
        <f>F506*I506</f>
        <v>783</v>
      </c>
      <c r="L506" s="972"/>
      <c r="M506" s="972"/>
    </row>
    <row r="507" spans="5:13">
      <c r="E507" s="972"/>
      <c r="F507" s="972">
        <v>3</v>
      </c>
      <c r="G507" s="972" t="s">
        <v>68</v>
      </c>
      <c r="H507" s="972" t="s">
        <v>3392</v>
      </c>
      <c r="I507" s="972">
        <f>I448</f>
        <v>778</v>
      </c>
      <c r="J507" s="972" t="s">
        <v>340</v>
      </c>
      <c r="K507" s="972">
        <f>F507*I507</f>
        <v>2334</v>
      </c>
      <c r="L507" s="972"/>
      <c r="M507" s="972"/>
    </row>
    <row r="508" spans="5:13">
      <c r="E508" s="972"/>
      <c r="F508" s="972"/>
      <c r="G508" s="972"/>
      <c r="H508" s="979" t="s">
        <v>4800</v>
      </c>
      <c r="I508" s="972"/>
      <c r="J508" s="972"/>
      <c r="K508" s="990">
        <f>SUM(K506:K507)</f>
        <v>3117</v>
      </c>
      <c r="L508" s="972"/>
      <c r="M508" s="972"/>
    </row>
    <row r="509" spans="5:13">
      <c r="E509" s="972"/>
      <c r="F509" s="972"/>
      <c r="G509" s="972"/>
      <c r="H509" s="979" t="s">
        <v>4801</v>
      </c>
      <c r="I509" s="972"/>
      <c r="J509" s="972"/>
      <c r="K509" s="982">
        <f>K508/10</f>
        <v>311.7</v>
      </c>
      <c r="L509" s="972"/>
      <c r="M509" s="972"/>
    </row>
    <row r="510" spans="5:13">
      <c r="E510" s="972"/>
      <c r="F510" s="972"/>
      <c r="G510" s="972"/>
      <c r="H510" s="972"/>
      <c r="I510" s="972"/>
      <c r="J510" s="972"/>
      <c r="K510" s="972"/>
      <c r="L510" s="972"/>
      <c r="M510" s="972"/>
    </row>
    <row r="511" spans="5:13">
      <c r="E511" s="972"/>
      <c r="F511" s="972"/>
      <c r="G511" s="972"/>
      <c r="H511" s="982" t="s">
        <v>4802</v>
      </c>
      <c r="I511" s="972"/>
      <c r="J511" s="972"/>
      <c r="K511" s="972"/>
      <c r="L511" s="972"/>
      <c r="M511" s="972"/>
    </row>
    <row r="512" spans="5:13" ht="94.5">
      <c r="E512" s="972"/>
      <c r="F512" s="972"/>
      <c r="G512" s="972"/>
      <c r="H512" s="971" t="s">
        <v>4803</v>
      </c>
      <c r="I512" s="972"/>
      <c r="J512" s="972"/>
      <c r="K512" s="972"/>
      <c r="L512" s="972"/>
      <c r="M512" s="972"/>
    </row>
    <row r="513" spans="5:13">
      <c r="E513" s="972"/>
      <c r="F513" s="972"/>
      <c r="G513" s="972"/>
      <c r="H513" s="972"/>
      <c r="I513" s="972"/>
      <c r="J513" s="972"/>
      <c r="K513" s="972"/>
      <c r="L513" s="972"/>
      <c r="M513" s="972"/>
    </row>
    <row r="514" spans="5:13">
      <c r="E514" s="972"/>
      <c r="F514" s="972">
        <v>1</v>
      </c>
      <c r="G514" s="972" t="s">
        <v>68</v>
      </c>
      <c r="H514" s="972" t="s">
        <v>4804</v>
      </c>
      <c r="I514" s="974">
        <v>348</v>
      </c>
      <c r="J514" s="972" t="s">
        <v>68</v>
      </c>
      <c r="K514" s="972">
        <f>F514*I514</f>
        <v>348</v>
      </c>
      <c r="L514" s="972"/>
      <c r="M514" s="972"/>
    </row>
    <row r="515" spans="5:13" ht="47.25">
      <c r="E515" s="972"/>
      <c r="F515" s="972"/>
      <c r="G515" s="972"/>
      <c r="H515" s="971" t="s">
        <v>4805</v>
      </c>
      <c r="I515" s="972"/>
      <c r="J515" s="972"/>
      <c r="K515" s="972">
        <v>20.85</v>
      </c>
      <c r="L515" s="972"/>
      <c r="M515" s="972"/>
    </row>
    <row r="516" spans="5:13">
      <c r="E516" s="972"/>
      <c r="F516" s="972"/>
      <c r="G516" s="972"/>
      <c r="H516" s="972" t="s">
        <v>910</v>
      </c>
      <c r="I516" s="972"/>
      <c r="J516" s="972"/>
      <c r="K516" s="972">
        <f>K525</f>
        <v>420.15</v>
      </c>
      <c r="L516" s="972"/>
      <c r="M516" s="972"/>
    </row>
    <row r="517" spans="5:13">
      <c r="E517" s="972"/>
      <c r="F517" s="972"/>
      <c r="G517" s="972"/>
      <c r="H517" s="981" t="s">
        <v>2718</v>
      </c>
      <c r="I517" s="972"/>
      <c r="J517" s="972"/>
      <c r="K517" s="982">
        <f>SUM(K514:K516)</f>
        <v>789</v>
      </c>
      <c r="L517" s="972">
        <f>789-K517</f>
        <v>0</v>
      </c>
      <c r="M517" s="972"/>
    </row>
    <row r="518" spans="5:13">
      <c r="E518" s="972"/>
      <c r="F518" s="972"/>
      <c r="G518" s="972"/>
      <c r="H518" s="981"/>
      <c r="I518" s="972"/>
      <c r="J518" s="972"/>
      <c r="K518" s="982"/>
      <c r="L518" s="972"/>
      <c r="M518" s="972"/>
    </row>
    <row r="519" spans="5:13">
      <c r="E519" s="972"/>
      <c r="F519" s="972"/>
      <c r="G519" s="972"/>
      <c r="H519" s="972" t="s">
        <v>2328</v>
      </c>
      <c r="I519" s="972"/>
      <c r="J519" s="972"/>
      <c r="K519" s="972"/>
      <c r="L519" s="972"/>
      <c r="M519" s="972"/>
    </row>
    <row r="520" spans="5:13">
      <c r="E520" s="972"/>
      <c r="F520" s="972">
        <v>1</v>
      </c>
      <c r="G520" s="972"/>
      <c r="H520" s="972" t="s">
        <v>4723</v>
      </c>
      <c r="I520" s="972">
        <f>I36</f>
        <v>783</v>
      </c>
      <c r="J520" s="972" t="s">
        <v>68</v>
      </c>
      <c r="K520" s="972">
        <f>F520*I520</f>
        <v>783</v>
      </c>
      <c r="L520" s="972"/>
      <c r="M520" s="972"/>
    </row>
    <row r="521" spans="5:13">
      <c r="E521" s="972"/>
      <c r="F521" s="972">
        <v>3</v>
      </c>
      <c r="G521" s="972"/>
      <c r="H521" s="972" t="s">
        <v>3392</v>
      </c>
      <c r="I521" s="972">
        <f>I37</f>
        <v>778</v>
      </c>
      <c r="J521" s="972" t="s">
        <v>68</v>
      </c>
      <c r="K521" s="972">
        <f>F521*I521</f>
        <v>2334</v>
      </c>
      <c r="L521" s="972"/>
      <c r="M521" s="972"/>
    </row>
    <row r="522" spans="5:13">
      <c r="E522" s="972"/>
      <c r="F522" s="972">
        <v>1</v>
      </c>
      <c r="G522" s="972"/>
      <c r="H522" s="972" t="s">
        <v>3352</v>
      </c>
      <c r="I522" s="972">
        <f>I38</f>
        <v>611</v>
      </c>
      <c r="J522" s="972" t="s">
        <v>68</v>
      </c>
      <c r="K522" s="972">
        <f>F522*I522</f>
        <v>611</v>
      </c>
      <c r="L522" s="972"/>
      <c r="M522" s="972"/>
    </row>
    <row r="523" spans="5:13">
      <c r="E523" s="972"/>
      <c r="F523" s="972">
        <v>0.5</v>
      </c>
      <c r="G523" s="972"/>
      <c r="H523" s="972" t="s">
        <v>4806</v>
      </c>
      <c r="I523" s="974">
        <f>[5]Data!AH9</f>
        <v>947</v>
      </c>
      <c r="J523" s="972" t="s">
        <v>68</v>
      </c>
      <c r="K523" s="972">
        <f>F523*I523</f>
        <v>473.5</v>
      </c>
      <c r="L523" s="972"/>
      <c r="M523" s="972"/>
    </row>
    <row r="524" spans="5:13">
      <c r="E524" s="972"/>
      <c r="F524" s="972"/>
      <c r="G524" s="972"/>
      <c r="H524" s="979" t="s">
        <v>4807</v>
      </c>
      <c r="I524" s="972"/>
      <c r="J524" s="972"/>
      <c r="K524" s="980">
        <f>SUM(K520:K523)</f>
        <v>4201.5</v>
      </c>
      <c r="L524" s="972"/>
      <c r="M524" s="972"/>
    </row>
    <row r="525" spans="5:13">
      <c r="E525" s="972"/>
      <c r="F525" s="972"/>
      <c r="G525" s="972"/>
      <c r="H525" s="981" t="s">
        <v>4808</v>
      </c>
      <c r="I525" s="982"/>
      <c r="J525" s="982"/>
      <c r="K525" s="982">
        <f>K524/10</f>
        <v>420.15</v>
      </c>
      <c r="L525" s="972"/>
      <c r="M525" s="972"/>
    </row>
    <row r="526" spans="5:13">
      <c r="E526" s="972"/>
      <c r="F526" s="972"/>
      <c r="G526" s="972"/>
      <c r="H526" s="972"/>
      <c r="I526" s="972"/>
      <c r="J526" s="972"/>
      <c r="K526" s="972"/>
      <c r="L526" s="972"/>
      <c r="M526" s="972"/>
    </row>
    <row r="527" spans="5:13">
      <c r="E527" s="972"/>
      <c r="F527" s="972"/>
      <c r="G527" s="972"/>
      <c r="H527" s="982" t="s">
        <v>4809</v>
      </c>
      <c r="I527" s="972"/>
      <c r="J527" s="972"/>
      <c r="K527" s="972"/>
      <c r="L527" s="972"/>
      <c r="M527" s="972"/>
    </row>
    <row r="528" spans="5:13">
      <c r="E528" s="972"/>
      <c r="F528" s="972"/>
      <c r="G528" s="972"/>
      <c r="H528" s="982" t="s">
        <v>4810</v>
      </c>
      <c r="I528" s="972"/>
      <c r="J528" s="972"/>
      <c r="K528" s="972"/>
      <c r="L528" s="972"/>
      <c r="M528" s="972"/>
    </row>
    <row r="529" spans="5:13">
      <c r="E529" s="972"/>
      <c r="F529" s="972"/>
      <c r="G529" s="972"/>
      <c r="H529" s="972"/>
      <c r="I529" s="972"/>
      <c r="J529" s="972"/>
      <c r="K529" s="972"/>
      <c r="L529" s="972"/>
      <c r="M529" s="972"/>
    </row>
    <row r="530" spans="5:13" ht="94.5">
      <c r="E530" s="972"/>
      <c r="F530" s="972"/>
      <c r="G530" s="972"/>
      <c r="H530" s="971" t="s">
        <v>4811</v>
      </c>
      <c r="I530" s="972"/>
      <c r="J530" s="972"/>
      <c r="K530" s="972"/>
      <c r="L530" s="972"/>
      <c r="M530" s="972"/>
    </row>
    <row r="531" spans="5:13">
      <c r="E531" s="972"/>
      <c r="F531" s="972"/>
      <c r="G531" s="972"/>
      <c r="H531" s="972"/>
      <c r="I531" s="972"/>
      <c r="J531" s="972"/>
      <c r="K531" s="972"/>
      <c r="L531" s="972"/>
      <c r="M531" s="972"/>
    </row>
    <row r="532" spans="5:13">
      <c r="E532" s="972"/>
      <c r="F532" s="972">
        <v>1</v>
      </c>
      <c r="G532" s="972" t="s">
        <v>68</v>
      </c>
      <c r="H532" s="972" t="s">
        <v>4812</v>
      </c>
      <c r="I532" s="972">
        <f>K537</f>
        <v>125.136</v>
      </c>
      <c r="J532" s="972" t="s">
        <v>340</v>
      </c>
      <c r="K532" s="972">
        <f>F532*I532</f>
        <v>125.136</v>
      </c>
      <c r="L532" s="972"/>
      <c r="M532" s="972"/>
    </row>
    <row r="533" spans="5:13" ht="47.25">
      <c r="E533" s="972"/>
      <c r="F533" s="972" t="s">
        <v>287</v>
      </c>
      <c r="G533" s="972" t="s">
        <v>287</v>
      </c>
      <c r="H533" s="971" t="s">
        <v>4813</v>
      </c>
      <c r="I533" s="972" t="s">
        <v>287</v>
      </c>
      <c r="J533" s="972" t="s">
        <v>287</v>
      </c>
      <c r="K533" s="972">
        <v>43.16</v>
      </c>
      <c r="L533" s="972"/>
      <c r="M533" s="972"/>
    </row>
    <row r="534" spans="5:13">
      <c r="E534" s="972"/>
      <c r="F534" s="972"/>
      <c r="G534" s="972"/>
      <c r="H534" s="972" t="s">
        <v>2328</v>
      </c>
      <c r="I534" s="972"/>
      <c r="J534" s="972"/>
      <c r="K534" s="972">
        <f>K509</f>
        <v>311.7</v>
      </c>
      <c r="L534" s="972"/>
      <c r="M534" s="972"/>
    </row>
    <row r="535" spans="5:13">
      <c r="E535" s="972"/>
      <c r="F535" s="972"/>
      <c r="G535" s="972"/>
      <c r="H535" s="981" t="s">
        <v>2718</v>
      </c>
      <c r="I535" s="972"/>
      <c r="J535" s="972"/>
      <c r="K535" s="982">
        <f>SUM(K532:K534)</f>
        <v>479.99599999999998</v>
      </c>
      <c r="L535" s="972">
        <f>K535-480</f>
        <v>-4.0000000000190994E-3</v>
      </c>
      <c r="M535" s="972"/>
    </row>
    <row r="536" spans="5:13">
      <c r="E536" s="972"/>
      <c r="F536" s="972"/>
      <c r="G536" s="972"/>
      <c r="H536" s="972"/>
      <c r="I536" s="972"/>
      <c r="J536" s="972"/>
      <c r="K536" s="982"/>
      <c r="L536" s="972"/>
      <c r="M536" s="972"/>
    </row>
    <row r="537" spans="5:13">
      <c r="E537" s="972"/>
      <c r="F537" s="972"/>
      <c r="G537" s="972"/>
      <c r="H537" s="982" t="s">
        <v>4812</v>
      </c>
      <c r="I537" s="972">
        <f>I504</f>
        <v>104280</v>
      </c>
      <c r="J537" s="989">
        <f>0.0012</f>
        <v>1.1999999999999999E-3</v>
      </c>
      <c r="K537" s="982">
        <f>I537*J537</f>
        <v>125.136</v>
      </c>
      <c r="L537" s="972"/>
      <c r="M537" s="972"/>
    </row>
    <row r="538" spans="5:13">
      <c r="E538" s="972"/>
      <c r="F538" s="972"/>
      <c r="G538" s="972"/>
      <c r="H538" s="972"/>
      <c r="I538" s="972"/>
      <c r="J538" s="972"/>
      <c r="K538" s="972"/>
      <c r="L538" s="972"/>
      <c r="M538" s="972"/>
    </row>
    <row r="539" spans="5:13">
      <c r="E539" s="972"/>
      <c r="F539" s="972"/>
      <c r="G539" s="972"/>
      <c r="H539" s="982" t="s">
        <v>4793</v>
      </c>
      <c r="I539" s="972"/>
      <c r="J539" s="972"/>
      <c r="K539" s="972"/>
      <c r="L539" s="972"/>
      <c r="M539" s="972"/>
    </row>
    <row r="540" spans="5:13">
      <c r="E540" s="972"/>
      <c r="F540" s="972"/>
      <c r="G540" s="972"/>
      <c r="H540" s="972"/>
      <c r="I540" s="972"/>
      <c r="J540" s="972"/>
      <c r="K540" s="972"/>
      <c r="L540" s="972"/>
      <c r="M540" s="972"/>
    </row>
    <row r="541" spans="5:13">
      <c r="E541" s="972"/>
      <c r="F541" s="972"/>
      <c r="G541" s="972"/>
      <c r="H541" s="982" t="s">
        <v>4814</v>
      </c>
      <c r="I541" s="972"/>
      <c r="J541" s="972"/>
      <c r="K541" s="972"/>
      <c r="L541" s="972"/>
      <c r="M541" s="972"/>
    </row>
    <row r="542" spans="5:13">
      <c r="E542" s="972"/>
      <c r="F542" s="972"/>
      <c r="G542" s="972"/>
      <c r="H542" s="972"/>
      <c r="I542" s="972"/>
      <c r="J542" s="972"/>
      <c r="K542" s="972"/>
      <c r="L542" s="972"/>
      <c r="M542" s="972"/>
    </row>
    <row r="543" spans="5:13" ht="94.5">
      <c r="E543" s="972"/>
      <c r="F543" s="972"/>
      <c r="G543" s="972"/>
      <c r="H543" s="971" t="s">
        <v>4815</v>
      </c>
      <c r="I543" s="972"/>
      <c r="J543" s="972"/>
      <c r="K543" s="972"/>
      <c r="L543" s="972"/>
      <c r="M543" s="972"/>
    </row>
    <row r="544" spans="5:13">
      <c r="E544" s="972"/>
      <c r="F544" s="972"/>
      <c r="G544" s="972"/>
      <c r="H544" s="972"/>
      <c r="I544" s="972"/>
      <c r="J544" s="972"/>
      <c r="K544" s="972"/>
      <c r="L544" s="972"/>
      <c r="M544" s="972"/>
    </row>
    <row r="545" spans="5:13">
      <c r="E545" s="972"/>
      <c r="F545" s="972">
        <v>1</v>
      </c>
      <c r="G545" s="972" t="s">
        <v>68</v>
      </c>
      <c r="H545" s="972" t="s">
        <v>4816</v>
      </c>
      <c r="I545" s="972">
        <f>I514</f>
        <v>348</v>
      </c>
      <c r="J545" s="972" t="s">
        <v>68</v>
      </c>
      <c r="K545" s="972">
        <f>F545*I545</f>
        <v>348</v>
      </c>
      <c r="L545" s="972"/>
      <c r="M545" s="972"/>
    </row>
    <row r="546" spans="5:13" ht="47.25">
      <c r="E546" s="972"/>
      <c r="F546" s="972"/>
      <c r="G546" s="972"/>
      <c r="H546" s="971" t="s">
        <v>4805</v>
      </c>
      <c r="I546" s="972"/>
      <c r="J546" s="972"/>
      <c r="K546" s="972">
        <v>35.35</v>
      </c>
      <c r="L546" s="972"/>
      <c r="M546" s="972"/>
    </row>
    <row r="547" spans="5:13">
      <c r="E547" s="972"/>
      <c r="F547" s="972"/>
      <c r="G547" s="972"/>
      <c r="H547" s="972" t="s">
        <v>910</v>
      </c>
      <c r="I547" s="972"/>
      <c r="J547" s="972"/>
      <c r="K547" s="972">
        <f>K525</f>
        <v>420.15</v>
      </c>
      <c r="L547" s="972"/>
      <c r="M547" s="972"/>
    </row>
    <row r="548" spans="5:13">
      <c r="E548" s="972"/>
      <c r="F548" s="972"/>
      <c r="G548" s="972"/>
      <c r="H548" s="981" t="s">
        <v>2718</v>
      </c>
      <c r="I548" s="972"/>
      <c r="J548" s="972"/>
      <c r="K548" s="982">
        <f>SUM(K545:K547)</f>
        <v>803.5</v>
      </c>
      <c r="L548" s="972">
        <f>K548-551</f>
        <v>252.5</v>
      </c>
      <c r="M548" s="972"/>
    </row>
    <row r="549" spans="5:13">
      <c r="E549" s="972"/>
      <c r="F549" s="972"/>
      <c r="G549" s="972"/>
      <c r="H549" s="972"/>
      <c r="I549" s="972"/>
      <c r="J549" s="972"/>
      <c r="K549" s="972"/>
      <c r="L549" s="972"/>
      <c r="M549" s="972"/>
    </row>
    <row r="550" spans="5:13">
      <c r="E550" s="972"/>
      <c r="F550" s="972"/>
      <c r="G550" s="972"/>
      <c r="H550" s="982" t="s">
        <v>4817</v>
      </c>
      <c r="I550" s="972"/>
      <c r="J550" s="972"/>
      <c r="K550" s="972"/>
      <c r="L550" s="972"/>
      <c r="M550" s="972"/>
    </row>
    <row r="551" spans="5:13">
      <c r="E551" s="972"/>
      <c r="F551" s="972"/>
      <c r="G551" s="972"/>
      <c r="H551" s="982" t="s">
        <v>4520</v>
      </c>
      <c r="I551" s="972"/>
      <c r="J551" s="972"/>
      <c r="K551" s="972"/>
      <c r="L551" s="972"/>
      <c r="M551" s="972"/>
    </row>
    <row r="552" spans="5:13">
      <c r="E552" s="972"/>
      <c r="F552" s="972"/>
      <c r="G552" s="972"/>
      <c r="H552" s="972"/>
      <c r="I552" s="972"/>
      <c r="J552" s="972"/>
      <c r="K552" s="972"/>
      <c r="L552" s="972"/>
      <c r="M552" s="972"/>
    </row>
    <row r="553" spans="5:13" ht="31.5">
      <c r="E553" s="972"/>
      <c r="F553" s="972">
        <v>1</v>
      </c>
      <c r="G553" s="972" t="s">
        <v>68</v>
      </c>
      <c r="H553" s="971" t="s">
        <v>4818</v>
      </c>
      <c r="I553" s="974">
        <v>1520</v>
      </c>
      <c r="J553" s="972" t="s">
        <v>68</v>
      </c>
      <c r="K553" s="982">
        <f>F553*I553</f>
        <v>1520</v>
      </c>
      <c r="L553" s="972"/>
      <c r="M553" s="972"/>
    </row>
    <row r="554" spans="5:13">
      <c r="E554" s="972"/>
      <c r="F554" s="972"/>
      <c r="G554" s="972"/>
      <c r="H554" s="972"/>
      <c r="I554" s="972"/>
      <c r="J554" s="972"/>
      <c r="K554" s="972"/>
      <c r="L554" s="972"/>
      <c r="M554" s="972"/>
    </row>
    <row r="555" spans="5:13">
      <c r="E555" s="972"/>
      <c r="F555" s="972"/>
      <c r="G555" s="972"/>
      <c r="H555" s="982" t="s">
        <v>4819</v>
      </c>
      <c r="I555" s="972"/>
      <c r="J555" s="972"/>
      <c r="K555" s="972"/>
      <c r="L555" s="972"/>
      <c r="M555" s="972"/>
    </row>
    <row r="556" spans="5:13">
      <c r="E556" s="972"/>
      <c r="F556" s="972"/>
      <c r="G556" s="972"/>
      <c r="H556" s="982" t="s">
        <v>4521</v>
      </c>
      <c r="I556" s="972"/>
      <c r="J556" s="972"/>
      <c r="K556" s="972"/>
      <c r="L556" s="972"/>
      <c r="M556" s="972"/>
    </row>
    <row r="557" spans="5:13">
      <c r="E557" s="972"/>
      <c r="F557" s="972"/>
      <c r="G557" s="972"/>
      <c r="H557" s="972"/>
      <c r="I557" s="972"/>
      <c r="J557" s="972"/>
      <c r="K557" s="972"/>
      <c r="L557" s="972"/>
      <c r="M557" s="972"/>
    </row>
    <row r="558" spans="5:13" ht="30.75">
      <c r="E558" s="972"/>
      <c r="F558" s="972">
        <v>1</v>
      </c>
      <c r="G558" s="972" t="s">
        <v>68</v>
      </c>
      <c r="H558" s="971" t="s">
        <v>4820</v>
      </c>
      <c r="I558" s="974">
        <v>1876</v>
      </c>
      <c r="J558" s="972" t="s">
        <v>68</v>
      </c>
      <c r="K558" s="982">
        <f>F558*I558</f>
        <v>1876</v>
      </c>
      <c r="L558" s="972"/>
      <c r="M558" s="972"/>
    </row>
    <row r="559" spans="5:13">
      <c r="E559" s="972"/>
      <c r="F559" s="972"/>
      <c r="G559" s="972"/>
      <c r="H559" s="972"/>
      <c r="I559" s="972"/>
      <c r="J559" s="972"/>
      <c r="K559" s="972"/>
      <c r="L559" s="972"/>
      <c r="M559" s="972"/>
    </row>
    <row r="560" spans="5:13">
      <c r="E560" s="972"/>
      <c r="F560" s="972"/>
      <c r="G560" s="972"/>
      <c r="H560" s="982" t="s">
        <v>4821</v>
      </c>
      <c r="I560" s="972"/>
      <c r="J560" s="972"/>
      <c r="K560" s="972"/>
      <c r="L560" s="972"/>
      <c r="M560" s="972"/>
    </row>
    <row r="561" spans="5:16">
      <c r="E561" s="972"/>
      <c r="F561" s="972"/>
      <c r="G561" s="972"/>
      <c r="H561" s="982" t="s">
        <v>4822</v>
      </c>
      <c r="I561" s="972"/>
      <c r="J561" s="972"/>
      <c r="K561" s="972"/>
      <c r="L561" s="972"/>
      <c r="M561" s="972"/>
    </row>
    <row r="562" spans="5:16">
      <c r="E562" s="972"/>
      <c r="F562" s="972"/>
      <c r="G562" s="972"/>
      <c r="H562" s="980" t="s">
        <v>4823</v>
      </c>
      <c r="I562" s="972"/>
      <c r="J562" s="972"/>
      <c r="K562" s="972"/>
      <c r="L562" s="972"/>
      <c r="M562" s="972"/>
    </row>
    <row r="563" spans="5:16">
      <c r="E563" s="972"/>
      <c r="F563" s="972"/>
      <c r="G563" s="972"/>
      <c r="H563" s="972"/>
      <c r="I563" s="972"/>
      <c r="J563" s="972"/>
      <c r="K563" s="972"/>
      <c r="L563" s="972"/>
      <c r="M563" s="972"/>
    </row>
    <row r="564" spans="5:16" ht="63">
      <c r="E564" s="972"/>
      <c r="F564" s="972"/>
      <c r="G564" s="972"/>
      <c r="H564" s="971" t="s">
        <v>4824</v>
      </c>
      <c r="I564" s="972"/>
      <c r="J564" s="972"/>
      <c r="K564" s="972"/>
      <c r="L564" s="971" t="s">
        <v>4825</v>
      </c>
      <c r="M564" s="971" t="s">
        <v>4826</v>
      </c>
      <c r="N564" s="971" t="s">
        <v>4827</v>
      </c>
      <c r="O564" s="971" t="s">
        <v>4828</v>
      </c>
    </row>
    <row r="565" spans="5:16">
      <c r="E565" s="972"/>
      <c r="F565" s="972">
        <v>1</v>
      </c>
      <c r="G565" s="972" t="s">
        <v>68</v>
      </c>
      <c r="H565" s="972" t="s">
        <v>4829</v>
      </c>
      <c r="I565" s="974">
        <v>85.2</v>
      </c>
      <c r="J565" s="972" t="s">
        <v>68</v>
      </c>
      <c r="K565" s="972">
        <f>F565*I565</f>
        <v>85.2</v>
      </c>
      <c r="L565" s="975">
        <v>190.2</v>
      </c>
      <c r="M565" s="975">
        <v>48.05</v>
      </c>
      <c r="N565" s="975">
        <v>343.7</v>
      </c>
      <c r="O565" s="1901">
        <v>555</v>
      </c>
    </row>
    <row r="566" spans="5:16">
      <c r="E566" s="972"/>
      <c r="F566" s="972">
        <v>1</v>
      </c>
      <c r="G566" s="972" t="s">
        <v>68</v>
      </c>
      <c r="H566" s="972" t="s">
        <v>4830</v>
      </c>
      <c r="I566" s="972">
        <f>K571</f>
        <v>31.283999999999999</v>
      </c>
      <c r="J566" s="972" t="s">
        <v>68</v>
      </c>
      <c r="K566" s="972">
        <f>F566*I566</f>
        <v>31.283999999999999</v>
      </c>
      <c r="L566" s="972">
        <f t="shared" ref="L566:O568" si="15">K566</f>
        <v>31.283999999999999</v>
      </c>
      <c r="M566" s="972">
        <f t="shared" si="15"/>
        <v>31.283999999999999</v>
      </c>
      <c r="N566" s="972">
        <f t="shared" si="15"/>
        <v>31.283999999999999</v>
      </c>
      <c r="O566" s="960">
        <f t="shared" si="15"/>
        <v>31.283999999999999</v>
      </c>
    </row>
    <row r="567" spans="5:16">
      <c r="E567" s="972"/>
      <c r="F567" s="972"/>
      <c r="G567" s="972"/>
      <c r="H567" s="972" t="s">
        <v>910</v>
      </c>
      <c r="I567" s="972"/>
      <c r="J567" s="972"/>
      <c r="K567" s="972">
        <f>K578</f>
        <v>424.25</v>
      </c>
      <c r="L567" s="972">
        <f t="shared" si="15"/>
        <v>424.25</v>
      </c>
      <c r="M567" s="972">
        <f t="shared" si="15"/>
        <v>424.25</v>
      </c>
      <c r="N567" s="972">
        <f t="shared" si="15"/>
        <v>424.25</v>
      </c>
      <c r="O567" s="960">
        <f t="shared" si="15"/>
        <v>424.25</v>
      </c>
    </row>
    <row r="568" spans="5:16">
      <c r="E568" s="972"/>
      <c r="F568" s="972"/>
      <c r="G568" s="972"/>
      <c r="H568" s="972" t="s">
        <v>4831</v>
      </c>
      <c r="I568" s="972" t="s">
        <v>287</v>
      </c>
      <c r="J568" s="972"/>
      <c r="K568" s="972">
        <v>9.27</v>
      </c>
      <c r="L568" s="972">
        <f t="shared" si="15"/>
        <v>9.27</v>
      </c>
      <c r="M568" s="972">
        <f>L568+0.15</f>
        <v>9.42</v>
      </c>
      <c r="N568" s="972">
        <f>M568+0.05</f>
        <v>9.4700000000000006</v>
      </c>
      <c r="O568" s="960">
        <f>N568</f>
        <v>9.4700000000000006</v>
      </c>
      <c r="P568" s="986">
        <f>515-M569</f>
        <v>1.9959999999999809</v>
      </c>
    </row>
    <row r="569" spans="5:16">
      <c r="E569" s="972"/>
      <c r="F569" s="972"/>
      <c r="G569" s="972"/>
      <c r="H569" s="981" t="s">
        <v>2718</v>
      </c>
      <c r="I569" s="972"/>
      <c r="J569" s="972"/>
      <c r="K569" s="982">
        <f>SUM(K565:K568)</f>
        <v>550.00400000000002</v>
      </c>
      <c r="L569" s="982">
        <f>SUM(L565:L568)</f>
        <v>655.00399999999991</v>
      </c>
      <c r="M569" s="982">
        <f>SUM(M565:M568)</f>
        <v>513.00400000000002</v>
      </c>
      <c r="N569" s="982">
        <f>SUM(N565:N568)</f>
        <v>808.70399999999995</v>
      </c>
      <c r="O569" s="982">
        <f>SUM(O565:O568)</f>
        <v>1020.004</v>
      </c>
    </row>
    <row r="570" spans="5:16">
      <c r="E570" s="972"/>
      <c r="F570" s="972"/>
      <c r="G570" s="972"/>
      <c r="H570" s="972"/>
      <c r="I570" s="972"/>
      <c r="J570" s="972"/>
      <c r="K570" s="972"/>
      <c r="L570" s="972"/>
      <c r="M570" s="972"/>
    </row>
    <row r="571" spans="5:16">
      <c r="E571" s="972"/>
      <c r="F571" s="972"/>
      <c r="G571" s="972"/>
      <c r="H571" s="982" t="s">
        <v>4832</v>
      </c>
      <c r="I571" s="972">
        <f>I537</f>
        <v>104280</v>
      </c>
      <c r="J571" s="989">
        <v>2.9999999999999997E-4</v>
      </c>
      <c r="K571" s="982">
        <f>I571*J571</f>
        <v>31.283999999999999</v>
      </c>
      <c r="L571" s="972">
        <f>K569-368</f>
        <v>182.00400000000002</v>
      </c>
      <c r="M571" s="972"/>
    </row>
    <row r="572" spans="5:16">
      <c r="E572" s="972"/>
      <c r="F572" s="972"/>
      <c r="G572" s="972"/>
      <c r="H572" s="972"/>
      <c r="I572" s="972"/>
      <c r="J572" s="972"/>
      <c r="K572" s="972"/>
      <c r="L572" s="972"/>
      <c r="M572" s="972"/>
    </row>
    <row r="573" spans="5:16">
      <c r="E573" s="972"/>
      <c r="F573" s="972"/>
      <c r="G573" s="972"/>
      <c r="H573" s="980" t="s">
        <v>2328</v>
      </c>
      <c r="I573" s="972"/>
      <c r="J573" s="972"/>
      <c r="K573" s="972"/>
      <c r="L573" s="972"/>
      <c r="M573" s="972"/>
    </row>
    <row r="574" spans="5:16">
      <c r="E574" s="972"/>
      <c r="F574" s="972">
        <v>1</v>
      </c>
      <c r="G574" s="972" t="s">
        <v>68</v>
      </c>
      <c r="H574" s="972" t="s">
        <v>4723</v>
      </c>
      <c r="I574" s="972">
        <f>I520</f>
        <v>783</v>
      </c>
      <c r="J574" s="972" t="s">
        <v>68</v>
      </c>
      <c r="K574" s="972">
        <f>F574*I574</f>
        <v>783</v>
      </c>
      <c r="L574" s="972"/>
      <c r="M574" s="972"/>
    </row>
    <row r="575" spans="5:16">
      <c r="E575" s="972"/>
      <c r="F575" s="972">
        <v>1</v>
      </c>
      <c r="G575" s="972" t="s">
        <v>68</v>
      </c>
      <c r="H575" s="972" t="s">
        <v>3392</v>
      </c>
      <c r="I575" s="972">
        <f>I521</f>
        <v>778</v>
      </c>
      <c r="J575" s="972" t="s">
        <v>68</v>
      </c>
      <c r="K575" s="972">
        <f>F575*I575</f>
        <v>778</v>
      </c>
      <c r="L575" s="972"/>
      <c r="M575" s="972"/>
    </row>
    <row r="576" spans="5:16">
      <c r="E576" s="972"/>
      <c r="F576" s="972">
        <v>3</v>
      </c>
      <c r="G576" s="972" t="s">
        <v>68</v>
      </c>
      <c r="H576" s="972" t="s">
        <v>3352</v>
      </c>
      <c r="I576" s="972">
        <f>I522</f>
        <v>611</v>
      </c>
      <c r="J576" s="972" t="s">
        <v>68</v>
      </c>
      <c r="K576" s="972">
        <f>F576*I576</f>
        <v>1833</v>
      </c>
      <c r="L576" s="972"/>
      <c r="M576" s="972"/>
    </row>
    <row r="577" spans="5:15">
      <c r="E577" s="972"/>
      <c r="F577" s="972"/>
      <c r="G577" s="972"/>
      <c r="H577" s="979" t="s">
        <v>4833</v>
      </c>
      <c r="I577" s="972"/>
      <c r="J577" s="972"/>
      <c r="K577" s="972">
        <f>SUM(K574:K576)</f>
        <v>3394</v>
      </c>
      <c r="L577" s="972"/>
      <c r="M577" s="972"/>
    </row>
    <row r="578" spans="5:15">
      <c r="E578" s="972"/>
      <c r="F578" s="972"/>
      <c r="G578" s="972"/>
      <c r="H578" s="981" t="s">
        <v>3395</v>
      </c>
      <c r="I578" s="972"/>
      <c r="J578" s="972"/>
      <c r="K578" s="982">
        <f>K577/8</f>
        <v>424.25</v>
      </c>
      <c r="L578" s="972"/>
      <c r="M578" s="972"/>
    </row>
    <row r="579" spans="5:15">
      <c r="E579" s="972"/>
      <c r="F579" s="972"/>
      <c r="G579" s="972"/>
      <c r="H579" s="972"/>
      <c r="I579" s="972"/>
      <c r="J579" s="972"/>
      <c r="K579" s="972"/>
      <c r="L579" s="972"/>
      <c r="M579" s="972"/>
    </row>
    <row r="580" spans="5:15">
      <c r="E580" s="972"/>
      <c r="F580" s="972"/>
      <c r="G580" s="972"/>
      <c r="H580" s="982" t="s">
        <v>4834</v>
      </c>
      <c r="I580" s="972"/>
      <c r="J580" s="972"/>
      <c r="K580" s="972"/>
      <c r="L580" s="972"/>
      <c r="M580" s="972"/>
    </row>
    <row r="581" spans="5:15">
      <c r="E581" s="972"/>
      <c r="F581" s="972"/>
      <c r="G581" s="972"/>
      <c r="H581" s="982" t="s">
        <v>4835</v>
      </c>
      <c r="I581" s="972"/>
      <c r="J581" s="972"/>
      <c r="K581" s="972"/>
      <c r="L581" s="972"/>
      <c r="M581" s="972"/>
    </row>
    <row r="582" spans="5:15">
      <c r="E582" s="972"/>
      <c r="F582" s="972"/>
      <c r="G582" s="972"/>
      <c r="H582" s="972"/>
      <c r="I582" s="972"/>
      <c r="J582" s="972"/>
      <c r="K582" s="972"/>
      <c r="L582" s="972"/>
      <c r="M582" s="972"/>
    </row>
    <row r="583" spans="5:15" ht="63">
      <c r="E583" s="972"/>
      <c r="F583" s="972"/>
      <c r="G583" s="972"/>
      <c r="H583" s="971" t="s">
        <v>4836</v>
      </c>
      <c r="I583" s="972"/>
      <c r="J583" s="972"/>
      <c r="K583" s="972"/>
      <c r="L583" s="972" t="s">
        <v>4837</v>
      </c>
      <c r="M583" s="971" t="s">
        <v>4826</v>
      </c>
      <c r="N583" s="971" t="s">
        <v>4827</v>
      </c>
      <c r="O583" s="971" t="s">
        <v>4828</v>
      </c>
    </row>
    <row r="584" spans="5:15">
      <c r="E584" s="972"/>
      <c r="F584" s="972">
        <v>3</v>
      </c>
      <c r="G584" s="972" t="s">
        <v>68</v>
      </c>
      <c r="H584" s="972" t="str">
        <f>H565</f>
        <v>32 Amps 500 V fuse units P-120 6-b</v>
      </c>
      <c r="I584" s="990">
        <f>I565</f>
        <v>85.2</v>
      </c>
      <c r="J584" s="972" t="s">
        <v>340</v>
      </c>
      <c r="K584" s="972">
        <f>F584*I584</f>
        <v>255.60000000000002</v>
      </c>
      <c r="L584" s="972">
        <f>L565*3</f>
        <v>570.59999999999991</v>
      </c>
      <c r="M584" s="972">
        <f>M565*3</f>
        <v>144.14999999999998</v>
      </c>
      <c r="N584" s="972">
        <f>N565*3</f>
        <v>1031.0999999999999</v>
      </c>
      <c r="O584" s="972">
        <f>O565*3</f>
        <v>1665</v>
      </c>
    </row>
    <row r="585" spans="5:15">
      <c r="E585" s="972"/>
      <c r="F585" s="972">
        <v>1</v>
      </c>
      <c r="G585" s="972" t="s">
        <v>68</v>
      </c>
      <c r="H585" s="972" t="s">
        <v>4796</v>
      </c>
      <c r="I585" s="972">
        <f>K590</f>
        <v>62.567999999999998</v>
      </c>
      <c r="J585" s="972" t="s">
        <v>68</v>
      </c>
      <c r="K585" s="972">
        <f>F585*I585</f>
        <v>62.567999999999998</v>
      </c>
      <c r="L585" s="972">
        <f t="shared" ref="L585:O587" si="16">K585</f>
        <v>62.567999999999998</v>
      </c>
      <c r="M585" s="972">
        <f t="shared" si="16"/>
        <v>62.567999999999998</v>
      </c>
      <c r="N585" s="972">
        <f t="shared" si="16"/>
        <v>62.567999999999998</v>
      </c>
      <c r="O585" s="972">
        <f t="shared" si="16"/>
        <v>62.567999999999998</v>
      </c>
    </row>
    <row r="586" spans="5:15">
      <c r="E586" s="972"/>
      <c r="F586" s="972"/>
      <c r="G586" s="972"/>
      <c r="H586" s="972" t="s">
        <v>910</v>
      </c>
      <c r="I586" s="972"/>
      <c r="J586" s="972"/>
      <c r="K586" s="972">
        <f>K597</f>
        <v>500.625</v>
      </c>
      <c r="L586" s="972">
        <f t="shared" si="16"/>
        <v>500.625</v>
      </c>
      <c r="M586" s="972">
        <f t="shared" si="16"/>
        <v>500.625</v>
      </c>
      <c r="N586" s="972">
        <f t="shared" si="16"/>
        <v>500.625</v>
      </c>
      <c r="O586" s="972">
        <f t="shared" si="16"/>
        <v>500.625</v>
      </c>
    </row>
    <row r="587" spans="5:15">
      <c r="E587" s="972"/>
      <c r="F587" s="972"/>
      <c r="G587" s="972"/>
      <c r="H587" s="972" t="s">
        <v>4831</v>
      </c>
      <c r="I587" s="972" t="s">
        <v>287</v>
      </c>
      <c r="J587" s="972"/>
      <c r="K587" s="972">
        <v>6.2</v>
      </c>
      <c r="L587" s="972">
        <f t="shared" si="16"/>
        <v>6.2</v>
      </c>
      <c r="M587" s="972">
        <f t="shared" si="16"/>
        <v>6.2</v>
      </c>
      <c r="N587" s="972">
        <f t="shared" si="16"/>
        <v>6.2</v>
      </c>
      <c r="O587" s="972">
        <f t="shared" si="16"/>
        <v>6.2</v>
      </c>
    </row>
    <row r="588" spans="5:15">
      <c r="E588" s="972"/>
      <c r="F588" s="972"/>
      <c r="G588" s="972"/>
      <c r="H588" s="981" t="s">
        <v>2718</v>
      </c>
      <c r="I588" s="972"/>
      <c r="J588" s="972"/>
      <c r="K588" s="982">
        <f>SUM(K584:K587)</f>
        <v>824.99300000000005</v>
      </c>
      <c r="L588" s="982">
        <f>SUM(L584:L587)</f>
        <v>1139.9929999999999</v>
      </c>
      <c r="M588" s="982">
        <f>SUM(M584:M587)</f>
        <v>713.54300000000001</v>
      </c>
      <c r="N588" s="982">
        <f>SUM(N584:N587)</f>
        <v>1600.4929999999999</v>
      </c>
      <c r="O588" s="982">
        <f>SUM(O584:O587)</f>
        <v>2234.393</v>
      </c>
    </row>
    <row r="589" spans="5:15">
      <c r="E589" s="972"/>
      <c r="F589" s="972"/>
      <c r="G589" s="972"/>
      <c r="H589" s="981"/>
      <c r="I589" s="972"/>
      <c r="J589" s="972"/>
      <c r="K589" s="982"/>
      <c r="L589" s="972">
        <f>825-K588</f>
        <v>6.9999999999481588E-3</v>
      </c>
      <c r="M589" s="972"/>
    </row>
    <row r="590" spans="5:15">
      <c r="E590" s="972"/>
      <c r="F590" s="972"/>
      <c r="G590" s="972"/>
      <c r="H590" s="982" t="s">
        <v>4796</v>
      </c>
      <c r="I590" s="972">
        <f>I571</f>
        <v>104280</v>
      </c>
      <c r="J590" s="989">
        <v>5.9999999999999995E-4</v>
      </c>
      <c r="K590" s="982">
        <f>I590*J590</f>
        <v>62.567999999999998</v>
      </c>
      <c r="L590" s="972"/>
      <c r="M590" s="972"/>
    </row>
    <row r="591" spans="5:15">
      <c r="E591" s="972"/>
      <c r="F591" s="972"/>
      <c r="G591" s="972"/>
      <c r="H591" s="981"/>
      <c r="I591" s="972"/>
      <c r="J591" s="972"/>
      <c r="K591" s="972"/>
      <c r="L591" s="972"/>
      <c r="M591" s="972"/>
    </row>
    <row r="592" spans="5:15">
      <c r="E592" s="972"/>
      <c r="F592" s="972"/>
      <c r="G592" s="972"/>
      <c r="H592" s="980" t="s">
        <v>2328</v>
      </c>
      <c r="I592" s="972"/>
      <c r="J592" s="972"/>
      <c r="K592" s="972"/>
      <c r="L592" s="972"/>
      <c r="M592" s="972"/>
    </row>
    <row r="593" spans="5:13">
      <c r="E593" s="972"/>
      <c r="F593" s="972">
        <v>1</v>
      </c>
      <c r="G593" s="972" t="s">
        <v>68</v>
      </c>
      <c r="H593" s="972" t="s">
        <v>4723</v>
      </c>
      <c r="I593" s="972">
        <f>I574</f>
        <v>783</v>
      </c>
      <c r="J593" s="972" t="s">
        <v>68</v>
      </c>
      <c r="K593" s="972">
        <f>F593*I593</f>
        <v>783</v>
      </c>
      <c r="L593" s="972"/>
      <c r="M593" s="972"/>
    </row>
    <row r="594" spans="5:13">
      <c r="E594" s="972"/>
      <c r="F594" s="972">
        <v>1</v>
      </c>
      <c r="G594" s="972" t="s">
        <v>68</v>
      </c>
      <c r="H594" s="972" t="s">
        <v>3392</v>
      </c>
      <c r="I594" s="972">
        <f>I575</f>
        <v>778</v>
      </c>
      <c r="J594" s="972" t="s">
        <v>68</v>
      </c>
      <c r="K594" s="972">
        <f>F594*I594</f>
        <v>778</v>
      </c>
      <c r="L594" s="972"/>
      <c r="M594" s="972"/>
    </row>
    <row r="595" spans="5:13">
      <c r="E595" s="972"/>
      <c r="F595" s="972">
        <v>4</v>
      </c>
      <c r="G595" s="972" t="s">
        <v>68</v>
      </c>
      <c r="H595" s="972" t="s">
        <v>3352</v>
      </c>
      <c r="I595" s="972">
        <f>I576</f>
        <v>611</v>
      </c>
      <c r="J595" s="972" t="s">
        <v>68</v>
      </c>
      <c r="K595" s="972">
        <f>F595*I595</f>
        <v>2444</v>
      </c>
      <c r="L595" s="972"/>
      <c r="M595" s="972"/>
    </row>
    <row r="596" spans="5:13">
      <c r="E596" s="972"/>
      <c r="F596" s="972"/>
      <c r="G596" s="972"/>
      <c r="H596" s="979" t="s">
        <v>4833</v>
      </c>
      <c r="I596" s="972"/>
      <c r="J596" s="972"/>
      <c r="K596" s="972">
        <f>SUM(K593:K595)</f>
        <v>4005</v>
      </c>
      <c r="L596" s="972"/>
      <c r="M596" s="972"/>
    </row>
    <row r="597" spans="5:13">
      <c r="E597" s="972"/>
      <c r="F597" s="972"/>
      <c r="G597" s="972"/>
      <c r="H597" s="981" t="s">
        <v>4601</v>
      </c>
      <c r="I597" s="972"/>
      <c r="J597" s="972"/>
      <c r="K597" s="982">
        <f>K596/8</f>
        <v>500.625</v>
      </c>
      <c r="L597" s="972"/>
      <c r="M597" s="972"/>
    </row>
    <row r="598" spans="5:13">
      <c r="E598" s="972"/>
      <c r="F598" s="972"/>
      <c r="G598" s="972"/>
      <c r="H598" s="972"/>
      <c r="I598" s="972"/>
      <c r="J598" s="972"/>
      <c r="K598" s="972"/>
      <c r="L598" s="972"/>
      <c r="M598" s="972"/>
    </row>
    <row r="599" spans="5:13">
      <c r="E599" s="972"/>
      <c r="F599" s="972"/>
      <c r="G599" s="972"/>
      <c r="H599" s="982" t="s">
        <v>4838</v>
      </c>
      <c r="I599" s="972"/>
      <c r="J599" s="972"/>
      <c r="K599" s="972"/>
      <c r="L599" s="972"/>
      <c r="M599" s="972"/>
    </row>
    <row r="600" spans="5:13">
      <c r="E600" s="972"/>
      <c r="F600" s="972"/>
      <c r="G600" s="972"/>
      <c r="H600" s="972"/>
      <c r="I600" s="972"/>
      <c r="J600" s="972"/>
      <c r="K600" s="972"/>
      <c r="L600" s="972"/>
      <c r="M600" s="972"/>
    </row>
    <row r="601" spans="5:13">
      <c r="E601" s="972"/>
      <c r="F601" s="972"/>
      <c r="G601" s="972"/>
      <c r="H601" s="982" t="s">
        <v>4839</v>
      </c>
      <c r="I601" s="972"/>
      <c r="J601" s="972"/>
      <c r="K601" s="972"/>
      <c r="L601" s="972"/>
      <c r="M601" s="972"/>
    </row>
    <row r="602" spans="5:13">
      <c r="E602" s="972"/>
      <c r="F602" s="972"/>
      <c r="G602" s="972"/>
      <c r="H602" s="972"/>
      <c r="I602" s="972"/>
      <c r="J602" s="972"/>
      <c r="K602" s="972"/>
      <c r="L602" s="972"/>
      <c r="M602" s="972"/>
    </row>
    <row r="603" spans="5:13" ht="78.75">
      <c r="E603" s="972"/>
      <c r="F603" s="972"/>
      <c r="G603" s="972"/>
      <c r="H603" s="971" t="s">
        <v>4840</v>
      </c>
      <c r="I603" s="972"/>
      <c r="J603" s="972"/>
      <c r="K603" s="972"/>
      <c r="L603" s="972"/>
      <c r="M603" s="972"/>
    </row>
    <row r="604" spans="5:13">
      <c r="E604" s="972"/>
      <c r="F604" s="972"/>
      <c r="G604" s="972"/>
      <c r="H604" s="972"/>
      <c r="I604" s="972"/>
      <c r="J604" s="972"/>
      <c r="K604" s="972"/>
      <c r="L604" s="972"/>
      <c r="M604" s="972"/>
    </row>
    <row r="605" spans="5:13">
      <c r="E605" s="972"/>
      <c r="F605" s="972">
        <v>1</v>
      </c>
      <c r="G605" s="972" t="s">
        <v>68</v>
      </c>
      <c r="H605" s="972" t="s">
        <v>4841</v>
      </c>
      <c r="I605" s="975">
        <v>48.05</v>
      </c>
      <c r="J605" s="972" t="s">
        <v>68</v>
      </c>
      <c r="K605" s="972">
        <f>F605*I605</f>
        <v>48.05</v>
      </c>
      <c r="L605" s="972"/>
      <c r="M605" s="972"/>
    </row>
    <row r="606" spans="5:13">
      <c r="E606" s="972"/>
      <c r="F606" s="972">
        <v>1</v>
      </c>
      <c r="G606" s="972" t="s">
        <v>68</v>
      </c>
      <c r="H606" s="971" t="s">
        <v>4842</v>
      </c>
      <c r="I606" s="972">
        <f>K612</f>
        <v>234.63</v>
      </c>
      <c r="J606" s="972" t="s">
        <v>68</v>
      </c>
      <c r="K606" s="972">
        <f>F606*I606</f>
        <v>234.63</v>
      </c>
      <c r="L606" s="972"/>
      <c r="M606" s="972"/>
    </row>
    <row r="607" spans="5:13">
      <c r="E607" s="972"/>
      <c r="F607" s="972">
        <v>1</v>
      </c>
      <c r="G607" s="972" t="s">
        <v>68</v>
      </c>
      <c r="H607" s="972" t="s">
        <v>3606</v>
      </c>
      <c r="I607" s="1005">
        <v>25</v>
      </c>
      <c r="J607" s="972" t="s">
        <v>3607</v>
      </c>
      <c r="K607" s="972">
        <f>F607*I607</f>
        <v>25</v>
      </c>
      <c r="L607" s="972"/>
      <c r="M607" s="972"/>
    </row>
    <row r="608" spans="5:13">
      <c r="E608" s="972"/>
      <c r="F608" s="972"/>
      <c r="G608" s="972"/>
      <c r="H608" s="972" t="s">
        <v>2328</v>
      </c>
      <c r="I608" s="972"/>
      <c r="J608" s="972"/>
      <c r="K608" s="972">
        <f>K618</f>
        <v>501.25</v>
      </c>
      <c r="L608" s="972"/>
      <c r="M608" s="972"/>
    </row>
    <row r="609" spans="5:57">
      <c r="E609" s="972"/>
      <c r="F609" s="972"/>
      <c r="G609" s="972"/>
      <c r="H609" s="972" t="s">
        <v>3608</v>
      </c>
      <c r="I609" s="972"/>
      <c r="J609" s="972"/>
      <c r="K609" s="972">
        <v>9.82</v>
      </c>
      <c r="L609" s="972"/>
      <c r="M609" s="972"/>
    </row>
    <row r="610" spans="5:57">
      <c r="E610" s="972"/>
      <c r="F610" s="972"/>
      <c r="G610" s="972"/>
      <c r="H610" s="981" t="s">
        <v>3609</v>
      </c>
      <c r="I610" s="972"/>
      <c r="J610" s="972"/>
      <c r="K610" s="982">
        <f>SUM(K605:K609)</f>
        <v>818.75000000000011</v>
      </c>
      <c r="L610" s="972">
        <f>K610-592</f>
        <v>226.75000000000011</v>
      </c>
      <c r="M610" s="972"/>
    </row>
    <row r="611" spans="5:57">
      <c r="E611" s="972"/>
      <c r="F611" s="972"/>
      <c r="G611" s="972"/>
      <c r="H611" s="972"/>
      <c r="I611" s="972"/>
      <c r="J611" s="972"/>
      <c r="K611" s="972"/>
      <c r="L611" s="972"/>
      <c r="M611" s="972"/>
    </row>
    <row r="612" spans="5:57">
      <c r="E612" s="972"/>
      <c r="F612" s="972"/>
      <c r="G612" s="972"/>
      <c r="H612" s="982" t="s">
        <v>4843</v>
      </c>
      <c r="I612" s="972">
        <f>I590</f>
        <v>104280</v>
      </c>
      <c r="J612" s="1009">
        <v>2.2499999999999998E-3</v>
      </c>
      <c r="K612" s="972">
        <f>I612*J612</f>
        <v>234.63</v>
      </c>
      <c r="L612" s="972"/>
      <c r="M612" s="972"/>
    </row>
    <row r="613" spans="5:57">
      <c r="E613" s="972"/>
      <c r="F613" s="972"/>
      <c r="G613" s="972"/>
      <c r="H613" s="972"/>
      <c r="I613" s="972"/>
      <c r="J613" s="972"/>
      <c r="K613" s="972"/>
      <c r="L613" s="972"/>
      <c r="M613" s="972"/>
    </row>
    <row r="614" spans="5:57">
      <c r="E614" s="972"/>
      <c r="F614" s="972"/>
      <c r="G614" s="972"/>
      <c r="H614" s="982" t="s">
        <v>910</v>
      </c>
      <c r="I614" s="972"/>
      <c r="J614" s="972"/>
      <c r="K614" s="972"/>
      <c r="L614" s="972"/>
      <c r="M614" s="972"/>
    </row>
    <row r="615" spans="5:57">
      <c r="E615" s="972"/>
      <c r="F615" s="972">
        <v>1</v>
      </c>
      <c r="G615" s="972" t="s">
        <v>68</v>
      </c>
      <c r="H615" s="972" t="s">
        <v>4723</v>
      </c>
      <c r="I615" s="960">
        <f>I593</f>
        <v>783</v>
      </c>
      <c r="J615" s="972" t="s">
        <v>68</v>
      </c>
      <c r="K615" s="972">
        <f>F615*I615</f>
        <v>783</v>
      </c>
      <c r="L615" s="972"/>
      <c r="M615" s="972"/>
    </row>
    <row r="616" spans="5:57">
      <c r="E616" s="972"/>
      <c r="F616" s="972">
        <v>2</v>
      </c>
      <c r="G616" s="972" t="s">
        <v>68</v>
      </c>
      <c r="H616" s="972" t="s">
        <v>3393</v>
      </c>
      <c r="I616" s="960">
        <f>I595</f>
        <v>611</v>
      </c>
      <c r="J616" s="972" t="s">
        <v>68</v>
      </c>
      <c r="K616" s="972">
        <f>F616*I616</f>
        <v>1222</v>
      </c>
      <c r="L616" s="972"/>
      <c r="M616" s="972"/>
    </row>
    <row r="617" spans="5:57">
      <c r="E617" s="972"/>
      <c r="F617" s="972"/>
      <c r="G617" s="972"/>
      <c r="H617" s="979" t="s">
        <v>4724</v>
      </c>
      <c r="I617" s="972"/>
      <c r="J617" s="972"/>
      <c r="K617" s="972">
        <f>SUM(K615:K616)</f>
        <v>2005</v>
      </c>
      <c r="L617" s="972"/>
      <c r="M617" s="972"/>
    </row>
    <row r="618" spans="5:57">
      <c r="E618" s="972"/>
      <c r="F618" s="972"/>
      <c r="G618" s="972"/>
      <c r="H618" s="981" t="s">
        <v>3395</v>
      </c>
      <c r="I618" s="972"/>
      <c r="J618" s="972"/>
      <c r="K618" s="982">
        <f>K617/4</f>
        <v>501.25</v>
      </c>
      <c r="L618" s="972"/>
      <c r="M618" s="972"/>
    </row>
    <row r="619" spans="5:57">
      <c r="E619" s="972"/>
      <c r="F619" s="972"/>
      <c r="G619" s="972"/>
      <c r="H619" s="972"/>
      <c r="I619" s="972"/>
      <c r="J619" s="972"/>
      <c r="K619" s="972"/>
      <c r="L619" s="972"/>
      <c r="M619" s="972"/>
    </row>
    <row r="620" spans="5:57">
      <c r="E620" s="972"/>
      <c r="F620" s="986"/>
      <c r="G620" s="986"/>
      <c r="H620" s="985" t="s">
        <v>4844</v>
      </c>
      <c r="I620" s="986"/>
      <c r="J620" s="986"/>
      <c r="K620" s="986"/>
      <c r="L620" s="986"/>
      <c r="M620" s="986"/>
      <c r="N620" s="961"/>
      <c r="O620" s="961"/>
      <c r="P620" s="961"/>
      <c r="Q620" s="961"/>
      <c r="R620" s="961"/>
      <c r="S620" s="961"/>
      <c r="T620" s="961"/>
      <c r="U620" s="961"/>
      <c r="V620" s="961"/>
      <c r="W620" s="961"/>
      <c r="X620" s="961"/>
      <c r="Y620" s="961"/>
      <c r="Z620" s="961"/>
      <c r="AA620" s="961"/>
      <c r="AB620" s="961"/>
      <c r="AC620" s="961"/>
      <c r="AD620" s="961"/>
      <c r="AE620" s="961"/>
      <c r="AF620" s="961"/>
      <c r="AG620" s="961"/>
      <c r="AH620" s="961"/>
      <c r="AI620" s="961"/>
      <c r="AJ620" s="961"/>
      <c r="AK620" s="961"/>
      <c r="AL620" s="961"/>
      <c r="AM620" s="961"/>
      <c r="AN620" s="961"/>
      <c r="AO620" s="961"/>
      <c r="AP620" s="961"/>
      <c r="AQ620" s="961"/>
      <c r="AR620" s="961"/>
      <c r="AS620" s="961"/>
      <c r="AT620" s="961"/>
      <c r="AU620" s="961"/>
      <c r="AV620" s="961"/>
      <c r="AW620" s="961"/>
      <c r="AX620" s="961"/>
      <c r="AY620" s="961"/>
      <c r="AZ620" s="961"/>
      <c r="BA620" s="961"/>
      <c r="BB620" s="961"/>
      <c r="BC620" s="961"/>
      <c r="BD620" s="961"/>
      <c r="BE620" s="961"/>
    </row>
    <row r="621" spans="5:57">
      <c r="E621" s="972"/>
      <c r="F621" s="972"/>
      <c r="G621" s="972"/>
      <c r="H621" s="982" t="s">
        <v>4845</v>
      </c>
      <c r="I621" s="972"/>
      <c r="J621" s="972"/>
      <c r="K621" s="972"/>
      <c r="L621" s="972"/>
      <c r="M621" s="972"/>
    </row>
    <row r="622" spans="5:57">
      <c r="E622" s="972"/>
      <c r="F622" s="972"/>
      <c r="G622" s="972"/>
      <c r="H622" s="972" t="s">
        <v>150</v>
      </c>
      <c r="I622" s="972"/>
      <c r="J622" s="972"/>
      <c r="K622" s="972"/>
      <c r="L622" s="972"/>
      <c r="M622" s="972"/>
    </row>
    <row r="623" spans="5:57">
      <c r="E623" s="972"/>
      <c r="F623" s="972">
        <v>1</v>
      </c>
      <c r="G623" s="972" t="s">
        <v>68</v>
      </c>
      <c r="H623" s="972" t="s">
        <v>4846</v>
      </c>
      <c r="I623" s="990">
        <f>I553</f>
        <v>1520</v>
      </c>
      <c r="J623" s="972" t="s">
        <v>68</v>
      </c>
      <c r="K623" s="972">
        <f>F623*I623</f>
        <v>1520</v>
      </c>
      <c r="L623" s="972"/>
      <c r="M623" s="972"/>
    </row>
    <row r="624" spans="5:57">
      <c r="E624" s="972"/>
      <c r="F624" s="972">
        <v>3</v>
      </c>
      <c r="G624" s="972" t="s">
        <v>68</v>
      </c>
      <c r="H624" s="972" t="s">
        <v>4847</v>
      </c>
      <c r="I624" s="975">
        <v>128</v>
      </c>
      <c r="J624" s="972" t="s">
        <v>68</v>
      </c>
      <c r="K624" s="972">
        <f>F624*I624</f>
        <v>384</v>
      </c>
      <c r="L624" s="972"/>
      <c r="M624" s="972"/>
    </row>
    <row r="625" spans="5:13">
      <c r="E625" s="972"/>
      <c r="F625" s="972"/>
      <c r="G625" s="972"/>
      <c r="H625" s="972" t="s">
        <v>4848</v>
      </c>
      <c r="I625" s="972"/>
      <c r="J625" s="972"/>
      <c r="K625" s="972">
        <f>K517</f>
        <v>789</v>
      </c>
      <c r="L625" s="972"/>
      <c r="M625" s="972"/>
    </row>
    <row r="626" spans="5:13">
      <c r="E626" s="972"/>
      <c r="F626" s="972"/>
      <c r="G626" s="972"/>
      <c r="H626" s="972" t="s">
        <v>337</v>
      </c>
      <c r="I626" s="972"/>
      <c r="J626" s="972"/>
      <c r="K626" s="972">
        <v>2</v>
      </c>
      <c r="L626" s="972"/>
      <c r="M626" s="972"/>
    </row>
    <row r="627" spans="5:13">
      <c r="E627" s="972"/>
      <c r="F627" s="972"/>
      <c r="G627" s="972"/>
      <c r="H627" s="981" t="s">
        <v>4849</v>
      </c>
      <c r="I627" s="972"/>
      <c r="J627" s="972"/>
      <c r="K627" s="982">
        <f>SUM(K623:K626)</f>
        <v>2695</v>
      </c>
      <c r="L627" s="972"/>
      <c r="M627" s="972"/>
    </row>
    <row r="628" spans="5:13">
      <c r="E628" s="972"/>
      <c r="F628" s="972"/>
      <c r="G628" s="972"/>
      <c r="H628" s="972"/>
      <c r="I628" s="972"/>
      <c r="J628" s="972"/>
      <c r="K628" s="972"/>
      <c r="L628" s="972"/>
      <c r="M628" s="972"/>
    </row>
    <row r="629" spans="5:13">
      <c r="E629" s="972"/>
      <c r="F629" s="972"/>
      <c r="G629" s="972"/>
      <c r="H629" s="982" t="s">
        <v>4844</v>
      </c>
      <c r="I629" s="972"/>
      <c r="J629" s="972"/>
      <c r="K629" s="972"/>
      <c r="L629" s="972"/>
      <c r="M629" s="972"/>
    </row>
    <row r="630" spans="5:13">
      <c r="E630" s="972"/>
      <c r="F630" s="972"/>
      <c r="G630" s="972"/>
      <c r="H630" s="972"/>
      <c r="I630" s="972"/>
      <c r="J630" s="972"/>
      <c r="K630" s="972"/>
      <c r="L630" s="972"/>
      <c r="M630" s="972"/>
    </row>
    <row r="631" spans="5:13">
      <c r="E631" s="972"/>
      <c r="F631" s="972"/>
      <c r="G631" s="972"/>
      <c r="H631" s="982" t="s">
        <v>4490</v>
      </c>
      <c r="I631" s="972"/>
      <c r="J631" s="972"/>
      <c r="K631" s="972"/>
      <c r="L631" s="972"/>
      <c r="M631" s="972"/>
    </row>
    <row r="632" spans="5:13">
      <c r="E632" s="972"/>
      <c r="F632" s="972"/>
      <c r="G632" s="972"/>
      <c r="H632" s="972"/>
      <c r="I632" s="972"/>
      <c r="J632" s="972"/>
      <c r="K632" s="972"/>
      <c r="L632" s="972"/>
      <c r="M632" s="972"/>
    </row>
    <row r="633" spans="5:13">
      <c r="E633" s="972"/>
      <c r="F633" s="972">
        <v>1</v>
      </c>
      <c r="G633" s="972" t="s">
        <v>68</v>
      </c>
      <c r="H633" s="972" t="s">
        <v>4850</v>
      </c>
      <c r="I633" s="960">
        <f>I558</f>
        <v>1876</v>
      </c>
      <c r="J633" s="972" t="s">
        <v>68</v>
      </c>
      <c r="K633" s="972">
        <f>F633*I633</f>
        <v>1876</v>
      </c>
      <c r="L633" s="972"/>
      <c r="M633" s="972"/>
    </row>
    <row r="634" spans="5:13">
      <c r="E634" s="972"/>
      <c r="F634" s="972">
        <v>3</v>
      </c>
      <c r="G634" s="972" t="s">
        <v>68</v>
      </c>
      <c r="H634" s="972" t="s">
        <v>4851</v>
      </c>
      <c r="I634" s="972">
        <f>I624</f>
        <v>128</v>
      </c>
      <c r="J634" s="972" t="s">
        <v>68</v>
      </c>
      <c r="K634" s="972">
        <f>F634*I634</f>
        <v>384</v>
      </c>
      <c r="L634" s="972"/>
      <c r="M634" s="972"/>
    </row>
    <row r="635" spans="5:13">
      <c r="E635" s="972"/>
      <c r="F635" s="972"/>
      <c r="G635" s="972"/>
      <c r="H635" s="972" t="s">
        <v>4852</v>
      </c>
      <c r="I635" s="972"/>
      <c r="J635" s="972"/>
      <c r="K635" s="972">
        <f>K548</f>
        <v>803.5</v>
      </c>
      <c r="L635" s="972"/>
      <c r="M635" s="972"/>
    </row>
    <row r="636" spans="5:13">
      <c r="E636" s="972"/>
      <c r="F636" s="972"/>
      <c r="G636" s="972"/>
      <c r="H636" s="972" t="s">
        <v>337</v>
      </c>
      <c r="I636" s="972"/>
      <c r="J636" s="972"/>
      <c r="K636" s="972">
        <f>5</f>
        <v>5</v>
      </c>
      <c r="L636" s="972"/>
      <c r="M636" s="972"/>
    </row>
    <row r="637" spans="5:13">
      <c r="E637" s="972"/>
      <c r="F637" s="972"/>
      <c r="G637" s="972"/>
      <c r="H637" s="981" t="s">
        <v>4853</v>
      </c>
      <c r="I637" s="972"/>
      <c r="J637" s="972"/>
      <c r="K637" s="982">
        <f>SUM(K633:K636)</f>
        <v>3068.5</v>
      </c>
      <c r="L637" s="972">
        <f>K637-2695</f>
        <v>373.5</v>
      </c>
      <c r="M637" s="972"/>
    </row>
    <row r="638" spans="5:13">
      <c r="E638" s="972"/>
      <c r="F638" s="972"/>
      <c r="G638" s="972"/>
      <c r="H638" s="972"/>
      <c r="I638" s="972"/>
      <c r="J638" s="972"/>
      <c r="K638" s="972"/>
      <c r="L638" s="972"/>
      <c r="M638" s="972"/>
    </row>
    <row r="639" spans="5:13">
      <c r="E639" s="972"/>
      <c r="F639" s="972"/>
      <c r="G639" s="972"/>
      <c r="H639" s="982" t="s">
        <v>4854</v>
      </c>
      <c r="I639" s="972"/>
      <c r="J639" s="972"/>
      <c r="K639" s="972"/>
      <c r="L639" s="972"/>
      <c r="M639" s="972"/>
    </row>
    <row r="640" spans="5:13">
      <c r="E640" s="972"/>
      <c r="F640" s="972"/>
      <c r="G640" s="972"/>
      <c r="H640" s="972"/>
      <c r="I640" s="972"/>
      <c r="J640" s="972"/>
      <c r="K640" s="972"/>
      <c r="L640" s="972"/>
      <c r="M640" s="972"/>
    </row>
    <row r="641" spans="5:13">
      <c r="E641" s="972"/>
      <c r="F641" s="972"/>
      <c r="G641" s="972"/>
      <c r="H641" s="982" t="s">
        <v>3603</v>
      </c>
      <c r="I641" s="972"/>
      <c r="J641" s="972"/>
      <c r="K641" s="972"/>
      <c r="L641" s="972"/>
      <c r="M641" s="972"/>
    </row>
    <row r="642" spans="5:13">
      <c r="E642" s="972"/>
      <c r="F642" s="972"/>
      <c r="G642" s="972"/>
      <c r="H642" s="972"/>
      <c r="I642" s="972"/>
      <c r="J642" s="972"/>
      <c r="K642" s="972"/>
      <c r="L642" s="972"/>
      <c r="M642" s="972"/>
    </row>
    <row r="643" spans="5:13" ht="76.5">
      <c r="E643" s="972"/>
      <c r="F643" s="972"/>
      <c r="G643" s="972"/>
      <c r="H643" s="971" t="s">
        <v>4855</v>
      </c>
      <c r="I643" s="972"/>
      <c r="J643" s="972"/>
      <c r="K643" s="972"/>
      <c r="L643" s="972"/>
      <c r="M643" s="972"/>
    </row>
    <row r="644" spans="5:13">
      <c r="E644" s="972"/>
      <c r="F644" s="972"/>
      <c r="G644" s="972"/>
      <c r="H644" s="972"/>
      <c r="I644" s="972"/>
      <c r="J644" s="972"/>
      <c r="K644" s="972"/>
      <c r="L644" s="972"/>
      <c r="M644" s="972"/>
    </row>
    <row r="645" spans="5:13">
      <c r="E645" s="972"/>
      <c r="F645" s="972">
        <v>3</v>
      </c>
      <c r="G645" s="972" t="s">
        <v>68</v>
      </c>
      <c r="H645" s="972" t="s">
        <v>3604</v>
      </c>
      <c r="I645" s="972">
        <f>I565</f>
        <v>85.2</v>
      </c>
      <c r="J645" s="972" t="s">
        <v>68</v>
      </c>
      <c r="K645" s="972">
        <f>F645*I645</f>
        <v>255.60000000000002</v>
      </c>
      <c r="L645" s="972"/>
      <c r="M645" s="972"/>
    </row>
    <row r="646" spans="5:13">
      <c r="E646" s="972"/>
      <c r="F646" s="972">
        <v>1</v>
      </c>
      <c r="G646" s="972" t="s">
        <v>68</v>
      </c>
      <c r="H646" s="971" t="s">
        <v>3605</v>
      </c>
      <c r="I646" s="972">
        <f>K652</f>
        <v>351.94499999999999</v>
      </c>
      <c r="J646" s="972" t="s">
        <v>68</v>
      </c>
      <c r="K646" s="972">
        <f>F646*I646</f>
        <v>351.94499999999999</v>
      </c>
      <c r="L646" s="972"/>
      <c r="M646" s="972"/>
    </row>
    <row r="647" spans="5:13">
      <c r="E647" s="972"/>
      <c r="F647" s="972">
        <v>1</v>
      </c>
      <c r="G647" s="972" t="s">
        <v>68</v>
      </c>
      <c r="H647" s="972" t="s">
        <v>3606</v>
      </c>
      <c r="I647" s="972">
        <f>I607</f>
        <v>25</v>
      </c>
      <c r="J647" s="972" t="s">
        <v>3607</v>
      </c>
      <c r="K647" s="972">
        <f>F647*I647</f>
        <v>25</v>
      </c>
      <c r="L647" s="972"/>
      <c r="M647" s="972"/>
    </row>
    <row r="648" spans="5:13">
      <c r="E648" s="972"/>
      <c r="F648" s="972"/>
      <c r="G648" s="972"/>
      <c r="H648" s="972" t="s">
        <v>2328</v>
      </c>
      <c r="I648" s="972"/>
      <c r="J648" s="972"/>
      <c r="K648" s="972">
        <f>K658</f>
        <v>668.33333333333337</v>
      </c>
      <c r="L648" s="972"/>
      <c r="M648" s="972"/>
    </row>
    <row r="649" spans="5:13">
      <c r="E649" s="972"/>
      <c r="F649" s="972"/>
      <c r="G649" s="972"/>
      <c r="H649" s="972" t="s">
        <v>3608</v>
      </c>
      <c r="I649" s="972"/>
      <c r="J649" s="972"/>
      <c r="K649" s="972">
        <v>8.1199999999999992</v>
      </c>
      <c r="L649" s="972"/>
      <c r="M649" s="972"/>
    </row>
    <row r="650" spans="5:13">
      <c r="E650" s="972"/>
      <c r="F650" s="972"/>
      <c r="G650" s="972"/>
      <c r="H650" s="981" t="s">
        <v>3609</v>
      </c>
      <c r="I650" s="972"/>
      <c r="J650" s="972"/>
      <c r="K650" s="982">
        <f>SUM(K645:K649)</f>
        <v>1308.9983333333334</v>
      </c>
      <c r="L650" s="972">
        <f>1309-K650</f>
        <v>1.666666666551464E-3</v>
      </c>
      <c r="M650" s="972"/>
    </row>
    <row r="651" spans="5:13">
      <c r="E651" s="972"/>
      <c r="F651" s="972"/>
      <c r="G651" s="972"/>
      <c r="H651" s="972"/>
      <c r="I651" s="972"/>
      <c r="J651" s="972"/>
      <c r="K651" s="972"/>
      <c r="L651" s="972"/>
      <c r="M651" s="972"/>
    </row>
    <row r="652" spans="5:13">
      <c r="E652" s="972"/>
      <c r="F652" s="972"/>
      <c r="G652" s="972"/>
      <c r="H652" s="982" t="s">
        <v>4856</v>
      </c>
      <c r="I652" s="972">
        <f>I612</f>
        <v>104280</v>
      </c>
      <c r="J652" s="1009">
        <v>3.375E-3</v>
      </c>
      <c r="K652" s="972">
        <f>I652*J652</f>
        <v>351.94499999999999</v>
      </c>
      <c r="L652" s="972"/>
      <c r="M652" s="972"/>
    </row>
    <row r="653" spans="5:13">
      <c r="E653" s="972"/>
      <c r="F653" s="972"/>
      <c r="G653" s="972"/>
      <c r="H653" s="972"/>
      <c r="I653" s="972"/>
      <c r="J653" s="972"/>
      <c r="K653" s="972"/>
      <c r="L653" s="972"/>
      <c r="M653" s="972"/>
    </row>
    <row r="654" spans="5:13">
      <c r="E654" s="972"/>
      <c r="F654" s="972"/>
      <c r="G654" s="972"/>
      <c r="H654" s="980" t="s">
        <v>910</v>
      </c>
      <c r="I654" s="972"/>
      <c r="J654" s="972"/>
      <c r="K654" s="972"/>
      <c r="L654" s="972"/>
      <c r="M654" s="972"/>
    </row>
    <row r="655" spans="5:13">
      <c r="E655" s="972"/>
      <c r="F655" s="972">
        <v>1</v>
      </c>
      <c r="G655" s="972" t="s">
        <v>68</v>
      </c>
      <c r="H655" s="972" t="s">
        <v>4723</v>
      </c>
      <c r="I655" s="972">
        <f>I615</f>
        <v>783</v>
      </c>
      <c r="J655" s="972" t="s">
        <v>68</v>
      </c>
      <c r="K655" s="972">
        <f>F655*I655</f>
        <v>783</v>
      </c>
      <c r="L655" s="972"/>
      <c r="M655" s="972"/>
    </row>
    <row r="656" spans="5:13">
      <c r="E656" s="972"/>
      <c r="F656" s="972">
        <v>2</v>
      </c>
      <c r="G656" s="972" t="s">
        <v>68</v>
      </c>
      <c r="H656" s="972" t="s">
        <v>3393</v>
      </c>
      <c r="I656" s="972">
        <f>I616</f>
        <v>611</v>
      </c>
      <c r="J656" s="972" t="s">
        <v>68</v>
      </c>
      <c r="K656" s="972">
        <f>F656*I656</f>
        <v>1222</v>
      </c>
      <c r="L656" s="972"/>
      <c r="M656" s="972"/>
    </row>
    <row r="657" spans="5:20">
      <c r="E657" s="972"/>
      <c r="F657" s="972"/>
      <c r="G657" s="972"/>
      <c r="H657" s="979" t="s">
        <v>4857</v>
      </c>
      <c r="I657" s="972"/>
      <c r="J657" s="982"/>
      <c r="K657" s="990">
        <f>SUM(K655:K656)</f>
        <v>2005</v>
      </c>
      <c r="L657" s="972"/>
      <c r="M657" s="972"/>
    </row>
    <row r="658" spans="5:20">
      <c r="E658" s="972"/>
      <c r="F658" s="972"/>
      <c r="G658" s="972"/>
      <c r="H658" s="981" t="s">
        <v>3395</v>
      </c>
      <c r="I658" s="972"/>
      <c r="J658" s="982"/>
      <c r="K658" s="982">
        <f>K657/3</f>
        <v>668.33333333333337</v>
      </c>
      <c r="L658" s="972"/>
      <c r="M658" s="972"/>
    </row>
    <row r="659" spans="5:20">
      <c r="E659" s="972"/>
      <c r="F659" s="972"/>
      <c r="G659" s="972"/>
      <c r="H659" s="972"/>
      <c r="I659" s="972"/>
      <c r="J659" s="972"/>
      <c r="K659" s="972"/>
      <c r="L659" s="972"/>
      <c r="M659" s="972"/>
    </row>
    <row r="660" spans="5:20">
      <c r="E660" s="972"/>
      <c r="F660" s="972"/>
      <c r="G660" s="972"/>
      <c r="H660" s="982" t="s">
        <v>4858</v>
      </c>
      <c r="I660" s="972"/>
      <c r="J660" s="972"/>
      <c r="K660" s="972"/>
      <c r="L660" s="972"/>
      <c r="M660" s="972"/>
    </row>
    <row r="661" spans="5:20">
      <c r="E661" s="972"/>
      <c r="F661" s="972"/>
      <c r="G661" s="972"/>
      <c r="H661" s="972"/>
      <c r="I661" s="972"/>
      <c r="J661" s="972"/>
      <c r="K661" s="972"/>
      <c r="L661" s="972"/>
      <c r="M661" s="972"/>
    </row>
    <row r="662" spans="5:20" ht="47.25">
      <c r="E662" s="972"/>
      <c r="F662" s="972"/>
      <c r="G662" s="972"/>
      <c r="H662" s="969" t="s">
        <v>4859</v>
      </c>
      <c r="I662" s="972"/>
      <c r="J662" s="972"/>
      <c r="K662" s="972"/>
      <c r="L662" s="972"/>
      <c r="M662" s="972"/>
      <c r="N662" s="972"/>
      <c r="O662" s="969" t="s">
        <v>4860</v>
      </c>
      <c r="P662" s="972"/>
      <c r="Q662" s="972"/>
      <c r="R662" s="972"/>
    </row>
    <row r="663" spans="5:20" ht="31.5">
      <c r="E663" s="972"/>
      <c r="F663" s="972">
        <v>180</v>
      </c>
      <c r="G663" s="972" t="s">
        <v>303</v>
      </c>
      <c r="H663" s="971" t="s">
        <v>4861</v>
      </c>
      <c r="I663" s="990">
        <f>I281</f>
        <v>40.950000000000003</v>
      </c>
      <c r="J663" s="972" t="s">
        <v>303</v>
      </c>
      <c r="K663" s="972">
        <f>F663*I663</f>
        <v>7371.0000000000009</v>
      </c>
      <c r="L663" s="972"/>
      <c r="M663" s="972">
        <v>180</v>
      </c>
      <c r="N663" s="972" t="s">
        <v>303</v>
      </c>
      <c r="O663" s="971" t="s">
        <v>4862</v>
      </c>
      <c r="P663" s="974">
        <f>I270</f>
        <v>25.75</v>
      </c>
      <c r="Q663" s="972" t="s">
        <v>303</v>
      </c>
      <c r="R663" s="972">
        <f>M663*P663</f>
        <v>4635</v>
      </c>
    </row>
    <row r="664" spans="5:20">
      <c r="E664" s="972"/>
      <c r="F664" s="972">
        <v>4</v>
      </c>
      <c r="G664" s="972" t="s">
        <v>13</v>
      </c>
      <c r="H664" s="972" t="s">
        <v>4863</v>
      </c>
      <c r="I664" s="974">
        <v>101.5</v>
      </c>
      <c r="J664" s="972" t="s">
        <v>13</v>
      </c>
      <c r="K664" s="972">
        <f>F664*I664</f>
        <v>406</v>
      </c>
      <c r="L664" s="972"/>
      <c r="M664" s="972">
        <v>4</v>
      </c>
      <c r="N664" s="972" t="s">
        <v>13</v>
      </c>
      <c r="O664" s="972" t="s">
        <v>4595</v>
      </c>
      <c r="P664" s="974">
        <f>I664</f>
        <v>101.5</v>
      </c>
      <c r="Q664" s="972" t="s">
        <v>13</v>
      </c>
      <c r="R664" s="972">
        <f>M664*P664</f>
        <v>406</v>
      </c>
    </row>
    <row r="665" spans="5:20">
      <c r="E665" s="972"/>
      <c r="F665" s="972">
        <v>180</v>
      </c>
      <c r="G665" s="972" t="s">
        <v>340</v>
      </c>
      <c r="H665" s="972" t="s">
        <v>5780</v>
      </c>
      <c r="I665" s="974">
        <f>ROUND(6.6/12,2)</f>
        <v>0.55000000000000004</v>
      </c>
      <c r="J665" s="972" t="s">
        <v>340</v>
      </c>
      <c r="K665" s="972">
        <f>F665*I665</f>
        <v>99.000000000000014</v>
      </c>
      <c r="L665" s="972"/>
      <c r="M665" s="972">
        <v>180</v>
      </c>
      <c r="N665" s="972" t="s">
        <v>340</v>
      </c>
      <c r="O665" s="972" t="s">
        <v>4864</v>
      </c>
      <c r="P665" s="974">
        <f>I665</f>
        <v>0.55000000000000004</v>
      </c>
      <c r="Q665" s="972" t="s">
        <v>340</v>
      </c>
      <c r="R665" s="972">
        <f>M665*P665</f>
        <v>99.000000000000014</v>
      </c>
    </row>
    <row r="666" spans="5:20">
      <c r="E666" s="972"/>
      <c r="F666" s="972">
        <v>1</v>
      </c>
      <c r="G666" s="972" t="s">
        <v>13</v>
      </c>
      <c r="H666" s="972" t="s">
        <v>4865</v>
      </c>
      <c r="I666" s="990">
        <f>I664</f>
        <v>101.5</v>
      </c>
      <c r="J666" s="972" t="s">
        <v>13</v>
      </c>
      <c r="K666" s="972">
        <f>F666*I666</f>
        <v>101.5</v>
      </c>
      <c r="L666" s="972"/>
      <c r="M666" s="972">
        <v>1</v>
      </c>
      <c r="N666" s="972" t="s">
        <v>13</v>
      </c>
      <c r="O666" s="972" t="s">
        <v>4865</v>
      </c>
      <c r="P666" s="974">
        <f>I666</f>
        <v>101.5</v>
      </c>
      <c r="Q666" s="972" t="s">
        <v>13</v>
      </c>
      <c r="R666" s="972">
        <f>M666*P666</f>
        <v>101.5</v>
      </c>
    </row>
    <row r="667" spans="5:20">
      <c r="E667" s="972"/>
      <c r="F667" s="972"/>
      <c r="G667" s="972"/>
      <c r="H667" s="972" t="s">
        <v>910</v>
      </c>
      <c r="I667" s="972"/>
      <c r="J667" s="972"/>
      <c r="K667" s="972">
        <f>K676</f>
        <v>5853</v>
      </c>
      <c r="L667" s="972"/>
      <c r="M667" s="972"/>
      <c r="N667" s="972"/>
      <c r="O667" s="972" t="s">
        <v>910</v>
      </c>
      <c r="P667" s="972"/>
      <c r="Q667" s="972"/>
      <c r="R667" s="972">
        <f>R676</f>
        <v>5853</v>
      </c>
    </row>
    <row r="668" spans="5:20">
      <c r="E668" s="972"/>
      <c r="F668" s="972"/>
      <c r="G668" s="972"/>
      <c r="H668" s="972" t="s">
        <v>4866</v>
      </c>
      <c r="I668" s="972"/>
      <c r="J668" s="972"/>
      <c r="K668" s="972">
        <v>74.5</v>
      </c>
      <c r="L668" s="972"/>
      <c r="M668" s="972"/>
      <c r="N668" s="972"/>
      <c r="O668" s="972" t="s">
        <v>4866</v>
      </c>
      <c r="P668" s="972"/>
      <c r="Q668" s="972"/>
      <c r="R668" s="972">
        <v>45.1</v>
      </c>
    </row>
    <row r="669" spans="5:20">
      <c r="E669" s="972"/>
      <c r="F669" s="972"/>
      <c r="G669" s="972"/>
      <c r="H669" s="979" t="s">
        <v>4867</v>
      </c>
      <c r="I669" s="972"/>
      <c r="J669" s="972"/>
      <c r="K669" s="972">
        <f>SUM(K663:K668)</f>
        <v>13905</v>
      </c>
      <c r="L669" s="972">
        <f>154.5*90</f>
        <v>13905</v>
      </c>
      <c r="M669" s="972"/>
      <c r="N669" s="972"/>
      <c r="O669" s="979" t="s">
        <v>4867</v>
      </c>
      <c r="P669" s="972"/>
      <c r="Q669" s="972"/>
      <c r="R669" s="972">
        <f>SUM(R663:R668)</f>
        <v>11139.6</v>
      </c>
    </row>
    <row r="670" spans="5:20">
      <c r="E670" s="972"/>
      <c r="F670" s="972"/>
      <c r="G670" s="972"/>
      <c r="H670" s="981" t="s">
        <v>3364</v>
      </c>
      <c r="I670" s="972"/>
      <c r="J670" s="972"/>
      <c r="K670" s="982">
        <f>K669/90</f>
        <v>154.5</v>
      </c>
      <c r="L670" s="972">
        <f>L669-K669</f>
        <v>0</v>
      </c>
      <c r="M670" s="972"/>
      <c r="N670" s="972"/>
      <c r="O670" s="981" t="s">
        <v>3364</v>
      </c>
      <c r="P670" s="972"/>
      <c r="Q670" s="972"/>
      <c r="R670" s="982">
        <f>R669/90</f>
        <v>123.77333333333334</v>
      </c>
      <c r="S670" s="956">
        <f>114.2*90</f>
        <v>10278</v>
      </c>
      <c r="T670" s="956">
        <f>S670-R669</f>
        <v>-861.60000000000036</v>
      </c>
    </row>
    <row r="671" spans="5:20">
      <c r="E671" s="972"/>
      <c r="F671" s="972"/>
      <c r="G671" s="972"/>
      <c r="H671" s="980" t="s">
        <v>4779</v>
      </c>
      <c r="I671" s="972"/>
      <c r="J671" s="972"/>
      <c r="K671" s="972"/>
      <c r="L671" s="972"/>
      <c r="M671" s="972"/>
      <c r="N671" s="972"/>
      <c r="O671" s="980" t="s">
        <v>4779</v>
      </c>
      <c r="P671" s="972"/>
      <c r="Q671" s="972"/>
      <c r="R671" s="972"/>
    </row>
    <row r="672" spans="5:20">
      <c r="E672" s="972"/>
      <c r="F672" s="972">
        <v>1</v>
      </c>
      <c r="G672" s="972" t="s">
        <v>68</v>
      </c>
      <c r="H672" s="990" t="s">
        <v>4868</v>
      </c>
      <c r="I672" s="972">
        <f>I35</f>
        <v>898</v>
      </c>
      <c r="J672" s="972" t="s">
        <v>68</v>
      </c>
      <c r="K672" s="972">
        <f>F672*I672</f>
        <v>898</v>
      </c>
      <c r="L672" s="972"/>
      <c r="M672" s="972">
        <v>1</v>
      </c>
      <c r="N672" s="972" t="s">
        <v>68</v>
      </c>
      <c r="O672" s="990" t="s">
        <v>4868</v>
      </c>
      <c r="P672" s="972">
        <f>I672</f>
        <v>898</v>
      </c>
      <c r="Q672" s="972" t="s">
        <v>68</v>
      </c>
      <c r="R672" s="972">
        <f>M672*P672</f>
        <v>898</v>
      </c>
    </row>
    <row r="673" spans="5:18">
      <c r="E673" s="972"/>
      <c r="F673" s="972">
        <v>2</v>
      </c>
      <c r="G673" s="972" t="s">
        <v>68</v>
      </c>
      <c r="H673" s="972" t="s">
        <v>4723</v>
      </c>
      <c r="I673" s="972">
        <f>I36</f>
        <v>783</v>
      </c>
      <c r="J673" s="972" t="s">
        <v>68</v>
      </c>
      <c r="K673" s="972">
        <f>F673*I673</f>
        <v>1566</v>
      </c>
      <c r="L673" s="972"/>
      <c r="M673" s="972">
        <v>2</v>
      </c>
      <c r="N673" s="972" t="s">
        <v>68</v>
      </c>
      <c r="O673" s="972" t="s">
        <v>4723</v>
      </c>
      <c r="P673" s="972">
        <f>I673</f>
        <v>783</v>
      </c>
      <c r="Q673" s="972" t="s">
        <v>68</v>
      </c>
      <c r="R673" s="972">
        <f>M673*P673</f>
        <v>1566</v>
      </c>
    </row>
    <row r="674" spans="5:18">
      <c r="E674" s="972"/>
      <c r="F674" s="972">
        <v>2</v>
      </c>
      <c r="G674" s="972" t="s">
        <v>68</v>
      </c>
      <c r="H674" s="972" t="s">
        <v>3392</v>
      </c>
      <c r="I674" s="972">
        <f>I37</f>
        <v>778</v>
      </c>
      <c r="J674" s="972" t="s">
        <v>68</v>
      </c>
      <c r="K674" s="972">
        <f>F674*I674</f>
        <v>1556</v>
      </c>
      <c r="L674" s="972"/>
      <c r="M674" s="972">
        <v>2</v>
      </c>
      <c r="N674" s="972" t="s">
        <v>68</v>
      </c>
      <c r="O674" s="972" t="s">
        <v>3392</v>
      </c>
      <c r="P674" s="972">
        <f>I674</f>
        <v>778</v>
      </c>
      <c r="Q674" s="972" t="s">
        <v>68</v>
      </c>
      <c r="R674" s="972">
        <f>M674*P674</f>
        <v>1556</v>
      </c>
    </row>
    <row r="675" spans="5:18">
      <c r="E675" s="972"/>
      <c r="F675" s="972">
        <v>3</v>
      </c>
      <c r="G675" s="972" t="s">
        <v>68</v>
      </c>
      <c r="H675" s="972" t="s">
        <v>3352</v>
      </c>
      <c r="I675" s="972">
        <f>I38</f>
        <v>611</v>
      </c>
      <c r="J675" s="972" t="s">
        <v>68</v>
      </c>
      <c r="K675" s="972">
        <f>F675*I675</f>
        <v>1833</v>
      </c>
      <c r="L675" s="972"/>
      <c r="M675" s="972">
        <v>3</v>
      </c>
      <c r="N675" s="972" t="s">
        <v>68</v>
      </c>
      <c r="O675" s="972" t="s">
        <v>3352</v>
      </c>
      <c r="P675" s="972">
        <f>I675</f>
        <v>611</v>
      </c>
      <c r="Q675" s="972" t="s">
        <v>68</v>
      </c>
      <c r="R675" s="972">
        <f>M675*P675</f>
        <v>1833</v>
      </c>
    </row>
    <row r="676" spans="5:18">
      <c r="E676" s="972"/>
      <c r="F676" s="972"/>
      <c r="G676" s="972"/>
      <c r="H676" s="972"/>
      <c r="I676" s="972"/>
      <c r="J676" s="972"/>
      <c r="K676" s="982">
        <f>SUM(K672:K675)</f>
        <v>5853</v>
      </c>
      <c r="L676" s="972"/>
      <c r="M676" s="972"/>
      <c r="N676" s="972"/>
      <c r="O676" s="972"/>
      <c r="P676" s="972"/>
      <c r="Q676" s="972"/>
      <c r="R676" s="982">
        <f>SUM(R672:R675)</f>
        <v>5853</v>
      </c>
    </row>
    <row r="677" spans="5:18">
      <c r="E677" s="972"/>
      <c r="F677" s="972"/>
      <c r="G677" s="972"/>
      <c r="H677" s="972"/>
      <c r="I677" s="972"/>
      <c r="J677" s="972"/>
      <c r="K677" s="972"/>
      <c r="L677" s="972"/>
      <c r="M677" s="972"/>
    </row>
    <row r="678" spans="5:18">
      <c r="E678" s="972"/>
      <c r="F678" s="972"/>
      <c r="G678" s="972"/>
      <c r="H678" s="982" t="s">
        <v>4869</v>
      </c>
      <c r="I678" s="972"/>
      <c r="J678" s="972"/>
      <c r="K678" s="972"/>
      <c r="L678" s="972"/>
      <c r="M678" s="972"/>
    </row>
    <row r="679" spans="5:18" ht="31.5">
      <c r="E679" s="972"/>
      <c r="F679" s="972"/>
      <c r="G679" s="972"/>
      <c r="H679" s="969" t="s">
        <v>4870</v>
      </c>
      <c r="I679" s="972"/>
      <c r="J679" s="972"/>
      <c r="K679" s="972"/>
      <c r="L679" s="972"/>
      <c r="M679" s="972"/>
    </row>
    <row r="680" spans="5:18">
      <c r="E680" s="972"/>
      <c r="F680" s="972"/>
      <c r="G680" s="972"/>
      <c r="H680" s="972"/>
      <c r="I680" s="972"/>
      <c r="J680" s="972"/>
      <c r="K680" s="972"/>
      <c r="L680" s="972"/>
      <c r="M680" s="972"/>
    </row>
    <row r="681" spans="5:18" ht="47.25">
      <c r="E681" s="972"/>
      <c r="F681" s="972"/>
      <c r="G681" s="972"/>
      <c r="H681" s="971" t="s">
        <v>4871</v>
      </c>
      <c r="I681" s="972"/>
      <c r="J681" s="972"/>
      <c r="K681" s="972"/>
      <c r="L681" s="972"/>
      <c r="M681" s="972"/>
    </row>
    <row r="682" spans="5:18">
      <c r="E682" s="972"/>
      <c r="F682" s="972">
        <v>1</v>
      </c>
      <c r="G682" s="972" t="s">
        <v>303</v>
      </c>
      <c r="H682" s="972" t="s">
        <v>4872</v>
      </c>
      <c r="I682" s="974">
        <v>128</v>
      </c>
      <c r="J682" s="972" t="s">
        <v>303</v>
      </c>
      <c r="K682" s="979">
        <f>F682*I682</f>
        <v>128</v>
      </c>
      <c r="L682" s="972"/>
      <c r="M682" s="972"/>
    </row>
    <row r="683" spans="5:18">
      <c r="E683" s="972"/>
      <c r="F683" s="972"/>
      <c r="G683" s="972"/>
      <c r="H683" s="972" t="s">
        <v>337</v>
      </c>
      <c r="I683" s="972"/>
      <c r="J683" s="972"/>
      <c r="K683" s="979">
        <v>2</v>
      </c>
      <c r="L683" s="972"/>
      <c r="M683" s="972"/>
    </row>
    <row r="684" spans="5:18">
      <c r="E684" s="972"/>
      <c r="F684" s="972"/>
      <c r="G684" s="972"/>
      <c r="H684" s="981" t="s">
        <v>4873</v>
      </c>
      <c r="I684" s="972"/>
      <c r="J684" s="972"/>
      <c r="K684" s="981">
        <f>SUM(K682:K683)</f>
        <v>130</v>
      </c>
      <c r="L684" s="972"/>
      <c r="M684" s="972">
        <f>K684-123</f>
        <v>7</v>
      </c>
    </row>
    <row r="685" spans="5:18">
      <c r="E685" s="972"/>
      <c r="F685" s="972"/>
      <c r="G685" s="972"/>
      <c r="H685" s="972"/>
      <c r="I685" s="972"/>
      <c r="J685" s="972"/>
      <c r="K685" s="972"/>
      <c r="L685" s="972"/>
      <c r="M685" s="972"/>
    </row>
    <row r="686" spans="5:18">
      <c r="E686" s="972"/>
      <c r="F686" s="972"/>
      <c r="G686" s="972"/>
      <c r="H686" s="982" t="s">
        <v>4874</v>
      </c>
      <c r="I686" s="972"/>
      <c r="J686" s="972"/>
      <c r="K686" s="972"/>
      <c r="L686" s="972"/>
      <c r="M686" s="972"/>
    </row>
    <row r="687" spans="5:18">
      <c r="E687" s="972"/>
      <c r="F687" s="972"/>
      <c r="G687" s="972"/>
      <c r="H687" s="982" t="s">
        <v>4875</v>
      </c>
      <c r="I687" s="972"/>
      <c r="J687" s="972"/>
      <c r="K687" s="972"/>
      <c r="L687" s="972"/>
      <c r="M687" s="972"/>
    </row>
    <row r="688" spans="5:18">
      <c r="E688" s="972"/>
      <c r="F688" s="972"/>
      <c r="G688" s="972"/>
      <c r="H688" s="972"/>
      <c r="I688" s="972"/>
      <c r="J688" s="972"/>
      <c r="K688" s="972"/>
      <c r="L688" s="972"/>
      <c r="M688" s="972"/>
    </row>
    <row r="689" spans="5:13" ht="47.25">
      <c r="E689" s="972"/>
      <c r="F689" s="972"/>
      <c r="G689" s="972"/>
      <c r="H689" s="1010" t="s">
        <v>4876</v>
      </c>
      <c r="I689" s="972"/>
      <c r="J689" s="972"/>
      <c r="K689" s="972"/>
      <c r="L689" s="972"/>
      <c r="M689" s="972"/>
    </row>
    <row r="690" spans="5:13">
      <c r="E690" s="972"/>
      <c r="F690" s="972">
        <v>1</v>
      </c>
      <c r="G690" s="972" t="s">
        <v>303</v>
      </c>
      <c r="H690" s="972" t="s">
        <v>4877</v>
      </c>
      <c r="I690" s="974">
        <v>57.6</v>
      </c>
      <c r="J690" s="972" t="s">
        <v>2161</v>
      </c>
      <c r="K690" s="972">
        <f>F691*I690</f>
        <v>187.20000000000002</v>
      </c>
      <c r="L690" s="972"/>
      <c r="M690" s="972"/>
    </row>
    <row r="691" spans="5:13">
      <c r="E691" s="972"/>
      <c r="F691" s="972">
        <v>3.25</v>
      </c>
      <c r="G691" s="972" t="s">
        <v>4878</v>
      </c>
      <c r="H691" s="972"/>
      <c r="I691" s="972"/>
      <c r="J691" s="972"/>
      <c r="K691" s="972"/>
      <c r="L691" s="972"/>
      <c r="M691" s="972"/>
    </row>
    <row r="692" spans="5:13">
      <c r="E692" s="972"/>
      <c r="F692" s="972"/>
      <c r="G692" s="972"/>
      <c r="H692" s="972" t="s">
        <v>337</v>
      </c>
      <c r="I692" s="972"/>
      <c r="J692" s="972"/>
      <c r="K692" s="972">
        <v>2.7</v>
      </c>
      <c r="L692" s="972"/>
      <c r="M692" s="972"/>
    </row>
    <row r="693" spans="5:13">
      <c r="E693" s="972"/>
      <c r="F693" s="972"/>
      <c r="G693" s="972"/>
      <c r="H693" s="981" t="s">
        <v>4778</v>
      </c>
      <c r="I693" s="972"/>
      <c r="J693" s="972"/>
      <c r="K693" s="982">
        <f>SUM(K690:K692)</f>
        <v>189.9</v>
      </c>
      <c r="L693" s="972">
        <f>K693-145</f>
        <v>44.900000000000006</v>
      </c>
      <c r="M693" s="972"/>
    </row>
    <row r="694" spans="5:13">
      <c r="E694" s="972"/>
      <c r="F694" s="972"/>
      <c r="G694" s="972"/>
      <c r="H694" s="981"/>
      <c r="I694" s="972"/>
      <c r="J694" s="972"/>
      <c r="K694" s="982"/>
      <c r="L694" s="972"/>
      <c r="M694" s="972"/>
    </row>
    <row r="695" spans="5:13">
      <c r="E695" s="972"/>
      <c r="F695" s="972"/>
      <c r="G695" s="972"/>
      <c r="H695" s="982" t="s">
        <v>4879</v>
      </c>
      <c r="I695" s="972"/>
      <c r="J695" s="972"/>
      <c r="K695" s="972"/>
      <c r="L695" s="972"/>
      <c r="M695" s="972"/>
    </row>
    <row r="696" spans="5:13">
      <c r="E696" s="972"/>
      <c r="F696" s="972"/>
      <c r="G696" s="972"/>
      <c r="H696" s="972"/>
      <c r="I696" s="972"/>
      <c r="J696" s="972"/>
      <c r="K696" s="972"/>
      <c r="L696" s="972"/>
      <c r="M696" s="972"/>
    </row>
    <row r="697" spans="5:13" ht="47.25">
      <c r="E697" s="972"/>
      <c r="F697" s="972"/>
      <c r="G697" s="972"/>
      <c r="H697" s="969" t="s">
        <v>4880</v>
      </c>
      <c r="I697" s="972"/>
      <c r="J697" s="972"/>
      <c r="K697" s="972"/>
      <c r="L697" s="972"/>
      <c r="M697" s="972"/>
    </row>
    <row r="698" spans="5:13">
      <c r="E698" s="972"/>
      <c r="F698" s="972"/>
      <c r="G698" s="972"/>
      <c r="H698" s="972"/>
      <c r="I698" s="972"/>
      <c r="J698" s="972"/>
      <c r="K698" s="972"/>
      <c r="L698" s="972"/>
      <c r="M698" s="972"/>
    </row>
    <row r="699" spans="5:13" ht="126">
      <c r="E699" s="972"/>
      <c r="F699" s="972"/>
      <c r="G699" s="972"/>
      <c r="H699" s="1010" t="s">
        <v>4881</v>
      </c>
      <c r="I699" s="972"/>
      <c r="J699" s="972"/>
      <c r="K699" s="972"/>
      <c r="L699" s="972"/>
      <c r="M699" s="972"/>
    </row>
    <row r="700" spans="5:13">
      <c r="E700" s="972"/>
      <c r="F700" s="972"/>
      <c r="G700" s="972"/>
      <c r="H700" s="972"/>
      <c r="I700" s="972"/>
      <c r="J700" s="972"/>
      <c r="K700" s="972"/>
      <c r="L700" s="972"/>
      <c r="M700" s="972"/>
    </row>
    <row r="701" spans="5:13" ht="31.5">
      <c r="E701" s="972"/>
      <c r="F701" s="972">
        <v>360</v>
      </c>
      <c r="G701" s="972" t="s">
        <v>303</v>
      </c>
      <c r="H701" s="971" t="s">
        <v>4861</v>
      </c>
      <c r="I701" s="972">
        <f>I663</f>
        <v>40.950000000000003</v>
      </c>
      <c r="J701" s="972" t="s">
        <v>303</v>
      </c>
      <c r="K701" s="972">
        <f>F701*I701</f>
        <v>14742.000000000002</v>
      </c>
      <c r="L701" s="972"/>
      <c r="M701" s="972"/>
    </row>
    <row r="702" spans="5:13">
      <c r="E702" s="972"/>
      <c r="F702" s="972">
        <v>4</v>
      </c>
      <c r="G702" s="972" t="s">
        <v>13</v>
      </c>
      <c r="H702" s="972" t="s">
        <v>4595</v>
      </c>
      <c r="I702" s="972">
        <f>I664</f>
        <v>101.5</v>
      </c>
      <c r="J702" s="972" t="s">
        <v>13</v>
      </c>
      <c r="K702" s="972">
        <f>F702*I702</f>
        <v>406</v>
      </c>
      <c r="L702" s="972"/>
      <c r="M702" s="972"/>
    </row>
    <row r="703" spans="5:13">
      <c r="E703" s="972"/>
      <c r="F703" s="972">
        <v>360</v>
      </c>
      <c r="G703" s="972" t="s">
        <v>340</v>
      </c>
      <c r="H703" s="972" t="s">
        <v>4864</v>
      </c>
      <c r="I703" s="972">
        <f>I665</f>
        <v>0.55000000000000004</v>
      </c>
      <c r="J703" s="972" t="s">
        <v>340</v>
      </c>
      <c r="K703" s="972">
        <f>F703*I703</f>
        <v>198.00000000000003</v>
      </c>
      <c r="L703" s="972"/>
      <c r="M703" s="972"/>
    </row>
    <row r="704" spans="5:13">
      <c r="E704" s="972"/>
      <c r="F704" s="972">
        <v>1.5</v>
      </c>
      <c r="G704" s="972" t="s">
        <v>13</v>
      </c>
      <c r="H704" s="972" t="s">
        <v>4865</v>
      </c>
      <c r="I704" s="972">
        <f>I666</f>
        <v>101.5</v>
      </c>
      <c r="J704" s="972" t="s">
        <v>13</v>
      </c>
      <c r="K704" s="972">
        <f>F704*I704</f>
        <v>152.25</v>
      </c>
      <c r="L704" s="972"/>
      <c r="M704" s="972"/>
    </row>
    <row r="705" spans="5:13">
      <c r="E705" s="972"/>
      <c r="F705" s="972"/>
      <c r="G705" s="972"/>
      <c r="H705" s="972" t="s">
        <v>4882</v>
      </c>
      <c r="I705" s="972"/>
      <c r="J705" s="972"/>
      <c r="K705" s="972">
        <f>K676*1.5</f>
        <v>8779.5</v>
      </c>
      <c r="L705" s="972"/>
      <c r="M705" s="972"/>
    </row>
    <row r="706" spans="5:13">
      <c r="E706" s="972"/>
      <c r="F706" s="972"/>
      <c r="G706" s="972"/>
      <c r="H706" s="972" t="s">
        <v>4866</v>
      </c>
      <c r="I706" s="972"/>
      <c r="J706" s="972"/>
      <c r="K706" s="972">
        <v>22.25</v>
      </c>
      <c r="L706" s="972"/>
      <c r="M706" s="972"/>
    </row>
    <row r="707" spans="5:13">
      <c r="E707" s="972"/>
      <c r="F707" s="972"/>
      <c r="G707" s="972"/>
      <c r="H707" s="979" t="s">
        <v>4867</v>
      </c>
      <c r="I707" s="972"/>
      <c r="J707" s="972"/>
      <c r="K707" s="972">
        <f>SUM(K701:K706)</f>
        <v>24300</v>
      </c>
      <c r="L707" s="972"/>
      <c r="M707" s="972"/>
    </row>
    <row r="708" spans="5:13">
      <c r="E708" s="972"/>
      <c r="F708" s="972"/>
      <c r="G708" s="972"/>
      <c r="H708" s="981" t="s">
        <v>3364</v>
      </c>
      <c r="I708" s="972"/>
      <c r="J708" s="972"/>
      <c r="K708" s="982">
        <f>K707/90</f>
        <v>270</v>
      </c>
      <c r="L708" s="972">
        <f>270*90</f>
        <v>24300</v>
      </c>
      <c r="M708" s="972"/>
    </row>
    <row r="709" spans="5:13">
      <c r="E709" s="972"/>
      <c r="F709" s="972"/>
      <c r="G709" s="972"/>
      <c r="H709" s="972"/>
      <c r="I709" s="972"/>
      <c r="J709" s="972"/>
      <c r="K709" s="972"/>
      <c r="L709" s="972">
        <f>L708-K707</f>
        <v>0</v>
      </c>
      <c r="M709" s="972"/>
    </row>
    <row r="710" spans="5:13">
      <c r="E710" s="972"/>
      <c r="F710" s="972"/>
      <c r="G710" s="972"/>
      <c r="H710" s="982" t="s">
        <v>4883</v>
      </c>
      <c r="I710" s="972"/>
      <c r="J710" s="972"/>
      <c r="K710" s="972"/>
      <c r="L710" s="972"/>
      <c r="M710" s="972"/>
    </row>
    <row r="711" spans="5:13" ht="31.5">
      <c r="E711" s="972"/>
      <c r="F711" s="972"/>
      <c r="G711" s="972"/>
      <c r="H711" s="969" t="s">
        <v>4884</v>
      </c>
      <c r="I711" s="972"/>
      <c r="J711" s="972"/>
      <c r="K711" s="972"/>
      <c r="L711" s="972"/>
      <c r="M711" s="972"/>
    </row>
    <row r="712" spans="5:13">
      <c r="E712" s="972"/>
      <c r="F712" s="972"/>
      <c r="G712" s="972"/>
      <c r="H712" s="972"/>
      <c r="I712" s="972"/>
      <c r="J712" s="972"/>
      <c r="K712" s="972"/>
      <c r="L712" s="972"/>
      <c r="M712" s="972"/>
    </row>
    <row r="713" spans="5:13" ht="47.25">
      <c r="E713" s="972"/>
      <c r="F713" s="972"/>
      <c r="G713" s="972"/>
      <c r="H713" s="1010" t="s">
        <v>4885</v>
      </c>
      <c r="I713" s="972"/>
      <c r="J713" s="972"/>
      <c r="K713" s="972"/>
      <c r="L713" s="972"/>
      <c r="M713" s="972"/>
    </row>
    <row r="714" spans="5:13">
      <c r="E714" s="972"/>
      <c r="F714" s="972">
        <v>1</v>
      </c>
      <c r="G714" s="972" t="s">
        <v>303</v>
      </c>
      <c r="H714" s="972" t="s">
        <v>4886</v>
      </c>
      <c r="I714" s="975">
        <v>163</v>
      </c>
      <c r="J714" s="972" t="s">
        <v>303</v>
      </c>
      <c r="K714" s="979">
        <f>F714*I714</f>
        <v>163</v>
      </c>
      <c r="L714" s="972"/>
      <c r="M714" s="972"/>
    </row>
    <row r="715" spans="5:13">
      <c r="E715" s="972"/>
      <c r="F715" s="972"/>
      <c r="G715" s="972"/>
      <c r="H715" s="972" t="s">
        <v>337</v>
      </c>
      <c r="I715" s="972"/>
      <c r="J715" s="972"/>
      <c r="K715" s="979">
        <v>2</v>
      </c>
      <c r="L715" s="972"/>
      <c r="M715" s="972"/>
    </row>
    <row r="716" spans="5:13">
      <c r="E716" s="972"/>
      <c r="F716" s="972"/>
      <c r="G716" s="972"/>
      <c r="H716" s="981" t="s">
        <v>4873</v>
      </c>
      <c r="I716" s="972"/>
      <c r="J716" s="972"/>
      <c r="K716" s="981">
        <f>SUM(K714:K715)</f>
        <v>165</v>
      </c>
      <c r="L716" s="972"/>
      <c r="M716" s="972">
        <f>K716-154</f>
        <v>11</v>
      </c>
    </row>
    <row r="717" spans="5:13">
      <c r="E717" s="972"/>
      <c r="F717" s="972"/>
      <c r="G717" s="972"/>
      <c r="H717" s="972"/>
      <c r="I717" s="972"/>
      <c r="J717" s="972"/>
      <c r="K717" s="972"/>
      <c r="L717" s="972"/>
      <c r="M717" s="972"/>
    </row>
    <row r="718" spans="5:13">
      <c r="E718" s="972"/>
      <c r="F718" s="972"/>
      <c r="G718" s="972"/>
      <c r="H718" s="982" t="s">
        <v>4887</v>
      </c>
      <c r="I718" s="972"/>
      <c r="J718" s="972"/>
      <c r="K718" s="972"/>
      <c r="L718" s="972"/>
      <c r="M718" s="972"/>
    </row>
    <row r="719" spans="5:13">
      <c r="E719" s="972"/>
      <c r="F719" s="972"/>
      <c r="G719" s="972"/>
      <c r="H719" s="982" t="s">
        <v>4875</v>
      </c>
      <c r="I719" s="972"/>
      <c r="J719" s="972"/>
      <c r="K719" s="972"/>
      <c r="L719" s="972"/>
      <c r="M719" s="972"/>
    </row>
    <row r="720" spans="5:13">
      <c r="E720" s="972"/>
      <c r="F720" s="972"/>
      <c r="G720" s="972"/>
      <c r="H720" s="972"/>
      <c r="I720" s="972"/>
      <c r="J720" s="972"/>
      <c r="K720" s="972"/>
      <c r="L720" s="972"/>
      <c r="M720" s="972"/>
    </row>
    <row r="721" spans="5:15" ht="47.25">
      <c r="E721" s="972"/>
      <c r="F721" s="972"/>
      <c r="G721" s="972"/>
      <c r="H721" s="1010" t="s">
        <v>4876</v>
      </c>
      <c r="I721" s="972"/>
      <c r="J721" s="972"/>
      <c r="K721" s="972"/>
      <c r="L721" s="972"/>
      <c r="M721" s="972"/>
    </row>
    <row r="722" spans="5:15">
      <c r="E722" s="972"/>
      <c r="F722" s="972">
        <v>1</v>
      </c>
      <c r="G722" s="972" t="s">
        <v>303</v>
      </c>
      <c r="H722" s="972" t="str">
        <f>H690</f>
        <v>40 x 40 x 6 mm MS angle (P-126  part -G)</v>
      </c>
      <c r="I722" s="972">
        <f>I690</f>
        <v>57.6</v>
      </c>
      <c r="J722" s="972" t="s">
        <v>2161</v>
      </c>
      <c r="K722" s="972">
        <f>F723*I722</f>
        <v>187.20000000000002</v>
      </c>
      <c r="L722" s="972"/>
      <c r="M722" s="972"/>
    </row>
    <row r="723" spans="5:15">
      <c r="E723" s="972"/>
      <c r="F723" s="972">
        <v>3.25</v>
      </c>
      <c r="G723" s="972" t="s">
        <v>4878</v>
      </c>
      <c r="H723" s="972"/>
      <c r="I723" s="972"/>
      <c r="J723" s="972"/>
      <c r="K723" s="972"/>
      <c r="L723" s="972"/>
      <c r="M723" s="972"/>
    </row>
    <row r="724" spans="5:15">
      <c r="E724" s="972"/>
      <c r="F724" s="972"/>
      <c r="G724" s="972"/>
      <c r="H724" s="972" t="s">
        <v>337</v>
      </c>
      <c r="I724" s="972"/>
      <c r="J724" s="972"/>
      <c r="K724" s="972">
        <v>2.8</v>
      </c>
      <c r="L724" s="972"/>
      <c r="M724" s="972"/>
    </row>
    <row r="725" spans="5:15">
      <c r="E725" s="972"/>
      <c r="F725" s="972"/>
      <c r="G725" s="972"/>
      <c r="H725" s="981" t="s">
        <v>4778</v>
      </c>
      <c r="I725" s="972"/>
      <c r="J725" s="972"/>
      <c r="K725" s="982">
        <f>SUM(K722:K724)</f>
        <v>190.00000000000003</v>
      </c>
      <c r="L725" s="972">
        <f>K725-190</f>
        <v>0</v>
      </c>
      <c r="M725" s="972">
        <f>147.6-148.6</f>
        <v>-1</v>
      </c>
    </row>
    <row r="726" spans="5:15">
      <c r="E726" s="972"/>
      <c r="F726" s="972"/>
      <c r="G726" s="972"/>
      <c r="H726" s="972"/>
      <c r="I726" s="972"/>
      <c r="J726" s="972"/>
      <c r="K726" s="972"/>
      <c r="L726" s="972"/>
      <c r="M726" s="972"/>
    </row>
    <row r="727" spans="5:15">
      <c r="E727" s="972"/>
      <c r="F727" s="972"/>
      <c r="G727" s="972"/>
      <c r="H727" s="982" t="s">
        <v>4525</v>
      </c>
      <c r="I727" s="972"/>
      <c r="J727" s="972"/>
      <c r="K727" s="972"/>
      <c r="L727" s="972"/>
      <c r="M727" s="972"/>
    </row>
    <row r="728" spans="5:15">
      <c r="E728" s="972"/>
      <c r="F728" s="972"/>
      <c r="G728" s="972"/>
      <c r="H728" s="972"/>
      <c r="I728" s="972"/>
      <c r="J728" s="972"/>
      <c r="K728" s="972"/>
      <c r="L728" s="972"/>
      <c r="M728" s="972"/>
    </row>
    <row r="729" spans="5:15" ht="81">
      <c r="E729" s="972"/>
      <c r="F729" s="972"/>
      <c r="G729" s="972"/>
      <c r="H729" s="1010" t="s">
        <v>5781</v>
      </c>
      <c r="I729" s="972"/>
      <c r="J729" s="972"/>
      <c r="K729" s="972"/>
      <c r="L729" s="972"/>
      <c r="M729" s="972"/>
    </row>
    <row r="730" spans="5:15">
      <c r="E730" s="972"/>
      <c r="F730" s="972">
        <v>30.42</v>
      </c>
      <c r="G730" s="972" t="s">
        <v>313</v>
      </c>
      <c r="H730" s="972" t="s">
        <v>4888</v>
      </c>
      <c r="I730" s="1011">
        <f>106.25+106.25+(36.95/3)</f>
        <v>224.81666666666666</v>
      </c>
      <c r="J730" s="972" t="s">
        <v>313</v>
      </c>
      <c r="K730" s="972">
        <f>F730*I730</f>
        <v>6838.9230000000007</v>
      </c>
      <c r="L730" s="972">
        <f>61.1*2</f>
        <v>122.2</v>
      </c>
      <c r="M730" s="972">
        <f>21.4/3</f>
        <v>7.1333333333333329</v>
      </c>
      <c r="N730" s="956">
        <f>73.1+73.1</f>
        <v>146.19999999999999</v>
      </c>
      <c r="O730" s="956">
        <f>M730+N730</f>
        <v>153.33333333333331</v>
      </c>
    </row>
    <row r="731" spans="5:15">
      <c r="E731" s="972"/>
      <c r="F731" s="972">
        <v>6.1</v>
      </c>
      <c r="G731" s="972" t="s">
        <v>313</v>
      </c>
      <c r="H731" s="959" t="s">
        <v>4889</v>
      </c>
      <c r="I731" s="972">
        <f>[5]Data!Z16</f>
        <v>1312</v>
      </c>
      <c r="J731" s="972" t="s">
        <v>313</v>
      </c>
      <c r="K731" s="972">
        <f>F731*I731</f>
        <v>8003.2</v>
      </c>
      <c r="L731" s="972">
        <f>L730+M730</f>
        <v>129.33333333333334</v>
      </c>
      <c r="M731" s="972"/>
      <c r="N731" s="956">
        <f>25.5/3</f>
        <v>8.5</v>
      </c>
    </row>
    <row r="732" spans="5:15">
      <c r="E732" s="972"/>
      <c r="F732" s="972">
        <v>750</v>
      </c>
      <c r="G732" s="972" t="s">
        <v>68</v>
      </c>
      <c r="H732" s="972" t="s">
        <v>4890</v>
      </c>
      <c r="I732" s="972">
        <f>[5]Data!Z18</f>
        <v>5709</v>
      </c>
      <c r="J732" s="972" t="s">
        <v>297</v>
      </c>
      <c r="K732" s="972">
        <f>F732*I732/1000</f>
        <v>4281.75</v>
      </c>
      <c r="L732" s="972"/>
      <c r="M732" s="972"/>
      <c r="N732" s="956">
        <f>SUM(N730:N731)</f>
        <v>154.69999999999999</v>
      </c>
    </row>
    <row r="733" spans="5:15">
      <c r="E733" s="972"/>
      <c r="F733" s="972"/>
      <c r="G733" s="972"/>
      <c r="H733" s="972" t="s">
        <v>910</v>
      </c>
      <c r="I733" s="972"/>
      <c r="J733" s="972"/>
      <c r="K733" s="972">
        <f>K742</f>
        <v>4125</v>
      </c>
      <c r="L733" s="972"/>
      <c r="M733" s="972"/>
    </row>
    <row r="734" spans="5:15">
      <c r="E734" s="972"/>
      <c r="F734" s="972"/>
      <c r="G734" s="972"/>
      <c r="H734" s="972" t="s">
        <v>337</v>
      </c>
      <c r="I734" s="972"/>
      <c r="J734" s="972"/>
      <c r="K734" s="972">
        <v>61.03</v>
      </c>
      <c r="L734" s="972">
        <f>112.2-K734</f>
        <v>51.17</v>
      </c>
      <c r="M734" s="972"/>
    </row>
    <row r="735" spans="5:15">
      <c r="E735" s="972"/>
      <c r="F735" s="972"/>
      <c r="G735" s="972"/>
      <c r="H735" s="979" t="s">
        <v>4867</v>
      </c>
      <c r="I735" s="972"/>
      <c r="J735" s="972"/>
      <c r="K735" s="972">
        <f>SUM(K730:K734)</f>
        <v>23309.902999999998</v>
      </c>
      <c r="L735" s="972">
        <f>K735-M736</f>
        <v>-9.7000000001571607E-2</v>
      </c>
      <c r="M735" s="972"/>
    </row>
    <row r="736" spans="5:15">
      <c r="E736" s="972"/>
      <c r="F736" s="972"/>
      <c r="G736" s="972"/>
      <c r="H736" s="981" t="s">
        <v>3364</v>
      </c>
      <c r="I736" s="972"/>
      <c r="J736" s="972"/>
      <c r="K736" s="982">
        <f>K735/90</f>
        <v>258.99892222222218</v>
      </c>
      <c r="L736" s="972"/>
      <c r="M736" s="972">
        <f>259*90</f>
        <v>23310</v>
      </c>
    </row>
    <row r="737" spans="5:13">
      <c r="E737" s="972"/>
      <c r="F737" s="972"/>
      <c r="G737" s="972"/>
      <c r="H737" s="972"/>
      <c r="I737" s="972"/>
      <c r="J737" s="972"/>
      <c r="K737" s="972"/>
      <c r="L737" s="972"/>
      <c r="M737" s="972">
        <f>M736-K735</f>
        <v>9.7000000001571607E-2</v>
      </c>
    </row>
    <row r="738" spans="5:13">
      <c r="E738" s="972"/>
      <c r="F738" s="972"/>
      <c r="G738" s="972"/>
      <c r="H738" s="980" t="s">
        <v>2328</v>
      </c>
      <c r="K738" s="972"/>
      <c r="L738" s="972"/>
      <c r="M738" s="972"/>
    </row>
    <row r="739" spans="5:13">
      <c r="E739" s="972"/>
      <c r="F739" s="972">
        <v>1</v>
      </c>
      <c r="G739" s="972" t="s">
        <v>68</v>
      </c>
      <c r="H739" s="990" t="s">
        <v>4868</v>
      </c>
      <c r="I739" s="960">
        <f>I672</f>
        <v>898</v>
      </c>
      <c r="J739" s="972" t="s">
        <v>68</v>
      </c>
      <c r="K739" s="972">
        <f>F739*I739</f>
        <v>898</v>
      </c>
      <c r="L739" s="972"/>
      <c r="M739" s="972"/>
    </row>
    <row r="740" spans="5:13">
      <c r="E740" s="972"/>
      <c r="F740" s="972">
        <v>1</v>
      </c>
      <c r="G740" s="972" t="s">
        <v>68</v>
      </c>
      <c r="H740" s="972" t="s">
        <v>4723</v>
      </c>
      <c r="I740" s="960">
        <f>I673</f>
        <v>783</v>
      </c>
      <c r="J740" s="972" t="s">
        <v>68</v>
      </c>
      <c r="K740" s="972">
        <f>F740*I740</f>
        <v>783</v>
      </c>
      <c r="L740" s="972"/>
      <c r="M740" s="972"/>
    </row>
    <row r="741" spans="5:13">
      <c r="E741" s="972"/>
      <c r="F741" s="972">
        <v>4</v>
      </c>
      <c r="G741" s="972" t="s">
        <v>68</v>
      </c>
      <c r="H741" s="972" t="s">
        <v>3352</v>
      </c>
      <c r="I741" s="972">
        <f>I675</f>
        <v>611</v>
      </c>
      <c r="J741" s="972" t="s">
        <v>68</v>
      </c>
      <c r="K741" s="972">
        <f>F741*I741</f>
        <v>2444</v>
      </c>
      <c r="L741" s="972"/>
      <c r="M741" s="972"/>
    </row>
    <row r="742" spans="5:13">
      <c r="E742" s="972"/>
      <c r="F742" s="972"/>
      <c r="G742" s="972"/>
      <c r="H742" s="972"/>
      <c r="I742" s="972"/>
      <c r="J742" s="972"/>
      <c r="K742" s="982">
        <f>SUM(K739:K741)</f>
        <v>4125</v>
      </c>
      <c r="L742" s="972"/>
      <c r="M742" s="972"/>
    </row>
    <row r="743" spans="5:13" s="1000" customFormat="1">
      <c r="E743" s="997"/>
      <c r="F743" s="997"/>
      <c r="G743" s="997"/>
      <c r="H743" s="1902" t="s">
        <v>4891</v>
      </c>
      <c r="I743" s="997"/>
      <c r="J743" s="997"/>
      <c r="K743" s="997"/>
      <c r="L743" s="997"/>
      <c r="M743" s="997"/>
    </row>
    <row r="744" spans="5:13">
      <c r="E744" s="972"/>
      <c r="F744" s="972"/>
      <c r="G744" s="972"/>
      <c r="H744" s="972"/>
      <c r="I744" s="972"/>
      <c r="J744" s="972"/>
      <c r="K744" s="972"/>
      <c r="L744" s="972"/>
      <c r="M744" s="972"/>
    </row>
    <row r="745" spans="5:13">
      <c r="E745" s="972"/>
      <c r="F745" s="972"/>
      <c r="G745" s="972"/>
      <c r="H745" s="982" t="s">
        <v>4526</v>
      </c>
      <c r="I745" s="972"/>
      <c r="J745" s="972"/>
      <c r="K745" s="972"/>
      <c r="L745" s="972"/>
      <c r="M745" s="972"/>
    </row>
    <row r="746" spans="5:13" ht="63">
      <c r="E746" s="972"/>
      <c r="F746" s="972"/>
      <c r="G746" s="972"/>
      <c r="H746" s="1010" t="s">
        <v>4892</v>
      </c>
      <c r="I746" s="972"/>
      <c r="J746" s="972"/>
      <c r="K746" s="972"/>
      <c r="L746" s="972"/>
      <c r="M746" s="972"/>
    </row>
    <row r="747" spans="5:13">
      <c r="E747" s="972"/>
      <c r="F747" s="972">
        <v>1</v>
      </c>
      <c r="G747" s="972" t="s">
        <v>3333</v>
      </c>
      <c r="H747" s="972" t="s">
        <v>4893</v>
      </c>
      <c r="I747" s="974">
        <v>66.8</v>
      </c>
      <c r="J747" s="972" t="s">
        <v>3333</v>
      </c>
      <c r="K747" s="972">
        <f>F747*I747</f>
        <v>66.8</v>
      </c>
      <c r="L747" s="972"/>
      <c r="M747" s="972"/>
    </row>
    <row r="748" spans="5:13">
      <c r="E748" s="972"/>
      <c r="F748" s="972">
        <v>300</v>
      </c>
      <c r="G748" s="972" t="s">
        <v>68</v>
      </c>
      <c r="H748" s="972" t="s">
        <v>4894</v>
      </c>
      <c r="I748" s="974">
        <v>69.400000000000006</v>
      </c>
      <c r="J748" s="972" t="s">
        <v>3333</v>
      </c>
      <c r="K748" s="972">
        <f>F748*(I748/144)</f>
        <v>144.58333333333334</v>
      </c>
      <c r="L748" s="972"/>
      <c r="M748" s="972"/>
    </row>
    <row r="749" spans="5:13">
      <c r="E749" s="972"/>
      <c r="F749" s="972">
        <v>300</v>
      </c>
      <c r="G749" s="972" t="s">
        <v>68</v>
      </c>
      <c r="H749" s="972" t="s">
        <v>4895</v>
      </c>
      <c r="I749" s="974">
        <v>287</v>
      </c>
      <c r="J749" s="972" t="s">
        <v>297</v>
      </c>
      <c r="K749" s="972">
        <f>F749*(I749/1000)</f>
        <v>86.1</v>
      </c>
      <c r="L749" s="972"/>
      <c r="M749" s="972"/>
    </row>
    <row r="750" spans="5:13">
      <c r="E750" s="972"/>
      <c r="F750" s="972"/>
      <c r="G750" s="972"/>
      <c r="H750" s="972" t="s">
        <v>4896</v>
      </c>
      <c r="I750" s="972"/>
      <c r="J750" s="972"/>
      <c r="K750" s="972">
        <v>60.52</v>
      </c>
      <c r="L750" s="972"/>
      <c r="M750" s="972"/>
    </row>
    <row r="751" spans="5:13">
      <c r="E751" s="972"/>
      <c r="F751" s="972"/>
      <c r="G751" s="972"/>
      <c r="H751" s="972" t="s">
        <v>910</v>
      </c>
      <c r="I751" s="972"/>
      <c r="J751" s="972"/>
      <c r="K751" s="972">
        <f>K761</f>
        <v>14582</v>
      </c>
      <c r="L751" s="972"/>
      <c r="M751" s="972"/>
    </row>
    <row r="752" spans="5:13">
      <c r="E752" s="972"/>
      <c r="F752" s="972"/>
      <c r="G752" s="972"/>
      <c r="H752" s="979" t="s">
        <v>4897</v>
      </c>
      <c r="I752" s="972"/>
      <c r="J752" s="972"/>
      <c r="K752" s="980">
        <f>SUM(K747:K751)</f>
        <v>14940.003333333334</v>
      </c>
      <c r="L752" s="972"/>
      <c r="M752" s="972"/>
    </row>
    <row r="753" spans="5:13">
      <c r="E753" s="972"/>
      <c r="F753" s="972"/>
      <c r="G753" s="972"/>
      <c r="H753" s="981" t="s">
        <v>4778</v>
      </c>
      <c r="I753" s="972"/>
      <c r="J753" s="972"/>
      <c r="K753" s="982">
        <f>K752/90</f>
        <v>166.00003703703703</v>
      </c>
      <c r="L753" s="972">
        <f>166*90</f>
        <v>14940</v>
      </c>
      <c r="M753" s="972">
        <f>L753-K752</f>
        <v>-3.3333333340124227E-3</v>
      </c>
    </row>
    <row r="754" spans="5:13">
      <c r="E754" s="972"/>
      <c r="F754" s="972"/>
      <c r="G754" s="972"/>
      <c r="H754" s="972"/>
      <c r="I754" s="972"/>
      <c r="J754" s="972"/>
      <c r="K754" s="972"/>
      <c r="L754" s="972"/>
      <c r="M754" s="972"/>
    </row>
    <row r="755" spans="5:13">
      <c r="E755" s="972"/>
      <c r="F755" s="972"/>
      <c r="G755" s="972"/>
      <c r="H755" s="980" t="s">
        <v>4779</v>
      </c>
      <c r="I755" s="972"/>
      <c r="J755" s="972"/>
      <c r="K755" s="972"/>
      <c r="L755" s="972"/>
      <c r="M755" s="972"/>
    </row>
    <row r="756" spans="5:13">
      <c r="E756" s="972"/>
      <c r="F756" s="972">
        <v>1</v>
      </c>
      <c r="G756" s="972" t="s">
        <v>68</v>
      </c>
      <c r="H756" s="990" t="s">
        <v>4898</v>
      </c>
      <c r="I756" s="972">
        <f>I523</f>
        <v>947</v>
      </c>
      <c r="J756" s="972" t="s">
        <v>68</v>
      </c>
      <c r="K756" s="972">
        <f>F756*I756</f>
        <v>947</v>
      </c>
      <c r="L756" s="972"/>
      <c r="M756" s="972"/>
    </row>
    <row r="757" spans="5:13">
      <c r="E757" s="972"/>
      <c r="F757" s="972">
        <v>2</v>
      </c>
      <c r="G757" s="972" t="s">
        <v>68</v>
      </c>
      <c r="H757" s="972" t="s">
        <v>4723</v>
      </c>
      <c r="I757" s="972">
        <f>I673</f>
        <v>783</v>
      </c>
      <c r="J757" s="972" t="s">
        <v>68</v>
      </c>
      <c r="K757" s="972">
        <f>F757*I757</f>
        <v>1566</v>
      </c>
      <c r="L757" s="972"/>
      <c r="M757" s="972"/>
    </row>
    <row r="758" spans="5:13">
      <c r="E758" s="972"/>
      <c r="F758" s="972">
        <v>3</v>
      </c>
      <c r="G758" s="972" t="s">
        <v>68</v>
      </c>
      <c r="H758" s="972" t="s">
        <v>3392</v>
      </c>
      <c r="I758" s="972">
        <f>I674</f>
        <v>778</v>
      </c>
      <c r="J758" s="972" t="s">
        <v>68</v>
      </c>
      <c r="K758" s="972">
        <f>F758*I758</f>
        <v>2334</v>
      </c>
      <c r="L758" s="972"/>
      <c r="M758" s="972"/>
    </row>
    <row r="759" spans="5:13">
      <c r="E759" s="972"/>
      <c r="F759" s="972">
        <v>4</v>
      </c>
      <c r="G759" s="972" t="s">
        <v>68</v>
      </c>
      <c r="H759" s="972" t="s">
        <v>3352</v>
      </c>
      <c r="I759" s="972">
        <f>I675</f>
        <v>611</v>
      </c>
      <c r="J759" s="972" t="s">
        <v>68</v>
      </c>
      <c r="K759" s="972">
        <f>F759*I759</f>
        <v>2444</v>
      </c>
      <c r="L759" s="972"/>
      <c r="M759" s="972"/>
    </row>
    <row r="760" spans="5:13">
      <c r="E760" s="972"/>
      <c r="F760" s="972"/>
      <c r="G760" s="972"/>
      <c r="H760" s="979" t="s">
        <v>4899</v>
      </c>
      <c r="I760" s="972"/>
      <c r="J760" s="972"/>
      <c r="K760" s="972">
        <f>SUM(K756:K759)</f>
        <v>7291</v>
      </c>
      <c r="L760" s="972"/>
      <c r="M760" s="972"/>
    </row>
    <row r="761" spans="5:13">
      <c r="E761" s="972"/>
      <c r="F761" s="972"/>
      <c r="G761" s="972"/>
      <c r="H761" s="981" t="s">
        <v>4900</v>
      </c>
      <c r="I761" s="972"/>
      <c r="J761" s="972"/>
      <c r="K761" s="982">
        <f>K760*2</f>
        <v>14582</v>
      </c>
      <c r="L761" s="972"/>
      <c r="M761" s="972"/>
    </row>
    <row r="762" spans="5:13">
      <c r="E762" s="972"/>
      <c r="F762" s="972"/>
      <c r="G762" s="972"/>
      <c r="H762" s="972"/>
      <c r="I762" s="972"/>
      <c r="J762" s="972"/>
      <c r="K762" s="972"/>
      <c r="L762" s="972"/>
      <c r="M762" s="972"/>
    </row>
    <row r="763" spans="5:13">
      <c r="E763" s="972"/>
      <c r="F763" s="972"/>
      <c r="G763" s="972"/>
      <c r="H763" s="982" t="s">
        <v>4901</v>
      </c>
      <c r="I763" s="972"/>
      <c r="J763" s="972"/>
      <c r="K763" s="972"/>
      <c r="L763" s="972"/>
      <c r="M763" s="972"/>
    </row>
    <row r="764" spans="5:13">
      <c r="E764" s="972"/>
      <c r="F764" s="972"/>
      <c r="G764" s="972"/>
      <c r="H764" s="972"/>
      <c r="I764" s="972"/>
      <c r="J764" s="972"/>
      <c r="K764" s="972"/>
      <c r="L764" s="972"/>
      <c r="M764" s="972"/>
    </row>
    <row r="765" spans="5:13">
      <c r="E765" s="972"/>
      <c r="F765" s="972"/>
      <c r="G765" s="972"/>
      <c r="H765" s="982" t="s">
        <v>4902</v>
      </c>
      <c r="I765" s="972"/>
      <c r="J765" s="972"/>
      <c r="K765" s="972"/>
      <c r="L765" s="972"/>
      <c r="M765" s="972"/>
    </row>
    <row r="766" spans="5:13">
      <c r="E766" s="972"/>
      <c r="F766" s="972"/>
      <c r="G766" s="972"/>
      <c r="H766" s="972"/>
      <c r="I766" s="972"/>
      <c r="J766" s="972"/>
      <c r="K766" s="972"/>
      <c r="L766" s="972"/>
      <c r="M766" s="972"/>
    </row>
    <row r="767" spans="5:13" ht="157.5">
      <c r="E767" s="972"/>
      <c r="F767" s="972"/>
      <c r="G767" s="972"/>
      <c r="H767" s="1010" t="s">
        <v>4903</v>
      </c>
      <c r="I767" s="972"/>
      <c r="J767" s="972"/>
      <c r="K767" s="972"/>
      <c r="L767" s="972"/>
      <c r="M767" s="972"/>
    </row>
    <row r="768" spans="5:13">
      <c r="E768" s="972"/>
      <c r="F768" s="972"/>
      <c r="G768" s="972"/>
      <c r="H768" s="982" t="s">
        <v>4904</v>
      </c>
      <c r="I768" s="972"/>
      <c r="J768" s="972"/>
      <c r="K768" s="972"/>
      <c r="L768" s="972"/>
      <c r="M768" s="972"/>
    </row>
    <row r="769" spans="5:20">
      <c r="E769" s="972"/>
      <c r="F769" s="972"/>
      <c r="G769" s="972"/>
      <c r="H769" s="972"/>
      <c r="I769" s="972"/>
      <c r="J769" s="972"/>
      <c r="K769" s="972"/>
      <c r="L769" s="972"/>
      <c r="M769" s="972"/>
    </row>
    <row r="770" spans="5:20" ht="204.75">
      <c r="E770" s="972"/>
      <c r="F770" s="972"/>
      <c r="G770" s="972"/>
      <c r="H770" s="1010" t="s">
        <v>4905</v>
      </c>
      <c r="I770" s="972"/>
      <c r="J770" s="972"/>
      <c r="K770" s="972"/>
      <c r="L770" s="972"/>
      <c r="M770" s="972"/>
    </row>
    <row r="771" spans="5:20">
      <c r="E771" s="972"/>
      <c r="F771" s="972"/>
      <c r="G771" s="972"/>
      <c r="H771" s="980" t="s">
        <v>4906</v>
      </c>
      <c r="I771" s="980" t="s">
        <v>4907</v>
      </c>
      <c r="J771" s="980" t="s">
        <v>4908</v>
      </c>
      <c r="K771" s="980" t="s">
        <v>4909</v>
      </c>
      <c r="L771" s="980" t="s">
        <v>4910</v>
      </c>
      <c r="M771" s="972"/>
    </row>
    <row r="772" spans="5:20">
      <c r="E772" s="972"/>
      <c r="F772" s="972"/>
      <c r="G772" s="972"/>
      <c r="H772" s="972" t="s">
        <v>4911</v>
      </c>
      <c r="I772" s="974">
        <v>3110</v>
      </c>
      <c r="J772" s="977">
        <v>2970</v>
      </c>
      <c r="K772" s="974">
        <v>3012</v>
      </c>
      <c r="L772" s="974">
        <v>3055</v>
      </c>
      <c r="M772" s="972"/>
    </row>
    <row r="773" spans="5:20">
      <c r="E773" s="972"/>
      <c r="F773" s="972"/>
      <c r="G773" s="972"/>
      <c r="H773" s="972" t="s">
        <v>4912</v>
      </c>
      <c r="I773" s="975">
        <v>175.4</v>
      </c>
      <c r="J773" s="975">
        <v>428</v>
      </c>
      <c r="K773" s="1012">
        <v>577</v>
      </c>
      <c r="L773" s="1012">
        <v>674</v>
      </c>
      <c r="M773" s="972"/>
    </row>
    <row r="774" spans="5:20">
      <c r="E774" s="972"/>
      <c r="F774" s="972"/>
      <c r="G774" s="972"/>
      <c r="H774" s="981" t="s">
        <v>4913</v>
      </c>
      <c r="I774" s="982">
        <f>SUM(I772:I773)</f>
        <v>3285.4</v>
      </c>
      <c r="J774" s="982">
        <f>SUM(J772:J773)</f>
        <v>3398</v>
      </c>
      <c r="K774" s="1013">
        <f>SUM(K772:K773)</f>
        <v>3589</v>
      </c>
      <c r="L774" s="1013">
        <f>SUM(L772:L773)</f>
        <v>3729</v>
      </c>
      <c r="M774" s="972"/>
    </row>
    <row r="775" spans="5:20">
      <c r="E775" s="972"/>
      <c r="F775" s="972"/>
      <c r="G775" s="972"/>
      <c r="H775" s="972"/>
      <c r="I775" s="972"/>
      <c r="J775" s="972"/>
      <c r="K775" s="972"/>
      <c r="L775" s="972"/>
      <c r="M775" s="972"/>
    </row>
    <row r="776" spans="5:20">
      <c r="E776" s="972"/>
      <c r="F776" s="972"/>
      <c r="G776" s="972"/>
      <c r="H776" s="982" t="s">
        <v>4914</v>
      </c>
      <c r="I776" s="972"/>
      <c r="J776" s="972"/>
      <c r="K776" s="972"/>
      <c r="L776" s="972"/>
      <c r="M776" s="972"/>
    </row>
    <row r="777" spans="5:20">
      <c r="E777" s="972"/>
      <c r="F777" s="972"/>
      <c r="G777" s="972"/>
      <c r="H777" s="972"/>
      <c r="I777" s="972"/>
      <c r="J777" s="972"/>
      <c r="K777" s="972"/>
      <c r="L777" s="972"/>
      <c r="M777" s="972"/>
    </row>
    <row r="778" spans="5:20">
      <c r="E778" s="972"/>
      <c r="F778" s="972"/>
      <c r="G778" s="972"/>
      <c r="H778" s="982" t="s">
        <v>4527</v>
      </c>
      <c r="I778" s="972"/>
      <c r="J778" s="972"/>
      <c r="K778" s="972"/>
      <c r="L778" s="972"/>
      <c r="M778" s="972"/>
    </row>
    <row r="779" spans="5:20" ht="78.75">
      <c r="E779" s="972"/>
      <c r="F779" s="972"/>
      <c r="G779" s="972"/>
      <c r="H779" s="1010" t="s">
        <v>4915</v>
      </c>
      <c r="I779" s="972"/>
      <c r="J779" s="972"/>
      <c r="K779" s="972"/>
      <c r="L779" s="972"/>
      <c r="M779" s="2006" t="s">
        <v>4916</v>
      </c>
      <c r="N779" s="2006"/>
      <c r="O779" s="2006"/>
      <c r="P779" s="2006"/>
      <c r="Q779" s="2006"/>
      <c r="R779" s="2006"/>
    </row>
    <row r="780" spans="5:20" ht="15.75" customHeight="1">
      <c r="E780" s="972"/>
      <c r="F780" s="972"/>
      <c r="G780" s="972"/>
      <c r="H780" s="972"/>
      <c r="I780" s="972"/>
      <c r="J780" s="972"/>
      <c r="K780" s="972"/>
      <c r="L780" s="972"/>
      <c r="M780" s="2007" t="s">
        <v>4917</v>
      </c>
      <c r="N780" s="2007"/>
      <c r="O780" s="2007"/>
      <c r="P780" s="2007"/>
      <c r="Q780" s="2007"/>
      <c r="R780" s="2007"/>
    </row>
    <row r="781" spans="5:20">
      <c r="E781" s="972"/>
      <c r="F781" s="972">
        <v>2</v>
      </c>
      <c r="G781" s="972" t="s">
        <v>303</v>
      </c>
      <c r="H781" s="972" t="s">
        <v>4918</v>
      </c>
      <c r="I781" s="974">
        <v>98.6</v>
      </c>
      <c r="J781" s="972" t="s">
        <v>303</v>
      </c>
      <c r="K781" s="972">
        <f>F781*I781</f>
        <v>197.2</v>
      </c>
      <c r="L781" s="972"/>
      <c r="M781" s="1014"/>
      <c r="N781" s="1014"/>
      <c r="O781" s="1014"/>
      <c r="P781" s="1014"/>
      <c r="Q781" s="1014"/>
      <c r="R781" s="1014"/>
    </row>
    <row r="782" spans="5:20">
      <c r="E782" s="972"/>
      <c r="F782" s="972">
        <v>2</v>
      </c>
      <c r="G782" s="972" t="s">
        <v>1790</v>
      </c>
      <c r="H782" s="972" t="s">
        <v>4919</v>
      </c>
      <c r="I782" s="972">
        <v>35</v>
      </c>
      <c r="J782" s="972" t="s">
        <v>1790</v>
      </c>
      <c r="K782" s="972">
        <f>F782*I782</f>
        <v>70</v>
      </c>
      <c r="L782" s="972"/>
      <c r="M782" s="1015">
        <v>1.5</v>
      </c>
      <c r="N782" s="1014" t="s">
        <v>303</v>
      </c>
      <c r="O782" s="1014" t="s">
        <v>4920</v>
      </c>
      <c r="P782" s="1015">
        <f>I682</f>
        <v>128</v>
      </c>
      <c r="Q782" s="1014" t="s">
        <v>303</v>
      </c>
      <c r="R782" s="1015">
        <f>P782*M782</f>
        <v>192</v>
      </c>
    </row>
    <row r="783" spans="5:20">
      <c r="E783" s="972"/>
      <c r="F783" s="972">
        <v>1</v>
      </c>
      <c r="G783" s="972" t="s">
        <v>68</v>
      </c>
      <c r="H783" s="972" t="s">
        <v>4921</v>
      </c>
      <c r="I783" s="972">
        <f>M565</f>
        <v>48.05</v>
      </c>
      <c r="J783" s="972" t="s">
        <v>340</v>
      </c>
      <c r="K783" s="972">
        <f>F783*I783</f>
        <v>48.05</v>
      </c>
      <c r="L783" s="972"/>
      <c r="M783" s="1015">
        <v>2</v>
      </c>
      <c r="N783" s="1014" t="s">
        <v>1790</v>
      </c>
      <c r="O783" s="1014" t="s">
        <v>4919</v>
      </c>
      <c r="P783" s="1015">
        <f>I782</f>
        <v>35</v>
      </c>
      <c r="Q783" s="1014" t="s">
        <v>1790</v>
      </c>
      <c r="R783" s="1015">
        <f>M783*P783</f>
        <v>70</v>
      </c>
      <c r="T783" s="956" t="s">
        <v>5782</v>
      </c>
    </row>
    <row r="784" spans="5:20">
      <c r="E784" s="972"/>
      <c r="F784" s="972">
        <v>1</v>
      </c>
      <c r="G784" s="972" t="s">
        <v>68</v>
      </c>
      <c r="H784" s="972" t="s">
        <v>4922</v>
      </c>
      <c r="I784" s="972">
        <f>K797</f>
        <v>31.283999999999999</v>
      </c>
      <c r="J784" s="972" t="s">
        <v>340</v>
      </c>
      <c r="K784" s="972">
        <f>F784*I784</f>
        <v>31.283999999999999</v>
      </c>
      <c r="L784" s="972"/>
      <c r="M784" s="1015"/>
      <c r="N784" s="1014"/>
      <c r="O784" s="1014"/>
      <c r="P784" s="1016"/>
      <c r="Q784" s="1014"/>
      <c r="R784" s="1015"/>
    </row>
    <row r="785" spans="5:25">
      <c r="E785" s="972"/>
      <c r="F785" s="972">
        <v>8</v>
      </c>
      <c r="G785" s="972" t="s">
        <v>303</v>
      </c>
      <c r="H785" s="972" t="s">
        <v>4923</v>
      </c>
      <c r="I785" s="972">
        <f>I270</f>
        <v>25.75</v>
      </c>
      <c r="J785" s="972" t="s">
        <v>3341</v>
      </c>
      <c r="K785" s="972">
        <f>F785*I785</f>
        <v>206</v>
      </c>
      <c r="L785" s="972"/>
      <c r="M785" s="1015"/>
      <c r="N785" s="1014"/>
      <c r="O785" s="1014"/>
      <c r="P785" s="1015"/>
      <c r="Q785" s="1014"/>
      <c r="R785" s="1015"/>
    </row>
    <row r="786" spans="5:25" ht="47.25">
      <c r="E786" s="972"/>
      <c r="F786" s="972">
        <v>1</v>
      </c>
      <c r="G786" s="972" t="s">
        <v>68</v>
      </c>
      <c r="H786" s="1010" t="s">
        <v>4924</v>
      </c>
      <c r="I786" s="972"/>
      <c r="J786" s="972"/>
      <c r="K786" s="972">
        <f>K796</f>
        <v>1690</v>
      </c>
      <c r="L786" s="972"/>
      <c r="M786" s="1015">
        <v>8</v>
      </c>
      <c r="N786" s="1014" t="s">
        <v>303</v>
      </c>
      <c r="O786" s="1017" t="s">
        <v>4923</v>
      </c>
      <c r="P786" s="1015">
        <f>I785</f>
        <v>25.75</v>
      </c>
      <c r="Q786" s="1014" t="s">
        <v>3341</v>
      </c>
      <c r="R786" s="1015">
        <f>M786*P786</f>
        <v>206</v>
      </c>
    </row>
    <row r="787" spans="5:25" ht="45">
      <c r="E787" s="972"/>
      <c r="F787" s="972"/>
      <c r="G787" s="972"/>
      <c r="H787" s="1010" t="s">
        <v>4925</v>
      </c>
      <c r="I787" s="972" t="s">
        <v>287</v>
      </c>
      <c r="J787" s="972"/>
      <c r="K787" s="972">
        <v>15.8</v>
      </c>
      <c r="L787" s="972"/>
      <c r="M787" s="1015">
        <v>1</v>
      </c>
      <c r="N787" s="1014" t="s">
        <v>68</v>
      </c>
      <c r="O787" s="1017" t="s">
        <v>4924</v>
      </c>
      <c r="P787" s="1015">
        <f>R797</f>
        <v>1690</v>
      </c>
      <c r="Q787" s="1014" t="s">
        <v>340</v>
      </c>
      <c r="R787" s="1015">
        <f>R797</f>
        <v>1690</v>
      </c>
    </row>
    <row r="788" spans="5:25" ht="30">
      <c r="E788" s="972"/>
      <c r="F788" s="972"/>
      <c r="G788" s="972"/>
      <c r="H788" s="981" t="s">
        <v>3609</v>
      </c>
      <c r="I788" s="972"/>
      <c r="J788" s="972"/>
      <c r="K788" s="982">
        <f>SUM(K781:K787)</f>
        <v>2258.3340000000003</v>
      </c>
      <c r="L788" s="972">
        <f>K788-1616</f>
        <v>642.33400000000029</v>
      </c>
      <c r="M788" s="1015"/>
      <c r="N788" s="1014"/>
      <c r="O788" s="1017" t="s">
        <v>4925</v>
      </c>
      <c r="P788" s="2004" t="s">
        <v>287</v>
      </c>
      <c r="Q788" s="2004"/>
      <c r="R788" s="1015">
        <v>16</v>
      </c>
    </row>
    <row r="789" spans="5:25">
      <c r="E789" s="972"/>
      <c r="F789" s="972"/>
      <c r="G789" s="972"/>
      <c r="H789" s="972"/>
      <c r="I789" s="972"/>
      <c r="J789" s="972"/>
      <c r="K789" s="972"/>
      <c r="L789" s="972"/>
      <c r="M789" s="1015"/>
      <c r="N789" s="1014"/>
      <c r="O789" s="1018" t="s">
        <v>3609</v>
      </c>
      <c r="P789" s="1014"/>
      <c r="Q789" s="1014"/>
      <c r="R789" s="1018">
        <f>SUM(R782:R788)</f>
        <v>2174</v>
      </c>
    </row>
    <row r="790" spans="5:25">
      <c r="E790" s="972"/>
      <c r="F790" s="972"/>
      <c r="G790" s="972"/>
      <c r="H790" s="980" t="s">
        <v>4926</v>
      </c>
      <c r="I790" s="972"/>
      <c r="J790" s="972"/>
      <c r="K790" s="972"/>
      <c r="L790" s="972"/>
      <c r="M790" s="1015"/>
      <c r="N790" s="1014"/>
      <c r="O790" s="1014"/>
      <c r="P790" s="1014"/>
      <c r="Q790" s="1014"/>
      <c r="R790" s="1014"/>
    </row>
    <row r="791" spans="5:25">
      <c r="E791" s="972"/>
      <c r="F791" s="972">
        <v>1</v>
      </c>
      <c r="G791" s="972" t="s">
        <v>68</v>
      </c>
      <c r="H791" s="990" t="s">
        <v>4868</v>
      </c>
      <c r="I791" s="972">
        <f>I672</f>
        <v>898</v>
      </c>
      <c r="J791" s="972" t="s">
        <v>68</v>
      </c>
      <c r="K791" s="972">
        <f>F791*I791</f>
        <v>898</v>
      </c>
      <c r="L791" s="972"/>
      <c r="M791" s="1015"/>
      <c r="N791" s="1014"/>
      <c r="O791" s="1019" t="s">
        <v>4926</v>
      </c>
      <c r="P791" s="1014"/>
      <c r="Q791" s="1014"/>
      <c r="R791" s="1014"/>
    </row>
    <row r="792" spans="5:25">
      <c r="E792" s="972"/>
      <c r="F792" s="972">
        <v>1</v>
      </c>
      <c r="G792" s="972" t="s">
        <v>68</v>
      </c>
      <c r="H792" s="972" t="s">
        <v>4723</v>
      </c>
      <c r="I792" s="972">
        <f>I673</f>
        <v>783</v>
      </c>
      <c r="J792" s="972" t="s">
        <v>68</v>
      </c>
      <c r="K792" s="972">
        <f>F792*I792</f>
        <v>783</v>
      </c>
      <c r="L792" s="972"/>
      <c r="M792" s="1015">
        <v>1</v>
      </c>
      <c r="N792" s="1014" t="s">
        <v>68</v>
      </c>
      <c r="O792" s="1014" t="s">
        <v>4868</v>
      </c>
      <c r="P792" s="1015">
        <f>I791</f>
        <v>898</v>
      </c>
      <c r="Q792" s="1014" t="s">
        <v>68</v>
      </c>
      <c r="R792" s="1014">
        <f>M792*P792</f>
        <v>898</v>
      </c>
    </row>
    <row r="793" spans="5:25">
      <c r="E793" s="972"/>
      <c r="F793" s="972">
        <v>2</v>
      </c>
      <c r="G793" s="972" t="s">
        <v>68</v>
      </c>
      <c r="H793" s="972" t="s">
        <v>3392</v>
      </c>
      <c r="I793" s="972">
        <f>I674</f>
        <v>778</v>
      </c>
      <c r="J793" s="972" t="s">
        <v>68</v>
      </c>
      <c r="K793" s="972">
        <f>F793*I793</f>
        <v>1556</v>
      </c>
      <c r="L793" s="972"/>
      <c r="M793" s="1015">
        <v>1</v>
      </c>
      <c r="N793" s="1014" t="s">
        <v>68</v>
      </c>
      <c r="O793" s="1014" t="s">
        <v>4723</v>
      </c>
      <c r="P793" s="1015">
        <f>I792</f>
        <v>783</v>
      </c>
      <c r="Q793" s="1014" t="s">
        <v>68</v>
      </c>
      <c r="R793" s="1014">
        <f>M793*P793</f>
        <v>783</v>
      </c>
    </row>
    <row r="794" spans="5:25">
      <c r="E794" s="972"/>
      <c r="F794" s="972">
        <v>3</v>
      </c>
      <c r="G794" s="972" t="s">
        <v>68</v>
      </c>
      <c r="H794" s="972" t="s">
        <v>3352</v>
      </c>
      <c r="I794" s="972">
        <f>I675</f>
        <v>611</v>
      </c>
      <c r="J794" s="972" t="s">
        <v>68</v>
      </c>
      <c r="K794" s="972">
        <f>F794*I794</f>
        <v>1833</v>
      </c>
      <c r="L794" s="972"/>
      <c r="M794" s="1015">
        <v>2</v>
      </c>
      <c r="N794" s="1014" t="s">
        <v>68</v>
      </c>
      <c r="O794" s="1014" t="s">
        <v>3392</v>
      </c>
      <c r="P794" s="1015">
        <f>I793</f>
        <v>778</v>
      </c>
      <c r="Q794" s="1014" t="s">
        <v>68</v>
      </c>
      <c r="R794" s="1014">
        <f>M794*P794</f>
        <v>1556</v>
      </c>
    </row>
    <row r="795" spans="5:25">
      <c r="E795" s="972"/>
      <c r="F795" s="972"/>
      <c r="G795" s="972"/>
      <c r="H795" s="979" t="s">
        <v>4857</v>
      </c>
      <c r="I795" s="972"/>
      <c r="J795" s="972"/>
      <c r="K795" s="980">
        <f>SUM(K791:K794)</f>
        <v>5070</v>
      </c>
      <c r="L795" s="972"/>
      <c r="M795" s="1015">
        <v>3</v>
      </c>
      <c r="N795" s="1014" t="s">
        <v>68</v>
      </c>
      <c r="O795" s="1014" t="s">
        <v>3352</v>
      </c>
      <c r="P795" s="1015">
        <f>I794</f>
        <v>611</v>
      </c>
      <c r="Q795" s="1014" t="s">
        <v>68</v>
      </c>
      <c r="R795" s="1014">
        <f>M795*P795</f>
        <v>1833</v>
      </c>
    </row>
    <row r="796" spans="5:25">
      <c r="E796" s="972"/>
      <c r="F796" s="972"/>
      <c r="G796" s="972"/>
      <c r="H796" s="981" t="s">
        <v>3395</v>
      </c>
      <c r="I796" s="972"/>
      <c r="J796" s="972"/>
      <c r="K796" s="982">
        <f>K795/3</f>
        <v>1690</v>
      </c>
      <c r="L796" s="972"/>
      <c r="M796" s="1014"/>
      <c r="N796" s="1014"/>
      <c r="O796" s="1015" t="s">
        <v>4857</v>
      </c>
      <c r="P796" s="1014"/>
      <c r="Q796" s="1014"/>
      <c r="R796" s="1019">
        <f>SUM(R792:R795)</f>
        <v>5070</v>
      </c>
    </row>
    <row r="797" spans="5:25">
      <c r="E797" s="972"/>
      <c r="F797" s="972"/>
      <c r="G797" s="972"/>
      <c r="H797" s="982" t="s">
        <v>4927</v>
      </c>
      <c r="I797" s="972">
        <f>I652</f>
        <v>104280</v>
      </c>
      <c r="J797" s="989">
        <v>2.9999999999999997E-4</v>
      </c>
      <c r="K797" s="982">
        <f>I797*J797</f>
        <v>31.283999999999999</v>
      </c>
      <c r="L797" s="972"/>
      <c r="M797" s="1014"/>
      <c r="N797" s="1014"/>
      <c r="O797" s="1018" t="s">
        <v>3395</v>
      </c>
      <c r="P797" s="1014"/>
      <c r="Q797" s="1014"/>
      <c r="R797" s="1020">
        <f>R796/3</f>
        <v>1690</v>
      </c>
    </row>
    <row r="798" spans="5:25">
      <c r="E798" s="972"/>
      <c r="F798" s="972"/>
      <c r="G798" s="972"/>
      <c r="H798" s="972"/>
      <c r="I798" s="972"/>
      <c r="J798" s="972"/>
      <c r="K798" s="972"/>
      <c r="L798" s="972"/>
      <c r="M798" s="1014"/>
      <c r="N798" s="1014"/>
      <c r="O798" s="1021"/>
      <c r="P798" s="1022"/>
      <c r="Q798" s="1023"/>
      <c r="R798" s="1021"/>
    </row>
    <row r="799" spans="5:25">
      <c r="E799" s="972"/>
      <c r="F799" s="972"/>
      <c r="G799" s="972"/>
      <c r="H799" s="982" t="s">
        <v>4844</v>
      </c>
      <c r="I799" s="972"/>
      <c r="J799" s="972"/>
      <c r="K799" s="972"/>
      <c r="L799" s="972"/>
      <c r="M799" s="1014"/>
      <c r="N799" s="1014"/>
      <c r="O799" s="1014"/>
      <c r="P799" s="1014"/>
      <c r="Q799" s="1014"/>
      <c r="R799" s="1014"/>
    </row>
    <row r="800" spans="5:25">
      <c r="E800" s="972"/>
      <c r="F800" s="972"/>
      <c r="G800" s="972"/>
      <c r="H800" s="972"/>
      <c r="I800" s="972"/>
      <c r="J800" s="972"/>
      <c r="K800" s="972"/>
      <c r="L800" s="972"/>
      <c r="M800" s="1014"/>
      <c r="N800" s="1014"/>
      <c r="O800" s="1020" t="s">
        <v>4844</v>
      </c>
      <c r="P800" s="1014"/>
      <c r="Q800" s="1014"/>
      <c r="R800" s="1014"/>
      <c r="T800" s="1014"/>
      <c r="U800" s="1014"/>
      <c r="V800" s="1020" t="s">
        <v>4844</v>
      </c>
      <c r="W800" s="1014"/>
      <c r="X800" s="1014"/>
      <c r="Y800" s="1014"/>
    </row>
    <row r="801" spans="5:26">
      <c r="E801" s="972"/>
      <c r="F801" s="972"/>
      <c r="G801" s="972"/>
      <c r="H801" s="982" t="s">
        <v>4928</v>
      </c>
      <c r="I801" s="972"/>
      <c r="J801" s="972"/>
      <c r="K801" s="972"/>
      <c r="L801" s="972"/>
      <c r="M801" s="1014"/>
      <c r="N801" s="1014"/>
      <c r="O801" s="1020"/>
      <c r="P801" s="1014"/>
      <c r="Q801" s="1014"/>
      <c r="R801" s="1014"/>
      <c r="T801" s="1014"/>
      <c r="U801" s="1014"/>
      <c r="V801" s="1020"/>
      <c r="W801" s="1014"/>
      <c r="X801" s="1014"/>
      <c r="Y801" s="1014"/>
    </row>
    <row r="802" spans="5:26">
      <c r="E802" s="972"/>
      <c r="F802" s="972"/>
      <c r="G802" s="972"/>
      <c r="H802" s="972"/>
      <c r="I802" s="972"/>
      <c r="J802" s="972"/>
      <c r="K802" s="972"/>
      <c r="L802" s="972"/>
      <c r="M802" s="1014"/>
      <c r="N802" s="1014"/>
      <c r="O802" s="1020" t="s">
        <v>4929</v>
      </c>
      <c r="P802" s="1014"/>
      <c r="Q802" s="1014"/>
      <c r="R802" s="1014"/>
      <c r="T802" s="1014"/>
      <c r="U802" s="1014"/>
      <c r="V802" s="1020" t="s">
        <v>5783</v>
      </c>
      <c r="W802" s="1014"/>
      <c r="X802" s="1014"/>
      <c r="Y802" s="1014"/>
    </row>
    <row r="803" spans="5:26">
      <c r="E803" s="972"/>
      <c r="F803" s="972">
        <v>1</v>
      </c>
      <c r="G803" s="972" t="s">
        <v>68</v>
      </c>
      <c r="H803" s="971" t="s">
        <v>4930</v>
      </c>
      <c r="I803" s="975">
        <v>648</v>
      </c>
      <c r="J803" s="972" t="s">
        <v>68</v>
      </c>
      <c r="K803" s="972">
        <f>F803*I803</f>
        <v>648</v>
      </c>
      <c r="L803" s="972"/>
      <c r="M803" s="1014"/>
      <c r="N803" s="1014"/>
      <c r="O803" s="1020"/>
      <c r="P803" s="1014"/>
      <c r="Q803" s="1014"/>
      <c r="R803" s="1014"/>
      <c r="T803" s="1014"/>
      <c r="U803" s="1014"/>
      <c r="V803" s="1020"/>
      <c r="W803" s="1014"/>
      <c r="X803" s="1014"/>
      <c r="Y803" s="1014"/>
    </row>
    <row r="804" spans="5:26">
      <c r="E804" s="972"/>
      <c r="F804" s="972">
        <v>1</v>
      </c>
      <c r="G804" s="972" t="s">
        <v>68</v>
      </c>
      <c r="H804" s="971" t="s">
        <v>4931</v>
      </c>
      <c r="I804" s="975">
        <v>36.200000000000003</v>
      </c>
      <c r="J804" s="972" t="s">
        <v>68</v>
      </c>
      <c r="K804" s="972">
        <f>F804*I804</f>
        <v>36.200000000000003</v>
      </c>
      <c r="L804" s="972"/>
      <c r="M804" s="1014">
        <v>1</v>
      </c>
      <c r="N804" s="1014" t="s">
        <v>68</v>
      </c>
      <c r="O804" s="1017" t="s">
        <v>5784</v>
      </c>
      <c r="P804" s="1029">
        <v>1193</v>
      </c>
      <c r="Q804" s="1014" t="s">
        <v>68</v>
      </c>
      <c r="R804" s="1014">
        <f>M804*P804</f>
        <v>1193</v>
      </c>
      <c r="T804" s="1014">
        <v>1</v>
      </c>
      <c r="U804" s="1014" t="s">
        <v>68</v>
      </c>
      <c r="V804" s="1017" t="s">
        <v>5785</v>
      </c>
      <c r="W804" s="1029">
        <v>1856</v>
      </c>
      <c r="X804" s="1014" t="s">
        <v>68</v>
      </c>
      <c r="Y804" s="1014">
        <f>T804*W804</f>
        <v>1856</v>
      </c>
    </row>
    <row r="805" spans="5:26">
      <c r="E805" s="972"/>
      <c r="F805" s="972">
        <v>1</v>
      </c>
      <c r="G805" s="972" t="s">
        <v>68</v>
      </c>
      <c r="H805" s="1010" t="s">
        <v>910</v>
      </c>
      <c r="I805" s="972">
        <f>K788</f>
        <v>2258.3340000000003</v>
      </c>
      <c r="J805" s="972" t="s">
        <v>68</v>
      </c>
      <c r="K805" s="972">
        <f>F805*I805</f>
        <v>2258.3340000000003</v>
      </c>
      <c r="L805" s="972"/>
      <c r="M805" s="1014">
        <v>1</v>
      </c>
      <c r="N805" s="1014" t="s">
        <v>68</v>
      </c>
      <c r="O805" s="1017" t="s">
        <v>910</v>
      </c>
      <c r="P805" s="1015">
        <f>R789</f>
        <v>2174</v>
      </c>
      <c r="Q805" s="1014" t="s">
        <v>68</v>
      </c>
      <c r="R805" s="1014">
        <f>M805*P805</f>
        <v>2174</v>
      </c>
      <c r="T805" s="1014">
        <v>1</v>
      </c>
      <c r="U805" s="1014" t="s">
        <v>68</v>
      </c>
      <c r="V805" s="1017" t="s">
        <v>910</v>
      </c>
      <c r="W805" s="1015">
        <f>P805</f>
        <v>2174</v>
      </c>
      <c r="X805" s="1014" t="s">
        <v>68</v>
      </c>
      <c r="Y805" s="1014">
        <f>T805*W805</f>
        <v>2174</v>
      </c>
    </row>
    <row r="806" spans="5:26">
      <c r="E806" s="972"/>
      <c r="F806" s="972"/>
      <c r="G806" s="972"/>
      <c r="H806" s="971" t="s">
        <v>337</v>
      </c>
      <c r="I806" s="972"/>
      <c r="J806" s="972"/>
      <c r="K806" s="972">
        <v>3.47</v>
      </c>
      <c r="L806" s="972"/>
      <c r="M806" s="1014"/>
      <c r="N806" s="1014"/>
      <c r="O806" s="1017" t="s">
        <v>337</v>
      </c>
      <c r="P806" s="1014"/>
      <c r="Q806" s="1014"/>
      <c r="R806" s="1014"/>
      <c r="T806" s="1014"/>
      <c r="U806" s="1014"/>
      <c r="V806" s="1017" t="s">
        <v>337</v>
      </c>
      <c r="W806" s="1014"/>
      <c r="X806" s="1014"/>
      <c r="Y806" s="1014"/>
    </row>
    <row r="807" spans="5:26">
      <c r="E807" s="972"/>
      <c r="F807" s="972"/>
      <c r="G807" s="972"/>
      <c r="H807" s="981" t="s">
        <v>2718</v>
      </c>
      <c r="I807" s="972"/>
      <c r="J807" s="972"/>
      <c r="K807" s="982">
        <f>SUM(K803:K806)</f>
        <v>2946.0040000000004</v>
      </c>
      <c r="L807" s="972">
        <f>K807-2946</f>
        <v>4.0000000003601599E-3</v>
      </c>
      <c r="M807" s="1014"/>
      <c r="N807" s="1014"/>
      <c r="O807" s="1018" t="s">
        <v>2718</v>
      </c>
      <c r="P807" s="1014"/>
      <c r="Q807" s="1014"/>
      <c r="R807" s="1020">
        <f>SUM(R804:R806)</f>
        <v>3367</v>
      </c>
      <c r="S807" s="956">
        <f>R807-2219</f>
        <v>1148</v>
      </c>
      <c r="T807" s="1014"/>
      <c r="U807" s="1014"/>
      <c r="V807" s="1018" t="s">
        <v>2718</v>
      </c>
      <c r="W807" s="1014"/>
      <c r="X807" s="1014"/>
      <c r="Y807" s="1020">
        <f>SUM(Y804:Y806)</f>
        <v>4030</v>
      </c>
      <c r="Z807" s="956">
        <f>Y807-2219</f>
        <v>1811</v>
      </c>
    </row>
    <row r="808" spans="5:26">
      <c r="E808" s="972"/>
      <c r="F808" s="972"/>
      <c r="G808" s="972"/>
      <c r="H808" s="972"/>
      <c r="I808" s="972"/>
      <c r="J808" s="972"/>
      <c r="K808" s="972"/>
      <c r="L808" s="972"/>
      <c r="M808" s="1014"/>
      <c r="N808" s="1014"/>
      <c r="P808" s="1014"/>
      <c r="Q808" s="1014"/>
      <c r="R808" s="1020"/>
      <c r="T808" s="1014"/>
      <c r="U808" s="1014"/>
      <c r="W808" s="1014"/>
      <c r="X808" s="1014"/>
      <c r="Y808" s="1020"/>
    </row>
    <row r="809" spans="5:26">
      <c r="E809" s="972"/>
      <c r="F809" s="972"/>
      <c r="G809" s="972"/>
      <c r="H809" s="982" t="s">
        <v>4932</v>
      </c>
      <c r="I809" s="972"/>
      <c r="J809" s="972"/>
      <c r="K809" s="972"/>
      <c r="L809" s="972"/>
      <c r="M809" s="972"/>
    </row>
    <row r="810" spans="5:26" ht="63">
      <c r="E810" s="972"/>
      <c r="F810" s="972"/>
      <c r="G810" s="972"/>
      <c r="H810" s="1010" t="s">
        <v>4528</v>
      </c>
      <c r="I810" s="972"/>
      <c r="J810" s="972"/>
      <c r="K810" s="972"/>
      <c r="L810" s="972"/>
      <c r="M810" s="2006" t="s">
        <v>4933</v>
      </c>
      <c r="N810" s="2006"/>
      <c r="O810" s="2006"/>
      <c r="P810" s="2006"/>
      <c r="Q810" s="2006"/>
      <c r="R810" s="2006"/>
      <c r="T810" s="1014"/>
      <c r="U810" s="1014"/>
      <c r="V810" s="1020" t="s">
        <v>4844</v>
      </c>
      <c r="W810" s="1014"/>
      <c r="X810" s="1014"/>
      <c r="Y810" s="1014"/>
    </row>
    <row r="811" spans="5:26">
      <c r="E811" s="972"/>
      <c r="F811" s="972"/>
      <c r="G811" s="972"/>
      <c r="H811" s="972"/>
      <c r="I811" s="972"/>
      <c r="J811" s="972"/>
      <c r="K811" s="972"/>
      <c r="L811" s="972"/>
      <c r="M811" s="1025">
        <v>1</v>
      </c>
      <c r="N811" s="1025" t="s">
        <v>68</v>
      </c>
      <c r="O811" s="1025" t="s">
        <v>4934</v>
      </c>
      <c r="P811" s="1026">
        <v>7000</v>
      </c>
      <c r="Q811" s="1025" t="s">
        <v>4935</v>
      </c>
      <c r="R811" s="1025">
        <f>P811*M811</f>
        <v>7000</v>
      </c>
      <c r="T811" s="1014"/>
      <c r="U811" s="1014"/>
      <c r="V811" s="1020"/>
      <c r="W811" s="1014"/>
      <c r="X811" s="1014"/>
      <c r="Y811" s="1014"/>
    </row>
    <row r="812" spans="5:26">
      <c r="E812" s="972"/>
      <c r="F812" s="972">
        <v>1.5</v>
      </c>
      <c r="G812" s="972" t="s">
        <v>303</v>
      </c>
      <c r="H812" s="972" t="s">
        <v>4936</v>
      </c>
      <c r="I812" s="974">
        <v>209</v>
      </c>
      <c r="J812" s="972" t="s">
        <v>303</v>
      </c>
      <c r="K812" s="972">
        <f>F812*I812</f>
        <v>313.5</v>
      </c>
      <c r="L812" s="972"/>
      <c r="M812" s="1015">
        <v>2</v>
      </c>
      <c r="N812" s="1014" t="s">
        <v>1790</v>
      </c>
      <c r="O812" s="1014" t="s">
        <v>4919</v>
      </c>
      <c r="P812" s="1027">
        <f>I782</f>
        <v>35</v>
      </c>
      <c r="Q812" s="1014" t="s">
        <v>1790</v>
      </c>
      <c r="R812" s="1025">
        <f>P812*M812</f>
        <v>70</v>
      </c>
      <c r="T812" s="1014"/>
      <c r="U812" s="1014"/>
      <c r="V812" s="1020" t="s">
        <v>5786</v>
      </c>
      <c r="W812" s="1014"/>
      <c r="X812" s="1014"/>
      <c r="Y812" s="1014"/>
    </row>
    <row r="813" spans="5:26" ht="45">
      <c r="E813" s="972"/>
      <c r="F813" s="972">
        <v>2</v>
      </c>
      <c r="G813" s="972" t="s">
        <v>4937</v>
      </c>
      <c r="H813" s="972" t="s">
        <v>4938</v>
      </c>
      <c r="I813" s="972">
        <f>I782</f>
        <v>35</v>
      </c>
      <c r="J813" s="972" t="s">
        <v>4937</v>
      </c>
      <c r="K813" s="972">
        <f>F813*I813</f>
        <v>70</v>
      </c>
      <c r="L813" s="972"/>
      <c r="M813" s="1015">
        <v>1</v>
      </c>
      <c r="N813" s="1014" t="s">
        <v>68</v>
      </c>
      <c r="O813" s="1017" t="s">
        <v>4924</v>
      </c>
      <c r="P813" s="1015">
        <f>R822</f>
        <v>1690</v>
      </c>
      <c r="Q813" s="1014" t="s">
        <v>340</v>
      </c>
      <c r="R813" s="1025">
        <f>P813*M813</f>
        <v>1690</v>
      </c>
      <c r="T813" s="1014"/>
      <c r="U813" s="1014"/>
      <c r="V813" s="1020"/>
      <c r="W813" s="1014"/>
      <c r="X813" s="1014"/>
      <c r="Y813" s="1014"/>
    </row>
    <row r="814" spans="5:26" ht="30">
      <c r="E814" s="972"/>
      <c r="F814" s="972">
        <v>1</v>
      </c>
      <c r="G814" s="972" t="s">
        <v>68</v>
      </c>
      <c r="H814" s="972" t="s">
        <v>4939</v>
      </c>
      <c r="I814" s="972">
        <f>I783</f>
        <v>48.05</v>
      </c>
      <c r="J814" s="972" t="s">
        <v>68</v>
      </c>
      <c r="K814" s="972">
        <f>F814*I814</f>
        <v>48.05</v>
      </c>
      <c r="L814" s="972"/>
      <c r="M814" s="970"/>
      <c r="N814" s="970"/>
      <c r="O814" s="1017" t="s">
        <v>4925</v>
      </c>
      <c r="P814" s="2004" t="s">
        <v>287</v>
      </c>
      <c r="Q814" s="2004"/>
      <c r="R814" s="1015">
        <v>17.329999999999998</v>
      </c>
      <c r="T814" s="1014">
        <v>1</v>
      </c>
      <c r="U814" s="1014" t="s">
        <v>68</v>
      </c>
      <c r="V814" s="1017" t="s">
        <v>5787</v>
      </c>
      <c r="W814" s="1024">
        <v>11890</v>
      </c>
      <c r="X814" s="1014" t="s">
        <v>68</v>
      </c>
      <c r="Y814" s="1014">
        <f>T814*W814</f>
        <v>11890</v>
      </c>
    </row>
    <row r="815" spans="5:26">
      <c r="E815" s="972"/>
      <c r="F815" s="972">
        <v>1</v>
      </c>
      <c r="G815" s="972" t="s">
        <v>68</v>
      </c>
      <c r="H815" s="972" t="s">
        <v>4940</v>
      </c>
      <c r="I815" s="972">
        <f>I784</f>
        <v>31.283999999999999</v>
      </c>
      <c r="J815" s="972" t="s">
        <v>68</v>
      </c>
      <c r="K815" s="972">
        <f>F815*I815</f>
        <v>31.283999999999999</v>
      </c>
      <c r="L815" s="972"/>
      <c r="M815" s="1015"/>
      <c r="N815" s="1014"/>
      <c r="O815" s="1020" t="s">
        <v>3395</v>
      </c>
      <c r="P815" s="1028"/>
      <c r="Q815" s="1020"/>
      <c r="R815" s="1018">
        <f>SUM(R811:R814)</f>
        <v>8777.33</v>
      </c>
      <c r="S815" s="956">
        <f>R815-8625</f>
        <v>152.32999999999993</v>
      </c>
      <c r="T815" s="1014">
        <v>1</v>
      </c>
      <c r="U815" s="1014" t="s">
        <v>68</v>
      </c>
      <c r="V815" s="1017" t="s">
        <v>910</v>
      </c>
      <c r="W815" s="1024">
        <f>W805</f>
        <v>2174</v>
      </c>
      <c r="X815" s="1014" t="s">
        <v>68</v>
      </c>
      <c r="Y815" s="1014">
        <f>T815*W815</f>
        <v>2174</v>
      </c>
    </row>
    <row r="816" spans="5:26">
      <c r="E816" s="972"/>
      <c r="F816" s="972">
        <v>8</v>
      </c>
      <c r="G816" s="972" t="s">
        <v>303</v>
      </c>
      <c r="H816" s="972" t="s">
        <v>4923</v>
      </c>
      <c r="I816" s="972">
        <f>I785</f>
        <v>25.75</v>
      </c>
      <c r="J816" s="972" t="s">
        <v>3341</v>
      </c>
      <c r="K816" s="972">
        <f>F816*I816</f>
        <v>206</v>
      </c>
      <c r="L816" s="972"/>
      <c r="M816" s="1015"/>
      <c r="N816" s="1014"/>
      <c r="O816" s="1019" t="s">
        <v>4926</v>
      </c>
      <c r="P816" s="1014"/>
      <c r="Q816" s="1014"/>
      <c r="R816" s="1014"/>
      <c r="T816" s="1014"/>
      <c r="U816" s="1014"/>
      <c r="V816" s="1017" t="s">
        <v>337</v>
      </c>
      <c r="W816" s="1014"/>
      <c r="X816" s="1014"/>
      <c r="Y816" s="1014"/>
    </row>
    <row r="817" spans="5:25" ht="47.25">
      <c r="E817" s="972"/>
      <c r="F817" s="972"/>
      <c r="G817" s="972"/>
      <c r="H817" s="1010" t="s">
        <v>4924</v>
      </c>
      <c r="I817" s="972"/>
      <c r="J817" s="972"/>
      <c r="K817" s="972">
        <f>K796</f>
        <v>1690</v>
      </c>
      <c r="L817" s="972"/>
      <c r="M817" s="1015">
        <v>1</v>
      </c>
      <c r="N817" s="1014" t="s">
        <v>68</v>
      </c>
      <c r="O817" s="1014" t="s">
        <v>4868</v>
      </c>
      <c r="P817" s="1015">
        <f>P792</f>
        <v>898</v>
      </c>
      <c r="Q817" s="1014" t="s">
        <v>68</v>
      </c>
      <c r="R817" s="1014">
        <f>M817*P817</f>
        <v>898</v>
      </c>
      <c r="T817" s="1014"/>
      <c r="U817" s="1014"/>
      <c r="V817" s="1018" t="s">
        <v>2718</v>
      </c>
      <c r="W817" s="1014"/>
      <c r="X817" s="1014"/>
      <c r="Y817" s="1020">
        <f>SUM(Y814:Y816)</f>
        <v>14064</v>
      </c>
    </row>
    <row r="818" spans="5:25" ht="31.5">
      <c r="E818" s="972"/>
      <c r="F818" s="972"/>
      <c r="G818" s="972"/>
      <c r="H818" s="1010" t="s">
        <v>4925</v>
      </c>
      <c r="I818" s="972"/>
      <c r="J818" s="972" t="s">
        <v>287</v>
      </c>
      <c r="K818" s="972">
        <v>14.87</v>
      </c>
      <c r="L818" s="972"/>
      <c r="M818" s="1015">
        <v>1</v>
      </c>
      <c r="N818" s="1014" t="s">
        <v>68</v>
      </c>
      <c r="O818" s="1014" t="s">
        <v>4723</v>
      </c>
      <c r="P818" s="1015">
        <f>P793</f>
        <v>783</v>
      </c>
      <c r="Q818" s="1014" t="s">
        <v>68</v>
      </c>
      <c r="R818" s="1014">
        <f>M818*P818</f>
        <v>783</v>
      </c>
    </row>
    <row r="819" spans="5:25">
      <c r="E819" s="972"/>
      <c r="F819" s="972"/>
      <c r="G819" s="972"/>
      <c r="H819" s="981" t="s">
        <v>3609</v>
      </c>
      <c r="I819" s="972"/>
      <c r="J819" s="972"/>
      <c r="K819" s="982">
        <f>SUM(K812:K818)</f>
        <v>2373.7039999999997</v>
      </c>
      <c r="L819" s="972">
        <f>1625-K819</f>
        <v>-748.70399999999972</v>
      </c>
      <c r="M819" s="1015">
        <v>2</v>
      </c>
      <c r="N819" s="1014" t="s">
        <v>68</v>
      </c>
      <c r="O819" s="1014" t="s">
        <v>3392</v>
      </c>
      <c r="P819" s="1015">
        <f>P794</f>
        <v>778</v>
      </c>
      <c r="Q819" s="1014" t="s">
        <v>68</v>
      </c>
      <c r="R819" s="1014">
        <f>M819*P819</f>
        <v>1556</v>
      </c>
    </row>
    <row r="820" spans="5:25">
      <c r="E820" s="972"/>
      <c r="F820" s="972"/>
      <c r="G820" s="972"/>
      <c r="H820" s="972"/>
      <c r="I820" s="972"/>
      <c r="J820" s="972"/>
      <c r="K820" s="972"/>
      <c r="L820" s="972"/>
      <c r="M820" s="1015">
        <v>3</v>
      </c>
      <c r="N820" s="1014" t="s">
        <v>68</v>
      </c>
      <c r="O820" s="1014" t="s">
        <v>3352</v>
      </c>
      <c r="P820" s="1015">
        <f>P795</f>
        <v>611</v>
      </c>
      <c r="Q820" s="1014" t="s">
        <v>68</v>
      </c>
      <c r="R820" s="1014">
        <f>M820*P820</f>
        <v>1833</v>
      </c>
    </row>
    <row r="821" spans="5:25">
      <c r="E821" s="972"/>
      <c r="F821" s="972"/>
      <c r="G821" s="972"/>
      <c r="H821" s="972"/>
      <c r="I821" s="972"/>
      <c r="J821" s="972"/>
      <c r="K821" s="972"/>
      <c r="L821" s="972"/>
      <c r="M821" s="1014"/>
      <c r="N821" s="1014"/>
      <c r="O821" s="1015" t="s">
        <v>4857</v>
      </c>
      <c r="P821" s="1014"/>
      <c r="Q821" s="1014"/>
      <c r="R821" s="1019">
        <f>SUM(R817:R820)</f>
        <v>5070</v>
      </c>
    </row>
    <row r="822" spans="5:25">
      <c r="E822" s="972"/>
      <c r="F822" s="972"/>
      <c r="G822" s="972"/>
      <c r="H822" s="972"/>
      <c r="I822" s="972"/>
      <c r="J822" s="972"/>
      <c r="K822" s="972"/>
      <c r="L822" s="972"/>
      <c r="M822" s="1014"/>
      <c r="N822" s="1014"/>
      <c r="O822" s="1018" t="s">
        <v>3395</v>
      </c>
      <c r="P822" s="1014"/>
      <c r="Q822" s="1014"/>
      <c r="R822" s="1020">
        <f>R821/3</f>
        <v>1690</v>
      </c>
    </row>
    <row r="823" spans="5:25">
      <c r="E823" s="972"/>
      <c r="F823" s="972"/>
      <c r="G823" s="972"/>
      <c r="H823" s="972"/>
      <c r="I823" s="972"/>
      <c r="J823" s="972"/>
      <c r="K823" s="972"/>
      <c r="L823" s="972"/>
      <c r="M823" s="972"/>
    </row>
    <row r="824" spans="5:25">
      <c r="E824" s="972"/>
      <c r="F824" s="972"/>
      <c r="G824" s="972"/>
      <c r="H824" s="1013" t="s">
        <v>4914</v>
      </c>
      <c r="I824" s="972"/>
      <c r="J824" s="972"/>
      <c r="K824" s="972"/>
      <c r="L824" s="972"/>
      <c r="M824" s="972"/>
    </row>
    <row r="825" spans="5:25">
      <c r="E825" s="972"/>
      <c r="F825" s="972"/>
      <c r="G825" s="972"/>
      <c r="H825" s="972"/>
      <c r="I825" s="972"/>
      <c r="J825" s="972"/>
      <c r="K825" s="972"/>
      <c r="L825" s="972"/>
      <c r="M825" s="972"/>
    </row>
    <row r="826" spans="5:25">
      <c r="E826" s="972"/>
      <c r="F826" s="972"/>
      <c r="G826" s="972"/>
      <c r="H826" s="1013" t="s">
        <v>4941</v>
      </c>
      <c r="I826" s="972"/>
      <c r="J826" s="972"/>
      <c r="K826" s="972"/>
      <c r="L826" s="972"/>
      <c r="M826" s="972"/>
    </row>
    <row r="827" spans="5:25">
      <c r="E827" s="972"/>
      <c r="F827" s="972"/>
      <c r="G827" s="972"/>
      <c r="H827" s="972"/>
      <c r="I827" s="972"/>
      <c r="J827" s="972"/>
      <c r="K827" s="972"/>
      <c r="L827" s="972"/>
      <c r="M827" s="972"/>
    </row>
    <row r="828" spans="5:25" ht="315" customHeight="1">
      <c r="E828" s="972"/>
      <c r="F828" s="972"/>
      <c r="G828" s="972"/>
      <c r="H828" s="1010" t="s">
        <v>4942</v>
      </c>
      <c r="I828" s="972"/>
      <c r="J828" s="972"/>
      <c r="K828" s="972"/>
      <c r="L828" s="972"/>
      <c r="M828" s="2003" t="s">
        <v>4943</v>
      </c>
      <c r="N828" s="2003"/>
      <c r="O828" s="2003"/>
      <c r="P828" s="2003"/>
      <c r="Q828" s="2003"/>
      <c r="R828" s="2003"/>
    </row>
    <row r="829" spans="5:25">
      <c r="E829" s="972"/>
      <c r="F829" s="972"/>
      <c r="G829" s="972"/>
      <c r="H829" s="972"/>
      <c r="I829" s="972"/>
      <c r="J829" s="972"/>
      <c r="K829" s="972"/>
      <c r="L829" s="972"/>
      <c r="M829" s="1014"/>
      <c r="N829" s="1014"/>
      <c r="O829" s="1014"/>
      <c r="P829" s="1014"/>
      <c r="Q829" s="1014"/>
      <c r="R829" s="1014"/>
    </row>
    <row r="830" spans="5:25">
      <c r="E830" s="972"/>
      <c r="F830" s="972"/>
      <c r="G830" s="972"/>
      <c r="H830" s="982" t="s">
        <v>4944</v>
      </c>
      <c r="I830" s="972"/>
      <c r="K830" s="972"/>
      <c r="L830" s="972"/>
      <c r="M830" s="1015">
        <v>1</v>
      </c>
      <c r="N830" s="1014" t="s">
        <v>345</v>
      </c>
      <c r="O830" s="1014" t="s">
        <v>4945</v>
      </c>
      <c r="P830" s="1029">
        <v>5310</v>
      </c>
      <c r="Q830" s="1014" t="s">
        <v>345</v>
      </c>
      <c r="R830" s="1015">
        <f>P830*M830</f>
        <v>5310</v>
      </c>
    </row>
    <row r="831" spans="5:25" ht="47.25">
      <c r="E831" s="972"/>
      <c r="F831" s="972">
        <v>1</v>
      </c>
      <c r="G831" s="972" t="s">
        <v>68</v>
      </c>
      <c r="H831" s="971" t="s">
        <v>4946</v>
      </c>
      <c r="I831" s="990">
        <f>I545</f>
        <v>348</v>
      </c>
      <c r="J831" s="972" t="s">
        <v>68</v>
      </c>
      <c r="K831" s="972">
        <f>F831*I831</f>
        <v>348</v>
      </c>
      <c r="L831" s="972"/>
      <c r="M831" s="1030">
        <v>1</v>
      </c>
      <c r="N831" s="1031" t="s">
        <v>345</v>
      </c>
      <c r="O831" s="1031" t="s">
        <v>4947</v>
      </c>
      <c r="P831" s="1032">
        <v>1287</v>
      </c>
      <c r="Q831" s="1031" t="s">
        <v>345</v>
      </c>
      <c r="R831" s="1030">
        <f>M831*P831</f>
        <v>1287</v>
      </c>
    </row>
    <row r="832" spans="5:25">
      <c r="E832" s="972"/>
      <c r="F832" s="972">
        <v>1</v>
      </c>
      <c r="G832" s="972" t="s">
        <v>68</v>
      </c>
      <c r="H832" s="972" t="s">
        <v>4948</v>
      </c>
      <c r="I832" s="972">
        <f>K846</f>
        <v>281.55600000000004</v>
      </c>
      <c r="J832" s="972" t="s">
        <v>68</v>
      </c>
      <c r="K832" s="972">
        <f t="shared" ref="K832:K842" si="17">F832*I832</f>
        <v>281.55600000000004</v>
      </c>
      <c r="L832" s="972"/>
      <c r="M832" s="1030">
        <v>3</v>
      </c>
      <c r="N832" s="1031" t="s">
        <v>345</v>
      </c>
      <c r="O832" s="1031" t="s">
        <v>4949</v>
      </c>
      <c r="P832" s="1032">
        <v>1591</v>
      </c>
      <c r="Q832" s="1031" t="s">
        <v>345</v>
      </c>
      <c r="R832" s="1030">
        <f>M832*P832</f>
        <v>4773</v>
      </c>
    </row>
    <row r="833" spans="4:18">
      <c r="E833" s="972"/>
      <c r="F833" s="972">
        <v>1</v>
      </c>
      <c r="G833" s="972" t="s">
        <v>68</v>
      </c>
      <c r="H833" s="972" t="s">
        <v>4950</v>
      </c>
      <c r="I833" s="990">
        <f>I584</f>
        <v>85.2</v>
      </c>
      <c r="J833" s="972" t="s">
        <v>68</v>
      </c>
      <c r="K833" s="972">
        <f t="shared" si="17"/>
        <v>85.2</v>
      </c>
      <c r="L833" s="972"/>
      <c r="M833" s="1030">
        <v>3</v>
      </c>
      <c r="N833" s="1031" t="s">
        <v>345</v>
      </c>
      <c r="O833" s="1031" t="s">
        <v>4951</v>
      </c>
      <c r="P833" s="1032">
        <v>581</v>
      </c>
      <c r="Q833" s="1031" t="s">
        <v>345</v>
      </c>
      <c r="R833" s="1030">
        <f>M833*P833</f>
        <v>1743</v>
      </c>
    </row>
    <row r="834" spans="4:18">
      <c r="E834" s="972"/>
      <c r="F834" s="972">
        <v>1</v>
      </c>
      <c r="G834" s="972" t="s">
        <v>68</v>
      </c>
      <c r="H834" s="972" t="s">
        <v>4952</v>
      </c>
      <c r="I834" s="972">
        <f>I647</f>
        <v>25</v>
      </c>
      <c r="J834" s="972" t="s">
        <v>68</v>
      </c>
      <c r="K834" s="972">
        <f t="shared" si="17"/>
        <v>25</v>
      </c>
      <c r="L834" s="972"/>
      <c r="M834" s="1015">
        <v>12</v>
      </c>
      <c r="N834" s="1031" t="s">
        <v>345</v>
      </c>
      <c r="O834" s="1017" t="s">
        <v>4953</v>
      </c>
      <c r="P834" s="1015">
        <v>127</v>
      </c>
      <c r="Q834" s="1031" t="s">
        <v>345</v>
      </c>
      <c r="R834" s="1015">
        <f>M834*P834</f>
        <v>1524</v>
      </c>
    </row>
    <row r="835" spans="4:18">
      <c r="E835" s="972"/>
      <c r="F835" s="972">
        <v>5</v>
      </c>
      <c r="G835" s="972" t="s">
        <v>303</v>
      </c>
      <c r="H835" s="972" t="s">
        <v>4954</v>
      </c>
      <c r="I835" s="974">
        <f>I781</f>
        <v>98.6</v>
      </c>
      <c r="J835" s="972" t="s">
        <v>303</v>
      </c>
      <c r="K835" s="972">
        <f t="shared" si="17"/>
        <v>493</v>
      </c>
      <c r="L835" s="972"/>
      <c r="M835" s="1015"/>
      <c r="N835" s="1014" t="s">
        <v>287</v>
      </c>
      <c r="O835" s="1017" t="s">
        <v>4955</v>
      </c>
      <c r="P835" s="1015"/>
      <c r="Q835" s="1014" t="s">
        <v>287</v>
      </c>
      <c r="R835" s="1029">
        <v>60.8</v>
      </c>
    </row>
    <row r="836" spans="4:18" ht="31.5">
      <c r="E836" s="972"/>
      <c r="F836" s="972">
        <v>20</v>
      </c>
      <c r="G836" s="972" t="s">
        <v>303</v>
      </c>
      <c r="H836" s="1010" t="s">
        <v>4956</v>
      </c>
      <c r="I836" s="972">
        <f>I267</f>
        <v>40.950000000000003</v>
      </c>
      <c r="J836" s="972" t="s">
        <v>303</v>
      </c>
      <c r="K836" s="972">
        <f t="shared" si="17"/>
        <v>819</v>
      </c>
      <c r="L836" s="972"/>
      <c r="M836" s="1015"/>
      <c r="N836" s="1014" t="s">
        <v>287</v>
      </c>
      <c r="O836" s="1017" t="s">
        <v>4957</v>
      </c>
      <c r="P836" s="2004" t="s">
        <v>287</v>
      </c>
      <c r="Q836" s="2004"/>
      <c r="R836" s="1027"/>
    </row>
    <row r="837" spans="4:18">
      <c r="E837" s="972"/>
      <c r="F837" s="972"/>
      <c r="G837" s="972"/>
      <c r="H837" s="982" t="s">
        <v>4958</v>
      </c>
      <c r="I837" s="972"/>
      <c r="J837" s="972"/>
      <c r="K837" s="972"/>
      <c r="L837" s="972"/>
      <c r="M837" s="1015"/>
      <c r="N837" s="1014"/>
      <c r="P837" s="1014"/>
      <c r="Q837" s="1014"/>
      <c r="R837" s="1018">
        <f>SUM(R830:R836)</f>
        <v>14697.8</v>
      </c>
    </row>
    <row r="838" spans="4:18" ht="47.25">
      <c r="E838" s="972"/>
      <c r="F838" s="972">
        <v>1</v>
      </c>
      <c r="G838" s="972" t="s">
        <v>68</v>
      </c>
      <c r="H838" s="1010" t="s">
        <v>4959</v>
      </c>
      <c r="I838" s="972">
        <f>I831</f>
        <v>348</v>
      </c>
      <c r="J838" s="972" t="s">
        <v>68</v>
      </c>
      <c r="K838" s="972">
        <f t="shared" si="17"/>
        <v>348</v>
      </c>
      <c r="L838" s="972"/>
      <c r="M838" s="1015"/>
      <c r="N838" s="1014"/>
      <c r="O838" s="1031" t="s">
        <v>4599</v>
      </c>
      <c r="P838" s="1031"/>
      <c r="Q838" s="1031"/>
      <c r="R838" s="1030">
        <f>R837*1%</f>
        <v>146.97800000000001</v>
      </c>
    </row>
    <row r="839" spans="4:18">
      <c r="E839" s="972"/>
      <c r="F839" s="972">
        <v>1</v>
      </c>
      <c r="G839" s="972" t="s">
        <v>68</v>
      </c>
      <c r="H839" s="972" t="s">
        <v>4960</v>
      </c>
      <c r="I839" s="975">
        <v>775</v>
      </c>
      <c r="J839" s="972" t="s">
        <v>68</v>
      </c>
      <c r="K839" s="972">
        <f t="shared" si="17"/>
        <v>775</v>
      </c>
      <c r="L839" s="972"/>
      <c r="M839" s="972"/>
      <c r="O839" s="1033" t="s">
        <v>4961</v>
      </c>
      <c r="R839" s="1034">
        <v>1898</v>
      </c>
    </row>
    <row r="840" spans="4:18">
      <c r="E840" s="972"/>
      <c r="F840" s="972">
        <v>1</v>
      </c>
      <c r="G840" s="972" t="s">
        <v>68</v>
      </c>
      <c r="H840" s="972" t="s">
        <v>4962</v>
      </c>
      <c r="I840" s="1035">
        <v>93.5</v>
      </c>
      <c r="J840" s="972" t="s">
        <v>68</v>
      </c>
      <c r="K840" s="972">
        <f t="shared" si="17"/>
        <v>93.5</v>
      </c>
      <c r="L840" s="972"/>
      <c r="M840" s="972"/>
      <c r="O840" s="1018" t="s">
        <v>3609</v>
      </c>
      <c r="R840" s="956">
        <f>R839+R838+R837</f>
        <v>16742.777999999998</v>
      </c>
    </row>
    <row r="841" spans="4:18">
      <c r="E841" s="972"/>
      <c r="F841" s="972">
        <v>1</v>
      </c>
      <c r="G841" s="972" t="s">
        <v>68</v>
      </c>
      <c r="H841" s="972" t="s">
        <v>4963</v>
      </c>
      <c r="I841" s="1035">
        <v>89.6</v>
      </c>
      <c r="J841" s="972" t="s">
        <v>68</v>
      </c>
      <c r="K841" s="972">
        <f t="shared" si="17"/>
        <v>89.6</v>
      </c>
      <c r="L841" s="972"/>
      <c r="M841" s="972"/>
      <c r="O841" s="1018" t="s">
        <v>9</v>
      </c>
      <c r="R841" s="963">
        <v>16417</v>
      </c>
    </row>
    <row r="842" spans="4:18">
      <c r="E842" s="972"/>
      <c r="F842" s="972">
        <v>1</v>
      </c>
      <c r="G842" s="972" t="s">
        <v>68</v>
      </c>
      <c r="H842" s="972" t="s">
        <v>4948</v>
      </c>
      <c r="I842" s="972">
        <f>K846</f>
        <v>281.55600000000004</v>
      </c>
      <c r="J842" s="972" t="s">
        <v>68</v>
      </c>
      <c r="K842" s="972">
        <f t="shared" si="17"/>
        <v>281.55600000000004</v>
      </c>
      <c r="L842" s="972"/>
      <c r="M842" s="972"/>
    </row>
    <row r="843" spans="4:18">
      <c r="E843" s="972"/>
      <c r="F843" s="972"/>
      <c r="G843" s="972"/>
      <c r="H843" s="972" t="s">
        <v>4964</v>
      </c>
      <c r="I843" s="972"/>
      <c r="J843" s="972"/>
      <c r="K843" s="972">
        <f>K796</f>
        <v>1690</v>
      </c>
      <c r="L843" s="972"/>
      <c r="M843" s="972"/>
    </row>
    <row r="844" spans="4:18" ht="31.5">
      <c r="D844" s="1036">
        <f>0.6*0.225*0.02</f>
        <v>2.7000000000000001E-3</v>
      </c>
      <c r="E844" s="972"/>
      <c r="F844" s="972"/>
      <c r="G844" s="972"/>
      <c r="H844" s="1010" t="s">
        <v>4965</v>
      </c>
      <c r="I844" s="972"/>
      <c r="J844" s="972"/>
      <c r="K844" s="972">
        <v>10.49</v>
      </c>
      <c r="L844" s="972"/>
      <c r="M844" s="972"/>
    </row>
    <row r="845" spans="4:18">
      <c r="E845" s="972"/>
      <c r="F845" s="972"/>
      <c r="G845" s="972"/>
      <c r="H845" s="979" t="s">
        <v>2718</v>
      </c>
      <c r="I845" s="972"/>
      <c r="J845" s="972"/>
      <c r="K845" s="982">
        <f>SUM(K831:K844)</f>
        <v>5339.902</v>
      </c>
      <c r="L845" s="972"/>
      <c r="M845" s="1015">
        <v>1</v>
      </c>
      <c r="N845" s="1014" t="s">
        <v>345</v>
      </c>
      <c r="O845" s="1014" t="s">
        <v>4945</v>
      </c>
      <c r="P845" s="1029">
        <v>5310</v>
      </c>
      <c r="Q845" s="1014" t="s">
        <v>345</v>
      </c>
      <c r="R845" s="1015">
        <f>P845*M845</f>
        <v>5310</v>
      </c>
    </row>
    <row r="846" spans="4:18">
      <c r="E846" s="972"/>
      <c r="F846" s="972"/>
      <c r="G846" s="972"/>
      <c r="H846" s="982" t="s">
        <v>4966</v>
      </c>
      <c r="I846" s="972">
        <f>I797</f>
        <v>104280</v>
      </c>
      <c r="J846" s="989">
        <v>2.7000000000000001E-3</v>
      </c>
      <c r="K846" s="982">
        <f>I846*J846</f>
        <v>281.55600000000004</v>
      </c>
      <c r="L846" s="972"/>
      <c r="M846" s="1030">
        <v>1</v>
      </c>
      <c r="N846" s="1031" t="s">
        <v>345</v>
      </c>
      <c r="O846" s="1031" t="s">
        <v>5788</v>
      </c>
      <c r="P846" s="1032">
        <v>6920</v>
      </c>
      <c r="Q846" s="1031" t="s">
        <v>345</v>
      </c>
      <c r="R846" s="1015">
        <f>P846*M846</f>
        <v>6920</v>
      </c>
    </row>
    <row r="847" spans="4:18">
      <c r="E847" s="972"/>
      <c r="F847" s="972"/>
      <c r="G847" s="972"/>
      <c r="H847" s="982" t="s">
        <v>4967</v>
      </c>
      <c r="I847" s="972"/>
      <c r="J847" s="972"/>
      <c r="K847" s="972"/>
      <c r="L847" s="972"/>
      <c r="M847" s="1030">
        <v>3</v>
      </c>
      <c r="N847" s="1031" t="s">
        <v>345</v>
      </c>
      <c r="O847" s="1031" t="s">
        <v>5789</v>
      </c>
      <c r="P847" s="1032">
        <v>496</v>
      </c>
      <c r="Q847" s="1031" t="s">
        <v>345</v>
      </c>
      <c r="R847" s="1015">
        <f>P847*M847</f>
        <v>1488</v>
      </c>
    </row>
    <row r="848" spans="4:18">
      <c r="E848" s="972"/>
      <c r="F848" s="972"/>
      <c r="G848" s="972"/>
      <c r="H848" s="982"/>
      <c r="I848" s="972"/>
      <c r="J848" s="972"/>
      <c r="K848" s="972"/>
      <c r="L848" s="972"/>
      <c r="M848" s="1030">
        <v>3</v>
      </c>
      <c r="N848" s="1031" t="s">
        <v>345</v>
      </c>
      <c r="O848" s="1031" t="s">
        <v>4951</v>
      </c>
      <c r="P848" s="1032">
        <v>1591</v>
      </c>
      <c r="Q848" s="1031" t="s">
        <v>345</v>
      </c>
      <c r="R848" s="1015">
        <f>P848*M848</f>
        <v>4773</v>
      </c>
    </row>
    <row r="849" spans="5:18" ht="31.5">
      <c r="E849" s="972"/>
      <c r="F849" s="972"/>
      <c r="G849" s="972"/>
      <c r="H849" s="969" t="s">
        <v>2359</v>
      </c>
      <c r="I849" s="972"/>
      <c r="J849" s="972"/>
      <c r="K849" s="972"/>
      <c r="L849" s="972"/>
      <c r="M849" s="1015">
        <v>12</v>
      </c>
      <c r="N849" s="1031" t="s">
        <v>345</v>
      </c>
      <c r="O849" s="1017" t="s">
        <v>4953</v>
      </c>
      <c r="P849" s="1015">
        <v>127</v>
      </c>
      <c r="Q849" s="1031" t="s">
        <v>345</v>
      </c>
      <c r="R849" s="1015">
        <f>P849*M849</f>
        <v>1524</v>
      </c>
    </row>
    <row r="850" spans="5:18">
      <c r="E850" s="972"/>
      <c r="F850" s="972"/>
      <c r="G850" s="972"/>
      <c r="H850" s="972" t="s">
        <v>2332</v>
      </c>
      <c r="I850" s="972"/>
      <c r="J850" s="972"/>
      <c r="K850" s="972"/>
      <c r="L850" s="972"/>
      <c r="M850" s="1015"/>
      <c r="N850" s="1014" t="s">
        <v>287</v>
      </c>
      <c r="O850" s="1017" t="s">
        <v>4955</v>
      </c>
      <c r="P850" s="1015"/>
      <c r="Q850" s="1014" t="s">
        <v>287</v>
      </c>
      <c r="R850" s="1015">
        <f>R836</f>
        <v>0</v>
      </c>
    </row>
    <row r="851" spans="5:18" ht="31.5">
      <c r="E851" s="972"/>
      <c r="F851" s="972">
        <v>90</v>
      </c>
      <c r="G851" s="972" t="s">
        <v>2360</v>
      </c>
      <c r="H851" s="971" t="s">
        <v>4593</v>
      </c>
      <c r="I851" s="990">
        <f>I165</f>
        <v>20</v>
      </c>
      <c r="J851" s="972" t="s">
        <v>2360</v>
      </c>
      <c r="K851" s="972">
        <f>F851*I851</f>
        <v>1800</v>
      </c>
      <c r="L851" s="972"/>
      <c r="M851" s="1015"/>
      <c r="N851" s="1014" t="s">
        <v>287</v>
      </c>
      <c r="O851" s="1017" t="s">
        <v>4957</v>
      </c>
      <c r="P851" s="2004" t="s">
        <v>287</v>
      </c>
      <c r="Q851" s="2004"/>
      <c r="R851" s="1015">
        <f>R837</f>
        <v>14697.8</v>
      </c>
    </row>
    <row r="852" spans="5:18">
      <c r="E852" s="972"/>
      <c r="F852" s="972">
        <v>0.15</v>
      </c>
      <c r="G852" s="972" t="s">
        <v>277</v>
      </c>
      <c r="H852" s="972" t="s">
        <v>252</v>
      </c>
      <c r="I852" s="990">
        <f>[5]Data!Z31</f>
        <v>6040</v>
      </c>
      <c r="J852" s="972" t="s">
        <v>277</v>
      </c>
      <c r="K852" s="972">
        <f>F852*I852</f>
        <v>906</v>
      </c>
      <c r="L852" s="972"/>
      <c r="M852" s="1015"/>
      <c r="N852" s="1014"/>
      <c r="P852" s="1014"/>
      <c r="Q852" s="1014"/>
      <c r="R852" s="1018">
        <f>SUM(R845:R851)</f>
        <v>34712.800000000003</v>
      </c>
    </row>
    <row r="853" spans="5:18">
      <c r="E853" s="972"/>
      <c r="F853" s="972">
        <v>1</v>
      </c>
      <c r="G853" s="972" t="s">
        <v>4</v>
      </c>
      <c r="H853" s="972" t="s">
        <v>2362</v>
      </c>
      <c r="I853" s="972">
        <f>I792</f>
        <v>783</v>
      </c>
      <c r="J853" s="972" t="s">
        <v>4</v>
      </c>
      <c r="K853" s="972">
        <f>F853*I853</f>
        <v>783</v>
      </c>
      <c r="L853" s="972"/>
      <c r="M853" s="1015"/>
      <c r="N853" s="1014"/>
      <c r="O853" s="1031" t="s">
        <v>4599</v>
      </c>
      <c r="P853" s="1031"/>
      <c r="Q853" s="1031"/>
      <c r="R853" s="1030">
        <f>R852*1%</f>
        <v>347.12800000000004</v>
      </c>
    </row>
    <row r="854" spans="5:18">
      <c r="E854" s="972"/>
      <c r="F854" s="972">
        <v>2</v>
      </c>
      <c r="G854" s="972" t="s">
        <v>4</v>
      </c>
      <c r="H854" s="972" t="s">
        <v>234</v>
      </c>
      <c r="I854" s="990">
        <f>I40</f>
        <v>884</v>
      </c>
      <c r="J854" s="972" t="s">
        <v>4</v>
      </c>
      <c r="K854" s="972">
        <f>F854*I854</f>
        <v>1768</v>
      </c>
      <c r="L854" s="972"/>
      <c r="M854" s="972"/>
      <c r="O854" s="1033" t="s">
        <v>4961</v>
      </c>
      <c r="R854" s="1034">
        <v>1898</v>
      </c>
    </row>
    <row r="855" spans="5:18">
      <c r="E855" s="972"/>
      <c r="F855" s="972">
        <v>4</v>
      </c>
      <c r="G855" s="972" t="s">
        <v>4</v>
      </c>
      <c r="H855" s="972" t="s">
        <v>2371</v>
      </c>
      <c r="I855" s="972">
        <f>I759</f>
        <v>611</v>
      </c>
      <c r="J855" s="972" t="s">
        <v>4</v>
      </c>
      <c r="K855" s="972">
        <f>F855*I855</f>
        <v>2444</v>
      </c>
      <c r="L855" s="972"/>
      <c r="M855" s="972"/>
      <c r="O855" s="1018" t="s">
        <v>3609</v>
      </c>
      <c r="R855" s="956">
        <f>R854+R853+R852</f>
        <v>36957.928</v>
      </c>
    </row>
    <row r="856" spans="5:18">
      <c r="E856" s="972"/>
      <c r="F856" s="972"/>
      <c r="G856" s="972"/>
      <c r="H856" s="971" t="s">
        <v>2363</v>
      </c>
      <c r="I856" s="972"/>
      <c r="J856" s="972"/>
      <c r="K856" s="972">
        <v>106</v>
      </c>
      <c r="L856" s="972"/>
      <c r="M856" s="972"/>
      <c r="O856" s="1018" t="s">
        <v>9</v>
      </c>
      <c r="R856" s="963">
        <v>37000</v>
      </c>
    </row>
    <row r="857" spans="5:18">
      <c r="E857" s="972"/>
      <c r="F857" s="972"/>
      <c r="G857" s="972"/>
      <c r="H857" s="979" t="s">
        <v>2364</v>
      </c>
      <c r="I857" s="972"/>
      <c r="J857" s="972"/>
      <c r="K857" s="972">
        <f>SUM(K851:K856)</f>
        <v>7807</v>
      </c>
      <c r="L857" s="972"/>
      <c r="M857" s="972">
        <f>K857-M858</f>
        <v>2083</v>
      </c>
    </row>
    <row r="858" spans="5:18">
      <c r="E858" s="972"/>
      <c r="F858" s="972"/>
      <c r="G858" s="972"/>
      <c r="H858" s="981" t="s">
        <v>2280</v>
      </c>
      <c r="I858" s="972"/>
      <c r="J858" s="972"/>
      <c r="K858" s="1037">
        <f>K857/90</f>
        <v>86.74444444444444</v>
      </c>
      <c r="L858" s="972">
        <f>80.7*90</f>
        <v>7263</v>
      </c>
      <c r="M858" s="972">
        <f>63.6*90</f>
        <v>5724</v>
      </c>
    </row>
    <row r="859" spans="5:18">
      <c r="E859" s="972"/>
      <c r="F859" s="972"/>
      <c r="G859" s="972"/>
      <c r="H859" s="972"/>
      <c r="I859" s="972"/>
      <c r="J859" s="972"/>
      <c r="K859" s="972"/>
      <c r="L859" s="972">
        <f>L858-K857</f>
        <v>-544</v>
      </c>
      <c r="M859" s="972"/>
    </row>
    <row r="860" spans="5:18">
      <c r="E860" s="972"/>
      <c r="F860" s="972"/>
      <c r="G860" s="972"/>
      <c r="H860" s="982" t="s">
        <v>4968</v>
      </c>
      <c r="I860" s="972"/>
      <c r="J860" s="972"/>
      <c r="K860" s="972"/>
      <c r="L860" s="972"/>
      <c r="M860" s="972"/>
    </row>
    <row r="861" spans="5:18" ht="45">
      <c r="E861" s="972"/>
      <c r="F861" s="972"/>
      <c r="G861" s="972"/>
      <c r="H861" s="972" t="s">
        <v>4969</v>
      </c>
      <c r="I861" s="972"/>
      <c r="J861" s="972"/>
      <c r="K861" s="972">
        <f>K858</f>
        <v>86.74444444444444</v>
      </c>
      <c r="L861" s="972"/>
      <c r="M861" s="990"/>
      <c r="N861" s="1903"/>
      <c r="O861" s="1017" t="s">
        <v>4943</v>
      </c>
      <c r="P861" s="1903"/>
      <c r="Q861" s="1903"/>
      <c r="R861" s="1903"/>
    </row>
    <row r="862" spans="5:18" ht="30">
      <c r="E862" s="972"/>
      <c r="F862" s="972">
        <v>1</v>
      </c>
      <c r="G862" s="972" t="s">
        <v>303</v>
      </c>
      <c r="H862" s="972" t="s">
        <v>4970</v>
      </c>
      <c r="I862" s="972">
        <f>I851</f>
        <v>20</v>
      </c>
      <c r="J862" s="972" t="s">
        <v>303</v>
      </c>
      <c r="K862" s="972">
        <f>F862*I862</f>
        <v>20</v>
      </c>
      <c r="L862" s="972"/>
      <c r="M862" s="1015">
        <v>1</v>
      </c>
      <c r="N862" s="1014" t="s">
        <v>345</v>
      </c>
      <c r="O862" s="1017" t="s">
        <v>4945</v>
      </c>
      <c r="P862" s="1015">
        <v>5310</v>
      </c>
      <c r="Q862" s="1014" t="s">
        <v>345</v>
      </c>
      <c r="R862" s="1015">
        <f>P862*M862</f>
        <v>5310</v>
      </c>
    </row>
    <row r="863" spans="5:18">
      <c r="E863" s="972"/>
      <c r="F863" s="972">
        <v>1</v>
      </c>
      <c r="G863" s="972" t="s">
        <v>303</v>
      </c>
      <c r="H863" s="972" t="s">
        <v>4971</v>
      </c>
      <c r="I863" s="972">
        <f>I282</f>
        <v>29.8</v>
      </c>
      <c r="J863" s="972" t="s">
        <v>303</v>
      </c>
      <c r="K863" s="972">
        <f>F863*I863</f>
        <v>29.8</v>
      </c>
      <c r="L863" s="972"/>
      <c r="M863" s="1030">
        <v>1</v>
      </c>
      <c r="N863" s="1031" t="s">
        <v>345</v>
      </c>
      <c r="O863" s="1031" t="s">
        <v>4947</v>
      </c>
      <c r="P863" s="1030">
        <v>1617</v>
      </c>
      <c r="Q863" s="1031" t="s">
        <v>345</v>
      </c>
      <c r="R863" s="1015">
        <f>P863*M863</f>
        <v>1617</v>
      </c>
    </row>
    <row r="864" spans="5:18">
      <c r="E864" s="972"/>
      <c r="F864" s="972"/>
      <c r="G864" s="972"/>
      <c r="H864" s="972"/>
      <c r="I864" s="972"/>
      <c r="J864" s="972"/>
      <c r="K864" s="982">
        <f>(K861-K862)+K863</f>
        <v>96.544444444444437</v>
      </c>
      <c r="L864" s="972"/>
      <c r="M864" s="1030">
        <v>3</v>
      </c>
      <c r="N864" s="1031" t="s">
        <v>345</v>
      </c>
      <c r="O864" s="1031" t="s">
        <v>5790</v>
      </c>
      <c r="P864" s="1030">
        <v>2157</v>
      </c>
      <c r="Q864" s="1031" t="s">
        <v>345</v>
      </c>
      <c r="R864" s="1015">
        <f>P864*M864</f>
        <v>6471</v>
      </c>
    </row>
    <row r="865" spans="5:18">
      <c r="E865" s="972"/>
      <c r="F865" s="972"/>
      <c r="G865" s="972"/>
      <c r="H865" s="982" t="s">
        <v>4972</v>
      </c>
      <c r="I865" s="972"/>
      <c r="J865" s="972"/>
      <c r="K865" s="972"/>
      <c r="L865" s="972"/>
      <c r="M865" s="1030">
        <v>3</v>
      </c>
      <c r="N865" s="1031" t="s">
        <v>345</v>
      </c>
      <c r="O865" s="1031" t="s">
        <v>5791</v>
      </c>
      <c r="P865" s="1030">
        <v>829</v>
      </c>
      <c r="Q865" s="1031" t="s">
        <v>345</v>
      </c>
      <c r="R865" s="1015">
        <f>P865*M865</f>
        <v>2487</v>
      </c>
    </row>
    <row r="866" spans="5:18">
      <c r="E866" s="972"/>
      <c r="F866" s="972"/>
      <c r="G866" s="972"/>
      <c r="H866" s="982"/>
      <c r="I866" s="972"/>
      <c r="J866" s="972"/>
      <c r="K866" s="972"/>
      <c r="L866" s="972"/>
      <c r="M866" s="1015">
        <v>12</v>
      </c>
      <c r="N866" s="1031" t="s">
        <v>345</v>
      </c>
      <c r="O866" s="1017" t="s">
        <v>4953</v>
      </c>
      <c r="P866" s="1015">
        <v>173</v>
      </c>
      <c r="Q866" s="1031" t="s">
        <v>345</v>
      </c>
      <c r="R866" s="1015">
        <f>P866*M866</f>
        <v>2076</v>
      </c>
    </row>
    <row r="867" spans="5:18">
      <c r="E867" s="972"/>
      <c r="F867" s="972"/>
      <c r="G867" s="972"/>
      <c r="H867" s="982" t="s">
        <v>4531</v>
      </c>
      <c r="I867" s="972"/>
      <c r="J867" s="972"/>
      <c r="K867" s="972"/>
      <c r="L867" s="972"/>
      <c r="M867" s="1015"/>
      <c r="N867" s="1014" t="s">
        <v>287</v>
      </c>
      <c r="O867" s="1017" t="s">
        <v>4955</v>
      </c>
      <c r="P867" s="1015"/>
      <c r="Q867" s="1014" t="s">
        <v>287</v>
      </c>
      <c r="R867" s="1904">
        <v>55.3</v>
      </c>
    </row>
    <row r="868" spans="5:18">
      <c r="E868" s="972"/>
      <c r="F868" s="972">
        <v>1</v>
      </c>
      <c r="G868" s="972" t="s">
        <v>68</v>
      </c>
      <c r="H868" s="972" t="s">
        <v>4973</v>
      </c>
      <c r="I868" s="974">
        <v>37.1</v>
      </c>
      <c r="J868" s="972" t="s">
        <v>68</v>
      </c>
      <c r="K868" s="972">
        <f>F868*I868</f>
        <v>37.1</v>
      </c>
      <c r="L868" s="972"/>
      <c r="M868" s="1015"/>
      <c r="N868" s="1014" t="s">
        <v>287</v>
      </c>
      <c r="O868" s="1017" t="s">
        <v>4957</v>
      </c>
      <c r="P868" s="2004" t="s">
        <v>287</v>
      </c>
      <c r="Q868" s="2004"/>
      <c r="R868" s="1015">
        <v>24</v>
      </c>
    </row>
    <row r="869" spans="5:18">
      <c r="E869" s="972"/>
      <c r="F869" s="976">
        <v>1.4999999999999999E-2</v>
      </c>
      <c r="G869" s="972" t="s">
        <v>306</v>
      </c>
      <c r="H869" s="1010" t="s">
        <v>4974</v>
      </c>
      <c r="I869" s="972">
        <f>I169</f>
        <v>661</v>
      </c>
      <c r="J869" s="972" t="s">
        <v>306</v>
      </c>
      <c r="K869" s="972">
        <f>F869*I869</f>
        <v>9.9149999999999991</v>
      </c>
      <c r="L869" s="972"/>
      <c r="M869" s="1015"/>
      <c r="N869" s="1014"/>
      <c r="O869" s="1903"/>
      <c r="P869" s="1014"/>
      <c r="Q869" s="1014"/>
      <c r="R869" s="1018">
        <f>SUM(R862:R868)</f>
        <v>18040.3</v>
      </c>
    </row>
    <row r="870" spans="5:18">
      <c r="E870" s="972"/>
      <c r="F870" s="972"/>
      <c r="G870" s="972"/>
      <c r="H870" s="972" t="s">
        <v>4975</v>
      </c>
      <c r="I870" s="972"/>
      <c r="J870" s="972" t="s">
        <v>287</v>
      </c>
      <c r="K870" s="972">
        <v>7.45</v>
      </c>
      <c r="L870" s="972"/>
      <c r="M870" s="1015"/>
      <c r="N870" s="1014"/>
      <c r="O870" s="1031" t="s">
        <v>4599</v>
      </c>
      <c r="P870" s="1031"/>
      <c r="Q870" s="1031"/>
      <c r="R870" s="1030">
        <f>R869*1%</f>
        <v>180.40299999999999</v>
      </c>
    </row>
    <row r="871" spans="5:18">
      <c r="E871" s="972"/>
      <c r="F871" s="972"/>
      <c r="G871" s="972"/>
      <c r="H871" s="981" t="s">
        <v>2718</v>
      </c>
      <c r="I871" s="972"/>
      <c r="J871" s="972"/>
      <c r="K871" s="982">
        <f>SUM(K868:K870)</f>
        <v>54.465000000000003</v>
      </c>
      <c r="L871" s="972">
        <f>K871-49</f>
        <v>5.4650000000000034</v>
      </c>
      <c r="M871" s="990"/>
      <c r="N871" s="1903"/>
      <c r="O871" s="1033" t="s">
        <v>5792</v>
      </c>
      <c r="P871" s="1903"/>
      <c r="Q871" s="1903"/>
      <c r="R871" s="1903">
        <v>2252</v>
      </c>
    </row>
    <row r="872" spans="5:18">
      <c r="E872" s="972"/>
      <c r="F872" s="972"/>
      <c r="G872" s="972"/>
      <c r="H872" s="972"/>
      <c r="I872" s="972"/>
      <c r="J872" s="972"/>
      <c r="K872" s="972"/>
      <c r="L872" s="972"/>
      <c r="M872" s="990"/>
      <c r="N872" s="1903"/>
      <c r="O872" s="1018" t="s">
        <v>3609</v>
      </c>
      <c r="P872" s="1903"/>
      <c r="Q872" s="1903"/>
      <c r="R872" s="1903">
        <f>SUM(R869:R871)</f>
        <v>20472.702999999998</v>
      </c>
    </row>
    <row r="873" spans="5:18">
      <c r="E873" s="972"/>
      <c r="F873" s="972"/>
      <c r="G873" s="972"/>
      <c r="H873" s="982" t="s">
        <v>4976</v>
      </c>
      <c r="I873" s="972"/>
      <c r="J873" s="972"/>
      <c r="K873" s="972"/>
      <c r="L873" s="972"/>
      <c r="M873" s="990"/>
      <c r="N873" s="1903"/>
      <c r="O873" s="1018" t="s">
        <v>9</v>
      </c>
      <c r="P873" s="1903"/>
      <c r="Q873" s="1903"/>
      <c r="R873" s="963">
        <v>20473</v>
      </c>
    </row>
    <row r="874" spans="5:18">
      <c r="E874" s="972"/>
      <c r="F874" s="972"/>
      <c r="G874" s="972"/>
      <c r="H874" s="972"/>
      <c r="I874" s="972"/>
      <c r="J874" s="972"/>
      <c r="K874" s="972"/>
      <c r="L874" s="972"/>
      <c r="M874" s="990"/>
      <c r="N874" s="1903"/>
      <c r="O874" s="1903"/>
      <c r="P874" s="1903"/>
      <c r="Q874" s="1903"/>
      <c r="R874" s="1903"/>
    </row>
    <row r="875" spans="5:18" ht="45.75">
      <c r="E875" s="972"/>
      <c r="F875" s="972"/>
      <c r="G875" s="972"/>
      <c r="H875" s="1010" t="s">
        <v>5793</v>
      </c>
      <c r="I875" s="972"/>
      <c r="J875" s="972"/>
      <c r="K875" s="972"/>
      <c r="L875" s="972"/>
      <c r="M875" s="972"/>
    </row>
    <row r="876" spans="5:18">
      <c r="E876" s="972"/>
      <c r="F876" s="972"/>
      <c r="G876" s="972"/>
      <c r="H876" s="972"/>
      <c r="I876" s="972"/>
      <c r="J876" s="972"/>
      <c r="K876" s="972"/>
      <c r="L876" s="972"/>
      <c r="M876" s="972"/>
    </row>
    <row r="877" spans="5:18">
      <c r="E877" s="972"/>
      <c r="F877" s="972">
        <v>1</v>
      </c>
      <c r="G877" s="972" t="s">
        <v>68</v>
      </c>
      <c r="H877" s="972" t="s">
        <v>4977</v>
      </c>
      <c r="I877" s="974">
        <v>13.8</v>
      </c>
      <c r="J877" s="972" t="s">
        <v>68</v>
      </c>
      <c r="K877" s="972">
        <f>F877*I877</f>
        <v>13.8</v>
      </c>
      <c r="L877" s="972"/>
      <c r="M877" s="972"/>
    </row>
    <row r="878" spans="5:18">
      <c r="E878" s="972"/>
      <c r="F878" s="972">
        <v>0.01</v>
      </c>
      <c r="G878" s="972" t="s">
        <v>4978</v>
      </c>
      <c r="H878" s="972" t="s">
        <v>4974</v>
      </c>
      <c r="I878" s="972">
        <f>I869</f>
        <v>661</v>
      </c>
      <c r="J878" s="972" t="s">
        <v>306</v>
      </c>
      <c r="K878" s="972">
        <f>F878*I878</f>
        <v>6.61</v>
      </c>
      <c r="L878" s="972"/>
      <c r="M878" s="972"/>
    </row>
    <row r="879" spans="5:18">
      <c r="E879" s="972"/>
      <c r="F879" s="972">
        <v>1</v>
      </c>
      <c r="G879" s="972" t="s">
        <v>68</v>
      </c>
      <c r="H879" s="972" t="s">
        <v>4979</v>
      </c>
      <c r="I879" s="977">
        <v>49.5</v>
      </c>
      <c r="J879" s="972" t="s">
        <v>68</v>
      </c>
      <c r="K879" s="972">
        <f>F879*I879</f>
        <v>49.5</v>
      </c>
      <c r="L879" s="972"/>
      <c r="M879" s="972"/>
    </row>
    <row r="880" spans="5:18">
      <c r="E880" s="972"/>
      <c r="F880" s="972"/>
      <c r="G880" s="972"/>
      <c r="H880" s="972" t="s">
        <v>4980</v>
      </c>
      <c r="I880" s="972" t="s">
        <v>287</v>
      </c>
      <c r="J880" s="972"/>
      <c r="K880" s="972">
        <v>7.1</v>
      </c>
      <c r="L880" s="972"/>
      <c r="M880" s="972"/>
    </row>
    <row r="881" spans="5:13">
      <c r="E881" s="972"/>
      <c r="F881" s="972"/>
      <c r="G881" s="972"/>
      <c r="H881" s="981" t="s">
        <v>4981</v>
      </c>
      <c r="I881" s="972"/>
      <c r="J881" s="972"/>
      <c r="K881" s="982">
        <f>SUM(K877:K880)</f>
        <v>77.009999999999991</v>
      </c>
      <c r="L881" s="972"/>
      <c r="M881" s="972">
        <f>K881-76.7</f>
        <v>0.30999999999998806</v>
      </c>
    </row>
    <row r="882" spans="5:13">
      <c r="E882" s="972"/>
      <c r="F882" s="972"/>
      <c r="G882" s="972"/>
      <c r="H882" s="972"/>
      <c r="I882" s="972"/>
      <c r="J882" s="972"/>
      <c r="K882" s="972"/>
      <c r="L882" s="972"/>
      <c r="M882" s="972"/>
    </row>
    <row r="883" spans="5:13">
      <c r="E883" s="972"/>
      <c r="F883" s="972"/>
      <c r="G883" s="972"/>
      <c r="H883" s="982" t="s">
        <v>4982</v>
      </c>
      <c r="I883" s="972"/>
      <c r="J883" s="972"/>
      <c r="K883" s="972"/>
      <c r="L883" s="972"/>
      <c r="M883" s="972"/>
    </row>
    <row r="884" spans="5:13">
      <c r="E884" s="972"/>
      <c r="F884" s="972"/>
      <c r="G884" s="972"/>
      <c r="H884" s="972"/>
      <c r="I884" s="972"/>
      <c r="J884" s="972"/>
      <c r="K884" s="972"/>
      <c r="L884" s="972"/>
      <c r="M884" s="972"/>
    </row>
    <row r="885" spans="5:13" ht="283.5">
      <c r="E885" s="972"/>
      <c r="F885" s="972"/>
      <c r="G885" s="972"/>
      <c r="H885" s="1038" t="s">
        <v>4983</v>
      </c>
      <c r="I885" s="972"/>
      <c r="J885" s="972"/>
      <c r="K885" s="972"/>
      <c r="L885" s="972"/>
      <c r="M885" s="972"/>
    </row>
    <row r="886" spans="5:13">
      <c r="E886" s="972"/>
      <c r="F886" s="972"/>
      <c r="G886" s="972"/>
      <c r="H886" s="972"/>
      <c r="I886" s="972"/>
      <c r="J886" s="972"/>
      <c r="K886" s="972"/>
      <c r="L886" s="972"/>
      <c r="M886" s="972"/>
    </row>
    <row r="887" spans="5:13">
      <c r="E887" s="972"/>
      <c r="F887" s="972">
        <v>6</v>
      </c>
      <c r="G887" s="972" t="s">
        <v>303</v>
      </c>
      <c r="H887" s="972" t="s">
        <v>4984</v>
      </c>
      <c r="I887" s="974">
        <v>244.4</v>
      </c>
      <c r="J887" s="972" t="s">
        <v>303</v>
      </c>
      <c r="K887" s="972">
        <f>F887*I887</f>
        <v>1466.4</v>
      </c>
      <c r="L887" s="972"/>
      <c r="M887" s="972"/>
    </row>
    <row r="888" spans="5:13">
      <c r="F888" s="972">
        <v>2</v>
      </c>
      <c r="G888" s="972" t="s">
        <v>303</v>
      </c>
      <c r="H888" s="972" t="str">
        <f>H835</f>
        <v>20 mm dia 'B' class GI pipe p- 50 it-142 iv</v>
      </c>
      <c r="I888" s="972">
        <f>I835</f>
        <v>98.6</v>
      </c>
      <c r="J888" s="972" t="s">
        <v>303</v>
      </c>
      <c r="K888" s="972">
        <f>F888*I888</f>
        <v>197.2</v>
      </c>
      <c r="L888" s="972"/>
      <c r="M888" s="972"/>
    </row>
    <row r="889" spans="5:13">
      <c r="F889" s="972">
        <v>1</v>
      </c>
      <c r="G889" s="972" t="s">
        <v>68</v>
      </c>
      <c r="H889" s="972" t="s">
        <v>4985</v>
      </c>
      <c r="I889" s="975">
        <v>225.4</v>
      </c>
      <c r="J889" s="972" t="s">
        <v>68</v>
      </c>
      <c r="K889" s="972">
        <f>F889*I889</f>
        <v>225.4</v>
      </c>
      <c r="L889" s="972"/>
      <c r="M889" s="972"/>
    </row>
    <row r="890" spans="5:13">
      <c r="F890" s="972">
        <v>1</v>
      </c>
      <c r="G890" s="972" t="s">
        <v>68</v>
      </c>
      <c r="H890" s="972" t="s">
        <v>4986</v>
      </c>
      <c r="I890" s="975">
        <v>115.1</v>
      </c>
      <c r="J890" s="972" t="s">
        <v>68</v>
      </c>
      <c r="K890" s="972">
        <f>F890*I890</f>
        <v>115.1</v>
      </c>
      <c r="L890" s="972"/>
      <c r="M890" s="972"/>
    </row>
    <row r="891" spans="5:13">
      <c r="F891" s="976">
        <v>0.23799999999999999</v>
      </c>
      <c r="G891" s="972" t="s">
        <v>313</v>
      </c>
      <c r="H891" s="972" t="s">
        <v>4987</v>
      </c>
      <c r="I891" s="977">
        <v>6400</v>
      </c>
      <c r="J891" s="972" t="s">
        <v>313</v>
      </c>
      <c r="K891" s="972">
        <f>F891*I891</f>
        <v>1523.1999999999998</v>
      </c>
      <c r="L891" s="972"/>
      <c r="M891" s="972"/>
    </row>
    <row r="892" spans="5:13" ht="31.5">
      <c r="F892" s="972"/>
      <c r="G892" s="972" t="s">
        <v>287</v>
      </c>
      <c r="H892" s="1010" t="s">
        <v>4988</v>
      </c>
      <c r="I892" s="972" t="s">
        <v>287</v>
      </c>
      <c r="J892" s="972"/>
      <c r="K892" s="972">
        <v>250</v>
      </c>
      <c r="L892" s="972"/>
      <c r="M892" s="972"/>
    </row>
    <row r="893" spans="5:13" ht="47.25">
      <c r="F893" s="972">
        <v>1</v>
      </c>
      <c r="G893" s="972" t="s">
        <v>68</v>
      </c>
      <c r="H893" s="971" t="s">
        <v>4989</v>
      </c>
      <c r="I893" s="972" t="s">
        <v>287</v>
      </c>
      <c r="J893" s="972"/>
      <c r="K893" s="972">
        <v>97.7</v>
      </c>
      <c r="L893" s="972"/>
      <c r="M893" s="972"/>
    </row>
    <row r="894" spans="5:13" ht="31.5">
      <c r="F894" s="972">
        <v>8</v>
      </c>
      <c r="G894" s="972" t="s">
        <v>303</v>
      </c>
      <c r="H894" s="1010" t="s">
        <v>4990</v>
      </c>
      <c r="I894" s="972">
        <f>I12</f>
        <v>16.55</v>
      </c>
      <c r="J894" s="972"/>
      <c r="K894" s="972">
        <f>F894*I894</f>
        <v>132.4</v>
      </c>
      <c r="L894" s="972"/>
      <c r="M894" s="972"/>
    </row>
    <row r="895" spans="5:13">
      <c r="F895" s="972"/>
      <c r="G895" s="972"/>
      <c r="H895" s="972" t="s">
        <v>910</v>
      </c>
      <c r="I895" s="972"/>
      <c r="J895" s="972"/>
      <c r="K895" s="972">
        <f>K902</f>
        <v>3169.5</v>
      </c>
      <c r="L895" s="972"/>
      <c r="M895" s="972"/>
    </row>
    <row r="896" spans="5:13">
      <c r="E896" s="972"/>
      <c r="F896" s="972"/>
      <c r="G896" s="972"/>
      <c r="H896" s="981" t="s">
        <v>2718</v>
      </c>
      <c r="I896" s="972"/>
      <c r="J896" s="972"/>
      <c r="K896" s="982">
        <f>SUM(K887:K895)+1.1</f>
        <v>7178</v>
      </c>
      <c r="L896" s="972"/>
      <c r="M896" s="972">
        <f>K896-5160</f>
        <v>2018</v>
      </c>
    </row>
    <row r="897" spans="5:13">
      <c r="E897" s="972"/>
      <c r="F897" s="972"/>
      <c r="G897" s="972"/>
      <c r="H897" s="972"/>
      <c r="I897" s="972"/>
      <c r="J897" s="972"/>
      <c r="K897" s="972"/>
      <c r="L897" s="972"/>
      <c r="M897" s="972"/>
    </row>
    <row r="898" spans="5:13">
      <c r="E898" s="972"/>
      <c r="F898" s="972"/>
      <c r="G898" s="972"/>
      <c r="H898" s="980" t="s">
        <v>2328</v>
      </c>
      <c r="I898" s="972"/>
      <c r="J898" s="972"/>
      <c r="K898" s="972"/>
      <c r="L898" s="972"/>
      <c r="M898" s="972"/>
    </row>
    <row r="899" spans="5:13">
      <c r="E899" s="972"/>
      <c r="F899" s="972">
        <v>0.5</v>
      </c>
      <c r="G899" s="972" t="s">
        <v>68</v>
      </c>
      <c r="H899" s="972" t="s">
        <v>4723</v>
      </c>
      <c r="I899" s="972">
        <f>I792</f>
        <v>783</v>
      </c>
      <c r="J899" s="972" t="s">
        <v>68</v>
      </c>
      <c r="K899" s="972">
        <f>F899*I899</f>
        <v>391.5</v>
      </c>
      <c r="L899" s="972"/>
      <c r="M899" s="972"/>
    </row>
    <row r="900" spans="5:13">
      <c r="E900" s="972"/>
      <c r="F900" s="972">
        <v>2</v>
      </c>
      <c r="G900" s="972" t="s">
        <v>68</v>
      </c>
      <c r="H900" s="972" t="s">
        <v>3392</v>
      </c>
      <c r="I900" s="972">
        <f>I793</f>
        <v>778</v>
      </c>
      <c r="J900" s="972" t="s">
        <v>68</v>
      </c>
      <c r="K900" s="972">
        <f>F900*I900</f>
        <v>1556</v>
      </c>
      <c r="L900" s="972"/>
      <c r="M900" s="972"/>
    </row>
    <row r="901" spans="5:13">
      <c r="E901" s="972"/>
      <c r="F901" s="972">
        <v>2</v>
      </c>
      <c r="G901" s="972" t="s">
        <v>68</v>
      </c>
      <c r="H901" s="972" t="s">
        <v>3352</v>
      </c>
      <c r="I901" s="972">
        <f>I794</f>
        <v>611</v>
      </c>
      <c r="J901" s="972" t="s">
        <v>68</v>
      </c>
      <c r="K901" s="972">
        <f>F901*I901</f>
        <v>1222</v>
      </c>
      <c r="L901" s="972"/>
      <c r="M901" s="972"/>
    </row>
    <row r="902" spans="5:13">
      <c r="E902" s="972"/>
      <c r="F902" s="972"/>
      <c r="G902" s="972"/>
      <c r="H902" s="972"/>
      <c r="I902" s="972"/>
      <c r="J902" s="972"/>
      <c r="K902" s="980">
        <f>SUM(K899:K901)</f>
        <v>3169.5</v>
      </c>
      <c r="L902" s="972"/>
      <c r="M902" s="972"/>
    </row>
    <row r="903" spans="5:13">
      <c r="E903" s="972"/>
      <c r="F903" s="972"/>
      <c r="G903" s="972"/>
      <c r="H903" s="972"/>
      <c r="I903" s="972"/>
      <c r="J903" s="972"/>
      <c r="K903" s="972"/>
      <c r="L903" s="972"/>
      <c r="M903" s="972"/>
    </row>
    <row r="904" spans="5:13">
      <c r="E904" s="972"/>
      <c r="F904" s="972"/>
      <c r="G904" s="972"/>
      <c r="H904" s="982" t="s">
        <v>4991</v>
      </c>
      <c r="I904" s="972"/>
      <c r="J904" s="972"/>
      <c r="K904" s="972"/>
      <c r="L904" s="972"/>
      <c r="M904" s="972"/>
    </row>
    <row r="905" spans="5:13">
      <c r="E905" s="972"/>
      <c r="F905" s="972"/>
      <c r="G905" s="972"/>
      <c r="H905" s="972"/>
      <c r="I905" s="972"/>
      <c r="J905" s="972"/>
      <c r="K905" s="972"/>
      <c r="L905" s="972"/>
      <c r="M905" s="972"/>
    </row>
    <row r="906" spans="5:13">
      <c r="E906" s="972"/>
      <c r="F906" s="972"/>
      <c r="G906" s="972"/>
      <c r="H906" s="982" t="s">
        <v>4992</v>
      </c>
      <c r="I906" s="972"/>
      <c r="J906" s="972"/>
      <c r="K906" s="972"/>
      <c r="L906" s="972"/>
      <c r="M906" s="972"/>
    </row>
    <row r="907" spans="5:13">
      <c r="E907" s="972"/>
      <c r="F907" s="972"/>
      <c r="G907" s="972"/>
      <c r="H907" s="972"/>
      <c r="I907" s="972"/>
      <c r="J907" s="972"/>
      <c r="K907" s="972"/>
      <c r="L907" s="972"/>
      <c r="M907" s="972"/>
    </row>
    <row r="908" spans="5:13">
      <c r="E908" s="972"/>
      <c r="F908" s="972">
        <v>1</v>
      </c>
      <c r="G908" s="972" t="s">
        <v>68</v>
      </c>
      <c r="H908" s="972" t="s">
        <v>4993</v>
      </c>
      <c r="I908" s="1012">
        <v>1447</v>
      </c>
      <c r="J908" s="972" t="s">
        <v>68</v>
      </c>
      <c r="K908" s="972">
        <f>F908*I908</f>
        <v>1447</v>
      </c>
      <c r="L908" s="972"/>
      <c r="M908" s="972"/>
    </row>
    <row r="909" spans="5:13">
      <c r="E909" s="972"/>
      <c r="F909" s="972"/>
      <c r="G909" s="972"/>
      <c r="H909" s="972" t="s">
        <v>4598</v>
      </c>
      <c r="I909" s="974">
        <v>337.6</v>
      </c>
      <c r="J909" s="972" t="s">
        <v>68</v>
      </c>
      <c r="K909" s="972">
        <f>I909</f>
        <v>337.6</v>
      </c>
      <c r="L909" s="972"/>
      <c r="M909" s="972"/>
    </row>
    <row r="910" spans="5:13" ht="31.5">
      <c r="E910" s="972"/>
      <c r="F910" s="972"/>
      <c r="G910" s="972"/>
      <c r="H910" s="971" t="s">
        <v>5794</v>
      </c>
      <c r="I910" s="972"/>
      <c r="J910" s="972"/>
      <c r="K910" s="977">
        <v>31.6</v>
      </c>
      <c r="L910" s="972"/>
      <c r="M910" s="972">
        <f>K908+K909+K910</f>
        <v>1816.1999999999998</v>
      </c>
    </row>
    <row r="911" spans="5:13">
      <c r="E911" s="972"/>
      <c r="F911" s="972"/>
      <c r="G911" s="972"/>
      <c r="H911" s="972" t="s">
        <v>4994</v>
      </c>
      <c r="I911" s="972"/>
      <c r="J911" s="990">
        <f>SUM(K908:K910)</f>
        <v>1816.1999999999998</v>
      </c>
      <c r="K911" s="972">
        <f>J911*1%+0.39</f>
        <v>18.552</v>
      </c>
      <c r="L911" s="972"/>
      <c r="M911" s="972"/>
    </row>
    <row r="912" spans="5:13">
      <c r="E912" s="972"/>
      <c r="F912" s="972"/>
      <c r="G912" s="972"/>
      <c r="H912" s="972" t="s">
        <v>4995</v>
      </c>
      <c r="I912" s="972"/>
      <c r="J912" s="972"/>
      <c r="K912" s="972">
        <f>K919</f>
        <v>501.25</v>
      </c>
      <c r="L912" s="972"/>
      <c r="M912" s="972"/>
    </row>
    <row r="913" spans="5:13">
      <c r="E913" s="972"/>
      <c r="F913" s="972"/>
      <c r="G913" s="972"/>
      <c r="H913" s="981" t="s">
        <v>4996</v>
      </c>
      <c r="I913" s="972"/>
      <c r="J913" s="972"/>
      <c r="K913" s="982">
        <f>SUM(K908:K912)</f>
        <v>2336.0019999999995</v>
      </c>
      <c r="L913" s="972">
        <f>K913-2336</f>
        <v>1.9999999994979589E-3</v>
      </c>
      <c r="M913" s="972">
        <f>1883-K913</f>
        <v>-453.0019999999995</v>
      </c>
    </row>
    <row r="914" spans="5:13">
      <c r="E914" s="972"/>
      <c r="F914" s="972"/>
      <c r="G914" s="972"/>
      <c r="H914" s="972"/>
      <c r="I914" s="972"/>
      <c r="J914" s="972"/>
      <c r="K914" s="972"/>
      <c r="L914" s="972"/>
      <c r="M914" s="972"/>
    </row>
    <row r="915" spans="5:13">
      <c r="E915" s="972"/>
      <c r="F915" s="972"/>
      <c r="G915" s="972"/>
      <c r="H915" s="980" t="s">
        <v>910</v>
      </c>
      <c r="I915" s="972"/>
      <c r="J915" s="972"/>
      <c r="K915" s="972"/>
      <c r="L915" s="972"/>
      <c r="M915" s="972"/>
    </row>
    <row r="916" spans="5:13">
      <c r="E916" s="972"/>
      <c r="F916" s="972">
        <v>1</v>
      </c>
      <c r="G916" s="972" t="s">
        <v>68</v>
      </c>
      <c r="H916" s="972" t="s">
        <v>4723</v>
      </c>
      <c r="I916" s="972">
        <f>I899</f>
        <v>783</v>
      </c>
      <c r="J916" s="972" t="s">
        <v>68</v>
      </c>
      <c r="K916" s="972">
        <f>F916*I916</f>
        <v>783</v>
      </c>
      <c r="L916" s="972"/>
      <c r="M916" s="972"/>
    </row>
    <row r="917" spans="5:13">
      <c r="E917" s="972"/>
      <c r="F917" s="972">
        <v>2</v>
      </c>
      <c r="G917" s="972" t="s">
        <v>68</v>
      </c>
      <c r="H917" s="972" t="s">
        <v>3352</v>
      </c>
      <c r="I917" s="972">
        <f>I901</f>
        <v>611</v>
      </c>
      <c r="J917" s="972" t="s">
        <v>68</v>
      </c>
      <c r="K917" s="972">
        <f>F917*I917</f>
        <v>1222</v>
      </c>
      <c r="L917" s="972"/>
      <c r="M917" s="972"/>
    </row>
    <row r="918" spans="5:13">
      <c r="E918" s="972"/>
      <c r="F918" s="972"/>
      <c r="G918" s="972"/>
      <c r="H918" s="979" t="s">
        <v>4997</v>
      </c>
      <c r="I918" s="972"/>
      <c r="J918" s="972"/>
      <c r="K918" s="980">
        <f>SUM(K916:K917)</f>
        <v>2005</v>
      </c>
      <c r="L918" s="972"/>
      <c r="M918" s="972"/>
    </row>
    <row r="919" spans="5:13">
      <c r="E919" s="972"/>
      <c r="F919" s="972"/>
      <c r="G919" s="972"/>
      <c r="H919" s="981" t="s">
        <v>3395</v>
      </c>
      <c r="I919" s="972"/>
      <c r="J919" s="972"/>
      <c r="K919" s="982">
        <f>K918/4</f>
        <v>501.25</v>
      </c>
      <c r="L919" s="972"/>
      <c r="M919" s="972"/>
    </row>
    <row r="920" spans="5:13">
      <c r="E920" s="972"/>
      <c r="F920" s="972"/>
      <c r="G920" s="972"/>
      <c r="H920" s="972"/>
      <c r="I920" s="972"/>
      <c r="J920" s="972"/>
      <c r="K920" s="972"/>
      <c r="L920" s="972"/>
      <c r="M920" s="972"/>
    </row>
    <row r="921" spans="5:13">
      <c r="E921" s="972"/>
      <c r="F921" s="972"/>
      <c r="G921" s="972"/>
      <c r="H921" s="972"/>
      <c r="I921" s="972"/>
      <c r="J921" s="972"/>
      <c r="K921" s="972"/>
      <c r="L921" s="972"/>
      <c r="M921" s="972"/>
    </row>
    <row r="922" spans="5:13">
      <c r="E922" s="972"/>
      <c r="F922" s="972"/>
      <c r="G922" s="972"/>
      <c r="H922" s="982" t="s">
        <v>4998</v>
      </c>
      <c r="I922" s="972"/>
      <c r="J922" s="972"/>
      <c r="K922" s="972"/>
      <c r="L922" s="972"/>
      <c r="M922" s="972"/>
    </row>
    <row r="923" spans="5:13">
      <c r="E923" s="972"/>
      <c r="F923" s="972"/>
      <c r="G923" s="972"/>
      <c r="H923" s="972"/>
      <c r="I923" s="972"/>
      <c r="J923" s="972"/>
      <c r="K923" s="972"/>
      <c r="L923" s="972"/>
      <c r="M923" s="972"/>
    </row>
    <row r="924" spans="5:13">
      <c r="E924" s="972"/>
      <c r="F924" s="972"/>
      <c r="G924" s="972"/>
      <c r="H924" s="982" t="s">
        <v>4999</v>
      </c>
      <c r="I924" s="972"/>
      <c r="J924" s="972"/>
      <c r="K924" s="972"/>
      <c r="L924" s="972"/>
      <c r="M924" s="972"/>
    </row>
    <row r="925" spans="5:13">
      <c r="E925" s="972"/>
      <c r="F925" s="972"/>
      <c r="G925" s="972"/>
      <c r="H925" s="972"/>
      <c r="I925" s="972"/>
      <c r="J925" s="972"/>
      <c r="K925" s="972"/>
      <c r="L925" s="972"/>
      <c r="M925" s="972"/>
    </row>
    <row r="926" spans="5:13">
      <c r="E926" s="972"/>
      <c r="F926" s="972"/>
      <c r="G926" s="972"/>
      <c r="H926" s="972" t="s">
        <v>5000</v>
      </c>
      <c r="I926" s="1012">
        <v>1265</v>
      </c>
      <c r="J926" s="972" t="s">
        <v>68</v>
      </c>
      <c r="K926" s="972">
        <f>I926</f>
        <v>1265</v>
      </c>
      <c r="L926" s="972"/>
      <c r="M926" s="972"/>
    </row>
    <row r="927" spans="5:13">
      <c r="E927" s="972"/>
      <c r="F927" s="972"/>
      <c r="G927" s="972"/>
      <c r="H927" s="972" t="s">
        <v>4598</v>
      </c>
      <c r="I927" s="972">
        <f>I909</f>
        <v>337.6</v>
      </c>
      <c r="J927" s="972" t="s">
        <v>68</v>
      </c>
      <c r="K927" s="972">
        <f>I927</f>
        <v>337.6</v>
      </c>
      <c r="L927" s="972"/>
      <c r="M927" s="972"/>
    </row>
    <row r="928" spans="5:13" ht="31.5">
      <c r="E928" s="972"/>
      <c r="F928" s="972"/>
      <c r="G928" s="972"/>
      <c r="H928" s="1010" t="str">
        <f>H910</f>
        <v>Clamp fixing by cheche screws bolts and nuts including connections ( as per SD-114, Elec Data 2022-23)</v>
      </c>
      <c r="I928" s="972"/>
      <c r="J928" s="972"/>
      <c r="K928" s="975">
        <f>K910</f>
        <v>31.6</v>
      </c>
      <c r="L928" s="972">
        <f>K926+K927+K928</f>
        <v>1634.1999999999998</v>
      </c>
      <c r="M928" s="972"/>
    </row>
    <row r="929" spans="5:13">
      <c r="E929" s="972"/>
      <c r="F929" s="972"/>
      <c r="G929" s="972"/>
      <c r="H929" s="972" t="s">
        <v>4994</v>
      </c>
      <c r="I929" s="972"/>
      <c r="J929" s="972"/>
      <c r="K929" s="972">
        <v>13.7</v>
      </c>
      <c r="L929" s="972"/>
      <c r="M929" s="972"/>
    </row>
    <row r="930" spans="5:13">
      <c r="E930" s="972"/>
      <c r="F930" s="972"/>
      <c r="G930" s="972"/>
      <c r="H930" s="972" t="s">
        <v>4995</v>
      </c>
      <c r="I930" s="972"/>
      <c r="J930" s="972"/>
      <c r="K930" s="972">
        <f>K912</f>
        <v>501.25</v>
      </c>
      <c r="L930" s="972"/>
      <c r="M930" s="972"/>
    </row>
    <row r="931" spans="5:13">
      <c r="E931" s="972"/>
      <c r="F931" s="972"/>
      <c r="G931" s="972"/>
      <c r="H931" s="981" t="s">
        <v>4996</v>
      </c>
      <c r="I931" s="972"/>
      <c r="J931" s="972"/>
      <c r="K931" s="982">
        <f>SUM(K926:K930)</f>
        <v>2149.1499999999996</v>
      </c>
      <c r="L931" s="972">
        <f>K931*2</f>
        <v>4298.2999999999993</v>
      </c>
      <c r="M931" s="972"/>
    </row>
    <row r="932" spans="5:13">
      <c r="E932" s="972"/>
      <c r="F932" s="972"/>
      <c r="G932" s="972"/>
      <c r="H932" s="972"/>
      <c r="I932" s="972"/>
      <c r="J932" s="972"/>
      <c r="K932" s="972"/>
      <c r="L932" s="972"/>
      <c r="M932" s="972"/>
    </row>
    <row r="933" spans="5:13">
      <c r="E933" s="972"/>
      <c r="F933" s="972"/>
      <c r="G933" s="972"/>
      <c r="H933" s="982" t="s">
        <v>5001</v>
      </c>
      <c r="I933" s="972"/>
      <c r="J933" s="972"/>
      <c r="K933" s="972"/>
      <c r="L933" s="972"/>
      <c r="M933" s="972"/>
    </row>
    <row r="934" spans="5:13">
      <c r="E934" s="972"/>
      <c r="F934" s="972">
        <v>1</v>
      </c>
      <c r="G934" s="972" t="s">
        <v>68</v>
      </c>
      <c r="H934" s="972" t="s">
        <v>5002</v>
      </c>
      <c r="I934" s="974">
        <v>1366</v>
      </c>
      <c r="J934" s="972" t="s">
        <v>68</v>
      </c>
      <c r="K934" s="972">
        <f>F934*I934</f>
        <v>1366</v>
      </c>
      <c r="L934" s="972"/>
      <c r="M934" s="972"/>
    </row>
    <row r="935" spans="5:13">
      <c r="E935" s="972"/>
      <c r="F935" s="972">
        <v>1</v>
      </c>
      <c r="G935" s="972" t="s">
        <v>68</v>
      </c>
      <c r="H935" s="972" t="s">
        <v>5003</v>
      </c>
      <c r="I935" s="975">
        <v>185.9</v>
      </c>
      <c r="J935" s="972" t="s">
        <v>68</v>
      </c>
      <c r="K935" s="972">
        <f>F935*I935</f>
        <v>185.9</v>
      </c>
      <c r="L935" s="972"/>
      <c r="M935" s="972"/>
    </row>
    <row r="936" spans="5:13">
      <c r="E936" s="972"/>
      <c r="F936" s="972"/>
      <c r="G936" s="972"/>
      <c r="H936" s="981" t="s">
        <v>4996</v>
      </c>
      <c r="I936" s="972"/>
      <c r="J936" s="972"/>
      <c r="K936" s="982">
        <f>SUM(K934:K935)+0.8</f>
        <v>1552.7</v>
      </c>
      <c r="L936" s="972"/>
      <c r="M936" s="972"/>
    </row>
    <row r="937" spans="5:13">
      <c r="E937" s="972"/>
      <c r="F937" s="972"/>
      <c r="G937" s="972"/>
      <c r="H937" s="981"/>
      <c r="I937" s="972"/>
      <c r="J937" s="972"/>
      <c r="K937" s="982"/>
      <c r="L937" s="972"/>
      <c r="M937" s="972"/>
    </row>
    <row r="938" spans="5:13">
      <c r="E938" s="972"/>
      <c r="F938" s="972"/>
      <c r="G938" s="972"/>
      <c r="H938" s="1039" t="s">
        <v>4533</v>
      </c>
      <c r="I938" s="972"/>
      <c r="J938" s="972"/>
      <c r="K938" s="972"/>
      <c r="L938" s="972"/>
      <c r="M938" s="972"/>
    </row>
    <row r="939" spans="5:13">
      <c r="E939" s="972"/>
      <c r="F939" s="972">
        <v>1</v>
      </c>
      <c r="G939" s="972" t="s">
        <v>68</v>
      </c>
      <c r="H939" s="972" t="s">
        <v>5004</v>
      </c>
      <c r="I939" s="975">
        <v>309</v>
      </c>
      <c r="J939" s="972" t="s">
        <v>68</v>
      </c>
      <c r="K939" s="972">
        <f>F939*I939</f>
        <v>309</v>
      </c>
      <c r="L939" s="972"/>
      <c r="M939" s="972"/>
    </row>
    <row r="940" spans="5:13">
      <c r="E940" s="972"/>
      <c r="F940" s="972">
        <v>1</v>
      </c>
      <c r="G940" s="972" t="s">
        <v>68</v>
      </c>
      <c r="H940" s="972" t="s">
        <v>5005</v>
      </c>
      <c r="I940" s="975">
        <v>36.200000000000003</v>
      </c>
      <c r="J940" s="972" t="s">
        <v>68</v>
      </c>
      <c r="K940" s="972">
        <f>F940*I940</f>
        <v>36.200000000000003</v>
      </c>
      <c r="L940" s="972"/>
      <c r="M940" s="972"/>
    </row>
    <row r="941" spans="5:13">
      <c r="E941" s="972"/>
      <c r="F941" s="972"/>
      <c r="G941" s="972"/>
      <c r="H941" s="972" t="s">
        <v>5006</v>
      </c>
      <c r="I941" s="972"/>
      <c r="J941" s="972"/>
      <c r="K941" s="972">
        <f>K412</f>
        <v>260.75</v>
      </c>
      <c r="L941" s="972"/>
      <c r="M941" s="972"/>
    </row>
    <row r="942" spans="5:13">
      <c r="E942" s="972"/>
      <c r="F942" s="972"/>
      <c r="G942" s="972"/>
      <c r="H942" s="972" t="s">
        <v>337</v>
      </c>
      <c r="I942" s="972"/>
      <c r="J942" s="972"/>
      <c r="K942" s="972">
        <v>3.35</v>
      </c>
      <c r="L942" s="972"/>
      <c r="M942" s="972"/>
    </row>
    <row r="943" spans="5:13">
      <c r="E943" s="972"/>
      <c r="F943" s="972"/>
      <c r="G943" s="972"/>
      <c r="H943" s="981" t="s">
        <v>4996</v>
      </c>
      <c r="I943" s="972"/>
      <c r="J943" s="972"/>
      <c r="K943" s="982">
        <f>SUM(K939:K942)</f>
        <v>609.30000000000007</v>
      </c>
      <c r="L943" s="972">
        <f>K943-697</f>
        <v>-87.699999999999932</v>
      </c>
      <c r="M943" s="972"/>
    </row>
    <row r="944" spans="5:13">
      <c r="E944" s="972"/>
      <c r="F944" s="972"/>
      <c r="G944" s="972"/>
      <c r="H944" s="972"/>
      <c r="I944" s="972"/>
      <c r="J944" s="972"/>
      <c r="K944" s="972"/>
      <c r="L944" s="972"/>
      <c r="M944" s="972"/>
    </row>
    <row r="945" spans="5:13">
      <c r="E945" s="972"/>
      <c r="F945" s="972"/>
      <c r="G945" s="972"/>
      <c r="H945" s="1039" t="s">
        <v>5007</v>
      </c>
      <c r="I945" s="972"/>
      <c r="J945" s="972"/>
      <c r="K945" s="972"/>
      <c r="L945" s="972"/>
      <c r="M945" s="972"/>
    </row>
    <row r="946" spans="5:13">
      <c r="E946" s="972"/>
      <c r="F946" s="972">
        <v>1</v>
      </c>
      <c r="G946" s="972" t="s">
        <v>68</v>
      </c>
      <c r="H946" s="972" t="s">
        <v>5008</v>
      </c>
      <c r="I946" s="975">
        <v>279.2</v>
      </c>
      <c r="J946" s="972" t="s">
        <v>68</v>
      </c>
      <c r="K946" s="972">
        <f>F946*I946</f>
        <v>279.2</v>
      </c>
      <c r="L946" s="972"/>
      <c r="M946" s="972"/>
    </row>
    <row r="947" spans="5:13">
      <c r="E947" s="972"/>
      <c r="F947" s="972">
        <v>1</v>
      </c>
      <c r="G947" s="972" t="s">
        <v>68</v>
      </c>
      <c r="H947" s="972" t="s">
        <v>5009</v>
      </c>
      <c r="I947" s="975">
        <v>35.4</v>
      </c>
      <c r="J947" s="972" t="s">
        <v>68</v>
      </c>
      <c r="K947" s="972">
        <f>F947*I947</f>
        <v>35.4</v>
      </c>
      <c r="L947" s="972"/>
      <c r="M947" s="972"/>
    </row>
    <row r="948" spans="5:13">
      <c r="E948" s="972"/>
      <c r="F948" s="972"/>
      <c r="G948" s="972"/>
      <c r="H948" s="972" t="s">
        <v>5006</v>
      </c>
      <c r="I948" s="972"/>
      <c r="J948" s="972"/>
      <c r="K948" s="972">
        <f>K941</f>
        <v>260.75</v>
      </c>
      <c r="L948" s="972"/>
      <c r="M948" s="972"/>
    </row>
    <row r="949" spans="5:13">
      <c r="E949" s="972"/>
      <c r="F949" s="972"/>
      <c r="G949" s="972"/>
      <c r="H949" s="972" t="s">
        <v>337</v>
      </c>
      <c r="I949" s="972"/>
      <c r="J949" s="972"/>
      <c r="K949" s="972">
        <v>2.15</v>
      </c>
      <c r="L949" s="972"/>
      <c r="M949" s="972"/>
    </row>
    <row r="950" spans="5:13">
      <c r="E950" s="972"/>
      <c r="F950" s="972"/>
      <c r="G950" s="972"/>
      <c r="H950" s="981" t="s">
        <v>4996</v>
      </c>
      <c r="I950" s="972"/>
      <c r="J950" s="972"/>
      <c r="K950" s="982">
        <f>SUM(K946:K949)</f>
        <v>577.49999999999989</v>
      </c>
      <c r="L950" s="972">
        <f>K950-496</f>
        <v>81.499999999999886</v>
      </c>
      <c r="M950" s="972"/>
    </row>
    <row r="951" spans="5:13">
      <c r="E951" s="972"/>
      <c r="F951" s="972"/>
      <c r="G951" s="972"/>
      <c r="H951" s="972"/>
      <c r="I951" s="972"/>
      <c r="J951" s="972"/>
      <c r="K951" s="972"/>
      <c r="L951" s="972"/>
      <c r="M951" s="972"/>
    </row>
    <row r="952" spans="5:13">
      <c r="E952" s="972"/>
      <c r="F952" s="972"/>
      <c r="G952" s="972"/>
      <c r="H952" s="972"/>
      <c r="I952" s="972"/>
      <c r="J952" s="972"/>
      <c r="K952" s="972"/>
      <c r="L952" s="972"/>
      <c r="M952" s="972"/>
    </row>
    <row r="953" spans="5:13">
      <c r="E953" s="972"/>
      <c r="F953" s="972"/>
      <c r="G953" s="972"/>
      <c r="H953" s="972"/>
      <c r="I953" s="972"/>
      <c r="J953" s="972"/>
      <c r="K953" s="972"/>
      <c r="L953" s="972"/>
      <c r="M953" s="972"/>
    </row>
    <row r="954" spans="5:13" ht="19.5">
      <c r="E954" s="972"/>
      <c r="F954" s="972"/>
      <c r="G954" s="972"/>
      <c r="H954" s="1040" t="s">
        <v>5010</v>
      </c>
      <c r="I954" s="972"/>
      <c r="J954" s="972"/>
      <c r="K954" s="972"/>
      <c r="L954" s="972"/>
      <c r="M954" s="972"/>
    </row>
    <row r="955" spans="5:13">
      <c r="E955" s="972"/>
      <c r="F955" s="972">
        <v>1</v>
      </c>
      <c r="G955" s="972" t="s">
        <v>68</v>
      </c>
      <c r="H955" s="972" t="s">
        <v>5795</v>
      </c>
      <c r="I955" s="975">
        <v>391</v>
      </c>
      <c r="J955" s="972" t="s">
        <v>68</v>
      </c>
      <c r="K955" s="972">
        <f>F955*I955</f>
        <v>391</v>
      </c>
      <c r="L955" s="972"/>
      <c r="M955" s="972"/>
    </row>
    <row r="956" spans="5:13">
      <c r="E956" s="972"/>
      <c r="F956" s="972"/>
      <c r="G956" s="972"/>
      <c r="H956" s="972"/>
      <c r="I956" s="975"/>
      <c r="J956" s="972" t="s">
        <v>68</v>
      </c>
      <c r="K956" s="972">
        <f>F956*I956</f>
        <v>0</v>
      </c>
      <c r="L956" s="972"/>
      <c r="M956" s="972"/>
    </row>
    <row r="957" spans="5:13">
      <c r="E957" s="972"/>
      <c r="F957" s="972"/>
      <c r="G957" s="972"/>
      <c r="H957" s="972" t="s">
        <v>5011</v>
      </c>
      <c r="I957" s="972"/>
      <c r="J957" s="972"/>
      <c r="K957" s="972">
        <f>K413</f>
        <v>298.80200000000002</v>
      </c>
      <c r="L957" s="972"/>
      <c r="M957" s="972"/>
    </row>
    <row r="958" spans="5:13">
      <c r="E958" s="972"/>
      <c r="F958" s="972"/>
      <c r="G958" s="972"/>
      <c r="H958" s="972" t="s">
        <v>337</v>
      </c>
      <c r="I958" s="972"/>
      <c r="J958" s="972"/>
      <c r="K958" s="972">
        <v>0.2</v>
      </c>
      <c r="L958" s="972"/>
      <c r="M958" s="972"/>
    </row>
    <row r="959" spans="5:13">
      <c r="E959" s="972"/>
      <c r="F959" s="972"/>
      <c r="G959" s="972"/>
      <c r="H959" s="981" t="s">
        <v>4996</v>
      </c>
      <c r="I959" s="972"/>
      <c r="J959" s="972"/>
      <c r="K959" s="982">
        <f>SUM(K955:K958)</f>
        <v>690.00200000000007</v>
      </c>
      <c r="L959" s="972">
        <f>690-K959</f>
        <v>-2.0000000000663931E-3</v>
      </c>
      <c r="M959" s="972"/>
    </row>
    <row r="960" spans="5:13">
      <c r="E960" s="972"/>
      <c r="F960" s="972"/>
      <c r="G960" s="972"/>
      <c r="H960" s="972"/>
      <c r="I960" s="972"/>
      <c r="J960" s="972"/>
      <c r="K960" s="972"/>
      <c r="L960" s="972"/>
      <c r="M960" s="972"/>
    </row>
    <row r="961" spans="5:13">
      <c r="E961" s="972"/>
      <c r="F961" s="972"/>
      <c r="G961" s="972"/>
      <c r="H961" s="972"/>
      <c r="I961" s="972"/>
      <c r="J961" s="972"/>
      <c r="K961" s="972"/>
      <c r="L961" s="972"/>
      <c r="M961" s="972"/>
    </row>
    <row r="962" spans="5:13">
      <c r="E962" s="972"/>
      <c r="F962" s="972"/>
      <c r="G962" s="972"/>
      <c r="H962" s="972"/>
      <c r="I962" s="972"/>
      <c r="J962" s="972"/>
      <c r="K962" s="972"/>
      <c r="L962" s="972"/>
      <c r="M962" s="972"/>
    </row>
    <row r="963" spans="5:13">
      <c r="E963" s="972"/>
      <c r="F963" s="972"/>
      <c r="G963" s="972"/>
      <c r="H963" s="972"/>
      <c r="I963" s="972"/>
      <c r="J963" s="972"/>
      <c r="K963" s="972"/>
      <c r="L963" s="972"/>
      <c r="M963" s="972"/>
    </row>
    <row r="964" spans="5:13">
      <c r="E964" s="972"/>
      <c r="F964" s="972"/>
      <c r="G964" s="972"/>
      <c r="H964" s="972"/>
      <c r="I964" s="972"/>
      <c r="J964" s="972"/>
      <c r="K964" s="972"/>
      <c r="L964" s="972"/>
      <c r="M964" s="972"/>
    </row>
    <row r="965" spans="5:13">
      <c r="E965" s="972"/>
      <c r="F965" s="972"/>
      <c r="G965" s="972"/>
      <c r="J965" s="956"/>
      <c r="L965" s="972"/>
      <c r="M965" s="972"/>
    </row>
    <row r="966" spans="5:13">
      <c r="E966" s="972"/>
      <c r="F966" s="972"/>
      <c r="G966" s="972"/>
      <c r="H966" s="972"/>
      <c r="I966" s="972"/>
      <c r="J966" s="972"/>
      <c r="K966" s="982"/>
      <c r="L966" s="972"/>
      <c r="M966" s="972"/>
    </row>
    <row r="967" spans="5:13">
      <c r="E967" s="972"/>
      <c r="F967" s="972"/>
      <c r="G967" s="972"/>
      <c r="H967" s="972"/>
      <c r="I967" s="972"/>
      <c r="J967" s="972"/>
      <c r="K967" s="972"/>
      <c r="L967" s="972"/>
      <c r="M967" s="972"/>
    </row>
    <row r="968" spans="5:13">
      <c r="E968" s="972"/>
      <c r="H968" s="963" t="s">
        <v>3318</v>
      </c>
      <c r="L968" s="972"/>
      <c r="M968" s="972"/>
    </row>
    <row r="969" spans="5:13">
      <c r="E969" s="972"/>
      <c r="L969" s="972"/>
      <c r="M969" s="972"/>
    </row>
    <row r="970" spans="5:13">
      <c r="E970" s="972"/>
      <c r="H970" s="963" t="s">
        <v>3319</v>
      </c>
      <c r="L970" s="972"/>
      <c r="M970" s="972"/>
    </row>
    <row r="971" spans="5:13">
      <c r="E971" s="972"/>
      <c r="L971" s="972"/>
      <c r="M971" s="972"/>
    </row>
    <row r="972" spans="5:13" ht="173.25">
      <c r="E972" s="972"/>
      <c r="H972" s="971" t="s">
        <v>3320</v>
      </c>
      <c r="L972" s="972"/>
      <c r="M972" s="972"/>
    </row>
    <row r="973" spans="5:13" ht="31.5">
      <c r="E973" s="972"/>
      <c r="F973" s="972">
        <v>90</v>
      </c>
      <c r="G973" s="972" t="s">
        <v>303</v>
      </c>
      <c r="H973" s="964" t="s">
        <v>3321</v>
      </c>
      <c r="I973" s="972">
        <f>I12</f>
        <v>16.55</v>
      </c>
      <c r="J973" s="972" t="s">
        <v>3322</v>
      </c>
      <c r="K973" s="972">
        <f>F973*I973</f>
        <v>1489.5</v>
      </c>
      <c r="L973" s="972"/>
      <c r="M973" s="972"/>
    </row>
    <row r="974" spans="5:13" ht="31.5">
      <c r="E974" s="972"/>
      <c r="F974" s="972">
        <v>45</v>
      </c>
      <c r="G974" s="972" t="s">
        <v>303</v>
      </c>
      <c r="H974" s="971" t="s">
        <v>3323</v>
      </c>
      <c r="I974" s="972">
        <f>I13</f>
        <v>20</v>
      </c>
      <c r="J974" s="972" t="s">
        <v>2990</v>
      </c>
      <c r="K974" s="972">
        <f>F974*I974</f>
        <v>900</v>
      </c>
      <c r="L974" s="972"/>
      <c r="M974" s="972"/>
    </row>
    <row r="975" spans="5:13">
      <c r="E975" s="972"/>
      <c r="F975" s="972">
        <v>20</v>
      </c>
      <c r="G975" s="972" t="s">
        <v>68</v>
      </c>
      <c r="H975" s="972" t="s">
        <v>3324</v>
      </c>
      <c r="I975" s="972">
        <f>I14</f>
        <v>3.15</v>
      </c>
      <c r="J975" s="972" t="s">
        <v>68</v>
      </c>
      <c r="K975" s="972">
        <f>F975*I975</f>
        <v>63</v>
      </c>
      <c r="L975" s="972"/>
      <c r="M975" s="972"/>
    </row>
    <row r="976" spans="5:13">
      <c r="E976" s="972"/>
      <c r="F976" s="972">
        <v>150</v>
      </c>
      <c r="G976" s="972" t="s">
        <v>68</v>
      </c>
      <c r="H976" s="972" t="s">
        <v>3325</v>
      </c>
      <c r="I976" s="974">
        <f>I1112</f>
        <v>287</v>
      </c>
      <c r="J976" s="972" t="s">
        <v>3326</v>
      </c>
      <c r="K976" s="972">
        <f>(F976*I976)/1000</f>
        <v>43.05</v>
      </c>
      <c r="L976" s="972"/>
      <c r="M976" s="972"/>
    </row>
    <row r="977" spans="5:13">
      <c r="E977" s="972"/>
      <c r="F977" s="972">
        <v>10</v>
      </c>
      <c r="G977" s="972" t="s">
        <v>68</v>
      </c>
      <c r="H977" s="972" t="s">
        <v>3327</v>
      </c>
      <c r="I977" s="972">
        <f>I15</f>
        <v>1.3375000000000001</v>
      </c>
      <c r="J977" s="972" t="s">
        <v>68</v>
      </c>
      <c r="K977" s="972">
        <f>F977*I977</f>
        <v>13.375000000000002</v>
      </c>
      <c r="L977" s="972"/>
      <c r="M977" s="972"/>
    </row>
    <row r="978" spans="5:13">
      <c r="E978" s="972"/>
      <c r="F978" s="972">
        <v>10</v>
      </c>
      <c r="G978" s="972" t="s">
        <v>68</v>
      </c>
      <c r="H978" s="972" t="s">
        <v>3328</v>
      </c>
      <c r="I978" s="975">
        <v>43.25</v>
      </c>
      <c r="J978" s="972" t="s">
        <v>3329</v>
      </c>
      <c r="K978" s="972">
        <f>(F978*I978)/12</f>
        <v>36.041666666666664</v>
      </c>
      <c r="L978" s="972"/>
      <c r="M978" s="972"/>
    </row>
    <row r="979" spans="5:13">
      <c r="E979" s="972"/>
      <c r="F979" s="976">
        <v>1.4999999999999999E-2</v>
      </c>
      <c r="G979" s="972" t="s">
        <v>306</v>
      </c>
      <c r="H979" s="972" t="s">
        <v>3330</v>
      </c>
      <c r="I979" s="972">
        <f>I18</f>
        <v>661</v>
      </c>
      <c r="J979" s="972" t="s">
        <v>306</v>
      </c>
      <c r="K979" s="972">
        <f t="shared" ref="K979:K989" si="18">F979*I979</f>
        <v>9.9149999999999991</v>
      </c>
      <c r="L979" s="972"/>
      <c r="M979" s="972"/>
    </row>
    <row r="980" spans="5:13">
      <c r="E980" s="972"/>
      <c r="F980" s="972">
        <v>10</v>
      </c>
      <c r="G980" s="972" t="s">
        <v>68</v>
      </c>
      <c r="H980" s="972" t="s">
        <v>3331</v>
      </c>
      <c r="I980" s="972">
        <f>I19</f>
        <v>16.208333333333332</v>
      </c>
      <c r="J980" s="972" t="s">
        <v>68</v>
      </c>
      <c r="K980" s="972">
        <f>(F980*I980)</f>
        <v>162.08333333333331</v>
      </c>
      <c r="L980" s="972"/>
      <c r="M980" s="972"/>
    </row>
    <row r="981" spans="5:13">
      <c r="E981" s="972"/>
      <c r="F981" s="972">
        <v>10</v>
      </c>
      <c r="G981" s="972" t="s">
        <v>68</v>
      </c>
      <c r="H981" s="972" t="s">
        <v>3332</v>
      </c>
      <c r="I981" s="972">
        <f>I20</f>
        <v>13.8</v>
      </c>
      <c r="J981" s="972" t="s">
        <v>68</v>
      </c>
      <c r="K981" s="972">
        <f t="shared" si="18"/>
        <v>138</v>
      </c>
      <c r="L981" s="972"/>
      <c r="M981" s="972"/>
    </row>
    <row r="982" spans="5:13">
      <c r="E982" s="972"/>
      <c r="F982" s="972">
        <v>1</v>
      </c>
      <c r="G982" s="972" t="s">
        <v>3333</v>
      </c>
      <c r="H982" s="972" t="s">
        <v>3334</v>
      </c>
      <c r="I982" s="972">
        <f>I748</f>
        <v>69.400000000000006</v>
      </c>
      <c r="J982" s="972" t="s">
        <v>3333</v>
      </c>
      <c r="K982" s="972">
        <f>F982*I982</f>
        <v>69.400000000000006</v>
      </c>
      <c r="L982" s="972"/>
      <c r="M982" s="972"/>
    </row>
    <row r="983" spans="5:13">
      <c r="E983" s="972"/>
      <c r="F983" s="972">
        <v>72</v>
      </c>
      <c r="G983" s="972" t="s">
        <v>68</v>
      </c>
      <c r="H983" s="972" t="s">
        <v>3335</v>
      </c>
      <c r="I983" s="1001">
        <v>47.7</v>
      </c>
      <c r="J983" s="972" t="s">
        <v>3333</v>
      </c>
      <c r="K983" s="972">
        <f>(F983*I983)/144</f>
        <v>23.85</v>
      </c>
      <c r="L983" s="972"/>
      <c r="M983" s="972"/>
    </row>
    <row r="984" spans="5:13">
      <c r="E984" s="972"/>
      <c r="F984" s="978">
        <v>0.16666666666666666</v>
      </c>
      <c r="G984" s="972" t="s">
        <v>3336</v>
      </c>
      <c r="H984" s="972" t="s">
        <v>278</v>
      </c>
      <c r="I984" s="1041">
        <f>I269</f>
        <v>302</v>
      </c>
      <c r="J984" s="972" t="s">
        <v>3336</v>
      </c>
      <c r="K984" s="972">
        <f t="shared" si="18"/>
        <v>50.333333333333329</v>
      </c>
      <c r="L984" s="972"/>
      <c r="M984" s="972"/>
    </row>
    <row r="985" spans="5:13">
      <c r="E985" s="972"/>
      <c r="F985" s="972">
        <v>10</v>
      </c>
      <c r="G985" s="972" t="s">
        <v>68</v>
      </c>
      <c r="H985" s="972" t="s">
        <v>3337</v>
      </c>
      <c r="I985" s="975">
        <v>13.8</v>
      </c>
      <c r="J985" s="972" t="s">
        <v>68</v>
      </c>
      <c r="K985" s="972">
        <f t="shared" si="18"/>
        <v>138</v>
      </c>
      <c r="L985" s="972"/>
      <c r="M985" s="972"/>
    </row>
    <row r="986" spans="5:13">
      <c r="E986" s="972"/>
      <c r="F986" s="972">
        <v>1</v>
      </c>
      <c r="G986" s="972" t="s">
        <v>68</v>
      </c>
      <c r="H986" s="972" t="s">
        <v>3338</v>
      </c>
      <c r="I986" s="975">
        <v>16.5</v>
      </c>
      <c r="J986" s="972" t="s">
        <v>68</v>
      </c>
      <c r="K986" s="972">
        <f t="shared" si="18"/>
        <v>16.5</v>
      </c>
      <c r="L986" s="972"/>
      <c r="M986" s="972"/>
    </row>
    <row r="987" spans="5:13">
      <c r="E987" s="972"/>
      <c r="F987" s="972">
        <v>0.1</v>
      </c>
      <c r="G987" s="972" t="s">
        <v>306</v>
      </c>
      <c r="H987" s="972" t="s">
        <v>3339</v>
      </c>
      <c r="I987" s="972">
        <f>I24</f>
        <v>661</v>
      </c>
      <c r="J987" s="972" t="s">
        <v>306</v>
      </c>
      <c r="K987" s="972">
        <f t="shared" si="18"/>
        <v>66.100000000000009</v>
      </c>
      <c r="L987" s="972"/>
      <c r="M987" s="972"/>
    </row>
    <row r="988" spans="5:13" ht="31.5">
      <c r="E988" s="972"/>
      <c r="F988" s="972">
        <v>45</v>
      </c>
      <c r="G988" s="972" t="s">
        <v>303</v>
      </c>
      <c r="H988" s="964" t="s">
        <v>3340</v>
      </c>
      <c r="I988" s="972">
        <f>I25</f>
        <v>16.55</v>
      </c>
      <c r="J988" s="972" t="s">
        <v>3341</v>
      </c>
      <c r="K988" s="972">
        <f t="shared" si="18"/>
        <v>744.75</v>
      </c>
      <c r="L988" s="972"/>
      <c r="M988" s="972"/>
    </row>
    <row r="989" spans="5:13">
      <c r="E989" s="972"/>
      <c r="F989" s="978">
        <v>0.5</v>
      </c>
      <c r="G989" s="972" t="s">
        <v>1441</v>
      </c>
      <c r="H989" s="964" t="s">
        <v>3342</v>
      </c>
      <c r="I989" s="972">
        <f>[5]Data!I3241</f>
        <v>227.6</v>
      </c>
      <c r="J989" s="972" t="s">
        <v>1441</v>
      </c>
      <c r="K989" s="972">
        <f t="shared" si="18"/>
        <v>113.8</v>
      </c>
      <c r="L989" s="972"/>
      <c r="M989" s="972"/>
    </row>
    <row r="990" spans="5:13">
      <c r="E990" s="972"/>
      <c r="F990" s="972">
        <v>10</v>
      </c>
      <c r="G990" s="972" t="s">
        <v>3343</v>
      </c>
      <c r="H990" s="972" t="s">
        <v>910</v>
      </c>
      <c r="I990" s="972"/>
      <c r="J990" s="972" t="s">
        <v>287</v>
      </c>
      <c r="K990" s="972">
        <f>K1009</f>
        <v>4828</v>
      </c>
      <c r="L990" s="972"/>
      <c r="M990" s="972"/>
    </row>
    <row r="991" spans="5:13">
      <c r="E991" s="972"/>
      <c r="F991" s="972" t="s">
        <v>287</v>
      </c>
      <c r="G991" s="972"/>
      <c r="H991" s="972" t="s">
        <v>3344</v>
      </c>
      <c r="I991" s="972"/>
      <c r="J991" s="972" t="s">
        <v>287</v>
      </c>
      <c r="K991" s="972">
        <v>44.26</v>
      </c>
      <c r="L991" s="972"/>
      <c r="M991" s="972"/>
    </row>
    <row r="992" spans="5:13">
      <c r="E992" s="972"/>
      <c r="F992" s="972"/>
      <c r="G992" s="972"/>
      <c r="H992" s="979" t="s">
        <v>3345</v>
      </c>
      <c r="I992" s="972"/>
      <c r="J992" s="972"/>
      <c r="K992" s="980">
        <f>SUM(K973:K991)</f>
        <v>8949.9583333333339</v>
      </c>
      <c r="L992" s="972"/>
      <c r="M992" s="972"/>
    </row>
    <row r="993" spans="5:13">
      <c r="E993" s="972"/>
      <c r="F993" s="972"/>
      <c r="G993" s="972"/>
      <c r="H993" s="981" t="s">
        <v>3346</v>
      </c>
      <c r="I993" s="972"/>
      <c r="J993" s="972"/>
      <c r="K993" s="982">
        <f>K992/10</f>
        <v>894.99583333333339</v>
      </c>
      <c r="L993" s="972">
        <f>895*10</f>
        <v>8950</v>
      </c>
      <c r="M993" s="972">
        <f>L993-K992</f>
        <v>4.1666666666060337E-2</v>
      </c>
    </row>
    <row r="994" spans="5:13">
      <c r="E994" s="972"/>
      <c r="F994" s="972"/>
      <c r="G994" s="972"/>
      <c r="H994" s="972"/>
      <c r="I994" s="972"/>
      <c r="J994" s="972"/>
      <c r="K994" s="972"/>
      <c r="L994" s="972"/>
      <c r="M994" s="972"/>
    </row>
    <row r="995" spans="5:13">
      <c r="E995" s="972"/>
      <c r="F995" s="972"/>
      <c r="G995" s="972"/>
      <c r="H995" s="972"/>
      <c r="I995" s="972"/>
      <c r="J995" s="972"/>
      <c r="K995" s="972"/>
      <c r="L995" s="972"/>
      <c r="M995" s="972"/>
    </row>
    <row r="996" spans="5:13">
      <c r="E996" s="972"/>
      <c r="F996" s="972"/>
      <c r="G996" s="972"/>
      <c r="H996" s="972"/>
      <c r="I996" s="972"/>
      <c r="J996" s="972"/>
      <c r="K996" s="972"/>
      <c r="L996" s="972"/>
      <c r="M996" s="972"/>
    </row>
    <row r="997" spans="5:13">
      <c r="E997" s="972"/>
      <c r="F997" s="972"/>
      <c r="G997" s="972"/>
      <c r="H997" s="972"/>
      <c r="I997" s="972"/>
      <c r="J997" s="972"/>
      <c r="K997" s="972"/>
      <c r="L997" s="972"/>
      <c r="M997" s="972"/>
    </row>
    <row r="998" spans="5:13">
      <c r="E998" s="972"/>
      <c r="F998" s="972"/>
      <c r="G998" s="982" t="s">
        <v>3347</v>
      </c>
      <c r="H998" s="972"/>
      <c r="I998" s="972"/>
      <c r="J998" s="972"/>
      <c r="M998" s="972"/>
    </row>
    <row r="999" spans="5:13">
      <c r="E999" s="972"/>
      <c r="F999" s="972"/>
      <c r="G999" s="972"/>
      <c r="H999" s="972"/>
      <c r="I999" s="972"/>
      <c r="J999" s="972"/>
      <c r="M999" s="972"/>
    </row>
    <row r="1000" spans="5:13">
      <c r="E1000" s="972"/>
      <c r="F1000" s="972"/>
      <c r="G1000" s="982" t="s">
        <v>3348</v>
      </c>
      <c r="H1000" s="972"/>
      <c r="I1000" s="972"/>
      <c r="J1000" s="972"/>
      <c r="M1000" s="972"/>
    </row>
    <row r="1001" spans="5:13">
      <c r="E1001" s="972"/>
      <c r="F1001" s="972"/>
      <c r="G1001" s="972"/>
      <c r="H1001" s="972"/>
      <c r="I1001" s="972"/>
      <c r="J1001" s="972"/>
      <c r="M1001" s="972"/>
    </row>
    <row r="1002" spans="5:13">
      <c r="E1002" s="972"/>
      <c r="F1002" s="972">
        <v>1</v>
      </c>
      <c r="G1002" s="972" t="s">
        <v>68</v>
      </c>
      <c r="H1002" s="972" t="s">
        <v>3349</v>
      </c>
      <c r="I1002" s="972">
        <f>I35</f>
        <v>898</v>
      </c>
      <c r="J1002" s="972" t="s">
        <v>68</v>
      </c>
      <c r="K1002" s="972">
        <f>F1002*I1002</f>
        <v>898</v>
      </c>
      <c r="L1002" s="972"/>
      <c r="M1002" s="972"/>
    </row>
    <row r="1003" spans="5:13">
      <c r="F1003" s="972">
        <v>2</v>
      </c>
      <c r="G1003" s="972" t="s">
        <v>68</v>
      </c>
      <c r="H1003" s="972" t="s">
        <v>3350</v>
      </c>
      <c r="I1003" s="972">
        <f>I36</f>
        <v>783</v>
      </c>
      <c r="J1003" s="972" t="s">
        <v>68</v>
      </c>
      <c r="K1003" s="972">
        <f>F1003*I1003</f>
        <v>1566</v>
      </c>
      <c r="L1003" s="972"/>
      <c r="M1003" s="972"/>
    </row>
    <row r="1004" spans="5:13">
      <c r="F1004" s="972">
        <v>3</v>
      </c>
      <c r="G1004" s="972" t="s">
        <v>68</v>
      </c>
      <c r="H1004" s="972" t="s">
        <v>3351</v>
      </c>
      <c r="I1004" s="972">
        <f>I37</f>
        <v>778</v>
      </c>
      <c r="J1004" s="972" t="s">
        <v>68</v>
      </c>
      <c r="K1004" s="972">
        <f>F1004*I1004</f>
        <v>2334</v>
      </c>
      <c r="L1004" s="972"/>
      <c r="M1004" s="972"/>
    </row>
    <row r="1005" spans="5:13">
      <c r="F1005" s="972">
        <v>4</v>
      </c>
      <c r="G1005" s="972" t="s">
        <v>68</v>
      </c>
      <c r="H1005" s="972" t="s">
        <v>3352</v>
      </c>
      <c r="I1005" s="972">
        <f>I38</f>
        <v>611</v>
      </c>
      <c r="J1005" s="972" t="s">
        <v>68</v>
      </c>
      <c r="K1005" s="972">
        <f>F1005*I1005</f>
        <v>2444</v>
      </c>
      <c r="L1005" s="972"/>
      <c r="M1005" s="972"/>
    </row>
    <row r="1006" spans="5:13">
      <c r="F1006" s="972"/>
      <c r="G1006" s="972"/>
      <c r="H1006" s="972"/>
      <c r="I1006" s="972"/>
      <c r="J1006" s="972"/>
      <c r="K1006" s="972"/>
      <c r="L1006" s="972"/>
      <c r="M1006" s="972"/>
    </row>
    <row r="1007" spans="5:13">
      <c r="F1007" s="972"/>
      <c r="G1007" s="956"/>
      <c r="H1007" s="984"/>
      <c r="J1007" s="956"/>
      <c r="K1007" s="985">
        <f>SUM(K1002:K1005)</f>
        <v>7242</v>
      </c>
      <c r="L1007" s="985"/>
      <c r="M1007" s="972"/>
    </row>
    <row r="1008" spans="5:13">
      <c r="E1008" s="972"/>
      <c r="F1008" s="972"/>
      <c r="G1008" s="956"/>
      <c r="H1008" s="984"/>
      <c r="J1008" s="956"/>
      <c r="M1008" s="972"/>
    </row>
    <row r="1009" spans="5:13" ht="51">
      <c r="E1009" s="972"/>
      <c r="F1009" s="972"/>
      <c r="G1009" s="956"/>
      <c r="H1009" s="984" t="s">
        <v>4630</v>
      </c>
      <c r="J1009" s="986"/>
      <c r="K1009" s="987">
        <f>K1007*2/3</f>
        <v>4828</v>
      </c>
      <c r="L1009" s="987"/>
      <c r="M1009" s="972"/>
    </row>
    <row r="1010" spans="5:13">
      <c r="E1010" s="972"/>
      <c r="F1010" s="972"/>
      <c r="G1010" s="972"/>
      <c r="H1010" s="972"/>
      <c r="I1010" s="972"/>
      <c r="J1010" s="972"/>
      <c r="K1010" s="972"/>
      <c r="L1010" s="972"/>
      <c r="M1010" s="972"/>
    </row>
    <row r="1011" spans="5:13">
      <c r="E1011" s="972"/>
      <c r="F1011" s="972"/>
      <c r="G1011" s="972"/>
      <c r="H1011" s="963" t="s">
        <v>3365</v>
      </c>
      <c r="I1011" s="972"/>
      <c r="J1011" s="972"/>
      <c r="K1011" s="972"/>
      <c r="L1011" s="972"/>
      <c r="M1011" s="972"/>
    </row>
    <row r="1012" spans="5:13">
      <c r="E1012" s="972"/>
      <c r="F1012" s="972"/>
      <c r="G1012" s="972"/>
      <c r="H1012" s="972"/>
      <c r="I1012" s="972"/>
      <c r="J1012" s="972"/>
      <c r="K1012" s="972"/>
      <c r="L1012" s="972"/>
      <c r="M1012" s="972"/>
    </row>
    <row r="1013" spans="5:13" ht="173.25">
      <c r="E1013" s="972"/>
      <c r="F1013" s="972"/>
      <c r="G1013" s="972"/>
      <c r="H1013" s="971" t="s">
        <v>3366</v>
      </c>
      <c r="I1013" s="972"/>
      <c r="J1013" s="972"/>
      <c r="K1013" s="972"/>
      <c r="L1013" s="972"/>
      <c r="M1013" s="972"/>
    </row>
    <row r="1014" spans="5:13">
      <c r="E1014" s="972"/>
      <c r="F1014" s="972"/>
      <c r="G1014" s="972"/>
      <c r="H1014" s="972" t="s">
        <v>3367</v>
      </c>
      <c r="I1014" s="972"/>
      <c r="J1014" s="972"/>
      <c r="K1014" s="972">
        <f>K992-K991</f>
        <v>8905.6983333333337</v>
      </c>
      <c r="L1014" s="972"/>
      <c r="M1014" s="972"/>
    </row>
    <row r="1015" spans="5:13">
      <c r="E1015" s="972"/>
      <c r="F1015" s="972"/>
      <c r="G1015" s="972"/>
      <c r="H1015" s="972" t="s">
        <v>3368</v>
      </c>
      <c r="I1015" s="972"/>
      <c r="J1015" s="972"/>
      <c r="K1015" s="972">
        <f>K981</f>
        <v>138</v>
      </c>
      <c r="L1015" s="972"/>
      <c r="M1015" s="972"/>
    </row>
    <row r="1016" spans="5:13">
      <c r="E1016" s="972"/>
      <c r="F1016" s="972"/>
      <c r="G1016" s="972"/>
      <c r="H1016" s="972" t="str">
        <f>H50</f>
        <v>Add cost of Bakelite battern type holders 10 Nos @ Rs 16.65 / Each p-116,  it-25</v>
      </c>
      <c r="I1016" s="972"/>
      <c r="J1016" s="972"/>
      <c r="K1016" s="972">
        <f>K50</f>
        <v>166.5</v>
      </c>
      <c r="L1016" s="972"/>
      <c r="M1016" s="972"/>
    </row>
    <row r="1017" spans="5:13">
      <c r="E1017" s="972"/>
      <c r="F1017" s="972"/>
      <c r="G1017" s="972"/>
      <c r="H1017" s="972" t="s">
        <v>337</v>
      </c>
      <c r="I1017" s="972"/>
      <c r="J1017" s="972"/>
      <c r="K1017" s="972">
        <v>35.76</v>
      </c>
      <c r="L1017" s="972"/>
      <c r="M1017" s="972"/>
    </row>
    <row r="1018" spans="5:13">
      <c r="E1018" s="972"/>
      <c r="F1018" s="972"/>
      <c r="G1018" s="972"/>
      <c r="H1018" s="979" t="s">
        <v>3370</v>
      </c>
      <c r="I1018" s="972"/>
      <c r="J1018" s="972"/>
      <c r="K1018" s="980">
        <f>K1014-K1015+K1016+K1017</f>
        <v>8969.9583333333339</v>
      </c>
      <c r="L1018" s="972">
        <f>L1019-K1018</f>
        <v>4.1666666666060337E-2</v>
      </c>
      <c r="M1018" s="972"/>
    </row>
    <row r="1019" spans="5:13">
      <c r="E1019" s="972"/>
      <c r="F1019" s="972"/>
      <c r="G1019" s="972"/>
      <c r="H1019" s="981" t="s">
        <v>3371</v>
      </c>
      <c r="I1019" s="972"/>
      <c r="J1019" s="972"/>
      <c r="K1019" s="982">
        <f>K1018/10</f>
        <v>896.99583333333339</v>
      </c>
      <c r="L1019" s="972">
        <f>897*10</f>
        <v>8970</v>
      </c>
      <c r="M1019" s="972"/>
    </row>
    <row r="1020" spans="5:13">
      <c r="E1020" s="972"/>
      <c r="F1020" s="972"/>
      <c r="G1020" s="972"/>
      <c r="H1020" s="972"/>
      <c r="I1020" s="972"/>
      <c r="J1020" s="972"/>
      <c r="K1020" s="972"/>
      <c r="L1020" s="972">
        <f>L1019-K1018</f>
        <v>4.1666666666060337E-2</v>
      </c>
      <c r="M1020" s="972"/>
    </row>
    <row r="1021" spans="5:13">
      <c r="E1021" s="972"/>
      <c r="F1021" s="972"/>
      <c r="G1021" s="972"/>
      <c r="H1021" s="972"/>
      <c r="I1021" s="972"/>
      <c r="J1021" s="972"/>
      <c r="K1021" s="972"/>
      <c r="L1021" s="972"/>
      <c r="M1021" s="972"/>
    </row>
    <row r="1022" spans="5:13">
      <c r="E1022" s="972"/>
      <c r="F1022" s="972"/>
      <c r="G1022" s="972"/>
      <c r="H1022" s="972"/>
      <c r="I1022" s="972"/>
      <c r="J1022" s="972"/>
      <c r="K1022" s="972"/>
      <c r="L1022" s="972"/>
      <c r="M1022" s="972"/>
    </row>
    <row r="1023" spans="5:13" ht="47.25">
      <c r="E1023" s="972"/>
      <c r="F1023" s="972"/>
      <c r="G1023" s="972"/>
      <c r="H1023" s="969" t="s">
        <v>5012</v>
      </c>
      <c r="I1023" s="972"/>
      <c r="J1023" s="972"/>
      <c r="K1023" s="972"/>
      <c r="L1023" s="972"/>
      <c r="M1023" s="972"/>
    </row>
    <row r="1024" spans="5:13">
      <c r="E1024" s="972"/>
      <c r="F1024" s="972"/>
      <c r="G1024" s="972"/>
      <c r="H1024" s="972"/>
      <c r="I1024" s="972"/>
      <c r="J1024" s="972"/>
      <c r="K1024" s="972"/>
      <c r="L1024" s="972"/>
      <c r="M1024" s="972"/>
    </row>
    <row r="1025" spans="5:13" ht="189">
      <c r="E1025" s="972"/>
      <c r="F1025" s="972"/>
      <c r="G1025" s="972"/>
      <c r="H1025" s="971" t="s">
        <v>5013</v>
      </c>
      <c r="I1025" s="972"/>
      <c r="J1025" s="972"/>
      <c r="K1025" s="972"/>
      <c r="L1025" s="972"/>
      <c r="M1025" s="972"/>
    </row>
    <row r="1026" spans="5:13">
      <c r="E1026" s="972"/>
      <c r="F1026" s="972"/>
      <c r="G1026" s="972"/>
      <c r="H1026" s="972" t="s">
        <v>4640</v>
      </c>
      <c r="I1026" s="972"/>
      <c r="J1026" s="972"/>
      <c r="K1026" s="972">
        <f>K1014</f>
        <v>8905.6983333333337</v>
      </c>
      <c r="L1026" s="972"/>
      <c r="M1026" s="972"/>
    </row>
    <row r="1027" spans="5:13">
      <c r="E1027" s="972"/>
      <c r="F1027" s="972"/>
      <c r="G1027" s="972"/>
      <c r="H1027" s="972" t="s">
        <v>4641</v>
      </c>
      <c r="I1027" s="972"/>
      <c r="J1027" s="972"/>
      <c r="K1027" s="972">
        <f>K1015</f>
        <v>138</v>
      </c>
      <c r="L1027" s="972"/>
      <c r="M1027" s="972"/>
    </row>
    <row r="1028" spans="5:13">
      <c r="E1028" s="972"/>
      <c r="F1028" s="972"/>
      <c r="G1028" s="972"/>
      <c r="H1028" s="972" t="s">
        <v>4642</v>
      </c>
      <c r="I1028" s="972"/>
      <c r="J1028" s="972"/>
      <c r="K1028" s="972">
        <f>K978</f>
        <v>36.041666666666664</v>
      </c>
      <c r="L1028" s="972"/>
      <c r="M1028" s="972"/>
    </row>
    <row r="1029" spans="5:13">
      <c r="E1029" s="972"/>
      <c r="F1029" s="972"/>
      <c r="G1029" s="972"/>
      <c r="H1029" s="972" t="s">
        <v>4643</v>
      </c>
      <c r="I1029" s="972"/>
      <c r="J1029" s="972"/>
      <c r="K1029" s="972">
        <f>K62</f>
        <v>162.08333333333331</v>
      </c>
      <c r="L1029" s="972"/>
      <c r="M1029" s="972"/>
    </row>
    <row r="1030" spans="5:13">
      <c r="E1030" s="972"/>
      <c r="F1030" s="972"/>
      <c r="G1030" s="972"/>
      <c r="H1030" s="972" t="s">
        <v>5014</v>
      </c>
      <c r="I1030" s="972"/>
      <c r="J1030" s="972"/>
      <c r="K1030" s="975">
        <f>K63</f>
        <v>417</v>
      </c>
      <c r="L1030" s="972"/>
      <c r="M1030" s="972"/>
    </row>
    <row r="1031" spans="5:13">
      <c r="E1031" s="972"/>
      <c r="F1031" s="972"/>
      <c r="H1031" s="972" t="s">
        <v>5015</v>
      </c>
      <c r="I1031" s="972"/>
      <c r="J1031" s="972"/>
      <c r="K1031" s="975">
        <f>10*16.65</f>
        <v>166.5</v>
      </c>
      <c r="L1031" s="972"/>
      <c r="M1031" s="972"/>
    </row>
    <row r="1032" spans="5:13">
      <c r="E1032" s="972"/>
      <c r="F1032" s="972"/>
      <c r="G1032" s="972"/>
      <c r="H1032" s="972" t="s">
        <v>5016</v>
      </c>
      <c r="I1032" s="972"/>
      <c r="J1032" s="972"/>
      <c r="K1032" s="975">
        <f>16.5*10</f>
        <v>165</v>
      </c>
      <c r="L1032" s="972"/>
      <c r="M1032" s="972"/>
    </row>
    <row r="1033" spans="5:13">
      <c r="E1033" s="972"/>
      <c r="F1033" s="972"/>
      <c r="G1033" s="972"/>
      <c r="H1033" s="972" t="s">
        <v>337</v>
      </c>
      <c r="I1033" s="972"/>
      <c r="J1033" s="972"/>
      <c r="K1033" s="972">
        <v>31.9</v>
      </c>
      <c r="L1033" s="972"/>
      <c r="M1033" s="972"/>
    </row>
    <row r="1034" spans="5:13">
      <c r="E1034" s="972"/>
      <c r="F1034" s="972"/>
      <c r="G1034" s="972"/>
      <c r="H1034" s="979" t="s">
        <v>3370</v>
      </c>
      <c r="I1034" s="972"/>
      <c r="J1034" s="972"/>
      <c r="K1034" s="980">
        <f>(K1026-K1027-K1028-K1029)+(K1030+K1031+K1032+K1033)</f>
        <v>9349.9733333333334</v>
      </c>
      <c r="L1034" s="972"/>
      <c r="M1034" s="972"/>
    </row>
    <row r="1035" spans="5:13">
      <c r="E1035" s="972"/>
      <c r="F1035" s="972"/>
      <c r="G1035" s="972"/>
      <c r="H1035" s="981" t="s">
        <v>3357</v>
      </c>
      <c r="I1035" s="972"/>
      <c r="J1035" s="972"/>
      <c r="K1035" s="982">
        <f>K1034/10</f>
        <v>934.99733333333336</v>
      </c>
      <c r="L1035" s="972">
        <f>935*10</f>
        <v>9350</v>
      </c>
      <c r="M1035" s="972">
        <f>L1035-K1034</f>
        <v>2.6666666666642413E-2</v>
      </c>
    </row>
    <row r="1036" spans="5:13">
      <c r="E1036" s="972"/>
      <c r="F1036" s="972"/>
      <c r="G1036" s="972"/>
      <c r="H1036" s="972"/>
      <c r="I1036" s="972"/>
      <c r="J1036" s="972"/>
      <c r="K1036" s="972"/>
      <c r="L1036" s="972"/>
      <c r="M1036" s="972"/>
    </row>
    <row r="1037" spans="5:13">
      <c r="E1037" s="972"/>
      <c r="F1037" s="972"/>
      <c r="G1037" s="972"/>
      <c r="H1037" s="972"/>
      <c r="I1037" s="972"/>
      <c r="J1037" s="972"/>
      <c r="K1037" s="972"/>
      <c r="L1037" s="972"/>
      <c r="M1037" s="972"/>
    </row>
    <row r="1038" spans="5:13">
      <c r="E1038" s="972"/>
      <c r="F1038" s="972"/>
      <c r="G1038" s="972"/>
      <c r="H1038" s="972"/>
      <c r="I1038" s="972"/>
      <c r="J1038" s="972"/>
      <c r="K1038" s="972"/>
      <c r="L1038" s="972"/>
      <c r="M1038" s="972"/>
    </row>
    <row r="1039" spans="5:13">
      <c r="E1039" s="972"/>
      <c r="F1039" s="972"/>
      <c r="G1039" s="972"/>
      <c r="H1039" s="972"/>
      <c r="I1039" s="972"/>
      <c r="J1039" s="972"/>
      <c r="K1039" s="972"/>
      <c r="L1039" s="972"/>
      <c r="M1039" s="972"/>
    </row>
    <row r="1040" spans="5:13">
      <c r="E1040" s="972"/>
      <c r="F1040" s="972"/>
      <c r="G1040" s="972"/>
      <c r="H1040" s="972"/>
      <c r="I1040" s="972"/>
      <c r="J1040" s="972"/>
      <c r="K1040" s="972"/>
      <c r="L1040" s="972"/>
      <c r="M1040" s="972"/>
    </row>
    <row r="1041" spans="5:13">
      <c r="E1041" s="972"/>
      <c r="F1041" s="972"/>
      <c r="G1041" s="972"/>
      <c r="H1041" s="969" t="s">
        <v>5017</v>
      </c>
      <c r="I1041" s="972"/>
      <c r="J1041" s="972"/>
      <c r="K1041" s="972"/>
      <c r="L1041" s="972"/>
      <c r="M1041" s="972"/>
    </row>
    <row r="1042" spans="5:13">
      <c r="E1042" s="972"/>
      <c r="F1042" s="972"/>
      <c r="G1042" s="972"/>
      <c r="I1042" s="972"/>
      <c r="J1042" s="972"/>
      <c r="K1042" s="972"/>
      <c r="L1042" s="972"/>
      <c r="M1042" s="972"/>
    </row>
    <row r="1043" spans="5:13">
      <c r="E1043" s="972"/>
      <c r="F1043" s="972"/>
      <c r="G1043" s="972"/>
      <c r="I1043" s="972"/>
      <c r="J1043" s="972"/>
      <c r="K1043" s="972"/>
      <c r="L1043" s="972"/>
      <c r="M1043" s="972"/>
    </row>
    <row r="1044" spans="5:13">
      <c r="E1044" s="972"/>
      <c r="F1044" s="972"/>
      <c r="G1044" s="972"/>
      <c r="I1044" s="972"/>
      <c r="J1044" s="972"/>
      <c r="K1044" s="972"/>
      <c r="L1044" s="972"/>
      <c r="M1044" s="972"/>
    </row>
    <row r="1045" spans="5:13">
      <c r="E1045" s="972"/>
      <c r="F1045" s="972"/>
      <c r="G1045" s="972"/>
      <c r="I1045" s="972"/>
      <c r="J1045" s="972"/>
      <c r="K1045" s="972"/>
      <c r="L1045" s="972"/>
      <c r="M1045" s="972"/>
    </row>
    <row r="1046" spans="5:13" ht="156.75">
      <c r="E1046" s="972"/>
      <c r="F1046" s="972"/>
      <c r="G1046" s="972"/>
      <c r="H1046" s="971" t="s">
        <v>5018</v>
      </c>
      <c r="I1046" s="972"/>
      <c r="J1046" s="972"/>
      <c r="K1046" s="972"/>
      <c r="L1046" s="972"/>
      <c r="M1046" s="972"/>
    </row>
    <row r="1047" spans="5:13">
      <c r="E1047" s="972"/>
      <c r="F1047" s="972"/>
      <c r="G1047" s="972"/>
      <c r="H1047" s="972"/>
      <c r="I1047" s="972"/>
      <c r="J1047" s="972"/>
      <c r="K1047" s="972"/>
      <c r="L1047" s="972"/>
      <c r="M1047" s="972"/>
    </row>
    <row r="1048" spans="5:13">
      <c r="E1048" s="972"/>
      <c r="F1048" s="972"/>
      <c r="G1048" s="972"/>
      <c r="H1048" s="972"/>
      <c r="I1048" s="972"/>
      <c r="J1048" s="972"/>
      <c r="K1048" s="972"/>
      <c r="L1048" s="972"/>
      <c r="M1048" s="972"/>
    </row>
    <row r="1049" spans="5:13">
      <c r="E1049" s="972"/>
      <c r="F1049" s="972"/>
      <c r="G1049" s="972"/>
      <c r="H1049" s="972"/>
      <c r="I1049" s="972"/>
      <c r="J1049" s="972"/>
      <c r="K1049" s="972"/>
      <c r="L1049" s="972"/>
      <c r="M1049" s="972"/>
    </row>
    <row r="1050" spans="5:13">
      <c r="E1050" s="972"/>
      <c r="F1050" s="972"/>
      <c r="G1050" s="972"/>
      <c r="H1050" s="972" t="s">
        <v>3367</v>
      </c>
      <c r="I1050" s="972"/>
      <c r="J1050" s="972"/>
      <c r="K1050" s="972">
        <f>K1026</f>
        <v>8905.6983333333337</v>
      </c>
      <c r="L1050" s="972"/>
      <c r="M1050" s="972"/>
    </row>
    <row r="1051" spans="5:13">
      <c r="E1051" s="972"/>
      <c r="F1051" s="972"/>
      <c r="G1051" s="972"/>
      <c r="H1051" s="972" t="s">
        <v>5019</v>
      </c>
      <c r="I1051" s="972"/>
      <c r="J1051" s="972"/>
      <c r="K1051" s="972">
        <f>K985</f>
        <v>138</v>
      </c>
      <c r="L1051" s="972"/>
      <c r="M1051" s="972"/>
    </row>
    <row r="1052" spans="5:13">
      <c r="E1052" s="972"/>
      <c r="F1052" s="972"/>
      <c r="G1052" s="972"/>
      <c r="H1052" s="972" t="s">
        <v>5020</v>
      </c>
      <c r="I1052" s="972"/>
      <c r="J1052" s="972"/>
      <c r="K1052" s="972">
        <f>K987</f>
        <v>66.100000000000009</v>
      </c>
      <c r="L1052" s="972"/>
      <c r="M1052" s="972"/>
    </row>
    <row r="1053" spans="5:13" ht="31.5">
      <c r="E1053" s="972"/>
      <c r="F1053" s="972"/>
      <c r="G1053" s="972"/>
      <c r="H1053" s="971" t="s">
        <v>5021</v>
      </c>
      <c r="I1053" s="972"/>
      <c r="J1053" s="972"/>
      <c r="K1053" s="975">
        <f>69.9*10</f>
        <v>699</v>
      </c>
      <c r="L1053" s="972"/>
      <c r="M1053" s="972"/>
    </row>
    <row r="1054" spans="5:13">
      <c r="E1054" s="972"/>
      <c r="F1054" s="972"/>
      <c r="G1054" s="972"/>
      <c r="H1054" s="972" t="s">
        <v>5796</v>
      </c>
      <c r="I1054" s="972"/>
      <c r="J1054" s="972"/>
      <c r="K1054" s="975">
        <f>0.6*661</f>
        <v>396.59999999999997</v>
      </c>
      <c r="L1054" s="972"/>
      <c r="M1054" s="972"/>
    </row>
    <row r="1055" spans="5:13">
      <c r="E1055" s="972"/>
      <c r="F1055" s="972"/>
      <c r="G1055" s="972"/>
      <c r="H1055" s="972" t="s">
        <v>5022</v>
      </c>
      <c r="I1055" s="972"/>
      <c r="J1055" s="972"/>
      <c r="K1055" s="972">
        <v>22.76</v>
      </c>
      <c r="L1055" s="972"/>
      <c r="M1055" s="972"/>
    </row>
    <row r="1056" spans="5:13">
      <c r="E1056" s="972"/>
      <c r="F1056" s="972"/>
      <c r="G1056" s="972"/>
      <c r="H1056" s="979" t="s">
        <v>3370</v>
      </c>
      <c r="I1056" s="972"/>
      <c r="J1056" s="972"/>
      <c r="K1056" s="980">
        <f>K1050-K1051-K1052+K1053+K1054+K1055</f>
        <v>9819.9583333333339</v>
      </c>
      <c r="L1056" s="972"/>
      <c r="M1056" s="972"/>
    </row>
    <row r="1057" spans="5:13">
      <c r="E1057" s="972"/>
      <c r="F1057" s="972"/>
      <c r="G1057" s="972"/>
      <c r="H1057" s="981" t="s">
        <v>3371</v>
      </c>
      <c r="I1057" s="972"/>
      <c r="J1057" s="972"/>
      <c r="K1057" s="982">
        <f>K1056/10</f>
        <v>981.99583333333339</v>
      </c>
      <c r="L1057" s="972">
        <f>982*10</f>
        <v>9820</v>
      </c>
      <c r="M1057" s="972"/>
    </row>
    <row r="1058" spans="5:13">
      <c r="E1058" s="972"/>
      <c r="F1058" s="972"/>
      <c r="G1058" s="972"/>
      <c r="H1058" s="972"/>
      <c r="I1058" s="972"/>
      <c r="J1058" s="972"/>
      <c r="K1058" s="972"/>
      <c r="L1058" s="972">
        <f>L1057-K1056</f>
        <v>4.1666666666060337E-2</v>
      </c>
      <c r="M1058" s="972"/>
    </row>
    <row r="1059" spans="5:13">
      <c r="E1059" s="972"/>
      <c r="F1059" s="972"/>
      <c r="G1059" s="972"/>
      <c r="H1059" s="972"/>
      <c r="I1059" s="972"/>
      <c r="J1059" s="972"/>
      <c r="K1059" s="972">
        <f>K1057*6</f>
        <v>5891.9750000000004</v>
      </c>
      <c r="L1059" s="972"/>
      <c r="M1059" s="972"/>
    </row>
    <row r="1060" spans="5:13">
      <c r="E1060" s="972"/>
      <c r="F1060" s="972"/>
      <c r="G1060" s="972"/>
      <c r="H1060" s="972"/>
      <c r="I1060" s="972"/>
      <c r="J1060" s="972"/>
      <c r="K1060" s="972"/>
      <c r="L1060" s="972"/>
      <c r="M1060" s="972"/>
    </row>
    <row r="1061" spans="5:13">
      <c r="E1061" s="972"/>
      <c r="F1061" s="972"/>
      <c r="G1061" s="972"/>
      <c r="H1061" s="969" t="s">
        <v>3487</v>
      </c>
      <c r="I1061" s="972"/>
      <c r="J1061" s="972"/>
      <c r="K1061" s="972"/>
      <c r="L1061" s="972"/>
      <c r="M1061" s="972"/>
    </row>
    <row r="1062" spans="5:13" ht="173.25">
      <c r="E1062" s="972"/>
      <c r="F1062" s="972"/>
      <c r="G1062" s="972"/>
      <c r="H1062" s="971" t="s">
        <v>3488</v>
      </c>
      <c r="I1062" s="972"/>
      <c r="J1062" s="972"/>
      <c r="K1062" s="972"/>
      <c r="L1062" s="972"/>
      <c r="M1062" s="972"/>
    </row>
    <row r="1063" spans="5:13" ht="31.5">
      <c r="E1063" s="972"/>
      <c r="F1063" s="972">
        <v>90</v>
      </c>
      <c r="G1063" s="972" t="s">
        <v>303</v>
      </c>
      <c r="H1063" s="964" t="s">
        <v>3321</v>
      </c>
      <c r="I1063" s="972">
        <f>I218</f>
        <v>16.55</v>
      </c>
      <c r="J1063" s="972" t="s">
        <v>3322</v>
      </c>
      <c r="K1063" s="972">
        <f>F1063*I1063</f>
        <v>1489.5</v>
      </c>
      <c r="L1063" s="972"/>
      <c r="M1063" s="972"/>
    </row>
    <row r="1064" spans="5:13" ht="31.5">
      <c r="E1064" s="972"/>
      <c r="F1064" s="972">
        <v>30</v>
      </c>
      <c r="G1064" s="972" t="s">
        <v>303</v>
      </c>
      <c r="H1064" s="971" t="s">
        <v>3323</v>
      </c>
      <c r="I1064" s="972">
        <f>I219</f>
        <v>20</v>
      </c>
      <c r="J1064" s="972" t="s">
        <v>303</v>
      </c>
      <c r="K1064" s="972">
        <f t="shared" ref="K1064:K1073" si="19">F1064*I1064</f>
        <v>600</v>
      </c>
      <c r="L1064" s="972"/>
      <c r="M1064" s="972"/>
    </row>
    <row r="1065" spans="5:13">
      <c r="E1065" s="972"/>
      <c r="F1065" s="972">
        <v>10</v>
      </c>
      <c r="G1065" s="972" t="s">
        <v>68</v>
      </c>
      <c r="H1065" s="972" t="s">
        <v>3324</v>
      </c>
      <c r="I1065" s="972">
        <f>I220</f>
        <v>3.15</v>
      </c>
      <c r="J1065" s="972" t="s">
        <v>68</v>
      </c>
      <c r="K1065" s="972">
        <f t="shared" si="19"/>
        <v>31.5</v>
      </c>
      <c r="L1065" s="972"/>
      <c r="M1065" s="972"/>
    </row>
    <row r="1066" spans="5:13">
      <c r="E1066" s="972"/>
      <c r="F1066" s="972">
        <v>5</v>
      </c>
      <c r="G1066" s="972" t="s">
        <v>68</v>
      </c>
      <c r="H1066" s="972" t="s">
        <v>3327</v>
      </c>
      <c r="I1066" s="972">
        <f>I221</f>
        <v>1.3375000000000001</v>
      </c>
      <c r="J1066" s="972" t="s">
        <v>68</v>
      </c>
      <c r="K1066" s="972">
        <f t="shared" si="19"/>
        <v>6.6875000000000009</v>
      </c>
      <c r="L1066" s="972"/>
      <c r="M1066" s="972"/>
    </row>
    <row r="1067" spans="5:13">
      <c r="E1067" s="972"/>
      <c r="F1067" s="972">
        <v>10</v>
      </c>
      <c r="G1067" s="972" t="s">
        <v>68</v>
      </c>
      <c r="H1067" s="972" t="s">
        <v>3489</v>
      </c>
      <c r="I1067" s="972">
        <f>I222</f>
        <v>20.108333333333334</v>
      </c>
      <c r="J1067" s="972" t="s">
        <v>68</v>
      </c>
      <c r="K1067" s="972">
        <f t="shared" si="19"/>
        <v>201.08333333333334</v>
      </c>
      <c r="L1067" s="972"/>
      <c r="M1067" s="972"/>
    </row>
    <row r="1068" spans="5:13">
      <c r="E1068" s="972"/>
      <c r="F1068" s="972">
        <v>5</v>
      </c>
      <c r="G1068" s="972" t="s">
        <v>68</v>
      </c>
      <c r="H1068" s="972" t="s">
        <v>3490</v>
      </c>
      <c r="I1068" s="1042">
        <v>5.58</v>
      </c>
      <c r="J1068" s="972" t="s">
        <v>340</v>
      </c>
      <c r="K1068" s="972">
        <f t="shared" si="19"/>
        <v>27.9</v>
      </c>
      <c r="L1068" s="972"/>
      <c r="M1068" s="972"/>
    </row>
    <row r="1069" spans="5:13">
      <c r="E1069" s="972"/>
      <c r="F1069" s="972">
        <v>5</v>
      </c>
      <c r="G1069" s="972" t="s">
        <v>68</v>
      </c>
      <c r="H1069" s="972" t="s">
        <v>3332</v>
      </c>
      <c r="I1069" s="972">
        <f>I223</f>
        <v>13.8</v>
      </c>
      <c r="J1069" s="972" t="s">
        <v>68</v>
      </c>
      <c r="K1069" s="972">
        <f t="shared" si="19"/>
        <v>69</v>
      </c>
      <c r="L1069" s="972"/>
      <c r="M1069" s="972"/>
    </row>
    <row r="1070" spans="5:13">
      <c r="E1070" s="972"/>
      <c r="F1070" s="976">
        <v>0.09</v>
      </c>
      <c r="G1070" s="972" t="s">
        <v>306</v>
      </c>
      <c r="H1070" s="972" t="s">
        <v>3375</v>
      </c>
      <c r="I1070" s="972">
        <f>I226</f>
        <v>661</v>
      </c>
      <c r="J1070" s="972" t="s">
        <v>306</v>
      </c>
      <c r="K1070" s="972">
        <f t="shared" si="19"/>
        <v>59.489999999999995</v>
      </c>
      <c r="L1070" s="972"/>
      <c r="M1070" s="972"/>
    </row>
    <row r="1071" spans="5:13">
      <c r="E1071" s="972"/>
      <c r="F1071" s="972">
        <v>1</v>
      </c>
      <c r="G1071" s="972" t="s">
        <v>3336</v>
      </c>
      <c r="H1071" s="972" t="s">
        <v>278</v>
      </c>
      <c r="I1071" s="972">
        <f>[5]Data!Z31/20</f>
        <v>302</v>
      </c>
      <c r="J1071" s="972" t="s">
        <v>3336</v>
      </c>
      <c r="K1071" s="972">
        <f t="shared" si="19"/>
        <v>302</v>
      </c>
      <c r="L1071" s="972"/>
      <c r="M1071" s="972"/>
    </row>
    <row r="1072" spans="5:13">
      <c r="E1072" s="972"/>
      <c r="F1072" s="972">
        <v>6</v>
      </c>
      <c r="G1072" s="972" t="s">
        <v>68</v>
      </c>
      <c r="H1072" s="972" t="s">
        <v>3491</v>
      </c>
      <c r="I1072" s="972">
        <f>I986</f>
        <v>16.5</v>
      </c>
      <c r="J1072" s="972" t="s">
        <v>340</v>
      </c>
      <c r="K1072" s="972">
        <f t="shared" si="19"/>
        <v>99</v>
      </c>
      <c r="L1072" s="972"/>
      <c r="M1072" s="972"/>
    </row>
    <row r="1073" spans="5:13" ht="31.5">
      <c r="E1073" s="972"/>
      <c r="F1073" s="972">
        <v>30</v>
      </c>
      <c r="G1073" s="972" t="s">
        <v>303</v>
      </c>
      <c r="H1073" s="964" t="s">
        <v>3340</v>
      </c>
      <c r="I1073" s="972">
        <f>I1063</f>
        <v>16.55</v>
      </c>
      <c r="J1073" s="972" t="s">
        <v>3322</v>
      </c>
      <c r="K1073" s="972">
        <f t="shared" si="19"/>
        <v>496.5</v>
      </c>
      <c r="L1073" s="972"/>
      <c r="M1073" s="972"/>
    </row>
    <row r="1074" spans="5:13">
      <c r="E1074" s="972"/>
      <c r="F1074" s="972"/>
      <c r="G1074" s="972"/>
      <c r="H1074" s="972" t="s">
        <v>910</v>
      </c>
      <c r="I1074" s="972"/>
      <c r="J1074" s="972"/>
      <c r="K1074" s="972">
        <f>K1007</f>
        <v>7242</v>
      </c>
      <c r="L1074" s="972"/>
      <c r="M1074" s="972"/>
    </row>
    <row r="1075" spans="5:13">
      <c r="E1075" s="972"/>
      <c r="F1075" s="972"/>
      <c r="G1075" s="972"/>
      <c r="H1075" s="972" t="s">
        <v>337</v>
      </c>
      <c r="I1075" s="972"/>
      <c r="J1075" s="972"/>
      <c r="K1075" s="972">
        <v>12.8</v>
      </c>
      <c r="L1075" s="972"/>
      <c r="M1075" s="972"/>
    </row>
    <row r="1076" spans="5:13">
      <c r="E1076" s="972"/>
      <c r="F1076" s="972"/>
      <c r="G1076" s="972"/>
      <c r="H1076" s="979" t="s">
        <v>3492</v>
      </c>
      <c r="I1076" s="972"/>
      <c r="J1076" s="972"/>
      <c r="K1076" s="980">
        <f>SUM(K1063:K1075)</f>
        <v>10637.460833333333</v>
      </c>
      <c r="L1076" s="972"/>
      <c r="M1076" s="972"/>
    </row>
    <row r="1077" spans="5:13">
      <c r="E1077" s="972"/>
      <c r="F1077" s="972"/>
      <c r="G1077" s="972"/>
      <c r="H1077" s="981" t="s">
        <v>3357</v>
      </c>
      <c r="I1077" s="972"/>
      <c r="J1077" s="972"/>
      <c r="K1077" s="982">
        <f>K1076/5</f>
        <v>2127.4921666666664</v>
      </c>
      <c r="L1077" s="972">
        <f>1964*5</f>
        <v>9820</v>
      </c>
      <c r="M1077" s="972">
        <f>K1076/5</f>
        <v>2127.4921666666664</v>
      </c>
    </row>
    <row r="1078" spans="5:13">
      <c r="E1078" s="972"/>
      <c r="F1078" s="972"/>
      <c r="G1078" s="972"/>
      <c r="H1078" s="982"/>
      <c r="I1078" s="972"/>
      <c r="J1078" s="972"/>
      <c r="K1078" s="972"/>
      <c r="L1078" s="972">
        <f>L1077-K1076</f>
        <v>-817.46083333333263</v>
      </c>
      <c r="M1078" s="972"/>
    </row>
    <row r="1079" spans="5:13">
      <c r="E1079" s="972"/>
      <c r="F1079" s="972"/>
      <c r="G1079" s="972"/>
      <c r="H1079" s="982" t="s">
        <v>3372</v>
      </c>
      <c r="I1079" s="972"/>
      <c r="J1079" s="972"/>
      <c r="K1079" s="972"/>
      <c r="L1079" s="972"/>
      <c r="M1079" s="972"/>
    </row>
    <row r="1080" spans="5:13">
      <c r="E1080" s="972"/>
      <c r="F1080" s="972"/>
      <c r="G1080" s="972"/>
      <c r="H1080" s="972"/>
      <c r="I1080" s="972"/>
      <c r="J1080" s="972"/>
      <c r="K1080" s="972"/>
      <c r="L1080" s="972"/>
      <c r="M1080" s="972"/>
    </row>
    <row r="1081" spans="5:13" ht="157.5">
      <c r="E1081" s="972"/>
      <c r="F1081" s="972"/>
      <c r="G1081" s="972"/>
      <c r="H1081" s="971" t="s">
        <v>3373</v>
      </c>
      <c r="I1081" s="972"/>
      <c r="J1081" s="972"/>
      <c r="K1081" s="972"/>
      <c r="L1081" s="972"/>
      <c r="M1081" s="972"/>
    </row>
    <row r="1082" spans="5:13" ht="31.5">
      <c r="E1082" s="972"/>
      <c r="F1082" s="972">
        <v>90</v>
      </c>
      <c r="G1082" s="972" t="s">
        <v>303</v>
      </c>
      <c r="H1082" s="964" t="s">
        <v>3321</v>
      </c>
      <c r="I1082" s="972">
        <f>I120</f>
        <v>16.55</v>
      </c>
      <c r="J1082" s="972" t="s">
        <v>303</v>
      </c>
      <c r="K1082" s="972">
        <f>F1082*I1082</f>
        <v>1489.5</v>
      </c>
      <c r="L1082" s="972"/>
      <c r="M1082" s="972"/>
    </row>
    <row r="1083" spans="5:13" ht="31.5">
      <c r="E1083" s="972"/>
      <c r="F1083" s="972">
        <v>45</v>
      </c>
      <c r="G1083" s="972" t="s">
        <v>303</v>
      </c>
      <c r="H1083" s="971" t="s">
        <v>3323</v>
      </c>
      <c r="I1083" s="972">
        <f t="shared" ref="I1083:I1092" si="20">I121</f>
        <v>20</v>
      </c>
      <c r="J1083" s="972" t="s">
        <v>303</v>
      </c>
      <c r="K1083" s="972">
        <f t="shared" ref="K1083:K1092" si="21">F1083*I1083</f>
        <v>900</v>
      </c>
      <c r="L1083" s="972"/>
      <c r="M1083" s="972"/>
    </row>
    <row r="1084" spans="5:13">
      <c r="E1084" s="972"/>
      <c r="F1084" s="972">
        <v>20</v>
      </c>
      <c r="G1084" s="972" t="s">
        <v>68</v>
      </c>
      <c r="H1084" s="972" t="s">
        <v>3324</v>
      </c>
      <c r="I1084" s="972">
        <f t="shared" si="20"/>
        <v>3.15</v>
      </c>
      <c r="J1084" s="972" t="s">
        <v>3329</v>
      </c>
      <c r="K1084" s="972">
        <f t="shared" si="21"/>
        <v>63</v>
      </c>
      <c r="L1084" s="972"/>
      <c r="M1084" s="972"/>
    </row>
    <row r="1085" spans="5:13">
      <c r="E1085" s="972"/>
      <c r="F1085" s="972">
        <v>10</v>
      </c>
      <c r="G1085" s="972" t="s">
        <v>68</v>
      </c>
      <c r="H1085" s="972" t="s">
        <v>3327</v>
      </c>
      <c r="I1085" s="972">
        <f t="shared" si="20"/>
        <v>1.3375000000000001</v>
      </c>
      <c r="J1085" s="972" t="s">
        <v>3329</v>
      </c>
      <c r="K1085" s="972">
        <f t="shared" si="21"/>
        <v>13.375000000000002</v>
      </c>
      <c r="L1085" s="972"/>
      <c r="M1085" s="972"/>
    </row>
    <row r="1086" spans="5:13">
      <c r="E1086" s="972"/>
      <c r="F1086" s="972">
        <v>1</v>
      </c>
      <c r="G1086" s="972" t="s">
        <v>68</v>
      </c>
      <c r="H1086" s="972" t="s">
        <v>3374</v>
      </c>
      <c r="I1086" s="972">
        <f t="shared" si="20"/>
        <v>70.7</v>
      </c>
      <c r="J1086" s="972" t="s">
        <v>68</v>
      </c>
      <c r="K1086" s="972">
        <f t="shared" si="21"/>
        <v>70.7</v>
      </c>
      <c r="L1086" s="972"/>
      <c r="M1086" s="972"/>
    </row>
    <row r="1087" spans="5:13">
      <c r="E1087" s="972"/>
      <c r="F1087" s="976">
        <v>1.4999999999999999E-2</v>
      </c>
      <c r="G1087" s="972" t="s">
        <v>306</v>
      </c>
      <c r="H1087" s="972" t="s">
        <v>3375</v>
      </c>
      <c r="I1087" s="972">
        <f t="shared" si="20"/>
        <v>661</v>
      </c>
      <c r="J1087" s="972" t="s">
        <v>306</v>
      </c>
      <c r="K1087" s="972">
        <f t="shared" si="21"/>
        <v>9.9149999999999991</v>
      </c>
      <c r="L1087" s="972"/>
      <c r="M1087" s="972"/>
    </row>
    <row r="1088" spans="5:13">
      <c r="E1088" s="972"/>
      <c r="F1088" s="972">
        <v>15</v>
      </c>
      <c r="G1088" s="972" t="s">
        <v>68</v>
      </c>
      <c r="H1088" s="972" t="s">
        <v>3376</v>
      </c>
      <c r="I1088" s="972">
        <f t="shared" si="20"/>
        <v>40.308333333333337</v>
      </c>
      <c r="J1088" s="972" t="s">
        <v>68</v>
      </c>
      <c r="K1088" s="972">
        <f t="shared" si="21"/>
        <v>604.625</v>
      </c>
      <c r="L1088" s="972"/>
      <c r="M1088" s="972"/>
    </row>
    <row r="1089" spans="5:13">
      <c r="E1089" s="972"/>
      <c r="F1089" s="972">
        <v>15</v>
      </c>
      <c r="G1089" s="972" t="s">
        <v>68</v>
      </c>
      <c r="H1089" s="972" t="s">
        <v>3374</v>
      </c>
      <c r="I1089" s="972">
        <f t="shared" si="20"/>
        <v>70.7</v>
      </c>
      <c r="J1089" s="972" t="s">
        <v>68</v>
      </c>
      <c r="K1089" s="972">
        <f t="shared" si="21"/>
        <v>1060.5</v>
      </c>
      <c r="L1089" s="972"/>
      <c r="M1089" s="972"/>
    </row>
    <row r="1090" spans="5:13">
      <c r="E1090" s="972"/>
      <c r="F1090" s="976">
        <v>0.22500000000000001</v>
      </c>
      <c r="G1090" s="972" t="s">
        <v>306</v>
      </c>
      <c r="H1090" s="972" t="s">
        <v>3375</v>
      </c>
      <c r="I1090" s="972">
        <f t="shared" si="20"/>
        <v>661</v>
      </c>
      <c r="J1090" s="972" t="s">
        <v>3377</v>
      </c>
      <c r="K1090" s="972">
        <f t="shared" si="21"/>
        <v>148.72499999999999</v>
      </c>
      <c r="L1090" s="972"/>
      <c r="M1090" s="972"/>
    </row>
    <row r="1091" spans="5:13">
      <c r="E1091" s="972"/>
      <c r="F1091" s="972">
        <v>1.25</v>
      </c>
      <c r="G1091" s="972" t="s">
        <v>3336</v>
      </c>
      <c r="H1091" s="972" t="s">
        <v>278</v>
      </c>
      <c r="I1091" s="972">
        <f t="shared" si="20"/>
        <v>302</v>
      </c>
      <c r="J1091" s="972" t="s">
        <v>3336</v>
      </c>
      <c r="K1091" s="972">
        <f t="shared" si="21"/>
        <v>377.5</v>
      </c>
      <c r="L1091" s="972"/>
      <c r="M1091" s="972"/>
    </row>
    <row r="1092" spans="5:13" ht="31.5">
      <c r="E1092" s="972"/>
      <c r="F1092" s="972">
        <v>45</v>
      </c>
      <c r="G1092" s="972" t="s">
        <v>306</v>
      </c>
      <c r="H1092" s="964" t="s">
        <v>3340</v>
      </c>
      <c r="I1092" s="972">
        <f t="shared" si="20"/>
        <v>16.55</v>
      </c>
      <c r="J1092" s="972" t="s">
        <v>303</v>
      </c>
      <c r="K1092" s="972">
        <f t="shared" si="21"/>
        <v>744.75</v>
      </c>
      <c r="L1092" s="972"/>
      <c r="M1092" s="972"/>
    </row>
    <row r="1093" spans="5:13">
      <c r="E1093" s="972"/>
      <c r="F1093" s="972"/>
      <c r="G1093" s="972"/>
      <c r="H1093" s="972" t="s">
        <v>910</v>
      </c>
      <c r="I1093" s="972"/>
      <c r="J1093" s="972"/>
      <c r="K1093" s="972">
        <f>K1009</f>
        <v>4828</v>
      </c>
      <c r="L1093" s="972"/>
      <c r="M1093" s="972"/>
    </row>
    <row r="1094" spans="5:13">
      <c r="E1094" s="972"/>
      <c r="F1094" s="972"/>
      <c r="G1094" s="972"/>
      <c r="H1094" s="972" t="s">
        <v>337</v>
      </c>
      <c r="I1094" s="972"/>
      <c r="J1094" s="972"/>
      <c r="K1094" s="972">
        <v>39.35</v>
      </c>
      <c r="L1094" s="972"/>
      <c r="M1094" s="972"/>
    </row>
    <row r="1095" spans="5:13">
      <c r="E1095" s="972"/>
      <c r="F1095" s="972"/>
      <c r="G1095" s="972"/>
      <c r="H1095" s="979" t="s">
        <v>3378</v>
      </c>
      <c r="I1095" s="972"/>
      <c r="J1095" s="972"/>
      <c r="K1095" s="980">
        <f>SUM(K1082:K1094)</f>
        <v>10349.94</v>
      </c>
      <c r="L1095" s="972"/>
      <c r="M1095" s="972"/>
    </row>
    <row r="1096" spans="5:13">
      <c r="E1096" s="972"/>
      <c r="F1096" s="972"/>
      <c r="G1096" s="972"/>
      <c r="H1096" s="981" t="s">
        <v>3357</v>
      </c>
      <c r="I1096" s="972"/>
      <c r="J1096" s="972"/>
      <c r="K1096" s="982">
        <f>K1095/15</f>
        <v>689.99599999999998</v>
      </c>
      <c r="L1096" s="972">
        <f>690*15</f>
        <v>10350</v>
      </c>
      <c r="M1096" s="972">
        <f>L1096-K1095</f>
        <v>5.9999999999490683E-2</v>
      </c>
    </row>
    <row r="1097" spans="5:13">
      <c r="E1097" s="972"/>
      <c r="F1097" s="972"/>
      <c r="G1097" s="972"/>
      <c r="H1097" s="982" t="s">
        <v>910</v>
      </c>
      <c r="I1097" s="972"/>
      <c r="J1097" s="972"/>
      <c r="K1097" s="982"/>
      <c r="L1097" s="972">
        <f>L1096-K1095</f>
        <v>5.9999999999490683E-2</v>
      </c>
      <c r="M1097" s="972"/>
    </row>
    <row r="1098" spans="5:13">
      <c r="E1098" s="972"/>
      <c r="F1098" s="972">
        <v>1</v>
      </c>
      <c r="G1098" s="972" t="s">
        <v>68</v>
      </c>
      <c r="H1098" s="972" t="s">
        <v>3349</v>
      </c>
      <c r="I1098" s="972">
        <f>I35</f>
        <v>898</v>
      </c>
      <c r="J1098" s="972" t="s">
        <v>68</v>
      </c>
      <c r="K1098" s="972">
        <f>F1098*I1098</f>
        <v>898</v>
      </c>
      <c r="L1098" s="972"/>
      <c r="M1098" s="972"/>
    </row>
    <row r="1099" spans="5:13">
      <c r="E1099" s="972"/>
      <c r="F1099" s="972">
        <v>2</v>
      </c>
      <c r="G1099" s="972" t="s">
        <v>68</v>
      </c>
      <c r="H1099" s="972" t="s">
        <v>3350</v>
      </c>
      <c r="I1099" s="972">
        <f>I36</f>
        <v>783</v>
      </c>
      <c r="J1099" s="972" t="s">
        <v>68</v>
      </c>
      <c r="K1099" s="972">
        <f>F1099*I1099</f>
        <v>1566</v>
      </c>
      <c r="L1099" s="972"/>
      <c r="M1099" s="972"/>
    </row>
    <row r="1100" spans="5:13">
      <c r="E1100" s="972"/>
      <c r="F1100" s="972">
        <v>3</v>
      </c>
      <c r="G1100" s="972" t="s">
        <v>68</v>
      </c>
      <c r="H1100" s="972" t="s">
        <v>3351</v>
      </c>
      <c r="I1100" s="972">
        <f>I37</f>
        <v>778</v>
      </c>
      <c r="J1100" s="972" t="s">
        <v>68</v>
      </c>
      <c r="K1100" s="972">
        <f>F1100*I1100</f>
        <v>2334</v>
      </c>
      <c r="L1100" s="972"/>
      <c r="M1100" s="972"/>
    </row>
    <row r="1101" spans="5:13">
      <c r="E1101" s="972"/>
      <c r="F1101" s="972">
        <v>4</v>
      </c>
      <c r="G1101" s="972" t="s">
        <v>68</v>
      </c>
      <c r="H1101" s="972" t="s">
        <v>3352</v>
      </c>
      <c r="I1101" s="972">
        <f>I38</f>
        <v>611</v>
      </c>
      <c r="J1101" s="972" t="s">
        <v>68</v>
      </c>
      <c r="K1101" s="972">
        <f>F1101*I1101</f>
        <v>2444</v>
      </c>
      <c r="L1101" s="972"/>
      <c r="M1101" s="972"/>
    </row>
    <row r="1102" spans="5:13">
      <c r="E1102" s="972"/>
      <c r="F1102" s="972"/>
      <c r="G1102" s="972"/>
      <c r="H1102" s="981"/>
      <c r="I1102" s="972"/>
      <c r="J1102" s="972"/>
      <c r="K1102" s="982">
        <f>SUM(K1098:K1101)</f>
        <v>7242</v>
      </c>
      <c r="L1102" s="972"/>
      <c r="M1102" s="972"/>
    </row>
    <row r="1103" spans="5:13">
      <c r="E1103" s="972"/>
      <c r="F1103" s="972"/>
      <c r="G1103" s="972"/>
      <c r="H1103" s="981"/>
      <c r="I1103" s="972"/>
      <c r="J1103" s="972"/>
      <c r="K1103" s="982"/>
      <c r="L1103" s="972"/>
      <c r="M1103" s="972"/>
    </row>
    <row r="1104" spans="5:13">
      <c r="E1104" s="972"/>
      <c r="F1104" s="972"/>
      <c r="G1104" s="972"/>
      <c r="H1104" s="981"/>
      <c r="I1104" s="972"/>
      <c r="J1104" s="972"/>
      <c r="K1104" s="982"/>
      <c r="L1104" s="972"/>
      <c r="M1104" s="972"/>
    </row>
    <row r="1105" spans="5:13">
      <c r="E1105" s="972"/>
      <c r="F1105" s="972"/>
      <c r="G1105" s="972"/>
      <c r="H1105" s="982" t="s">
        <v>4686</v>
      </c>
      <c r="I1105" s="972"/>
      <c r="J1105" s="972"/>
      <c r="K1105" s="972"/>
      <c r="L1105" s="972"/>
      <c r="M1105" s="972"/>
    </row>
    <row r="1106" spans="5:13">
      <c r="E1106" s="972"/>
      <c r="F1106" s="972"/>
      <c r="G1106" s="972"/>
      <c r="H1106" s="972"/>
      <c r="I1106" s="972"/>
      <c r="J1106" s="972"/>
      <c r="K1106" s="972"/>
      <c r="L1106" s="972"/>
      <c r="M1106" s="972"/>
    </row>
    <row r="1107" spans="5:13" ht="110.25">
      <c r="E1107" s="972"/>
      <c r="F1107" s="972"/>
      <c r="G1107" s="972"/>
      <c r="H1107" s="971" t="s">
        <v>5023</v>
      </c>
      <c r="I1107" s="972"/>
      <c r="J1107" s="972"/>
      <c r="K1107" s="972"/>
      <c r="L1107" s="972"/>
      <c r="M1107" s="972"/>
    </row>
    <row r="1108" spans="5:13">
      <c r="E1108" s="972"/>
      <c r="F1108" s="972"/>
      <c r="G1108" s="972"/>
      <c r="H1108" s="972"/>
      <c r="I1108" s="972"/>
      <c r="J1108" s="972"/>
      <c r="K1108" s="972"/>
      <c r="L1108" s="972"/>
      <c r="M1108" s="972"/>
    </row>
    <row r="1109" spans="5:13" ht="31.5">
      <c r="E1109" s="972"/>
      <c r="F1109" s="972">
        <v>180</v>
      </c>
      <c r="G1109" s="972" t="s">
        <v>303</v>
      </c>
      <c r="H1109" s="964" t="s">
        <v>3321</v>
      </c>
      <c r="I1109" s="972">
        <f>I241</f>
        <v>16.55</v>
      </c>
      <c r="J1109" s="972" t="s">
        <v>303</v>
      </c>
      <c r="K1109" s="972">
        <f>I1109*F1109</f>
        <v>2979</v>
      </c>
      <c r="L1109" s="972"/>
      <c r="M1109" s="972"/>
    </row>
    <row r="1110" spans="5:13" ht="31.5">
      <c r="E1110" s="972"/>
      <c r="F1110" s="972">
        <v>90</v>
      </c>
      <c r="G1110" s="972" t="s">
        <v>303</v>
      </c>
      <c r="H1110" s="971" t="s">
        <v>3323</v>
      </c>
      <c r="I1110" s="972">
        <f>I242</f>
        <v>20</v>
      </c>
      <c r="J1110" s="972" t="s">
        <v>303</v>
      </c>
      <c r="K1110" s="972">
        <f t="shared" ref="K1110:K1115" si="22">I1110*F1110</f>
        <v>1800</v>
      </c>
      <c r="L1110" s="972"/>
      <c r="M1110" s="972"/>
    </row>
    <row r="1111" spans="5:13">
      <c r="E1111" s="972"/>
      <c r="F1111" s="972">
        <v>1</v>
      </c>
      <c r="G1111" s="972" t="s">
        <v>5024</v>
      </c>
      <c r="H1111" s="971" t="s">
        <v>5025</v>
      </c>
      <c r="I1111" s="975">
        <v>39</v>
      </c>
      <c r="J1111" s="972" t="s">
        <v>5024</v>
      </c>
      <c r="K1111" s="972">
        <f t="shared" si="22"/>
        <v>39</v>
      </c>
      <c r="L1111" s="972"/>
      <c r="M1111" s="972"/>
    </row>
    <row r="1112" spans="5:13">
      <c r="E1112" s="972"/>
      <c r="F1112" s="972">
        <v>300</v>
      </c>
      <c r="G1112" s="972" t="s">
        <v>154</v>
      </c>
      <c r="H1112" s="971" t="s">
        <v>5026</v>
      </c>
      <c r="I1112" s="972">
        <f>I749</f>
        <v>287</v>
      </c>
      <c r="J1112" s="972" t="s">
        <v>5027</v>
      </c>
      <c r="K1112" s="972">
        <f>(I1112*F1112)/1000</f>
        <v>86.1</v>
      </c>
      <c r="L1112" s="972"/>
      <c r="M1112" s="972"/>
    </row>
    <row r="1113" spans="5:13">
      <c r="E1113" s="972"/>
      <c r="F1113" s="972">
        <v>2</v>
      </c>
      <c r="G1113" s="972" t="s">
        <v>3333</v>
      </c>
      <c r="H1113" s="971" t="s">
        <v>5028</v>
      </c>
      <c r="I1113" s="972">
        <f>I982</f>
        <v>69.400000000000006</v>
      </c>
      <c r="J1113" s="972" t="s">
        <v>5024</v>
      </c>
      <c r="K1113" s="972">
        <f t="shared" si="22"/>
        <v>138.80000000000001</v>
      </c>
      <c r="L1113" s="972"/>
      <c r="M1113" s="972"/>
    </row>
    <row r="1114" spans="5:13">
      <c r="E1114" s="972"/>
      <c r="F1114" s="972">
        <v>0.33</v>
      </c>
      <c r="G1114" s="972" t="s">
        <v>3336</v>
      </c>
      <c r="H1114" s="972" t="s">
        <v>278</v>
      </c>
      <c r="I1114" s="972">
        <f>I243</f>
        <v>302</v>
      </c>
      <c r="J1114" s="972" t="s">
        <v>3336</v>
      </c>
      <c r="K1114" s="972">
        <f t="shared" si="22"/>
        <v>99.660000000000011</v>
      </c>
      <c r="L1114" s="972"/>
      <c r="M1114" s="972"/>
    </row>
    <row r="1115" spans="5:13" ht="31.5">
      <c r="E1115" s="972"/>
      <c r="F1115" s="972">
        <v>90</v>
      </c>
      <c r="G1115" s="972" t="s">
        <v>303</v>
      </c>
      <c r="H1115" s="964" t="s">
        <v>3340</v>
      </c>
      <c r="I1115" s="972">
        <f>I244</f>
        <v>16.55</v>
      </c>
      <c r="J1115" s="972" t="s">
        <v>3322</v>
      </c>
      <c r="K1115" s="972">
        <f t="shared" si="22"/>
        <v>1489.5</v>
      </c>
      <c r="L1115" s="972"/>
      <c r="M1115" s="972"/>
    </row>
    <row r="1116" spans="5:13">
      <c r="E1116" s="972"/>
      <c r="F1116" s="1043" t="s">
        <v>5029</v>
      </c>
      <c r="G1116" s="972"/>
      <c r="H1116" s="972" t="s">
        <v>910</v>
      </c>
      <c r="I1116" s="972">
        <f>K1102</f>
        <v>7242</v>
      </c>
      <c r="J1116" s="972"/>
      <c r="K1116" s="972">
        <f>2/3*I1116</f>
        <v>4828</v>
      </c>
      <c r="L1116" s="972"/>
      <c r="M1116" s="972"/>
    </row>
    <row r="1117" spans="5:13">
      <c r="E1117" s="972"/>
      <c r="F1117" s="972"/>
      <c r="G1117" s="972"/>
      <c r="H1117" s="972"/>
      <c r="I1117" s="972"/>
      <c r="J1117" s="972"/>
      <c r="K1117" s="972">
        <f>SUM(K1109:K1116)</f>
        <v>11460.060000000001</v>
      </c>
      <c r="L1117" s="972"/>
      <c r="M1117" s="972"/>
    </row>
    <row r="1118" spans="5:13">
      <c r="E1118" s="972"/>
      <c r="F1118" s="972"/>
      <c r="G1118" s="972"/>
      <c r="H1118" s="972" t="s">
        <v>337</v>
      </c>
      <c r="I1118" s="972"/>
      <c r="J1118" s="972"/>
      <c r="K1118" s="972">
        <v>77.94</v>
      </c>
      <c r="L1118" s="972"/>
      <c r="M1118" s="972"/>
    </row>
    <row r="1119" spans="5:13">
      <c r="E1119" s="972"/>
      <c r="F1119" s="972"/>
      <c r="G1119" s="972"/>
      <c r="H1119" s="979" t="s">
        <v>4692</v>
      </c>
      <c r="I1119" s="972"/>
      <c r="J1119" s="972"/>
      <c r="K1119" s="980">
        <f>SUM(K1117:K1118)</f>
        <v>11538.000000000002</v>
      </c>
      <c r="L1119" s="972">
        <f>128.2*90</f>
        <v>11537.999999999998</v>
      </c>
      <c r="M1119" s="972">
        <f>L1119-K1119</f>
        <v>0</v>
      </c>
    </row>
    <row r="1120" spans="5:13">
      <c r="E1120" s="972"/>
      <c r="F1120" s="972"/>
      <c r="G1120" s="972"/>
      <c r="H1120" s="981" t="s">
        <v>3364</v>
      </c>
      <c r="I1120" s="972"/>
      <c r="J1120" s="972"/>
      <c r="K1120" s="982">
        <f>K1119/90</f>
        <v>128.20000000000002</v>
      </c>
      <c r="L1120" s="972">
        <f>119.3*90</f>
        <v>10737</v>
      </c>
      <c r="M1120" s="972"/>
    </row>
    <row r="1121" spans="5:13">
      <c r="E1121" s="972"/>
      <c r="F1121" s="972"/>
      <c r="G1121" s="972"/>
      <c r="H1121" s="972"/>
      <c r="I1121" s="972"/>
      <c r="J1121" s="972"/>
      <c r="K1121" s="972"/>
      <c r="L1121" s="972">
        <f>L1120-K1119</f>
        <v>-801.00000000000182</v>
      </c>
      <c r="M1121" s="972"/>
    </row>
    <row r="1122" spans="5:13">
      <c r="E1122" s="972"/>
      <c r="F1122" s="972"/>
      <c r="G1122" s="972"/>
      <c r="H1122" s="982" t="s">
        <v>3358</v>
      </c>
      <c r="I1122" s="972"/>
      <c r="J1122" s="972"/>
      <c r="K1122" s="972"/>
      <c r="L1122" s="972"/>
      <c r="M1122" s="972"/>
    </row>
    <row r="1123" spans="5:13">
      <c r="E1123" s="972"/>
      <c r="F1123" s="972"/>
      <c r="G1123" s="972"/>
      <c r="H1123" s="972"/>
      <c r="I1123" s="972"/>
      <c r="J1123" s="972"/>
      <c r="K1123" s="972"/>
      <c r="L1123" s="972"/>
      <c r="M1123" s="972"/>
    </row>
    <row r="1124" spans="5:13" ht="110.25">
      <c r="E1124" s="972"/>
      <c r="F1124" s="972"/>
      <c r="G1124" s="972"/>
      <c r="H1124" s="971" t="s">
        <v>3359</v>
      </c>
      <c r="I1124" s="972"/>
      <c r="J1124" s="972"/>
      <c r="K1124" s="972"/>
      <c r="L1124" s="972"/>
      <c r="M1124" s="972"/>
    </row>
    <row r="1125" spans="5:13">
      <c r="E1125" s="972"/>
      <c r="F1125" s="972"/>
      <c r="G1125" s="972"/>
      <c r="H1125" s="972"/>
      <c r="I1125" s="972"/>
      <c r="J1125" s="972"/>
      <c r="K1125" s="972"/>
      <c r="L1125" s="972"/>
      <c r="M1125" s="972"/>
    </row>
    <row r="1126" spans="5:13">
      <c r="E1126" s="972"/>
      <c r="F1126" s="972"/>
      <c r="G1126" s="972"/>
      <c r="H1126" s="972" t="s">
        <v>3360</v>
      </c>
      <c r="I1126" s="972"/>
      <c r="J1126" s="972"/>
      <c r="K1126" s="972">
        <f>K1119</f>
        <v>11538.000000000002</v>
      </c>
      <c r="L1126" s="972"/>
      <c r="M1126" s="972"/>
    </row>
    <row r="1127" spans="5:13" ht="31.5">
      <c r="E1127" s="972"/>
      <c r="F1127" s="972">
        <v>180</v>
      </c>
      <c r="G1127" s="972" t="s">
        <v>303</v>
      </c>
      <c r="H1127" s="971" t="s">
        <v>3361</v>
      </c>
      <c r="I1127" s="972">
        <f>I257</f>
        <v>25.75</v>
      </c>
      <c r="J1127" s="972" t="s">
        <v>303</v>
      </c>
      <c r="K1127" s="972">
        <f>F1127*I1127</f>
        <v>4635</v>
      </c>
      <c r="L1127" s="972"/>
      <c r="M1127" s="972"/>
    </row>
    <row r="1128" spans="5:13" ht="31.5">
      <c r="E1128" s="972"/>
      <c r="F1128" s="972">
        <v>180</v>
      </c>
      <c r="G1128" s="972" t="s">
        <v>303</v>
      </c>
      <c r="H1128" s="971" t="s">
        <v>3362</v>
      </c>
      <c r="I1128" s="972">
        <f>I1109</f>
        <v>16.55</v>
      </c>
      <c r="J1128" s="972" t="s">
        <v>3322</v>
      </c>
      <c r="K1128" s="972">
        <f>F1128*I1128</f>
        <v>2979</v>
      </c>
      <c r="L1128" s="972"/>
      <c r="M1128" s="972"/>
    </row>
    <row r="1129" spans="5:13">
      <c r="E1129" s="972"/>
      <c r="F1129" s="972"/>
      <c r="G1129" s="972"/>
      <c r="H1129" s="972" t="s">
        <v>337</v>
      </c>
      <c r="I1129" s="972"/>
      <c r="J1129" s="972"/>
      <c r="K1129" s="972"/>
      <c r="L1129" s="972"/>
      <c r="M1129" s="972"/>
    </row>
    <row r="1130" spans="5:13">
      <c r="E1130" s="972"/>
      <c r="F1130" s="972"/>
      <c r="G1130" s="972"/>
      <c r="H1130" s="979" t="s">
        <v>3363</v>
      </c>
      <c r="I1130" s="972"/>
      <c r="J1130" s="972"/>
      <c r="K1130" s="980">
        <f>K1126+K1127-K1128+K1129</f>
        <v>13194.000000000002</v>
      </c>
      <c r="L1130" s="972"/>
      <c r="M1130" s="972"/>
    </row>
    <row r="1131" spans="5:13">
      <c r="E1131" s="972"/>
      <c r="F1131" s="972"/>
      <c r="G1131" s="972"/>
      <c r="H1131" s="981" t="s">
        <v>3364</v>
      </c>
      <c r="I1131" s="972"/>
      <c r="J1131" s="972"/>
      <c r="K1131" s="982">
        <f>K1130/90</f>
        <v>146.60000000000002</v>
      </c>
      <c r="L1131" s="972">
        <f>K1131*30</f>
        <v>4398.0000000000009</v>
      </c>
      <c r="M1131" s="972"/>
    </row>
    <row r="1132" spans="5:13">
      <c r="E1132" s="972"/>
      <c r="F1132" s="972"/>
      <c r="G1132" s="972"/>
      <c r="H1132" s="972"/>
      <c r="I1132" s="972"/>
      <c r="J1132" s="972"/>
      <c r="K1132" s="972"/>
      <c r="L1132" s="972"/>
      <c r="M1132" s="972"/>
    </row>
    <row r="1133" spans="5:13">
      <c r="E1133" s="972"/>
      <c r="F1133" s="972"/>
      <c r="G1133" s="972"/>
      <c r="H1133" s="972"/>
      <c r="I1133" s="972"/>
      <c r="J1133" s="972"/>
      <c r="K1133" s="972"/>
      <c r="L1133" s="972"/>
      <c r="M1133" s="972"/>
    </row>
    <row r="1134" spans="5:13">
      <c r="E1134" s="972"/>
      <c r="F1134" s="972"/>
      <c r="G1134" s="972"/>
      <c r="H1134" s="982"/>
      <c r="I1134" s="972"/>
      <c r="J1134" s="972"/>
      <c r="K1134" s="972"/>
      <c r="L1134" s="972"/>
      <c r="M1134" s="972"/>
    </row>
    <row r="1135" spans="5:13">
      <c r="E1135" s="972"/>
      <c r="F1135" s="972"/>
      <c r="G1135" s="972"/>
      <c r="H1135" s="982" t="s">
        <v>5030</v>
      </c>
      <c r="I1135" s="972"/>
      <c r="J1135" s="972"/>
      <c r="K1135" s="972"/>
      <c r="L1135" s="972"/>
      <c r="M1135" s="972"/>
    </row>
    <row r="1136" spans="5:13">
      <c r="E1136" s="972"/>
      <c r="F1136" s="972"/>
      <c r="G1136" s="972"/>
      <c r="H1136" s="972"/>
      <c r="I1136" s="972"/>
      <c r="J1136" s="972"/>
      <c r="K1136" s="972"/>
      <c r="L1136" s="972"/>
      <c r="M1136" s="972"/>
    </row>
    <row r="1137" spans="5:13" ht="110.25">
      <c r="E1137" s="972"/>
      <c r="F1137" s="972"/>
      <c r="G1137" s="972"/>
      <c r="H1137" s="971" t="s">
        <v>3359</v>
      </c>
      <c r="I1137" s="972"/>
      <c r="J1137" s="972"/>
      <c r="K1137" s="972"/>
      <c r="L1137" s="972"/>
      <c r="M1137" s="972"/>
    </row>
    <row r="1138" spans="5:13">
      <c r="E1138" s="972"/>
      <c r="F1138" s="972"/>
      <c r="G1138" s="972"/>
      <c r="H1138" s="972"/>
      <c r="I1138" s="972"/>
      <c r="J1138" s="972"/>
      <c r="K1138" s="972"/>
      <c r="L1138" s="972"/>
      <c r="M1138" s="972"/>
    </row>
    <row r="1139" spans="5:13">
      <c r="E1139" s="972"/>
      <c r="F1139" s="972"/>
      <c r="G1139" s="972"/>
      <c r="H1139" s="972" t="s">
        <v>3360</v>
      </c>
      <c r="I1139" s="972"/>
      <c r="J1139" s="972"/>
      <c r="K1139" s="972">
        <f>K1126</f>
        <v>11538.000000000002</v>
      </c>
      <c r="L1139" s="972"/>
      <c r="M1139" s="972"/>
    </row>
    <row r="1140" spans="5:13" ht="31.5">
      <c r="E1140" s="972"/>
      <c r="F1140" s="972">
        <v>180</v>
      </c>
      <c r="G1140" s="972" t="s">
        <v>303</v>
      </c>
      <c r="H1140" s="971" t="s">
        <v>5031</v>
      </c>
      <c r="I1140" s="972">
        <f>I701</f>
        <v>40.950000000000003</v>
      </c>
      <c r="J1140" s="972" t="s">
        <v>303</v>
      </c>
      <c r="K1140" s="972">
        <f>F1140*I1140</f>
        <v>7371.0000000000009</v>
      </c>
      <c r="L1140" s="972"/>
      <c r="M1140" s="972"/>
    </row>
    <row r="1141" spans="5:13" ht="31.5">
      <c r="E1141" s="972"/>
      <c r="F1141" s="972">
        <v>180</v>
      </c>
      <c r="G1141" s="972" t="s">
        <v>303</v>
      </c>
      <c r="H1141" s="971" t="s">
        <v>3362</v>
      </c>
      <c r="I1141" s="972">
        <f>I1128</f>
        <v>16.55</v>
      </c>
      <c r="J1141" s="972" t="s">
        <v>3322</v>
      </c>
      <c r="K1141" s="972">
        <f>F1141*I1141</f>
        <v>2979</v>
      </c>
      <c r="L1141" s="972"/>
      <c r="M1141" s="972"/>
    </row>
    <row r="1142" spans="5:13">
      <c r="E1142" s="972"/>
      <c r="F1142" s="972"/>
      <c r="G1142" s="972"/>
      <c r="H1142" s="972" t="s">
        <v>337</v>
      </c>
      <c r="I1142" s="972"/>
      <c r="J1142" s="972"/>
      <c r="K1142" s="972"/>
      <c r="L1142" s="972"/>
      <c r="M1142" s="972"/>
    </row>
    <row r="1143" spans="5:13">
      <c r="E1143" s="972"/>
      <c r="F1143" s="972"/>
      <c r="G1143" s="972"/>
      <c r="H1143" s="979" t="s">
        <v>3363</v>
      </c>
      <c r="I1143" s="972"/>
      <c r="J1143" s="972"/>
      <c r="K1143" s="980">
        <f>K1139+K1140-K1141+K1142</f>
        <v>15930.000000000004</v>
      </c>
      <c r="L1143" s="972"/>
      <c r="M1143" s="972"/>
    </row>
    <row r="1144" spans="5:13">
      <c r="E1144" s="972"/>
      <c r="F1144" s="972"/>
      <c r="G1144" s="972"/>
      <c r="H1144" s="981" t="s">
        <v>3364</v>
      </c>
      <c r="I1144" s="972"/>
      <c r="J1144" s="972"/>
      <c r="K1144" s="982">
        <f>K1143/90</f>
        <v>177.00000000000003</v>
      </c>
      <c r="L1144" s="972"/>
      <c r="M1144" s="972"/>
    </row>
    <row r="1145" spans="5:13">
      <c r="E1145" s="972"/>
      <c r="F1145" s="972"/>
      <c r="G1145" s="972"/>
      <c r="H1145" s="972"/>
      <c r="I1145" s="972"/>
      <c r="J1145" s="972"/>
      <c r="K1145" s="972"/>
      <c r="L1145" s="972"/>
      <c r="M1145" s="972"/>
    </row>
    <row r="1146" spans="5:13">
      <c r="E1146" s="972"/>
      <c r="F1146" s="972"/>
      <c r="G1146" s="972"/>
      <c r="H1146" s="964"/>
      <c r="I1146" s="972"/>
      <c r="J1146" s="972"/>
      <c r="K1146" s="972"/>
      <c r="L1146" s="972"/>
      <c r="M1146" s="972"/>
    </row>
    <row r="1147" spans="5:13">
      <c r="E1147" s="972"/>
      <c r="F1147" s="972"/>
      <c r="G1147" s="972"/>
      <c r="H1147" s="982" t="s">
        <v>5032</v>
      </c>
      <c r="I1147" s="972"/>
      <c r="J1147" s="972"/>
      <c r="K1147" s="972"/>
      <c r="L1147" s="972"/>
      <c r="M1147" s="972"/>
    </row>
    <row r="1148" spans="5:13">
      <c r="E1148" s="972"/>
      <c r="F1148" s="972"/>
      <c r="G1148" s="972"/>
      <c r="H1148" s="972"/>
      <c r="I1148" s="972"/>
      <c r="J1148" s="972"/>
      <c r="K1148" s="972"/>
      <c r="L1148" s="972"/>
      <c r="M1148" s="972"/>
    </row>
    <row r="1149" spans="5:13" ht="59.25" customHeight="1">
      <c r="E1149" s="972"/>
      <c r="F1149" s="972"/>
      <c r="G1149" s="972"/>
      <c r="H1149" s="971" t="s">
        <v>3359</v>
      </c>
      <c r="I1149" s="972"/>
      <c r="J1149" s="972"/>
      <c r="K1149" s="972"/>
      <c r="L1149" s="972"/>
      <c r="M1149" s="972"/>
    </row>
    <row r="1150" spans="5:13">
      <c r="E1150" s="972"/>
      <c r="F1150" s="972"/>
      <c r="G1150" s="972"/>
      <c r="H1150" s="972"/>
      <c r="I1150" s="972"/>
      <c r="J1150" s="972"/>
      <c r="K1150" s="972"/>
      <c r="L1150" s="972"/>
      <c r="M1150" s="972"/>
    </row>
    <row r="1151" spans="5:13">
      <c r="E1151" s="972"/>
      <c r="F1151" s="972"/>
      <c r="G1151" s="972"/>
      <c r="H1151" s="972" t="s">
        <v>3360</v>
      </c>
      <c r="I1151" s="972"/>
      <c r="J1151" s="972"/>
      <c r="K1151" s="972">
        <f>K1139</f>
        <v>11538.000000000002</v>
      </c>
      <c r="L1151" s="972"/>
      <c r="M1151" s="972"/>
    </row>
    <row r="1152" spans="5:13" ht="31.5">
      <c r="E1152" s="972"/>
      <c r="F1152" s="972">
        <v>360</v>
      </c>
      <c r="G1152" s="972" t="s">
        <v>303</v>
      </c>
      <c r="H1152" s="971" t="s">
        <v>5033</v>
      </c>
      <c r="I1152" s="975">
        <v>85.3</v>
      </c>
      <c r="J1152" s="972" t="s">
        <v>303</v>
      </c>
      <c r="K1152" s="972">
        <f>F1152*I1152</f>
        <v>30708</v>
      </c>
      <c r="L1152" s="972"/>
      <c r="M1152" s="972"/>
    </row>
    <row r="1153" spans="5:13" ht="31.5">
      <c r="E1153" s="972"/>
      <c r="F1153" s="972">
        <v>180</v>
      </c>
      <c r="G1153" s="972" t="s">
        <v>303</v>
      </c>
      <c r="H1153" s="971" t="s">
        <v>3362</v>
      </c>
      <c r="I1153" s="972">
        <f>I1141</f>
        <v>16.55</v>
      </c>
      <c r="J1153" s="972" t="s">
        <v>3322</v>
      </c>
      <c r="K1153" s="972">
        <f>F1153*I1153</f>
        <v>2979</v>
      </c>
      <c r="L1153" s="972"/>
      <c r="M1153" s="972"/>
    </row>
    <row r="1154" spans="5:13">
      <c r="E1154" s="972"/>
      <c r="F1154" s="972"/>
      <c r="G1154" s="972"/>
      <c r="H1154" s="972" t="s">
        <v>337</v>
      </c>
      <c r="I1154" s="972"/>
      <c r="J1154" s="972"/>
      <c r="K1154" s="972">
        <v>45</v>
      </c>
      <c r="L1154" s="972"/>
      <c r="M1154" s="972"/>
    </row>
    <row r="1155" spans="5:13">
      <c r="E1155" s="972"/>
      <c r="F1155" s="972"/>
      <c r="G1155" s="972"/>
      <c r="H1155" s="979" t="s">
        <v>3363</v>
      </c>
      <c r="I1155" s="972"/>
      <c r="J1155" s="972"/>
      <c r="K1155" s="980">
        <f>K1151+K1152-K1153+K1154</f>
        <v>39312</v>
      </c>
      <c r="L1155" s="972"/>
      <c r="M1155" s="972"/>
    </row>
    <row r="1156" spans="5:13">
      <c r="E1156" s="972"/>
      <c r="F1156" s="972"/>
      <c r="G1156" s="972"/>
      <c r="H1156" s="981" t="s">
        <v>3364</v>
      </c>
      <c r="I1156" s="972"/>
      <c r="J1156" s="972"/>
      <c r="K1156" s="982">
        <f>K1155/90</f>
        <v>436.8</v>
      </c>
      <c r="L1156" s="972">
        <f>K1156-430</f>
        <v>6.8000000000000114</v>
      </c>
      <c r="M1156" s="972"/>
    </row>
    <row r="1157" spans="5:13">
      <c r="E1157" s="972"/>
      <c r="F1157" s="972"/>
      <c r="G1157" s="972"/>
      <c r="H1157" s="972"/>
      <c r="I1157" s="972"/>
      <c r="J1157" s="972"/>
      <c r="K1157" s="972"/>
      <c r="L1157" s="972">
        <f>430*90</f>
        <v>38700</v>
      </c>
      <c r="M1157" s="972"/>
    </row>
    <row r="1158" spans="5:13">
      <c r="E1158" s="972"/>
      <c r="F1158" s="972"/>
      <c r="G1158" s="972"/>
      <c r="H1158" s="972"/>
      <c r="I1158" s="972"/>
      <c r="J1158" s="972"/>
      <c r="K1158" s="972"/>
      <c r="L1158" s="972">
        <f>K1155-L1157</f>
        <v>612</v>
      </c>
      <c r="M1158" s="972"/>
    </row>
    <row r="1159" spans="5:13">
      <c r="E1159" s="972"/>
      <c r="F1159" s="972"/>
      <c r="G1159" s="972"/>
      <c r="H1159" s="972"/>
      <c r="I1159" s="972"/>
      <c r="J1159" s="972"/>
      <c r="K1159" s="972"/>
      <c r="L1159" s="972"/>
      <c r="M1159" s="972"/>
    </row>
    <row r="1160" spans="5:13">
      <c r="E1160" s="972"/>
      <c r="F1160" s="972"/>
      <c r="G1160" s="972"/>
      <c r="H1160" s="972"/>
      <c r="I1160" s="972"/>
      <c r="J1160" s="972"/>
      <c r="K1160" s="972"/>
      <c r="L1160" s="972"/>
      <c r="M1160" s="972"/>
    </row>
    <row r="1161" spans="5:13">
      <c r="E1161" s="972"/>
      <c r="F1161" s="972"/>
      <c r="G1161" s="972"/>
      <c r="H1161" s="972"/>
      <c r="I1161" s="972"/>
      <c r="J1161" s="972"/>
      <c r="K1161" s="972"/>
      <c r="L1161" s="972"/>
      <c r="M1161" s="972"/>
    </row>
    <row r="1162" spans="5:13">
      <c r="E1162" s="972"/>
      <c r="F1162" s="972"/>
      <c r="G1162" s="972"/>
      <c r="H1162" s="972"/>
      <c r="I1162" s="972"/>
      <c r="J1162" s="972"/>
      <c r="K1162" s="972"/>
      <c r="L1162" s="972"/>
      <c r="M1162" s="972"/>
    </row>
    <row r="1163" spans="5:13">
      <c r="E1163" s="972"/>
      <c r="F1163" s="972"/>
      <c r="G1163" s="972"/>
      <c r="H1163" s="972"/>
      <c r="I1163" s="972"/>
      <c r="J1163" s="972"/>
      <c r="K1163" s="972"/>
      <c r="L1163" s="972"/>
      <c r="M1163" s="972"/>
    </row>
    <row r="1164" spans="5:13">
      <c r="E1164" s="972"/>
      <c r="F1164" s="972"/>
      <c r="G1164" s="972"/>
      <c r="H1164" s="972"/>
      <c r="I1164" s="972"/>
      <c r="J1164" s="972"/>
      <c r="K1164" s="972"/>
      <c r="L1164" s="972"/>
      <c r="M1164" s="972"/>
    </row>
    <row r="1165" spans="5:13">
      <c r="E1165" s="972"/>
      <c r="F1165" s="972"/>
      <c r="G1165" s="972"/>
      <c r="H1165" s="972"/>
      <c r="I1165" s="972"/>
      <c r="J1165" s="972"/>
      <c r="K1165" s="972"/>
      <c r="L1165" s="972"/>
      <c r="M1165" s="972"/>
    </row>
    <row r="1166" spans="5:13">
      <c r="E1166" s="972"/>
      <c r="F1166" s="972"/>
      <c r="G1166" s="972"/>
      <c r="H1166" s="972"/>
      <c r="I1166" s="972"/>
      <c r="J1166" s="972"/>
      <c r="K1166" s="972"/>
      <c r="L1166" s="972"/>
      <c r="M1166" s="972"/>
    </row>
    <row r="1167" spans="5:13">
      <c r="E1167" s="972"/>
      <c r="F1167" s="972"/>
      <c r="G1167" s="972"/>
      <c r="H1167" s="972"/>
      <c r="I1167" s="972"/>
      <c r="J1167" s="972"/>
      <c r="K1167" s="972"/>
      <c r="L1167" s="972"/>
      <c r="M1167" s="972"/>
    </row>
    <row r="1168" spans="5:13">
      <c r="E1168" s="972"/>
      <c r="F1168" s="972"/>
      <c r="G1168" s="972"/>
      <c r="H1168" s="982" t="s">
        <v>3396</v>
      </c>
      <c r="I1168" s="972"/>
      <c r="J1168" s="972"/>
      <c r="K1168" s="972"/>
      <c r="L1168" s="972"/>
      <c r="M1168" s="972"/>
    </row>
    <row r="1169" spans="5:13">
      <c r="E1169" s="972"/>
      <c r="F1169" s="972"/>
      <c r="G1169" s="972"/>
      <c r="H1169" s="972"/>
      <c r="I1169" s="972"/>
      <c r="J1169" s="972"/>
      <c r="K1169" s="972"/>
      <c r="L1169" s="972"/>
      <c r="M1169" s="972"/>
    </row>
    <row r="1170" spans="5:13" ht="110.25">
      <c r="E1170" s="972"/>
      <c r="F1170" s="972"/>
      <c r="G1170" s="972"/>
      <c r="H1170" s="971" t="s">
        <v>3359</v>
      </c>
      <c r="I1170" s="972"/>
      <c r="J1170" s="972"/>
      <c r="K1170" s="972"/>
      <c r="L1170" s="972"/>
      <c r="M1170" s="972"/>
    </row>
    <row r="1171" spans="5:13">
      <c r="E1171" s="972"/>
      <c r="F1171" s="972"/>
      <c r="G1171" s="972"/>
      <c r="H1171" s="972"/>
      <c r="I1171" s="972"/>
      <c r="J1171" s="972"/>
      <c r="K1171" s="972"/>
      <c r="L1171" s="972"/>
      <c r="M1171" s="972"/>
    </row>
    <row r="1172" spans="5:13">
      <c r="E1172" s="972"/>
      <c r="F1172" s="972"/>
      <c r="G1172" s="972"/>
      <c r="H1172" s="972" t="s">
        <v>3360</v>
      </c>
      <c r="I1172" s="972"/>
      <c r="J1172" s="972"/>
      <c r="K1172" s="972">
        <f>K1151</f>
        <v>11538.000000000002</v>
      </c>
      <c r="L1172" s="972"/>
      <c r="M1172" s="972"/>
    </row>
    <row r="1173" spans="5:13" ht="31.5">
      <c r="E1173" s="972"/>
      <c r="F1173" s="972">
        <v>360</v>
      </c>
      <c r="G1173" s="972" t="s">
        <v>303</v>
      </c>
      <c r="H1173" s="971" t="s">
        <v>3397</v>
      </c>
      <c r="I1173" s="975">
        <v>56.7</v>
      </c>
      <c r="J1173" s="972" t="s">
        <v>303</v>
      </c>
      <c r="K1173" s="972">
        <f>F1173*I1173</f>
        <v>20412</v>
      </c>
      <c r="L1173" s="972"/>
      <c r="M1173" s="972"/>
    </row>
    <row r="1174" spans="5:13" ht="31.5">
      <c r="E1174" s="972"/>
      <c r="F1174" s="972">
        <v>180</v>
      </c>
      <c r="G1174" s="972" t="s">
        <v>303</v>
      </c>
      <c r="H1174" s="971" t="s">
        <v>3362</v>
      </c>
      <c r="I1174" s="972">
        <f>I1141</f>
        <v>16.55</v>
      </c>
      <c r="J1174" s="972" t="s">
        <v>3322</v>
      </c>
      <c r="K1174" s="972">
        <f>F1174*I1174</f>
        <v>2979</v>
      </c>
      <c r="L1174" s="972"/>
      <c r="M1174" s="972"/>
    </row>
    <row r="1175" spans="5:13">
      <c r="E1175" s="972"/>
      <c r="F1175" s="972"/>
      <c r="G1175" s="972"/>
      <c r="H1175" s="972" t="s">
        <v>337</v>
      </c>
      <c r="I1175" s="972"/>
      <c r="J1175" s="972"/>
      <c r="K1175" s="972"/>
      <c r="L1175" s="972"/>
      <c r="M1175" s="972"/>
    </row>
    <row r="1176" spans="5:13">
      <c r="E1176" s="972"/>
      <c r="F1176" s="972"/>
      <c r="G1176" s="972"/>
      <c r="H1176" s="979" t="s">
        <v>3363</v>
      </c>
      <c r="I1176" s="972"/>
      <c r="J1176" s="972"/>
      <c r="K1176" s="980">
        <f>K1172+K1173-K1174+K1175</f>
        <v>28971</v>
      </c>
      <c r="L1176" s="972"/>
      <c r="M1176" s="972"/>
    </row>
    <row r="1177" spans="5:13">
      <c r="E1177" s="972"/>
      <c r="F1177" s="972"/>
      <c r="G1177" s="972"/>
      <c r="H1177" s="981" t="s">
        <v>3364</v>
      </c>
      <c r="I1177" s="972"/>
      <c r="J1177" s="972"/>
      <c r="K1177" s="982">
        <f>K1176/90</f>
        <v>321.89999999999998</v>
      </c>
      <c r="L1177" s="972"/>
      <c r="M1177" s="972"/>
    </row>
    <row r="1178" spans="5:13">
      <c r="E1178" s="972"/>
      <c r="F1178" s="972"/>
      <c r="G1178" s="972"/>
      <c r="H1178" s="972"/>
      <c r="I1178" s="972"/>
      <c r="J1178" s="972"/>
      <c r="K1178" s="972"/>
      <c r="L1178" s="972"/>
      <c r="M1178" s="972"/>
    </row>
    <row r="1179" spans="5:13">
      <c r="E1179" s="972"/>
      <c r="F1179" s="972"/>
      <c r="G1179" s="972"/>
      <c r="H1179" s="972"/>
      <c r="I1179" s="972"/>
      <c r="J1179" s="972"/>
      <c r="K1179" s="972"/>
      <c r="L1179" s="972"/>
      <c r="M1179" s="972"/>
    </row>
    <row r="1180" spans="5:13">
      <c r="E1180" s="972"/>
      <c r="F1180" s="972"/>
      <c r="G1180" s="972"/>
      <c r="H1180" s="972"/>
      <c r="I1180" s="972"/>
      <c r="J1180" s="972"/>
      <c r="K1180" s="972"/>
      <c r="L1180" s="972"/>
      <c r="M1180" s="972"/>
    </row>
    <row r="1181" spans="5:13">
      <c r="E1181" s="972"/>
      <c r="F1181" s="972"/>
      <c r="G1181" s="972"/>
      <c r="H1181" s="972"/>
      <c r="I1181" s="972"/>
      <c r="J1181" s="972"/>
      <c r="K1181" s="972"/>
      <c r="L1181" s="972"/>
      <c r="M1181" s="972"/>
    </row>
    <row r="1182" spans="5:13">
      <c r="E1182" s="972"/>
      <c r="F1182" s="972"/>
      <c r="G1182" s="972"/>
      <c r="H1182" s="972"/>
      <c r="I1182" s="972"/>
      <c r="J1182" s="972"/>
      <c r="K1182" s="972"/>
      <c r="L1182" s="972"/>
      <c r="M1182" s="972"/>
    </row>
    <row r="1183" spans="5:13">
      <c r="E1183" s="972"/>
      <c r="F1183" s="972"/>
      <c r="G1183" s="972"/>
      <c r="H1183" s="982" t="s">
        <v>3398</v>
      </c>
      <c r="I1183" s="972"/>
      <c r="J1183" s="972"/>
      <c r="K1183" s="972"/>
      <c r="L1183" s="972"/>
      <c r="M1183" s="972"/>
    </row>
    <row r="1184" spans="5:13">
      <c r="E1184" s="972"/>
      <c r="F1184" s="972"/>
      <c r="G1184" s="972"/>
      <c r="H1184" s="972"/>
      <c r="I1184" s="972"/>
      <c r="J1184" s="972"/>
      <c r="K1184" s="972"/>
      <c r="L1184" s="972"/>
      <c r="M1184" s="972"/>
    </row>
    <row r="1185" spans="5:13" ht="110.25">
      <c r="E1185" s="972"/>
      <c r="F1185" s="972"/>
      <c r="G1185" s="972"/>
      <c r="H1185" s="971" t="s">
        <v>3359</v>
      </c>
      <c r="I1185" s="972"/>
      <c r="J1185" s="972"/>
      <c r="K1185" s="972"/>
      <c r="L1185" s="972"/>
      <c r="M1185" s="972"/>
    </row>
    <row r="1186" spans="5:13">
      <c r="E1186" s="972"/>
      <c r="F1186" s="972"/>
      <c r="G1186" s="972"/>
      <c r="H1186" s="972"/>
      <c r="I1186" s="972"/>
      <c r="J1186" s="972"/>
      <c r="K1186" s="972"/>
      <c r="L1186" s="972"/>
      <c r="M1186" s="972"/>
    </row>
    <row r="1187" spans="5:13">
      <c r="E1187" s="972"/>
      <c r="F1187" s="972"/>
      <c r="G1187" s="972"/>
      <c r="H1187" s="972" t="s">
        <v>3360</v>
      </c>
      <c r="I1187" s="972"/>
      <c r="J1187" s="972"/>
      <c r="K1187" s="972">
        <f>K1172</f>
        <v>11538.000000000002</v>
      </c>
      <c r="L1187" s="972"/>
      <c r="M1187" s="972"/>
    </row>
    <row r="1188" spans="5:13" ht="31.5">
      <c r="E1188" s="972"/>
      <c r="F1188" s="972">
        <v>360</v>
      </c>
      <c r="G1188" s="972" t="s">
        <v>303</v>
      </c>
      <c r="H1188" s="971" t="s">
        <v>3399</v>
      </c>
      <c r="I1188" s="975">
        <v>38.299999999999997</v>
      </c>
      <c r="J1188" s="972" t="s">
        <v>303</v>
      </c>
      <c r="K1188" s="972">
        <f>F1188*I1188</f>
        <v>13787.999999999998</v>
      </c>
      <c r="L1188" s="972"/>
      <c r="M1188" s="972"/>
    </row>
    <row r="1189" spans="5:13" ht="31.5">
      <c r="E1189" s="972"/>
      <c r="F1189" s="972">
        <v>180</v>
      </c>
      <c r="G1189" s="972" t="s">
        <v>303</v>
      </c>
      <c r="H1189" s="971" t="s">
        <v>3362</v>
      </c>
      <c r="I1189" s="972">
        <f>I1174</f>
        <v>16.55</v>
      </c>
      <c r="J1189" s="972" t="s">
        <v>3322</v>
      </c>
      <c r="K1189" s="972">
        <f>F1189*I1189</f>
        <v>2979</v>
      </c>
      <c r="L1189" s="972"/>
      <c r="M1189" s="972"/>
    </row>
    <row r="1190" spans="5:13">
      <c r="E1190" s="972"/>
      <c r="F1190" s="972"/>
      <c r="G1190" s="972"/>
      <c r="H1190" s="972" t="s">
        <v>337</v>
      </c>
      <c r="I1190" s="972"/>
      <c r="J1190" s="972"/>
      <c r="K1190" s="972"/>
      <c r="L1190" s="972"/>
      <c r="M1190" s="972"/>
    </row>
    <row r="1191" spans="5:13">
      <c r="E1191" s="972"/>
      <c r="F1191" s="972"/>
      <c r="G1191" s="972"/>
      <c r="H1191" s="979" t="s">
        <v>3363</v>
      </c>
      <c r="I1191" s="972"/>
      <c r="J1191" s="972"/>
      <c r="K1191" s="980">
        <f>K1187+K1188-K1189+K1190</f>
        <v>22347</v>
      </c>
      <c r="L1191" s="972"/>
      <c r="M1191" s="972"/>
    </row>
    <row r="1192" spans="5:13">
      <c r="E1192" s="972"/>
      <c r="F1192" s="972"/>
      <c r="G1192" s="972"/>
      <c r="H1192" s="981" t="s">
        <v>3364</v>
      </c>
      <c r="I1192" s="972"/>
      <c r="J1192" s="972"/>
      <c r="K1192" s="982">
        <f>K1191/90</f>
        <v>248.3</v>
      </c>
      <c r="L1192" s="972"/>
      <c r="M1192" s="972"/>
    </row>
    <row r="1193" spans="5:13">
      <c r="E1193" s="972"/>
      <c r="F1193" s="972"/>
      <c r="G1193" s="972"/>
      <c r="H1193" s="972"/>
      <c r="I1193" s="972"/>
      <c r="J1193" s="972"/>
      <c r="K1193" s="972"/>
      <c r="L1193" s="972"/>
      <c r="M1193" s="972"/>
    </row>
    <row r="1194" spans="5:13">
      <c r="E1194" s="972"/>
      <c r="F1194" s="972"/>
      <c r="G1194" s="972"/>
      <c r="H1194" s="972"/>
      <c r="I1194" s="972"/>
      <c r="J1194" s="972"/>
      <c r="K1194" s="972"/>
      <c r="L1194" s="972"/>
      <c r="M1194" s="972"/>
    </row>
    <row r="1195" spans="5:13">
      <c r="E1195" s="972"/>
      <c r="F1195" s="972"/>
      <c r="G1195" s="972"/>
      <c r="H1195" s="972"/>
      <c r="I1195" s="972"/>
      <c r="J1195" s="972"/>
      <c r="K1195" s="972"/>
      <c r="L1195" s="972"/>
      <c r="M1195" s="972"/>
    </row>
    <row r="1196" spans="5:13">
      <c r="E1196" s="972"/>
      <c r="F1196" s="1044"/>
      <c r="G1196" s="1045"/>
      <c r="H1196" s="1046" t="s">
        <v>5034</v>
      </c>
      <c r="I1196" s="1044"/>
      <c r="J1196" s="1047"/>
      <c r="K1196" s="1048"/>
      <c r="L1196" s="972"/>
      <c r="M1196" s="972"/>
    </row>
    <row r="1197" spans="5:13">
      <c r="E1197" s="972"/>
      <c r="F1197" s="1044"/>
      <c r="G1197" s="1045"/>
      <c r="H1197" s="1049" t="s">
        <v>5035</v>
      </c>
      <c r="I1197" s="1044"/>
      <c r="J1197" s="1047"/>
      <c r="K1197" s="1044"/>
      <c r="L1197" s="972"/>
      <c r="M1197" s="972"/>
    </row>
    <row r="1198" spans="5:13">
      <c r="E1198" s="972"/>
      <c r="F1198" s="1044"/>
      <c r="G1198" s="1045"/>
      <c r="H1198" s="1050" t="s">
        <v>5036</v>
      </c>
      <c r="I1198" s="1044"/>
      <c r="J1198" s="1047"/>
      <c r="K1198" s="1044"/>
      <c r="L1198" s="972"/>
      <c r="M1198" s="972"/>
    </row>
    <row r="1199" spans="5:13">
      <c r="E1199" s="972"/>
      <c r="F1199" s="1044"/>
      <c r="G1199" s="1045"/>
      <c r="H1199" s="1049" t="s">
        <v>5037</v>
      </c>
      <c r="I1199" s="1044"/>
      <c r="J1199" s="1047">
        <f>3.3*3.3*2+6.6+6.6+6.6</f>
        <v>41.58</v>
      </c>
      <c r="K1199" s="1044"/>
      <c r="L1199" s="972"/>
      <c r="M1199" s="972"/>
    </row>
    <row r="1200" spans="5:13">
      <c r="E1200" s="972"/>
      <c r="F1200" s="1044"/>
      <c r="G1200" s="1045"/>
      <c r="H1200" s="1049" t="s">
        <v>5038</v>
      </c>
      <c r="I1200" s="1044"/>
      <c r="J1200" s="1047"/>
      <c r="K1200" s="1044"/>
      <c r="L1200" s="972"/>
      <c r="M1200" s="972"/>
    </row>
    <row r="1201" spans="5:13">
      <c r="E1201" s="972"/>
      <c r="F1201" s="1044"/>
      <c r="G1201" s="1045"/>
      <c r="H1201" s="1049" t="s">
        <v>5039</v>
      </c>
      <c r="I1201" s="1044"/>
      <c r="J1201" s="1047"/>
      <c r="K1201" s="1044"/>
      <c r="L1201" s="972"/>
      <c r="M1201" s="972"/>
    </row>
    <row r="1202" spans="5:13">
      <c r="E1202" s="972"/>
      <c r="F1202" s="1044"/>
      <c r="G1202" s="1045"/>
      <c r="H1202" s="1049" t="s">
        <v>5040</v>
      </c>
      <c r="I1202" s="1044"/>
      <c r="J1202" s="1047"/>
      <c r="K1202" s="1044"/>
      <c r="L1202" s="972"/>
      <c r="M1202" s="972"/>
    </row>
    <row r="1203" spans="5:13">
      <c r="E1203" s="972"/>
      <c r="F1203" s="1044"/>
      <c r="G1203" s="1045"/>
      <c r="H1203" s="1049" t="s">
        <v>5041</v>
      </c>
      <c r="I1203" s="1044"/>
      <c r="J1203" s="1047"/>
      <c r="K1203" s="1044"/>
      <c r="L1203" s="972"/>
      <c r="M1203" s="972"/>
    </row>
    <row r="1204" spans="5:13">
      <c r="E1204" s="972"/>
      <c r="F1204" s="1044"/>
      <c r="G1204" s="1045"/>
      <c r="H1204" s="1050"/>
      <c r="I1204" s="1044"/>
      <c r="J1204" s="1047"/>
      <c r="K1204" s="1044"/>
      <c r="L1204" s="972"/>
      <c r="M1204" s="972"/>
    </row>
    <row r="1205" spans="5:13">
      <c r="E1205" s="972"/>
      <c r="F1205" s="1044"/>
      <c r="G1205" s="1045"/>
      <c r="H1205" s="1049" t="s">
        <v>5042</v>
      </c>
      <c r="I1205" s="1044"/>
      <c r="J1205" s="1047"/>
      <c r="K1205" s="1044"/>
      <c r="L1205" s="972"/>
      <c r="M1205" s="972"/>
    </row>
    <row r="1206" spans="5:13">
      <c r="E1206" s="972"/>
      <c r="F1206" s="1051"/>
      <c r="G1206" s="1045"/>
      <c r="H1206" s="1050" t="s">
        <v>5043</v>
      </c>
      <c r="I1206" s="1044"/>
      <c r="J1206" s="1047"/>
      <c r="K1206" s="1044"/>
      <c r="L1206" s="972"/>
      <c r="M1206" s="972"/>
    </row>
    <row r="1207" spans="5:13">
      <c r="E1207" s="972"/>
      <c r="F1207" s="1044"/>
      <c r="G1207" s="1045"/>
      <c r="H1207" s="1049" t="s">
        <v>5044</v>
      </c>
      <c r="I1207" s="1044"/>
      <c r="J1207" s="1047"/>
      <c r="K1207" s="1044"/>
      <c r="L1207" s="972"/>
      <c r="M1207" s="972"/>
    </row>
    <row r="1208" spans="5:13">
      <c r="E1208" s="972"/>
      <c r="F1208" s="1052">
        <v>53.512999999999998</v>
      </c>
      <c r="G1208" s="1045" t="s">
        <v>534</v>
      </c>
      <c r="H1208" s="1049" t="s">
        <v>5045</v>
      </c>
      <c r="I1208" s="1053">
        <v>51.4</v>
      </c>
      <c r="J1208" s="1047" t="s">
        <v>534</v>
      </c>
      <c r="K1208" s="1044">
        <f>I1208*F1208</f>
        <v>2750.5681999999997</v>
      </c>
      <c r="L1208" s="972"/>
      <c r="M1208" s="972"/>
    </row>
    <row r="1209" spans="5:13">
      <c r="E1209" s="972"/>
      <c r="F1209" s="1051"/>
      <c r="G1209" s="1045"/>
      <c r="H1209" s="1050" t="s">
        <v>5046</v>
      </c>
      <c r="I1209" s="1044"/>
      <c r="J1209" s="1047"/>
      <c r="K1209" s="1044"/>
      <c r="L1209" s="972"/>
      <c r="M1209" s="972"/>
    </row>
    <row r="1210" spans="5:13">
      <c r="E1210" s="972"/>
      <c r="F1210" s="1044"/>
      <c r="G1210" s="1045"/>
      <c r="H1210" s="1049" t="s">
        <v>5047</v>
      </c>
      <c r="I1210" s="1044"/>
      <c r="J1210" s="1047"/>
      <c r="K1210" s="1044"/>
      <c r="L1210" s="972"/>
      <c r="M1210" s="972"/>
    </row>
    <row r="1211" spans="5:13">
      <c r="E1211" s="972"/>
      <c r="F1211" s="1044"/>
      <c r="G1211" s="1045"/>
      <c r="H1211" s="1049" t="s">
        <v>5048</v>
      </c>
      <c r="I1211" s="1044"/>
      <c r="J1211" s="1047"/>
      <c r="K1211" s="1044"/>
      <c r="L1211" s="972"/>
      <c r="M1211" s="972"/>
    </row>
    <row r="1212" spans="5:13">
      <c r="E1212" s="972"/>
      <c r="F1212" s="1044"/>
      <c r="G1212" s="1045"/>
      <c r="H1212" s="1049" t="s">
        <v>5049</v>
      </c>
      <c r="I1212" s="1044"/>
      <c r="J1212" s="1047"/>
      <c r="K1212" s="1044"/>
      <c r="L1212" s="972"/>
      <c r="M1212" s="972"/>
    </row>
    <row r="1213" spans="5:13">
      <c r="E1213" s="972"/>
      <c r="F1213" s="1044"/>
      <c r="G1213" s="1045"/>
      <c r="H1213" s="1049" t="s">
        <v>5050</v>
      </c>
      <c r="I1213" s="1044"/>
      <c r="J1213" s="1047"/>
      <c r="K1213" s="1044"/>
      <c r="L1213" s="972"/>
      <c r="M1213" s="972"/>
    </row>
    <row r="1214" spans="5:13" ht="25.5">
      <c r="E1214" s="972"/>
      <c r="F1214" s="1044"/>
      <c r="G1214" s="1045"/>
      <c r="H1214" s="1049" t="s">
        <v>5051</v>
      </c>
      <c r="I1214" s="1044"/>
      <c r="J1214" s="1047"/>
      <c r="K1214" s="1044"/>
      <c r="L1214" s="972"/>
      <c r="M1214" s="972"/>
    </row>
    <row r="1215" spans="5:13">
      <c r="E1215" s="972"/>
      <c r="F1215" s="1044"/>
      <c r="G1215" s="1045"/>
      <c r="H1215" s="1049" t="s">
        <v>5052</v>
      </c>
      <c r="I1215" s="1044"/>
      <c r="J1215" s="1047"/>
      <c r="K1215" s="1044"/>
      <c r="L1215" s="972"/>
      <c r="M1215" s="972"/>
    </row>
    <row r="1216" spans="5:13">
      <c r="E1216" s="972"/>
      <c r="F1216" s="1044"/>
      <c r="G1216" s="1045"/>
      <c r="H1216" s="1049" t="s">
        <v>5053</v>
      </c>
      <c r="I1216" s="1044"/>
      <c r="J1216" s="1047"/>
      <c r="K1216" s="1044"/>
      <c r="L1216" s="972"/>
      <c r="M1216" s="972"/>
    </row>
    <row r="1217" spans="5:13">
      <c r="E1217" s="972"/>
      <c r="F1217" s="1044">
        <v>18.600000000000001</v>
      </c>
      <c r="G1217" s="1045" t="s">
        <v>534</v>
      </c>
      <c r="H1217" s="1049" t="s">
        <v>5054</v>
      </c>
      <c r="I1217" s="1044">
        <f>I1208</f>
        <v>51.4</v>
      </c>
      <c r="J1217" s="1047" t="s">
        <v>534</v>
      </c>
      <c r="K1217" s="1044">
        <f>SUM(F1217*I1217)</f>
        <v>956.04000000000008</v>
      </c>
      <c r="L1217" s="972"/>
      <c r="M1217" s="972"/>
    </row>
    <row r="1218" spans="5:13">
      <c r="E1218" s="972"/>
      <c r="F1218" s="1044"/>
      <c r="G1218" s="1045"/>
      <c r="H1218" s="1050" t="s">
        <v>5055</v>
      </c>
      <c r="I1218" s="1044"/>
      <c r="J1218" s="1047"/>
      <c r="K1218" s="1044"/>
      <c r="L1218" s="972"/>
      <c r="M1218" s="972"/>
    </row>
    <row r="1219" spans="5:13">
      <c r="E1219" s="972"/>
      <c r="F1219" s="1044"/>
      <c r="G1219" s="1045"/>
      <c r="H1219" s="1049" t="s">
        <v>5056</v>
      </c>
      <c r="I1219" s="1044"/>
      <c r="J1219" s="1047"/>
      <c r="K1219" s="1044"/>
      <c r="L1219" s="972"/>
      <c r="M1219" s="972"/>
    </row>
    <row r="1220" spans="5:13">
      <c r="E1220" s="972"/>
      <c r="F1220" s="1044"/>
      <c r="G1220" s="1045"/>
      <c r="H1220" s="1049" t="s">
        <v>5057</v>
      </c>
      <c r="I1220" s="1044"/>
      <c r="J1220" s="1047"/>
      <c r="K1220" s="1044"/>
      <c r="L1220" s="972"/>
      <c r="M1220" s="972"/>
    </row>
    <row r="1221" spans="5:13">
      <c r="E1221" s="972"/>
      <c r="F1221" s="1044"/>
      <c r="G1221" s="1045"/>
      <c r="H1221" s="1049" t="s">
        <v>5058</v>
      </c>
      <c r="I1221" s="1044"/>
      <c r="J1221" s="1047"/>
      <c r="K1221" s="1044"/>
      <c r="L1221" s="972"/>
      <c r="M1221" s="972"/>
    </row>
    <row r="1222" spans="5:13">
      <c r="E1222" s="972"/>
      <c r="F1222" s="1044"/>
      <c r="G1222" s="1045"/>
      <c r="H1222" s="1049" t="s">
        <v>5059</v>
      </c>
      <c r="I1222" s="1044"/>
      <c r="J1222" s="1047"/>
      <c r="K1222" s="1044"/>
      <c r="L1222" s="972"/>
      <c r="M1222" s="972"/>
    </row>
    <row r="1223" spans="5:13">
      <c r="E1223" s="972"/>
      <c r="F1223" s="1044"/>
      <c r="G1223" s="1045"/>
      <c r="H1223" s="1049" t="s">
        <v>5060</v>
      </c>
      <c r="I1223" s="1044"/>
      <c r="J1223" s="1047"/>
      <c r="K1223" s="1044"/>
      <c r="L1223" s="972"/>
      <c r="M1223" s="972"/>
    </row>
    <row r="1224" spans="5:13" ht="25.5">
      <c r="E1224" s="972"/>
      <c r="F1224" s="1044"/>
      <c r="G1224" s="1045"/>
      <c r="H1224" s="1049" t="s">
        <v>5061</v>
      </c>
      <c r="I1224" s="1044"/>
      <c r="J1224" s="1047"/>
      <c r="K1224" s="1044"/>
      <c r="L1224" s="972"/>
      <c r="M1224" s="972"/>
    </row>
    <row r="1225" spans="5:13">
      <c r="E1225" s="972"/>
      <c r="F1225" s="1044"/>
      <c r="G1225" s="1045"/>
      <c r="H1225" s="1049" t="s">
        <v>5062</v>
      </c>
      <c r="I1225" s="1044"/>
      <c r="J1225" s="1047"/>
      <c r="K1225" s="1044"/>
      <c r="L1225" s="972"/>
      <c r="M1225" s="972"/>
    </row>
    <row r="1226" spans="5:13">
      <c r="E1226" s="972"/>
      <c r="F1226" s="1044"/>
      <c r="G1226" s="1045"/>
      <c r="H1226" s="1049" t="s">
        <v>5063</v>
      </c>
      <c r="I1226" s="1044"/>
      <c r="J1226" s="1047"/>
      <c r="K1226" s="1044"/>
      <c r="L1226" s="972"/>
      <c r="M1226" s="972"/>
    </row>
    <row r="1227" spans="5:13" ht="25.5">
      <c r="E1227" s="972"/>
      <c r="F1227" s="1044"/>
      <c r="G1227" s="1045"/>
      <c r="H1227" s="1049" t="s">
        <v>5064</v>
      </c>
      <c r="I1227" s="1044"/>
      <c r="J1227" s="1047"/>
      <c r="K1227" s="1044"/>
      <c r="L1227" s="972"/>
      <c r="M1227" s="972"/>
    </row>
    <row r="1228" spans="5:13">
      <c r="E1228" s="972"/>
      <c r="F1228" s="1044"/>
      <c r="G1228" s="1045"/>
      <c r="H1228" s="1049" t="s">
        <v>5065</v>
      </c>
      <c r="I1228" s="1044"/>
      <c r="J1228" s="1047"/>
      <c r="K1228" s="1044"/>
      <c r="L1228" s="972"/>
      <c r="M1228" s="972"/>
    </row>
    <row r="1229" spans="5:13">
      <c r="E1229" s="972"/>
      <c r="F1229" s="1044"/>
      <c r="G1229" s="1045"/>
      <c r="H1229" s="1049"/>
      <c r="I1229" s="1044"/>
      <c r="J1229" s="1047"/>
      <c r="K1229" s="1044"/>
      <c r="L1229" s="972"/>
      <c r="M1229" s="972"/>
    </row>
    <row r="1230" spans="5:13">
      <c r="E1230" s="972"/>
      <c r="F1230" s="1044"/>
      <c r="G1230" s="1045"/>
      <c r="H1230" s="1049" t="s">
        <v>5066</v>
      </c>
      <c r="I1230" s="1044"/>
      <c r="J1230" s="1047"/>
      <c r="K1230" s="1044"/>
      <c r="L1230" s="972"/>
      <c r="M1230" s="972"/>
    </row>
    <row r="1231" spans="5:13">
      <c r="E1231" s="972"/>
      <c r="F1231" s="1044"/>
      <c r="G1231" s="1045"/>
      <c r="H1231" s="1049"/>
      <c r="I1231" s="1044"/>
      <c r="J1231" s="1047"/>
      <c r="K1231" s="1044"/>
      <c r="L1231" s="972"/>
      <c r="M1231" s="972"/>
    </row>
    <row r="1232" spans="5:13">
      <c r="E1232" s="972"/>
      <c r="F1232" s="1044">
        <v>5.92</v>
      </c>
      <c r="G1232" s="1045" t="s">
        <v>534</v>
      </c>
      <c r="H1232" s="1049" t="s">
        <v>5067</v>
      </c>
      <c r="I1232" s="1053">
        <v>526</v>
      </c>
      <c r="J1232" s="1047" t="s">
        <v>534</v>
      </c>
      <c r="K1232" s="1044">
        <f>SUM(F1232*I1232)</f>
        <v>3113.92</v>
      </c>
      <c r="L1232" s="972"/>
      <c r="M1232" s="972"/>
    </row>
    <row r="1233" spans="5:13">
      <c r="E1233" s="972"/>
      <c r="F1233" s="1044">
        <f>F1232</f>
        <v>5.92</v>
      </c>
      <c r="G1233" s="1045" t="s">
        <v>534</v>
      </c>
      <c r="H1233" s="1049" t="s">
        <v>5068</v>
      </c>
      <c r="I1233" s="1054">
        <v>10</v>
      </c>
      <c r="J1233" s="1047" t="s">
        <v>534</v>
      </c>
      <c r="K1233" s="1044">
        <f>SUM(F1233*I1233)</f>
        <v>59.2</v>
      </c>
      <c r="L1233" s="972"/>
      <c r="M1233" s="972"/>
    </row>
    <row r="1234" spans="5:13">
      <c r="E1234" s="972"/>
      <c r="F1234" s="1044"/>
      <c r="G1234" s="1045"/>
      <c r="H1234" s="1049"/>
      <c r="I1234" s="1044"/>
      <c r="J1234" s="1047"/>
      <c r="K1234" s="1044"/>
      <c r="L1234" s="972"/>
      <c r="M1234" s="972"/>
    </row>
    <row r="1235" spans="5:13">
      <c r="E1235" s="972"/>
      <c r="F1235" s="1044"/>
      <c r="G1235" s="1045"/>
      <c r="H1235" s="1050" t="s">
        <v>5069</v>
      </c>
      <c r="I1235" s="1044"/>
      <c r="J1235" s="1047"/>
      <c r="K1235" s="1044"/>
      <c r="L1235" s="972"/>
      <c r="M1235" s="972"/>
    </row>
    <row r="1236" spans="5:13">
      <c r="E1236" s="972"/>
      <c r="F1236" s="1044"/>
      <c r="G1236" s="1045"/>
      <c r="H1236" s="1049" t="s">
        <v>5070</v>
      </c>
      <c r="I1236" s="1044"/>
      <c r="J1236" s="1047"/>
      <c r="K1236" s="1044"/>
      <c r="L1236" s="972"/>
      <c r="M1236" s="972"/>
    </row>
    <row r="1237" spans="5:13">
      <c r="E1237" s="972"/>
      <c r="F1237" s="1044"/>
      <c r="G1237" s="1045"/>
      <c r="H1237" s="1049" t="s">
        <v>5071</v>
      </c>
      <c r="I1237" s="1044"/>
      <c r="J1237" s="1047"/>
      <c r="K1237" s="1044"/>
      <c r="L1237" s="972"/>
      <c r="M1237" s="972"/>
    </row>
    <row r="1238" spans="5:13">
      <c r="E1238" s="972"/>
      <c r="F1238" s="1044"/>
      <c r="G1238" s="1045"/>
      <c r="H1238" s="1049" t="s">
        <v>5072</v>
      </c>
      <c r="I1238" s="1044"/>
      <c r="J1238" s="1047"/>
      <c r="K1238" s="1044"/>
      <c r="L1238" s="972"/>
      <c r="M1238" s="972"/>
    </row>
    <row r="1239" spans="5:13">
      <c r="E1239" s="972"/>
      <c r="F1239" s="1044">
        <v>3.6</v>
      </c>
      <c r="G1239" s="1045" t="s">
        <v>534</v>
      </c>
      <c r="H1239" s="1049" t="s">
        <v>5073</v>
      </c>
      <c r="I1239" s="1053">
        <v>94.9</v>
      </c>
      <c r="J1239" s="1047" t="s">
        <v>534</v>
      </c>
      <c r="K1239" s="1044">
        <f>I1239*F1239</f>
        <v>341.64000000000004</v>
      </c>
      <c r="L1239" s="972"/>
      <c r="M1239" s="972"/>
    </row>
    <row r="1240" spans="5:13">
      <c r="E1240" s="972"/>
      <c r="F1240" s="1044"/>
      <c r="G1240" s="1045"/>
      <c r="H1240" s="1050" t="s">
        <v>5074</v>
      </c>
      <c r="I1240" s="1044"/>
      <c r="J1240" s="1047"/>
      <c r="K1240" s="1044"/>
      <c r="L1240" s="972"/>
      <c r="M1240" s="972"/>
    </row>
    <row r="1241" spans="5:13">
      <c r="E1241" s="972"/>
      <c r="F1241" s="1044">
        <v>3</v>
      </c>
      <c r="G1241" s="1045" t="s">
        <v>1717</v>
      </c>
      <c r="H1241" s="1049" t="s">
        <v>5075</v>
      </c>
      <c r="I1241" s="1053">
        <v>550</v>
      </c>
      <c r="J1241" s="1047" t="s">
        <v>340</v>
      </c>
      <c r="K1241" s="1044">
        <f>I1241*F1241</f>
        <v>1650</v>
      </c>
      <c r="L1241" s="972"/>
      <c r="M1241" s="972"/>
    </row>
    <row r="1242" spans="5:13">
      <c r="E1242" s="972"/>
      <c r="F1242" s="1044">
        <v>1</v>
      </c>
      <c r="G1242" s="1045" t="s">
        <v>1717</v>
      </c>
      <c r="H1242" s="1049" t="s">
        <v>5076</v>
      </c>
      <c r="I1242" s="1053">
        <v>340.3</v>
      </c>
      <c r="J1242" s="1047" t="s">
        <v>340</v>
      </c>
      <c r="K1242" s="1044">
        <f>I1242*F1242</f>
        <v>340.3</v>
      </c>
      <c r="L1242" s="972"/>
      <c r="M1242" s="972"/>
    </row>
    <row r="1243" spans="5:13">
      <c r="E1243" s="972"/>
      <c r="F1243" s="1044">
        <v>1</v>
      </c>
      <c r="G1243" s="1045" t="s">
        <v>1717</v>
      </c>
      <c r="H1243" s="1049" t="s">
        <v>5077</v>
      </c>
      <c r="I1243" s="1054">
        <f>I1242</f>
        <v>340.3</v>
      </c>
      <c r="J1243" s="1047" t="s">
        <v>340</v>
      </c>
      <c r="K1243" s="1044">
        <f>I1243*F1243</f>
        <v>340.3</v>
      </c>
      <c r="L1243" s="972"/>
      <c r="M1243" s="972"/>
    </row>
    <row r="1244" spans="5:13">
      <c r="E1244" s="972"/>
      <c r="F1244" s="1055">
        <v>800</v>
      </c>
      <c r="G1244" s="1047" t="s">
        <v>5078</v>
      </c>
      <c r="H1244" s="1049" t="s">
        <v>5079</v>
      </c>
      <c r="I1244" s="1044">
        <v>1</v>
      </c>
      <c r="J1244" s="1047" t="s">
        <v>5078</v>
      </c>
      <c r="K1244" s="1044">
        <f>SUM(F1244*I1244)</f>
        <v>800</v>
      </c>
      <c r="L1244" s="972"/>
      <c r="M1244" s="972"/>
    </row>
    <row r="1245" spans="5:13">
      <c r="E1245" s="972"/>
      <c r="F1245" s="1044"/>
      <c r="G1245" s="1045"/>
      <c r="H1245" s="1049" t="s">
        <v>5080</v>
      </c>
      <c r="I1245" s="1044"/>
      <c r="J1245" s="1047"/>
      <c r="K1245" s="1044"/>
      <c r="L1245" s="972"/>
      <c r="M1245" s="972"/>
    </row>
    <row r="1246" spans="5:13">
      <c r="E1246" s="972"/>
      <c r="F1246" s="1044"/>
      <c r="G1246" s="1045"/>
      <c r="H1246" s="1049" t="s">
        <v>5081</v>
      </c>
      <c r="I1246" s="1044"/>
      <c r="J1246" s="1047"/>
      <c r="K1246" s="1044"/>
      <c r="L1246" s="972"/>
      <c r="M1246" s="972"/>
    </row>
    <row r="1247" spans="5:13">
      <c r="E1247" s="972"/>
      <c r="F1247" s="1056">
        <v>0.27</v>
      </c>
      <c r="G1247" s="1045" t="s">
        <v>5082</v>
      </c>
      <c r="H1247" s="1049" t="s">
        <v>5083</v>
      </c>
      <c r="I1247" s="1044">
        <f>630*2</f>
        <v>1260</v>
      </c>
      <c r="J1247" s="1057" t="s">
        <v>5082</v>
      </c>
      <c r="K1247" s="1044">
        <f t="shared" ref="K1247:K1254" si="23">SUM(F1247*I1247)</f>
        <v>340.20000000000005</v>
      </c>
      <c r="L1247" s="972"/>
      <c r="M1247" s="972"/>
    </row>
    <row r="1248" spans="5:13">
      <c r="E1248" s="972"/>
      <c r="F1248" s="1044">
        <v>9</v>
      </c>
      <c r="G1248" s="1045" t="s">
        <v>154</v>
      </c>
      <c r="H1248" s="1049" t="s">
        <v>5084</v>
      </c>
      <c r="I1248" s="1054">
        <v>20</v>
      </c>
      <c r="J1248" s="1047" t="s">
        <v>1950</v>
      </c>
      <c r="K1248" s="1044">
        <f t="shared" si="23"/>
        <v>180</v>
      </c>
      <c r="L1248" s="972"/>
      <c r="M1248" s="972"/>
    </row>
    <row r="1249" spans="5:13">
      <c r="E1249" s="972"/>
      <c r="F1249" s="1044">
        <v>2</v>
      </c>
      <c r="G1249" s="1045" t="s">
        <v>2412</v>
      </c>
      <c r="H1249" s="1049" t="s">
        <v>5085</v>
      </c>
      <c r="I1249" s="1054">
        <v>280</v>
      </c>
      <c r="J1249" s="1047" t="s">
        <v>2412</v>
      </c>
      <c r="K1249" s="1044">
        <f t="shared" si="23"/>
        <v>560</v>
      </c>
      <c r="L1249" s="972"/>
      <c r="M1249" s="972"/>
    </row>
    <row r="1250" spans="5:13">
      <c r="E1250" s="972"/>
      <c r="F1250" s="1044">
        <v>5</v>
      </c>
      <c r="G1250" s="1045" t="s">
        <v>54</v>
      </c>
      <c r="H1250" s="1049" t="s">
        <v>5086</v>
      </c>
      <c r="I1250" s="1053">
        <v>9.8000000000000007</v>
      </c>
      <c r="J1250" s="1057" t="s">
        <v>54</v>
      </c>
      <c r="K1250" s="1044">
        <f t="shared" si="23"/>
        <v>49</v>
      </c>
      <c r="L1250" s="972"/>
      <c r="M1250" s="972"/>
    </row>
    <row r="1251" spans="5:13">
      <c r="E1251" s="972"/>
      <c r="F1251" s="1058">
        <v>53.512999999999998</v>
      </c>
      <c r="G1251" s="1059" t="s">
        <v>534</v>
      </c>
      <c r="H1251" s="1049" t="s">
        <v>5087</v>
      </c>
      <c r="I1251" s="1060">
        <v>47.8</v>
      </c>
      <c r="J1251" s="1061" t="s">
        <v>534</v>
      </c>
      <c r="K1251" s="1060">
        <f t="shared" si="23"/>
        <v>2557.9213999999997</v>
      </c>
      <c r="L1251" s="972"/>
      <c r="M1251" s="972"/>
    </row>
    <row r="1252" spans="5:13">
      <c r="E1252" s="972"/>
      <c r="F1252" s="1058">
        <v>18.600000000000001</v>
      </c>
      <c r="G1252" s="1059" t="s">
        <v>534</v>
      </c>
      <c r="H1252" s="1049" t="s">
        <v>5088</v>
      </c>
      <c r="I1252" s="1060">
        <v>47.8</v>
      </c>
      <c r="J1252" s="1061" t="s">
        <v>534</v>
      </c>
      <c r="K1252" s="1060">
        <f>SUM(F1252*I1252)</f>
        <v>889.08</v>
      </c>
      <c r="L1252" s="972"/>
      <c r="M1252" s="972"/>
    </row>
    <row r="1253" spans="5:13">
      <c r="E1253" s="972"/>
      <c r="F1253" s="1044">
        <v>12</v>
      </c>
      <c r="G1253" s="1045" t="s">
        <v>154</v>
      </c>
      <c r="H1253" s="1049" t="s">
        <v>5089</v>
      </c>
      <c r="I1253" s="1054">
        <v>1898</v>
      </c>
      <c r="J1253" s="1057" t="s">
        <v>340</v>
      </c>
      <c r="K1253" s="1044">
        <f t="shared" si="23"/>
        <v>22776</v>
      </c>
      <c r="L1253" s="972"/>
      <c r="M1253" s="972"/>
    </row>
    <row r="1254" spans="5:13">
      <c r="E1254" s="972"/>
      <c r="F1254" s="1044">
        <v>83.16</v>
      </c>
      <c r="G1254" s="1045" t="s">
        <v>5090</v>
      </c>
      <c r="H1254" s="1049" t="s">
        <v>5091</v>
      </c>
      <c r="I1254" s="1044">
        <v>10</v>
      </c>
      <c r="J1254" s="1057" t="s">
        <v>5092</v>
      </c>
      <c r="K1254" s="1044">
        <f t="shared" si="23"/>
        <v>831.59999999999991</v>
      </c>
      <c r="L1254" s="972"/>
      <c r="M1254" s="972"/>
    </row>
    <row r="1255" spans="5:13" ht="38.25">
      <c r="E1255" s="972"/>
      <c r="F1255" s="1051">
        <v>24</v>
      </c>
      <c r="G1255" s="1045" t="s">
        <v>5093</v>
      </c>
      <c r="H1255" s="1062" t="s">
        <v>5094</v>
      </c>
      <c r="I1255" s="1044">
        <v>56.7</v>
      </c>
      <c r="J1255" s="1063" t="s">
        <v>5095</v>
      </c>
      <c r="K1255" s="1044">
        <f>I1255*F1255</f>
        <v>1360.8000000000002</v>
      </c>
      <c r="L1255" s="972"/>
      <c r="M1255" s="972"/>
    </row>
    <row r="1256" spans="5:13">
      <c r="E1256" s="972"/>
      <c r="F1256" s="1044"/>
      <c r="G1256" s="1045"/>
      <c r="H1256" s="1049" t="s">
        <v>5096</v>
      </c>
      <c r="I1256" s="1044"/>
      <c r="J1256" s="1047"/>
      <c r="K1256" s="1044">
        <v>200</v>
      </c>
      <c r="L1256" s="972"/>
      <c r="M1256" s="972"/>
    </row>
    <row r="1257" spans="5:13">
      <c r="E1257" s="972"/>
      <c r="F1257" s="1044"/>
      <c r="G1257" s="1045"/>
      <c r="H1257" s="1049"/>
      <c r="I1257" s="1044" t="s">
        <v>227</v>
      </c>
      <c r="J1257" s="1047"/>
      <c r="K1257" s="1048">
        <f>SUM(K1208:K1256)</f>
        <v>40096.569600000003</v>
      </c>
      <c r="L1257" s="972"/>
      <c r="M1257" s="972"/>
    </row>
    <row r="1258" spans="5:13" ht="25.5">
      <c r="E1258" s="972"/>
      <c r="F1258" s="1044"/>
      <c r="G1258" s="1045"/>
      <c r="H1258" s="1049" t="s">
        <v>5097</v>
      </c>
      <c r="I1258" s="1044"/>
      <c r="J1258" s="1047"/>
      <c r="K1258" s="1044">
        <f>K1257*2/100</f>
        <v>801.93139200000007</v>
      </c>
      <c r="L1258" s="972"/>
      <c r="M1258" s="972"/>
    </row>
    <row r="1259" spans="5:13">
      <c r="E1259" s="972"/>
      <c r="F1259" s="1044"/>
      <c r="G1259" s="1045"/>
      <c r="H1259" s="1049"/>
      <c r="I1259" s="1044"/>
      <c r="J1259" s="1047"/>
      <c r="K1259" s="1048">
        <f>SUM(K1257:K1258)</f>
        <v>40898.500992000001</v>
      </c>
      <c r="L1259" s="972"/>
      <c r="M1259" s="972"/>
    </row>
    <row r="1260" spans="5:13">
      <c r="E1260" s="972"/>
      <c r="F1260" s="1044"/>
      <c r="G1260" s="1045"/>
      <c r="H1260" s="1050" t="s">
        <v>5098</v>
      </c>
      <c r="I1260" s="1044"/>
      <c r="J1260" s="1047"/>
      <c r="K1260" s="1044"/>
      <c r="L1260" s="972"/>
      <c r="M1260" s="972"/>
    </row>
    <row r="1261" spans="5:13">
      <c r="E1261" s="972"/>
      <c r="F1261" s="1044"/>
      <c r="G1261" s="1045"/>
      <c r="H1261" s="1049" t="s">
        <v>5099</v>
      </c>
      <c r="I1261" s="1044"/>
      <c r="J1261" s="1047"/>
      <c r="K1261" s="1044">
        <v>1500</v>
      </c>
      <c r="L1261" s="972"/>
      <c r="M1261" s="972"/>
    </row>
    <row r="1262" spans="5:13">
      <c r="E1262" s="972"/>
      <c r="F1262" s="1044"/>
      <c r="G1262" s="1045"/>
      <c r="H1262" s="1049" t="s">
        <v>5100</v>
      </c>
      <c r="I1262" s="1044"/>
      <c r="J1262" s="1047"/>
      <c r="K1262" s="1044">
        <v>4000</v>
      </c>
      <c r="L1262" s="972"/>
      <c r="M1262" s="972"/>
    </row>
    <row r="1263" spans="5:13">
      <c r="E1263" s="972"/>
      <c r="F1263" s="1044"/>
      <c r="G1263" s="1045"/>
      <c r="H1263" s="1049"/>
      <c r="I1263" s="1044"/>
      <c r="J1263" s="1047"/>
      <c r="K1263" s="1048">
        <f>SUM(K1259:K1262)</f>
        <v>46398.500992000001</v>
      </c>
      <c r="L1263" s="972"/>
      <c r="M1263" s="972"/>
    </row>
    <row r="1264" spans="5:13">
      <c r="E1264" s="972"/>
      <c r="F1264" s="1044"/>
      <c r="G1264" s="1045"/>
      <c r="H1264" s="1049"/>
      <c r="I1264" s="1044"/>
      <c r="J1264" s="1047"/>
      <c r="K1264" s="1044" t="s">
        <v>5101</v>
      </c>
      <c r="L1264" s="972"/>
      <c r="M1264" s="972"/>
    </row>
    <row r="1265" spans="5:13">
      <c r="E1265" s="972"/>
      <c r="F1265" s="1044"/>
      <c r="G1265" s="1045"/>
      <c r="H1265" s="1049"/>
      <c r="I1265" s="1044"/>
      <c r="J1265" s="1047"/>
      <c r="K1265" s="1064">
        <f>K1263</f>
        <v>46398.500992000001</v>
      </c>
      <c r="L1265" s="972"/>
      <c r="M1265" s="972"/>
    </row>
    <row r="1266" spans="5:13">
      <c r="E1266" s="972"/>
      <c r="F1266" s="972"/>
      <c r="G1266" s="972"/>
      <c r="H1266" s="972"/>
      <c r="I1266" s="972"/>
      <c r="J1266" s="972"/>
      <c r="K1266" s="972"/>
      <c r="L1266" s="972"/>
      <c r="M1266" s="972"/>
    </row>
    <row r="1267" spans="5:13">
      <c r="E1267" s="972"/>
      <c r="F1267" s="972"/>
      <c r="G1267" s="972"/>
      <c r="H1267" s="972"/>
      <c r="I1267" s="972"/>
      <c r="J1267" s="972"/>
      <c r="K1267" s="972"/>
      <c r="L1267" s="972"/>
      <c r="M1267" s="972"/>
    </row>
    <row r="1268" spans="5:13">
      <c r="E1268" s="972"/>
      <c r="F1268" s="972"/>
      <c r="G1268" s="972"/>
      <c r="H1268" s="972"/>
      <c r="I1268" s="972"/>
      <c r="J1268" s="972"/>
      <c r="K1268" s="972"/>
      <c r="L1268" s="972"/>
      <c r="M1268" s="972"/>
    </row>
    <row r="1269" spans="5:13">
      <c r="E1269" s="972"/>
      <c r="F1269" s="972"/>
      <c r="G1269" s="972"/>
      <c r="H1269" s="972"/>
      <c r="I1269" s="972"/>
      <c r="J1269" s="972"/>
      <c r="K1269" s="972"/>
      <c r="L1269" s="972"/>
      <c r="M1269" s="972"/>
    </row>
    <row r="1270" spans="5:13">
      <c r="E1270" s="972"/>
      <c r="F1270" s="972"/>
      <c r="G1270" s="972"/>
      <c r="H1270" s="972"/>
      <c r="I1270" s="972"/>
      <c r="J1270" s="972"/>
      <c r="K1270" s="972"/>
      <c r="L1270" s="972"/>
      <c r="M1270" s="972"/>
    </row>
    <row r="1271" spans="5:13">
      <c r="E1271" s="972"/>
      <c r="F1271" s="972"/>
      <c r="G1271" s="972"/>
      <c r="H1271" s="972"/>
      <c r="I1271" s="972"/>
      <c r="J1271" s="972"/>
      <c r="K1271" s="972"/>
      <c r="L1271" s="972"/>
      <c r="M1271" s="972"/>
    </row>
    <row r="1272" spans="5:13">
      <c r="E1272" s="972"/>
      <c r="F1272" s="972"/>
      <c r="G1272" s="972"/>
      <c r="H1272" s="972"/>
      <c r="I1272" s="972"/>
      <c r="J1272" s="972"/>
      <c r="K1272" s="972"/>
      <c r="L1272" s="972"/>
      <c r="M1272" s="972"/>
    </row>
    <row r="1273" spans="5:13">
      <c r="E1273" s="972"/>
      <c r="F1273" s="972"/>
      <c r="G1273" s="972"/>
      <c r="H1273" s="972"/>
      <c r="I1273" s="972"/>
      <c r="J1273" s="972"/>
      <c r="K1273" s="972"/>
      <c r="L1273" s="972"/>
      <c r="M1273" s="972"/>
    </row>
    <row r="1274" spans="5:13">
      <c r="E1274" s="972"/>
      <c r="F1274" s="972"/>
      <c r="G1274" s="972"/>
      <c r="H1274" s="972"/>
      <c r="I1274" s="972"/>
      <c r="J1274" s="972"/>
      <c r="K1274" s="972"/>
      <c r="L1274" s="972"/>
      <c r="M1274" s="972"/>
    </row>
    <row r="1275" spans="5:13">
      <c r="E1275" s="972"/>
      <c r="F1275" s="972"/>
      <c r="G1275" s="972"/>
      <c r="H1275" s="972"/>
      <c r="I1275" s="972"/>
      <c r="J1275" s="972"/>
      <c r="K1275" s="972"/>
      <c r="L1275" s="972"/>
      <c r="M1275" s="972"/>
    </row>
    <row r="1276" spans="5:13">
      <c r="E1276" s="972"/>
      <c r="F1276" s="972"/>
      <c r="G1276" s="972"/>
      <c r="H1276" s="972"/>
      <c r="I1276" s="972"/>
      <c r="J1276" s="972"/>
      <c r="K1276" s="972"/>
      <c r="L1276" s="972"/>
      <c r="M1276" s="972"/>
    </row>
    <row r="1277" spans="5:13">
      <c r="E1277" s="972"/>
      <c r="F1277" s="972"/>
      <c r="G1277" s="972"/>
      <c r="H1277" s="972"/>
      <c r="I1277" s="972"/>
      <c r="J1277" s="972"/>
      <c r="K1277" s="972"/>
      <c r="L1277" s="972"/>
      <c r="M1277" s="972"/>
    </row>
    <row r="1278" spans="5:13">
      <c r="E1278" s="972"/>
      <c r="F1278" s="972"/>
      <c r="G1278" s="972"/>
      <c r="H1278" s="972"/>
      <c r="I1278" s="972"/>
      <c r="J1278" s="972"/>
      <c r="K1278" s="972"/>
      <c r="L1278" s="972"/>
      <c r="M1278" s="972"/>
    </row>
    <row r="1279" spans="5:13">
      <c r="E1279" s="972"/>
      <c r="F1279" s="972"/>
      <c r="G1279" s="972"/>
      <c r="H1279" s="972"/>
      <c r="I1279" s="972"/>
      <c r="J1279" s="972"/>
      <c r="K1279" s="972"/>
      <c r="L1279" s="972"/>
      <c r="M1279" s="972"/>
    </row>
    <row r="1280" spans="5:13">
      <c r="E1280" s="972"/>
      <c r="F1280" s="972"/>
      <c r="G1280" s="972"/>
      <c r="H1280" s="972"/>
      <c r="I1280" s="972"/>
      <c r="J1280" s="972"/>
      <c r="K1280" s="972"/>
      <c r="L1280" s="972"/>
      <c r="M1280" s="972"/>
    </row>
    <row r="1281" spans="5:13">
      <c r="E1281" s="972"/>
      <c r="F1281" s="972"/>
      <c r="G1281" s="972"/>
      <c r="H1281" s="972"/>
      <c r="I1281" s="972"/>
      <c r="J1281" s="972"/>
      <c r="K1281" s="972"/>
      <c r="L1281" s="972"/>
      <c r="M1281" s="972"/>
    </row>
    <row r="1282" spans="5:13">
      <c r="E1282" s="972"/>
      <c r="F1282" s="972"/>
      <c r="G1282" s="972"/>
      <c r="H1282" s="972"/>
      <c r="I1282" s="972"/>
      <c r="J1282" s="972"/>
      <c r="K1282" s="972"/>
      <c r="L1282" s="972"/>
      <c r="M1282" s="972"/>
    </row>
    <row r="1283" spans="5:13">
      <c r="E1283" s="972"/>
      <c r="F1283" s="972"/>
      <c r="G1283" s="972"/>
      <c r="H1283" s="972"/>
      <c r="I1283" s="972"/>
      <c r="J1283" s="972"/>
      <c r="K1283" s="972"/>
      <c r="L1283" s="972"/>
      <c r="M1283" s="972"/>
    </row>
    <row r="1284" spans="5:13">
      <c r="E1284" s="972"/>
      <c r="F1284" s="972"/>
      <c r="G1284" s="972"/>
      <c r="H1284" s="972"/>
      <c r="I1284" s="972"/>
      <c r="J1284" s="972"/>
      <c r="K1284" s="972"/>
      <c r="L1284" s="972"/>
      <c r="M1284" s="972"/>
    </row>
    <row r="1285" spans="5:13">
      <c r="E1285" s="972"/>
      <c r="F1285" s="972"/>
      <c r="G1285" s="972"/>
      <c r="H1285" s="972"/>
      <c r="I1285" s="972"/>
      <c r="J1285" s="972"/>
      <c r="K1285" s="972"/>
      <c r="L1285" s="972"/>
      <c r="M1285" s="972"/>
    </row>
    <row r="1286" spans="5:13">
      <c r="E1286" s="972"/>
      <c r="F1286" s="972"/>
      <c r="G1286" s="972"/>
      <c r="H1286" s="972"/>
      <c r="I1286" s="972"/>
      <c r="J1286" s="972"/>
      <c r="K1286" s="972"/>
      <c r="L1286" s="972"/>
      <c r="M1286" s="972"/>
    </row>
    <row r="1287" spans="5:13">
      <c r="E1287" s="972"/>
      <c r="F1287" s="972"/>
      <c r="G1287" s="972"/>
      <c r="H1287" s="972"/>
      <c r="I1287" s="972"/>
      <c r="J1287" s="972"/>
      <c r="K1287" s="972"/>
      <c r="L1287" s="972"/>
      <c r="M1287" s="972"/>
    </row>
    <row r="1288" spans="5:13">
      <c r="E1288" s="972"/>
      <c r="F1288" s="972"/>
      <c r="G1288" s="972"/>
      <c r="H1288" s="972"/>
      <c r="I1288" s="972"/>
      <c r="J1288" s="972"/>
      <c r="K1288" s="972"/>
      <c r="L1288" s="972"/>
      <c r="M1288" s="972"/>
    </row>
    <row r="1289" spans="5:13">
      <c r="E1289" s="972"/>
      <c r="F1289" s="972"/>
      <c r="G1289" s="972"/>
      <c r="H1289" s="972"/>
      <c r="I1289" s="972"/>
      <c r="J1289" s="972"/>
      <c r="K1289" s="972"/>
      <c r="L1289" s="972"/>
      <c r="M1289" s="972"/>
    </row>
    <row r="1290" spans="5:13">
      <c r="E1290" s="972"/>
      <c r="F1290" s="972"/>
      <c r="G1290" s="972"/>
      <c r="H1290" s="972"/>
      <c r="I1290" s="972"/>
      <c r="J1290" s="972"/>
      <c r="K1290" s="972"/>
      <c r="L1290" s="972"/>
      <c r="M1290" s="972"/>
    </row>
    <row r="1291" spans="5:13">
      <c r="E1291" s="972"/>
      <c r="F1291" s="972"/>
      <c r="G1291" s="972"/>
      <c r="H1291" s="972"/>
      <c r="I1291" s="972"/>
      <c r="J1291" s="972"/>
      <c r="K1291" s="972"/>
      <c r="L1291" s="972"/>
      <c r="M1291" s="972"/>
    </row>
    <row r="1292" spans="5:13">
      <c r="E1292" s="972"/>
      <c r="F1292" s="972"/>
      <c r="G1292" s="972"/>
      <c r="H1292" s="972"/>
      <c r="I1292" s="972"/>
      <c r="J1292" s="972"/>
      <c r="K1292" s="972"/>
      <c r="L1292" s="972"/>
      <c r="M1292" s="972"/>
    </row>
    <row r="1293" spans="5:13">
      <c r="E1293" s="972"/>
      <c r="F1293" s="972"/>
      <c r="G1293" s="972"/>
      <c r="H1293" s="972"/>
      <c r="I1293" s="972"/>
      <c r="J1293" s="972"/>
      <c r="K1293" s="972"/>
      <c r="L1293" s="972"/>
      <c r="M1293" s="972"/>
    </row>
    <row r="1294" spans="5:13">
      <c r="E1294" s="972"/>
      <c r="F1294" s="972"/>
      <c r="G1294" s="972"/>
      <c r="H1294" s="972"/>
      <c r="I1294" s="972"/>
      <c r="J1294" s="972"/>
      <c r="K1294" s="972"/>
      <c r="L1294" s="972"/>
      <c r="M1294" s="972"/>
    </row>
    <row r="1295" spans="5:13">
      <c r="E1295" s="972"/>
      <c r="F1295" s="972"/>
      <c r="G1295" s="972"/>
      <c r="H1295" s="972"/>
      <c r="I1295" s="972"/>
      <c r="J1295" s="972"/>
      <c r="K1295" s="972"/>
      <c r="L1295" s="972"/>
      <c r="M1295" s="972"/>
    </row>
    <row r="1296" spans="5:13">
      <c r="E1296" s="972"/>
      <c r="F1296" s="972"/>
      <c r="G1296" s="972"/>
      <c r="H1296" s="972"/>
      <c r="I1296" s="972"/>
      <c r="J1296" s="972"/>
      <c r="K1296" s="972"/>
      <c r="L1296" s="972"/>
      <c r="M1296" s="972"/>
    </row>
    <row r="1297" spans="5:13">
      <c r="E1297" s="972"/>
      <c r="F1297" s="972"/>
      <c r="G1297" s="972"/>
      <c r="H1297" s="972"/>
      <c r="I1297" s="972"/>
      <c r="J1297" s="972"/>
      <c r="K1297" s="972"/>
      <c r="L1297" s="972"/>
      <c r="M1297" s="972"/>
    </row>
    <row r="1298" spans="5:13">
      <c r="E1298" s="972"/>
      <c r="F1298" s="972"/>
      <c r="G1298" s="972"/>
      <c r="H1298" s="972"/>
      <c r="I1298" s="972"/>
      <c r="J1298" s="972"/>
      <c r="K1298" s="972"/>
      <c r="L1298" s="972"/>
      <c r="M1298" s="972"/>
    </row>
    <row r="1299" spans="5:13">
      <c r="E1299" s="972"/>
      <c r="F1299" s="972"/>
      <c r="G1299" s="972"/>
      <c r="H1299" s="972"/>
      <c r="I1299" s="972"/>
      <c r="J1299" s="972"/>
      <c r="K1299" s="972"/>
      <c r="L1299" s="972"/>
      <c r="M1299" s="972"/>
    </row>
    <row r="1300" spans="5:13">
      <c r="E1300" s="972"/>
      <c r="F1300" s="972"/>
      <c r="G1300" s="972"/>
      <c r="H1300" s="972"/>
      <c r="I1300" s="972"/>
      <c r="J1300" s="972"/>
      <c r="K1300" s="972"/>
      <c r="L1300" s="972"/>
      <c r="M1300" s="972"/>
    </row>
    <row r="1301" spans="5:13">
      <c r="E1301" s="972"/>
      <c r="F1301" s="972"/>
      <c r="G1301" s="972"/>
      <c r="H1301" s="972"/>
      <c r="I1301" s="972"/>
      <c r="J1301" s="972"/>
      <c r="K1301" s="972"/>
      <c r="L1301" s="972"/>
      <c r="M1301" s="972"/>
    </row>
    <row r="1302" spans="5:13">
      <c r="E1302" s="972"/>
      <c r="F1302" s="972"/>
      <c r="G1302" s="972"/>
      <c r="H1302" s="972"/>
      <c r="I1302" s="972"/>
      <c r="J1302" s="972"/>
      <c r="K1302" s="972"/>
      <c r="L1302" s="972"/>
      <c r="M1302" s="972"/>
    </row>
    <row r="1303" spans="5:13">
      <c r="E1303" s="972"/>
      <c r="F1303" s="972"/>
      <c r="G1303" s="972"/>
      <c r="H1303" s="972"/>
      <c r="I1303" s="972"/>
      <c r="J1303" s="972"/>
      <c r="K1303" s="972"/>
      <c r="L1303" s="972"/>
      <c r="M1303" s="972"/>
    </row>
    <row r="1304" spans="5:13">
      <c r="E1304" s="972"/>
      <c r="F1304" s="972"/>
      <c r="G1304" s="972"/>
      <c r="H1304" s="972"/>
      <c r="I1304" s="972"/>
      <c r="J1304" s="972"/>
      <c r="K1304" s="972"/>
      <c r="L1304" s="972"/>
      <c r="M1304" s="972"/>
    </row>
    <row r="1305" spans="5:13">
      <c r="E1305" s="972"/>
      <c r="F1305" s="972"/>
      <c r="G1305" s="972"/>
      <c r="H1305" s="972"/>
      <c r="I1305" s="972"/>
      <c r="J1305" s="972"/>
      <c r="K1305" s="972"/>
      <c r="L1305" s="972"/>
      <c r="M1305" s="972"/>
    </row>
    <row r="1306" spans="5:13">
      <c r="E1306" s="972"/>
      <c r="F1306" s="972"/>
      <c r="G1306" s="972"/>
      <c r="H1306" s="972"/>
      <c r="I1306" s="972"/>
      <c r="J1306" s="972"/>
      <c r="K1306" s="972"/>
      <c r="L1306" s="972"/>
      <c r="M1306" s="972"/>
    </row>
    <row r="1307" spans="5:13">
      <c r="E1307" s="972"/>
      <c r="F1307" s="972"/>
      <c r="G1307" s="972"/>
      <c r="H1307" s="972"/>
      <c r="I1307" s="972"/>
      <c r="J1307" s="972"/>
      <c r="K1307" s="972"/>
      <c r="L1307" s="972"/>
      <c r="M1307" s="972"/>
    </row>
    <row r="1308" spans="5:13">
      <c r="E1308" s="972"/>
      <c r="F1308" s="972"/>
      <c r="G1308" s="972"/>
      <c r="H1308" s="972"/>
      <c r="I1308" s="972"/>
      <c r="J1308" s="972"/>
      <c r="K1308" s="972"/>
      <c r="L1308" s="972"/>
      <c r="M1308" s="972"/>
    </row>
    <row r="1309" spans="5:13">
      <c r="E1309" s="972"/>
      <c r="F1309" s="972"/>
      <c r="G1309" s="972"/>
      <c r="H1309" s="972"/>
      <c r="I1309" s="972"/>
      <c r="J1309" s="972"/>
      <c r="K1309" s="972"/>
      <c r="L1309" s="972"/>
      <c r="M1309" s="972"/>
    </row>
    <row r="1310" spans="5:13">
      <c r="E1310" s="972"/>
      <c r="F1310" s="972"/>
      <c r="G1310" s="972"/>
      <c r="H1310" s="972"/>
      <c r="I1310" s="972"/>
      <c r="J1310" s="972"/>
      <c r="K1310" s="972"/>
      <c r="L1310" s="972"/>
      <c r="M1310" s="972"/>
    </row>
    <row r="1311" spans="5:13">
      <c r="E1311" s="972"/>
      <c r="F1311" s="972"/>
      <c r="G1311" s="972"/>
      <c r="H1311" s="972"/>
      <c r="I1311" s="972"/>
      <c r="J1311" s="972"/>
      <c r="K1311" s="972"/>
      <c r="L1311" s="972"/>
      <c r="M1311" s="972"/>
    </row>
    <row r="1312" spans="5:13">
      <c r="E1312" s="972"/>
      <c r="F1312" s="972"/>
      <c r="G1312" s="972"/>
      <c r="H1312" s="972"/>
      <c r="I1312" s="972"/>
      <c r="J1312" s="972"/>
      <c r="K1312" s="972"/>
      <c r="L1312" s="972"/>
      <c r="M1312" s="972"/>
    </row>
    <row r="1313" spans="5:13">
      <c r="E1313" s="972"/>
      <c r="F1313" s="972"/>
      <c r="G1313" s="972"/>
      <c r="H1313" s="972"/>
      <c r="I1313" s="972"/>
      <c r="J1313" s="972"/>
      <c r="K1313" s="972"/>
      <c r="L1313" s="972"/>
      <c r="M1313" s="972"/>
    </row>
    <row r="1314" spans="5:13">
      <c r="E1314" s="972"/>
      <c r="F1314" s="972"/>
      <c r="G1314" s="972"/>
      <c r="H1314" s="972"/>
      <c r="I1314" s="972"/>
      <c r="J1314" s="972"/>
      <c r="K1314" s="972"/>
      <c r="L1314" s="972"/>
      <c r="M1314" s="972"/>
    </row>
    <row r="1315" spans="5:13">
      <c r="E1315" s="972"/>
      <c r="F1315" s="972"/>
      <c r="G1315" s="972"/>
      <c r="H1315" s="972"/>
      <c r="I1315" s="972"/>
      <c r="J1315" s="972"/>
      <c r="K1315" s="972"/>
      <c r="L1315" s="972"/>
      <c r="M1315" s="972"/>
    </row>
    <row r="1316" spans="5:13">
      <c r="E1316" s="972"/>
      <c r="F1316" s="972"/>
      <c r="G1316" s="972"/>
      <c r="H1316" s="972"/>
      <c r="I1316" s="972"/>
      <c r="J1316" s="972"/>
      <c r="K1316" s="972"/>
      <c r="L1316" s="972"/>
      <c r="M1316" s="972"/>
    </row>
    <row r="1317" spans="5:13">
      <c r="E1317" s="972"/>
      <c r="F1317" s="972"/>
      <c r="G1317" s="972"/>
      <c r="H1317" s="972"/>
      <c r="I1317" s="972"/>
      <c r="J1317" s="972"/>
      <c r="K1317" s="972"/>
      <c r="L1317" s="972"/>
      <c r="M1317" s="972"/>
    </row>
    <row r="1318" spans="5:13">
      <c r="E1318" s="972"/>
      <c r="F1318" s="972"/>
      <c r="G1318" s="972"/>
      <c r="H1318" s="972"/>
      <c r="I1318" s="972"/>
      <c r="J1318" s="972"/>
      <c r="K1318" s="972"/>
      <c r="L1318" s="972"/>
      <c r="M1318" s="972"/>
    </row>
    <row r="1319" spans="5:13">
      <c r="E1319" s="972"/>
      <c r="F1319" s="972"/>
      <c r="G1319" s="972"/>
      <c r="H1319" s="972"/>
      <c r="I1319" s="972"/>
      <c r="J1319" s="972"/>
      <c r="K1319" s="972"/>
      <c r="L1319" s="972"/>
      <c r="M1319" s="972"/>
    </row>
    <row r="1320" spans="5:13">
      <c r="E1320" s="972"/>
      <c r="F1320" s="972"/>
      <c r="G1320" s="972"/>
      <c r="H1320" s="972"/>
      <c r="I1320" s="972"/>
      <c r="J1320" s="972"/>
      <c r="K1320" s="972"/>
      <c r="L1320" s="972"/>
      <c r="M1320" s="972"/>
    </row>
    <row r="1321" spans="5:13">
      <c r="E1321" s="972"/>
      <c r="F1321" s="972"/>
      <c r="G1321" s="972"/>
      <c r="H1321" s="972"/>
      <c r="I1321" s="972"/>
      <c r="J1321" s="972"/>
      <c r="K1321" s="972"/>
      <c r="L1321" s="972"/>
      <c r="M1321" s="972"/>
    </row>
    <row r="1322" spans="5:13">
      <c r="E1322" s="972"/>
      <c r="F1322" s="972"/>
      <c r="G1322" s="972"/>
      <c r="H1322" s="972"/>
      <c r="I1322" s="972"/>
      <c r="J1322" s="972"/>
      <c r="K1322" s="972"/>
      <c r="L1322" s="972"/>
      <c r="M1322" s="972"/>
    </row>
    <row r="1323" spans="5:13">
      <c r="E1323" s="972"/>
      <c r="F1323" s="972"/>
      <c r="G1323" s="972"/>
      <c r="H1323" s="972"/>
      <c r="I1323" s="972"/>
      <c r="J1323" s="972"/>
      <c r="K1323" s="972"/>
      <c r="L1323" s="972"/>
      <c r="M1323" s="972"/>
    </row>
    <row r="1324" spans="5:13">
      <c r="E1324" s="972"/>
      <c r="F1324" s="972"/>
      <c r="G1324" s="972"/>
      <c r="H1324" s="972"/>
      <c r="I1324" s="972"/>
      <c r="J1324" s="972"/>
      <c r="K1324" s="972"/>
      <c r="L1324" s="972"/>
      <c r="M1324" s="972"/>
    </row>
    <row r="1325" spans="5:13">
      <c r="E1325" s="972"/>
      <c r="F1325" s="972"/>
      <c r="G1325" s="972"/>
      <c r="H1325" s="972"/>
      <c r="I1325" s="972"/>
      <c r="J1325" s="972"/>
      <c r="K1325" s="972"/>
      <c r="L1325" s="972"/>
      <c r="M1325" s="972"/>
    </row>
    <row r="1326" spans="5:13">
      <c r="E1326" s="972"/>
      <c r="F1326" s="972"/>
      <c r="G1326" s="972"/>
      <c r="H1326" s="972"/>
      <c r="I1326" s="972"/>
      <c r="J1326" s="972"/>
      <c r="K1326" s="972"/>
      <c r="L1326" s="972"/>
      <c r="M1326" s="972"/>
    </row>
    <row r="1327" spans="5:13">
      <c r="E1327" s="972"/>
      <c r="F1327" s="972"/>
      <c r="G1327" s="972"/>
      <c r="H1327" s="972"/>
      <c r="I1327" s="972"/>
      <c r="J1327" s="972"/>
      <c r="K1327" s="972"/>
      <c r="L1327" s="972"/>
      <c r="M1327" s="972"/>
    </row>
    <row r="1328" spans="5:13">
      <c r="E1328" s="972"/>
      <c r="F1328" s="972"/>
      <c r="G1328" s="972"/>
      <c r="H1328" s="972"/>
      <c r="I1328" s="972"/>
      <c r="J1328" s="972"/>
      <c r="K1328" s="972"/>
      <c r="L1328" s="972"/>
      <c r="M1328" s="972"/>
    </row>
    <row r="1329" spans="5:13">
      <c r="E1329" s="972"/>
      <c r="F1329" s="972"/>
      <c r="G1329" s="972"/>
      <c r="H1329" s="972"/>
      <c r="I1329" s="972"/>
      <c r="J1329" s="972"/>
      <c r="K1329" s="972"/>
      <c r="L1329" s="972"/>
      <c r="M1329" s="972"/>
    </row>
    <row r="1330" spans="5:13">
      <c r="E1330" s="972"/>
      <c r="F1330" s="972"/>
      <c r="G1330" s="972"/>
      <c r="H1330" s="972"/>
      <c r="I1330" s="972"/>
      <c r="J1330" s="972"/>
      <c r="K1330" s="972"/>
      <c r="L1330" s="972"/>
      <c r="M1330" s="972"/>
    </row>
    <row r="1331" spans="5:13">
      <c r="E1331" s="972"/>
      <c r="F1331" s="972"/>
      <c r="G1331" s="972"/>
      <c r="H1331" s="972"/>
      <c r="I1331" s="972"/>
      <c r="J1331" s="972"/>
      <c r="K1331" s="972"/>
      <c r="L1331" s="972"/>
      <c r="M1331" s="972"/>
    </row>
    <row r="1332" spans="5:13">
      <c r="E1332" s="972"/>
      <c r="F1332" s="972"/>
      <c r="G1332" s="972"/>
      <c r="H1332" s="972"/>
      <c r="I1332" s="972"/>
      <c r="J1332" s="972"/>
      <c r="K1332" s="972"/>
      <c r="L1332" s="972"/>
      <c r="M1332" s="972"/>
    </row>
    <row r="1333" spans="5:13">
      <c r="E1333" s="972"/>
      <c r="F1333" s="972"/>
      <c r="G1333" s="972"/>
      <c r="H1333" s="972"/>
      <c r="I1333" s="972"/>
      <c r="J1333" s="972"/>
      <c r="K1333" s="972"/>
      <c r="L1333" s="972"/>
      <c r="M1333" s="972"/>
    </row>
    <row r="1334" spans="5:13">
      <c r="E1334" s="972"/>
      <c r="F1334" s="972"/>
      <c r="G1334" s="972"/>
      <c r="H1334" s="972"/>
      <c r="I1334" s="972"/>
      <c r="J1334" s="972"/>
      <c r="K1334" s="972"/>
      <c r="L1334" s="972"/>
      <c r="M1334" s="972"/>
    </row>
    <row r="1335" spans="5:13">
      <c r="E1335" s="972"/>
      <c r="F1335" s="972"/>
      <c r="G1335" s="972"/>
      <c r="H1335" s="972"/>
      <c r="I1335" s="972"/>
      <c r="J1335" s="972"/>
      <c r="K1335" s="972"/>
      <c r="L1335" s="972"/>
      <c r="M1335" s="972"/>
    </row>
    <row r="1336" spans="5:13">
      <c r="E1336" s="972"/>
      <c r="F1336" s="972"/>
      <c r="G1336" s="972"/>
      <c r="H1336" s="972"/>
      <c r="I1336" s="972"/>
      <c r="J1336" s="972"/>
      <c r="K1336" s="972"/>
      <c r="L1336" s="972"/>
      <c r="M1336" s="972"/>
    </row>
    <row r="1337" spans="5:13">
      <c r="E1337" s="972"/>
      <c r="F1337" s="972"/>
      <c r="G1337" s="972"/>
      <c r="H1337" s="972"/>
      <c r="I1337" s="972"/>
      <c r="J1337" s="972"/>
      <c r="K1337" s="972"/>
      <c r="L1337" s="972"/>
      <c r="M1337" s="972"/>
    </row>
    <row r="1338" spans="5:13">
      <c r="E1338" s="972"/>
      <c r="F1338" s="972"/>
      <c r="G1338" s="972"/>
      <c r="H1338" s="972"/>
      <c r="I1338" s="972"/>
      <c r="J1338" s="972"/>
      <c r="K1338" s="972"/>
      <c r="L1338" s="972"/>
      <c r="M1338" s="972"/>
    </row>
    <row r="1339" spans="5:13">
      <c r="E1339" s="972"/>
      <c r="F1339" s="972"/>
      <c r="G1339" s="972"/>
      <c r="H1339" s="972"/>
      <c r="I1339" s="972"/>
      <c r="J1339" s="972"/>
      <c r="K1339" s="972"/>
      <c r="L1339" s="972"/>
      <c r="M1339" s="972"/>
    </row>
    <row r="1340" spans="5:13">
      <c r="E1340" s="972"/>
      <c r="F1340" s="972"/>
      <c r="G1340" s="972"/>
      <c r="H1340" s="972"/>
      <c r="I1340" s="972"/>
      <c r="J1340" s="972"/>
      <c r="K1340" s="972"/>
      <c r="L1340" s="972"/>
      <c r="M1340" s="972"/>
    </row>
    <row r="1341" spans="5:13">
      <c r="E1341" s="972"/>
      <c r="F1341" s="972"/>
      <c r="G1341" s="972"/>
      <c r="H1341" s="972"/>
      <c r="I1341" s="972"/>
      <c r="J1341" s="972"/>
      <c r="K1341" s="972"/>
      <c r="L1341" s="972"/>
      <c r="M1341" s="972"/>
    </row>
    <row r="1342" spans="5:13">
      <c r="E1342" s="972"/>
      <c r="F1342" s="972"/>
      <c r="G1342" s="972"/>
      <c r="H1342" s="972"/>
      <c r="I1342" s="972"/>
      <c r="J1342" s="972"/>
      <c r="K1342" s="972"/>
      <c r="L1342" s="972"/>
      <c r="M1342" s="972"/>
    </row>
    <row r="1343" spans="5:13">
      <c r="E1343" s="972"/>
      <c r="F1343" s="972"/>
      <c r="G1343" s="972"/>
      <c r="H1343" s="972"/>
      <c r="I1343" s="972"/>
      <c r="J1343" s="972"/>
      <c r="K1343" s="972"/>
      <c r="L1343" s="972"/>
      <c r="M1343" s="972"/>
    </row>
    <row r="1344" spans="5:13">
      <c r="E1344" s="972"/>
      <c r="F1344" s="972"/>
      <c r="G1344" s="972"/>
      <c r="H1344" s="972"/>
      <c r="I1344" s="972"/>
      <c r="J1344" s="972"/>
      <c r="K1344" s="972"/>
      <c r="L1344" s="972"/>
      <c r="M1344" s="972"/>
    </row>
    <row r="1345" spans="5:13">
      <c r="E1345" s="972"/>
      <c r="F1345" s="972"/>
      <c r="G1345" s="972"/>
      <c r="H1345" s="972"/>
      <c r="I1345" s="972"/>
      <c r="J1345" s="972"/>
      <c r="K1345" s="972"/>
      <c r="L1345" s="972"/>
      <c r="M1345" s="972"/>
    </row>
    <row r="1346" spans="5:13">
      <c r="E1346" s="972"/>
      <c r="F1346" s="972"/>
      <c r="G1346" s="972"/>
      <c r="H1346" s="972"/>
      <c r="I1346" s="972"/>
      <c r="J1346" s="972"/>
      <c r="K1346" s="972"/>
      <c r="L1346" s="972"/>
      <c r="M1346" s="972"/>
    </row>
    <row r="1347" spans="5:13">
      <c r="E1347" s="972"/>
      <c r="F1347" s="972"/>
      <c r="G1347" s="972"/>
      <c r="H1347" s="972"/>
      <c r="I1347" s="972"/>
      <c r="J1347" s="972"/>
      <c r="K1347" s="972"/>
      <c r="L1347" s="972"/>
      <c r="M1347" s="972"/>
    </row>
    <row r="1348" spans="5:13">
      <c r="E1348" s="972"/>
      <c r="F1348" s="972"/>
      <c r="G1348" s="972"/>
      <c r="H1348" s="972"/>
      <c r="I1348" s="972"/>
      <c r="J1348" s="972"/>
      <c r="K1348" s="972"/>
      <c r="L1348" s="972"/>
      <c r="M1348" s="972"/>
    </row>
    <row r="1349" spans="5:13">
      <c r="E1349" s="972"/>
      <c r="F1349" s="972"/>
      <c r="G1349" s="972"/>
      <c r="H1349" s="972"/>
      <c r="I1349" s="972"/>
      <c r="J1349" s="972"/>
      <c r="K1349" s="972"/>
      <c r="L1349" s="972"/>
      <c r="M1349" s="972"/>
    </row>
    <row r="1350" spans="5:13">
      <c r="E1350" s="972"/>
      <c r="F1350" s="972"/>
      <c r="G1350" s="972"/>
      <c r="H1350" s="972"/>
      <c r="I1350" s="972"/>
      <c r="J1350" s="972"/>
      <c r="K1350" s="972"/>
      <c r="L1350" s="972"/>
      <c r="M1350" s="972"/>
    </row>
    <row r="1351" spans="5:13">
      <c r="E1351" s="972"/>
      <c r="F1351" s="972"/>
      <c r="G1351" s="972"/>
      <c r="H1351" s="972"/>
      <c r="I1351" s="972"/>
      <c r="J1351" s="972"/>
      <c r="K1351" s="972"/>
      <c r="L1351" s="972"/>
      <c r="M1351" s="972"/>
    </row>
    <row r="1352" spans="5:13">
      <c r="E1352" s="972"/>
      <c r="F1352" s="972"/>
      <c r="G1352" s="972"/>
      <c r="H1352" s="972"/>
      <c r="I1352" s="972"/>
      <c r="J1352" s="972"/>
      <c r="K1352" s="972"/>
      <c r="L1352" s="972"/>
      <c r="M1352" s="972"/>
    </row>
    <row r="1353" spans="5:13">
      <c r="E1353" s="972"/>
      <c r="F1353" s="972"/>
      <c r="G1353" s="972"/>
      <c r="H1353" s="972"/>
      <c r="I1353" s="972"/>
      <c r="J1353" s="972"/>
      <c r="K1353" s="972"/>
      <c r="L1353" s="972"/>
      <c r="M1353" s="972"/>
    </row>
    <row r="1354" spans="5:13">
      <c r="E1354" s="972"/>
      <c r="F1354" s="972"/>
      <c r="G1354" s="972"/>
      <c r="H1354" s="972"/>
      <c r="I1354" s="972"/>
      <c r="J1354" s="972"/>
      <c r="K1354" s="972"/>
      <c r="L1354" s="972"/>
      <c r="M1354" s="972"/>
    </row>
    <row r="1355" spans="5:13">
      <c r="E1355" s="972"/>
      <c r="F1355" s="972"/>
      <c r="G1355" s="972"/>
      <c r="H1355" s="972"/>
      <c r="I1355" s="972"/>
      <c r="J1355" s="972"/>
      <c r="K1355" s="972"/>
      <c r="L1355" s="972"/>
      <c r="M1355" s="972"/>
    </row>
    <row r="1356" spans="5:13">
      <c r="E1356" s="972"/>
      <c r="F1356" s="972"/>
      <c r="G1356" s="972"/>
      <c r="H1356" s="972"/>
      <c r="I1356" s="972"/>
      <c r="J1356" s="972"/>
      <c r="K1356" s="972"/>
      <c r="L1356" s="972"/>
      <c r="M1356" s="972"/>
    </row>
    <row r="1357" spans="5:13">
      <c r="E1357" s="972"/>
      <c r="F1357" s="972"/>
      <c r="G1357" s="972"/>
      <c r="H1357" s="972"/>
      <c r="I1357" s="972"/>
      <c r="J1357" s="972"/>
      <c r="K1357" s="972"/>
      <c r="L1357" s="972"/>
      <c r="M1357" s="972"/>
    </row>
    <row r="1358" spans="5:13">
      <c r="E1358" s="972"/>
      <c r="F1358" s="972"/>
      <c r="G1358" s="972"/>
      <c r="H1358" s="972"/>
      <c r="I1358" s="972"/>
      <c r="J1358" s="972"/>
      <c r="K1358" s="972"/>
      <c r="L1358" s="972"/>
      <c r="M1358" s="972"/>
    </row>
    <row r="1359" spans="5:13">
      <c r="E1359" s="972"/>
      <c r="F1359" s="972"/>
      <c r="G1359" s="972"/>
      <c r="H1359" s="972"/>
      <c r="I1359" s="972"/>
      <c r="J1359" s="972"/>
      <c r="K1359" s="972"/>
      <c r="L1359" s="972"/>
      <c r="M1359" s="972"/>
    </row>
    <row r="1360" spans="5:13">
      <c r="E1360" s="972"/>
      <c r="F1360" s="972"/>
      <c r="G1360" s="972"/>
      <c r="H1360" s="972"/>
      <c r="I1360" s="972"/>
      <c r="J1360" s="972"/>
      <c r="K1360" s="972"/>
      <c r="L1360" s="972"/>
      <c r="M1360" s="972"/>
    </row>
    <row r="1361" spans="5:13">
      <c r="E1361" s="972"/>
      <c r="F1361" s="972"/>
      <c r="G1361" s="972"/>
      <c r="H1361" s="972"/>
      <c r="I1361" s="972"/>
      <c r="J1361" s="972"/>
      <c r="K1361" s="972"/>
      <c r="L1361" s="972"/>
      <c r="M1361" s="972"/>
    </row>
    <row r="1362" spans="5:13">
      <c r="E1362" s="972"/>
      <c r="F1362" s="972"/>
      <c r="G1362" s="972"/>
      <c r="H1362" s="972"/>
      <c r="I1362" s="972"/>
      <c r="J1362" s="972"/>
      <c r="K1362" s="972"/>
      <c r="L1362" s="972"/>
      <c r="M1362" s="972"/>
    </row>
    <row r="1363" spans="5:13">
      <c r="E1363" s="972"/>
      <c r="F1363" s="972"/>
      <c r="G1363" s="972"/>
      <c r="H1363" s="972"/>
      <c r="I1363" s="972"/>
      <c r="J1363" s="972"/>
      <c r="K1363" s="972"/>
      <c r="L1363" s="972"/>
      <c r="M1363" s="972"/>
    </row>
    <row r="1364" spans="5:13">
      <c r="E1364" s="972"/>
      <c r="F1364" s="972"/>
      <c r="G1364" s="972"/>
      <c r="H1364" s="972"/>
      <c r="I1364" s="972"/>
      <c r="J1364" s="972"/>
      <c r="K1364" s="972"/>
      <c r="L1364" s="972"/>
      <c r="M1364" s="972"/>
    </row>
    <row r="1365" spans="5:13">
      <c r="E1365" s="972"/>
      <c r="F1365" s="972"/>
      <c r="G1365" s="972"/>
      <c r="H1365" s="972"/>
      <c r="I1365" s="972"/>
      <c r="J1365" s="972"/>
      <c r="K1365" s="972"/>
      <c r="L1365" s="972"/>
      <c r="M1365" s="972"/>
    </row>
    <row r="1366" spans="5:13">
      <c r="E1366" s="972"/>
      <c r="F1366" s="972"/>
      <c r="G1366" s="972"/>
      <c r="H1366" s="972"/>
      <c r="I1366" s="972"/>
      <c r="J1366" s="972"/>
      <c r="K1366" s="972"/>
      <c r="L1366" s="972"/>
      <c r="M1366" s="972"/>
    </row>
    <row r="1367" spans="5:13">
      <c r="E1367" s="972"/>
      <c r="F1367" s="972"/>
      <c r="G1367" s="972"/>
      <c r="H1367" s="972"/>
      <c r="I1367" s="972"/>
      <c r="J1367" s="972"/>
      <c r="K1367" s="972"/>
      <c r="L1367" s="972"/>
      <c r="M1367" s="972"/>
    </row>
    <row r="1368" spans="5:13">
      <c r="E1368" s="972"/>
      <c r="F1368" s="972"/>
      <c r="G1368" s="972"/>
      <c r="H1368" s="972"/>
      <c r="I1368" s="972"/>
      <c r="J1368" s="972"/>
      <c r="K1368" s="972"/>
      <c r="L1368" s="972"/>
      <c r="M1368" s="972"/>
    </row>
    <row r="1369" spans="5:13">
      <c r="E1369" s="972"/>
      <c r="F1369" s="972"/>
      <c r="G1369" s="972"/>
      <c r="H1369" s="972"/>
      <c r="I1369" s="972"/>
      <c r="J1369" s="972"/>
      <c r="K1369" s="972"/>
      <c r="L1369" s="972"/>
      <c r="M1369" s="972"/>
    </row>
    <row r="1370" spans="5:13">
      <c r="E1370" s="972"/>
      <c r="F1370" s="972"/>
      <c r="G1370" s="972"/>
      <c r="H1370" s="972"/>
      <c r="I1370" s="972"/>
      <c r="J1370" s="972"/>
      <c r="K1370" s="972"/>
      <c r="L1370" s="972"/>
      <c r="M1370" s="972"/>
    </row>
    <row r="1371" spans="5:13">
      <c r="E1371" s="972"/>
      <c r="F1371" s="972"/>
      <c r="G1371" s="972"/>
      <c r="H1371" s="972"/>
      <c r="I1371" s="972"/>
      <c r="J1371" s="972"/>
      <c r="K1371" s="972"/>
      <c r="L1371" s="972"/>
      <c r="M1371" s="972"/>
    </row>
    <row r="1372" spans="5:13">
      <c r="E1372" s="972"/>
      <c r="F1372" s="972"/>
      <c r="G1372" s="972"/>
      <c r="H1372" s="972"/>
      <c r="I1372" s="972"/>
      <c r="J1372" s="972"/>
      <c r="K1372" s="972"/>
      <c r="L1372" s="972"/>
      <c r="M1372" s="972"/>
    </row>
    <row r="1373" spans="5:13">
      <c r="E1373" s="972"/>
      <c r="F1373" s="972"/>
      <c r="G1373" s="972"/>
      <c r="H1373" s="972"/>
      <c r="I1373" s="972"/>
      <c r="J1373" s="972"/>
      <c r="K1373" s="972"/>
      <c r="L1373" s="972"/>
      <c r="M1373" s="972"/>
    </row>
    <row r="1374" spans="5:13">
      <c r="E1374" s="972"/>
      <c r="F1374" s="972"/>
      <c r="G1374" s="972"/>
      <c r="H1374" s="972"/>
      <c r="I1374" s="972"/>
      <c r="J1374" s="972"/>
      <c r="K1374" s="972"/>
      <c r="L1374" s="972"/>
      <c r="M1374" s="972"/>
    </row>
    <row r="1375" spans="5:13">
      <c r="E1375" s="972"/>
      <c r="F1375" s="972"/>
      <c r="G1375" s="972"/>
      <c r="H1375" s="972"/>
      <c r="I1375" s="972"/>
      <c r="J1375" s="972"/>
      <c r="K1375" s="972"/>
      <c r="L1375" s="972"/>
      <c r="M1375" s="972"/>
    </row>
    <row r="1376" spans="5:13">
      <c r="E1376" s="972"/>
      <c r="F1376" s="972"/>
      <c r="G1376" s="972"/>
      <c r="H1376" s="972"/>
      <c r="I1376" s="972"/>
      <c r="J1376" s="972"/>
      <c r="K1376" s="972"/>
      <c r="L1376" s="972"/>
      <c r="M1376" s="972"/>
    </row>
    <row r="1377" spans="5:13">
      <c r="E1377" s="972"/>
      <c r="F1377" s="972"/>
      <c r="G1377" s="972"/>
      <c r="H1377" s="972"/>
      <c r="I1377" s="972"/>
      <c r="J1377" s="972"/>
      <c r="K1377" s="972"/>
      <c r="L1377" s="972"/>
      <c r="M1377" s="972"/>
    </row>
    <row r="1378" spans="5:13">
      <c r="E1378" s="972"/>
      <c r="F1378" s="972"/>
      <c r="G1378" s="972"/>
      <c r="H1378" s="972"/>
      <c r="I1378" s="972"/>
      <c r="J1378" s="972"/>
      <c r="K1378" s="972"/>
      <c r="L1378" s="972"/>
      <c r="M1378" s="972"/>
    </row>
    <row r="1379" spans="5:13">
      <c r="E1379" s="972"/>
      <c r="F1379" s="972"/>
      <c r="G1379" s="972"/>
      <c r="H1379" s="972"/>
      <c r="I1379" s="972"/>
      <c r="J1379" s="972"/>
      <c r="K1379" s="972"/>
      <c r="L1379" s="972"/>
      <c r="M1379" s="972"/>
    </row>
    <row r="1380" spans="5:13">
      <c r="E1380" s="972"/>
      <c r="F1380" s="972"/>
      <c r="G1380" s="972"/>
      <c r="H1380" s="972"/>
      <c r="I1380" s="972"/>
      <c r="J1380" s="972"/>
      <c r="K1380" s="972"/>
      <c r="L1380" s="972"/>
      <c r="M1380" s="972"/>
    </row>
    <row r="1381" spans="5:13">
      <c r="E1381" s="972"/>
      <c r="F1381" s="972"/>
      <c r="G1381" s="972"/>
      <c r="H1381" s="972"/>
      <c r="I1381" s="972"/>
      <c r="J1381" s="972"/>
      <c r="K1381" s="972"/>
      <c r="L1381" s="972"/>
      <c r="M1381" s="972"/>
    </row>
    <row r="1382" spans="5:13">
      <c r="E1382" s="972"/>
      <c r="F1382" s="972"/>
      <c r="G1382" s="972"/>
      <c r="H1382" s="972"/>
      <c r="I1382" s="972"/>
      <c r="J1382" s="972"/>
      <c r="K1382" s="972"/>
      <c r="L1382" s="972"/>
      <c r="M1382" s="972"/>
    </row>
    <row r="1383" spans="5:13">
      <c r="E1383" s="972"/>
      <c r="F1383" s="972"/>
      <c r="G1383" s="972"/>
      <c r="H1383" s="972"/>
      <c r="I1383" s="972"/>
      <c r="J1383" s="972"/>
      <c r="K1383" s="972"/>
      <c r="L1383" s="972"/>
      <c r="M1383" s="972"/>
    </row>
    <row r="1384" spans="5:13">
      <c r="E1384" s="972"/>
      <c r="F1384" s="972"/>
      <c r="G1384" s="972"/>
      <c r="H1384" s="972"/>
      <c r="I1384" s="972"/>
      <c r="J1384" s="972"/>
      <c r="K1384" s="972"/>
      <c r="L1384" s="972"/>
      <c r="M1384" s="972"/>
    </row>
    <row r="1385" spans="5:13">
      <c r="E1385" s="972"/>
      <c r="F1385" s="972"/>
      <c r="G1385" s="972"/>
      <c r="H1385" s="972"/>
      <c r="I1385" s="972"/>
      <c r="J1385" s="972"/>
      <c r="K1385" s="972"/>
      <c r="L1385" s="972"/>
      <c r="M1385" s="972"/>
    </row>
    <row r="1386" spans="5:13">
      <c r="E1386" s="972"/>
      <c r="F1386" s="972"/>
      <c r="G1386" s="972"/>
      <c r="H1386" s="972"/>
      <c r="I1386" s="972"/>
      <c r="J1386" s="972"/>
      <c r="K1386" s="972"/>
      <c r="L1386" s="972"/>
      <c r="M1386" s="972"/>
    </row>
    <row r="1387" spans="5:13">
      <c r="E1387" s="972"/>
      <c r="F1387" s="972"/>
      <c r="G1387" s="972"/>
      <c r="H1387" s="972"/>
      <c r="I1387" s="972"/>
      <c r="J1387" s="972"/>
      <c r="K1387" s="972"/>
      <c r="L1387" s="972"/>
      <c r="M1387" s="972"/>
    </row>
    <row r="1388" spans="5:13">
      <c r="E1388" s="972"/>
      <c r="F1388" s="972"/>
      <c r="G1388" s="972"/>
      <c r="H1388" s="972"/>
      <c r="I1388" s="972"/>
      <c r="J1388" s="972"/>
      <c r="K1388" s="972"/>
      <c r="L1388" s="972"/>
      <c r="M1388" s="972"/>
    </row>
    <row r="1389" spans="5:13">
      <c r="E1389" s="972"/>
      <c r="F1389" s="972"/>
      <c r="G1389" s="972"/>
      <c r="H1389" s="972"/>
      <c r="I1389" s="972"/>
      <c r="J1389" s="972"/>
      <c r="K1389" s="972"/>
      <c r="L1389" s="972"/>
      <c r="M1389" s="972"/>
    </row>
    <row r="1390" spans="5:13">
      <c r="E1390" s="972"/>
      <c r="F1390" s="972"/>
      <c r="G1390" s="972"/>
      <c r="H1390" s="972"/>
      <c r="I1390" s="972"/>
      <c r="J1390" s="972"/>
      <c r="K1390" s="972"/>
      <c r="L1390" s="972"/>
      <c r="M1390" s="972"/>
    </row>
    <row r="1391" spans="5:13">
      <c r="E1391" s="972"/>
      <c r="F1391" s="972"/>
      <c r="G1391" s="972"/>
      <c r="H1391" s="972"/>
      <c r="I1391" s="972"/>
      <c r="J1391" s="972"/>
      <c r="K1391" s="972"/>
      <c r="L1391" s="972"/>
      <c r="M1391" s="972"/>
    </row>
    <row r="1392" spans="5:13">
      <c r="E1392" s="972"/>
      <c r="F1392" s="972"/>
      <c r="G1392" s="972"/>
      <c r="H1392" s="972"/>
      <c r="I1392" s="972"/>
      <c r="J1392" s="972"/>
      <c r="K1392" s="972"/>
      <c r="L1392" s="972"/>
      <c r="M1392" s="972"/>
    </row>
    <row r="1393" spans="5:13">
      <c r="E1393" s="972"/>
      <c r="F1393" s="972"/>
      <c r="G1393" s="972"/>
      <c r="H1393" s="972"/>
      <c r="I1393" s="972"/>
      <c r="J1393" s="972"/>
      <c r="K1393" s="972"/>
      <c r="L1393" s="972"/>
      <c r="M1393" s="972"/>
    </row>
    <row r="1394" spans="5:13">
      <c r="E1394" s="972"/>
      <c r="F1394" s="972"/>
      <c r="G1394" s="972"/>
      <c r="H1394" s="972"/>
      <c r="I1394" s="972"/>
      <c r="J1394" s="972"/>
      <c r="K1394" s="972"/>
      <c r="L1394" s="972"/>
      <c r="M1394" s="972"/>
    </row>
    <row r="1395" spans="5:13">
      <c r="E1395" s="972"/>
      <c r="F1395" s="972"/>
      <c r="G1395" s="972"/>
      <c r="H1395" s="972"/>
      <c r="I1395" s="972"/>
      <c r="J1395" s="972"/>
      <c r="K1395" s="972"/>
      <c r="L1395" s="972"/>
      <c r="M1395" s="972"/>
    </row>
    <row r="1396" spans="5:13">
      <c r="E1396" s="972"/>
      <c r="F1396" s="972"/>
      <c r="G1396" s="972"/>
      <c r="H1396" s="972"/>
      <c r="I1396" s="972"/>
      <c r="J1396" s="972"/>
      <c r="K1396" s="972"/>
      <c r="L1396" s="972"/>
      <c r="M1396" s="972"/>
    </row>
    <row r="1397" spans="5:13">
      <c r="E1397" s="972"/>
      <c r="F1397" s="972"/>
      <c r="G1397" s="972"/>
      <c r="H1397" s="972"/>
      <c r="I1397" s="972"/>
      <c r="J1397" s="972"/>
      <c r="K1397" s="972"/>
      <c r="L1397" s="972"/>
      <c r="M1397" s="972"/>
    </row>
    <row r="1398" spans="5:13">
      <c r="E1398" s="972"/>
      <c r="F1398" s="972"/>
      <c r="G1398" s="972"/>
      <c r="H1398" s="972"/>
      <c r="I1398" s="972"/>
      <c r="J1398" s="972"/>
      <c r="K1398" s="972"/>
      <c r="L1398" s="972"/>
      <c r="M1398" s="972"/>
    </row>
    <row r="1399" spans="5:13">
      <c r="E1399" s="972"/>
      <c r="F1399" s="972"/>
      <c r="G1399" s="972"/>
      <c r="H1399" s="972"/>
      <c r="I1399" s="972"/>
      <c r="J1399" s="972"/>
      <c r="K1399" s="972"/>
      <c r="L1399" s="972"/>
      <c r="M1399" s="972"/>
    </row>
    <row r="1400" spans="5:13">
      <c r="E1400" s="972"/>
      <c r="F1400" s="972"/>
      <c r="G1400" s="972"/>
      <c r="H1400" s="972"/>
      <c r="I1400" s="972"/>
      <c r="J1400" s="972"/>
      <c r="K1400" s="972"/>
      <c r="L1400" s="972"/>
      <c r="M1400" s="972"/>
    </row>
    <row r="1401" spans="5:13">
      <c r="E1401" s="972"/>
      <c r="F1401" s="972"/>
      <c r="G1401" s="972"/>
      <c r="H1401" s="972"/>
      <c r="I1401" s="972"/>
      <c r="J1401" s="972"/>
      <c r="K1401" s="972"/>
      <c r="L1401" s="972"/>
      <c r="M1401" s="972"/>
    </row>
    <row r="1402" spans="5:13">
      <c r="E1402" s="972"/>
      <c r="F1402" s="972"/>
      <c r="G1402" s="972"/>
      <c r="H1402" s="972"/>
      <c r="I1402" s="972"/>
      <c r="J1402" s="972"/>
      <c r="K1402" s="972"/>
      <c r="L1402" s="972"/>
      <c r="M1402" s="972"/>
    </row>
    <row r="1403" spans="5:13">
      <c r="E1403" s="972"/>
      <c r="F1403" s="972"/>
      <c r="G1403" s="972"/>
      <c r="H1403" s="972"/>
      <c r="I1403" s="972"/>
      <c r="J1403" s="972"/>
      <c r="K1403" s="972"/>
      <c r="L1403" s="972"/>
      <c r="M1403" s="972"/>
    </row>
    <row r="1404" spans="5:13">
      <c r="E1404" s="972"/>
      <c r="F1404" s="972"/>
      <c r="G1404" s="972"/>
      <c r="H1404" s="972"/>
      <c r="I1404" s="972"/>
      <c r="J1404" s="972"/>
      <c r="K1404" s="972"/>
      <c r="L1404" s="972"/>
      <c r="M1404" s="972"/>
    </row>
    <row r="1405" spans="5:13">
      <c r="E1405" s="972"/>
      <c r="F1405" s="972"/>
      <c r="G1405" s="972"/>
      <c r="H1405" s="972"/>
      <c r="I1405" s="972"/>
      <c r="J1405" s="972"/>
      <c r="K1405" s="972"/>
      <c r="L1405" s="972"/>
      <c r="M1405" s="972"/>
    </row>
    <row r="1406" spans="5:13">
      <c r="E1406" s="972"/>
      <c r="F1406" s="972"/>
      <c r="G1406" s="972"/>
      <c r="H1406" s="972"/>
      <c r="I1406" s="972"/>
      <c r="J1406" s="972"/>
      <c r="K1406" s="972"/>
      <c r="L1406" s="972"/>
      <c r="M1406" s="972"/>
    </row>
    <row r="1407" spans="5:13">
      <c r="E1407" s="972"/>
      <c r="F1407" s="972"/>
      <c r="G1407" s="972"/>
      <c r="H1407" s="972"/>
      <c r="I1407" s="972"/>
      <c r="J1407" s="972"/>
      <c r="K1407" s="972"/>
      <c r="L1407" s="972"/>
      <c r="M1407" s="972"/>
    </row>
    <row r="1408" spans="5:13">
      <c r="E1408" s="972"/>
      <c r="F1408" s="972"/>
      <c r="G1408" s="972"/>
      <c r="H1408" s="972"/>
      <c r="I1408" s="972"/>
      <c r="J1408" s="972"/>
      <c r="K1408" s="972"/>
      <c r="L1408" s="972"/>
      <c r="M1408" s="972"/>
    </row>
    <row r="1409" spans="5:13">
      <c r="E1409" s="972"/>
      <c r="F1409" s="972"/>
      <c r="G1409" s="972"/>
      <c r="H1409" s="972"/>
      <c r="I1409" s="972"/>
      <c r="J1409" s="972"/>
      <c r="K1409" s="972"/>
      <c r="L1409" s="972"/>
      <c r="M1409" s="972"/>
    </row>
    <row r="1410" spans="5:13">
      <c r="E1410" s="972"/>
      <c r="F1410" s="972"/>
      <c r="G1410" s="972"/>
      <c r="H1410" s="972"/>
      <c r="I1410" s="972"/>
      <c r="J1410" s="972"/>
      <c r="K1410" s="972"/>
      <c r="L1410" s="972"/>
      <c r="M1410" s="972"/>
    </row>
    <row r="1411" spans="5:13">
      <c r="E1411" s="972"/>
      <c r="F1411" s="972"/>
      <c r="G1411" s="972"/>
      <c r="H1411" s="972"/>
      <c r="I1411" s="972"/>
      <c r="J1411" s="972"/>
      <c r="K1411" s="972"/>
      <c r="L1411" s="972"/>
      <c r="M1411" s="972"/>
    </row>
    <row r="1412" spans="5:13">
      <c r="E1412" s="972"/>
      <c r="F1412" s="972"/>
      <c r="G1412" s="972"/>
      <c r="H1412" s="972"/>
      <c r="I1412" s="972"/>
      <c r="J1412" s="972"/>
      <c r="K1412" s="972"/>
      <c r="L1412" s="972"/>
      <c r="M1412" s="972"/>
    </row>
    <row r="1413" spans="5:13">
      <c r="E1413" s="972"/>
      <c r="F1413" s="972"/>
      <c r="G1413" s="972"/>
      <c r="H1413" s="972"/>
      <c r="I1413" s="972"/>
      <c r="J1413" s="972"/>
      <c r="K1413" s="972"/>
      <c r="L1413" s="972"/>
      <c r="M1413" s="972"/>
    </row>
    <row r="1414" spans="5:13">
      <c r="E1414" s="972"/>
      <c r="F1414" s="972"/>
      <c r="G1414" s="972"/>
      <c r="H1414" s="972"/>
      <c r="I1414" s="972"/>
      <c r="J1414" s="972"/>
      <c r="K1414" s="972"/>
      <c r="L1414" s="972"/>
      <c r="M1414" s="972"/>
    </row>
    <row r="1415" spans="5:13">
      <c r="E1415" s="972"/>
      <c r="F1415" s="972"/>
      <c r="G1415" s="972"/>
      <c r="H1415" s="972"/>
      <c r="I1415" s="972"/>
      <c r="J1415" s="972"/>
      <c r="K1415" s="972"/>
      <c r="L1415" s="972"/>
      <c r="M1415" s="972"/>
    </row>
    <row r="1416" spans="5:13">
      <c r="E1416" s="972"/>
      <c r="F1416" s="972"/>
      <c r="G1416" s="972"/>
      <c r="H1416" s="972"/>
      <c r="I1416" s="972"/>
      <c r="J1416" s="972"/>
      <c r="K1416" s="972"/>
      <c r="L1416" s="972"/>
      <c r="M1416" s="972"/>
    </row>
    <row r="1417" spans="5:13">
      <c r="E1417" s="972"/>
      <c r="F1417" s="972"/>
      <c r="G1417" s="972"/>
      <c r="H1417" s="972"/>
      <c r="I1417" s="972"/>
      <c r="J1417" s="972"/>
      <c r="K1417" s="972"/>
      <c r="L1417" s="972"/>
      <c r="M1417" s="972"/>
    </row>
    <row r="1418" spans="5:13">
      <c r="E1418" s="972"/>
      <c r="F1418" s="972"/>
      <c r="G1418" s="972"/>
      <c r="H1418" s="972"/>
      <c r="I1418" s="972"/>
      <c r="J1418" s="972"/>
      <c r="K1418" s="972"/>
      <c r="L1418" s="972"/>
      <c r="M1418" s="972"/>
    </row>
    <row r="1419" spans="5:13">
      <c r="E1419" s="972"/>
      <c r="F1419" s="972"/>
      <c r="G1419" s="972"/>
      <c r="H1419" s="972"/>
      <c r="I1419" s="972"/>
      <c r="J1419" s="972"/>
      <c r="K1419" s="972"/>
      <c r="L1419" s="972"/>
      <c r="M1419" s="972"/>
    </row>
    <row r="1420" spans="5:13">
      <c r="E1420" s="972"/>
      <c r="F1420" s="972"/>
      <c r="G1420" s="972"/>
      <c r="H1420" s="972"/>
      <c r="I1420" s="972"/>
      <c r="J1420" s="972"/>
      <c r="K1420" s="972"/>
      <c r="L1420" s="972"/>
      <c r="M1420" s="972"/>
    </row>
    <row r="1421" spans="5:13">
      <c r="E1421" s="972"/>
      <c r="F1421" s="972"/>
      <c r="G1421" s="972"/>
      <c r="H1421" s="972"/>
      <c r="I1421" s="972"/>
      <c r="J1421" s="972"/>
      <c r="K1421" s="972"/>
      <c r="L1421" s="972"/>
      <c r="M1421" s="972"/>
    </row>
    <row r="1422" spans="5:13">
      <c r="E1422" s="972"/>
      <c r="F1422" s="972"/>
      <c r="G1422" s="972"/>
      <c r="H1422" s="972"/>
      <c r="I1422" s="972"/>
      <c r="J1422" s="972"/>
      <c r="K1422" s="972"/>
      <c r="L1422" s="972"/>
      <c r="M1422" s="972"/>
    </row>
    <row r="1423" spans="5:13">
      <c r="E1423" s="972"/>
      <c r="F1423" s="972"/>
      <c r="G1423" s="972"/>
      <c r="H1423" s="972"/>
      <c r="I1423" s="972"/>
      <c r="J1423" s="972"/>
      <c r="K1423" s="972"/>
      <c r="L1423" s="972"/>
      <c r="M1423" s="972"/>
    </row>
    <row r="1424" spans="5:13">
      <c r="E1424" s="972"/>
      <c r="F1424" s="972"/>
      <c r="G1424" s="972"/>
      <c r="H1424" s="972"/>
      <c r="I1424" s="972"/>
      <c r="J1424" s="972"/>
      <c r="K1424" s="972"/>
      <c r="L1424" s="972"/>
      <c r="M1424" s="972"/>
    </row>
    <row r="1425" spans="5:13">
      <c r="E1425" s="972"/>
      <c r="F1425" s="972"/>
      <c r="G1425" s="972"/>
      <c r="H1425" s="972"/>
      <c r="I1425" s="972"/>
      <c r="J1425" s="972"/>
      <c r="K1425" s="972"/>
      <c r="L1425" s="972"/>
      <c r="M1425" s="972"/>
    </row>
    <row r="1426" spans="5:13">
      <c r="E1426" s="972"/>
      <c r="F1426" s="972"/>
      <c r="G1426" s="972"/>
      <c r="H1426" s="972"/>
      <c r="I1426" s="972"/>
      <c r="J1426" s="972"/>
      <c r="K1426" s="972"/>
      <c r="L1426" s="972"/>
      <c r="M1426" s="972"/>
    </row>
    <row r="1427" spans="5:13">
      <c r="E1427" s="972"/>
      <c r="F1427" s="972"/>
      <c r="G1427" s="972"/>
      <c r="H1427" s="972"/>
      <c r="I1427" s="972"/>
      <c r="J1427" s="972"/>
      <c r="K1427" s="972"/>
      <c r="L1427" s="972"/>
      <c r="M1427" s="972"/>
    </row>
    <row r="1428" spans="5:13">
      <c r="E1428" s="972"/>
      <c r="F1428" s="972"/>
      <c r="G1428" s="972"/>
      <c r="H1428" s="972"/>
      <c r="I1428" s="972"/>
      <c r="J1428" s="972"/>
      <c r="K1428" s="972"/>
      <c r="L1428" s="972"/>
      <c r="M1428" s="972"/>
    </row>
    <row r="1429" spans="5:13">
      <c r="E1429" s="972"/>
      <c r="F1429" s="972"/>
      <c r="G1429" s="972"/>
      <c r="H1429" s="972"/>
      <c r="I1429" s="972"/>
      <c r="J1429" s="972"/>
      <c r="K1429" s="972"/>
      <c r="L1429" s="972"/>
      <c r="M1429" s="972"/>
    </row>
    <row r="1430" spans="5:13">
      <c r="E1430" s="972"/>
      <c r="F1430" s="972"/>
      <c r="G1430" s="972"/>
      <c r="H1430" s="972"/>
      <c r="I1430" s="972"/>
      <c r="J1430" s="972"/>
      <c r="K1430" s="972"/>
      <c r="L1430" s="972"/>
      <c r="M1430" s="972"/>
    </row>
    <row r="1431" spans="5:13">
      <c r="E1431" s="972"/>
      <c r="F1431" s="972"/>
      <c r="G1431" s="972"/>
      <c r="H1431" s="972"/>
      <c r="I1431" s="972"/>
      <c r="J1431" s="972"/>
      <c r="K1431" s="972"/>
      <c r="L1431" s="972"/>
      <c r="M1431" s="972"/>
    </row>
    <row r="1432" spans="5:13">
      <c r="E1432" s="972"/>
      <c r="F1432" s="972"/>
      <c r="G1432" s="972"/>
      <c r="H1432" s="972"/>
      <c r="I1432" s="972"/>
      <c r="J1432" s="972"/>
      <c r="K1432" s="972"/>
      <c r="L1432" s="972"/>
      <c r="M1432" s="972"/>
    </row>
    <row r="1433" spans="5:13">
      <c r="E1433" s="972"/>
      <c r="F1433" s="972"/>
      <c r="G1433" s="972"/>
      <c r="H1433" s="972"/>
      <c r="I1433" s="972"/>
      <c r="J1433" s="972"/>
      <c r="K1433" s="972"/>
      <c r="L1433" s="972"/>
      <c r="M1433" s="972"/>
    </row>
    <row r="1434" spans="5:13">
      <c r="E1434" s="972"/>
      <c r="F1434" s="972"/>
      <c r="G1434" s="972"/>
      <c r="H1434" s="972"/>
      <c r="I1434" s="972"/>
      <c r="J1434" s="972"/>
      <c r="K1434" s="972"/>
      <c r="L1434" s="972"/>
      <c r="M1434" s="972"/>
    </row>
    <row r="1435" spans="5:13">
      <c r="E1435" s="972"/>
      <c r="F1435" s="972"/>
      <c r="G1435" s="972"/>
      <c r="H1435" s="972"/>
      <c r="I1435" s="972"/>
      <c r="J1435" s="972"/>
      <c r="K1435" s="972"/>
      <c r="L1435" s="972"/>
      <c r="M1435" s="972"/>
    </row>
    <row r="1436" spans="5:13">
      <c r="E1436" s="972"/>
      <c r="F1436" s="972"/>
      <c r="G1436" s="972"/>
      <c r="H1436" s="972"/>
      <c r="I1436" s="972"/>
      <c r="J1436" s="972"/>
      <c r="K1436" s="972"/>
      <c r="L1436" s="972"/>
      <c r="M1436" s="972"/>
    </row>
    <row r="1437" spans="5:13">
      <c r="E1437" s="972"/>
      <c r="F1437" s="972"/>
      <c r="G1437" s="972"/>
      <c r="H1437" s="972"/>
      <c r="I1437" s="972"/>
      <c r="J1437" s="972"/>
      <c r="K1437" s="972"/>
      <c r="L1437" s="972"/>
      <c r="M1437" s="972"/>
    </row>
    <row r="1438" spans="5:13">
      <c r="E1438" s="972"/>
      <c r="F1438" s="972"/>
      <c r="G1438" s="972"/>
      <c r="H1438" s="972"/>
      <c r="I1438" s="972"/>
      <c r="J1438" s="972"/>
      <c r="K1438" s="972"/>
      <c r="L1438" s="972"/>
      <c r="M1438" s="972"/>
    </row>
    <row r="1439" spans="5:13">
      <c r="E1439" s="972"/>
      <c r="F1439" s="972"/>
      <c r="G1439" s="972"/>
      <c r="H1439" s="972"/>
      <c r="I1439" s="972"/>
      <c r="J1439" s="972"/>
      <c r="K1439" s="972"/>
      <c r="L1439" s="972"/>
      <c r="M1439" s="972"/>
    </row>
    <row r="1440" spans="5:13">
      <c r="E1440" s="972"/>
      <c r="F1440" s="972"/>
      <c r="G1440" s="972"/>
      <c r="H1440" s="972"/>
      <c r="I1440" s="972"/>
      <c r="J1440" s="972"/>
      <c r="K1440" s="972"/>
      <c r="L1440" s="972"/>
      <c r="M1440" s="972"/>
    </row>
    <row r="1441" spans="5:13">
      <c r="E1441" s="972"/>
      <c r="F1441" s="972"/>
      <c r="G1441" s="972"/>
      <c r="H1441" s="972"/>
      <c r="I1441" s="972"/>
      <c r="J1441" s="972"/>
      <c r="K1441" s="972"/>
      <c r="L1441" s="972"/>
      <c r="M1441" s="972"/>
    </row>
    <row r="1442" spans="5:13">
      <c r="E1442" s="972"/>
      <c r="F1442" s="972"/>
      <c r="G1442" s="972"/>
      <c r="H1442" s="972"/>
      <c r="I1442" s="972"/>
      <c r="J1442" s="972"/>
      <c r="K1442" s="972"/>
      <c r="L1442" s="972"/>
      <c r="M1442" s="972"/>
    </row>
    <row r="1443" spans="5:13">
      <c r="E1443" s="972"/>
      <c r="F1443" s="972"/>
      <c r="G1443" s="972"/>
      <c r="H1443" s="972"/>
      <c r="I1443" s="972"/>
      <c r="J1443" s="972"/>
      <c r="K1443" s="972"/>
      <c r="L1443" s="972"/>
      <c r="M1443" s="972"/>
    </row>
    <row r="1444" spans="5:13">
      <c r="E1444" s="972"/>
      <c r="F1444" s="972"/>
      <c r="G1444" s="972"/>
      <c r="H1444" s="972"/>
      <c r="I1444" s="972"/>
      <c r="J1444" s="972"/>
      <c r="K1444" s="972"/>
      <c r="L1444" s="972"/>
      <c r="M1444" s="972"/>
    </row>
    <row r="1445" spans="5:13">
      <c r="E1445" s="972"/>
      <c r="F1445" s="972"/>
      <c r="G1445" s="972"/>
      <c r="H1445" s="972"/>
      <c r="I1445" s="972"/>
      <c r="J1445" s="972"/>
      <c r="K1445" s="972"/>
      <c r="L1445" s="972"/>
      <c r="M1445" s="972"/>
    </row>
    <row r="1446" spans="5:13">
      <c r="E1446" s="972"/>
      <c r="F1446" s="972"/>
      <c r="G1446" s="972"/>
      <c r="H1446" s="972"/>
      <c r="I1446" s="972"/>
      <c r="J1446" s="972"/>
      <c r="K1446" s="972"/>
      <c r="L1446" s="972"/>
      <c r="M1446" s="972"/>
    </row>
    <row r="1447" spans="5:13">
      <c r="E1447" s="972"/>
      <c r="F1447" s="972"/>
      <c r="G1447" s="972"/>
      <c r="H1447" s="972"/>
      <c r="I1447" s="972"/>
      <c r="J1447" s="972"/>
      <c r="K1447" s="972"/>
      <c r="L1447" s="972"/>
      <c r="M1447" s="972"/>
    </row>
    <row r="1448" spans="5:13">
      <c r="E1448" s="972"/>
      <c r="F1448" s="972"/>
      <c r="G1448" s="972"/>
      <c r="H1448" s="972"/>
      <c r="I1448" s="972"/>
      <c r="J1448" s="972"/>
      <c r="K1448" s="972"/>
      <c r="L1448" s="972"/>
      <c r="M1448" s="972"/>
    </row>
    <row r="1449" spans="5:13">
      <c r="E1449" s="972"/>
      <c r="F1449" s="972"/>
      <c r="G1449" s="972"/>
      <c r="H1449" s="972"/>
      <c r="I1449" s="972"/>
      <c r="J1449" s="972"/>
      <c r="K1449" s="972"/>
      <c r="L1449" s="972"/>
      <c r="M1449" s="972"/>
    </row>
    <row r="1450" spans="5:13">
      <c r="E1450" s="972"/>
      <c r="F1450" s="972"/>
      <c r="G1450" s="972"/>
      <c r="H1450" s="972"/>
      <c r="I1450" s="972"/>
      <c r="J1450" s="972"/>
      <c r="K1450" s="972"/>
      <c r="L1450" s="972"/>
      <c r="M1450" s="972"/>
    </row>
    <row r="1451" spans="5:13">
      <c r="E1451" s="972"/>
      <c r="F1451" s="972"/>
      <c r="G1451" s="972"/>
      <c r="H1451" s="972"/>
      <c r="I1451" s="972"/>
      <c r="J1451" s="972"/>
      <c r="K1451" s="972"/>
      <c r="L1451" s="972"/>
      <c r="M1451" s="972"/>
    </row>
    <row r="1452" spans="5:13">
      <c r="E1452" s="972"/>
      <c r="F1452" s="972"/>
      <c r="G1452" s="972"/>
      <c r="H1452" s="972"/>
      <c r="I1452" s="972"/>
      <c r="J1452" s="972"/>
      <c r="K1452" s="972"/>
      <c r="L1452" s="972"/>
      <c r="M1452" s="972"/>
    </row>
    <row r="1453" spans="5:13">
      <c r="E1453" s="972"/>
      <c r="F1453" s="972"/>
      <c r="G1453" s="972"/>
      <c r="H1453" s="972"/>
      <c r="I1453" s="972"/>
      <c r="J1453" s="972"/>
      <c r="K1453" s="972"/>
      <c r="L1453" s="972"/>
      <c r="M1453" s="972"/>
    </row>
    <row r="1454" spans="5:13">
      <c r="E1454" s="972"/>
      <c r="F1454" s="972"/>
      <c r="G1454" s="972"/>
      <c r="H1454" s="972"/>
      <c r="I1454" s="972"/>
      <c r="J1454" s="972"/>
      <c r="K1454" s="972"/>
      <c r="L1454" s="972"/>
      <c r="M1454" s="972"/>
    </row>
    <row r="1455" spans="5:13">
      <c r="E1455" s="972"/>
      <c r="F1455" s="972"/>
      <c r="G1455" s="972"/>
      <c r="H1455" s="972"/>
      <c r="I1455" s="972"/>
      <c r="J1455" s="972"/>
      <c r="K1455" s="972"/>
      <c r="L1455" s="972"/>
      <c r="M1455" s="972"/>
    </row>
    <row r="1456" spans="5:13">
      <c r="E1456" s="972"/>
      <c r="F1456" s="972"/>
      <c r="G1456" s="972"/>
      <c r="H1456" s="972"/>
      <c r="I1456" s="972"/>
      <c r="J1456" s="972"/>
      <c r="K1456" s="972"/>
      <c r="L1456" s="972"/>
      <c r="M1456" s="972"/>
    </row>
    <row r="1457" spans="5:13">
      <c r="E1457" s="972"/>
      <c r="F1457" s="972"/>
      <c r="G1457" s="972"/>
      <c r="H1457" s="972"/>
      <c r="I1457" s="972"/>
      <c r="J1457" s="972"/>
      <c r="K1457" s="972"/>
      <c r="L1457" s="972"/>
      <c r="M1457" s="972"/>
    </row>
    <row r="1458" spans="5:13">
      <c r="E1458" s="972"/>
      <c r="F1458" s="972"/>
      <c r="G1458" s="972"/>
      <c r="H1458" s="972"/>
      <c r="I1458" s="972"/>
      <c r="J1458" s="972"/>
      <c r="K1458" s="972"/>
      <c r="L1458" s="972"/>
      <c r="M1458" s="972"/>
    </row>
    <row r="1459" spans="5:13">
      <c r="E1459" s="972"/>
      <c r="F1459" s="972"/>
      <c r="G1459" s="972"/>
      <c r="H1459" s="972"/>
      <c r="I1459" s="972"/>
      <c r="J1459" s="972"/>
      <c r="K1459" s="972"/>
      <c r="L1459" s="972"/>
      <c r="M1459" s="972"/>
    </row>
    <row r="1460" spans="5:13">
      <c r="E1460" s="972"/>
      <c r="F1460" s="972"/>
      <c r="G1460" s="972"/>
      <c r="H1460" s="972"/>
      <c r="I1460" s="972"/>
      <c r="J1460" s="972"/>
      <c r="K1460" s="972"/>
      <c r="L1460" s="972"/>
      <c r="M1460" s="972"/>
    </row>
    <row r="1461" spans="5:13">
      <c r="E1461" s="972"/>
      <c r="F1461" s="972"/>
      <c r="G1461" s="972"/>
      <c r="H1461" s="972"/>
      <c r="I1461" s="972"/>
      <c r="J1461" s="972"/>
      <c r="K1461" s="972"/>
      <c r="L1461" s="972"/>
      <c r="M1461" s="972"/>
    </row>
    <row r="1462" spans="5:13">
      <c r="E1462" s="972"/>
      <c r="F1462" s="972"/>
      <c r="G1462" s="972"/>
      <c r="H1462" s="972"/>
      <c r="I1462" s="972"/>
      <c r="J1462" s="972"/>
      <c r="K1462" s="972"/>
      <c r="L1462" s="972"/>
      <c r="M1462" s="972"/>
    </row>
    <row r="1463" spans="5:13">
      <c r="E1463" s="972"/>
      <c r="F1463" s="972"/>
      <c r="G1463" s="972"/>
      <c r="H1463" s="972"/>
      <c r="I1463" s="972"/>
      <c r="J1463" s="972"/>
      <c r="K1463" s="972"/>
      <c r="L1463" s="972"/>
      <c r="M1463" s="972"/>
    </row>
    <row r="1464" spans="5:13">
      <c r="E1464" s="972"/>
      <c r="F1464" s="972"/>
      <c r="G1464" s="972"/>
      <c r="H1464" s="972"/>
      <c r="I1464" s="972"/>
      <c r="J1464" s="972"/>
      <c r="K1464" s="972"/>
      <c r="L1464" s="972"/>
      <c r="M1464" s="972"/>
    </row>
    <row r="1465" spans="5:13">
      <c r="E1465" s="972"/>
      <c r="F1465" s="972"/>
      <c r="G1465" s="972"/>
      <c r="H1465" s="972"/>
      <c r="I1465" s="972"/>
      <c r="J1465" s="972"/>
      <c r="K1465" s="972"/>
      <c r="L1465" s="972"/>
      <c r="M1465" s="972"/>
    </row>
    <row r="1466" spans="5:13">
      <c r="E1466" s="972"/>
      <c r="F1466" s="972"/>
      <c r="G1466" s="972"/>
      <c r="H1466" s="972"/>
      <c r="I1466" s="972"/>
      <c r="J1466" s="972"/>
      <c r="K1466" s="972"/>
      <c r="L1466" s="972"/>
      <c r="M1466" s="972"/>
    </row>
    <row r="1467" spans="5:13">
      <c r="E1467" s="972"/>
      <c r="F1467" s="972"/>
      <c r="G1467" s="972"/>
      <c r="H1467" s="972"/>
      <c r="I1467" s="972"/>
      <c r="J1467" s="972"/>
      <c r="K1467" s="972"/>
      <c r="L1467" s="972"/>
      <c r="M1467" s="972"/>
    </row>
    <row r="1468" spans="5:13">
      <c r="E1468" s="972"/>
      <c r="F1468" s="972"/>
      <c r="G1468" s="972"/>
      <c r="H1468" s="972"/>
      <c r="I1468" s="972"/>
      <c r="J1468" s="972"/>
      <c r="K1468" s="972"/>
      <c r="L1468" s="972"/>
      <c r="M1468" s="972"/>
    </row>
    <row r="1469" spans="5:13">
      <c r="E1469" s="972"/>
      <c r="F1469" s="972"/>
      <c r="G1469" s="972"/>
      <c r="H1469" s="972"/>
      <c r="I1469" s="972"/>
      <c r="J1469" s="972"/>
      <c r="K1469" s="972"/>
      <c r="L1469" s="972"/>
      <c r="M1469" s="972"/>
    </row>
    <row r="1470" spans="5:13">
      <c r="E1470" s="972"/>
      <c r="F1470" s="972"/>
      <c r="G1470" s="972"/>
      <c r="H1470" s="972"/>
      <c r="I1470" s="972"/>
      <c r="J1470" s="972"/>
      <c r="K1470" s="972"/>
      <c r="L1470" s="972"/>
      <c r="M1470" s="972"/>
    </row>
    <row r="1471" spans="5:13">
      <c r="E1471" s="972"/>
      <c r="F1471" s="972"/>
      <c r="G1471" s="972"/>
      <c r="H1471" s="972"/>
      <c r="I1471" s="972"/>
      <c r="J1471" s="972"/>
      <c r="K1471" s="972"/>
      <c r="L1471" s="972"/>
      <c r="M1471" s="972"/>
    </row>
    <row r="1472" spans="5:13">
      <c r="E1472" s="972"/>
      <c r="F1472" s="972"/>
      <c r="G1472" s="972"/>
      <c r="H1472" s="972"/>
      <c r="I1472" s="972"/>
      <c r="J1472" s="972"/>
      <c r="K1472" s="972"/>
      <c r="L1472" s="972"/>
      <c r="M1472" s="972"/>
    </row>
    <row r="1473" spans="5:13">
      <c r="E1473" s="972"/>
      <c r="F1473" s="972"/>
      <c r="G1473" s="972"/>
      <c r="H1473" s="972"/>
      <c r="I1473" s="972"/>
      <c r="J1473" s="972"/>
      <c r="K1473" s="972"/>
      <c r="L1473" s="972"/>
      <c r="M1473" s="972"/>
    </row>
    <row r="1474" spans="5:13">
      <c r="E1474" s="972"/>
      <c r="F1474" s="972"/>
      <c r="G1474" s="972"/>
      <c r="H1474" s="972"/>
      <c r="I1474" s="972"/>
      <c r="J1474" s="972"/>
      <c r="K1474" s="972"/>
      <c r="L1474" s="972"/>
      <c r="M1474" s="972"/>
    </row>
    <row r="1475" spans="5:13">
      <c r="E1475" s="972"/>
      <c r="F1475" s="972"/>
      <c r="G1475" s="972"/>
      <c r="H1475" s="972"/>
      <c r="I1475" s="972"/>
      <c r="J1475" s="972"/>
      <c r="K1475" s="972"/>
      <c r="L1475" s="972"/>
      <c r="M1475" s="972"/>
    </row>
    <row r="1476" spans="5:13">
      <c r="E1476" s="972"/>
      <c r="F1476" s="972"/>
      <c r="G1476" s="972"/>
      <c r="H1476" s="972"/>
      <c r="I1476" s="972"/>
      <c r="J1476" s="972"/>
      <c r="K1476" s="972"/>
      <c r="L1476" s="972"/>
      <c r="M1476" s="972"/>
    </row>
    <row r="1477" spans="5:13">
      <c r="E1477" s="972"/>
      <c r="F1477" s="972"/>
      <c r="G1477" s="972"/>
      <c r="H1477" s="972"/>
      <c r="I1477" s="972"/>
      <c r="J1477" s="972"/>
      <c r="K1477" s="972"/>
      <c r="L1477" s="972"/>
      <c r="M1477" s="972"/>
    </row>
    <row r="1478" spans="5:13">
      <c r="E1478" s="972"/>
      <c r="F1478" s="972"/>
      <c r="G1478" s="972"/>
      <c r="H1478" s="972"/>
      <c r="I1478" s="972"/>
      <c r="J1478" s="972"/>
      <c r="K1478" s="972"/>
      <c r="L1478" s="972"/>
      <c r="M1478" s="972"/>
    </row>
    <row r="1479" spans="5:13">
      <c r="E1479" s="972"/>
      <c r="F1479" s="972"/>
      <c r="G1479" s="972"/>
      <c r="H1479" s="972"/>
      <c r="I1479" s="972"/>
      <c r="J1479" s="972"/>
      <c r="K1479" s="972"/>
      <c r="L1479" s="972"/>
      <c r="M1479" s="972"/>
    </row>
    <row r="1480" spans="5:13">
      <c r="E1480" s="972"/>
      <c r="F1480" s="972"/>
      <c r="G1480" s="972"/>
      <c r="H1480" s="972"/>
      <c r="I1480" s="972"/>
      <c r="J1480" s="972"/>
      <c r="K1480" s="972"/>
      <c r="L1480" s="972"/>
      <c r="M1480" s="972"/>
    </row>
    <row r="1481" spans="5:13">
      <c r="E1481" s="972"/>
      <c r="F1481" s="972"/>
      <c r="G1481" s="972"/>
      <c r="H1481" s="972"/>
      <c r="I1481" s="972"/>
      <c r="J1481" s="972"/>
      <c r="K1481" s="972"/>
      <c r="L1481" s="972"/>
      <c r="M1481" s="972"/>
    </row>
    <row r="1482" spans="5:13">
      <c r="E1482" s="972"/>
      <c r="F1482" s="972"/>
      <c r="G1482" s="972"/>
      <c r="H1482" s="972"/>
      <c r="I1482" s="972"/>
      <c r="J1482" s="972"/>
      <c r="K1482" s="972"/>
      <c r="L1482" s="972"/>
      <c r="M1482" s="972"/>
    </row>
    <row r="1483" spans="5:13">
      <c r="E1483" s="972"/>
      <c r="F1483" s="972"/>
      <c r="G1483" s="972"/>
      <c r="H1483" s="972"/>
      <c r="I1483" s="972"/>
      <c r="J1483" s="972"/>
      <c r="K1483" s="972"/>
      <c r="L1483" s="972"/>
      <c r="M1483" s="972"/>
    </row>
    <row r="1484" spans="5:13">
      <c r="E1484" s="972"/>
      <c r="F1484" s="972"/>
      <c r="G1484" s="972"/>
      <c r="H1484" s="972"/>
      <c r="I1484" s="972"/>
      <c r="J1484" s="972"/>
      <c r="K1484" s="972"/>
      <c r="L1484" s="972"/>
      <c r="M1484" s="972"/>
    </row>
    <row r="1485" spans="5:13">
      <c r="E1485" s="972"/>
      <c r="F1485" s="972"/>
      <c r="G1485" s="972"/>
      <c r="H1485" s="972"/>
      <c r="I1485" s="972"/>
      <c r="J1485" s="972"/>
      <c r="K1485" s="972"/>
      <c r="L1485" s="972"/>
      <c r="M1485" s="972"/>
    </row>
    <row r="1486" spans="5:13">
      <c r="E1486" s="972"/>
      <c r="F1486" s="972"/>
      <c r="G1486" s="972"/>
      <c r="H1486" s="972"/>
      <c r="I1486" s="972"/>
      <c r="J1486" s="972"/>
      <c r="K1486" s="972"/>
      <c r="L1486" s="972"/>
      <c r="M1486" s="972"/>
    </row>
    <row r="1487" spans="5:13">
      <c r="E1487" s="972"/>
      <c r="F1487" s="972"/>
      <c r="G1487" s="972"/>
      <c r="H1487" s="972"/>
      <c r="I1487" s="972"/>
      <c r="J1487" s="972"/>
      <c r="K1487" s="972"/>
      <c r="L1487" s="972"/>
      <c r="M1487" s="972"/>
    </row>
    <row r="1488" spans="5:13">
      <c r="E1488" s="972"/>
      <c r="F1488" s="972"/>
      <c r="G1488" s="972"/>
      <c r="H1488" s="972"/>
      <c r="I1488" s="972"/>
      <c r="J1488" s="972"/>
      <c r="K1488" s="972"/>
      <c r="L1488" s="972"/>
      <c r="M1488" s="972"/>
    </row>
    <row r="1489" spans="5:13">
      <c r="E1489" s="972"/>
      <c r="F1489" s="972"/>
      <c r="G1489" s="972"/>
      <c r="H1489" s="972"/>
      <c r="I1489" s="972"/>
      <c r="J1489" s="972"/>
      <c r="K1489" s="972"/>
      <c r="L1489" s="972"/>
      <c r="M1489" s="972"/>
    </row>
    <row r="1490" spans="5:13">
      <c r="E1490" s="972"/>
      <c r="F1490" s="972"/>
      <c r="G1490" s="972"/>
      <c r="H1490" s="972"/>
      <c r="I1490" s="972"/>
      <c r="J1490" s="972"/>
      <c r="K1490" s="972"/>
      <c r="L1490" s="972"/>
      <c r="M1490" s="972"/>
    </row>
    <row r="1491" spans="5:13">
      <c r="E1491" s="972"/>
      <c r="F1491" s="972"/>
      <c r="G1491" s="972"/>
      <c r="H1491" s="972"/>
      <c r="I1491" s="972"/>
      <c r="J1491" s="972"/>
      <c r="K1491" s="972"/>
      <c r="L1491" s="972"/>
      <c r="M1491" s="972"/>
    </row>
    <row r="1492" spans="5:13">
      <c r="E1492" s="972"/>
      <c r="F1492" s="972"/>
      <c r="G1492" s="972"/>
      <c r="H1492" s="972"/>
      <c r="I1492" s="972"/>
      <c r="J1492" s="972"/>
      <c r="K1492" s="972"/>
      <c r="L1492" s="972"/>
      <c r="M1492" s="972"/>
    </row>
    <row r="1493" spans="5:13">
      <c r="E1493" s="972"/>
      <c r="F1493" s="972"/>
      <c r="G1493" s="972"/>
      <c r="H1493" s="972"/>
      <c r="I1493" s="972"/>
      <c r="J1493" s="972"/>
      <c r="K1493" s="972"/>
      <c r="L1493" s="972"/>
      <c r="M1493" s="972"/>
    </row>
    <row r="1494" spans="5:13">
      <c r="E1494" s="972"/>
      <c r="F1494" s="972"/>
      <c r="G1494" s="972"/>
      <c r="H1494" s="972"/>
      <c r="I1494" s="972"/>
      <c r="J1494" s="972"/>
      <c r="K1494" s="972"/>
      <c r="L1494" s="972"/>
      <c r="M1494" s="972"/>
    </row>
    <row r="1495" spans="5:13">
      <c r="E1495" s="972"/>
      <c r="F1495" s="972"/>
      <c r="G1495" s="972"/>
      <c r="H1495" s="972"/>
      <c r="I1495" s="972"/>
      <c r="J1495" s="972"/>
      <c r="K1495" s="972"/>
      <c r="L1495" s="972"/>
      <c r="M1495" s="972"/>
    </row>
    <row r="1496" spans="5:13">
      <c r="E1496" s="972"/>
      <c r="F1496" s="972"/>
      <c r="G1496" s="972"/>
      <c r="H1496" s="972"/>
      <c r="I1496" s="972"/>
      <c r="J1496" s="972"/>
      <c r="K1496" s="972"/>
      <c r="L1496" s="972"/>
      <c r="M1496" s="972"/>
    </row>
    <row r="1497" spans="5:13">
      <c r="E1497" s="972"/>
      <c r="F1497" s="972"/>
      <c r="G1497" s="972"/>
      <c r="H1497" s="972"/>
      <c r="I1497" s="972"/>
      <c r="J1497" s="972"/>
      <c r="K1497" s="972"/>
      <c r="L1497" s="972"/>
      <c r="M1497" s="972"/>
    </row>
    <row r="1498" spans="5:13">
      <c r="E1498" s="972"/>
      <c r="F1498" s="972"/>
      <c r="G1498" s="972"/>
      <c r="H1498" s="972"/>
      <c r="I1498" s="972"/>
      <c r="J1498" s="972"/>
      <c r="K1498" s="972"/>
      <c r="L1498" s="972"/>
      <c r="M1498" s="972"/>
    </row>
    <row r="1499" spans="5:13">
      <c r="E1499" s="972"/>
      <c r="F1499" s="972"/>
      <c r="G1499" s="972"/>
      <c r="H1499" s="972"/>
      <c r="I1499" s="972"/>
      <c r="J1499" s="972"/>
      <c r="K1499" s="972"/>
      <c r="L1499" s="972"/>
      <c r="M1499" s="972"/>
    </row>
    <row r="1500" spans="5:13">
      <c r="E1500" s="972"/>
      <c r="F1500" s="972"/>
      <c r="G1500" s="972"/>
      <c r="H1500" s="972"/>
      <c r="I1500" s="972"/>
      <c r="J1500" s="972"/>
      <c r="K1500" s="972"/>
      <c r="L1500" s="972"/>
      <c r="M1500" s="972"/>
    </row>
    <row r="1501" spans="5:13">
      <c r="E1501" s="972"/>
      <c r="F1501" s="972"/>
      <c r="G1501" s="972"/>
      <c r="H1501" s="972"/>
      <c r="I1501" s="972"/>
      <c r="J1501" s="972"/>
      <c r="K1501" s="972"/>
      <c r="L1501" s="972"/>
      <c r="M1501" s="972"/>
    </row>
    <row r="1502" spans="5:13">
      <c r="E1502" s="972"/>
      <c r="F1502" s="972"/>
      <c r="G1502" s="972"/>
      <c r="H1502" s="972"/>
      <c r="I1502" s="972"/>
      <c r="J1502" s="972"/>
      <c r="K1502" s="972"/>
      <c r="L1502" s="972"/>
      <c r="M1502" s="972"/>
    </row>
    <row r="1503" spans="5:13">
      <c r="E1503" s="972"/>
      <c r="F1503" s="972"/>
      <c r="G1503" s="972"/>
      <c r="H1503" s="972"/>
      <c r="I1503" s="972"/>
      <c r="J1503" s="972"/>
      <c r="K1503" s="972"/>
      <c r="L1503" s="972"/>
      <c r="M1503" s="972"/>
    </row>
    <row r="1504" spans="5:13">
      <c r="E1504" s="972"/>
      <c r="F1504" s="972"/>
      <c r="G1504" s="972"/>
      <c r="H1504" s="972"/>
      <c r="I1504" s="972"/>
      <c r="J1504" s="972"/>
      <c r="K1504" s="972"/>
      <c r="L1504" s="972"/>
      <c r="M1504" s="972"/>
    </row>
    <row r="1505" spans="5:13">
      <c r="E1505" s="972"/>
      <c r="F1505" s="972"/>
      <c r="G1505" s="972"/>
      <c r="H1505" s="972"/>
      <c r="I1505" s="972"/>
      <c r="J1505" s="972"/>
      <c r="K1505" s="972"/>
      <c r="L1505" s="972"/>
      <c r="M1505" s="972"/>
    </row>
    <row r="1506" spans="5:13">
      <c r="E1506" s="972"/>
      <c r="F1506" s="972"/>
      <c r="G1506" s="972"/>
      <c r="H1506" s="972"/>
      <c r="I1506" s="972"/>
      <c r="J1506" s="972"/>
      <c r="K1506" s="972"/>
      <c r="L1506" s="972"/>
      <c r="M1506" s="972"/>
    </row>
    <row r="1507" spans="5:13">
      <c r="E1507" s="972"/>
      <c r="F1507" s="972"/>
      <c r="G1507" s="972"/>
      <c r="H1507" s="972"/>
      <c r="I1507" s="972"/>
      <c r="J1507" s="972"/>
      <c r="K1507" s="972"/>
      <c r="L1507" s="972"/>
      <c r="M1507" s="972"/>
    </row>
    <row r="1508" spans="5:13">
      <c r="E1508" s="972"/>
      <c r="F1508" s="972"/>
      <c r="G1508" s="972"/>
      <c r="H1508" s="972"/>
      <c r="I1508" s="972"/>
      <c r="J1508" s="972"/>
      <c r="K1508" s="972"/>
      <c r="L1508" s="972"/>
      <c r="M1508" s="972"/>
    </row>
    <row r="1509" spans="5:13">
      <c r="E1509" s="972"/>
      <c r="F1509" s="972"/>
      <c r="G1509" s="972"/>
      <c r="H1509" s="972"/>
      <c r="I1509" s="972"/>
      <c r="J1509" s="972"/>
      <c r="K1509" s="972"/>
      <c r="L1509" s="972"/>
      <c r="M1509" s="972"/>
    </row>
    <row r="1510" spans="5:13">
      <c r="E1510" s="972"/>
      <c r="F1510" s="972"/>
      <c r="G1510" s="972"/>
      <c r="H1510" s="972"/>
      <c r="I1510" s="972"/>
      <c r="J1510" s="972"/>
      <c r="K1510" s="972"/>
      <c r="L1510" s="972"/>
      <c r="M1510" s="972"/>
    </row>
    <row r="1511" spans="5:13">
      <c r="E1511" s="972"/>
      <c r="F1511" s="972"/>
      <c r="G1511" s="972"/>
      <c r="H1511" s="972"/>
      <c r="I1511" s="972"/>
      <c r="J1511" s="972"/>
      <c r="K1511" s="972"/>
      <c r="L1511" s="972"/>
      <c r="M1511" s="972"/>
    </row>
    <row r="1512" spans="5:13">
      <c r="E1512" s="972"/>
      <c r="F1512" s="972"/>
      <c r="G1512" s="972"/>
      <c r="H1512" s="972"/>
      <c r="I1512" s="972"/>
      <c r="J1512" s="972"/>
      <c r="K1512" s="972"/>
      <c r="L1512" s="972"/>
      <c r="M1512" s="972"/>
    </row>
    <row r="1513" spans="5:13">
      <c r="E1513" s="972"/>
      <c r="F1513" s="972"/>
      <c r="G1513" s="972"/>
      <c r="H1513" s="972"/>
      <c r="I1513" s="972"/>
      <c r="J1513" s="972"/>
      <c r="K1513" s="972"/>
      <c r="L1513" s="972"/>
      <c r="M1513" s="972"/>
    </row>
    <row r="1514" spans="5:13">
      <c r="E1514" s="972"/>
      <c r="F1514" s="972"/>
      <c r="G1514" s="972"/>
      <c r="H1514" s="972"/>
      <c r="I1514" s="972"/>
      <c r="J1514" s="972"/>
      <c r="K1514" s="972"/>
      <c r="L1514" s="972"/>
      <c r="M1514" s="972"/>
    </row>
    <row r="1515" spans="5:13">
      <c r="E1515" s="972"/>
      <c r="F1515" s="972"/>
      <c r="G1515" s="972"/>
      <c r="H1515" s="972"/>
      <c r="I1515" s="972"/>
      <c r="J1515" s="972"/>
      <c r="K1515" s="972"/>
      <c r="L1515" s="972"/>
      <c r="M1515" s="972"/>
    </row>
    <row r="1516" spans="5:13">
      <c r="E1516" s="972"/>
      <c r="F1516" s="972"/>
      <c r="G1516" s="972"/>
      <c r="H1516" s="972"/>
      <c r="I1516" s="972"/>
      <c r="J1516" s="972"/>
      <c r="K1516" s="972"/>
      <c r="L1516" s="972"/>
      <c r="M1516" s="972"/>
    </row>
    <row r="1517" spans="5:13">
      <c r="E1517" s="972"/>
      <c r="F1517" s="972"/>
      <c r="G1517" s="972"/>
      <c r="H1517" s="972"/>
      <c r="I1517" s="972"/>
      <c r="J1517" s="972"/>
      <c r="K1517" s="972"/>
      <c r="L1517" s="972"/>
      <c r="M1517" s="972"/>
    </row>
    <row r="1518" spans="5:13">
      <c r="E1518" s="972"/>
      <c r="F1518" s="972"/>
      <c r="G1518" s="972"/>
      <c r="H1518" s="972"/>
      <c r="I1518" s="972"/>
      <c r="J1518" s="972"/>
      <c r="K1518" s="972"/>
      <c r="L1518" s="972"/>
      <c r="M1518" s="972"/>
    </row>
    <row r="1519" spans="5:13">
      <c r="E1519" s="972"/>
      <c r="F1519" s="972"/>
      <c r="G1519" s="972"/>
      <c r="H1519" s="972"/>
      <c r="I1519" s="972"/>
      <c r="J1519" s="972"/>
      <c r="K1519" s="972"/>
      <c r="L1519" s="972"/>
      <c r="M1519" s="972"/>
    </row>
    <row r="1520" spans="5:13">
      <c r="E1520" s="972"/>
      <c r="F1520" s="972"/>
      <c r="G1520" s="972"/>
      <c r="H1520" s="972"/>
      <c r="I1520" s="972"/>
      <c r="J1520" s="972"/>
      <c r="K1520" s="972"/>
      <c r="L1520" s="972"/>
      <c r="M1520" s="972"/>
    </row>
    <row r="1521" spans="5:13">
      <c r="E1521" s="972"/>
      <c r="F1521" s="972"/>
      <c r="G1521" s="972"/>
      <c r="H1521" s="972"/>
      <c r="I1521" s="972"/>
      <c r="J1521" s="972"/>
      <c r="K1521" s="972"/>
      <c r="L1521" s="972"/>
      <c r="M1521" s="972"/>
    </row>
    <row r="1522" spans="5:13">
      <c r="E1522" s="972"/>
      <c r="F1522" s="972"/>
      <c r="G1522" s="972"/>
      <c r="H1522" s="972"/>
      <c r="I1522" s="972"/>
      <c r="J1522" s="972"/>
      <c r="K1522" s="972"/>
      <c r="L1522" s="972"/>
      <c r="M1522" s="972"/>
    </row>
    <row r="1523" spans="5:13">
      <c r="E1523" s="972"/>
      <c r="F1523" s="972"/>
      <c r="G1523" s="972"/>
      <c r="H1523" s="972"/>
      <c r="I1523" s="972"/>
      <c r="J1523" s="972"/>
      <c r="K1523" s="972"/>
      <c r="L1523" s="972"/>
      <c r="M1523" s="972"/>
    </row>
    <row r="1524" spans="5:13">
      <c r="E1524" s="972"/>
      <c r="F1524" s="972"/>
      <c r="G1524" s="972"/>
      <c r="H1524" s="972"/>
      <c r="I1524" s="972"/>
      <c r="J1524" s="972"/>
      <c r="K1524" s="972"/>
      <c r="L1524" s="972"/>
      <c r="M1524" s="972"/>
    </row>
    <row r="1525" spans="5:13">
      <c r="E1525" s="972"/>
      <c r="F1525" s="972"/>
      <c r="G1525" s="972"/>
      <c r="H1525" s="972"/>
      <c r="I1525" s="972"/>
      <c r="J1525" s="972"/>
      <c r="K1525" s="972"/>
      <c r="L1525" s="972"/>
      <c r="M1525" s="972"/>
    </row>
    <row r="1526" spans="5:13">
      <c r="E1526" s="972"/>
      <c r="F1526" s="972"/>
      <c r="G1526" s="972"/>
      <c r="H1526" s="972"/>
      <c r="I1526" s="972"/>
      <c r="J1526" s="972"/>
      <c r="K1526" s="972"/>
      <c r="L1526" s="972"/>
      <c r="M1526" s="972"/>
    </row>
    <row r="1527" spans="5:13">
      <c r="E1527" s="972"/>
      <c r="F1527" s="972"/>
      <c r="G1527" s="972"/>
      <c r="H1527" s="972"/>
      <c r="I1527" s="972"/>
      <c r="J1527" s="972"/>
      <c r="K1527" s="972"/>
      <c r="L1527" s="972"/>
      <c r="M1527" s="972"/>
    </row>
    <row r="1528" spans="5:13">
      <c r="E1528" s="972"/>
      <c r="F1528" s="972"/>
      <c r="G1528" s="972"/>
      <c r="H1528" s="972"/>
      <c r="I1528" s="972"/>
      <c r="J1528" s="972"/>
      <c r="K1528" s="972"/>
      <c r="L1528" s="972"/>
      <c r="M1528" s="972"/>
    </row>
    <row r="1529" spans="5:13">
      <c r="E1529" s="972"/>
      <c r="F1529" s="972"/>
      <c r="G1529" s="972"/>
      <c r="H1529" s="972"/>
      <c r="I1529" s="972"/>
      <c r="J1529" s="972"/>
      <c r="K1529" s="972"/>
      <c r="L1529" s="972"/>
      <c r="M1529" s="972"/>
    </row>
    <row r="1530" spans="5:13">
      <c r="E1530" s="972"/>
      <c r="F1530" s="972"/>
      <c r="G1530" s="972"/>
      <c r="H1530" s="972"/>
      <c r="I1530" s="972"/>
      <c r="J1530" s="972"/>
      <c r="K1530" s="972"/>
      <c r="L1530" s="972"/>
      <c r="M1530" s="972"/>
    </row>
    <row r="1531" spans="5:13">
      <c r="E1531" s="972"/>
      <c r="F1531" s="972"/>
      <c r="G1531" s="972"/>
      <c r="H1531" s="972"/>
      <c r="I1531" s="972"/>
      <c r="J1531" s="972"/>
      <c r="K1531" s="972"/>
      <c r="L1531" s="972"/>
      <c r="M1531" s="972"/>
    </row>
    <row r="1532" spans="5:13">
      <c r="E1532" s="972"/>
      <c r="F1532" s="972"/>
      <c r="G1532" s="972"/>
      <c r="H1532" s="972"/>
      <c r="I1532" s="972"/>
      <c r="J1532" s="972"/>
      <c r="K1532" s="972"/>
      <c r="L1532" s="972"/>
      <c r="M1532" s="972"/>
    </row>
    <row r="1533" spans="5:13">
      <c r="E1533" s="972"/>
      <c r="F1533" s="972"/>
      <c r="G1533" s="972"/>
      <c r="H1533" s="972"/>
      <c r="I1533" s="972"/>
      <c r="J1533" s="972"/>
      <c r="K1533" s="972"/>
      <c r="L1533" s="972"/>
      <c r="M1533" s="972"/>
    </row>
    <row r="1534" spans="5:13">
      <c r="E1534" s="972"/>
      <c r="F1534" s="972"/>
      <c r="G1534" s="972"/>
      <c r="H1534" s="972"/>
      <c r="I1534" s="972"/>
      <c r="J1534" s="972"/>
      <c r="K1534" s="972"/>
      <c r="L1534" s="972"/>
      <c r="M1534" s="972"/>
    </row>
    <row r="1535" spans="5:13">
      <c r="E1535" s="972"/>
      <c r="F1535" s="972"/>
      <c r="G1535" s="972"/>
      <c r="H1535" s="972"/>
      <c r="I1535" s="972"/>
      <c r="J1535" s="972"/>
      <c r="K1535" s="972"/>
      <c r="L1535" s="972"/>
      <c r="M1535" s="972"/>
    </row>
    <row r="1536" spans="5:13">
      <c r="E1536" s="972"/>
      <c r="F1536" s="972"/>
      <c r="G1536" s="972"/>
      <c r="H1536" s="972"/>
      <c r="I1536" s="972"/>
      <c r="J1536" s="972"/>
      <c r="K1536" s="972"/>
      <c r="L1536" s="972"/>
      <c r="M1536" s="972"/>
    </row>
    <row r="1537" spans="5:13">
      <c r="E1537" s="972"/>
      <c r="F1537" s="972"/>
      <c r="G1537" s="972"/>
      <c r="H1537" s="972"/>
      <c r="I1537" s="972"/>
      <c r="J1537" s="972"/>
      <c r="K1537" s="972"/>
      <c r="L1537" s="972"/>
      <c r="M1537" s="972"/>
    </row>
    <row r="1538" spans="5:13">
      <c r="E1538" s="972"/>
      <c r="F1538" s="972"/>
      <c r="G1538" s="972"/>
      <c r="H1538" s="972"/>
      <c r="I1538" s="972"/>
      <c r="J1538" s="972"/>
      <c r="K1538" s="972"/>
      <c r="L1538" s="972"/>
      <c r="M1538" s="972"/>
    </row>
    <row r="1539" spans="5:13">
      <c r="E1539" s="972"/>
      <c r="F1539" s="972"/>
      <c r="G1539" s="972"/>
      <c r="H1539" s="972"/>
      <c r="I1539" s="972"/>
      <c r="J1539" s="972"/>
      <c r="K1539" s="972"/>
      <c r="L1539" s="972"/>
      <c r="M1539" s="972"/>
    </row>
    <row r="1540" spans="5:13">
      <c r="E1540" s="972"/>
      <c r="F1540" s="972"/>
      <c r="G1540" s="972"/>
      <c r="H1540" s="972"/>
      <c r="I1540" s="972"/>
      <c r="J1540" s="972"/>
      <c r="K1540" s="972"/>
      <c r="L1540" s="972"/>
      <c r="M1540" s="972"/>
    </row>
    <row r="1541" spans="5:13">
      <c r="E1541" s="972"/>
      <c r="F1541" s="972"/>
      <c r="G1541" s="972"/>
      <c r="H1541" s="972"/>
      <c r="I1541" s="972"/>
      <c r="J1541" s="972"/>
      <c r="K1541" s="972"/>
      <c r="L1541" s="972"/>
      <c r="M1541" s="972"/>
    </row>
    <row r="1542" spans="5:13">
      <c r="E1542" s="972"/>
      <c r="F1542" s="972"/>
      <c r="G1542" s="972"/>
      <c r="H1542" s="972"/>
      <c r="I1542" s="972"/>
      <c r="J1542" s="972"/>
      <c r="K1542" s="972"/>
      <c r="L1542" s="972"/>
      <c r="M1542" s="972"/>
    </row>
    <row r="1543" spans="5:13">
      <c r="E1543" s="972"/>
      <c r="F1543" s="972"/>
      <c r="G1543" s="972"/>
      <c r="H1543" s="972"/>
      <c r="I1543" s="972"/>
      <c r="J1543" s="972"/>
      <c r="K1543" s="972"/>
      <c r="L1543" s="972"/>
      <c r="M1543" s="972"/>
    </row>
    <row r="1544" spans="5:13">
      <c r="E1544" s="972"/>
      <c r="F1544" s="972"/>
      <c r="G1544" s="972"/>
      <c r="H1544" s="972"/>
      <c r="I1544" s="972"/>
      <c r="J1544" s="972"/>
      <c r="K1544" s="972"/>
      <c r="L1544" s="972"/>
      <c r="M1544" s="972"/>
    </row>
    <row r="1545" spans="5:13">
      <c r="E1545" s="972"/>
      <c r="F1545" s="972"/>
      <c r="G1545" s="972"/>
      <c r="H1545" s="972"/>
      <c r="I1545" s="972"/>
      <c r="J1545" s="972"/>
      <c r="K1545" s="972"/>
      <c r="L1545" s="972"/>
      <c r="M1545" s="972"/>
    </row>
    <row r="1546" spans="5:13">
      <c r="E1546" s="972"/>
      <c r="F1546" s="972"/>
      <c r="G1546" s="972"/>
      <c r="H1546" s="972"/>
      <c r="I1546" s="972"/>
      <c r="J1546" s="972"/>
      <c r="K1546" s="972"/>
      <c r="L1546" s="972"/>
      <c r="M1546" s="972"/>
    </row>
    <row r="1547" spans="5:13">
      <c r="E1547" s="972"/>
      <c r="F1547" s="972"/>
      <c r="G1547" s="972"/>
      <c r="H1547" s="972"/>
      <c r="I1547" s="972"/>
      <c r="J1547" s="972"/>
      <c r="K1547" s="972"/>
      <c r="L1547" s="972"/>
      <c r="M1547" s="972"/>
    </row>
    <row r="1548" spans="5:13">
      <c r="E1548" s="972"/>
      <c r="F1548" s="972"/>
      <c r="G1548" s="972"/>
      <c r="H1548" s="972"/>
      <c r="I1548" s="972"/>
      <c r="J1548" s="972"/>
      <c r="K1548" s="972"/>
      <c r="L1548" s="972"/>
      <c r="M1548" s="972"/>
    </row>
    <row r="1549" spans="5:13">
      <c r="E1549" s="972"/>
      <c r="F1549" s="972"/>
      <c r="G1549" s="972"/>
      <c r="H1549" s="972"/>
      <c r="I1549" s="972"/>
      <c r="J1549" s="972"/>
      <c r="K1549" s="972"/>
      <c r="L1549" s="972"/>
      <c r="M1549" s="972"/>
    </row>
    <row r="1550" spans="5:13">
      <c r="E1550" s="972"/>
      <c r="F1550" s="972"/>
      <c r="G1550" s="972"/>
      <c r="H1550" s="972"/>
      <c r="I1550" s="972"/>
      <c r="J1550" s="972"/>
      <c r="K1550" s="972"/>
      <c r="L1550" s="972"/>
      <c r="M1550" s="972"/>
    </row>
    <row r="1551" spans="5:13">
      <c r="E1551" s="972"/>
      <c r="F1551" s="972"/>
      <c r="G1551" s="972"/>
      <c r="H1551" s="972"/>
      <c r="I1551" s="972"/>
      <c r="J1551" s="972"/>
      <c r="K1551" s="972"/>
      <c r="L1551" s="972"/>
      <c r="M1551" s="972"/>
    </row>
    <row r="1552" spans="5:13">
      <c r="E1552" s="972"/>
      <c r="F1552" s="972"/>
      <c r="G1552" s="972"/>
      <c r="H1552" s="972"/>
      <c r="I1552" s="972"/>
      <c r="J1552" s="972"/>
      <c r="K1552" s="972"/>
      <c r="L1552" s="972"/>
      <c r="M1552" s="972"/>
    </row>
    <row r="1553" spans="5:13">
      <c r="E1553" s="972"/>
      <c r="F1553" s="972"/>
      <c r="G1553" s="972"/>
      <c r="H1553" s="972"/>
      <c r="I1553" s="972"/>
      <c r="J1553" s="972"/>
      <c r="K1553" s="972"/>
      <c r="L1553" s="972"/>
      <c r="M1553" s="972"/>
    </row>
    <row r="1554" spans="5:13">
      <c r="E1554" s="972"/>
      <c r="F1554" s="972"/>
      <c r="G1554" s="972"/>
      <c r="H1554" s="972"/>
      <c r="I1554" s="972"/>
      <c r="J1554" s="972"/>
      <c r="K1554" s="972"/>
      <c r="L1554" s="972"/>
      <c r="M1554" s="972"/>
    </row>
    <row r="1555" spans="5:13">
      <c r="E1555" s="972"/>
      <c r="F1555" s="972"/>
      <c r="G1555" s="972"/>
      <c r="H1555" s="972"/>
      <c r="I1555" s="972"/>
      <c r="J1555" s="972"/>
      <c r="K1555" s="972"/>
      <c r="L1555" s="972"/>
      <c r="M1555" s="972"/>
    </row>
    <row r="1556" spans="5:13">
      <c r="E1556" s="972"/>
      <c r="F1556" s="972"/>
      <c r="G1556" s="972"/>
      <c r="H1556" s="972"/>
      <c r="I1556" s="972"/>
      <c r="J1556" s="972"/>
      <c r="K1556" s="972"/>
      <c r="L1556" s="972"/>
      <c r="M1556" s="972"/>
    </row>
    <row r="1557" spans="5:13">
      <c r="E1557" s="972"/>
      <c r="F1557" s="972"/>
      <c r="G1557" s="972"/>
      <c r="H1557" s="972"/>
      <c r="I1557" s="972"/>
      <c r="J1557" s="972"/>
      <c r="K1557" s="972"/>
      <c r="L1557" s="972"/>
      <c r="M1557" s="972"/>
    </row>
    <row r="1558" spans="5:13">
      <c r="E1558" s="972"/>
      <c r="F1558" s="972"/>
      <c r="G1558" s="972"/>
      <c r="H1558" s="972"/>
      <c r="I1558" s="972"/>
      <c r="J1558" s="972"/>
      <c r="K1558" s="972"/>
      <c r="L1558" s="972"/>
      <c r="M1558" s="972"/>
    </row>
    <row r="1559" spans="5:13">
      <c r="E1559" s="972"/>
      <c r="F1559" s="972"/>
      <c r="G1559" s="972"/>
      <c r="H1559" s="972"/>
      <c r="I1559" s="972"/>
      <c r="J1559" s="972"/>
      <c r="K1559" s="972"/>
      <c r="L1559" s="972"/>
      <c r="M1559" s="972"/>
    </row>
    <row r="1560" spans="5:13">
      <c r="E1560" s="972"/>
      <c r="F1560" s="972"/>
      <c r="G1560" s="972"/>
      <c r="H1560" s="972"/>
      <c r="I1560" s="972"/>
      <c r="J1560" s="972"/>
      <c r="K1560" s="972"/>
      <c r="L1560" s="972"/>
      <c r="M1560" s="972"/>
    </row>
    <row r="1561" spans="5:13">
      <c r="E1561" s="972"/>
      <c r="F1561" s="972"/>
      <c r="G1561" s="972"/>
      <c r="H1561" s="972"/>
      <c r="I1561" s="972"/>
      <c r="J1561" s="972"/>
      <c r="K1561" s="972"/>
      <c r="L1561" s="972"/>
      <c r="M1561" s="972"/>
    </row>
    <row r="1562" spans="5:13">
      <c r="E1562" s="972"/>
      <c r="F1562" s="972"/>
      <c r="G1562" s="972"/>
      <c r="H1562" s="972"/>
      <c r="I1562" s="972"/>
      <c r="J1562" s="972"/>
      <c r="K1562" s="972"/>
      <c r="L1562" s="972"/>
      <c r="M1562" s="972"/>
    </row>
    <row r="1563" spans="5:13">
      <c r="E1563" s="972"/>
      <c r="F1563" s="972"/>
      <c r="G1563" s="972"/>
      <c r="H1563" s="972"/>
      <c r="I1563" s="972"/>
      <c r="J1563" s="972"/>
      <c r="K1563" s="972"/>
      <c r="L1563" s="972"/>
      <c r="M1563" s="972"/>
    </row>
    <row r="1564" spans="5:13">
      <c r="E1564" s="972"/>
      <c r="F1564" s="972"/>
      <c r="G1564" s="972"/>
      <c r="H1564" s="972"/>
      <c r="I1564" s="972"/>
      <c r="J1564" s="972"/>
      <c r="K1564" s="972"/>
      <c r="L1564" s="972"/>
      <c r="M1564" s="972"/>
    </row>
    <row r="1565" spans="5:13">
      <c r="E1565" s="972"/>
      <c r="F1565" s="972"/>
      <c r="G1565" s="972"/>
      <c r="H1565" s="972"/>
      <c r="I1565" s="972"/>
      <c r="J1565" s="972"/>
      <c r="K1565" s="972"/>
      <c r="L1565" s="972"/>
      <c r="M1565" s="972"/>
    </row>
    <row r="1566" spans="5:13">
      <c r="E1566" s="972"/>
      <c r="F1566" s="972"/>
      <c r="G1566" s="972"/>
      <c r="H1566" s="972"/>
      <c r="I1566" s="972"/>
      <c r="J1566" s="972"/>
      <c r="K1566" s="972"/>
      <c r="L1566" s="972"/>
      <c r="M1566" s="972"/>
    </row>
    <row r="1567" spans="5:13">
      <c r="E1567" s="972"/>
      <c r="F1567" s="972"/>
      <c r="G1567" s="972"/>
      <c r="H1567" s="972"/>
      <c r="I1567" s="972"/>
      <c r="J1567" s="972"/>
      <c r="K1567" s="972"/>
      <c r="L1567" s="972"/>
      <c r="M1567" s="972"/>
    </row>
    <row r="1568" spans="5:13">
      <c r="E1568" s="972"/>
      <c r="F1568" s="972"/>
      <c r="G1568" s="972"/>
      <c r="H1568" s="972"/>
      <c r="I1568" s="972"/>
      <c r="J1568" s="972"/>
      <c r="K1568" s="972"/>
      <c r="L1568" s="972"/>
      <c r="M1568" s="972"/>
    </row>
    <row r="1569" spans="5:13">
      <c r="E1569" s="972"/>
      <c r="F1569" s="972"/>
      <c r="G1569" s="972"/>
      <c r="H1569" s="972"/>
      <c r="I1569" s="972"/>
      <c r="J1569" s="972"/>
      <c r="K1569" s="972"/>
      <c r="L1569" s="972"/>
      <c r="M1569" s="972"/>
    </row>
    <row r="1570" spans="5:13">
      <c r="E1570" s="972"/>
      <c r="F1570" s="972"/>
      <c r="G1570" s="972"/>
      <c r="H1570" s="972"/>
      <c r="I1570" s="972"/>
      <c r="J1570" s="972"/>
      <c r="K1570" s="972"/>
      <c r="L1570" s="972"/>
      <c r="M1570" s="972"/>
    </row>
    <row r="1571" spans="5:13">
      <c r="E1571" s="972"/>
      <c r="F1571" s="972"/>
      <c r="G1571" s="972"/>
      <c r="H1571" s="972"/>
      <c r="I1571" s="972"/>
      <c r="J1571" s="972"/>
      <c r="K1571" s="972"/>
      <c r="L1571" s="972"/>
      <c r="M1571" s="972"/>
    </row>
    <row r="1572" spans="5:13">
      <c r="E1572" s="972"/>
      <c r="F1572" s="972"/>
      <c r="G1572" s="972"/>
      <c r="H1572" s="972"/>
      <c r="I1572" s="972"/>
      <c r="J1572" s="972"/>
      <c r="K1572" s="972"/>
      <c r="L1572" s="972"/>
      <c r="M1572" s="972"/>
    </row>
    <row r="1573" spans="5:13">
      <c r="E1573" s="972"/>
      <c r="F1573" s="972"/>
      <c r="G1573" s="972"/>
      <c r="H1573" s="972"/>
      <c r="I1573" s="972"/>
      <c r="J1573" s="972"/>
      <c r="K1573" s="972"/>
      <c r="L1573" s="972"/>
      <c r="M1573" s="972"/>
    </row>
    <row r="1574" spans="5:13">
      <c r="E1574" s="972"/>
      <c r="F1574" s="972"/>
      <c r="G1574" s="972"/>
      <c r="H1574" s="972"/>
      <c r="I1574" s="972"/>
      <c r="J1574" s="972"/>
      <c r="K1574" s="972"/>
      <c r="L1574" s="972"/>
      <c r="M1574" s="972"/>
    </row>
    <row r="1575" spans="5:13">
      <c r="E1575" s="972"/>
      <c r="F1575" s="972"/>
      <c r="G1575" s="972"/>
      <c r="H1575" s="972"/>
      <c r="I1575" s="972"/>
      <c r="J1575" s="972"/>
      <c r="K1575" s="972"/>
      <c r="L1575" s="972"/>
      <c r="M1575" s="972"/>
    </row>
    <row r="1576" spans="5:13">
      <c r="E1576" s="972"/>
      <c r="F1576" s="972"/>
      <c r="G1576" s="972"/>
      <c r="H1576" s="972"/>
      <c r="I1576" s="972"/>
      <c r="J1576" s="972"/>
      <c r="K1576" s="972"/>
      <c r="L1576" s="972"/>
      <c r="M1576" s="972"/>
    </row>
    <row r="1577" spans="5:13">
      <c r="E1577" s="972"/>
      <c r="F1577" s="972"/>
      <c r="G1577" s="972"/>
      <c r="H1577" s="972"/>
      <c r="I1577" s="972"/>
      <c r="J1577" s="972"/>
      <c r="K1577" s="972"/>
      <c r="L1577" s="972"/>
      <c r="M1577" s="972"/>
    </row>
    <row r="1578" spans="5:13">
      <c r="E1578" s="972"/>
      <c r="F1578" s="972"/>
      <c r="G1578" s="972"/>
      <c r="H1578" s="972"/>
      <c r="I1578" s="972"/>
      <c r="J1578" s="972"/>
      <c r="K1578" s="972"/>
      <c r="L1578" s="972"/>
      <c r="M1578" s="972"/>
    </row>
    <row r="1579" spans="5:13">
      <c r="E1579" s="972"/>
      <c r="F1579" s="972"/>
      <c r="G1579" s="972"/>
      <c r="H1579" s="972"/>
      <c r="I1579" s="972"/>
      <c r="J1579" s="972"/>
      <c r="K1579" s="972"/>
      <c r="L1579" s="972"/>
      <c r="M1579" s="972"/>
    </row>
    <row r="1580" spans="5:13">
      <c r="E1580" s="972"/>
      <c r="F1580" s="972"/>
      <c r="G1580" s="972"/>
      <c r="H1580" s="972"/>
      <c r="I1580" s="972"/>
      <c r="J1580" s="972"/>
      <c r="K1580" s="972"/>
      <c r="L1580" s="972"/>
      <c r="M1580" s="972"/>
    </row>
    <row r="1581" spans="5:13">
      <c r="E1581" s="972"/>
      <c r="F1581" s="972"/>
      <c r="G1581" s="972"/>
      <c r="H1581" s="972"/>
      <c r="I1581" s="972"/>
      <c r="J1581" s="972"/>
      <c r="K1581" s="972"/>
      <c r="L1581" s="972"/>
      <c r="M1581" s="972"/>
    </row>
    <row r="1582" spans="5:13">
      <c r="E1582" s="972"/>
      <c r="F1582" s="972"/>
      <c r="G1582" s="972"/>
      <c r="H1582" s="972"/>
      <c r="I1582" s="972"/>
      <c r="J1582" s="972"/>
      <c r="K1582" s="972"/>
      <c r="L1582" s="972"/>
      <c r="M1582" s="972"/>
    </row>
    <row r="1583" spans="5:13">
      <c r="E1583" s="972"/>
      <c r="F1583" s="972"/>
      <c r="G1583" s="972"/>
      <c r="H1583" s="972"/>
      <c r="I1583" s="972"/>
      <c r="J1583" s="972"/>
      <c r="K1583" s="972"/>
      <c r="L1583" s="972"/>
      <c r="M1583" s="972"/>
    </row>
    <row r="1584" spans="5:13">
      <c r="E1584" s="972"/>
      <c r="F1584" s="972"/>
      <c r="G1584" s="972"/>
      <c r="H1584" s="972"/>
      <c r="I1584" s="972"/>
      <c r="J1584" s="972"/>
      <c r="K1584" s="972"/>
      <c r="L1584" s="972"/>
      <c r="M1584" s="972"/>
    </row>
    <row r="1585" spans="5:13">
      <c r="E1585" s="972"/>
      <c r="F1585" s="972"/>
      <c r="G1585" s="972"/>
      <c r="H1585" s="972"/>
      <c r="I1585" s="972"/>
      <c r="J1585" s="972"/>
      <c r="K1585" s="972"/>
      <c r="L1585" s="972"/>
      <c r="M1585" s="972"/>
    </row>
    <row r="1586" spans="5:13">
      <c r="E1586" s="972"/>
      <c r="F1586" s="972"/>
      <c r="G1586" s="972"/>
      <c r="H1586" s="972"/>
      <c r="I1586" s="972"/>
      <c r="J1586" s="972"/>
      <c r="K1586" s="972"/>
      <c r="L1586" s="972"/>
      <c r="M1586" s="972"/>
    </row>
    <row r="1587" spans="5:13">
      <c r="E1587" s="972"/>
      <c r="F1587" s="972"/>
      <c r="G1587" s="972"/>
      <c r="H1587" s="972"/>
      <c r="I1587" s="972"/>
      <c r="J1587" s="972"/>
      <c r="K1587" s="972"/>
      <c r="L1587" s="972"/>
      <c r="M1587" s="972"/>
    </row>
    <row r="1588" spans="5:13">
      <c r="E1588" s="972"/>
      <c r="F1588" s="972"/>
      <c r="G1588" s="972"/>
      <c r="H1588" s="972"/>
      <c r="I1588" s="972"/>
      <c r="J1588" s="972"/>
      <c r="K1588" s="972"/>
      <c r="L1588" s="972"/>
      <c r="M1588" s="972"/>
    </row>
    <row r="1589" spans="5:13">
      <c r="E1589" s="972"/>
      <c r="F1589" s="972"/>
      <c r="G1589" s="972"/>
      <c r="H1589" s="972"/>
      <c r="I1589" s="972"/>
      <c r="J1589" s="972"/>
      <c r="K1589" s="972"/>
      <c r="L1589" s="972"/>
      <c r="M1589" s="972"/>
    </row>
    <row r="1590" spans="5:13">
      <c r="E1590" s="972"/>
      <c r="F1590" s="972"/>
      <c r="G1590" s="972"/>
      <c r="H1590" s="972"/>
      <c r="I1590" s="972"/>
      <c r="J1590" s="972"/>
      <c r="K1590" s="972"/>
      <c r="L1590" s="972"/>
      <c r="M1590" s="972"/>
    </row>
    <row r="1591" spans="5:13">
      <c r="E1591" s="972"/>
      <c r="F1591" s="972"/>
      <c r="G1591" s="972"/>
      <c r="H1591" s="972"/>
      <c r="I1591" s="972"/>
      <c r="J1591" s="972"/>
      <c r="K1591" s="972"/>
      <c r="L1591" s="972"/>
      <c r="M1591" s="972"/>
    </row>
    <row r="1592" spans="5:13">
      <c r="E1592" s="972"/>
      <c r="F1592" s="972"/>
      <c r="G1592" s="972"/>
      <c r="H1592" s="972"/>
      <c r="I1592" s="972"/>
      <c r="J1592" s="972"/>
      <c r="K1592" s="972"/>
      <c r="L1592" s="972"/>
      <c r="M1592" s="972"/>
    </row>
    <row r="1593" spans="5:13">
      <c r="E1593" s="972"/>
      <c r="F1593" s="972"/>
      <c r="G1593" s="972"/>
      <c r="H1593" s="972"/>
      <c r="I1593" s="972"/>
      <c r="J1593" s="972"/>
      <c r="K1593" s="972"/>
      <c r="L1593" s="972"/>
      <c r="M1593" s="972"/>
    </row>
    <row r="1594" spans="5:13">
      <c r="E1594" s="972"/>
      <c r="F1594" s="972"/>
      <c r="G1594" s="972"/>
      <c r="H1594" s="972"/>
      <c r="I1594" s="972"/>
      <c r="J1594" s="972"/>
      <c r="K1594" s="972"/>
      <c r="L1594" s="972"/>
      <c r="M1594" s="972"/>
    </row>
    <row r="1595" spans="5:13">
      <c r="E1595" s="972"/>
      <c r="F1595" s="972"/>
      <c r="G1595" s="972"/>
      <c r="H1595" s="972"/>
      <c r="I1595" s="972"/>
      <c r="J1595" s="972"/>
      <c r="K1595" s="972"/>
      <c r="L1595" s="972"/>
      <c r="M1595" s="972"/>
    </row>
    <row r="1596" spans="5:13">
      <c r="E1596" s="972"/>
      <c r="F1596" s="972"/>
      <c r="G1596" s="972"/>
      <c r="H1596" s="972"/>
      <c r="I1596" s="972"/>
      <c r="J1596" s="972"/>
      <c r="K1596" s="972"/>
      <c r="L1596" s="972"/>
      <c r="M1596" s="972"/>
    </row>
    <row r="1597" spans="5:13">
      <c r="E1597" s="972"/>
      <c r="F1597" s="972"/>
      <c r="G1597" s="972"/>
      <c r="H1597" s="972"/>
      <c r="I1597" s="972"/>
      <c r="J1597" s="972"/>
      <c r="K1597" s="972"/>
      <c r="L1597" s="972"/>
      <c r="M1597" s="972"/>
    </row>
    <row r="1598" spans="5:13">
      <c r="E1598" s="972"/>
      <c r="F1598" s="972"/>
      <c r="G1598" s="972"/>
      <c r="H1598" s="972"/>
      <c r="I1598" s="972"/>
      <c r="J1598" s="972"/>
      <c r="K1598" s="972"/>
      <c r="L1598" s="972"/>
      <c r="M1598" s="972"/>
    </row>
    <row r="1599" spans="5:13">
      <c r="E1599" s="972"/>
      <c r="F1599" s="972"/>
      <c r="G1599" s="972"/>
      <c r="H1599" s="972"/>
      <c r="I1599" s="972"/>
      <c r="J1599" s="972"/>
      <c r="K1599" s="972"/>
      <c r="L1599" s="972"/>
      <c r="M1599" s="972"/>
    </row>
    <row r="1600" spans="5:13">
      <c r="E1600" s="972"/>
      <c r="F1600" s="972"/>
      <c r="G1600" s="972"/>
      <c r="H1600" s="972"/>
      <c r="I1600" s="972"/>
      <c r="J1600" s="972"/>
      <c r="K1600" s="972"/>
      <c r="L1600" s="972"/>
      <c r="M1600" s="972"/>
    </row>
    <row r="1601" spans="5:13">
      <c r="E1601" s="972"/>
      <c r="F1601" s="972"/>
      <c r="G1601" s="972"/>
      <c r="H1601" s="972"/>
      <c r="I1601" s="972"/>
      <c r="J1601" s="972"/>
      <c r="K1601" s="972"/>
      <c r="L1601" s="972"/>
      <c r="M1601" s="972"/>
    </row>
    <row r="1602" spans="5:13">
      <c r="E1602" s="972"/>
      <c r="F1602" s="972"/>
      <c r="G1602" s="972"/>
      <c r="H1602" s="972"/>
      <c r="I1602" s="972"/>
      <c r="J1602" s="972"/>
      <c r="K1602" s="972"/>
      <c r="L1602" s="972"/>
      <c r="M1602" s="972"/>
    </row>
    <row r="1603" spans="5:13">
      <c r="E1603" s="972"/>
      <c r="F1603" s="972"/>
      <c r="G1603" s="972"/>
      <c r="H1603" s="972"/>
      <c r="I1603" s="972"/>
      <c r="J1603" s="972"/>
      <c r="K1603" s="972"/>
      <c r="L1603" s="972"/>
      <c r="M1603" s="972"/>
    </row>
    <row r="1604" spans="5:13">
      <c r="E1604" s="972"/>
      <c r="F1604" s="972"/>
      <c r="G1604" s="972"/>
      <c r="H1604" s="972"/>
      <c r="I1604" s="972"/>
      <c r="J1604" s="972"/>
      <c r="K1604" s="972"/>
      <c r="L1604" s="972"/>
      <c r="M1604" s="972"/>
    </row>
    <row r="1605" spans="5:13">
      <c r="E1605" s="972"/>
      <c r="F1605" s="972"/>
      <c r="G1605" s="972"/>
      <c r="H1605" s="972"/>
      <c r="I1605" s="972"/>
      <c r="J1605" s="972"/>
      <c r="K1605" s="972"/>
      <c r="L1605" s="972"/>
      <c r="M1605" s="972"/>
    </row>
    <row r="1606" spans="5:13">
      <c r="E1606" s="972"/>
      <c r="F1606" s="972"/>
      <c r="G1606" s="972"/>
      <c r="H1606" s="972"/>
      <c r="I1606" s="972"/>
      <c r="J1606" s="972"/>
      <c r="K1606" s="972"/>
      <c r="L1606" s="972"/>
      <c r="M1606" s="972"/>
    </row>
    <row r="1607" spans="5:13">
      <c r="E1607" s="972"/>
      <c r="F1607" s="972"/>
      <c r="G1607" s="972"/>
      <c r="H1607" s="972"/>
      <c r="I1607" s="972"/>
      <c r="J1607" s="972"/>
      <c r="K1607" s="972"/>
      <c r="L1607" s="972"/>
      <c r="M1607" s="972"/>
    </row>
    <row r="1608" spans="5:13">
      <c r="E1608" s="972"/>
      <c r="F1608" s="972"/>
      <c r="G1608" s="972"/>
      <c r="H1608" s="972"/>
      <c r="I1608" s="972"/>
      <c r="J1608" s="972"/>
      <c r="K1608" s="972"/>
      <c r="L1608" s="972"/>
      <c r="M1608" s="972"/>
    </row>
    <row r="1609" spans="5:13">
      <c r="E1609" s="972"/>
      <c r="F1609" s="972"/>
      <c r="G1609" s="972"/>
      <c r="H1609" s="972"/>
      <c r="I1609" s="972"/>
      <c r="J1609" s="972"/>
      <c r="K1609" s="972"/>
      <c r="L1609" s="972"/>
      <c r="M1609" s="972"/>
    </row>
    <row r="1610" spans="5:13">
      <c r="E1610" s="972"/>
      <c r="F1610" s="972"/>
      <c r="G1610" s="972"/>
      <c r="H1610" s="972"/>
      <c r="I1610" s="972"/>
      <c r="J1610" s="972"/>
      <c r="K1610" s="972"/>
      <c r="L1610" s="972"/>
      <c r="M1610" s="972"/>
    </row>
    <row r="1611" spans="5:13">
      <c r="E1611" s="972"/>
      <c r="F1611" s="972"/>
      <c r="G1611" s="972"/>
      <c r="H1611" s="972"/>
      <c r="I1611" s="972"/>
      <c r="J1611" s="972"/>
      <c r="K1611" s="972"/>
      <c r="L1611" s="972"/>
      <c r="M1611" s="972"/>
    </row>
    <row r="1612" spans="5:13">
      <c r="E1612" s="972"/>
      <c r="F1612" s="972"/>
      <c r="G1612" s="972"/>
      <c r="H1612" s="972"/>
      <c r="I1612" s="972"/>
      <c r="J1612" s="972"/>
      <c r="K1612" s="972"/>
      <c r="L1612" s="972"/>
      <c r="M1612" s="972"/>
    </row>
    <row r="1613" spans="5:13">
      <c r="E1613" s="972"/>
      <c r="F1613" s="972"/>
      <c r="G1613" s="972"/>
      <c r="H1613" s="972"/>
      <c r="I1613" s="972"/>
      <c r="J1613" s="972"/>
      <c r="K1613" s="972"/>
      <c r="L1613" s="972"/>
      <c r="M1613" s="972"/>
    </row>
    <row r="1614" spans="5:13">
      <c r="E1614" s="972"/>
      <c r="F1614" s="972"/>
      <c r="G1614" s="972"/>
      <c r="H1614" s="972"/>
      <c r="I1614" s="972"/>
      <c r="J1614" s="972"/>
      <c r="K1614" s="972"/>
      <c r="L1614" s="972"/>
      <c r="M1614" s="972"/>
    </row>
    <row r="1615" spans="5:13">
      <c r="E1615" s="972"/>
      <c r="F1615" s="972"/>
      <c r="G1615" s="972"/>
      <c r="H1615" s="972"/>
      <c r="I1615" s="972"/>
      <c r="J1615" s="972"/>
      <c r="K1615" s="972"/>
      <c r="L1615" s="972"/>
      <c r="M1615" s="972"/>
    </row>
    <row r="1616" spans="5:13">
      <c r="E1616" s="972"/>
      <c r="F1616" s="972"/>
      <c r="G1616" s="972"/>
      <c r="H1616" s="972"/>
      <c r="I1616" s="972"/>
      <c r="J1616" s="972"/>
      <c r="K1616" s="972"/>
      <c r="L1616" s="972"/>
      <c r="M1616" s="972"/>
    </row>
    <row r="1617" spans="5:13">
      <c r="E1617" s="972"/>
      <c r="F1617" s="972"/>
      <c r="G1617" s="972"/>
      <c r="H1617" s="972"/>
      <c r="I1617" s="972"/>
      <c r="J1617" s="972"/>
      <c r="K1617" s="972"/>
      <c r="L1617" s="972"/>
      <c r="M1617" s="972"/>
    </row>
    <row r="1618" spans="5:13">
      <c r="E1618" s="972"/>
      <c r="F1618" s="972"/>
      <c r="G1618" s="972"/>
      <c r="H1618" s="972"/>
      <c r="I1618" s="972"/>
      <c r="J1618" s="972"/>
      <c r="K1618" s="972"/>
      <c r="L1618" s="972"/>
      <c r="M1618" s="972"/>
    </row>
    <row r="1619" spans="5:13">
      <c r="E1619" s="972"/>
      <c r="F1619" s="972"/>
      <c r="G1619" s="972"/>
      <c r="H1619" s="972"/>
      <c r="I1619" s="972"/>
      <c r="J1619" s="972"/>
      <c r="K1619" s="972"/>
      <c r="L1619" s="972"/>
      <c r="M1619" s="972"/>
    </row>
    <row r="1620" spans="5:13">
      <c r="E1620" s="972"/>
      <c r="F1620" s="972"/>
      <c r="G1620" s="972"/>
      <c r="H1620" s="972"/>
      <c r="I1620" s="972"/>
      <c r="J1620" s="972"/>
      <c r="K1620" s="972"/>
      <c r="L1620" s="972"/>
      <c r="M1620" s="972"/>
    </row>
    <row r="1621" spans="5:13">
      <c r="E1621" s="972"/>
      <c r="F1621" s="972"/>
      <c r="G1621" s="972"/>
      <c r="H1621" s="972"/>
      <c r="I1621" s="972"/>
      <c r="J1621" s="972"/>
      <c r="K1621" s="972"/>
      <c r="L1621" s="972"/>
      <c r="M1621" s="972"/>
    </row>
    <row r="1622" spans="5:13">
      <c r="E1622" s="972"/>
      <c r="F1622" s="972"/>
      <c r="G1622" s="972"/>
      <c r="H1622" s="972"/>
      <c r="I1622" s="972"/>
      <c r="J1622" s="972"/>
      <c r="K1622" s="972"/>
      <c r="L1622" s="972"/>
      <c r="M1622" s="972"/>
    </row>
    <row r="1623" spans="5:13">
      <c r="E1623" s="972"/>
      <c r="F1623" s="972"/>
      <c r="G1623" s="972"/>
      <c r="H1623" s="972"/>
      <c r="I1623" s="972"/>
      <c r="J1623" s="972"/>
      <c r="K1623" s="972"/>
      <c r="L1623" s="972"/>
      <c r="M1623" s="972"/>
    </row>
    <row r="1624" spans="5:13">
      <c r="E1624" s="972"/>
      <c r="F1624" s="972"/>
      <c r="G1624" s="972"/>
      <c r="H1624" s="972"/>
      <c r="I1624" s="972"/>
      <c r="J1624" s="972"/>
      <c r="K1624" s="972"/>
      <c r="L1624" s="972"/>
      <c r="M1624" s="972"/>
    </row>
    <row r="1625" spans="5:13">
      <c r="E1625" s="972"/>
      <c r="F1625" s="972"/>
      <c r="G1625" s="972"/>
      <c r="H1625" s="972"/>
      <c r="I1625" s="972"/>
      <c r="J1625" s="972"/>
      <c r="K1625" s="972"/>
      <c r="L1625" s="972"/>
      <c r="M1625" s="972"/>
    </row>
    <row r="1626" spans="5:13">
      <c r="E1626" s="972"/>
      <c r="F1626" s="972"/>
      <c r="G1626" s="972"/>
      <c r="H1626" s="972"/>
      <c r="I1626" s="972"/>
      <c r="J1626" s="972"/>
      <c r="K1626" s="972"/>
      <c r="L1626" s="972"/>
      <c r="M1626" s="972"/>
    </row>
    <row r="1627" spans="5:13">
      <c r="E1627" s="972"/>
      <c r="F1627" s="972"/>
      <c r="G1627" s="972"/>
      <c r="H1627" s="972"/>
      <c r="I1627" s="972"/>
      <c r="J1627" s="972"/>
      <c r="K1627" s="972"/>
      <c r="L1627" s="972"/>
      <c r="M1627" s="972"/>
    </row>
    <row r="1628" spans="5:13">
      <c r="E1628" s="972"/>
      <c r="F1628" s="972"/>
      <c r="G1628" s="972"/>
      <c r="H1628" s="972"/>
      <c r="I1628" s="972"/>
      <c r="J1628" s="972"/>
      <c r="K1628" s="972"/>
      <c r="L1628" s="972"/>
      <c r="M1628" s="972"/>
    </row>
    <row r="1629" spans="5:13">
      <c r="E1629" s="972"/>
      <c r="F1629" s="972"/>
      <c r="G1629" s="972"/>
      <c r="H1629" s="972"/>
      <c r="I1629" s="972"/>
      <c r="J1629" s="972"/>
      <c r="K1629" s="972"/>
      <c r="L1629" s="972"/>
      <c r="M1629" s="972"/>
    </row>
    <row r="1630" spans="5:13">
      <c r="E1630" s="972"/>
      <c r="F1630" s="972"/>
      <c r="G1630" s="972"/>
      <c r="H1630" s="972"/>
      <c r="I1630" s="972"/>
      <c r="J1630" s="972"/>
      <c r="K1630" s="972"/>
      <c r="L1630" s="972"/>
      <c r="M1630" s="972"/>
    </row>
    <row r="1631" spans="5:13">
      <c r="E1631" s="972"/>
      <c r="F1631" s="972"/>
      <c r="G1631" s="972"/>
      <c r="H1631" s="972"/>
      <c r="I1631" s="972"/>
      <c r="J1631" s="972"/>
      <c r="K1631" s="972"/>
      <c r="L1631" s="972"/>
      <c r="M1631" s="972"/>
    </row>
    <row r="1632" spans="5:13">
      <c r="E1632" s="972"/>
      <c r="F1632" s="972"/>
      <c r="G1632" s="972"/>
      <c r="H1632" s="972"/>
      <c r="I1632" s="972"/>
      <c r="J1632" s="972"/>
      <c r="K1632" s="972"/>
      <c r="L1632" s="972"/>
      <c r="M1632" s="972"/>
    </row>
    <row r="1633" spans="5:13">
      <c r="E1633" s="972"/>
      <c r="F1633" s="972"/>
      <c r="G1633" s="972"/>
      <c r="H1633" s="972"/>
      <c r="I1633" s="972"/>
      <c r="J1633" s="972"/>
      <c r="K1633" s="972"/>
      <c r="L1633" s="972"/>
      <c r="M1633" s="972"/>
    </row>
    <row r="1634" spans="5:13">
      <c r="E1634" s="972"/>
      <c r="F1634" s="972"/>
      <c r="G1634" s="972"/>
      <c r="H1634" s="972"/>
      <c r="I1634" s="972"/>
      <c r="J1634" s="972"/>
      <c r="K1634" s="972"/>
      <c r="L1634" s="972"/>
      <c r="M1634" s="972"/>
    </row>
    <row r="1635" spans="5:13">
      <c r="E1635" s="972"/>
      <c r="F1635" s="972"/>
      <c r="G1635" s="972"/>
      <c r="H1635" s="972"/>
      <c r="I1635" s="972"/>
      <c r="J1635" s="972"/>
      <c r="K1635" s="972"/>
      <c r="L1635" s="972"/>
      <c r="M1635" s="972"/>
    </row>
    <row r="1636" spans="5:13">
      <c r="E1636" s="972"/>
      <c r="F1636" s="972"/>
      <c r="G1636" s="972"/>
      <c r="H1636" s="972"/>
      <c r="I1636" s="972"/>
      <c r="J1636" s="972"/>
      <c r="K1636" s="972"/>
      <c r="L1636" s="972"/>
      <c r="M1636" s="972"/>
    </row>
    <row r="1637" spans="5:13">
      <c r="E1637" s="972"/>
      <c r="F1637" s="972"/>
      <c r="G1637" s="972"/>
      <c r="H1637" s="972"/>
      <c r="I1637" s="972"/>
      <c r="J1637" s="972"/>
      <c r="K1637" s="972"/>
      <c r="L1637" s="972"/>
      <c r="M1637" s="972"/>
    </row>
    <row r="1638" spans="5:13">
      <c r="E1638" s="972"/>
      <c r="F1638" s="972"/>
      <c r="G1638" s="972"/>
      <c r="H1638" s="972"/>
      <c r="I1638" s="972"/>
      <c r="J1638" s="972"/>
      <c r="K1638" s="972"/>
      <c r="L1638" s="972"/>
      <c r="M1638" s="972"/>
    </row>
    <row r="1639" spans="5:13">
      <c r="E1639" s="972"/>
      <c r="F1639" s="972"/>
      <c r="G1639" s="972"/>
      <c r="H1639" s="972"/>
      <c r="I1639" s="972"/>
      <c r="J1639" s="972"/>
      <c r="K1639" s="972"/>
      <c r="L1639" s="972"/>
      <c r="M1639" s="972"/>
    </row>
    <row r="1640" spans="5:13">
      <c r="E1640" s="972"/>
      <c r="F1640" s="972"/>
      <c r="G1640" s="972"/>
      <c r="H1640" s="972"/>
      <c r="I1640" s="972"/>
      <c r="J1640" s="972"/>
      <c r="K1640" s="972"/>
      <c r="L1640" s="972"/>
      <c r="M1640" s="972"/>
    </row>
    <row r="1641" spans="5:13">
      <c r="E1641" s="972"/>
      <c r="F1641" s="972"/>
      <c r="G1641" s="972"/>
      <c r="H1641" s="972"/>
      <c r="I1641" s="972"/>
      <c r="J1641" s="972"/>
      <c r="K1641" s="972"/>
      <c r="L1641" s="972"/>
      <c r="M1641" s="972"/>
    </row>
    <row r="1642" spans="5:13">
      <c r="E1642" s="972"/>
      <c r="F1642" s="972"/>
      <c r="G1642" s="972"/>
      <c r="H1642" s="972"/>
      <c r="I1642" s="972"/>
      <c r="J1642" s="972"/>
      <c r="K1642" s="972"/>
      <c r="L1642" s="972"/>
      <c r="M1642" s="972"/>
    </row>
    <row r="1643" spans="5:13">
      <c r="E1643" s="972"/>
      <c r="F1643" s="972"/>
      <c r="G1643" s="972"/>
      <c r="H1643" s="972"/>
      <c r="I1643" s="972"/>
      <c r="J1643" s="972"/>
      <c r="K1643" s="972"/>
      <c r="L1643" s="972"/>
      <c r="M1643" s="972"/>
    </row>
    <row r="1644" spans="5:13">
      <c r="E1644" s="972"/>
      <c r="F1644" s="972"/>
      <c r="G1644" s="972"/>
      <c r="H1644" s="972"/>
      <c r="I1644" s="972"/>
      <c r="J1644" s="972"/>
      <c r="K1644" s="972"/>
      <c r="L1644" s="972"/>
      <c r="M1644" s="972"/>
    </row>
    <row r="1645" spans="5:13">
      <c r="E1645" s="972"/>
      <c r="F1645" s="972"/>
      <c r="G1645" s="972"/>
      <c r="H1645" s="972"/>
      <c r="I1645" s="972"/>
      <c r="J1645" s="972"/>
      <c r="K1645" s="972"/>
      <c r="L1645" s="972"/>
      <c r="M1645" s="972"/>
    </row>
    <row r="1646" spans="5:13">
      <c r="E1646" s="972"/>
      <c r="F1646" s="972"/>
      <c r="G1646" s="972"/>
      <c r="H1646" s="972"/>
      <c r="I1646" s="972"/>
      <c r="J1646" s="972"/>
      <c r="K1646" s="972"/>
      <c r="L1646" s="972"/>
      <c r="M1646" s="972"/>
    </row>
    <row r="1647" spans="5:13">
      <c r="E1647" s="972"/>
      <c r="F1647" s="972"/>
      <c r="G1647" s="972"/>
      <c r="H1647" s="972"/>
      <c r="I1647" s="972"/>
      <c r="J1647" s="972"/>
      <c r="K1647" s="972"/>
      <c r="L1647" s="972"/>
      <c r="M1647" s="972"/>
    </row>
    <row r="1648" spans="5:13">
      <c r="E1648" s="972"/>
      <c r="F1648" s="972"/>
      <c r="G1648" s="972"/>
      <c r="H1648" s="972"/>
      <c r="I1648" s="972"/>
      <c r="J1648" s="972"/>
      <c r="K1648" s="972"/>
      <c r="L1648" s="972"/>
      <c r="M1648" s="972"/>
    </row>
    <row r="1649" spans="5:13">
      <c r="E1649" s="972"/>
      <c r="F1649" s="972"/>
      <c r="G1649" s="972"/>
      <c r="H1649" s="972"/>
      <c r="I1649" s="972"/>
      <c r="J1649" s="972"/>
      <c r="K1649" s="972"/>
      <c r="L1649" s="972"/>
      <c r="M1649" s="972"/>
    </row>
    <row r="1650" spans="5:13">
      <c r="E1650" s="972"/>
      <c r="F1650" s="972"/>
      <c r="G1650" s="972"/>
      <c r="H1650" s="972"/>
      <c r="I1650" s="972"/>
      <c r="J1650" s="972"/>
      <c r="K1650" s="972"/>
      <c r="L1650" s="972"/>
      <c r="M1650" s="972"/>
    </row>
    <row r="1651" spans="5:13">
      <c r="E1651" s="972"/>
      <c r="F1651" s="972"/>
      <c r="G1651" s="972"/>
      <c r="H1651" s="972"/>
      <c r="I1651" s="972"/>
      <c r="J1651" s="972"/>
      <c r="K1651" s="972"/>
      <c r="L1651" s="972"/>
      <c r="M1651" s="972"/>
    </row>
    <row r="1652" spans="5:13">
      <c r="E1652" s="972"/>
      <c r="F1652" s="972"/>
      <c r="G1652" s="972"/>
      <c r="H1652" s="972"/>
      <c r="I1652" s="972"/>
      <c r="J1652" s="972"/>
      <c r="K1652" s="972"/>
      <c r="L1652" s="972"/>
      <c r="M1652" s="972"/>
    </row>
    <row r="1653" spans="5:13">
      <c r="E1653" s="972"/>
      <c r="F1653" s="972"/>
      <c r="G1653" s="972"/>
      <c r="H1653" s="972"/>
      <c r="I1653" s="972"/>
      <c r="J1653" s="972"/>
      <c r="K1653" s="972"/>
      <c r="L1653" s="972"/>
      <c r="M1653" s="972"/>
    </row>
    <row r="1654" spans="5:13">
      <c r="E1654" s="972"/>
      <c r="F1654" s="972"/>
      <c r="G1654" s="972"/>
      <c r="H1654" s="972"/>
      <c r="I1654" s="972"/>
      <c r="J1654" s="972"/>
      <c r="K1654" s="972"/>
      <c r="L1654" s="972"/>
      <c r="M1654" s="972"/>
    </row>
    <row r="1655" spans="5:13">
      <c r="E1655" s="972"/>
      <c r="F1655" s="972"/>
      <c r="G1655" s="972"/>
      <c r="H1655" s="972"/>
      <c r="I1655" s="972"/>
      <c r="J1655" s="972"/>
      <c r="K1655" s="972"/>
      <c r="L1655" s="972"/>
      <c r="M1655" s="972"/>
    </row>
    <row r="1656" spans="5:13">
      <c r="E1656" s="972"/>
      <c r="F1656" s="972"/>
      <c r="G1656" s="972"/>
      <c r="H1656" s="972"/>
      <c r="I1656" s="972"/>
      <c r="J1656" s="972"/>
      <c r="K1656" s="972"/>
      <c r="L1656" s="972"/>
      <c r="M1656" s="972"/>
    </row>
    <row r="1657" spans="5:13">
      <c r="E1657" s="972"/>
      <c r="F1657" s="972"/>
      <c r="G1657" s="972"/>
      <c r="H1657" s="972"/>
      <c r="I1657" s="972"/>
      <c r="J1657" s="972"/>
      <c r="K1657" s="972"/>
      <c r="L1657" s="972"/>
      <c r="M1657" s="972"/>
    </row>
    <row r="1658" spans="5:13">
      <c r="E1658" s="972"/>
      <c r="F1658" s="972"/>
      <c r="G1658" s="972"/>
      <c r="H1658" s="972"/>
      <c r="I1658" s="972"/>
      <c r="J1658" s="972"/>
      <c r="K1658" s="972"/>
      <c r="L1658" s="972"/>
      <c r="M1658" s="972"/>
    </row>
    <row r="1659" spans="5:13">
      <c r="E1659" s="972"/>
      <c r="F1659" s="972"/>
      <c r="G1659" s="972"/>
      <c r="H1659" s="972"/>
      <c r="I1659" s="972"/>
      <c r="J1659" s="972"/>
      <c r="K1659" s="972"/>
      <c r="L1659" s="972"/>
      <c r="M1659" s="972"/>
    </row>
    <row r="1660" spans="5:13">
      <c r="E1660" s="972"/>
      <c r="F1660" s="972"/>
      <c r="G1660" s="972"/>
      <c r="H1660" s="972"/>
      <c r="I1660" s="972"/>
      <c r="J1660" s="972"/>
      <c r="K1660" s="972"/>
      <c r="L1660" s="972"/>
      <c r="M1660" s="972"/>
    </row>
    <row r="1661" spans="5:13">
      <c r="E1661" s="972"/>
      <c r="F1661" s="972"/>
      <c r="G1661" s="972"/>
      <c r="H1661" s="972"/>
      <c r="I1661" s="972"/>
      <c r="J1661" s="972"/>
      <c r="K1661" s="972"/>
      <c r="L1661" s="972"/>
      <c r="M1661" s="972"/>
    </row>
    <row r="1662" spans="5:13">
      <c r="E1662" s="972"/>
      <c r="F1662" s="972"/>
      <c r="G1662" s="972"/>
      <c r="H1662" s="972"/>
      <c r="I1662" s="972"/>
      <c r="J1662" s="972"/>
      <c r="K1662" s="972"/>
      <c r="L1662" s="972"/>
      <c r="M1662" s="972"/>
    </row>
    <row r="1663" spans="5:13">
      <c r="E1663" s="972"/>
      <c r="F1663" s="972"/>
      <c r="G1663" s="972"/>
      <c r="H1663" s="972"/>
      <c r="I1663" s="972"/>
      <c r="J1663" s="972"/>
      <c r="K1663" s="972"/>
      <c r="L1663" s="972"/>
      <c r="M1663" s="972"/>
    </row>
    <row r="1664" spans="5:13">
      <c r="E1664" s="972"/>
      <c r="F1664" s="972"/>
      <c r="G1664" s="972"/>
      <c r="H1664" s="972"/>
      <c r="I1664" s="972"/>
      <c r="J1664" s="972"/>
      <c r="K1664" s="972"/>
      <c r="L1664" s="972"/>
      <c r="M1664" s="972"/>
    </row>
    <row r="1665" spans="5:13">
      <c r="E1665" s="972"/>
      <c r="F1665" s="972"/>
      <c r="G1665" s="972"/>
      <c r="H1665" s="972"/>
      <c r="I1665" s="972"/>
      <c r="J1665" s="972"/>
      <c r="K1665" s="972"/>
      <c r="L1665" s="972"/>
      <c r="M1665" s="972"/>
    </row>
    <row r="1666" spans="5:13">
      <c r="E1666" s="972"/>
      <c r="F1666" s="972"/>
      <c r="G1666" s="972"/>
      <c r="H1666" s="972"/>
      <c r="I1666" s="972"/>
      <c r="J1666" s="972"/>
      <c r="K1666" s="972"/>
      <c r="L1666" s="972"/>
      <c r="M1666" s="972"/>
    </row>
    <row r="1667" spans="5:13">
      <c r="E1667" s="972"/>
      <c r="F1667" s="972"/>
      <c r="G1667" s="972"/>
      <c r="H1667" s="972"/>
      <c r="I1667" s="972"/>
      <c r="J1667" s="972"/>
      <c r="K1667" s="972"/>
      <c r="L1667" s="972"/>
      <c r="M1667" s="972"/>
    </row>
    <row r="1668" spans="5:13">
      <c r="E1668" s="972"/>
      <c r="F1668" s="972"/>
      <c r="G1668" s="972"/>
      <c r="H1668" s="972"/>
      <c r="I1668" s="972"/>
      <c r="J1668" s="972"/>
      <c r="K1668" s="972"/>
      <c r="L1668" s="972"/>
      <c r="M1668" s="972"/>
    </row>
    <row r="1669" spans="5:13">
      <c r="E1669" s="972"/>
      <c r="F1669" s="972"/>
      <c r="G1669" s="972"/>
      <c r="H1669" s="972"/>
      <c r="I1669" s="972"/>
      <c r="J1669" s="972"/>
      <c r="K1669" s="972"/>
      <c r="L1669" s="972"/>
      <c r="M1669" s="972"/>
    </row>
    <row r="1670" spans="5:13">
      <c r="E1670" s="972"/>
      <c r="F1670" s="972"/>
      <c r="G1670" s="972"/>
      <c r="H1670" s="972"/>
      <c r="I1670" s="972"/>
      <c r="J1670" s="972"/>
      <c r="K1670" s="972"/>
      <c r="L1670" s="972"/>
      <c r="M1670" s="972"/>
    </row>
    <row r="1671" spans="5:13">
      <c r="E1671" s="972"/>
      <c r="F1671" s="972"/>
      <c r="G1671" s="972"/>
      <c r="H1671" s="972"/>
      <c r="I1671" s="972"/>
      <c r="J1671" s="972"/>
      <c r="K1671" s="972"/>
      <c r="L1671" s="972"/>
      <c r="M1671" s="972"/>
    </row>
    <row r="1672" spans="5:13">
      <c r="E1672" s="972"/>
      <c r="F1672" s="972"/>
      <c r="G1672" s="972"/>
      <c r="H1672" s="972"/>
      <c r="I1672" s="972"/>
      <c r="J1672" s="972"/>
      <c r="K1672" s="972"/>
      <c r="L1672" s="972"/>
      <c r="M1672" s="972"/>
    </row>
    <row r="1673" spans="5:13">
      <c r="E1673" s="972"/>
      <c r="F1673" s="972"/>
      <c r="G1673" s="972"/>
      <c r="H1673" s="972"/>
      <c r="I1673" s="972"/>
      <c r="J1673" s="972"/>
      <c r="K1673" s="972"/>
      <c r="L1673" s="972"/>
      <c r="M1673" s="972"/>
    </row>
    <row r="1674" spans="5:13">
      <c r="E1674" s="972"/>
      <c r="F1674" s="972"/>
      <c r="G1674" s="972"/>
      <c r="H1674" s="972"/>
      <c r="I1674" s="972"/>
      <c r="J1674" s="972"/>
      <c r="K1674" s="972"/>
      <c r="L1674" s="972"/>
      <c r="M1674" s="972"/>
    </row>
    <row r="1675" spans="5:13">
      <c r="E1675" s="972"/>
      <c r="F1675" s="972"/>
      <c r="G1675" s="972"/>
      <c r="H1675" s="972"/>
      <c r="I1675" s="972"/>
      <c r="J1675" s="972"/>
      <c r="K1675" s="972"/>
      <c r="L1675" s="972"/>
      <c r="M1675" s="972"/>
    </row>
    <row r="1676" spans="5:13">
      <c r="E1676" s="972"/>
      <c r="F1676" s="972"/>
      <c r="G1676" s="972"/>
      <c r="H1676" s="972"/>
      <c r="I1676" s="972"/>
      <c r="J1676" s="972"/>
      <c r="K1676" s="972"/>
      <c r="L1676" s="972"/>
      <c r="M1676" s="972"/>
    </row>
    <row r="1677" spans="5:13">
      <c r="E1677" s="972"/>
      <c r="F1677" s="972"/>
      <c r="G1677" s="972"/>
      <c r="H1677" s="972"/>
      <c r="I1677" s="972"/>
      <c r="J1677" s="972"/>
      <c r="K1677" s="972"/>
      <c r="L1677" s="972"/>
      <c r="M1677" s="972"/>
    </row>
    <row r="1678" spans="5:13">
      <c r="E1678" s="972"/>
      <c r="F1678" s="972"/>
      <c r="G1678" s="972"/>
      <c r="H1678" s="972"/>
      <c r="I1678" s="972"/>
      <c r="J1678" s="972"/>
      <c r="K1678" s="972"/>
      <c r="L1678" s="972"/>
      <c r="M1678" s="972"/>
    </row>
    <row r="1679" spans="5:13">
      <c r="E1679" s="972"/>
      <c r="F1679" s="972"/>
      <c r="G1679" s="972"/>
      <c r="H1679" s="972"/>
      <c r="I1679" s="972"/>
      <c r="J1679" s="972"/>
      <c r="K1679" s="972"/>
      <c r="L1679" s="972"/>
      <c r="M1679" s="972"/>
    </row>
    <row r="1680" spans="5:13">
      <c r="E1680" s="972"/>
      <c r="F1680" s="972"/>
      <c r="G1680" s="972"/>
      <c r="H1680" s="972"/>
      <c r="I1680" s="972"/>
      <c r="J1680" s="972"/>
      <c r="K1680" s="972"/>
      <c r="L1680" s="972"/>
      <c r="M1680" s="972"/>
    </row>
    <row r="1681" spans="5:13">
      <c r="E1681" s="972"/>
      <c r="F1681" s="972"/>
      <c r="G1681" s="972"/>
      <c r="H1681" s="972"/>
      <c r="I1681" s="972"/>
      <c r="J1681" s="972"/>
      <c r="K1681" s="972"/>
      <c r="L1681" s="972"/>
      <c r="M1681" s="972"/>
    </row>
    <row r="1682" spans="5:13">
      <c r="E1682" s="972"/>
      <c r="F1682" s="972"/>
      <c r="G1682" s="972"/>
      <c r="H1682" s="972"/>
      <c r="I1682" s="972"/>
      <c r="J1682" s="972"/>
      <c r="K1682" s="972"/>
      <c r="L1682" s="972"/>
      <c r="M1682" s="972"/>
    </row>
    <row r="1683" spans="5:13">
      <c r="E1683" s="972"/>
      <c r="F1683" s="972"/>
      <c r="G1683" s="972"/>
      <c r="H1683" s="972"/>
      <c r="I1683" s="972"/>
      <c r="J1683" s="972"/>
      <c r="K1683" s="972"/>
      <c r="L1683" s="972"/>
      <c r="M1683" s="972"/>
    </row>
    <row r="1684" spans="5:13">
      <c r="E1684" s="972"/>
      <c r="F1684" s="972"/>
      <c r="G1684" s="972"/>
      <c r="H1684" s="972"/>
      <c r="I1684" s="972"/>
      <c r="J1684" s="972"/>
      <c r="K1684" s="972"/>
      <c r="L1684" s="972"/>
      <c r="M1684" s="972"/>
    </row>
    <row r="1685" spans="5:13">
      <c r="E1685" s="972"/>
      <c r="F1685" s="972"/>
      <c r="G1685" s="972"/>
      <c r="H1685" s="972"/>
      <c r="I1685" s="972"/>
      <c r="J1685" s="972"/>
      <c r="K1685" s="972"/>
      <c r="L1685" s="972"/>
      <c r="M1685" s="972"/>
    </row>
    <row r="1686" spans="5:13">
      <c r="E1686" s="972"/>
      <c r="F1686" s="972"/>
      <c r="G1686" s="972"/>
      <c r="H1686" s="972"/>
      <c r="I1686" s="972"/>
      <c r="J1686" s="972"/>
      <c r="K1686" s="972"/>
      <c r="L1686" s="972"/>
      <c r="M1686" s="972"/>
    </row>
    <row r="1687" spans="5:13">
      <c r="E1687" s="972"/>
      <c r="F1687" s="972"/>
      <c r="G1687" s="972"/>
      <c r="H1687" s="972"/>
      <c r="I1687" s="972"/>
      <c r="J1687" s="972"/>
      <c r="K1687" s="972"/>
      <c r="L1687" s="972"/>
      <c r="M1687" s="972"/>
    </row>
    <row r="1688" spans="5:13">
      <c r="E1688" s="972"/>
      <c r="F1688" s="972"/>
      <c r="G1688" s="972"/>
      <c r="H1688" s="972"/>
      <c r="I1688" s="972"/>
      <c r="J1688" s="972"/>
      <c r="K1688" s="972"/>
      <c r="L1688" s="972"/>
      <c r="M1688" s="972"/>
    </row>
    <row r="1689" spans="5:13">
      <c r="E1689" s="972"/>
      <c r="F1689" s="972"/>
      <c r="G1689" s="972"/>
      <c r="H1689" s="972"/>
      <c r="I1689" s="972"/>
      <c r="J1689" s="972"/>
      <c r="K1689" s="972"/>
      <c r="L1689" s="972"/>
      <c r="M1689" s="972"/>
    </row>
    <row r="1690" spans="5:13">
      <c r="E1690" s="972"/>
      <c r="F1690" s="972"/>
      <c r="G1690" s="972"/>
      <c r="H1690" s="972"/>
      <c r="I1690" s="972"/>
      <c r="J1690" s="972"/>
      <c r="K1690" s="972"/>
      <c r="L1690" s="972"/>
      <c r="M1690" s="972"/>
    </row>
    <row r="1691" spans="5:13">
      <c r="E1691" s="972"/>
      <c r="F1691" s="972"/>
      <c r="G1691" s="972"/>
      <c r="H1691" s="972"/>
      <c r="I1691" s="972"/>
      <c r="J1691" s="972"/>
      <c r="K1691" s="972"/>
      <c r="L1691" s="972"/>
      <c r="M1691" s="972"/>
    </row>
    <row r="1692" spans="5:13">
      <c r="E1692" s="972"/>
      <c r="F1692" s="972"/>
      <c r="G1692" s="972"/>
      <c r="H1692" s="972"/>
      <c r="I1692" s="972"/>
      <c r="J1692" s="972"/>
      <c r="K1692" s="972"/>
      <c r="L1692" s="972"/>
      <c r="M1692" s="972"/>
    </row>
    <row r="1693" spans="5:13">
      <c r="E1693" s="972"/>
      <c r="F1693" s="972"/>
      <c r="G1693" s="972"/>
      <c r="H1693" s="972"/>
      <c r="I1693" s="972"/>
      <c r="J1693" s="972"/>
      <c r="K1693" s="972"/>
      <c r="L1693" s="972"/>
      <c r="M1693" s="972"/>
    </row>
    <row r="1694" spans="5:13">
      <c r="E1694" s="972"/>
      <c r="F1694" s="972"/>
      <c r="G1694" s="972"/>
      <c r="H1694" s="972"/>
      <c r="I1694" s="972"/>
      <c r="J1694" s="972"/>
      <c r="K1694" s="972"/>
      <c r="L1694" s="972"/>
      <c r="M1694" s="972"/>
    </row>
    <row r="1695" spans="5:13">
      <c r="E1695" s="972"/>
      <c r="F1695" s="972"/>
      <c r="G1695" s="972"/>
      <c r="H1695" s="972"/>
      <c r="I1695" s="972"/>
      <c r="J1695" s="972"/>
      <c r="K1695" s="972"/>
      <c r="L1695" s="972"/>
      <c r="M1695" s="972"/>
    </row>
    <row r="1696" spans="5:13">
      <c r="E1696" s="972"/>
      <c r="F1696" s="972"/>
      <c r="G1696" s="972"/>
      <c r="H1696" s="972"/>
      <c r="I1696" s="972"/>
      <c r="J1696" s="972"/>
      <c r="K1696" s="972"/>
      <c r="L1696" s="972"/>
      <c r="M1696" s="972"/>
    </row>
    <row r="1697" spans="5:13">
      <c r="E1697" s="972"/>
      <c r="F1697" s="972"/>
      <c r="G1697" s="972"/>
      <c r="H1697" s="972"/>
      <c r="I1697" s="972"/>
      <c r="J1697" s="972"/>
      <c r="K1697" s="972"/>
      <c r="L1697" s="972"/>
      <c r="M1697" s="972"/>
    </row>
    <row r="1698" spans="5:13">
      <c r="E1698" s="972"/>
      <c r="F1698" s="972"/>
      <c r="G1698" s="972"/>
      <c r="H1698" s="972"/>
      <c r="I1698" s="972"/>
      <c r="J1698" s="972"/>
      <c r="K1698" s="972"/>
      <c r="L1698" s="972"/>
      <c r="M1698" s="972"/>
    </row>
    <row r="1699" spans="5:13">
      <c r="E1699" s="972"/>
      <c r="F1699" s="972"/>
      <c r="G1699" s="972"/>
      <c r="H1699" s="972"/>
      <c r="I1699" s="972"/>
      <c r="J1699" s="972"/>
      <c r="K1699" s="972"/>
      <c r="L1699" s="972"/>
      <c r="M1699" s="972"/>
    </row>
    <row r="1700" spans="5:13">
      <c r="E1700" s="972"/>
      <c r="F1700" s="972"/>
      <c r="G1700" s="972"/>
      <c r="H1700" s="972"/>
      <c r="I1700" s="972"/>
      <c r="J1700" s="972"/>
      <c r="K1700" s="972"/>
      <c r="L1700" s="972"/>
      <c r="M1700" s="972"/>
    </row>
    <row r="1701" spans="5:13">
      <c r="E1701" s="972"/>
      <c r="F1701" s="972"/>
      <c r="G1701" s="972"/>
      <c r="H1701" s="972"/>
      <c r="I1701" s="972"/>
      <c r="J1701" s="972"/>
      <c r="K1701" s="972"/>
      <c r="L1701" s="972"/>
      <c r="M1701" s="972"/>
    </row>
    <row r="1702" spans="5:13">
      <c r="E1702" s="972"/>
      <c r="F1702" s="972"/>
      <c r="G1702" s="972"/>
      <c r="H1702" s="972"/>
      <c r="I1702" s="972"/>
      <c r="J1702" s="972"/>
      <c r="K1702" s="972"/>
      <c r="L1702" s="972"/>
      <c r="M1702" s="972"/>
    </row>
    <row r="1703" spans="5:13">
      <c r="E1703" s="972"/>
      <c r="F1703" s="972"/>
      <c r="G1703" s="972"/>
      <c r="H1703" s="972"/>
      <c r="I1703" s="972"/>
      <c r="J1703" s="972"/>
      <c r="K1703" s="972"/>
      <c r="L1703" s="972"/>
      <c r="M1703" s="972"/>
    </row>
    <row r="1704" spans="5:13">
      <c r="E1704" s="972"/>
      <c r="F1704" s="972"/>
      <c r="G1704" s="972"/>
      <c r="H1704" s="972"/>
      <c r="I1704" s="972"/>
      <c r="J1704" s="972"/>
      <c r="K1704" s="972"/>
      <c r="L1704" s="972"/>
      <c r="M1704" s="972"/>
    </row>
    <row r="1705" spans="5:13">
      <c r="E1705" s="972"/>
      <c r="F1705" s="972"/>
      <c r="G1705" s="972"/>
      <c r="H1705" s="972"/>
      <c r="I1705" s="972"/>
      <c r="J1705" s="972"/>
      <c r="K1705" s="972"/>
      <c r="L1705" s="972"/>
      <c r="M1705" s="972"/>
    </row>
    <row r="1706" spans="5:13">
      <c r="E1706" s="972"/>
      <c r="F1706" s="972"/>
      <c r="G1706" s="972"/>
      <c r="H1706" s="972"/>
      <c r="I1706" s="972"/>
      <c r="J1706" s="972"/>
      <c r="K1706" s="972"/>
      <c r="L1706" s="972"/>
      <c r="M1706" s="972"/>
    </row>
    <row r="1707" spans="5:13">
      <c r="E1707" s="972"/>
      <c r="F1707" s="972"/>
      <c r="G1707" s="972"/>
      <c r="H1707" s="972"/>
      <c r="I1707" s="972"/>
      <c r="J1707" s="972"/>
      <c r="K1707" s="972"/>
      <c r="L1707" s="972"/>
      <c r="M1707" s="972"/>
    </row>
    <row r="1708" spans="5:13">
      <c r="E1708" s="972"/>
      <c r="F1708" s="972"/>
      <c r="G1708" s="972"/>
      <c r="H1708" s="972"/>
      <c r="I1708" s="972"/>
      <c r="J1708" s="972"/>
      <c r="K1708" s="972"/>
      <c r="L1708" s="972"/>
      <c r="M1708" s="972"/>
    </row>
    <row r="1709" spans="5:13">
      <c r="E1709" s="972"/>
      <c r="F1709" s="972"/>
      <c r="G1709" s="972"/>
      <c r="H1709" s="972"/>
      <c r="I1709" s="972"/>
      <c r="J1709" s="972"/>
      <c r="K1709" s="972"/>
      <c r="L1709" s="972"/>
      <c r="M1709" s="972"/>
    </row>
    <row r="1710" spans="5:13">
      <c r="E1710" s="972"/>
      <c r="F1710" s="972"/>
      <c r="G1710" s="972"/>
      <c r="H1710" s="972"/>
      <c r="I1710" s="972"/>
      <c r="J1710" s="972"/>
      <c r="K1710" s="972"/>
      <c r="L1710" s="972"/>
      <c r="M1710" s="972"/>
    </row>
    <row r="1711" spans="5:13">
      <c r="E1711" s="972"/>
      <c r="F1711" s="972"/>
      <c r="G1711" s="972"/>
      <c r="H1711" s="972"/>
      <c r="I1711" s="972"/>
      <c r="J1711" s="972"/>
      <c r="K1711" s="972"/>
      <c r="L1711" s="972"/>
      <c r="M1711" s="972"/>
    </row>
    <row r="1712" spans="5:13">
      <c r="E1712" s="972"/>
      <c r="F1712" s="972"/>
      <c r="G1712" s="972"/>
      <c r="H1712" s="972"/>
      <c r="I1712" s="972"/>
      <c r="J1712" s="972"/>
      <c r="K1712" s="972"/>
      <c r="L1712" s="972"/>
      <c r="M1712" s="972"/>
    </row>
    <row r="1713" spans="5:13">
      <c r="E1713" s="972"/>
      <c r="F1713" s="972"/>
      <c r="G1713" s="972"/>
      <c r="H1713" s="972"/>
      <c r="I1713" s="972"/>
      <c r="J1713" s="972"/>
      <c r="K1713" s="972"/>
      <c r="L1713" s="972"/>
      <c r="M1713" s="972"/>
    </row>
    <row r="1714" spans="5:13">
      <c r="E1714" s="972"/>
      <c r="F1714" s="972"/>
      <c r="G1714" s="972"/>
      <c r="H1714" s="972"/>
      <c r="I1714" s="972"/>
      <c r="J1714" s="972"/>
      <c r="K1714" s="972"/>
      <c r="L1714" s="972"/>
      <c r="M1714" s="972"/>
    </row>
    <row r="1715" spans="5:13">
      <c r="E1715" s="972"/>
      <c r="F1715" s="972"/>
      <c r="G1715" s="972"/>
      <c r="H1715" s="972"/>
      <c r="I1715" s="972"/>
      <c r="J1715" s="972"/>
      <c r="K1715" s="972"/>
      <c r="L1715" s="972"/>
      <c r="M1715" s="972"/>
    </row>
    <row r="1716" spans="5:13">
      <c r="E1716" s="972"/>
      <c r="F1716" s="972"/>
      <c r="G1716" s="972"/>
      <c r="H1716" s="972"/>
      <c r="I1716" s="972"/>
      <c r="J1716" s="972"/>
      <c r="K1716" s="972"/>
      <c r="L1716" s="972"/>
      <c r="M1716" s="972"/>
    </row>
    <row r="1717" spans="5:13">
      <c r="E1717" s="972"/>
      <c r="F1717" s="972"/>
      <c r="G1717" s="972"/>
      <c r="H1717" s="972"/>
      <c r="I1717" s="972"/>
      <c r="J1717" s="972"/>
      <c r="K1717" s="972"/>
      <c r="L1717" s="972"/>
      <c r="M1717" s="972"/>
    </row>
    <row r="1718" spans="5:13">
      <c r="E1718" s="972"/>
      <c r="F1718" s="972"/>
      <c r="G1718" s="972"/>
      <c r="H1718" s="972"/>
      <c r="I1718" s="972"/>
      <c r="J1718" s="972"/>
      <c r="K1718" s="972"/>
      <c r="L1718" s="972"/>
      <c r="M1718" s="972"/>
    </row>
    <row r="1719" spans="5:13">
      <c r="E1719" s="972"/>
      <c r="F1719" s="972"/>
      <c r="G1719" s="972"/>
      <c r="H1719" s="972"/>
      <c r="I1719" s="972"/>
      <c r="J1719" s="972"/>
      <c r="K1719" s="972"/>
      <c r="L1719" s="972"/>
      <c r="M1719" s="972"/>
    </row>
    <row r="1720" spans="5:13">
      <c r="E1720" s="972"/>
      <c r="F1720" s="972"/>
      <c r="G1720" s="972"/>
      <c r="H1720" s="972"/>
      <c r="I1720" s="972"/>
      <c r="J1720" s="972"/>
      <c r="K1720" s="972"/>
      <c r="L1720" s="972"/>
      <c r="M1720" s="972"/>
    </row>
    <row r="1721" spans="5:13">
      <c r="E1721" s="972"/>
      <c r="F1721" s="972"/>
      <c r="G1721" s="972"/>
      <c r="H1721" s="972"/>
      <c r="I1721" s="972"/>
      <c r="J1721" s="972"/>
      <c r="K1721" s="972"/>
      <c r="L1721" s="972"/>
      <c r="M1721" s="972"/>
    </row>
    <row r="1722" spans="5:13">
      <c r="E1722" s="972"/>
      <c r="F1722" s="972"/>
      <c r="G1722" s="972"/>
      <c r="H1722" s="972"/>
      <c r="I1722" s="972"/>
      <c r="J1722" s="972"/>
      <c r="K1722" s="972"/>
      <c r="L1722" s="972"/>
      <c r="M1722" s="972"/>
    </row>
    <row r="1723" spans="5:13">
      <c r="E1723" s="972"/>
      <c r="F1723" s="972"/>
      <c r="G1723" s="972"/>
      <c r="H1723" s="972"/>
      <c r="I1723" s="972"/>
      <c r="J1723" s="972"/>
      <c r="K1723" s="972"/>
      <c r="L1723" s="972"/>
      <c r="M1723" s="972"/>
    </row>
    <row r="1724" spans="5:13">
      <c r="E1724" s="972"/>
      <c r="F1724" s="972"/>
      <c r="G1724" s="972"/>
      <c r="H1724" s="972"/>
      <c r="I1724" s="972"/>
      <c r="J1724" s="972"/>
      <c r="K1724" s="972"/>
      <c r="L1724" s="972"/>
      <c r="M1724" s="972"/>
    </row>
    <row r="1725" spans="5:13">
      <c r="E1725" s="972"/>
      <c r="F1725" s="972"/>
      <c r="G1725" s="972"/>
      <c r="H1725" s="972"/>
      <c r="I1725" s="972"/>
      <c r="J1725" s="972"/>
      <c r="K1725" s="972"/>
      <c r="L1725" s="972"/>
      <c r="M1725" s="972"/>
    </row>
    <row r="1726" spans="5:13">
      <c r="E1726" s="972"/>
      <c r="F1726" s="972"/>
      <c r="G1726" s="972"/>
      <c r="H1726" s="972"/>
      <c r="I1726" s="972"/>
      <c r="J1726" s="972"/>
      <c r="K1726" s="972"/>
      <c r="L1726" s="972"/>
      <c r="M1726" s="972"/>
    </row>
    <row r="1727" spans="5:13">
      <c r="E1727" s="972"/>
      <c r="F1727" s="972"/>
      <c r="G1727" s="972"/>
      <c r="H1727" s="972"/>
      <c r="I1727" s="972"/>
      <c r="J1727" s="972"/>
      <c r="K1727" s="972"/>
      <c r="L1727" s="972"/>
      <c r="M1727" s="972"/>
    </row>
    <row r="1728" spans="5:13">
      <c r="E1728" s="972"/>
      <c r="F1728" s="972"/>
      <c r="G1728" s="972"/>
      <c r="H1728" s="972"/>
      <c r="I1728" s="972"/>
      <c r="J1728" s="972"/>
      <c r="K1728" s="972"/>
      <c r="L1728" s="972"/>
      <c r="M1728" s="972"/>
    </row>
    <row r="1729" spans="5:13">
      <c r="E1729" s="972"/>
      <c r="F1729" s="972"/>
      <c r="G1729" s="972"/>
      <c r="H1729" s="972"/>
      <c r="I1729" s="972"/>
      <c r="J1729" s="972"/>
      <c r="K1729" s="972"/>
      <c r="L1729" s="972"/>
      <c r="M1729" s="972"/>
    </row>
    <row r="1730" spans="5:13">
      <c r="E1730" s="972"/>
      <c r="F1730" s="972"/>
      <c r="G1730" s="972"/>
      <c r="H1730" s="972"/>
      <c r="I1730" s="972"/>
      <c r="J1730" s="972"/>
      <c r="K1730" s="972"/>
      <c r="L1730" s="972"/>
      <c r="M1730" s="972"/>
    </row>
    <row r="1731" spans="5:13">
      <c r="E1731" s="972"/>
      <c r="F1731" s="972"/>
      <c r="G1731" s="972"/>
      <c r="H1731" s="972"/>
      <c r="I1731" s="972"/>
      <c r="J1731" s="972"/>
      <c r="K1731" s="972"/>
      <c r="L1731" s="972"/>
      <c r="M1731" s="972"/>
    </row>
    <row r="1732" spans="5:13">
      <c r="E1732" s="972"/>
      <c r="F1732" s="972"/>
      <c r="G1732" s="972"/>
      <c r="H1732" s="972"/>
      <c r="I1732" s="972"/>
      <c r="J1732" s="972"/>
      <c r="K1732" s="972"/>
      <c r="L1732" s="972"/>
      <c r="M1732" s="972"/>
    </row>
    <row r="1733" spans="5:13">
      <c r="E1733" s="972"/>
      <c r="F1733" s="972"/>
      <c r="G1733" s="972"/>
      <c r="H1733" s="972"/>
      <c r="I1733" s="972"/>
      <c r="J1733" s="972"/>
      <c r="K1733" s="972"/>
      <c r="L1733" s="972"/>
      <c r="M1733" s="972"/>
    </row>
    <row r="1734" spans="5:13">
      <c r="E1734" s="972"/>
      <c r="F1734" s="972"/>
      <c r="G1734" s="972"/>
      <c r="H1734" s="972"/>
      <c r="I1734" s="972"/>
      <c r="J1734" s="972"/>
      <c r="K1734" s="972"/>
      <c r="L1734" s="972"/>
      <c r="M1734" s="972"/>
    </row>
    <row r="1735" spans="5:13">
      <c r="E1735" s="972"/>
      <c r="F1735" s="972"/>
      <c r="G1735" s="972"/>
      <c r="H1735" s="972"/>
      <c r="I1735" s="972"/>
      <c r="J1735" s="972"/>
      <c r="K1735" s="972"/>
      <c r="L1735" s="972"/>
      <c r="M1735" s="972"/>
    </row>
    <row r="1736" spans="5:13">
      <c r="E1736" s="972"/>
      <c r="F1736" s="972"/>
      <c r="G1736" s="972"/>
      <c r="H1736" s="972"/>
      <c r="I1736" s="972"/>
      <c r="J1736" s="972"/>
      <c r="K1736" s="972"/>
      <c r="L1736" s="972"/>
      <c r="M1736" s="972"/>
    </row>
    <row r="1737" spans="5:13">
      <c r="E1737" s="972"/>
      <c r="F1737" s="972"/>
      <c r="G1737" s="972"/>
      <c r="H1737" s="972"/>
      <c r="I1737" s="972"/>
      <c r="J1737" s="972"/>
      <c r="K1737" s="972"/>
      <c r="L1737" s="972"/>
      <c r="M1737" s="972"/>
    </row>
    <row r="1738" spans="5:13">
      <c r="E1738" s="972"/>
      <c r="F1738" s="972"/>
      <c r="G1738" s="972"/>
      <c r="H1738" s="972"/>
      <c r="I1738" s="972"/>
      <c r="J1738" s="972"/>
      <c r="K1738" s="972"/>
      <c r="L1738" s="972"/>
      <c r="M1738" s="972"/>
    </row>
    <row r="1739" spans="5:13">
      <c r="E1739" s="972"/>
      <c r="F1739" s="972"/>
      <c r="G1739" s="972"/>
      <c r="H1739" s="972"/>
      <c r="I1739" s="972"/>
      <c r="J1739" s="972"/>
      <c r="K1739" s="972"/>
      <c r="L1739" s="972"/>
      <c r="M1739" s="972"/>
    </row>
    <row r="1740" spans="5:13">
      <c r="E1740" s="972"/>
      <c r="F1740" s="972"/>
      <c r="G1740" s="972"/>
      <c r="H1740" s="972"/>
      <c r="I1740" s="972"/>
      <c r="J1740" s="972"/>
      <c r="K1740" s="972"/>
      <c r="L1740" s="972"/>
      <c r="M1740" s="972"/>
    </row>
    <row r="1741" spans="5:13">
      <c r="E1741" s="972"/>
      <c r="F1741" s="972"/>
      <c r="G1741" s="972"/>
      <c r="H1741" s="972"/>
      <c r="I1741" s="972"/>
      <c r="J1741" s="972"/>
      <c r="K1741" s="972"/>
      <c r="L1741" s="972"/>
      <c r="M1741" s="972"/>
    </row>
    <row r="1742" spans="5:13">
      <c r="E1742" s="972"/>
      <c r="F1742" s="972"/>
      <c r="G1742" s="972"/>
      <c r="H1742" s="972"/>
      <c r="I1742" s="972"/>
      <c r="J1742" s="972"/>
      <c r="K1742" s="972"/>
      <c r="L1742" s="972"/>
      <c r="M1742" s="972"/>
    </row>
    <row r="1743" spans="5:13">
      <c r="E1743" s="972"/>
      <c r="F1743" s="972"/>
      <c r="G1743" s="972"/>
      <c r="H1743" s="972"/>
      <c r="I1743" s="972"/>
      <c r="J1743" s="972"/>
      <c r="K1743" s="972"/>
      <c r="L1743" s="972"/>
      <c r="M1743" s="972"/>
    </row>
    <row r="1744" spans="5:13">
      <c r="E1744" s="972"/>
      <c r="F1744" s="972"/>
      <c r="G1744" s="972"/>
      <c r="H1744" s="972"/>
      <c r="I1744" s="972"/>
      <c r="J1744" s="972"/>
      <c r="K1744" s="972"/>
      <c r="L1744" s="972"/>
      <c r="M1744" s="972"/>
    </row>
    <row r="1745" spans="5:13">
      <c r="E1745" s="972"/>
      <c r="F1745" s="972"/>
      <c r="G1745" s="972"/>
      <c r="H1745" s="972"/>
      <c r="I1745" s="972"/>
      <c r="J1745" s="972"/>
      <c r="K1745" s="972"/>
      <c r="L1745" s="972"/>
      <c r="M1745" s="972"/>
    </row>
    <row r="1746" spans="5:13">
      <c r="E1746" s="972"/>
      <c r="F1746" s="972"/>
      <c r="G1746" s="972"/>
      <c r="H1746" s="972"/>
      <c r="I1746" s="972"/>
      <c r="J1746" s="972"/>
      <c r="K1746" s="972"/>
      <c r="L1746" s="972"/>
      <c r="M1746" s="972"/>
    </row>
    <row r="1747" spans="5:13">
      <c r="E1747" s="972"/>
      <c r="F1747" s="972"/>
      <c r="G1747" s="972"/>
      <c r="H1747" s="972"/>
      <c r="I1747" s="972"/>
      <c r="J1747" s="972"/>
      <c r="K1747" s="972"/>
      <c r="L1747" s="972"/>
      <c r="M1747" s="972"/>
    </row>
    <row r="1748" spans="5:13">
      <c r="E1748" s="972"/>
      <c r="F1748" s="972"/>
      <c r="G1748" s="972"/>
      <c r="H1748" s="972"/>
      <c r="I1748" s="972"/>
      <c r="J1748" s="972"/>
      <c r="K1748" s="972"/>
      <c r="L1748" s="972"/>
      <c r="M1748" s="972"/>
    </row>
    <row r="1749" spans="5:13">
      <c r="E1749" s="972"/>
      <c r="F1749" s="972"/>
      <c r="G1749" s="972"/>
      <c r="H1749" s="972"/>
      <c r="I1749" s="972"/>
      <c r="J1749" s="972"/>
      <c r="K1749" s="972"/>
      <c r="L1749" s="972"/>
      <c r="M1749" s="972"/>
    </row>
    <row r="1750" spans="5:13">
      <c r="E1750" s="972"/>
      <c r="F1750" s="972"/>
      <c r="G1750" s="972"/>
      <c r="H1750" s="972"/>
      <c r="I1750" s="972"/>
      <c r="J1750" s="972"/>
      <c r="K1750" s="972"/>
      <c r="L1750" s="972"/>
      <c r="M1750" s="972"/>
    </row>
    <row r="1751" spans="5:13">
      <c r="E1751" s="972"/>
      <c r="F1751" s="972"/>
      <c r="G1751" s="972"/>
      <c r="H1751" s="972"/>
      <c r="I1751" s="972"/>
      <c r="J1751" s="972"/>
      <c r="K1751" s="972"/>
      <c r="L1751" s="972"/>
      <c r="M1751" s="972"/>
    </row>
    <row r="1752" spans="5:13">
      <c r="E1752" s="972"/>
      <c r="F1752" s="972"/>
      <c r="G1752" s="972"/>
      <c r="H1752" s="972"/>
      <c r="I1752" s="972"/>
      <c r="J1752" s="972"/>
      <c r="K1752" s="972"/>
      <c r="L1752" s="972"/>
      <c r="M1752" s="972"/>
    </row>
    <row r="1753" spans="5:13">
      <c r="E1753" s="972"/>
      <c r="F1753" s="972"/>
      <c r="G1753" s="972"/>
      <c r="H1753" s="972"/>
      <c r="I1753" s="972"/>
      <c r="J1753" s="972"/>
      <c r="K1753" s="972"/>
      <c r="L1753" s="972"/>
      <c r="M1753" s="972"/>
    </row>
    <row r="1754" spans="5:13">
      <c r="E1754" s="972"/>
      <c r="F1754" s="972"/>
      <c r="G1754" s="972"/>
      <c r="H1754" s="972"/>
      <c r="I1754" s="972"/>
      <c r="J1754" s="972"/>
      <c r="K1754" s="972"/>
      <c r="L1754" s="972"/>
      <c r="M1754" s="972"/>
    </row>
    <row r="1755" spans="5:13">
      <c r="E1755" s="972"/>
      <c r="F1755" s="972"/>
      <c r="G1755" s="972"/>
      <c r="H1755" s="972"/>
      <c r="I1755" s="972"/>
      <c r="J1755" s="972"/>
      <c r="K1755" s="972"/>
      <c r="L1755" s="972"/>
      <c r="M1755" s="972"/>
    </row>
    <row r="1756" spans="5:13">
      <c r="E1756" s="972"/>
      <c r="F1756" s="972"/>
      <c r="G1756" s="972"/>
      <c r="H1756" s="972"/>
      <c r="I1756" s="972"/>
      <c r="J1756" s="972"/>
      <c r="K1756" s="972"/>
      <c r="L1756" s="972"/>
      <c r="M1756" s="972"/>
    </row>
    <row r="1757" spans="5:13">
      <c r="E1757" s="972"/>
      <c r="F1757" s="972"/>
      <c r="G1757" s="972"/>
      <c r="H1757" s="972"/>
      <c r="I1757" s="972"/>
      <c r="J1757" s="972"/>
      <c r="K1757" s="972"/>
      <c r="L1757" s="972"/>
      <c r="M1757" s="972"/>
    </row>
    <row r="1758" spans="5:13">
      <c r="E1758" s="972"/>
      <c r="F1758" s="972"/>
      <c r="G1758" s="972"/>
      <c r="H1758" s="972"/>
      <c r="I1758" s="972"/>
      <c r="J1758" s="972"/>
      <c r="K1758" s="972"/>
      <c r="L1758" s="972"/>
      <c r="M1758" s="972"/>
    </row>
    <row r="1759" spans="5:13">
      <c r="E1759" s="972"/>
      <c r="F1759" s="972"/>
      <c r="G1759" s="972"/>
      <c r="H1759" s="972"/>
      <c r="I1759" s="972"/>
      <c r="J1759" s="972"/>
      <c r="K1759" s="972"/>
      <c r="L1759" s="972"/>
      <c r="M1759" s="972"/>
    </row>
    <row r="1760" spans="5:13">
      <c r="E1760" s="972"/>
      <c r="F1760" s="972"/>
      <c r="G1760" s="972"/>
      <c r="H1760" s="972"/>
      <c r="I1760" s="972"/>
      <c r="J1760" s="972"/>
      <c r="K1760" s="972"/>
      <c r="L1760" s="972"/>
      <c r="M1760" s="972"/>
    </row>
    <row r="1761" spans="5:13">
      <c r="E1761" s="972"/>
      <c r="F1761" s="972"/>
      <c r="G1761" s="972"/>
      <c r="H1761" s="972"/>
      <c r="I1761" s="972"/>
      <c r="J1761" s="972"/>
      <c r="K1761" s="972"/>
      <c r="L1761" s="972"/>
      <c r="M1761" s="972"/>
    </row>
    <row r="1762" spans="5:13">
      <c r="E1762" s="972"/>
      <c r="F1762" s="972"/>
      <c r="G1762" s="972"/>
      <c r="H1762" s="972"/>
      <c r="I1762" s="972"/>
      <c r="J1762" s="972"/>
      <c r="K1762" s="972"/>
      <c r="L1762" s="972"/>
      <c r="M1762" s="972"/>
    </row>
    <row r="1763" spans="5:13">
      <c r="E1763" s="972"/>
      <c r="F1763" s="972"/>
      <c r="G1763" s="972"/>
      <c r="H1763" s="972"/>
      <c r="I1763" s="972"/>
      <c r="J1763" s="972"/>
      <c r="K1763" s="972"/>
      <c r="L1763" s="972"/>
      <c r="M1763" s="972"/>
    </row>
    <row r="1764" spans="5:13">
      <c r="E1764" s="972"/>
      <c r="F1764" s="972"/>
      <c r="G1764" s="972"/>
      <c r="H1764" s="972"/>
      <c r="I1764" s="972"/>
      <c r="J1764" s="972"/>
      <c r="K1764" s="972"/>
      <c r="L1764" s="972"/>
      <c r="M1764" s="972"/>
    </row>
    <row r="1765" spans="5:13">
      <c r="E1765" s="972"/>
      <c r="F1765" s="972"/>
      <c r="G1765" s="972"/>
      <c r="H1765" s="972"/>
      <c r="I1765" s="972"/>
      <c r="J1765" s="972"/>
      <c r="K1765" s="972"/>
      <c r="L1765" s="972"/>
      <c r="M1765" s="972"/>
    </row>
    <row r="1766" spans="5:13">
      <c r="E1766" s="972"/>
      <c r="F1766" s="972"/>
      <c r="G1766" s="972"/>
      <c r="H1766" s="972"/>
      <c r="I1766" s="972"/>
      <c r="J1766" s="972"/>
      <c r="K1766" s="972"/>
      <c r="L1766" s="972"/>
      <c r="M1766" s="972"/>
    </row>
    <row r="1767" spans="5:13">
      <c r="E1767" s="972"/>
      <c r="F1767" s="972"/>
      <c r="G1767" s="972"/>
      <c r="H1767" s="972"/>
      <c r="I1767" s="972"/>
      <c r="J1767" s="972"/>
      <c r="K1767" s="972"/>
      <c r="L1767" s="972"/>
      <c r="M1767" s="972"/>
    </row>
    <row r="1768" spans="5:13">
      <c r="E1768" s="972"/>
      <c r="F1768" s="972"/>
      <c r="G1768" s="972"/>
      <c r="H1768" s="972"/>
      <c r="I1768" s="972"/>
      <c r="J1768" s="972"/>
      <c r="K1768" s="972"/>
      <c r="L1768" s="972"/>
      <c r="M1768" s="972"/>
    </row>
    <row r="1769" spans="5:13">
      <c r="E1769" s="972"/>
      <c r="F1769" s="972"/>
      <c r="G1769" s="972"/>
      <c r="H1769" s="972"/>
      <c r="I1769" s="972"/>
      <c r="J1769" s="972"/>
      <c r="K1769" s="972"/>
      <c r="L1769" s="972"/>
      <c r="M1769" s="972"/>
    </row>
    <row r="1770" spans="5:13">
      <c r="E1770" s="972"/>
      <c r="F1770" s="972"/>
      <c r="G1770" s="972"/>
      <c r="H1770" s="972"/>
      <c r="I1770" s="972"/>
      <c r="J1770" s="972"/>
      <c r="K1770" s="972"/>
      <c r="L1770" s="972"/>
      <c r="M1770" s="972"/>
    </row>
    <row r="1771" spans="5:13">
      <c r="E1771" s="972"/>
      <c r="F1771" s="972"/>
      <c r="G1771" s="972"/>
      <c r="H1771" s="972"/>
      <c r="I1771" s="972"/>
      <c r="J1771" s="972"/>
      <c r="K1771" s="972"/>
      <c r="L1771" s="972"/>
      <c r="M1771" s="972"/>
    </row>
    <row r="1772" spans="5:13">
      <c r="E1772" s="972"/>
      <c r="F1772" s="972"/>
      <c r="G1772" s="972"/>
      <c r="H1772" s="972"/>
      <c r="I1772" s="972"/>
      <c r="J1772" s="972"/>
      <c r="K1772" s="972"/>
      <c r="L1772" s="972"/>
      <c r="M1772" s="972"/>
    </row>
    <row r="1773" spans="5:13">
      <c r="E1773" s="972"/>
      <c r="F1773" s="972"/>
      <c r="G1773" s="972"/>
      <c r="H1773" s="972"/>
      <c r="I1773" s="972"/>
      <c r="J1773" s="972"/>
      <c r="K1773" s="972"/>
      <c r="L1773" s="972"/>
      <c r="M1773" s="972"/>
    </row>
    <row r="1774" spans="5:13">
      <c r="E1774" s="972"/>
      <c r="F1774" s="972"/>
      <c r="G1774" s="972"/>
      <c r="H1774" s="972"/>
      <c r="I1774" s="972"/>
      <c r="J1774" s="972"/>
      <c r="K1774" s="972"/>
      <c r="L1774" s="972"/>
      <c r="M1774" s="972"/>
    </row>
    <row r="1775" spans="5:13">
      <c r="E1775" s="972"/>
      <c r="F1775" s="972"/>
      <c r="G1775" s="972"/>
      <c r="H1775" s="972"/>
      <c r="I1775" s="972"/>
      <c r="J1775" s="972"/>
      <c r="K1775" s="972"/>
      <c r="L1775" s="972"/>
      <c r="M1775" s="972"/>
    </row>
    <row r="1776" spans="5:13">
      <c r="E1776" s="972"/>
      <c r="F1776" s="972"/>
      <c r="G1776" s="972"/>
      <c r="H1776" s="972"/>
      <c r="I1776" s="972"/>
      <c r="J1776" s="972"/>
      <c r="K1776" s="972"/>
      <c r="L1776" s="972"/>
      <c r="M1776" s="972"/>
    </row>
    <row r="1777" spans="5:13">
      <c r="E1777" s="972"/>
      <c r="F1777" s="972"/>
      <c r="G1777" s="972"/>
      <c r="H1777" s="972"/>
      <c r="I1777" s="972"/>
      <c r="J1777" s="972"/>
      <c r="K1777" s="972"/>
      <c r="L1777" s="972"/>
      <c r="M1777" s="972"/>
    </row>
    <row r="1778" spans="5:13">
      <c r="E1778" s="972"/>
      <c r="F1778" s="972"/>
      <c r="G1778" s="972"/>
      <c r="H1778" s="972"/>
      <c r="I1778" s="972"/>
      <c r="J1778" s="972"/>
      <c r="K1778" s="972"/>
      <c r="L1778" s="972"/>
      <c r="M1778" s="972"/>
    </row>
    <row r="1779" spans="5:13">
      <c r="E1779" s="972"/>
      <c r="F1779" s="972"/>
      <c r="G1779" s="972"/>
      <c r="H1779" s="972"/>
      <c r="I1779" s="972"/>
      <c r="J1779" s="972"/>
      <c r="K1779" s="972"/>
      <c r="L1779" s="972"/>
      <c r="M1779" s="972"/>
    </row>
    <row r="1780" spans="5:13">
      <c r="E1780" s="972"/>
      <c r="F1780" s="972"/>
      <c r="G1780" s="972"/>
      <c r="H1780" s="972"/>
      <c r="I1780" s="972"/>
      <c r="J1780" s="972"/>
      <c r="K1780" s="972"/>
      <c r="L1780" s="972"/>
      <c r="M1780" s="972"/>
    </row>
    <row r="1781" spans="5:13">
      <c r="E1781" s="972"/>
      <c r="F1781" s="972"/>
      <c r="G1781" s="972"/>
      <c r="H1781" s="972"/>
      <c r="I1781" s="972"/>
      <c r="J1781" s="972"/>
      <c r="K1781" s="972"/>
      <c r="L1781" s="972"/>
      <c r="M1781" s="972"/>
    </row>
    <row r="1782" spans="5:13">
      <c r="E1782" s="972"/>
      <c r="F1782" s="972"/>
      <c r="G1782" s="972"/>
      <c r="H1782" s="972"/>
      <c r="I1782" s="972"/>
      <c r="J1782" s="972"/>
      <c r="K1782" s="972"/>
      <c r="L1782" s="972"/>
      <c r="M1782" s="972"/>
    </row>
    <row r="1783" spans="5:13">
      <c r="E1783" s="972"/>
      <c r="F1783" s="972"/>
      <c r="G1783" s="972"/>
      <c r="H1783" s="972"/>
      <c r="I1783" s="972"/>
      <c r="J1783" s="972"/>
      <c r="K1783" s="972"/>
      <c r="L1783" s="972"/>
      <c r="M1783" s="972"/>
    </row>
    <row r="1784" spans="5:13">
      <c r="E1784" s="972"/>
      <c r="F1784" s="972"/>
      <c r="G1784" s="972"/>
      <c r="H1784" s="972"/>
      <c r="I1784" s="972"/>
      <c r="J1784" s="972"/>
      <c r="K1784" s="972"/>
      <c r="L1784" s="972"/>
      <c r="M1784" s="972"/>
    </row>
    <row r="1785" spans="5:13">
      <c r="E1785" s="972"/>
      <c r="F1785" s="972"/>
      <c r="G1785" s="972"/>
      <c r="H1785" s="972"/>
      <c r="I1785" s="972"/>
      <c r="J1785" s="972"/>
      <c r="K1785" s="972"/>
      <c r="L1785" s="972"/>
      <c r="M1785" s="972"/>
    </row>
    <row r="1786" spans="5:13">
      <c r="E1786" s="972"/>
      <c r="F1786" s="972"/>
      <c r="G1786" s="972"/>
      <c r="H1786" s="972"/>
      <c r="I1786" s="972"/>
      <c r="J1786" s="972"/>
      <c r="K1786" s="972"/>
      <c r="L1786" s="972"/>
      <c r="M1786" s="972"/>
    </row>
    <row r="1787" spans="5:13">
      <c r="E1787" s="972"/>
      <c r="F1787" s="972"/>
      <c r="G1787" s="972"/>
      <c r="H1787" s="972"/>
      <c r="I1787" s="972"/>
      <c r="J1787" s="972"/>
      <c r="K1787" s="972"/>
      <c r="L1787" s="972"/>
      <c r="M1787" s="972"/>
    </row>
    <row r="1788" spans="5:13">
      <c r="E1788" s="972"/>
      <c r="F1788" s="972"/>
      <c r="G1788" s="972"/>
      <c r="H1788" s="972"/>
      <c r="I1788" s="972"/>
      <c r="J1788" s="972"/>
      <c r="K1788" s="972"/>
      <c r="L1788" s="972"/>
      <c r="M1788" s="972"/>
    </row>
    <row r="1789" spans="5:13">
      <c r="E1789" s="972"/>
      <c r="F1789" s="972"/>
      <c r="G1789" s="972"/>
      <c r="H1789" s="972"/>
      <c r="I1789" s="972"/>
      <c r="J1789" s="972"/>
      <c r="K1789" s="972"/>
      <c r="L1789" s="972"/>
      <c r="M1789" s="972"/>
    </row>
    <row r="1790" spans="5:13">
      <c r="E1790" s="972"/>
      <c r="F1790" s="972"/>
      <c r="G1790" s="972"/>
      <c r="H1790" s="972"/>
      <c r="I1790" s="972"/>
      <c r="J1790" s="972"/>
      <c r="K1790" s="972"/>
      <c r="L1790" s="972"/>
      <c r="M1790" s="972"/>
    </row>
    <row r="1791" spans="5:13">
      <c r="E1791" s="972"/>
      <c r="F1791" s="972"/>
      <c r="G1791" s="972"/>
      <c r="H1791" s="972"/>
      <c r="I1791" s="972"/>
      <c r="J1791" s="972"/>
      <c r="K1791" s="972"/>
      <c r="L1791" s="972"/>
      <c r="M1791" s="972"/>
    </row>
    <row r="1792" spans="5:13">
      <c r="E1792" s="972"/>
      <c r="F1792" s="972"/>
      <c r="G1792" s="972"/>
      <c r="H1792" s="972"/>
      <c r="I1792" s="972"/>
      <c r="J1792" s="972"/>
      <c r="K1792" s="972"/>
      <c r="L1792" s="972"/>
      <c r="M1792" s="972"/>
    </row>
    <row r="1793" spans="5:13">
      <c r="E1793" s="972"/>
      <c r="F1793" s="972"/>
      <c r="G1793" s="972"/>
      <c r="H1793" s="972"/>
      <c r="I1793" s="972"/>
      <c r="J1793" s="972"/>
      <c r="K1793" s="972"/>
      <c r="L1793" s="972"/>
      <c r="M1793" s="972"/>
    </row>
    <row r="1794" spans="5:13">
      <c r="E1794" s="972"/>
      <c r="F1794" s="972"/>
      <c r="G1794" s="972"/>
      <c r="H1794" s="972"/>
      <c r="I1794" s="972"/>
      <c r="J1794" s="972"/>
      <c r="K1794" s="972"/>
      <c r="L1794" s="972"/>
      <c r="M1794" s="972"/>
    </row>
    <row r="1795" spans="5:13">
      <c r="E1795" s="972"/>
      <c r="F1795" s="972"/>
      <c r="G1795" s="972"/>
      <c r="H1795" s="972"/>
      <c r="I1795" s="972"/>
      <c r="J1795" s="972"/>
      <c r="K1795" s="972"/>
      <c r="L1795" s="972"/>
      <c r="M1795" s="972"/>
    </row>
    <row r="1796" spans="5:13">
      <c r="E1796" s="972"/>
      <c r="F1796" s="972"/>
      <c r="G1796" s="972"/>
      <c r="H1796" s="972"/>
      <c r="I1796" s="972"/>
      <c r="J1796" s="972"/>
      <c r="K1796" s="972"/>
      <c r="L1796" s="972"/>
      <c r="M1796" s="972"/>
    </row>
    <row r="1797" spans="5:13">
      <c r="E1797" s="972"/>
      <c r="F1797" s="972"/>
      <c r="G1797" s="972"/>
      <c r="H1797" s="972"/>
      <c r="I1797" s="972"/>
      <c r="J1797" s="972"/>
      <c r="K1797" s="972"/>
      <c r="L1797" s="972"/>
      <c r="M1797" s="972"/>
    </row>
    <row r="1798" spans="5:13">
      <c r="E1798" s="972"/>
      <c r="F1798" s="972"/>
      <c r="G1798" s="972"/>
      <c r="H1798" s="972"/>
      <c r="I1798" s="972"/>
      <c r="J1798" s="972"/>
      <c r="K1798" s="972"/>
      <c r="L1798" s="972"/>
      <c r="M1798" s="972"/>
    </row>
    <row r="1799" spans="5:13">
      <c r="E1799" s="972"/>
      <c r="F1799" s="972"/>
      <c r="G1799" s="972"/>
      <c r="H1799" s="972"/>
      <c r="I1799" s="972"/>
      <c r="J1799" s="972"/>
      <c r="K1799" s="972"/>
      <c r="L1799" s="972"/>
      <c r="M1799" s="972"/>
    </row>
    <row r="1800" spans="5:13">
      <c r="E1800" s="972"/>
      <c r="F1800" s="972"/>
      <c r="G1800" s="972"/>
      <c r="H1800" s="972"/>
      <c r="I1800" s="972"/>
      <c r="J1800" s="972"/>
      <c r="K1800" s="972"/>
      <c r="L1800" s="972"/>
      <c r="M1800" s="972"/>
    </row>
    <row r="1801" spans="5:13">
      <c r="E1801" s="972"/>
      <c r="F1801" s="972"/>
      <c r="G1801" s="972"/>
      <c r="H1801" s="972"/>
      <c r="I1801" s="972"/>
      <c r="J1801" s="972"/>
      <c r="K1801" s="972"/>
      <c r="L1801" s="972"/>
      <c r="M1801" s="972"/>
    </row>
    <row r="1802" spans="5:13">
      <c r="E1802" s="972"/>
      <c r="F1802" s="972"/>
      <c r="G1802" s="972"/>
      <c r="H1802" s="972"/>
      <c r="I1802" s="972"/>
      <c r="J1802" s="972"/>
      <c r="K1802" s="972"/>
      <c r="L1802" s="972"/>
      <c r="M1802" s="972"/>
    </row>
    <row r="1803" spans="5:13">
      <c r="E1803" s="972"/>
      <c r="F1803" s="972"/>
      <c r="G1803" s="972"/>
      <c r="H1803" s="972"/>
      <c r="I1803" s="972"/>
      <c r="J1803" s="972"/>
      <c r="K1803" s="972"/>
      <c r="L1803" s="972"/>
      <c r="M1803" s="972"/>
    </row>
    <row r="1804" spans="5:13">
      <c r="E1804" s="972"/>
      <c r="F1804" s="972"/>
      <c r="G1804" s="972"/>
      <c r="H1804" s="972"/>
      <c r="I1804" s="972"/>
      <c r="J1804" s="972"/>
      <c r="K1804" s="972"/>
      <c r="L1804" s="972"/>
      <c r="M1804" s="972"/>
    </row>
    <row r="1805" spans="5:13">
      <c r="E1805" s="972"/>
      <c r="F1805" s="972"/>
      <c r="G1805" s="972"/>
      <c r="H1805" s="972"/>
      <c r="I1805" s="972"/>
      <c r="J1805" s="972"/>
      <c r="K1805" s="972"/>
      <c r="L1805" s="972"/>
      <c r="M1805" s="972"/>
    </row>
    <row r="1806" spans="5:13">
      <c r="E1806" s="972"/>
      <c r="F1806" s="972"/>
      <c r="G1806" s="972"/>
      <c r="H1806" s="972"/>
      <c r="I1806" s="972"/>
      <c r="J1806" s="972"/>
      <c r="K1806" s="972"/>
      <c r="L1806" s="972"/>
      <c r="M1806" s="972"/>
    </row>
    <row r="1807" spans="5:13">
      <c r="E1807" s="972"/>
      <c r="F1807" s="972"/>
      <c r="G1807" s="972"/>
      <c r="H1807" s="972"/>
      <c r="I1807" s="972"/>
      <c r="J1807" s="972"/>
      <c r="K1807" s="972"/>
      <c r="L1807" s="972"/>
      <c r="M1807" s="972"/>
    </row>
    <row r="1808" spans="5:13">
      <c r="E1808" s="972"/>
      <c r="F1808" s="972"/>
      <c r="G1808" s="972"/>
      <c r="H1808" s="972"/>
      <c r="I1808" s="972"/>
      <c r="J1808" s="972"/>
      <c r="K1808" s="972"/>
      <c r="L1808" s="972"/>
      <c r="M1808" s="972"/>
    </row>
    <row r="1809" spans="5:13">
      <c r="E1809" s="972"/>
      <c r="F1809" s="972"/>
      <c r="G1809" s="972"/>
      <c r="H1809" s="972"/>
      <c r="I1809" s="972"/>
      <c r="J1809" s="972"/>
      <c r="K1809" s="972"/>
      <c r="L1809" s="972"/>
      <c r="M1809" s="972"/>
    </row>
    <row r="1810" spans="5:13">
      <c r="E1810" s="972"/>
      <c r="F1810" s="972"/>
      <c r="G1810" s="972"/>
      <c r="H1810" s="972"/>
      <c r="I1810" s="972"/>
      <c r="J1810" s="972"/>
      <c r="K1810" s="972"/>
      <c r="L1810" s="972"/>
      <c r="M1810" s="972"/>
    </row>
    <row r="1811" spans="5:13">
      <c r="E1811" s="972"/>
      <c r="F1811" s="972"/>
      <c r="G1811" s="972"/>
      <c r="H1811" s="972"/>
      <c r="I1811" s="972"/>
      <c r="J1811" s="972"/>
      <c r="K1811" s="972"/>
      <c r="L1811" s="972"/>
      <c r="M1811" s="972"/>
    </row>
    <row r="1812" spans="5:13">
      <c r="E1812" s="972"/>
      <c r="F1812" s="972"/>
      <c r="G1812" s="972"/>
      <c r="H1812" s="972"/>
      <c r="I1812" s="972"/>
      <c r="J1812" s="972"/>
      <c r="K1812" s="972"/>
      <c r="L1812" s="972"/>
      <c r="M1812" s="972"/>
    </row>
    <row r="1813" spans="5:13">
      <c r="E1813" s="972"/>
      <c r="F1813" s="972"/>
      <c r="G1813" s="972"/>
      <c r="H1813" s="972"/>
      <c r="I1813" s="972"/>
      <c r="J1813" s="972"/>
      <c r="K1813" s="972"/>
      <c r="L1813" s="972"/>
      <c r="M1813" s="972"/>
    </row>
    <row r="1814" spans="5:13">
      <c r="E1814" s="972"/>
      <c r="F1814" s="972"/>
      <c r="G1814" s="972"/>
      <c r="H1814" s="972"/>
      <c r="I1814" s="972"/>
      <c r="J1814" s="972"/>
      <c r="K1814" s="972"/>
      <c r="L1814" s="972"/>
      <c r="M1814" s="972"/>
    </row>
    <row r="1815" spans="5:13">
      <c r="E1815" s="972"/>
      <c r="F1815" s="972"/>
      <c r="G1815" s="972"/>
      <c r="H1815" s="972"/>
      <c r="I1815" s="972"/>
      <c r="J1815" s="972"/>
      <c r="K1815" s="972"/>
      <c r="L1815" s="972"/>
      <c r="M1815" s="972"/>
    </row>
    <row r="1816" spans="5:13">
      <c r="E1816" s="972"/>
      <c r="F1816" s="972"/>
      <c r="G1816" s="972"/>
      <c r="H1816" s="972"/>
      <c r="I1816" s="972"/>
      <c r="J1816" s="972"/>
      <c r="K1816" s="972"/>
      <c r="L1816" s="972"/>
      <c r="M1816" s="972"/>
    </row>
    <row r="1817" spans="5:13">
      <c r="E1817" s="972"/>
      <c r="F1817" s="972"/>
      <c r="G1817" s="972"/>
      <c r="H1817" s="972"/>
      <c r="I1817" s="972"/>
      <c r="J1817" s="972"/>
      <c r="K1817" s="972"/>
      <c r="L1817" s="972"/>
      <c r="M1817" s="972"/>
    </row>
    <row r="1818" spans="5:13">
      <c r="E1818" s="972"/>
      <c r="F1818" s="972"/>
      <c r="G1818" s="972"/>
      <c r="H1818" s="972"/>
      <c r="I1818" s="972"/>
      <c r="J1818" s="972"/>
      <c r="K1818" s="972"/>
      <c r="L1818" s="972"/>
      <c r="M1818" s="972"/>
    </row>
    <row r="1819" spans="5:13">
      <c r="E1819" s="972"/>
      <c r="F1819" s="972"/>
      <c r="G1819" s="972"/>
      <c r="H1819" s="972"/>
      <c r="I1819" s="972"/>
      <c r="J1819" s="972"/>
      <c r="K1819" s="972"/>
      <c r="L1819" s="972"/>
      <c r="M1819" s="972"/>
    </row>
    <row r="1820" spans="5:13">
      <c r="E1820" s="972"/>
      <c r="F1820" s="972"/>
      <c r="G1820" s="972"/>
      <c r="H1820" s="972"/>
      <c r="I1820" s="972"/>
      <c r="J1820" s="972"/>
      <c r="K1820" s="972"/>
      <c r="L1820" s="972"/>
      <c r="M1820" s="972"/>
    </row>
    <row r="1821" spans="5:13">
      <c r="E1821" s="972"/>
      <c r="F1821" s="972"/>
      <c r="G1821" s="972"/>
      <c r="H1821" s="972"/>
      <c r="I1821" s="972"/>
      <c r="J1821" s="972"/>
      <c r="K1821" s="972"/>
      <c r="L1821" s="972"/>
      <c r="M1821" s="972"/>
    </row>
    <row r="1822" spans="5:13">
      <c r="E1822" s="972"/>
      <c r="F1822" s="972"/>
      <c r="G1822" s="972"/>
      <c r="H1822" s="972"/>
      <c r="I1822" s="972"/>
      <c r="J1822" s="972"/>
      <c r="K1822" s="972"/>
      <c r="L1822" s="972"/>
      <c r="M1822" s="972"/>
    </row>
    <row r="1823" spans="5:13">
      <c r="E1823" s="972"/>
      <c r="F1823" s="972"/>
      <c r="G1823" s="972"/>
      <c r="H1823" s="972"/>
      <c r="I1823" s="972"/>
      <c r="J1823" s="972"/>
      <c r="K1823" s="972"/>
      <c r="L1823" s="972"/>
      <c r="M1823" s="972"/>
    </row>
    <row r="1824" spans="5:13">
      <c r="E1824" s="972"/>
      <c r="F1824" s="972"/>
      <c r="G1824" s="972"/>
      <c r="H1824" s="972"/>
      <c r="I1824" s="972"/>
      <c r="J1824" s="972"/>
      <c r="K1824" s="972"/>
      <c r="L1824" s="972"/>
      <c r="M1824" s="972"/>
    </row>
    <row r="1825" spans="5:13">
      <c r="E1825" s="972"/>
      <c r="F1825" s="972"/>
      <c r="G1825" s="972"/>
      <c r="H1825" s="972"/>
      <c r="I1825" s="972"/>
      <c r="J1825" s="972"/>
      <c r="K1825" s="972"/>
      <c r="L1825" s="972"/>
      <c r="M1825" s="972"/>
    </row>
    <row r="1826" spans="5:13">
      <c r="E1826" s="972"/>
      <c r="F1826" s="972"/>
      <c r="G1826" s="972"/>
      <c r="H1826" s="972"/>
      <c r="I1826" s="972"/>
      <c r="J1826" s="972"/>
      <c r="K1826" s="972"/>
      <c r="L1826" s="972"/>
      <c r="M1826" s="972"/>
    </row>
    <row r="1827" spans="5:13">
      <c r="E1827" s="972"/>
      <c r="F1827" s="972"/>
      <c r="G1827" s="972"/>
      <c r="H1827" s="972"/>
      <c r="I1827" s="972"/>
      <c r="J1827" s="972"/>
      <c r="K1827" s="972"/>
      <c r="L1827" s="972"/>
      <c r="M1827" s="972"/>
    </row>
    <row r="1828" spans="5:13">
      <c r="E1828" s="972"/>
      <c r="F1828" s="972"/>
      <c r="G1828" s="972"/>
      <c r="H1828" s="972"/>
      <c r="I1828" s="972"/>
      <c r="J1828" s="972"/>
      <c r="K1828" s="972"/>
      <c r="L1828" s="972"/>
      <c r="M1828" s="972"/>
    </row>
    <row r="1829" spans="5:13">
      <c r="E1829" s="972"/>
      <c r="F1829" s="972"/>
      <c r="G1829" s="972"/>
      <c r="H1829" s="972"/>
      <c r="I1829" s="972"/>
      <c r="J1829" s="972"/>
      <c r="K1829" s="972"/>
      <c r="L1829" s="972"/>
      <c r="M1829" s="972"/>
    </row>
    <row r="1830" spans="5:13">
      <c r="E1830" s="972"/>
      <c r="F1830" s="972"/>
      <c r="G1830" s="972"/>
      <c r="H1830" s="972"/>
      <c r="I1830" s="972"/>
      <c r="J1830" s="972"/>
      <c r="K1830" s="972"/>
      <c r="L1830" s="972"/>
      <c r="M1830" s="972"/>
    </row>
    <row r="1831" spans="5:13">
      <c r="E1831" s="972"/>
      <c r="F1831" s="972"/>
      <c r="G1831" s="972"/>
      <c r="H1831" s="972"/>
      <c r="I1831" s="972"/>
      <c r="J1831" s="972"/>
      <c r="K1831" s="972"/>
      <c r="L1831" s="972"/>
      <c r="M1831" s="972"/>
    </row>
    <row r="1832" spans="5:13">
      <c r="E1832" s="972"/>
      <c r="F1832" s="972"/>
      <c r="G1832" s="972"/>
      <c r="H1832" s="972"/>
      <c r="I1832" s="972"/>
      <c r="J1832" s="972"/>
      <c r="K1832" s="972"/>
      <c r="L1832" s="972"/>
      <c r="M1832" s="972"/>
    </row>
    <row r="1833" spans="5:13">
      <c r="E1833" s="972"/>
      <c r="F1833" s="972"/>
      <c r="G1833" s="972"/>
      <c r="H1833" s="972"/>
      <c r="I1833" s="972"/>
      <c r="J1833" s="972"/>
      <c r="K1833" s="972"/>
      <c r="L1833" s="972"/>
      <c r="M1833" s="972"/>
    </row>
    <row r="1834" spans="5:13">
      <c r="E1834" s="972"/>
      <c r="F1834" s="972"/>
      <c r="G1834" s="972"/>
      <c r="H1834" s="972"/>
      <c r="I1834" s="972"/>
      <c r="J1834" s="972"/>
      <c r="K1834" s="972"/>
      <c r="L1834" s="972"/>
      <c r="M1834" s="972"/>
    </row>
    <row r="1835" spans="5:13">
      <c r="E1835" s="972"/>
      <c r="F1835" s="972"/>
      <c r="G1835" s="972"/>
      <c r="H1835" s="972"/>
      <c r="I1835" s="972"/>
      <c r="J1835" s="972"/>
      <c r="K1835" s="972"/>
      <c r="L1835" s="972"/>
      <c r="M1835" s="972"/>
    </row>
    <row r="1836" spans="5:13">
      <c r="E1836" s="972"/>
      <c r="F1836" s="972"/>
      <c r="G1836" s="972"/>
      <c r="H1836" s="972"/>
      <c r="I1836" s="972"/>
      <c r="J1836" s="972"/>
      <c r="K1836" s="972"/>
      <c r="L1836" s="972"/>
      <c r="M1836" s="972"/>
    </row>
    <row r="1837" spans="5:13">
      <c r="E1837" s="972"/>
      <c r="F1837" s="972"/>
      <c r="G1837" s="972"/>
      <c r="H1837" s="972"/>
      <c r="I1837" s="972"/>
      <c r="J1837" s="972"/>
      <c r="K1837" s="972"/>
      <c r="L1837" s="972"/>
      <c r="M1837" s="972"/>
    </row>
    <row r="1838" spans="5:13">
      <c r="E1838" s="972"/>
      <c r="F1838" s="972"/>
      <c r="G1838" s="972"/>
      <c r="H1838" s="972"/>
      <c r="I1838" s="972"/>
      <c r="J1838" s="972"/>
      <c r="K1838" s="972"/>
      <c r="L1838" s="972"/>
      <c r="M1838" s="972"/>
    </row>
    <row r="1839" spans="5:13">
      <c r="E1839" s="972"/>
      <c r="F1839" s="972"/>
      <c r="G1839" s="972"/>
      <c r="H1839" s="972"/>
      <c r="I1839" s="972"/>
      <c r="J1839" s="972"/>
      <c r="K1839" s="972"/>
      <c r="L1839" s="972"/>
      <c r="M1839" s="972"/>
    </row>
    <row r="1840" spans="5:13">
      <c r="E1840" s="972"/>
      <c r="F1840" s="972"/>
      <c r="G1840" s="972"/>
      <c r="H1840" s="972"/>
      <c r="I1840" s="972"/>
      <c r="J1840" s="972"/>
      <c r="K1840" s="972"/>
      <c r="L1840" s="972"/>
      <c r="M1840" s="972"/>
    </row>
    <row r="1841" spans="5:13">
      <c r="E1841" s="972"/>
      <c r="F1841" s="972"/>
      <c r="G1841" s="972"/>
      <c r="H1841" s="972"/>
      <c r="I1841" s="972"/>
      <c r="J1841" s="972"/>
      <c r="K1841" s="972"/>
      <c r="L1841" s="972"/>
      <c r="M1841" s="972"/>
    </row>
    <row r="1842" spans="5:13">
      <c r="E1842" s="972"/>
      <c r="F1842" s="972"/>
      <c r="G1842" s="972"/>
      <c r="H1842" s="972"/>
      <c r="I1842" s="972"/>
      <c r="J1842" s="972"/>
      <c r="K1842" s="972"/>
      <c r="L1842" s="972"/>
      <c r="M1842" s="972"/>
    </row>
    <row r="1843" spans="5:13">
      <c r="E1843" s="972"/>
      <c r="F1843" s="972"/>
      <c r="G1843" s="972"/>
      <c r="H1843" s="972"/>
      <c r="I1843" s="972"/>
      <c r="J1843" s="972"/>
      <c r="K1843" s="972"/>
      <c r="L1843" s="972"/>
      <c r="M1843" s="972"/>
    </row>
    <row r="1844" spans="5:13">
      <c r="E1844" s="972"/>
      <c r="F1844" s="972"/>
      <c r="G1844" s="972"/>
      <c r="H1844" s="972"/>
      <c r="I1844" s="972"/>
      <c r="J1844" s="972"/>
      <c r="K1844" s="972"/>
      <c r="L1844" s="972"/>
      <c r="M1844" s="972"/>
    </row>
    <row r="1845" spans="5:13">
      <c r="E1845" s="972"/>
      <c r="F1845" s="972"/>
      <c r="G1845" s="972"/>
      <c r="H1845" s="972"/>
      <c r="I1845" s="972"/>
      <c r="J1845" s="972"/>
      <c r="K1845" s="972"/>
      <c r="L1845" s="972"/>
      <c r="M1845" s="972"/>
    </row>
    <row r="1846" spans="5:13">
      <c r="E1846" s="972"/>
      <c r="F1846" s="972"/>
      <c r="G1846" s="972"/>
      <c r="H1846" s="972"/>
      <c r="I1846" s="972"/>
      <c r="J1846" s="972"/>
      <c r="K1846" s="972"/>
      <c r="L1846" s="972"/>
      <c r="M1846" s="972"/>
    </row>
    <row r="1847" spans="5:13">
      <c r="E1847" s="972"/>
      <c r="F1847" s="972"/>
      <c r="G1847" s="972"/>
      <c r="H1847" s="972"/>
      <c r="I1847" s="972"/>
      <c r="J1847" s="972"/>
      <c r="K1847" s="972"/>
      <c r="L1847" s="972"/>
      <c r="M1847" s="972"/>
    </row>
    <row r="1848" spans="5:13">
      <c r="E1848" s="972"/>
      <c r="F1848" s="972"/>
      <c r="G1848" s="972"/>
      <c r="H1848" s="972"/>
      <c r="I1848" s="972"/>
      <c r="J1848" s="972"/>
      <c r="K1848" s="972"/>
      <c r="L1848" s="972"/>
      <c r="M1848" s="972"/>
    </row>
    <row r="1849" spans="5:13">
      <c r="E1849" s="972"/>
      <c r="F1849" s="972"/>
      <c r="G1849" s="972"/>
      <c r="H1849" s="972"/>
      <c r="I1849" s="972"/>
      <c r="J1849" s="972"/>
      <c r="K1849" s="972"/>
      <c r="L1849" s="972"/>
      <c r="M1849" s="972"/>
    </row>
    <row r="1850" spans="5:13">
      <c r="E1850" s="972"/>
      <c r="F1850" s="972"/>
      <c r="G1850" s="972"/>
      <c r="H1850" s="972"/>
      <c r="I1850" s="972"/>
      <c r="J1850" s="972"/>
      <c r="K1850" s="972"/>
      <c r="L1850" s="972"/>
      <c r="M1850" s="972"/>
    </row>
    <row r="1851" spans="5:13">
      <c r="E1851" s="972"/>
      <c r="F1851" s="972"/>
      <c r="G1851" s="972"/>
      <c r="H1851" s="972"/>
      <c r="I1851" s="972"/>
      <c r="J1851" s="972"/>
      <c r="K1851" s="972"/>
      <c r="L1851" s="972"/>
      <c r="M1851" s="972"/>
    </row>
    <row r="1852" spans="5:13">
      <c r="E1852" s="972"/>
      <c r="F1852" s="972"/>
      <c r="G1852" s="972"/>
      <c r="H1852" s="972"/>
      <c r="I1852" s="972"/>
      <c r="J1852" s="972"/>
      <c r="K1852" s="972"/>
      <c r="L1852" s="972"/>
      <c r="M1852" s="972"/>
    </row>
    <row r="1853" spans="5:13">
      <c r="E1853" s="972"/>
      <c r="F1853" s="972"/>
      <c r="G1853" s="972"/>
      <c r="H1853" s="972"/>
      <c r="I1853" s="972"/>
      <c r="J1853" s="972"/>
      <c r="K1853" s="972"/>
      <c r="L1853" s="972"/>
      <c r="M1853" s="972"/>
    </row>
    <row r="1854" spans="5:13">
      <c r="E1854" s="972"/>
      <c r="F1854" s="972"/>
      <c r="G1854" s="972"/>
      <c r="H1854" s="972"/>
      <c r="I1854" s="972"/>
      <c r="J1854" s="972"/>
      <c r="K1854" s="972"/>
      <c r="L1854" s="972"/>
      <c r="M1854" s="972"/>
    </row>
    <row r="1855" spans="5:13">
      <c r="E1855" s="972"/>
      <c r="F1855" s="972"/>
      <c r="G1855" s="972"/>
      <c r="H1855" s="972"/>
      <c r="I1855" s="972"/>
      <c r="J1855" s="972"/>
      <c r="K1855" s="972"/>
      <c r="L1855" s="972"/>
      <c r="M1855" s="972"/>
    </row>
    <row r="1856" spans="5:13">
      <c r="E1856" s="972"/>
      <c r="F1856" s="972"/>
      <c r="G1856" s="972"/>
      <c r="H1856" s="972"/>
      <c r="I1856" s="972"/>
      <c r="J1856" s="972"/>
      <c r="K1856" s="972"/>
      <c r="L1856" s="972"/>
      <c r="M1856" s="972"/>
    </row>
    <row r="1857" spans="5:13">
      <c r="E1857" s="972"/>
      <c r="F1857" s="972"/>
      <c r="G1857" s="972"/>
      <c r="H1857" s="972"/>
      <c r="I1857" s="972"/>
      <c r="J1857" s="972"/>
      <c r="K1857" s="972"/>
      <c r="L1857" s="972"/>
      <c r="M1857" s="972"/>
    </row>
    <row r="1858" spans="5:13">
      <c r="E1858" s="972"/>
      <c r="F1858" s="972"/>
      <c r="G1858" s="972"/>
      <c r="H1858" s="972"/>
      <c r="I1858" s="972"/>
      <c r="J1858" s="972"/>
      <c r="K1858" s="972"/>
      <c r="L1858" s="972"/>
      <c r="M1858" s="972"/>
    </row>
    <row r="1859" spans="5:13">
      <c r="E1859" s="972"/>
      <c r="F1859" s="972"/>
      <c r="G1859" s="972"/>
      <c r="H1859" s="972"/>
      <c r="I1859" s="972"/>
      <c r="J1859" s="972"/>
      <c r="K1859" s="972"/>
      <c r="L1859" s="972"/>
      <c r="M1859" s="972"/>
    </row>
    <row r="1860" spans="5:13">
      <c r="E1860" s="972"/>
      <c r="F1860" s="972"/>
      <c r="G1860" s="972"/>
      <c r="H1860" s="972"/>
      <c r="I1860" s="972"/>
      <c r="J1860" s="972"/>
      <c r="K1860" s="972"/>
      <c r="L1860" s="972"/>
      <c r="M1860" s="972"/>
    </row>
    <row r="1861" spans="5:13">
      <c r="E1861" s="972"/>
      <c r="F1861" s="972"/>
      <c r="G1861" s="972"/>
      <c r="H1861" s="972"/>
      <c r="I1861" s="972"/>
      <c r="J1861" s="972"/>
      <c r="K1861" s="972"/>
      <c r="L1861" s="972"/>
      <c r="M1861" s="972"/>
    </row>
    <row r="1862" spans="5:13">
      <c r="E1862" s="972"/>
      <c r="F1862" s="972"/>
      <c r="G1862" s="972"/>
      <c r="H1862" s="972"/>
      <c r="I1862" s="972"/>
      <c r="J1862" s="972"/>
      <c r="K1862" s="972"/>
      <c r="L1862" s="972"/>
      <c r="M1862" s="972"/>
    </row>
    <row r="1863" spans="5:13">
      <c r="E1863" s="972"/>
      <c r="F1863" s="972"/>
      <c r="G1863" s="972"/>
      <c r="H1863" s="972"/>
      <c r="I1863" s="972"/>
      <c r="J1863" s="972"/>
      <c r="K1863" s="972"/>
      <c r="L1863" s="972"/>
      <c r="M1863" s="972"/>
    </row>
    <row r="1864" spans="5:13">
      <c r="E1864" s="972"/>
      <c r="F1864" s="972"/>
      <c r="G1864" s="972"/>
      <c r="H1864" s="972"/>
      <c r="I1864" s="972"/>
      <c r="J1864" s="972"/>
      <c r="K1864" s="972"/>
      <c r="L1864" s="972"/>
      <c r="M1864" s="972"/>
    </row>
    <row r="1865" spans="5:13">
      <c r="E1865" s="972"/>
      <c r="F1865" s="972"/>
      <c r="G1865" s="972"/>
      <c r="H1865" s="972"/>
      <c r="I1865" s="972"/>
      <c r="J1865" s="972"/>
      <c r="K1865" s="972"/>
      <c r="L1865" s="972"/>
      <c r="M1865" s="972"/>
    </row>
    <row r="1866" spans="5:13">
      <c r="E1866" s="972"/>
      <c r="F1866" s="972"/>
      <c r="G1866" s="972"/>
      <c r="H1866" s="972"/>
      <c r="I1866" s="972"/>
      <c r="J1866" s="972"/>
      <c r="K1866" s="972"/>
      <c r="L1866" s="972"/>
      <c r="M1866" s="972"/>
    </row>
    <row r="1867" spans="5:13">
      <c r="E1867" s="972"/>
      <c r="F1867" s="972"/>
      <c r="G1867" s="972"/>
      <c r="H1867" s="972"/>
      <c r="I1867" s="972"/>
      <c r="J1867" s="972"/>
      <c r="K1867" s="972"/>
      <c r="L1867" s="972"/>
      <c r="M1867" s="972"/>
    </row>
    <row r="1868" spans="5:13">
      <c r="E1868" s="972"/>
      <c r="F1868" s="972"/>
      <c r="G1868" s="972"/>
      <c r="H1868" s="972"/>
      <c r="I1868" s="972"/>
      <c r="J1868" s="972"/>
      <c r="K1868" s="972"/>
      <c r="L1868" s="972"/>
      <c r="M1868" s="972"/>
    </row>
    <row r="1869" spans="5:13">
      <c r="E1869" s="972"/>
      <c r="F1869" s="972"/>
      <c r="G1869" s="972"/>
      <c r="H1869" s="972"/>
      <c r="I1869" s="972"/>
      <c r="J1869" s="972"/>
      <c r="K1869" s="972"/>
      <c r="L1869" s="972"/>
      <c r="M1869" s="972"/>
    </row>
    <row r="1870" spans="5:13">
      <c r="E1870" s="972"/>
      <c r="F1870" s="972"/>
      <c r="G1870" s="972"/>
      <c r="H1870" s="972"/>
      <c r="I1870" s="972"/>
      <c r="J1870" s="972"/>
      <c r="K1870" s="972"/>
      <c r="L1870" s="972"/>
      <c r="M1870" s="972"/>
    </row>
    <row r="1871" spans="5:13">
      <c r="E1871" s="972"/>
      <c r="F1871" s="972"/>
      <c r="G1871" s="972"/>
      <c r="H1871" s="972"/>
      <c r="I1871" s="972"/>
      <c r="J1871" s="972"/>
      <c r="K1871" s="972"/>
      <c r="L1871" s="972"/>
      <c r="M1871" s="972"/>
    </row>
    <row r="1872" spans="5:13">
      <c r="E1872" s="972"/>
      <c r="F1872" s="972"/>
      <c r="G1872" s="972"/>
      <c r="H1872" s="972"/>
      <c r="I1872" s="972"/>
      <c r="J1872" s="972"/>
      <c r="K1872" s="972"/>
      <c r="L1872" s="972"/>
      <c r="M1872" s="972"/>
    </row>
    <row r="1873" spans="5:13">
      <c r="E1873" s="972"/>
      <c r="F1873" s="972"/>
      <c r="G1873" s="972"/>
      <c r="H1873" s="972"/>
      <c r="I1873" s="972"/>
      <c r="J1873" s="972"/>
      <c r="K1873" s="972"/>
      <c r="L1873" s="972"/>
      <c r="M1873" s="972"/>
    </row>
    <row r="1874" spans="5:13">
      <c r="E1874" s="972"/>
      <c r="F1874" s="972"/>
      <c r="G1874" s="972"/>
      <c r="H1874" s="972"/>
      <c r="I1874" s="972"/>
      <c r="J1874" s="972"/>
      <c r="K1874" s="972"/>
      <c r="L1874" s="972"/>
      <c r="M1874" s="972"/>
    </row>
    <row r="1875" spans="5:13">
      <c r="E1875" s="972"/>
      <c r="F1875" s="972"/>
      <c r="G1875" s="972"/>
      <c r="H1875" s="972"/>
      <c r="I1875" s="972"/>
      <c r="J1875" s="972"/>
      <c r="K1875" s="972"/>
      <c r="L1875" s="972"/>
      <c r="M1875" s="972"/>
    </row>
    <row r="1876" spans="5:13">
      <c r="E1876" s="972"/>
      <c r="F1876" s="972"/>
      <c r="G1876" s="972"/>
      <c r="H1876" s="972"/>
      <c r="I1876" s="972"/>
      <c r="J1876" s="972"/>
      <c r="K1876" s="972"/>
      <c r="L1876" s="972"/>
      <c r="M1876" s="972"/>
    </row>
    <row r="1877" spans="5:13">
      <c r="E1877" s="972"/>
      <c r="F1877" s="972"/>
      <c r="G1877" s="972"/>
      <c r="H1877" s="972"/>
      <c r="I1877" s="972"/>
      <c r="J1877" s="972"/>
      <c r="K1877" s="972"/>
      <c r="L1877" s="972"/>
      <c r="M1877" s="972"/>
    </row>
    <row r="1878" spans="5:13">
      <c r="E1878" s="972"/>
      <c r="F1878" s="972"/>
      <c r="G1878" s="972"/>
      <c r="H1878" s="972"/>
      <c r="I1878" s="972"/>
      <c r="J1878" s="972"/>
      <c r="K1878" s="972"/>
      <c r="L1878" s="972"/>
      <c r="M1878" s="972"/>
    </row>
    <row r="1879" spans="5:13">
      <c r="E1879" s="972"/>
      <c r="F1879" s="972"/>
      <c r="G1879" s="972"/>
      <c r="H1879" s="972"/>
      <c r="I1879" s="972"/>
      <c r="J1879" s="972"/>
      <c r="K1879" s="972"/>
      <c r="L1879" s="972"/>
      <c r="M1879" s="972"/>
    </row>
    <row r="1880" spans="5:13">
      <c r="E1880" s="972"/>
      <c r="F1880" s="972"/>
      <c r="G1880" s="972"/>
      <c r="H1880" s="972"/>
      <c r="I1880" s="972"/>
      <c r="J1880" s="972"/>
      <c r="K1880" s="972"/>
      <c r="L1880" s="972"/>
      <c r="M1880" s="972"/>
    </row>
    <row r="1881" spans="5:13">
      <c r="E1881" s="972"/>
      <c r="F1881" s="972"/>
      <c r="G1881" s="972"/>
      <c r="H1881" s="972"/>
      <c r="I1881" s="972"/>
      <c r="J1881" s="972"/>
      <c r="K1881" s="972"/>
      <c r="L1881" s="972"/>
      <c r="M1881" s="972"/>
    </row>
    <row r="1882" spans="5:13">
      <c r="E1882" s="972"/>
      <c r="F1882" s="972"/>
      <c r="G1882" s="972"/>
      <c r="H1882" s="972"/>
      <c r="I1882" s="972"/>
      <c r="J1882" s="972"/>
      <c r="K1882" s="972"/>
      <c r="L1882" s="972"/>
      <c r="M1882" s="972"/>
    </row>
    <row r="1883" spans="5:13">
      <c r="E1883" s="972"/>
      <c r="F1883" s="972"/>
      <c r="G1883" s="972"/>
      <c r="H1883" s="972"/>
      <c r="I1883" s="972"/>
      <c r="J1883" s="972"/>
      <c r="K1883" s="972"/>
      <c r="L1883" s="972"/>
      <c r="M1883" s="972"/>
    </row>
    <row r="1884" spans="5:13">
      <c r="E1884" s="972"/>
      <c r="F1884" s="972"/>
      <c r="G1884" s="972"/>
      <c r="H1884" s="972"/>
      <c r="I1884" s="972"/>
      <c r="J1884" s="972"/>
      <c r="K1884" s="972"/>
      <c r="L1884" s="972"/>
      <c r="M1884" s="972"/>
    </row>
    <row r="1885" spans="5:13">
      <c r="E1885" s="972"/>
      <c r="F1885" s="972"/>
      <c r="G1885" s="972"/>
      <c r="H1885" s="972"/>
      <c r="I1885" s="972"/>
      <c r="J1885" s="972"/>
      <c r="K1885" s="972"/>
      <c r="L1885" s="972"/>
      <c r="M1885" s="972"/>
    </row>
    <row r="1886" spans="5:13">
      <c r="E1886" s="972"/>
      <c r="F1886" s="972"/>
      <c r="G1886" s="972"/>
      <c r="H1886" s="972"/>
      <c r="I1886" s="972"/>
      <c r="J1886" s="972"/>
      <c r="K1886" s="972"/>
      <c r="L1886" s="972"/>
      <c r="M1886" s="972"/>
    </row>
    <row r="1887" spans="5:13">
      <c r="E1887" s="972"/>
      <c r="F1887" s="972"/>
      <c r="G1887" s="972"/>
      <c r="H1887" s="972"/>
      <c r="I1887" s="972"/>
      <c r="J1887" s="972"/>
      <c r="K1887" s="972"/>
      <c r="L1887" s="972"/>
      <c r="M1887" s="972"/>
    </row>
    <row r="1888" spans="5:13">
      <c r="E1888" s="972"/>
      <c r="F1888" s="972"/>
      <c r="G1888" s="972"/>
      <c r="H1888" s="972"/>
      <c r="I1888" s="972"/>
      <c r="J1888" s="972"/>
      <c r="K1888" s="972"/>
      <c r="L1888" s="972"/>
      <c r="M1888" s="972"/>
    </row>
    <row r="1889" spans="5:13">
      <c r="E1889" s="972"/>
      <c r="F1889" s="972"/>
      <c r="G1889" s="972"/>
      <c r="H1889" s="972"/>
      <c r="I1889" s="972"/>
      <c r="J1889" s="972"/>
      <c r="K1889" s="972"/>
      <c r="L1889" s="972"/>
      <c r="M1889" s="972"/>
    </row>
    <row r="1890" spans="5:13">
      <c r="E1890" s="972"/>
      <c r="F1890" s="972"/>
      <c r="G1890" s="972"/>
      <c r="H1890" s="972"/>
      <c r="I1890" s="972"/>
      <c r="J1890" s="972"/>
      <c r="K1890" s="972"/>
      <c r="L1890" s="972"/>
      <c r="M1890" s="972"/>
    </row>
    <row r="1891" spans="5:13">
      <c r="E1891" s="972"/>
      <c r="F1891" s="972"/>
      <c r="G1891" s="972"/>
      <c r="H1891" s="972"/>
      <c r="I1891" s="972"/>
      <c r="J1891" s="972"/>
      <c r="K1891" s="972"/>
      <c r="L1891" s="972"/>
      <c r="M1891" s="972"/>
    </row>
    <row r="1892" spans="5:13">
      <c r="E1892" s="972"/>
      <c r="F1892" s="972"/>
      <c r="G1892" s="972"/>
      <c r="H1892" s="972"/>
      <c r="I1892" s="972"/>
      <c r="J1892" s="972"/>
      <c r="K1892" s="972"/>
      <c r="L1892" s="972"/>
      <c r="M1892" s="972"/>
    </row>
    <row r="1893" spans="5:13">
      <c r="E1893" s="972"/>
      <c r="F1893" s="972"/>
      <c r="G1893" s="972"/>
      <c r="H1893" s="972"/>
      <c r="I1893" s="972"/>
      <c r="J1893" s="972"/>
      <c r="K1893" s="972"/>
      <c r="L1893" s="972"/>
      <c r="M1893" s="972"/>
    </row>
    <row r="1894" spans="5:13">
      <c r="E1894" s="972"/>
      <c r="F1894" s="972"/>
      <c r="G1894" s="972"/>
      <c r="H1894" s="972"/>
      <c r="I1894" s="972"/>
      <c r="J1894" s="972"/>
      <c r="K1894" s="972"/>
      <c r="L1894" s="972"/>
      <c r="M1894" s="972"/>
    </row>
    <row r="1895" spans="5:13">
      <c r="E1895" s="972"/>
      <c r="F1895" s="972"/>
      <c r="G1895" s="972"/>
      <c r="H1895" s="972"/>
      <c r="I1895" s="972"/>
      <c r="J1895" s="972"/>
      <c r="K1895" s="972"/>
      <c r="L1895" s="972"/>
      <c r="M1895" s="972"/>
    </row>
    <row r="1896" spans="5:13">
      <c r="E1896" s="972"/>
      <c r="F1896" s="972"/>
      <c r="G1896" s="972"/>
      <c r="H1896" s="972"/>
      <c r="I1896" s="972"/>
      <c r="J1896" s="972"/>
      <c r="K1896" s="972"/>
      <c r="L1896" s="972"/>
      <c r="M1896" s="972"/>
    </row>
    <row r="1897" spans="5:13">
      <c r="E1897" s="972"/>
      <c r="F1897" s="972"/>
      <c r="G1897" s="972"/>
      <c r="H1897" s="972"/>
      <c r="I1897" s="972"/>
      <c r="J1897" s="972"/>
      <c r="K1897" s="972"/>
      <c r="L1897" s="972"/>
      <c r="M1897" s="972"/>
    </row>
    <row r="1898" spans="5:13">
      <c r="E1898" s="972"/>
      <c r="F1898" s="972"/>
      <c r="G1898" s="972"/>
      <c r="H1898" s="972"/>
      <c r="I1898" s="972"/>
      <c r="J1898" s="972"/>
      <c r="K1898" s="972"/>
      <c r="L1898" s="972"/>
      <c r="M1898" s="972"/>
    </row>
    <row r="1899" spans="5:13">
      <c r="E1899" s="972"/>
      <c r="F1899" s="972"/>
      <c r="G1899" s="972"/>
      <c r="H1899" s="972"/>
      <c r="I1899" s="972"/>
      <c r="J1899" s="972"/>
      <c r="K1899" s="972"/>
      <c r="L1899" s="972"/>
      <c r="M1899" s="972"/>
    </row>
    <row r="1900" spans="5:13">
      <c r="E1900" s="972"/>
      <c r="F1900" s="972"/>
      <c r="G1900" s="972"/>
      <c r="H1900" s="972"/>
      <c r="I1900" s="972"/>
      <c r="J1900" s="972"/>
      <c r="K1900" s="972"/>
      <c r="L1900" s="972"/>
      <c r="M1900" s="972"/>
    </row>
    <row r="1901" spans="5:13">
      <c r="E1901" s="972"/>
      <c r="F1901" s="972"/>
      <c r="G1901" s="972"/>
      <c r="H1901" s="972"/>
      <c r="I1901" s="972"/>
      <c r="J1901" s="972"/>
      <c r="K1901" s="972"/>
      <c r="L1901" s="972"/>
      <c r="M1901" s="972"/>
    </row>
    <row r="1902" spans="5:13">
      <c r="E1902" s="972"/>
      <c r="F1902" s="972"/>
      <c r="G1902" s="972"/>
      <c r="H1902" s="972"/>
      <c r="I1902" s="972"/>
      <c r="J1902" s="972"/>
      <c r="K1902" s="972"/>
      <c r="L1902" s="972"/>
      <c r="M1902" s="972"/>
    </row>
    <row r="1903" spans="5:13">
      <c r="E1903" s="972"/>
      <c r="F1903" s="972"/>
      <c r="G1903" s="972"/>
      <c r="H1903" s="972"/>
      <c r="I1903" s="972"/>
      <c r="J1903" s="972"/>
      <c r="K1903" s="972"/>
      <c r="L1903" s="972"/>
      <c r="M1903" s="972"/>
    </row>
    <row r="1904" spans="5:13">
      <c r="E1904" s="972"/>
      <c r="F1904" s="972"/>
      <c r="G1904" s="972"/>
      <c r="H1904" s="972"/>
      <c r="I1904" s="972"/>
      <c r="J1904" s="972"/>
      <c r="K1904" s="972"/>
      <c r="L1904" s="972"/>
      <c r="M1904" s="972"/>
    </row>
    <row r="1905" spans="5:13">
      <c r="E1905" s="972"/>
      <c r="F1905" s="972"/>
      <c r="G1905" s="972"/>
      <c r="H1905" s="972"/>
      <c r="I1905" s="972"/>
      <c r="J1905" s="972"/>
      <c r="K1905" s="972"/>
      <c r="L1905" s="972"/>
      <c r="M1905" s="972"/>
    </row>
    <row r="1906" spans="5:13">
      <c r="E1906" s="972"/>
      <c r="F1906" s="972"/>
      <c r="G1906" s="972"/>
      <c r="H1906" s="972"/>
      <c r="I1906" s="972"/>
      <c r="J1906" s="972"/>
      <c r="K1906" s="972"/>
      <c r="L1906" s="972"/>
      <c r="M1906" s="972"/>
    </row>
    <row r="1907" spans="5:13">
      <c r="E1907" s="972"/>
      <c r="F1907" s="972"/>
      <c r="G1907" s="972"/>
      <c r="H1907" s="972"/>
      <c r="I1907" s="972"/>
      <c r="J1907" s="972"/>
      <c r="K1907" s="972"/>
      <c r="L1907" s="972"/>
      <c r="M1907" s="972"/>
    </row>
    <row r="1908" spans="5:13">
      <c r="E1908" s="972"/>
      <c r="F1908" s="972"/>
      <c r="G1908" s="972"/>
      <c r="H1908" s="972"/>
      <c r="I1908" s="972"/>
      <c r="J1908" s="972"/>
      <c r="K1908" s="972"/>
      <c r="L1908" s="972"/>
      <c r="M1908" s="972"/>
    </row>
    <row r="1909" spans="5:13">
      <c r="E1909" s="972"/>
      <c r="F1909" s="972"/>
      <c r="G1909" s="972"/>
      <c r="H1909" s="972"/>
      <c r="I1909" s="972"/>
      <c r="J1909" s="972"/>
      <c r="K1909" s="972"/>
      <c r="L1909" s="972"/>
      <c r="M1909" s="972"/>
    </row>
    <row r="1910" spans="5:13">
      <c r="E1910" s="972"/>
      <c r="F1910" s="972"/>
      <c r="G1910" s="972"/>
      <c r="H1910" s="972"/>
      <c r="I1910" s="972"/>
      <c r="J1910" s="972"/>
      <c r="K1910" s="972"/>
      <c r="L1910" s="972"/>
      <c r="M1910" s="972"/>
    </row>
    <row r="1911" spans="5:13">
      <c r="E1911" s="972"/>
      <c r="F1911" s="972"/>
      <c r="G1911" s="972"/>
      <c r="H1911" s="972"/>
      <c r="I1911" s="972"/>
      <c r="J1911" s="972"/>
      <c r="K1911" s="972"/>
      <c r="L1911" s="972"/>
      <c r="M1911" s="972"/>
    </row>
    <row r="1912" spans="5:13">
      <c r="E1912" s="972"/>
      <c r="F1912" s="972"/>
      <c r="G1912" s="972"/>
      <c r="H1912" s="972"/>
      <c r="I1912" s="972"/>
      <c r="J1912" s="972"/>
      <c r="K1912" s="972"/>
      <c r="L1912" s="972"/>
      <c r="M1912" s="972"/>
    </row>
    <row r="1913" spans="5:13">
      <c r="E1913" s="972"/>
      <c r="F1913" s="972"/>
      <c r="G1913" s="972"/>
      <c r="H1913" s="972"/>
      <c r="I1913" s="972"/>
      <c r="J1913" s="972"/>
      <c r="K1913" s="972"/>
      <c r="L1913" s="972"/>
      <c r="M1913" s="972"/>
    </row>
    <row r="1914" spans="5:13">
      <c r="E1914" s="972"/>
      <c r="F1914" s="972"/>
      <c r="G1914" s="972"/>
      <c r="H1914" s="972"/>
      <c r="I1914" s="972"/>
      <c r="J1914" s="972"/>
      <c r="K1914" s="972"/>
      <c r="L1914" s="972"/>
      <c r="M1914" s="972"/>
    </row>
    <row r="1915" spans="5:13">
      <c r="E1915" s="972"/>
      <c r="F1915" s="972"/>
      <c r="G1915" s="972"/>
      <c r="H1915" s="972"/>
      <c r="I1915" s="972"/>
      <c r="J1915" s="972"/>
      <c r="K1915" s="972"/>
      <c r="L1915" s="972"/>
      <c r="M1915" s="972"/>
    </row>
    <row r="1916" spans="5:13">
      <c r="E1916" s="972"/>
      <c r="F1916" s="972"/>
      <c r="G1916" s="972"/>
      <c r="H1916" s="972"/>
      <c r="I1916" s="972"/>
      <c r="J1916" s="972"/>
      <c r="K1916" s="972"/>
      <c r="L1916" s="972"/>
      <c r="M1916" s="972"/>
    </row>
    <row r="1917" spans="5:13">
      <c r="E1917" s="972"/>
      <c r="F1917" s="972"/>
      <c r="G1917" s="972"/>
      <c r="H1917" s="972"/>
      <c r="I1917" s="972"/>
      <c r="J1917" s="972"/>
      <c r="K1917" s="972"/>
      <c r="L1917" s="972"/>
      <c r="M1917" s="972"/>
    </row>
    <row r="1918" spans="5:13">
      <c r="E1918" s="972"/>
      <c r="F1918" s="972"/>
      <c r="G1918" s="972"/>
      <c r="H1918" s="972"/>
      <c r="I1918" s="972"/>
      <c r="J1918" s="972"/>
      <c r="K1918" s="972"/>
      <c r="L1918" s="972"/>
      <c r="M1918" s="972"/>
    </row>
    <row r="1919" spans="5:13">
      <c r="E1919" s="972"/>
      <c r="F1919" s="972"/>
      <c r="G1919" s="972"/>
      <c r="H1919" s="972"/>
      <c r="I1919" s="972"/>
      <c r="J1919" s="972"/>
      <c r="K1919" s="972"/>
      <c r="L1919" s="972"/>
      <c r="M1919" s="972"/>
    </row>
    <row r="1920" spans="5:13">
      <c r="E1920" s="972"/>
      <c r="F1920" s="972"/>
      <c r="G1920" s="972"/>
      <c r="H1920" s="972"/>
      <c r="I1920" s="972"/>
      <c r="J1920" s="972"/>
      <c r="K1920" s="972"/>
      <c r="L1920" s="972"/>
      <c r="M1920" s="972"/>
    </row>
    <row r="1921" spans="5:13">
      <c r="E1921" s="972"/>
      <c r="F1921" s="972"/>
      <c r="G1921" s="972"/>
      <c r="H1921" s="972"/>
      <c r="I1921" s="972"/>
      <c r="J1921" s="972"/>
      <c r="K1921" s="972"/>
      <c r="L1921" s="972"/>
      <c r="M1921" s="972"/>
    </row>
    <row r="1922" spans="5:13">
      <c r="E1922" s="972"/>
      <c r="F1922" s="972"/>
      <c r="G1922" s="972"/>
      <c r="H1922" s="972"/>
      <c r="I1922" s="972"/>
      <c r="J1922" s="972"/>
      <c r="K1922" s="972"/>
      <c r="L1922" s="972"/>
      <c r="M1922" s="972"/>
    </row>
    <row r="1923" spans="5:13">
      <c r="E1923" s="972"/>
      <c r="F1923" s="972"/>
      <c r="G1923" s="972"/>
      <c r="H1923" s="972"/>
      <c r="I1923" s="972"/>
      <c r="J1923" s="972"/>
      <c r="K1923" s="972"/>
      <c r="L1923" s="972"/>
      <c r="M1923" s="972"/>
    </row>
    <row r="1924" spans="5:13">
      <c r="E1924" s="972"/>
      <c r="F1924" s="972"/>
      <c r="G1924" s="972"/>
      <c r="H1924" s="972"/>
      <c r="I1924" s="972"/>
      <c r="J1924" s="972"/>
      <c r="K1924" s="972"/>
      <c r="L1924" s="972"/>
      <c r="M1924" s="972"/>
    </row>
    <row r="1925" spans="5:13">
      <c r="E1925" s="972"/>
      <c r="F1925" s="972"/>
      <c r="G1925" s="972"/>
      <c r="H1925" s="972"/>
      <c r="I1925" s="972"/>
      <c r="J1925" s="972"/>
      <c r="K1925" s="972"/>
      <c r="L1925" s="972"/>
      <c r="M1925" s="972"/>
    </row>
    <row r="1926" spans="5:13">
      <c r="E1926" s="972"/>
      <c r="F1926" s="972"/>
      <c r="G1926" s="972"/>
      <c r="H1926" s="972"/>
      <c r="I1926" s="972"/>
      <c r="J1926" s="972"/>
      <c r="K1926" s="972"/>
      <c r="L1926" s="972"/>
      <c r="M1926" s="972"/>
    </row>
    <row r="1927" spans="5:13">
      <c r="E1927" s="972"/>
      <c r="F1927" s="972"/>
      <c r="G1927" s="972"/>
      <c r="H1927" s="972"/>
      <c r="I1927" s="972"/>
      <c r="J1927" s="972"/>
      <c r="K1927" s="972"/>
      <c r="L1927" s="972"/>
      <c r="M1927" s="972"/>
    </row>
    <row r="1928" spans="5:13">
      <c r="E1928" s="972"/>
      <c r="F1928" s="972"/>
      <c r="G1928" s="972"/>
      <c r="H1928" s="972"/>
      <c r="I1928" s="972"/>
      <c r="J1928" s="972"/>
      <c r="K1928" s="972"/>
      <c r="L1928" s="972"/>
      <c r="M1928" s="972"/>
    </row>
    <row r="1929" spans="5:13">
      <c r="E1929" s="972"/>
      <c r="F1929" s="972"/>
      <c r="G1929" s="972"/>
      <c r="H1929" s="972"/>
      <c r="I1929" s="972"/>
      <c r="J1929" s="972"/>
      <c r="K1929" s="972"/>
      <c r="L1929" s="972"/>
      <c r="M1929" s="972"/>
    </row>
    <row r="1930" spans="5:13">
      <c r="E1930" s="972"/>
      <c r="F1930" s="972"/>
      <c r="G1930" s="972"/>
      <c r="H1930" s="972"/>
      <c r="I1930" s="972"/>
      <c r="J1930" s="972"/>
      <c r="K1930" s="972"/>
      <c r="L1930" s="972"/>
      <c r="M1930" s="972"/>
    </row>
    <row r="1931" spans="5:13">
      <c r="E1931" s="972"/>
      <c r="F1931" s="972"/>
      <c r="G1931" s="972"/>
      <c r="H1931" s="972"/>
      <c r="I1931" s="972"/>
      <c r="J1931" s="972"/>
      <c r="K1931" s="972"/>
      <c r="L1931" s="972"/>
      <c r="M1931" s="972"/>
    </row>
    <row r="1932" spans="5:13">
      <c r="E1932" s="972"/>
      <c r="F1932" s="972"/>
      <c r="G1932" s="972"/>
      <c r="H1932" s="972"/>
      <c r="I1932" s="972"/>
      <c r="J1932" s="972"/>
      <c r="K1932" s="972"/>
      <c r="L1932" s="972"/>
      <c r="M1932" s="972"/>
    </row>
    <row r="1933" spans="5:13">
      <c r="E1933" s="972"/>
      <c r="F1933" s="972"/>
      <c r="G1933" s="972"/>
      <c r="H1933" s="972"/>
      <c r="I1933" s="972"/>
      <c r="J1933" s="972"/>
      <c r="K1933" s="972"/>
      <c r="L1933" s="972"/>
      <c r="M1933" s="972"/>
    </row>
    <row r="1934" spans="5:13">
      <c r="E1934" s="972"/>
      <c r="F1934" s="972"/>
      <c r="G1934" s="972"/>
      <c r="H1934" s="972"/>
      <c r="I1934" s="972"/>
      <c r="J1934" s="972"/>
      <c r="K1934" s="972"/>
      <c r="L1934" s="972"/>
      <c r="M1934" s="972"/>
    </row>
    <row r="1935" spans="5:13">
      <c r="E1935" s="972"/>
      <c r="F1935" s="972"/>
      <c r="G1935" s="972"/>
      <c r="H1935" s="972"/>
      <c r="I1935" s="972"/>
      <c r="J1935" s="972"/>
      <c r="K1935" s="972"/>
      <c r="L1935" s="972"/>
      <c r="M1935" s="972"/>
    </row>
    <row r="1936" spans="5:13">
      <c r="E1936" s="972"/>
      <c r="F1936" s="972"/>
      <c r="G1936" s="972"/>
      <c r="H1936" s="972"/>
      <c r="I1936" s="972"/>
      <c r="J1936" s="972"/>
      <c r="K1936" s="972"/>
      <c r="L1936" s="972"/>
      <c r="M1936" s="972"/>
    </row>
    <row r="1937" spans="5:13">
      <c r="E1937" s="972"/>
      <c r="F1937" s="972"/>
      <c r="G1937" s="972"/>
      <c r="H1937" s="972"/>
      <c r="I1937" s="972"/>
      <c r="J1937" s="972"/>
      <c r="K1937" s="972"/>
      <c r="L1937" s="972"/>
      <c r="M1937" s="972"/>
    </row>
    <row r="1938" spans="5:13">
      <c r="E1938" s="972"/>
      <c r="F1938" s="972"/>
      <c r="G1938" s="972"/>
      <c r="H1938" s="972"/>
      <c r="I1938" s="972"/>
      <c r="J1938" s="972"/>
      <c r="K1938" s="972"/>
      <c r="L1938" s="972"/>
      <c r="M1938" s="972"/>
    </row>
    <row r="1939" spans="5:13">
      <c r="E1939" s="972"/>
      <c r="F1939" s="972"/>
      <c r="G1939" s="972"/>
      <c r="H1939" s="972"/>
      <c r="I1939" s="972"/>
      <c r="J1939" s="972"/>
      <c r="K1939" s="972"/>
      <c r="L1939" s="972"/>
      <c r="M1939" s="972"/>
    </row>
    <row r="1940" spans="5:13">
      <c r="E1940" s="972"/>
      <c r="F1940" s="972"/>
      <c r="G1940" s="972"/>
      <c r="H1940" s="972"/>
      <c r="I1940" s="972"/>
      <c r="J1940" s="972"/>
      <c r="K1940" s="972"/>
      <c r="L1940" s="972"/>
      <c r="M1940" s="972"/>
    </row>
    <row r="1941" spans="5:13">
      <c r="E1941" s="972"/>
      <c r="F1941" s="972"/>
      <c r="G1941" s="972"/>
      <c r="H1941" s="972"/>
      <c r="I1941" s="972"/>
      <c r="J1941" s="972"/>
      <c r="K1941" s="972"/>
      <c r="L1941" s="972"/>
      <c r="M1941" s="972"/>
    </row>
    <row r="1942" spans="5:13">
      <c r="E1942" s="972"/>
      <c r="F1942" s="972"/>
      <c r="G1942" s="972"/>
      <c r="H1942" s="972"/>
      <c r="I1942" s="972"/>
      <c r="J1942" s="972"/>
      <c r="K1942" s="972"/>
      <c r="L1942" s="972"/>
      <c r="M1942" s="972"/>
    </row>
    <row r="1943" spans="5:13">
      <c r="E1943" s="972"/>
      <c r="F1943" s="972"/>
      <c r="G1943" s="972"/>
      <c r="H1943" s="972"/>
      <c r="I1943" s="972"/>
      <c r="J1943" s="972"/>
      <c r="K1943" s="972"/>
      <c r="L1943" s="972"/>
      <c r="M1943" s="972"/>
    </row>
    <row r="1944" spans="5:13">
      <c r="E1944" s="972"/>
      <c r="F1944" s="972"/>
      <c r="G1944" s="972"/>
      <c r="H1944" s="972"/>
      <c r="I1944" s="972"/>
      <c r="J1944" s="972"/>
      <c r="K1944" s="972"/>
      <c r="L1944" s="972"/>
      <c r="M1944" s="972"/>
    </row>
    <row r="1945" spans="5:13">
      <c r="E1945" s="972"/>
      <c r="F1945" s="972"/>
      <c r="G1945" s="972"/>
      <c r="H1945" s="972"/>
      <c r="I1945" s="972"/>
      <c r="J1945" s="972"/>
      <c r="K1945" s="972"/>
      <c r="L1945" s="972"/>
      <c r="M1945" s="972"/>
    </row>
    <row r="1946" spans="5:13">
      <c r="E1946" s="972"/>
      <c r="F1946" s="972"/>
      <c r="G1946" s="972"/>
      <c r="H1946" s="972"/>
      <c r="I1946" s="972"/>
      <c r="J1946" s="972"/>
      <c r="K1946" s="972"/>
      <c r="L1946" s="972"/>
      <c r="M1946" s="972"/>
    </row>
    <row r="1947" spans="5:13">
      <c r="E1947" s="972"/>
      <c r="F1947" s="972"/>
      <c r="G1947" s="972"/>
      <c r="H1947" s="972"/>
      <c r="I1947" s="972"/>
      <c r="J1947" s="972"/>
      <c r="K1947" s="972"/>
      <c r="L1947" s="972"/>
      <c r="M1947" s="972"/>
    </row>
    <row r="1948" spans="5:13">
      <c r="E1948" s="972"/>
      <c r="F1948" s="972"/>
      <c r="G1948" s="972"/>
      <c r="H1948" s="972"/>
      <c r="I1948" s="972"/>
      <c r="J1948" s="972"/>
      <c r="K1948" s="972"/>
      <c r="L1948" s="972"/>
      <c r="M1948" s="972"/>
    </row>
    <row r="1949" spans="5:13">
      <c r="E1949" s="972"/>
      <c r="F1949" s="972"/>
      <c r="G1949" s="972"/>
      <c r="H1949" s="972"/>
      <c r="I1949" s="972"/>
      <c r="J1949" s="972"/>
      <c r="K1949" s="972"/>
      <c r="L1949" s="972"/>
      <c r="M1949" s="972"/>
    </row>
    <row r="1950" spans="5:13">
      <c r="E1950" s="972"/>
      <c r="F1950" s="972"/>
      <c r="G1950" s="972"/>
      <c r="H1950" s="972"/>
      <c r="I1950" s="972"/>
      <c r="J1950" s="972"/>
      <c r="K1950" s="972"/>
      <c r="L1950" s="972"/>
      <c r="M1950" s="972"/>
    </row>
    <row r="1951" spans="5:13">
      <c r="E1951" s="972"/>
      <c r="F1951" s="972"/>
      <c r="G1951" s="972"/>
      <c r="H1951" s="972"/>
      <c r="I1951" s="972"/>
      <c r="J1951" s="972"/>
      <c r="K1951" s="972"/>
      <c r="L1951" s="972"/>
      <c r="M1951" s="972"/>
    </row>
    <row r="1952" spans="5:13">
      <c r="E1952" s="972"/>
      <c r="F1952" s="972"/>
      <c r="G1952" s="972"/>
      <c r="H1952" s="972"/>
      <c r="I1952" s="972"/>
      <c r="J1952" s="972"/>
      <c r="K1952" s="972"/>
      <c r="L1952" s="972"/>
      <c r="M1952" s="972"/>
    </row>
    <row r="1953" spans="5:13">
      <c r="E1953" s="972"/>
      <c r="F1953" s="972"/>
      <c r="G1953" s="972"/>
      <c r="H1953" s="972"/>
      <c r="I1953" s="972"/>
      <c r="J1953" s="972"/>
      <c r="K1953" s="972"/>
      <c r="L1953" s="972"/>
      <c r="M1953" s="972"/>
    </row>
    <row r="1954" spans="5:13">
      <c r="E1954" s="972"/>
      <c r="F1954" s="972"/>
      <c r="G1954" s="972"/>
      <c r="H1954" s="972"/>
      <c r="I1954" s="972"/>
      <c r="J1954" s="972"/>
      <c r="K1954" s="972"/>
      <c r="L1954" s="972"/>
      <c r="M1954" s="972"/>
    </row>
    <row r="1955" spans="5:13">
      <c r="E1955" s="972"/>
      <c r="F1955" s="972"/>
      <c r="G1955" s="972"/>
      <c r="H1955" s="972"/>
      <c r="I1955" s="972"/>
      <c r="J1955" s="972"/>
      <c r="K1955" s="972"/>
      <c r="L1955" s="972"/>
      <c r="M1955" s="972"/>
    </row>
    <row r="1956" spans="5:13">
      <c r="E1956" s="972"/>
      <c r="F1956" s="972"/>
      <c r="G1956" s="972"/>
      <c r="H1956" s="972"/>
      <c r="I1956" s="972"/>
      <c r="J1956" s="972"/>
      <c r="K1956" s="972"/>
      <c r="L1956" s="972"/>
      <c r="M1956" s="972"/>
    </row>
    <row r="1957" spans="5:13">
      <c r="E1957" s="972"/>
      <c r="F1957" s="972"/>
      <c r="G1957" s="972"/>
      <c r="H1957" s="972"/>
      <c r="I1957" s="972"/>
      <c r="J1957" s="972"/>
      <c r="K1957" s="972"/>
      <c r="L1957" s="972"/>
      <c r="M1957" s="972"/>
    </row>
    <row r="1958" spans="5:13">
      <c r="E1958" s="972"/>
      <c r="F1958" s="972"/>
      <c r="G1958" s="972"/>
      <c r="H1958" s="972"/>
      <c r="I1958" s="972"/>
      <c r="J1958" s="972"/>
      <c r="K1958" s="972"/>
      <c r="L1958" s="972"/>
      <c r="M1958" s="972"/>
    </row>
    <row r="1959" spans="5:13">
      <c r="E1959" s="972"/>
      <c r="F1959" s="972"/>
      <c r="G1959" s="972"/>
      <c r="H1959" s="972"/>
      <c r="I1959" s="972"/>
      <c r="J1959" s="972"/>
      <c r="K1959" s="972"/>
      <c r="L1959" s="972"/>
      <c r="M1959" s="972"/>
    </row>
    <row r="1960" spans="5:13">
      <c r="E1960" s="972"/>
      <c r="F1960" s="972"/>
      <c r="G1960" s="972"/>
      <c r="H1960" s="972"/>
      <c r="I1960" s="972"/>
      <c r="J1960" s="972"/>
      <c r="K1960" s="972"/>
      <c r="L1960" s="972"/>
      <c r="M1960" s="972"/>
    </row>
    <row r="1961" spans="5:13">
      <c r="E1961" s="972"/>
      <c r="F1961" s="972"/>
      <c r="G1961" s="972"/>
      <c r="H1961" s="972"/>
      <c r="I1961" s="972"/>
      <c r="J1961" s="972"/>
      <c r="K1961" s="972"/>
      <c r="L1961" s="972"/>
      <c r="M1961" s="972"/>
    </row>
    <row r="1962" spans="5:13">
      <c r="E1962" s="972"/>
      <c r="F1962" s="972"/>
      <c r="G1962" s="972"/>
      <c r="H1962" s="972"/>
      <c r="I1962" s="972"/>
      <c r="J1962" s="972"/>
      <c r="K1962" s="972"/>
      <c r="L1962" s="972"/>
      <c r="M1962" s="972"/>
    </row>
    <row r="1963" spans="5:13">
      <c r="E1963" s="972"/>
      <c r="F1963" s="972"/>
      <c r="G1963" s="972"/>
      <c r="H1963" s="972"/>
      <c r="I1963" s="972"/>
      <c r="J1963" s="972"/>
      <c r="K1963" s="972"/>
      <c r="L1963" s="972"/>
      <c r="M1963" s="972"/>
    </row>
    <row r="1964" spans="5:13">
      <c r="E1964" s="972"/>
      <c r="F1964" s="972"/>
      <c r="G1964" s="972"/>
      <c r="H1964" s="972"/>
      <c r="I1964" s="972"/>
      <c r="J1964" s="972"/>
      <c r="K1964" s="972"/>
      <c r="L1964" s="972"/>
      <c r="M1964" s="972"/>
    </row>
    <row r="1965" spans="5:13">
      <c r="E1965" s="972"/>
      <c r="F1965" s="972"/>
      <c r="G1965" s="972"/>
      <c r="H1965" s="972"/>
      <c r="I1965" s="972"/>
      <c r="J1965" s="972"/>
      <c r="K1965" s="972"/>
      <c r="L1965" s="972"/>
      <c r="M1965" s="972"/>
    </row>
    <row r="1966" spans="5:13">
      <c r="E1966" s="972"/>
      <c r="F1966" s="972"/>
      <c r="G1966" s="972"/>
      <c r="H1966" s="972"/>
      <c r="I1966" s="972"/>
      <c r="J1966" s="972"/>
      <c r="K1966" s="972"/>
      <c r="L1966" s="972"/>
      <c r="M1966" s="972"/>
    </row>
    <row r="1967" spans="5:13">
      <c r="E1967" s="972"/>
      <c r="F1967" s="972"/>
      <c r="G1967" s="972"/>
      <c r="H1967" s="972"/>
      <c r="I1967" s="972"/>
      <c r="J1967" s="972"/>
      <c r="K1967" s="972"/>
      <c r="L1967" s="972"/>
      <c r="M1967" s="972"/>
    </row>
    <row r="1968" spans="5:13">
      <c r="E1968" s="972"/>
      <c r="F1968" s="972"/>
      <c r="G1968" s="972"/>
      <c r="H1968" s="972"/>
      <c r="I1968" s="972"/>
      <c r="J1968" s="972"/>
      <c r="K1968" s="972"/>
      <c r="L1968" s="972"/>
      <c r="M1968" s="972"/>
    </row>
    <row r="1969" spans="5:13">
      <c r="E1969" s="972"/>
      <c r="F1969" s="972"/>
      <c r="G1969" s="972"/>
      <c r="H1969" s="972"/>
      <c r="I1969" s="972"/>
      <c r="J1969" s="972"/>
      <c r="K1969" s="972"/>
      <c r="L1969" s="972"/>
      <c r="M1969" s="972"/>
    </row>
    <row r="1970" spans="5:13">
      <c r="E1970" s="972"/>
      <c r="F1970" s="972"/>
      <c r="G1970" s="972"/>
      <c r="H1970" s="972"/>
      <c r="I1970" s="972"/>
      <c r="J1970" s="972"/>
      <c r="K1970" s="972"/>
      <c r="L1970" s="972"/>
      <c r="M1970" s="972"/>
    </row>
    <row r="1971" spans="5:13">
      <c r="E1971" s="972"/>
      <c r="F1971" s="972"/>
      <c r="G1971" s="972"/>
      <c r="H1971" s="972"/>
      <c r="I1971" s="972"/>
      <c r="J1971" s="972"/>
      <c r="K1971" s="972"/>
      <c r="L1971" s="972"/>
      <c r="M1971" s="972"/>
    </row>
    <row r="1972" spans="5:13">
      <c r="E1972" s="972"/>
      <c r="F1972" s="972"/>
      <c r="G1972" s="972"/>
      <c r="H1972" s="972"/>
      <c r="I1972" s="972"/>
      <c r="J1972" s="972"/>
      <c r="K1972" s="972"/>
      <c r="L1972" s="972"/>
      <c r="M1972" s="972"/>
    </row>
    <row r="1973" spans="5:13">
      <c r="E1973" s="972"/>
      <c r="F1973" s="972"/>
      <c r="G1973" s="972"/>
      <c r="H1973" s="972"/>
      <c r="I1973" s="972"/>
      <c r="J1973" s="972"/>
      <c r="K1973" s="972"/>
      <c r="L1973" s="972"/>
      <c r="M1973" s="972"/>
    </row>
    <row r="1974" spans="5:13">
      <c r="E1974" s="972"/>
      <c r="F1974" s="972"/>
      <c r="G1974" s="972"/>
      <c r="H1974" s="972"/>
      <c r="I1974" s="972"/>
      <c r="J1974" s="972"/>
      <c r="K1974" s="972"/>
      <c r="L1974" s="972"/>
      <c r="M1974" s="972"/>
    </row>
    <row r="1975" spans="5:13">
      <c r="E1975" s="972"/>
      <c r="F1975" s="972"/>
      <c r="G1975" s="972"/>
      <c r="H1975" s="972"/>
      <c r="I1975" s="972"/>
      <c r="J1975" s="972"/>
      <c r="K1975" s="972"/>
      <c r="L1975" s="972"/>
      <c r="M1975" s="972"/>
    </row>
    <row r="1976" spans="5:13">
      <c r="E1976" s="972"/>
      <c r="F1976" s="972"/>
      <c r="G1976" s="972"/>
      <c r="H1976" s="972"/>
      <c r="I1976" s="972"/>
      <c r="J1976" s="972"/>
      <c r="K1976" s="972"/>
      <c r="L1976" s="972"/>
      <c r="M1976" s="972"/>
    </row>
    <row r="1977" spans="5:13">
      <c r="E1977" s="972"/>
      <c r="F1977" s="972"/>
      <c r="G1977" s="972"/>
      <c r="H1977" s="972"/>
      <c r="I1977" s="972"/>
      <c r="J1977" s="972"/>
      <c r="K1977" s="972"/>
      <c r="L1977" s="972"/>
      <c r="M1977" s="972"/>
    </row>
    <row r="1978" spans="5:13">
      <c r="E1978" s="972"/>
      <c r="F1978" s="972"/>
      <c r="G1978" s="972"/>
      <c r="H1978" s="972"/>
      <c r="I1978" s="972"/>
      <c r="J1978" s="972"/>
      <c r="K1978" s="972"/>
      <c r="L1978" s="972"/>
      <c r="M1978" s="972"/>
    </row>
    <row r="1979" spans="5:13">
      <c r="E1979" s="972"/>
      <c r="F1979" s="972"/>
      <c r="G1979" s="972"/>
      <c r="H1979" s="972"/>
      <c r="I1979" s="972"/>
      <c r="J1979" s="972"/>
      <c r="K1979" s="972"/>
      <c r="L1979" s="972"/>
      <c r="M1979" s="972"/>
    </row>
    <row r="1980" spans="5:13">
      <c r="E1980" s="972"/>
      <c r="F1980" s="972"/>
      <c r="G1980" s="972"/>
      <c r="H1980" s="972"/>
      <c r="I1980" s="972"/>
      <c r="J1980" s="972"/>
      <c r="K1980" s="972"/>
      <c r="L1980" s="972"/>
      <c r="M1980" s="972"/>
    </row>
    <row r="1981" spans="5:13">
      <c r="E1981" s="972"/>
      <c r="F1981" s="972"/>
      <c r="G1981" s="972"/>
      <c r="H1981" s="972"/>
      <c r="I1981" s="972"/>
      <c r="J1981" s="972"/>
      <c r="K1981" s="972"/>
      <c r="L1981" s="972"/>
      <c r="M1981" s="972"/>
    </row>
    <row r="1982" spans="5:13">
      <c r="E1982" s="972"/>
      <c r="F1982" s="972"/>
      <c r="G1982" s="972"/>
      <c r="H1982" s="972"/>
      <c r="I1982" s="972"/>
      <c r="J1982" s="972"/>
      <c r="K1982" s="972"/>
      <c r="L1982" s="972"/>
      <c r="M1982" s="972"/>
    </row>
    <row r="1983" spans="5:13">
      <c r="E1983" s="972"/>
      <c r="F1983" s="972"/>
      <c r="G1983" s="972"/>
      <c r="H1983" s="972"/>
      <c r="I1983" s="972"/>
      <c r="J1983" s="972"/>
      <c r="K1983" s="972"/>
      <c r="L1983" s="972"/>
      <c r="M1983" s="972"/>
    </row>
    <row r="1984" spans="5:13">
      <c r="E1984" s="972"/>
      <c r="F1984" s="972"/>
      <c r="G1984" s="972"/>
      <c r="H1984" s="972"/>
      <c r="I1984" s="972"/>
      <c r="J1984" s="972"/>
      <c r="K1984" s="972"/>
      <c r="L1984" s="972"/>
      <c r="M1984" s="972"/>
    </row>
    <row r="1985" spans="5:13">
      <c r="E1985" s="972"/>
      <c r="F1985" s="972"/>
      <c r="G1985" s="972"/>
      <c r="H1985" s="972"/>
      <c r="I1985" s="972"/>
      <c r="J1985" s="972"/>
      <c r="K1985" s="972"/>
      <c r="L1985" s="972"/>
      <c r="M1985" s="972"/>
    </row>
    <row r="1986" spans="5:13">
      <c r="E1986" s="972"/>
      <c r="F1986" s="972"/>
      <c r="G1986" s="972"/>
      <c r="H1986" s="972"/>
      <c r="I1986" s="972"/>
      <c r="J1986" s="972"/>
      <c r="K1986" s="972"/>
      <c r="L1986" s="972"/>
      <c r="M1986" s="972"/>
    </row>
    <row r="1987" spans="5:13">
      <c r="E1987" s="972"/>
      <c r="F1987" s="972"/>
      <c r="G1987" s="972"/>
      <c r="H1987" s="972"/>
      <c r="I1987" s="972"/>
      <c r="J1987" s="972"/>
      <c r="K1987" s="972"/>
      <c r="L1987" s="972"/>
      <c r="M1987" s="972"/>
    </row>
    <row r="1988" spans="5:13">
      <c r="E1988" s="972"/>
      <c r="F1988" s="972"/>
      <c r="G1988" s="972"/>
      <c r="H1988" s="972"/>
      <c r="I1988" s="972"/>
      <c r="J1988" s="972"/>
      <c r="K1988" s="972"/>
      <c r="L1988" s="972"/>
      <c r="M1988" s="972"/>
    </row>
    <row r="1989" spans="5:13">
      <c r="E1989" s="972"/>
      <c r="F1989" s="972"/>
      <c r="G1989" s="972"/>
      <c r="H1989" s="972"/>
      <c r="I1989" s="972"/>
      <c r="J1989" s="972"/>
      <c r="K1989" s="972"/>
      <c r="L1989" s="972"/>
      <c r="M1989" s="972"/>
    </row>
    <row r="1990" spans="5:13">
      <c r="E1990" s="972"/>
      <c r="F1990" s="972"/>
      <c r="G1990" s="972"/>
      <c r="H1990" s="972"/>
      <c r="I1990" s="972"/>
      <c r="J1990" s="972"/>
      <c r="K1990" s="972"/>
      <c r="L1990" s="972"/>
      <c r="M1990" s="972"/>
    </row>
    <row r="1991" spans="5:13">
      <c r="E1991" s="972"/>
      <c r="F1991" s="972"/>
      <c r="G1991" s="972"/>
      <c r="H1991" s="972"/>
      <c r="I1991" s="972"/>
      <c r="J1991" s="972"/>
      <c r="K1991" s="972"/>
      <c r="L1991" s="972"/>
      <c r="M1991" s="972"/>
    </row>
    <row r="1992" spans="5:13">
      <c r="E1992" s="972"/>
      <c r="F1992" s="972"/>
      <c r="G1992" s="972"/>
      <c r="H1992" s="972"/>
      <c r="I1992" s="972"/>
      <c r="J1992" s="972"/>
      <c r="K1992" s="972"/>
      <c r="L1992" s="972"/>
      <c r="M1992" s="972"/>
    </row>
    <row r="1993" spans="5:13">
      <c r="E1993" s="972"/>
      <c r="F1993" s="972"/>
      <c r="G1993" s="972"/>
      <c r="H1993" s="972"/>
      <c r="I1993" s="972"/>
      <c r="J1993" s="972"/>
      <c r="K1993" s="972"/>
      <c r="L1993" s="972"/>
      <c r="M1993" s="972"/>
    </row>
    <row r="1994" spans="5:13">
      <c r="E1994" s="972"/>
      <c r="F1994" s="972"/>
      <c r="G1994" s="972"/>
      <c r="H1994" s="972"/>
      <c r="I1994" s="972"/>
      <c r="J1994" s="972"/>
      <c r="K1994" s="972"/>
      <c r="L1994" s="972"/>
      <c r="M1994" s="972"/>
    </row>
    <row r="1995" spans="5:13">
      <c r="E1995" s="972"/>
      <c r="F1995" s="972"/>
      <c r="G1995" s="972"/>
      <c r="H1995" s="972"/>
      <c r="I1995" s="972"/>
      <c r="J1995" s="972"/>
      <c r="K1995" s="972"/>
      <c r="L1995" s="972"/>
      <c r="M1995" s="972"/>
    </row>
    <row r="1996" spans="5:13">
      <c r="E1996" s="972"/>
      <c r="F1996" s="972"/>
      <c r="G1996" s="972"/>
      <c r="H1996" s="972"/>
      <c r="I1996" s="972"/>
      <c r="J1996" s="972"/>
      <c r="K1996" s="972"/>
      <c r="L1996" s="972"/>
      <c r="M1996" s="972"/>
    </row>
    <row r="1997" spans="5:13">
      <c r="E1997" s="972"/>
      <c r="F1997" s="972"/>
      <c r="G1997" s="972"/>
      <c r="H1997" s="972"/>
      <c r="I1997" s="972"/>
      <c r="J1997" s="972"/>
      <c r="K1997" s="972"/>
      <c r="L1997" s="972"/>
      <c r="M1997" s="972"/>
    </row>
    <row r="1998" spans="5:13">
      <c r="E1998" s="972"/>
      <c r="F1998" s="972"/>
      <c r="G1998" s="972"/>
      <c r="H1998" s="972"/>
      <c r="I1998" s="972"/>
      <c r="J1998" s="972"/>
      <c r="K1998" s="972"/>
      <c r="L1998" s="972"/>
      <c r="M1998" s="972"/>
    </row>
    <row r="1999" spans="5:13">
      <c r="E1999" s="972"/>
      <c r="F1999" s="972"/>
      <c r="G1999" s="972"/>
      <c r="H1999" s="972"/>
      <c r="I1999" s="972"/>
      <c r="J1999" s="972"/>
      <c r="K1999" s="972"/>
      <c r="L1999" s="972"/>
      <c r="M1999" s="972"/>
    </row>
    <row r="2000" spans="5:13">
      <c r="E2000" s="972"/>
      <c r="F2000" s="972"/>
      <c r="G2000" s="972"/>
      <c r="H2000" s="972"/>
      <c r="I2000" s="972"/>
      <c r="J2000" s="972"/>
      <c r="K2000" s="972"/>
      <c r="L2000" s="972"/>
      <c r="M2000" s="972"/>
    </row>
    <row r="2001" spans="5:13">
      <c r="E2001" s="972"/>
      <c r="F2001" s="972"/>
      <c r="G2001" s="972"/>
      <c r="H2001" s="972"/>
      <c r="I2001" s="972"/>
      <c r="J2001" s="972"/>
      <c r="K2001" s="972"/>
      <c r="L2001" s="972"/>
      <c r="M2001" s="972"/>
    </row>
    <row r="2002" spans="5:13">
      <c r="E2002" s="972"/>
      <c r="F2002" s="972"/>
      <c r="G2002" s="972"/>
      <c r="H2002" s="972"/>
      <c r="I2002" s="972"/>
      <c r="J2002" s="972"/>
      <c r="K2002" s="972"/>
      <c r="L2002" s="972"/>
      <c r="M2002" s="972"/>
    </row>
    <row r="2003" spans="5:13">
      <c r="E2003" s="972"/>
      <c r="F2003" s="972"/>
      <c r="G2003" s="972"/>
      <c r="H2003" s="972"/>
      <c r="I2003" s="972"/>
      <c r="J2003" s="972"/>
      <c r="K2003" s="972"/>
      <c r="L2003" s="972"/>
      <c r="M2003" s="972"/>
    </row>
    <row r="2004" spans="5:13">
      <c r="E2004" s="972"/>
      <c r="F2004" s="972"/>
      <c r="G2004" s="972"/>
      <c r="H2004" s="972"/>
      <c r="I2004" s="972"/>
      <c r="J2004" s="972"/>
      <c r="K2004" s="972"/>
      <c r="L2004" s="972"/>
      <c r="M2004" s="972"/>
    </row>
    <row r="2005" spans="5:13">
      <c r="E2005" s="972"/>
      <c r="F2005" s="972"/>
      <c r="G2005" s="972"/>
      <c r="H2005" s="972"/>
      <c r="I2005" s="972"/>
      <c r="J2005" s="972"/>
      <c r="K2005" s="972"/>
      <c r="L2005" s="972"/>
      <c r="M2005" s="972"/>
    </row>
    <row r="2006" spans="5:13">
      <c r="E2006" s="972"/>
      <c r="F2006" s="972"/>
      <c r="G2006" s="972"/>
      <c r="H2006" s="972"/>
      <c r="I2006" s="972"/>
      <c r="J2006" s="972"/>
      <c r="K2006" s="972"/>
      <c r="L2006" s="972"/>
      <c r="M2006" s="972"/>
    </row>
    <row r="2007" spans="5:13">
      <c r="E2007" s="972"/>
      <c r="F2007" s="972"/>
      <c r="G2007" s="972"/>
      <c r="H2007" s="972"/>
      <c r="I2007" s="972"/>
      <c r="J2007" s="972"/>
      <c r="K2007" s="972"/>
      <c r="L2007" s="972"/>
      <c r="M2007" s="972"/>
    </row>
    <row r="2008" spans="5:13">
      <c r="E2008" s="972"/>
      <c r="F2008" s="972"/>
      <c r="G2008" s="972"/>
      <c r="H2008" s="972"/>
      <c r="I2008" s="972"/>
      <c r="J2008" s="972"/>
      <c r="K2008" s="972"/>
      <c r="L2008" s="972"/>
      <c r="M2008" s="972"/>
    </row>
    <row r="2009" spans="5:13">
      <c r="E2009" s="972"/>
      <c r="F2009" s="972"/>
      <c r="G2009" s="972"/>
      <c r="H2009" s="972"/>
      <c r="I2009" s="972"/>
      <c r="J2009" s="972"/>
      <c r="K2009" s="972"/>
      <c r="L2009" s="972"/>
      <c r="M2009" s="972"/>
    </row>
    <row r="2010" spans="5:13">
      <c r="E2010" s="972"/>
      <c r="F2010" s="972"/>
      <c r="G2010" s="972"/>
      <c r="H2010" s="972"/>
      <c r="I2010" s="972"/>
      <c r="J2010" s="972"/>
      <c r="K2010" s="972"/>
      <c r="L2010" s="972"/>
      <c r="M2010" s="972"/>
    </row>
    <row r="2011" spans="5:13">
      <c r="E2011" s="972"/>
      <c r="F2011" s="972"/>
      <c r="G2011" s="972"/>
      <c r="H2011" s="972"/>
      <c r="I2011" s="972"/>
      <c r="J2011" s="972"/>
      <c r="K2011" s="972"/>
      <c r="L2011" s="972"/>
      <c r="M2011" s="972"/>
    </row>
    <row r="2012" spans="5:13">
      <c r="E2012" s="972"/>
      <c r="F2012" s="972"/>
      <c r="G2012" s="972"/>
      <c r="H2012" s="972"/>
      <c r="I2012" s="972"/>
      <c r="J2012" s="972"/>
      <c r="K2012" s="972"/>
      <c r="L2012" s="972"/>
      <c r="M2012" s="972"/>
    </row>
    <row r="2013" spans="5:13">
      <c r="E2013" s="972"/>
      <c r="F2013" s="972"/>
      <c r="G2013" s="972"/>
      <c r="H2013" s="972"/>
      <c r="I2013" s="972"/>
      <c r="J2013" s="972"/>
      <c r="K2013" s="972"/>
      <c r="L2013" s="972"/>
      <c r="M2013" s="972"/>
    </row>
    <row r="2014" spans="5:13">
      <c r="E2014" s="972"/>
      <c r="F2014" s="972"/>
      <c r="G2014" s="972"/>
      <c r="H2014" s="972"/>
      <c r="I2014" s="972"/>
      <c r="J2014" s="972"/>
      <c r="K2014" s="972"/>
      <c r="L2014" s="972"/>
      <c r="M2014" s="972"/>
    </row>
    <row r="2015" spans="5:13">
      <c r="E2015" s="972"/>
      <c r="F2015" s="972"/>
      <c r="G2015" s="972"/>
      <c r="H2015" s="972"/>
      <c r="I2015" s="972"/>
      <c r="J2015" s="972"/>
      <c r="K2015" s="972"/>
      <c r="L2015" s="972"/>
      <c r="M2015" s="972"/>
    </row>
    <row r="2016" spans="5:13">
      <c r="E2016" s="972"/>
      <c r="F2016" s="972"/>
      <c r="G2016" s="972"/>
      <c r="H2016" s="972"/>
      <c r="I2016" s="972"/>
      <c r="J2016" s="972"/>
      <c r="K2016" s="972"/>
      <c r="L2016" s="972"/>
      <c r="M2016" s="972"/>
    </row>
    <row r="2017" spans="5:13">
      <c r="E2017" s="972"/>
      <c r="F2017" s="972"/>
      <c r="G2017" s="972"/>
      <c r="H2017" s="972"/>
      <c r="I2017" s="972"/>
      <c r="J2017" s="972"/>
      <c r="K2017" s="972"/>
      <c r="L2017" s="972"/>
      <c r="M2017" s="972"/>
    </row>
    <row r="2018" spans="5:13">
      <c r="E2018" s="972"/>
      <c r="F2018" s="972"/>
      <c r="G2018" s="972"/>
      <c r="H2018" s="972"/>
      <c r="I2018" s="972"/>
      <c r="J2018" s="972"/>
      <c r="K2018" s="972"/>
      <c r="L2018" s="972"/>
      <c r="M2018" s="972"/>
    </row>
    <row r="2019" spans="5:13">
      <c r="E2019" s="972"/>
      <c r="F2019" s="972"/>
      <c r="G2019" s="972"/>
      <c r="H2019" s="972"/>
      <c r="I2019" s="972"/>
      <c r="J2019" s="972"/>
      <c r="K2019" s="972"/>
      <c r="L2019" s="972"/>
      <c r="M2019" s="972"/>
    </row>
    <row r="2020" spans="5:13">
      <c r="E2020" s="972"/>
      <c r="F2020" s="972"/>
      <c r="G2020" s="972"/>
      <c r="H2020" s="972"/>
      <c r="I2020" s="972"/>
      <c r="J2020" s="972"/>
      <c r="K2020" s="972"/>
      <c r="L2020" s="972"/>
      <c r="M2020" s="972"/>
    </row>
    <row r="2021" spans="5:13">
      <c r="E2021" s="972"/>
      <c r="F2021" s="972"/>
      <c r="G2021" s="972"/>
      <c r="H2021" s="972"/>
      <c r="I2021" s="972"/>
      <c r="J2021" s="972"/>
      <c r="K2021" s="972"/>
      <c r="L2021" s="972"/>
      <c r="M2021" s="972"/>
    </row>
    <row r="2022" spans="5:13">
      <c r="E2022" s="972"/>
      <c r="F2022" s="972"/>
      <c r="G2022" s="972"/>
      <c r="H2022" s="972"/>
      <c r="I2022" s="972"/>
      <c r="J2022" s="972"/>
      <c r="K2022" s="972"/>
      <c r="L2022" s="972"/>
      <c r="M2022" s="972"/>
    </row>
    <row r="2023" spans="5:13">
      <c r="E2023" s="972"/>
      <c r="F2023" s="972"/>
      <c r="G2023" s="972"/>
      <c r="H2023" s="972"/>
      <c r="I2023" s="972"/>
      <c r="J2023" s="972"/>
      <c r="K2023" s="972"/>
      <c r="L2023" s="972"/>
      <c r="M2023" s="972"/>
    </row>
    <row r="2024" spans="5:13">
      <c r="E2024" s="972"/>
      <c r="F2024" s="972"/>
      <c r="G2024" s="972"/>
      <c r="H2024" s="972"/>
      <c r="I2024" s="972"/>
      <c r="J2024" s="972"/>
      <c r="K2024" s="972"/>
      <c r="L2024" s="972"/>
      <c r="M2024" s="972"/>
    </row>
    <row r="2025" spans="5:13">
      <c r="E2025" s="972"/>
      <c r="F2025" s="972"/>
      <c r="G2025" s="972"/>
      <c r="H2025" s="972"/>
      <c r="I2025" s="972"/>
      <c r="J2025" s="972"/>
      <c r="K2025" s="972"/>
      <c r="L2025" s="972"/>
      <c r="M2025" s="972"/>
    </row>
    <row r="2026" spans="5:13">
      <c r="E2026" s="972"/>
      <c r="F2026" s="972"/>
      <c r="G2026" s="972"/>
      <c r="H2026" s="972"/>
      <c r="I2026" s="972"/>
      <c r="J2026" s="972"/>
      <c r="K2026" s="972"/>
      <c r="L2026" s="972"/>
      <c r="M2026" s="972"/>
    </row>
    <row r="2027" spans="5:13">
      <c r="E2027" s="972"/>
      <c r="F2027" s="972"/>
      <c r="G2027" s="972"/>
      <c r="H2027" s="972"/>
      <c r="I2027" s="972"/>
      <c r="J2027" s="972"/>
      <c r="K2027" s="972"/>
      <c r="L2027" s="972"/>
      <c r="M2027" s="972"/>
    </row>
    <row r="2028" spans="5:13">
      <c r="E2028" s="972"/>
      <c r="F2028" s="972"/>
      <c r="G2028" s="972"/>
      <c r="H2028" s="972"/>
      <c r="I2028" s="972"/>
      <c r="J2028" s="972"/>
      <c r="K2028" s="972"/>
      <c r="L2028" s="972"/>
      <c r="M2028" s="972"/>
    </row>
    <row r="2029" spans="5:13">
      <c r="E2029" s="972"/>
      <c r="F2029" s="972"/>
      <c r="G2029" s="972"/>
      <c r="H2029" s="972"/>
      <c r="I2029" s="972"/>
      <c r="J2029" s="972"/>
      <c r="K2029" s="972"/>
      <c r="L2029" s="972"/>
      <c r="M2029" s="972"/>
    </row>
    <row r="2030" spans="5:13">
      <c r="E2030" s="972"/>
      <c r="F2030" s="972"/>
      <c r="G2030" s="972"/>
      <c r="H2030" s="972"/>
      <c r="I2030" s="972"/>
      <c r="J2030" s="972"/>
      <c r="K2030" s="972"/>
      <c r="L2030" s="972"/>
      <c r="M2030" s="972"/>
    </row>
    <row r="2031" spans="5:13">
      <c r="E2031" s="972"/>
      <c r="F2031" s="972"/>
      <c r="G2031" s="972"/>
      <c r="H2031" s="972"/>
      <c r="I2031" s="972"/>
      <c r="J2031" s="972"/>
      <c r="K2031" s="972"/>
      <c r="L2031" s="972"/>
      <c r="M2031" s="972"/>
    </row>
    <row r="2032" spans="5:13">
      <c r="E2032" s="972"/>
      <c r="F2032" s="972"/>
      <c r="G2032" s="972"/>
      <c r="H2032" s="972"/>
      <c r="I2032" s="972"/>
      <c r="J2032" s="972"/>
      <c r="K2032" s="972"/>
      <c r="L2032" s="972"/>
      <c r="M2032" s="972"/>
    </row>
    <row r="2033" spans="5:13">
      <c r="E2033" s="972"/>
      <c r="F2033" s="972"/>
      <c r="G2033" s="972"/>
      <c r="H2033" s="972"/>
      <c r="I2033" s="972"/>
      <c r="J2033" s="972"/>
      <c r="K2033" s="972"/>
      <c r="L2033" s="972"/>
      <c r="M2033" s="972"/>
    </row>
    <row r="2034" spans="5:13">
      <c r="E2034" s="972"/>
      <c r="F2034" s="972"/>
      <c r="G2034" s="972"/>
      <c r="H2034" s="972"/>
      <c r="I2034" s="972"/>
      <c r="J2034" s="972"/>
      <c r="K2034" s="972"/>
      <c r="L2034" s="972"/>
      <c r="M2034" s="972"/>
    </row>
    <row r="2035" spans="5:13">
      <c r="E2035" s="972"/>
      <c r="F2035" s="972"/>
      <c r="G2035" s="972"/>
      <c r="H2035" s="972"/>
      <c r="I2035" s="972"/>
      <c r="J2035" s="972"/>
      <c r="K2035" s="972"/>
      <c r="L2035" s="972"/>
      <c r="M2035" s="972"/>
    </row>
    <row r="2036" spans="5:13">
      <c r="E2036" s="972"/>
      <c r="F2036" s="972"/>
      <c r="G2036" s="972"/>
      <c r="H2036" s="972"/>
      <c r="I2036" s="972"/>
      <c r="J2036" s="972"/>
      <c r="K2036" s="972"/>
      <c r="L2036" s="972"/>
      <c r="M2036" s="972"/>
    </row>
    <row r="2037" spans="5:13">
      <c r="E2037" s="972"/>
      <c r="F2037" s="972"/>
      <c r="G2037" s="972"/>
      <c r="H2037" s="972"/>
      <c r="I2037" s="972"/>
      <c r="J2037" s="972"/>
      <c r="K2037" s="972"/>
      <c r="L2037" s="972"/>
      <c r="M2037" s="972"/>
    </row>
    <row r="2038" spans="5:13">
      <c r="E2038" s="972"/>
      <c r="F2038" s="972"/>
      <c r="G2038" s="972"/>
      <c r="H2038" s="972"/>
      <c r="I2038" s="972"/>
      <c r="J2038" s="972"/>
      <c r="K2038" s="972"/>
      <c r="L2038" s="972"/>
      <c r="M2038" s="972"/>
    </row>
    <row r="2039" spans="5:13">
      <c r="E2039" s="972"/>
      <c r="F2039" s="972"/>
      <c r="G2039" s="972"/>
      <c r="H2039" s="972"/>
      <c r="I2039" s="972"/>
      <c r="J2039" s="972"/>
      <c r="K2039" s="972"/>
      <c r="L2039" s="972"/>
      <c r="M2039" s="972"/>
    </row>
    <row r="2040" spans="5:13">
      <c r="E2040" s="972"/>
      <c r="F2040" s="972"/>
      <c r="G2040" s="972"/>
      <c r="H2040" s="972"/>
      <c r="I2040" s="972"/>
      <c r="J2040" s="972"/>
      <c r="K2040" s="972"/>
      <c r="L2040" s="972"/>
      <c r="M2040" s="972"/>
    </row>
    <row r="2041" spans="5:13">
      <c r="E2041" s="972"/>
      <c r="F2041" s="972"/>
      <c r="G2041" s="972"/>
      <c r="H2041" s="972"/>
      <c r="I2041" s="972"/>
      <c r="J2041" s="972"/>
      <c r="K2041" s="972"/>
      <c r="L2041" s="972"/>
      <c r="M2041" s="972"/>
    </row>
    <row r="2042" spans="5:13">
      <c r="E2042" s="972"/>
      <c r="F2042" s="972"/>
      <c r="G2042" s="972"/>
      <c r="H2042" s="972"/>
      <c r="I2042" s="972"/>
      <c r="J2042" s="972"/>
      <c r="K2042" s="972"/>
      <c r="L2042" s="972"/>
      <c r="M2042" s="972"/>
    </row>
    <row r="2043" spans="5:13">
      <c r="E2043" s="972"/>
      <c r="F2043" s="972"/>
      <c r="G2043" s="972"/>
      <c r="H2043" s="972"/>
      <c r="I2043" s="972"/>
      <c r="J2043" s="972"/>
      <c r="K2043" s="972"/>
      <c r="L2043" s="972"/>
      <c r="M2043" s="972"/>
    </row>
    <row r="2044" spans="5:13">
      <c r="E2044" s="972"/>
      <c r="F2044" s="972"/>
      <c r="G2044" s="972"/>
      <c r="H2044" s="972"/>
      <c r="I2044" s="972"/>
      <c r="J2044" s="972"/>
      <c r="K2044" s="972"/>
      <c r="L2044" s="972"/>
      <c r="M2044" s="972"/>
    </row>
    <row r="2045" spans="5:13">
      <c r="E2045" s="972"/>
      <c r="F2045" s="972"/>
      <c r="G2045" s="972"/>
      <c r="H2045" s="972"/>
      <c r="I2045" s="972"/>
      <c r="J2045" s="972"/>
      <c r="K2045" s="972"/>
      <c r="L2045" s="972"/>
      <c r="M2045" s="972"/>
    </row>
    <row r="2046" spans="5:13">
      <c r="E2046" s="972"/>
      <c r="F2046" s="972"/>
      <c r="G2046" s="972"/>
      <c r="H2046" s="972"/>
      <c r="I2046" s="972"/>
      <c r="J2046" s="972"/>
      <c r="K2046" s="972"/>
      <c r="L2046" s="972"/>
      <c r="M2046" s="972"/>
    </row>
    <row r="2047" spans="5:13">
      <c r="E2047" s="972"/>
      <c r="F2047" s="972"/>
      <c r="G2047" s="972"/>
      <c r="H2047" s="972"/>
      <c r="I2047" s="972"/>
      <c r="J2047" s="972"/>
      <c r="K2047" s="972"/>
      <c r="L2047" s="972"/>
      <c r="M2047" s="972"/>
    </row>
    <row r="2048" spans="5:13">
      <c r="E2048" s="972"/>
      <c r="F2048" s="972"/>
      <c r="G2048" s="972"/>
      <c r="H2048" s="972"/>
      <c r="I2048" s="972"/>
      <c r="J2048" s="972"/>
      <c r="K2048" s="972"/>
      <c r="L2048" s="972"/>
      <c r="M2048" s="972"/>
    </row>
    <row r="2049" spans="5:13">
      <c r="E2049" s="972"/>
      <c r="F2049" s="972"/>
      <c r="G2049" s="972"/>
      <c r="H2049" s="972"/>
      <c r="I2049" s="972"/>
      <c r="J2049" s="972"/>
      <c r="K2049" s="972"/>
      <c r="L2049" s="972"/>
      <c r="M2049" s="972"/>
    </row>
    <row r="2050" spans="5:13">
      <c r="E2050" s="972"/>
      <c r="F2050" s="972"/>
      <c r="G2050" s="972"/>
      <c r="H2050" s="972"/>
      <c r="I2050" s="972"/>
      <c r="J2050" s="972"/>
      <c r="K2050" s="972"/>
      <c r="L2050" s="972"/>
      <c r="M2050" s="972"/>
    </row>
    <row r="2051" spans="5:13">
      <c r="E2051" s="972"/>
      <c r="F2051" s="972"/>
      <c r="G2051" s="972"/>
      <c r="H2051" s="972"/>
      <c r="I2051" s="972"/>
      <c r="J2051" s="972"/>
      <c r="K2051" s="972"/>
      <c r="L2051" s="972"/>
      <c r="M2051" s="972"/>
    </row>
    <row r="2052" spans="5:13">
      <c r="E2052" s="972"/>
      <c r="F2052" s="972"/>
      <c r="G2052" s="972"/>
      <c r="H2052" s="972"/>
      <c r="I2052" s="972"/>
      <c r="J2052" s="972"/>
      <c r="K2052" s="972"/>
      <c r="L2052" s="972"/>
      <c r="M2052" s="972"/>
    </row>
    <row r="2053" spans="5:13">
      <c r="E2053" s="972"/>
      <c r="F2053" s="972"/>
      <c r="G2053" s="972"/>
      <c r="H2053" s="972"/>
      <c r="I2053" s="972"/>
      <c r="J2053" s="972"/>
      <c r="K2053" s="972"/>
      <c r="L2053" s="972"/>
      <c r="M2053" s="972"/>
    </row>
    <row r="2054" spans="5:13">
      <c r="E2054" s="972"/>
      <c r="F2054" s="972"/>
      <c r="G2054" s="972"/>
      <c r="H2054" s="972"/>
      <c r="I2054" s="972"/>
      <c r="J2054" s="972"/>
      <c r="K2054" s="972"/>
      <c r="L2054" s="972"/>
      <c r="M2054" s="972"/>
    </row>
    <row r="2055" spans="5:13">
      <c r="E2055" s="972"/>
      <c r="F2055" s="972"/>
      <c r="G2055" s="972"/>
      <c r="H2055" s="972"/>
      <c r="I2055" s="972"/>
      <c r="J2055" s="972"/>
      <c r="K2055" s="972"/>
      <c r="L2055" s="972"/>
      <c r="M2055" s="972"/>
    </row>
    <row r="2056" spans="5:13">
      <c r="E2056" s="972"/>
      <c r="F2056" s="972"/>
      <c r="G2056" s="972"/>
      <c r="H2056" s="972"/>
      <c r="I2056" s="972"/>
      <c r="J2056" s="972"/>
      <c r="K2056" s="972"/>
      <c r="L2056" s="972"/>
      <c r="M2056" s="972"/>
    </row>
    <row r="2057" spans="5:13">
      <c r="E2057" s="972"/>
      <c r="F2057" s="972"/>
      <c r="G2057" s="972"/>
      <c r="H2057" s="972"/>
      <c r="I2057" s="972"/>
      <c r="J2057" s="972"/>
      <c r="K2057" s="972"/>
      <c r="L2057" s="972"/>
      <c r="M2057" s="972"/>
    </row>
    <row r="2058" spans="5:13">
      <c r="E2058" s="972"/>
      <c r="F2058" s="972"/>
      <c r="G2058" s="972"/>
      <c r="H2058" s="972"/>
      <c r="I2058" s="972"/>
      <c r="J2058" s="972"/>
      <c r="K2058" s="972"/>
      <c r="L2058" s="972"/>
      <c r="M2058" s="972"/>
    </row>
    <row r="2059" spans="5:13">
      <c r="E2059" s="972"/>
      <c r="F2059" s="972"/>
      <c r="G2059" s="972"/>
      <c r="H2059" s="972"/>
      <c r="I2059" s="972"/>
      <c r="J2059" s="972"/>
      <c r="K2059" s="972"/>
      <c r="L2059" s="972"/>
      <c r="M2059" s="972"/>
    </row>
    <row r="2060" spans="5:13">
      <c r="E2060" s="972"/>
      <c r="F2060" s="972"/>
      <c r="G2060" s="972"/>
      <c r="H2060" s="972"/>
      <c r="I2060" s="972"/>
      <c r="J2060" s="972"/>
      <c r="K2060" s="972"/>
      <c r="L2060" s="972"/>
      <c r="M2060" s="972"/>
    </row>
    <row r="2061" spans="5:13">
      <c r="E2061" s="972"/>
      <c r="F2061" s="972"/>
      <c r="G2061" s="972"/>
      <c r="H2061" s="972"/>
      <c r="I2061" s="972"/>
      <c r="J2061" s="972"/>
      <c r="K2061" s="972"/>
      <c r="L2061" s="972"/>
      <c r="M2061" s="972"/>
    </row>
    <row r="2062" spans="5:13">
      <c r="E2062" s="972"/>
      <c r="F2062" s="972"/>
      <c r="G2062" s="972"/>
      <c r="H2062" s="972"/>
      <c r="I2062" s="972"/>
      <c r="J2062" s="972"/>
      <c r="K2062" s="972"/>
      <c r="L2062" s="972"/>
      <c r="M2062" s="972"/>
    </row>
    <row r="2063" spans="5:13">
      <c r="E2063" s="972"/>
      <c r="F2063" s="972"/>
      <c r="G2063" s="972"/>
      <c r="H2063" s="972"/>
      <c r="I2063" s="972"/>
      <c r="J2063" s="972"/>
      <c r="K2063" s="972"/>
      <c r="L2063" s="972"/>
      <c r="M2063" s="972"/>
    </row>
    <row r="2064" spans="5:13">
      <c r="E2064" s="972"/>
      <c r="F2064" s="972"/>
      <c r="G2064" s="972"/>
      <c r="H2064" s="972"/>
      <c r="I2064" s="972"/>
      <c r="J2064" s="972"/>
      <c r="K2064" s="972"/>
      <c r="L2064" s="972"/>
      <c r="M2064" s="972"/>
    </row>
    <row r="2065" spans="5:13">
      <c r="E2065" s="972"/>
      <c r="F2065" s="972"/>
      <c r="G2065" s="972"/>
      <c r="H2065" s="972"/>
      <c r="I2065" s="972"/>
      <c r="J2065" s="972"/>
      <c r="K2065" s="972"/>
      <c r="L2065" s="972"/>
      <c r="M2065" s="972"/>
    </row>
    <row r="2066" spans="5:13">
      <c r="E2066" s="972"/>
      <c r="F2066" s="972"/>
      <c r="G2066" s="972"/>
      <c r="H2066" s="972"/>
      <c r="I2066" s="972"/>
      <c r="J2066" s="972"/>
      <c r="K2066" s="972"/>
      <c r="L2066" s="972"/>
      <c r="M2066" s="972"/>
    </row>
    <row r="2067" spans="5:13">
      <c r="E2067" s="972"/>
      <c r="F2067" s="972"/>
      <c r="G2067" s="972"/>
      <c r="H2067" s="972"/>
      <c r="I2067" s="972"/>
      <c r="J2067" s="972"/>
      <c r="K2067" s="972"/>
      <c r="L2067" s="972"/>
      <c r="M2067" s="972"/>
    </row>
    <row r="2068" spans="5:13">
      <c r="E2068" s="972"/>
      <c r="F2068" s="972"/>
      <c r="G2068" s="972"/>
      <c r="H2068" s="972"/>
      <c r="I2068" s="972"/>
      <c r="J2068" s="972"/>
      <c r="K2068" s="972"/>
      <c r="L2068" s="972"/>
      <c r="M2068" s="972"/>
    </row>
    <row r="2069" spans="5:13">
      <c r="E2069" s="972"/>
      <c r="F2069" s="972"/>
      <c r="G2069" s="972"/>
      <c r="H2069" s="972"/>
      <c r="I2069" s="972"/>
      <c r="J2069" s="972"/>
      <c r="K2069" s="972"/>
      <c r="L2069" s="972"/>
      <c r="M2069" s="972"/>
    </row>
    <row r="2070" spans="5:13">
      <c r="E2070" s="972"/>
      <c r="F2070" s="972"/>
      <c r="G2070" s="972"/>
      <c r="H2070" s="972"/>
      <c r="I2070" s="972"/>
      <c r="J2070" s="972"/>
      <c r="K2070" s="972"/>
      <c r="L2070" s="972"/>
      <c r="M2070" s="972"/>
    </row>
    <row r="2071" spans="5:13">
      <c r="E2071" s="972"/>
      <c r="F2071" s="972"/>
      <c r="G2071" s="972"/>
      <c r="H2071" s="972"/>
      <c r="I2071" s="972"/>
      <c r="J2071" s="972"/>
      <c r="K2071" s="972"/>
      <c r="L2071" s="972"/>
      <c r="M2071" s="972"/>
    </row>
    <row r="2072" spans="5:13">
      <c r="E2072" s="972"/>
      <c r="F2072" s="972"/>
      <c r="G2072" s="972"/>
      <c r="H2072" s="972"/>
      <c r="I2072" s="972"/>
      <c r="J2072" s="972"/>
      <c r="K2072" s="972"/>
      <c r="L2072" s="972"/>
      <c r="M2072" s="972"/>
    </row>
    <row r="2073" spans="5:13">
      <c r="E2073" s="972"/>
      <c r="F2073" s="972"/>
      <c r="G2073" s="972"/>
      <c r="H2073" s="972"/>
      <c r="I2073" s="972"/>
      <c r="J2073" s="972"/>
      <c r="K2073" s="972"/>
      <c r="L2073" s="972"/>
      <c r="M2073" s="972"/>
    </row>
    <row r="2074" spans="5:13">
      <c r="E2074" s="972"/>
      <c r="F2074" s="972"/>
      <c r="G2074" s="972"/>
      <c r="H2074" s="972"/>
      <c r="I2074" s="972"/>
      <c r="J2074" s="972"/>
      <c r="K2074" s="972"/>
      <c r="L2074" s="972"/>
      <c r="M2074" s="972"/>
    </row>
    <row r="2075" spans="5:13">
      <c r="E2075" s="972"/>
      <c r="F2075" s="972"/>
      <c r="G2075" s="972"/>
      <c r="H2075" s="972"/>
      <c r="I2075" s="972"/>
      <c r="J2075" s="972"/>
      <c r="K2075" s="972"/>
      <c r="L2075" s="972"/>
      <c r="M2075" s="972"/>
    </row>
    <row r="2076" spans="5:13">
      <c r="E2076" s="972"/>
      <c r="F2076" s="972"/>
      <c r="G2076" s="972"/>
      <c r="H2076" s="972"/>
      <c r="I2076" s="972"/>
      <c r="J2076" s="972"/>
      <c r="K2076" s="972"/>
      <c r="L2076" s="972"/>
      <c r="M2076" s="972"/>
    </row>
    <row r="2077" spans="5:13">
      <c r="E2077" s="972"/>
      <c r="F2077" s="972"/>
      <c r="G2077" s="972"/>
      <c r="H2077" s="972"/>
      <c r="I2077" s="972"/>
      <c r="J2077" s="972"/>
      <c r="K2077" s="972"/>
      <c r="L2077" s="972"/>
      <c r="M2077" s="972"/>
    </row>
    <row r="2078" spans="5:13">
      <c r="E2078" s="972"/>
      <c r="F2078" s="972"/>
      <c r="G2078" s="972"/>
      <c r="H2078" s="972"/>
      <c r="I2078" s="972"/>
      <c r="J2078" s="972"/>
      <c r="K2078" s="972"/>
      <c r="L2078" s="972"/>
      <c r="M2078" s="972"/>
    </row>
    <row r="2079" spans="5:13">
      <c r="E2079" s="972"/>
      <c r="F2079" s="972"/>
      <c r="G2079" s="972"/>
      <c r="H2079" s="972"/>
      <c r="I2079" s="972"/>
      <c r="J2079" s="972"/>
      <c r="K2079" s="972"/>
      <c r="L2079" s="972"/>
      <c r="M2079" s="972"/>
    </row>
    <row r="2080" spans="5:13">
      <c r="E2080" s="972"/>
      <c r="F2080" s="972"/>
      <c r="G2080" s="972"/>
      <c r="H2080" s="972"/>
      <c r="I2080" s="972"/>
      <c r="J2080" s="972"/>
      <c r="K2080" s="972"/>
      <c r="L2080" s="972"/>
      <c r="M2080" s="972"/>
    </row>
    <row r="2081" spans="5:13">
      <c r="E2081" s="972"/>
      <c r="F2081" s="972"/>
      <c r="G2081" s="972"/>
      <c r="H2081" s="972"/>
      <c r="I2081" s="972"/>
      <c r="J2081" s="972"/>
      <c r="K2081" s="972"/>
      <c r="L2081" s="972"/>
      <c r="M2081" s="972"/>
    </row>
    <row r="2082" spans="5:13">
      <c r="E2082" s="972"/>
      <c r="F2082" s="972"/>
      <c r="G2082" s="972"/>
      <c r="H2082" s="972"/>
      <c r="I2082" s="972"/>
      <c r="J2082" s="972"/>
      <c r="K2082" s="972"/>
      <c r="L2082" s="972"/>
      <c r="M2082" s="972"/>
    </row>
    <row r="2083" spans="5:13">
      <c r="E2083" s="972"/>
      <c r="F2083" s="972"/>
      <c r="G2083" s="972"/>
      <c r="H2083" s="972"/>
      <c r="I2083" s="972"/>
      <c r="J2083" s="972"/>
      <c r="K2083" s="972"/>
      <c r="L2083" s="972"/>
      <c r="M2083" s="972"/>
    </row>
    <row r="2084" spans="5:13">
      <c r="E2084" s="972"/>
      <c r="F2084" s="972"/>
      <c r="G2084" s="972"/>
      <c r="H2084" s="972"/>
      <c r="I2084" s="972"/>
      <c r="J2084" s="972"/>
      <c r="K2084" s="972"/>
      <c r="L2084" s="972"/>
      <c r="M2084" s="972"/>
    </row>
    <row r="2085" spans="5:13">
      <c r="E2085" s="972"/>
      <c r="F2085" s="972"/>
      <c r="G2085" s="972"/>
      <c r="H2085" s="972"/>
      <c r="I2085" s="972"/>
      <c r="J2085" s="972"/>
      <c r="K2085" s="972"/>
      <c r="L2085" s="972"/>
      <c r="M2085" s="972"/>
    </row>
    <row r="2086" spans="5:13">
      <c r="E2086" s="972"/>
      <c r="F2086" s="972"/>
      <c r="G2086" s="972"/>
      <c r="H2086" s="972"/>
      <c r="I2086" s="972"/>
      <c r="J2086" s="972"/>
      <c r="K2086" s="972"/>
      <c r="L2086" s="972"/>
      <c r="M2086" s="972"/>
    </row>
    <row r="2087" spans="5:13">
      <c r="E2087" s="972"/>
      <c r="F2087" s="972"/>
      <c r="G2087" s="972"/>
      <c r="H2087" s="972"/>
      <c r="I2087" s="972"/>
      <c r="J2087" s="972"/>
      <c r="K2087" s="972"/>
      <c r="L2087" s="972"/>
      <c r="M2087" s="972"/>
    </row>
    <row r="2088" spans="5:13">
      <c r="E2088" s="972"/>
      <c r="F2088" s="972"/>
      <c r="G2088" s="972"/>
      <c r="H2088" s="972"/>
      <c r="I2088" s="972"/>
      <c r="J2088" s="972"/>
      <c r="K2088" s="972"/>
      <c r="L2088" s="972"/>
      <c r="M2088" s="972"/>
    </row>
    <row r="2089" spans="5:13">
      <c r="E2089" s="972"/>
      <c r="F2089" s="972"/>
      <c r="G2089" s="972"/>
      <c r="H2089" s="972"/>
      <c r="I2089" s="972"/>
      <c r="J2089" s="972"/>
      <c r="K2089" s="972"/>
      <c r="L2089" s="972"/>
      <c r="M2089" s="972"/>
    </row>
    <row r="2090" spans="5:13">
      <c r="E2090" s="972"/>
      <c r="F2090" s="972"/>
      <c r="G2090" s="972"/>
      <c r="H2090" s="972"/>
      <c r="I2090" s="972"/>
      <c r="J2090" s="972"/>
      <c r="K2090" s="972"/>
      <c r="L2090" s="972"/>
      <c r="M2090" s="972"/>
    </row>
    <row r="2091" spans="5:13">
      <c r="E2091" s="972"/>
      <c r="F2091" s="972"/>
      <c r="G2091" s="972"/>
      <c r="H2091" s="972"/>
      <c r="I2091" s="972"/>
      <c r="J2091" s="972"/>
      <c r="K2091" s="972"/>
      <c r="L2091" s="972"/>
      <c r="M2091" s="972"/>
    </row>
    <row r="2092" spans="5:13">
      <c r="E2092" s="972"/>
      <c r="F2092" s="972"/>
      <c r="G2092" s="972"/>
      <c r="H2092" s="972"/>
      <c r="I2092" s="972"/>
      <c r="J2092" s="972"/>
      <c r="K2092" s="972"/>
      <c r="L2092" s="972"/>
      <c r="M2092" s="972"/>
    </row>
    <row r="2093" spans="5:13">
      <c r="E2093" s="972"/>
      <c r="F2093" s="972"/>
      <c r="G2093" s="972"/>
      <c r="H2093" s="972"/>
      <c r="I2093" s="972"/>
      <c r="J2093" s="972"/>
      <c r="K2093" s="972"/>
      <c r="L2093" s="972"/>
      <c r="M2093" s="972"/>
    </row>
    <row r="2094" spans="5:13">
      <c r="E2094" s="972"/>
      <c r="F2094" s="972"/>
      <c r="G2094" s="972"/>
      <c r="H2094" s="972"/>
      <c r="I2094" s="972"/>
      <c r="J2094" s="972"/>
      <c r="K2094" s="972"/>
      <c r="L2094" s="972"/>
      <c r="M2094" s="972"/>
    </row>
    <row r="2095" spans="5:13">
      <c r="E2095" s="972"/>
      <c r="F2095" s="972"/>
      <c r="G2095" s="972"/>
      <c r="H2095" s="972"/>
      <c r="I2095" s="972"/>
      <c r="J2095" s="972"/>
      <c r="K2095" s="972"/>
      <c r="L2095" s="972"/>
      <c r="M2095" s="972"/>
    </row>
    <row r="2096" spans="5:13">
      <c r="E2096" s="972"/>
      <c r="F2096" s="972"/>
      <c r="G2096" s="972"/>
      <c r="H2096" s="972"/>
      <c r="I2096" s="972"/>
      <c r="J2096" s="972"/>
      <c r="K2096" s="972"/>
      <c r="L2096" s="972"/>
      <c r="M2096" s="972"/>
    </row>
    <row r="2097" spans="5:13">
      <c r="E2097" s="972"/>
      <c r="F2097" s="972"/>
      <c r="G2097" s="972"/>
      <c r="H2097" s="972"/>
      <c r="I2097" s="972"/>
      <c r="J2097" s="972"/>
      <c r="K2097" s="972"/>
      <c r="L2097" s="972"/>
      <c r="M2097" s="972"/>
    </row>
    <row r="2098" spans="5:13">
      <c r="E2098" s="972"/>
      <c r="F2098" s="972"/>
      <c r="G2098" s="972"/>
      <c r="H2098" s="972"/>
      <c r="I2098" s="972"/>
      <c r="J2098" s="972"/>
      <c r="K2098" s="972"/>
      <c r="L2098" s="972"/>
      <c r="M2098" s="972"/>
    </row>
    <row r="2099" spans="5:13">
      <c r="E2099" s="972"/>
      <c r="F2099" s="972"/>
      <c r="G2099" s="972"/>
      <c r="H2099" s="972"/>
      <c r="I2099" s="972"/>
      <c r="J2099" s="972"/>
      <c r="K2099" s="972"/>
      <c r="L2099" s="972"/>
      <c r="M2099" s="972"/>
    </row>
    <row r="2100" spans="5:13">
      <c r="E2100" s="972"/>
      <c r="F2100" s="972"/>
      <c r="G2100" s="972"/>
      <c r="H2100" s="972"/>
      <c r="I2100" s="972"/>
      <c r="J2100" s="972"/>
      <c r="K2100" s="972"/>
      <c r="L2100" s="972"/>
      <c r="M2100" s="972"/>
    </row>
    <row r="2101" spans="5:13">
      <c r="E2101" s="972"/>
      <c r="F2101" s="972"/>
      <c r="G2101" s="972"/>
      <c r="H2101" s="972"/>
      <c r="I2101" s="972"/>
      <c r="J2101" s="972"/>
      <c r="K2101" s="972"/>
      <c r="L2101" s="972"/>
      <c r="M2101" s="972"/>
    </row>
    <row r="2102" spans="5:13">
      <c r="E2102" s="972"/>
      <c r="F2102" s="972"/>
      <c r="G2102" s="972"/>
      <c r="H2102" s="972"/>
      <c r="I2102" s="972"/>
      <c r="J2102" s="972"/>
      <c r="K2102" s="972"/>
      <c r="L2102" s="972"/>
      <c r="M2102" s="972"/>
    </row>
    <row r="2103" spans="5:13">
      <c r="E2103" s="972"/>
      <c r="F2103" s="972"/>
      <c r="G2103" s="972"/>
      <c r="H2103" s="972"/>
      <c r="I2103" s="972"/>
      <c r="J2103" s="972"/>
      <c r="K2103" s="972"/>
      <c r="L2103" s="972"/>
      <c r="M2103" s="972"/>
    </row>
    <row r="2104" spans="5:13">
      <c r="E2104" s="972"/>
      <c r="F2104" s="972"/>
      <c r="G2104" s="972"/>
      <c r="H2104" s="972"/>
      <c r="I2104" s="972"/>
      <c r="J2104" s="972"/>
      <c r="K2104" s="972"/>
      <c r="L2104" s="972"/>
      <c r="M2104" s="972"/>
    </row>
    <row r="2105" spans="5:13">
      <c r="E2105" s="972"/>
      <c r="F2105" s="972"/>
      <c r="G2105" s="972"/>
      <c r="H2105" s="972"/>
      <c r="I2105" s="972"/>
      <c r="J2105" s="972"/>
      <c r="K2105" s="972"/>
      <c r="L2105" s="972"/>
      <c r="M2105" s="972"/>
    </row>
    <row r="2106" spans="5:13">
      <c r="E2106" s="972"/>
      <c r="F2106" s="972"/>
      <c r="G2106" s="972"/>
      <c r="H2106" s="972"/>
      <c r="I2106" s="972"/>
      <c r="J2106" s="972"/>
      <c r="K2106" s="972"/>
      <c r="L2106" s="972"/>
      <c r="M2106" s="972"/>
    </row>
    <row r="2107" spans="5:13">
      <c r="E2107" s="972"/>
      <c r="F2107" s="972"/>
      <c r="G2107" s="972"/>
      <c r="H2107" s="972"/>
      <c r="I2107" s="972"/>
      <c r="J2107" s="972"/>
      <c r="K2107" s="972"/>
      <c r="L2107" s="972"/>
      <c r="M2107" s="972"/>
    </row>
    <row r="2108" spans="5:13">
      <c r="E2108" s="972"/>
      <c r="F2108" s="972"/>
      <c r="G2108" s="972"/>
      <c r="H2108" s="972"/>
      <c r="I2108" s="972"/>
      <c r="J2108" s="972"/>
      <c r="K2108" s="972"/>
      <c r="L2108" s="972"/>
      <c r="M2108" s="972"/>
    </row>
    <row r="2109" spans="5:13">
      <c r="E2109" s="972"/>
      <c r="F2109" s="972"/>
      <c r="G2109" s="972"/>
      <c r="H2109" s="972"/>
      <c r="I2109" s="972"/>
      <c r="J2109" s="972"/>
      <c r="K2109" s="972"/>
      <c r="L2109" s="972"/>
      <c r="M2109" s="972"/>
    </row>
    <row r="2110" spans="5:13">
      <c r="E2110" s="972"/>
      <c r="F2110" s="972"/>
      <c r="G2110" s="972"/>
      <c r="H2110" s="972"/>
      <c r="I2110" s="972"/>
      <c r="J2110" s="972"/>
      <c r="K2110" s="972"/>
      <c r="L2110" s="972"/>
      <c r="M2110" s="972"/>
    </row>
    <row r="2111" spans="5:13">
      <c r="E2111" s="972"/>
      <c r="F2111" s="972"/>
      <c r="G2111" s="972"/>
      <c r="H2111" s="972"/>
      <c r="I2111" s="972"/>
      <c r="J2111" s="972"/>
      <c r="K2111" s="972"/>
      <c r="L2111" s="972"/>
      <c r="M2111" s="972"/>
    </row>
    <row r="2112" spans="5:13">
      <c r="E2112" s="972"/>
      <c r="F2112" s="972"/>
      <c r="G2112" s="972"/>
      <c r="H2112" s="972"/>
      <c r="I2112" s="972"/>
      <c r="J2112" s="972"/>
      <c r="K2112" s="972"/>
      <c r="L2112" s="972"/>
      <c r="M2112" s="972"/>
    </row>
    <row r="2113" spans="5:13">
      <c r="E2113" s="972"/>
      <c r="F2113" s="972"/>
      <c r="G2113" s="972"/>
      <c r="H2113" s="972"/>
      <c r="I2113" s="972"/>
      <c r="J2113" s="972"/>
      <c r="K2113" s="972"/>
      <c r="L2113" s="972"/>
      <c r="M2113" s="972"/>
    </row>
    <row r="2114" spans="5:13">
      <c r="E2114" s="972"/>
      <c r="F2114" s="972"/>
      <c r="G2114" s="972"/>
      <c r="H2114" s="972"/>
      <c r="I2114" s="972"/>
      <c r="J2114" s="972"/>
      <c r="K2114" s="972"/>
      <c r="L2114" s="972"/>
      <c r="M2114" s="972"/>
    </row>
    <row r="2115" spans="5:13">
      <c r="E2115" s="972"/>
      <c r="F2115" s="972"/>
      <c r="G2115" s="972"/>
      <c r="H2115" s="972"/>
      <c r="I2115" s="972"/>
      <c r="J2115" s="972"/>
      <c r="K2115" s="972"/>
      <c r="L2115" s="972"/>
      <c r="M2115" s="972"/>
    </row>
    <row r="2116" spans="5:13">
      <c r="E2116" s="972"/>
      <c r="F2116" s="972"/>
      <c r="G2116" s="972"/>
      <c r="H2116" s="972"/>
      <c r="I2116" s="972"/>
      <c r="J2116" s="972"/>
      <c r="K2116" s="972"/>
      <c r="L2116" s="972"/>
      <c r="M2116" s="972"/>
    </row>
    <row r="2117" spans="5:13">
      <c r="E2117" s="972"/>
      <c r="F2117" s="972"/>
      <c r="G2117" s="972"/>
      <c r="H2117" s="972"/>
      <c r="I2117" s="972"/>
      <c r="J2117" s="972"/>
      <c r="K2117" s="972"/>
      <c r="L2117" s="972"/>
      <c r="M2117" s="972"/>
    </row>
    <row r="2118" spans="5:13">
      <c r="E2118" s="972"/>
      <c r="F2118" s="972"/>
      <c r="G2118" s="972"/>
      <c r="H2118" s="972"/>
      <c r="I2118" s="972"/>
      <c r="J2118" s="972"/>
      <c r="K2118" s="972"/>
      <c r="L2118" s="972"/>
      <c r="M2118" s="972"/>
    </row>
    <row r="2119" spans="5:13">
      <c r="E2119" s="972"/>
      <c r="F2119" s="972"/>
      <c r="G2119" s="972"/>
      <c r="H2119" s="972"/>
      <c r="I2119" s="972"/>
      <c r="J2119" s="972"/>
      <c r="K2119" s="972"/>
      <c r="L2119" s="972"/>
      <c r="M2119" s="972"/>
    </row>
    <row r="2120" spans="5:13">
      <c r="E2120" s="972"/>
      <c r="F2120" s="972"/>
      <c r="G2120" s="972"/>
      <c r="H2120" s="972"/>
      <c r="I2120" s="972"/>
      <c r="J2120" s="972"/>
      <c r="K2120" s="972"/>
      <c r="L2120" s="972"/>
      <c r="M2120" s="972"/>
    </row>
    <row r="2121" spans="5:13">
      <c r="E2121" s="972"/>
      <c r="F2121" s="972"/>
      <c r="G2121" s="972"/>
      <c r="H2121" s="972"/>
      <c r="I2121" s="972"/>
      <c r="J2121" s="972"/>
      <c r="K2121" s="972"/>
      <c r="L2121" s="972"/>
      <c r="M2121" s="972"/>
    </row>
    <row r="2122" spans="5:13">
      <c r="E2122" s="972"/>
      <c r="F2122" s="972"/>
      <c r="G2122" s="972"/>
      <c r="H2122" s="972"/>
      <c r="I2122" s="972"/>
      <c r="J2122" s="972"/>
      <c r="K2122" s="972"/>
      <c r="L2122" s="972"/>
      <c r="M2122" s="972"/>
    </row>
    <row r="2123" spans="5:13">
      <c r="E2123" s="972"/>
      <c r="F2123" s="972"/>
      <c r="G2123" s="972"/>
      <c r="H2123" s="972"/>
      <c r="I2123" s="972"/>
      <c r="J2123" s="972"/>
      <c r="K2123" s="972"/>
      <c r="L2123" s="972"/>
      <c r="M2123" s="972"/>
    </row>
    <row r="2124" spans="5:13">
      <c r="E2124" s="972"/>
      <c r="F2124" s="972"/>
      <c r="G2124" s="972"/>
      <c r="H2124" s="972"/>
      <c r="I2124" s="972"/>
      <c r="J2124" s="972"/>
      <c r="K2124" s="972"/>
      <c r="L2124" s="972"/>
      <c r="M2124" s="972"/>
    </row>
    <row r="2125" spans="5:13">
      <c r="E2125" s="972"/>
      <c r="F2125" s="972"/>
      <c r="G2125" s="972"/>
      <c r="H2125" s="972"/>
      <c r="I2125" s="972"/>
      <c r="J2125" s="972"/>
      <c r="K2125" s="972"/>
      <c r="L2125" s="972"/>
      <c r="M2125" s="972"/>
    </row>
    <row r="2126" spans="5:13">
      <c r="E2126" s="972"/>
      <c r="F2126" s="972"/>
      <c r="G2126" s="972"/>
      <c r="H2126" s="972"/>
      <c r="I2126" s="972"/>
      <c r="J2126" s="972"/>
      <c r="K2126" s="972"/>
      <c r="L2126" s="972"/>
      <c r="M2126" s="972"/>
    </row>
    <row r="2127" spans="5:13">
      <c r="E2127" s="972"/>
      <c r="F2127" s="972"/>
      <c r="G2127" s="972"/>
      <c r="H2127" s="972"/>
      <c r="I2127" s="972"/>
      <c r="J2127" s="972"/>
      <c r="K2127" s="972"/>
      <c r="L2127" s="972"/>
      <c r="M2127" s="972"/>
    </row>
    <row r="2128" spans="5:13">
      <c r="E2128" s="972"/>
      <c r="F2128" s="972"/>
      <c r="G2128" s="972"/>
      <c r="H2128" s="972"/>
      <c r="I2128" s="972"/>
      <c r="J2128" s="972"/>
      <c r="K2128" s="972"/>
      <c r="L2128" s="972"/>
      <c r="M2128" s="972"/>
    </row>
    <row r="2129" spans="5:13">
      <c r="E2129" s="972"/>
      <c r="F2129" s="972"/>
      <c r="G2129" s="972"/>
      <c r="H2129" s="972"/>
      <c r="I2129" s="972"/>
      <c r="J2129" s="972"/>
      <c r="K2129" s="972"/>
      <c r="L2129" s="972"/>
      <c r="M2129" s="972"/>
    </row>
    <row r="2130" spans="5:13">
      <c r="E2130" s="972"/>
      <c r="F2130" s="972"/>
      <c r="G2130" s="972"/>
      <c r="H2130" s="972"/>
      <c r="I2130" s="972"/>
      <c r="J2130" s="972"/>
      <c r="K2130" s="972"/>
      <c r="L2130" s="972"/>
      <c r="M2130" s="972"/>
    </row>
    <row r="2131" spans="5:13">
      <c r="E2131" s="972"/>
      <c r="F2131" s="972"/>
      <c r="G2131" s="972"/>
      <c r="H2131" s="972"/>
      <c r="I2131" s="972"/>
      <c r="J2131" s="972"/>
      <c r="K2131" s="972"/>
      <c r="L2131" s="972"/>
      <c r="M2131" s="972"/>
    </row>
    <row r="2132" spans="5:13">
      <c r="E2132" s="972"/>
      <c r="F2132" s="972"/>
      <c r="G2132" s="972"/>
      <c r="H2132" s="972"/>
      <c r="I2132" s="972"/>
      <c r="J2132" s="972"/>
      <c r="K2132" s="972"/>
      <c r="L2132" s="972"/>
      <c r="M2132" s="972"/>
    </row>
    <row r="2133" spans="5:13">
      <c r="E2133" s="972"/>
      <c r="F2133" s="972"/>
      <c r="G2133" s="972"/>
      <c r="H2133" s="972"/>
      <c r="I2133" s="972"/>
      <c r="J2133" s="972"/>
      <c r="K2133" s="972"/>
      <c r="L2133" s="972"/>
      <c r="M2133" s="972"/>
    </row>
    <row r="2134" spans="5:13">
      <c r="E2134" s="972"/>
      <c r="F2134" s="972"/>
      <c r="G2134" s="972"/>
      <c r="H2134" s="972"/>
      <c r="I2134" s="972"/>
      <c r="J2134" s="972"/>
      <c r="K2134" s="972"/>
      <c r="L2134" s="972"/>
      <c r="M2134" s="972"/>
    </row>
    <row r="2135" spans="5:13">
      <c r="E2135" s="972"/>
      <c r="F2135" s="972"/>
      <c r="G2135" s="972"/>
      <c r="H2135" s="972"/>
      <c r="I2135" s="972"/>
      <c r="J2135" s="972"/>
      <c r="K2135" s="972"/>
      <c r="L2135" s="972"/>
      <c r="M2135" s="972"/>
    </row>
    <row r="2136" spans="5:13">
      <c r="E2136" s="972"/>
      <c r="F2136" s="972"/>
      <c r="G2136" s="972"/>
      <c r="H2136" s="972"/>
      <c r="I2136" s="972"/>
      <c r="J2136" s="972"/>
      <c r="K2136" s="972"/>
      <c r="L2136" s="972"/>
      <c r="M2136" s="972"/>
    </row>
    <row r="2137" spans="5:13">
      <c r="E2137" s="972"/>
      <c r="F2137" s="972"/>
      <c r="G2137" s="972"/>
      <c r="H2137" s="972"/>
      <c r="I2137" s="972"/>
      <c r="J2137" s="972"/>
      <c r="K2137" s="972"/>
      <c r="L2137" s="972"/>
      <c r="M2137" s="972"/>
    </row>
    <row r="2138" spans="5:13">
      <c r="E2138" s="972"/>
      <c r="F2138" s="972"/>
      <c r="G2138" s="972"/>
      <c r="H2138" s="972"/>
      <c r="I2138" s="972"/>
      <c r="J2138" s="972"/>
      <c r="K2138" s="972"/>
      <c r="L2138" s="972"/>
      <c r="M2138" s="972"/>
    </row>
    <row r="2139" spans="5:13">
      <c r="E2139" s="972"/>
      <c r="F2139" s="972"/>
      <c r="G2139" s="972"/>
      <c r="H2139" s="972"/>
      <c r="I2139" s="972"/>
      <c r="J2139" s="972"/>
      <c r="K2139" s="972"/>
      <c r="L2139" s="972"/>
      <c r="M2139" s="972"/>
    </row>
    <row r="2140" spans="5:13">
      <c r="E2140" s="972"/>
      <c r="F2140" s="972"/>
      <c r="G2140" s="972"/>
      <c r="H2140" s="972"/>
      <c r="I2140" s="972"/>
      <c r="J2140" s="972"/>
      <c r="K2140" s="972"/>
      <c r="L2140" s="972"/>
      <c r="M2140" s="972"/>
    </row>
    <row r="2141" spans="5:13">
      <c r="E2141" s="972"/>
      <c r="F2141" s="972"/>
      <c r="G2141" s="972"/>
      <c r="H2141" s="972"/>
      <c r="I2141" s="972"/>
      <c r="J2141" s="972"/>
      <c r="K2141" s="972"/>
      <c r="L2141" s="972"/>
      <c r="M2141" s="972"/>
    </row>
    <row r="2142" spans="5:13">
      <c r="E2142" s="972"/>
      <c r="F2142" s="972"/>
      <c r="G2142" s="972"/>
      <c r="H2142" s="972"/>
      <c r="I2142" s="972"/>
      <c r="J2142" s="972"/>
      <c r="K2142" s="972"/>
      <c r="L2142" s="972"/>
      <c r="M2142" s="972"/>
    </row>
    <row r="2143" spans="5:13">
      <c r="E2143" s="972"/>
      <c r="F2143" s="972"/>
      <c r="G2143" s="972"/>
      <c r="H2143" s="972"/>
      <c r="I2143" s="972"/>
      <c r="J2143" s="972"/>
      <c r="K2143" s="972"/>
      <c r="L2143" s="972"/>
      <c r="M2143" s="972"/>
    </row>
    <row r="2144" spans="5:13">
      <c r="E2144" s="972"/>
      <c r="F2144" s="972"/>
      <c r="G2144" s="972"/>
      <c r="H2144" s="972"/>
      <c r="I2144" s="972"/>
      <c r="J2144" s="972"/>
      <c r="K2144" s="972"/>
      <c r="L2144" s="972"/>
      <c r="M2144" s="972"/>
    </row>
    <row r="2145" spans="5:13">
      <c r="E2145" s="972"/>
      <c r="F2145" s="972"/>
      <c r="G2145" s="972"/>
      <c r="H2145" s="972"/>
      <c r="I2145" s="972"/>
      <c r="J2145" s="972"/>
      <c r="K2145" s="972"/>
      <c r="L2145" s="972"/>
      <c r="M2145" s="972"/>
    </row>
    <row r="2146" spans="5:13">
      <c r="E2146" s="972"/>
      <c r="F2146" s="972"/>
      <c r="G2146" s="972"/>
      <c r="H2146" s="972"/>
      <c r="I2146" s="972"/>
      <c r="J2146" s="972"/>
      <c r="K2146" s="972"/>
      <c r="L2146" s="972"/>
      <c r="M2146" s="972"/>
    </row>
    <row r="2147" spans="5:13">
      <c r="E2147" s="972"/>
      <c r="F2147" s="972"/>
      <c r="G2147" s="972"/>
      <c r="H2147" s="972"/>
      <c r="I2147" s="972"/>
      <c r="J2147" s="972"/>
      <c r="K2147" s="972"/>
      <c r="L2147" s="972"/>
      <c r="M2147" s="972"/>
    </row>
    <row r="2148" spans="5:13">
      <c r="E2148" s="972"/>
      <c r="F2148" s="972"/>
      <c r="G2148" s="972"/>
      <c r="H2148" s="972"/>
      <c r="I2148" s="972"/>
      <c r="J2148" s="972"/>
      <c r="K2148" s="972"/>
      <c r="L2148" s="972"/>
      <c r="M2148" s="972"/>
    </row>
    <row r="2149" spans="5:13">
      <c r="E2149" s="972"/>
      <c r="F2149" s="972"/>
      <c r="G2149" s="972"/>
      <c r="H2149" s="972"/>
      <c r="I2149" s="972"/>
      <c r="J2149" s="972"/>
      <c r="K2149" s="972"/>
      <c r="L2149" s="972"/>
      <c r="M2149" s="972"/>
    </row>
    <row r="2150" spans="5:13">
      <c r="E2150" s="972"/>
      <c r="F2150" s="972"/>
      <c r="G2150" s="972"/>
      <c r="H2150" s="972"/>
      <c r="I2150" s="972"/>
      <c r="J2150" s="972"/>
      <c r="K2150" s="972"/>
      <c r="L2150" s="972"/>
      <c r="M2150" s="972"/>
    </row>
    <row r="2151" spans="5:13">
      <c r="E2151" s="972"/>
      <c r="F2151" s="972"/>
      <c r="G2151" s="972"/>
      <c r="H2151" s="972"/>
      <c r="I2151" s="972"/>
      <c r="J2151" s="972"/>
      <c r="K2151" s="972"/>
      <c r="L2151" s="972"/>
      <c r="M2151" s="972"/>
    </row>
    <row r="2152" spans="5:13">
      <c r="E2152" s="972"/>
      <c r="F2152" s="972"/>
      <c r="G2152" s="972"/>
      <c r="H2152" s="972"/>
      <c r="I2152" s="972"/>
      <c r="J2152" s="972"/>
      <c r="K2152" s="972"/>
      <c r="L2152" s="972"/>
      <c r="M2152" s="972"/>
    </row>
    <row r="2153" spans="5:13">
      <c r="E2153" s="972"/>
      <c r="F2153" s="972"/>
      <c r="G2153" s="972"/>
      <c r="H2153" s="972"/>
      <c r="I2153" s="972"/>
      <c r="J2153" s="972"/>
      <c r="K2153" s="972"/>
      <c r="L2153" s="972"/>
      <c r="M2153" s="972"/>
    </row>
    <row r="2154" spans="5:13">
      <c r="E2154" s="972"/>
      <c r="F2154" s="972"/>
      <c r="G2154" s="972"/>
      <c r="H2154" s="972"/>
      <c r="I2154" s="972"/>
      <c r="J2154" s="972"/>
      <c r="K2154" s="972"/>
      <c r="L2154" s="972"/>
      <c r="M2154" s="972"/>
    </row>
    <row r="2155" spans="5:13">
      <c r="E2155" s="972"/>
      <c r="F2155" s="972"/>
      <c r="G2155" s="972"/>
      <c r="H2155" s="972"/>
      <c r="I2155" s="972"/>
      <c r="J2155" s="972"/>
      <c r="K2155" s="972"/>
      <c r="L2155" s="972"/>
      <c r="M2155" s="972"/>
    </row>
    <row r="2156" spans="5:13">
      <c r="E2156" s="972"/>
      <c r="F2156" s="972"/>
      <c r="G2156" s="972"/>
      <c r="H2156" s="972"/>
      <c r="I2156" s="972"/>
      <c r="J2156" s="972"/>
      <c r="K2156" s="972"/>
      <c r="L2156" s="972"/>
      <c r="M2156" s="972"/>
    </row>
    <row r="2157" spans="5:13">
      <c r="E2157" s="972"/>
      <c r="F2157" s="972"/>
      <c r="G2157" s="972"/>
      <c r="H2157" s="972"/>
      <c r="I2157" s="972"/>
      <c r="J2157" s="972"/>
      <c r="K2157" s="972"/>
      <c r="L2157" s="972"/>
      <c r="M2157" s="972"/>
    </row>
    <row r="2158" spans="5:13">
      <c r="E2158" s="972"/>
      <c r="F2158" s="972"/>
      <c r="G2158" s="972"/>
      <c r="H2158" s="972"/>
      <c r="I2158" s="972"/>
      <c r="J2158" s="972"/>
      <c r="K2158" s="972"/>
      <c r="L2158" s="972"/>
      <c r="M2158" s="972"/>
    </row>
    <row r="2159" spans="5:13">
      <c r="E2159" s="972"/>
      <c r="F2159" s="972"/>
      <c r="G2159" s="972"/>
      <c r="H2159" s="972"/>
      <c r="I2159" s="972"/>
      <c r="J2159" s="972"/>
      <c r="K2159" s="972"/>
      <c r="L2159" s="972"/>
      <c r="M2159" s="972"/>
    </row>
    <row r="2160" spans="5:13">
      <c r="E2160" s="972"/>
      <c r="F2160" s="972"/>
      <c r="G2160" s="972"/>
      <c r="H2160" s="972"/>
      <c r="I2160" s="972"/>
      <c r="J2160" s="972"/>
      <c r="K2160" s="972"/>
      <c r="L2160" s="972"/>
      <c r="M2160" s="972"/>
    </row>
    <row r="2161" spans="5:13">
      <c r="E2161" s="972"/>
      <c r="F2161" s="972"/>
      <c r="G2161" s="972"/>
      <c r="H2161" s="972"/>
      <c r="I2161" s="972"/>
      <c r="J2161" s="972"/>
      <c r="K2161" s="972"/>
      <c r="L2161" s="972"/>
      <c r="M2161" s="972"/>
    </row>
    <row r="2162" spans="5:13">
      <c r="E2162" s="972"/>
      <c r="F2162" s="972"/>
      <c r="G2162" s="972"/>
      <c r="H2162" s="972"/>
      <c r="I2162" s="972"/>
      <c r="J2162" s="972"/>
      <c r="K2162" s="972"/>
      <c r="L2162" s="972"/>
      <c r="M2162" s="972"/>
    </row>
    <row r="2163" spans="5:13">
      <c r="E2163" s="972"/>
      <c r="F2163" s="972"/>
      <c r="G2163" s="972"/>
      <c r="H2163" s="972"/>
      <c r="I2163" s="972"/>
      <c r="J2163" s="972"/>
      <c r="K2163" s="972"/>
      <c r="L2163" s="972"/>
      <c r="M2163" s="972"/>
    </row>
    <row r="2164" spans="5:13">
      <c r="E2164" s="972"/>
      <c r="F2164" s="972"/>
      <c r="G2164" s="972"/>
      <c r="H2164" s="972"/>
      <c r="I2164" s="972"/>
      <c r="J2164" s="972"/>
      <c r="K2164" s="972"/>
      <c r="L2164" s="972"/>
      <c r="M2164" s="972"/>
    </row>
    <row r="2165" spans="5:13">
      <c r="E2165" s="972"/>
      <c r="F2165" s="972"/>
      <c r="G2165" s="972"/>
      <c r="H2165" s="972"/>
      <c r="I2165" s="972"/>
      <c r="J2165" s="972"/>
      <c r="K2165" s="972"/>
      <c r="L2165" s="972"/>
      <c r="M2165" s="972"/>
    </row>
    <row r="2166" spans="5:13">
      <c r="E2166" s="972"/>
      <c r="F2166" s="972"/>
      <c r="G2166" s="972"/>
      <c r="H2166" s="972"/>
      <c r="I2166" s="972"/>
      <c r="J2166" s="972"/>
      <c r="K2166" s="972"/>
      <c r="L2166" s="972"/>
      <c r="M2166" s="972"/>
    </row>
    <row r="2167" spans="5:13">
      <c r="E2167" s="972"/>
      <c r="F2167" s="972"/>
      <c r="G2167" s="972"/>
      <c r="H2167" s="972"/>
      <c r="I2167" s="972"/>
      <c r="J2167" s="972"/>
      <c r="K2167" s="972"/>
      <c r="L2167" s="972"/>
      <c r="M2167" s="972"/>
    </row>
    <row r="2168" spans="5:13">
      <c r="E2168" s="972"/>
      <c r="F2168" s="972"/>
      <c r="G2168" s="972"/>
      <c r="H2168" s="972"/>
      <c r="I2168" s="972"/>
      <c r="J2168" s="972"/>
      <c r="K2168" s="972"/>
      <c r="L2168" s="972"/>
      <c r="M2168" s="972"/>
    </row>
    <row r="2169" spans="5:13">
      <c r="E2169" s="972"/>
      <c r="F2169" s="972"/>
      <c r="G2169" s="972"/>
      <c r="H2169" s="972"/>
      <c r="I2169" s="972"/>
      <c r="J2169" s="972"/>
      <c r="K2169" s="972"/>
      <c r="L2169" s="972"/>
      <c r="M2169" s="972"/>
    </row>
    <row r="2170" spans="5:13">
      <c r="E2170" s="972"/>
      <c r="F2170" s="972"/>
      <c r="G2170" s="972"/>
      <c r="H2170" s="972"/>
      <c r="I2170" s="972"/>
      <c r="J2170" s="972"/>
      <c r="K2170" s="972"/>
      <c r="L2170" s="972"/>
      <c r="M2170" s="972"/>
    </row>
    <row r="2171" spans="5:13">
      <c r="E2171" s="972"/>
      <c r="F2171" s="972"/>
      <c r="G2171" s="972"/>
      <c r="H2171" s="972"/>
      <c r="I2171" s="972"/>
      <c r="J2171" s="972"/>
      <c r="K2171" s="972"/>
      <c r="L2171" s="972"/>
      <c r="M2171" s="972"/>
    </row>
    <row r="2172" spans="5:13">
      <c r="E2172" s="972"/>
      <c r="F2172" s="972"/>
      <c r="G2172" s="972"/>
      <c r="H2172" s="972"/>
      <c r="I2172" s="972"/>
      <c r="J2172" s="972"/>
      <c r="K2172" s="972"/>
      <c r="L2172" s="972"/>
      <c r="M2172" s="972"/>
    </row>
    <row r="2173" spans="5:13">
      <c r="E2173" s="972"/>
      <c r="F2173" s="972"/>
      <c r="G2173" s="972"/>
      <c r="H2173" s="972"/>
      <c r="I2173" s="972"/>
      <c r="J2173" s="972"/>
      <c r="K2173" s="972"/>
      <c r="L2173" s="972"/>
      <c r="M2173" s="972"/>
    </row>
    <row r="2174" spans="5:13">
      <c r="E2174" s="972"/>
      <c r="F2174" s="972"/>
      <c r="G2174" s="972"/>
      <c r="H2174" s="972"/>
      <c r="I2174" s="972"/>
      <c r="J2174" s="972"/>
      <c r="K2174" s="972"/>
      <c r="L2174" s="972"/>
      <c r="M2174" s="972"/>
    </row>
    <row r="2175" spans="5:13">
      <c r="E2175" s="972"/>
      <c r="F2175" s="972"/>
      <c r="G2175" s="972"/>
      <c r="H2175" s="972"/>
      <c r="I2175" s="972"/>
      <c r="J2175" s="972"/>
      <c r="K2175" s="972"/>
      <c r="L2175" s="972"/>
      <c r="M2175" s="972"/>
    </row>
    <row r="2176" spans="5:13">
      <c r="E2176" s="972"/>
      <c r="F2176" s="972"/>
      <c r="G2176" s="972"/>
      <c r="H2176" s="972"/>
      <c r="I2176" s="972"/>
      <c r="J2176" s="972"/>
      <c r="K2176" s="972"/>
      <c r="L2176" s="972"/>
      <c r="M2176" s="972"/>
    </row>
    <row r="2177" spans="5:13">
      <c r="E2177" s="972"/>
      <c r="F2177" s="972"/>
      <c r="G2177" s="972"/>
      <c r="H2177" s="972"/>
      <c r="I2177" s="972"/>
      <c r="J2177" s="972"/>
      <c r="K2177" s="972"/>
      <c r="L2177" s="972"/>
      <c r="M2177" s="972"/>
    </row>
    <row r="2178" spans="5:13">
      <c r="E2178" s="972"/>
      <c r="F2178" s="972"/>
      <c r="G2178" s="972"/>
      <c r="H2178" s="972"/>
      <c r="I2178" s="972"/>
      <c r="J2178" s="972"/>
      <c r="K2178" s="972"/>
      <c r="L2178" s="972"/>
      <c r="M2178" s="972"/>
    </row>
    <row r="2179" spans="5:13">
      <c r="E2179" s="972"/>
      <c r="F2179" s="972"/>
      <c r="G2179" s="972"/>
      <c r="H2179" s="972"/>
      <c r="I2179" s="972"/>
      <c r="J2179" s="972"/>
      <c r="K2179" s="972"/>
      <c r="L2179" s="972"/>
      <c r="M2179" s="972"/>
    </row>
    <row r="2180" spans="5:13">
      <c r="E2180" s="972"/>
      <c r="F2180" s="972"/>
      <c r="G2180" s="972"/>
      <c r="H2180" s="972"/>
      <c r="I2180" s="972"/>
      <c r="J2180" s="972"/>
      <c r="K2180" s="972"/>
      <c r="L2180" s="972"/>
      <c r="M2180" s="972"/>
    </row>
    <row r="2181" spans="5:13">
      <c r="E2181" s="972"/>
      <c r="F2181" s="972"/>
      <c r="G2181" s="972"/>
      <c r="H2181" s="972"/>
      <c r="I2181" s="972"/>
      <c r="J2181" s="972"/>
      <c r="K2181" s="972"/>
      <c r="L2181" s="972"/>
      <c r="M2181" s="972"/>
    </row>
    <row r="2182" spans="5:13">
      <c r="E2182" s="972"/>
      <c r="F2182" s="972"/>
      <c r="G2182" s="972"/>
      <c r="H2182" s="972"/>
      <c r="I2182" s="972"/>
      <c r="J2182" s="972"/>
      <c r="K2182" s="972"/>
      <c r="L2182" s="972"/>
      <c r="M2182" s="972"/>
    </row>
    <row r="2183" spans="5:13">
      <c r="E2183" s="972"/>
      <c r="F2183" s="972"/>
      <c r="G2183" s="972"/>
      <c r="H2183" s="972"/>
      <c r="I2183" s="972"/>
      <c r="J2183" s="972"/>
      <c r="K2183" s="972"/>
      <c r="L2183" s="972"/>
      <c r="M2183" s="972"/>
    </row>
    <row r="2184" spans="5:13">
      <c r="E2184" s="972"/>
      <c r="F2184" s="972"/>
      <c r="G2184" s="972"/>
      <c r="H2184" s="972"/>
      <c r="I2184" s="972"/>
      <c r="J2184" s="972"/>
      <c r="K2184" s="972"/>
      <c r="L2184" s="972"/>
      <c r="M2184" s="972"/>
    </row>
    <row r="2185" spans="5:13">
      <c r="E2185" s="972"/>
      <c r="F2185" s="972"/>
      <c r="G2185" s="972"/>
      <c r="H2185" s="972"/>
      <c r="I2185" s="972"/>
      <c r="J2185" s="972"/>
      <c r="K2185" s="972"/>
      <c r="L2185" s="972"/>
      <c r="M2185" s="972"/>
    </row>
    <row r="2186" spans="5:13">
      <c r="E2186" s="972"/>
      <c r="F2186" s="972"/>
      <c r="G2186" s="972"/>
      <c r="H2186" s="972"/>
      <c r="I2186" s="972"/>
      <c r="J2186" s="972"/>
      <c r="K2186" s="972"/>
      <c r="L2186" s="972"/>
      <c r="M2186" s="972"/>
    </row>
    <row r="2187" spans="5:13">
      <c r="E2187" s="972"/>
      <c r="F2187" s="972"/>
      <c r="G2187" s="972"/>
      <c r="H2187" s="972"/>
      <c r="I2187" s="972"/>
      <c r="J2187" s="972"/>
      <c r="K2187" s="972"/>
      <c r="L2187" s="972"/>
      <c r="M2187" s="972"/>
    </row>
    <row r="2188" spans="5:13">
      <c r="E2188" s="972"/>
      <c r="F2188" s="972"/>
      <c r="G2188" s="972"/>
      <c r="H2188" s="972"/>
      <c r="I2188" s="972"/>
      <c r="J2188" s="972"/>
      <c r="K2188" s="972"/>
      <c r="L2188" s="972"/>
      <c r="M2188" s="972"/>
    </row>
    <row r="2189" spans="5:13">
      <c r="E2189" s="972"/>
      <c r="F2189" s="972"/>
      <c r="G2189" s="972"/>
      <c r="H2189" s="972"/>
      <c r="I2189" s="972"/>
      <c r="J2189" s="972"/>
      <c r="K2189" s="972"/>
      <c r="L2189" s="972"/>
      <c r="M2189" s="972"/>
    </row>
    <row r="2190" spans="5:13">
      <c r="E2190" s="972"/>
      <c r="F2190" s="972"/>
      <c r="G2190" s="972"/>
      <c r="H2190" s="972"/>
      <c r="I2190" s="972"/>
      <c r="J2190" s="972"/>
      <c r="K2190" s="972"/>
      <c r="L2190" s="972"/>
      <c r="M2190" s="972"/>
    </row>
    <row r="2191" spans="5:13">
      <c r="E2191" s="972"/>
      <c r="F2191" s="972"/>
      <c r="G2191" s="972"/>
      <c r="H2191" s="972"/>
      <c r="I2191" s="972"/>
      <c r="J2191" s="972"/>
      <c r="K2191" s="972"/>
      <c r="L2191" s="972"/>
      <c r="M2191" s="972"/>
    </row>
    <row r="2192" spans="5:13">
      <c r="E2192" s="972"/>
      <c r="F2192" s="972"/>
      <c r="G2192" s="972"/>
      <c r="H2192" s="972"/>
      <c r="I2192" s="972"/>
      <c r="J2192" s="972"/>
      <c r="K2192" s="972"/>
      <c r="L2192" s="972"/>
      <c r="M2192" s="972"/>
    </row>
    <row r="2193" spans="5:13">
      <c r="E2193" s="972"/>
      <c r="F2193" s="972"/>
      <c r="G2193" s="972"/>
      <c r="H2193" s="972"/>
      <c r="I2193" s="972"/>
      <c r="J2193" s="972"/>
      <c r="K2193" s="972"/>
      <c r="L2193" s="972"/>
      <c r="M2193" s="972"/>
    </row>
    <row r="2194" spans="5:13">
      <c r="E2194" s="972"/>
      <c r="F2194" s="972"/>
      <c r="G2194" s="972"/>
      <c r="H2194" s="972"/>
      <c r="I2194" s="972"/>
      <c r="J2194" s="972"/>
      <c r="K2194" s="972"/>
      <c r="L2194" s="972"/>
      <c r="M2194" s="972"/>
    </row>
    <row r="2195" spans="5:13">
      <c r="E2195" s="972"/>
      <c r="F2195" s="972"/>
      <c r="G2195" s="972"/>
      <c r="H2195" s="972"/>
      <c r="I2195" s="972"/>
      <c r="J2195" s="972"/>
      <c r="K2195" s="972"/>
      <c r="L2195" s="972"/>
      <c r="M2195" s="972"/>
    </row>
    <row r="2196" spans="5:13">
      <c r="E2196" s="972"/>
      <c r="F2196" s="972"/>
      <c r="G2196" s="972"/>
      <c r="H2196" s="972"/>
      <c r="I2196" s="972"/>
      <c r="J2196" s="972"/>
      <c r="K2196" s="972"/>
      <c r="L2196" s="972"/>
      <c r="M2196" s="972"/>
    </row>
    <row r="2197" spans="5:13">
      <c r="E2197" s="972"/>
      <c r="F2197" s="972"/>
      <c r="G2197" s="972"/>
      <c r="H2197" s="972"/>
      <c r="I2197" s="972"/>
      <c r="J2197" s="972"/>
      <c r="K2197" s="972"/>
      <c r="L2197" s="972"/>
      <c r="M2197" s="972"/>
    </row>
    <row r="2198" spans="5:13">
      <c r="E2198" s="972"/>
      <c r="F2198" s="972"/>
      <c r="G2198" s="972"/>
      <c r="H2198" s="972"/>
      <c r="I2198" s="972"/>
      <c r="J2198" s="972"/>
      <c r="K2198" s="972"/>
      <c r="L2198" s="972"/>
      <c r="M2198" s="972"/>
    </row>
    <row r="2199" spans="5:13">
      <c r="E2199" s="972"/>
      <c r="F2199" s="972"/>
      <c r="G2199" s="972"/>
      <c r="H2199" s="972"/>
      <c r="I2199" s="972"/>
      <c r="J2199" s="972"/>
      <c r="K2199" s="972"/>
      <c r="L2199" s="972"/>
      <c r="M2199" s="972"/>
    </row>
    <row r="2200" spans="5:13">
      <c r="E2200" s="972"/>
      <c r="F2200" s="972"/>
      <c r="G2200" s="972"/>
      <c r="H2200" s="972"/>
      <c r="I2200" s="972"/>
      <c r="J2200" s="972"/>
      <c r="K2200" s="972"/>
      <c r="L2200" s="972"/>
      <c r="M2200" s="972"/>
    </row>
    <row r="2201" spans="5:13">
      <c r="E2201" s="972"/>
      <c r="F2201" s="972"/>
      <c r="G2201" s="972"/>
      <c r="H2201" s="972"/>
      <c r="I2201" s="972"/>
      <c r="J2201" s="972"/>
      <c r="K2201" s="972"/>
      <c r="L2201" s="972"/>
      <c r="M2201" s="972"/>
    </row>
    <row r="2202" spans="5:13">
      <c r="E2202" s="972"/>
      <c r="F2202" s="972"/>
      <c r="G2202" s="972"/>
      <c r="H2202" s="972"/>
      <c r="I2202" s="972"/>
      <c r="J2202" s="972"/>
      <c r="K2202" s="972"/>
      <c r="L2202" s="972"/>
      <c r="M2202" s="972"/>
    </row>
    <row r="2203" spans="5:13">
      <c r="E2203" s="972"/>
      <c r="F2203" s="972"/>
      <c r="G2203" s="972"/>
      <c r="H2203" s="972"/>
      <c r="I2203" s="972"/>
      <c r="J2203" s="972"/>
      <c r="K2203" s="972"/>
      <c r="L2203" s="972"/>
      <c r="M2203" s="972"/>
    </row>
    <row r="2204" spans="5:13">
      <c r="E2204" s="972"/>
      <c r="F2204" s="972"/>
      <c r="G2204" s="972"/>
      <c r="H2204" s="972"/>
      <c r="I2204" s="972"/>
      <c r="J2204" s="972"/>
      <c r="K2204" s="972"/>
      <c r="L2204" s="972"/>
      <c r="M2204" s="972"/>
    </row>
    <row r="2205" spans="5:13">
      <c r="E2205" s="972"/>
      <c r="F2205" s="972"/>
      <c r="G2205" s="972"/>
      <c r="H2205" s="972"/>
      <c r="I2205" s="972"/>
      <c r="J2205" s="972"/>
      <c r="K2205" s="972"/>
      <c r="L2205" s="972"/>
      <c r="M2205" s="972"/>
    </row>
    <row r="2206" spans="5:13">
      <c r="E2206" s="972"/>
      <c r="F2206" s="972"/>
      <c r="G2206" s="972"/>
      <c r="H2206" s="972"/>
      <c r="I2206" s="972"/>
      <c r="J2206" s="972"/>
      <c r="K2206" s="972"/>
      <c r="L2206" s="972"/>
      <c r="M2206" s="972"/>
    </row>
    <row r="2207" spans="5:13">
      <c r="E2207" s="972"/>
      <c r="F2207" s="972"/>
      <c r="G2207" s="972"/>
      <c r="H2207" s="972"/>
      <c r="I2207" s="972"/>
      <c r="J2207" s="972"/>
      <c r="K2207" s="972"/>
      <c r="L2207" s="972"/>
      <c r="M2207" s="972"/>
    </row>
    <row r="2208" spans="5:13">
      <c r="E2208" s="972"/>
      <c r="F2208" s="972"/>
      <c r="G2208" s="972"/>
      <c r="H2208" s="972"/>
      <c r="I2208" s="972"/>
      <c r="J2208" s="972"/>
      <c r="K2208" s="972"/>
      <c r="L2208" s="972"/>
      <c r="M2208" s="972"/>
    </row>
    <row r="2209" spans="5:13">
      <c r="E2209" s="972"/>
      <c r="F2209" s="972"/>
      <c r="G2209" s="972"/>
      <c r="H2209" s="972"/>
      <c r="I2209" s="972"/>
      <c r="J2209" s="972"/>
      <c r="K2209" s="972"/>
      <c r="L2209" s="972"/>
      <c r="M2209" s="972"/>
    </row>
    <row r="2210" spans="5:13">
      <c r="E2210" s="972"/>
      <c r="F2210" s="972"/>
      <c r="G2210" s="972"/>
      <c r="H2210" s="972"/>
      <c r="I2210" s="972"/>
      <c r="J2210" s="972"/>
      <c r="K2210" s="972"/>
      <c r="L2210" s="972"/>
      <c r="M2210" s="972"/>
    </row>
    <row r="2211" spans="5:13">
      <c r="E2211" s="972"/>
      <c r="F2211" s="972"/>
      <c r="G2211" s="972"/>
      <c r="H2211" s="972"/>
      <c r="I2211" s="972"/>
      <c r="J2211" s="972"/>
      <c r="K2211" s="972"/>
      <c r="L2211" s="972"/>
      <c r="M2211" s="972"/>
    </row>
    <row r="2212" spans="5:13">
      <c r="E2212" s="972"/>
      <c r="F2212" s="972"/>
      <c r="G2212" s="972"/>
      <c r="H2212" s="972"/>
      <c r="I2212" s="972"/>
      <c r="J2212" s="972"/>
      <c r="K2212" s="972"/>
      <c r="L2212" s="972"/>
      <c r="M2212" s="972"/>
    </row>
    <row r="2213" spans="5:13">
      <c r="E2213" s="972"/>
      <c r="F2213" s="972"/>
      <c r="G2213" s="972"/>
      <c r="H2213" s="972"/>
      <c r="I2213" s="972"/>
      <c r="J2213" s="972"/>
      <c r="K2213" s="972"/>
      <c r="L2213" s="972"/>
      <c r="M2213" s="972"/>
    </row>
    <row r="2214" spans="5:13">
      <c r="E2214" s="972"/>
      <c r="F2214" s="972"/>
      <c r="G2214" s="972"/>
      <c r="H2214" s="972"/>
      <c r="I2214" s="972"/>
      <c r="J2214" s="972"/>
      <c r="K2214" s="972"/>
      <c r="L2214" s="972"/>
      <c r="M2214" s="972"/>
    </row>
    <row r="2215" spans="5:13">
      <c r="E2215" s="972"/>
      <c r="F2215" s="972"/>
      <c r="G2215" s="972"/>
      <c r="H2215" s="972"/>
      <c r="I2215" s="972"/>
      <c r="J2215" s="972"/>
      <c r="K2215" s="972"/>
      <c r="L2215" s="972"/>
      <c r="M2215" s="972"/>
    </row>
    <row r="2216" spans="5:13">
      <c r="E2216" s="972"/>
      <c r="F2216" s="972"/>
      <c r="G2216" s="972"/>
      <c r="H2216" s="972"/>
      <c r="I2216" s="972"/>
      <c r="J2216" s="972"/>
      <c r="K2216" s="972"/>
      <c r="L2216" s="972"/>
      <c r="M2216" s="972"/>
    </row>
    <row r="2217" spans="5:13">
      <c r="E2217" s="972"/>
      <c r="F2217" s="972"/>
      <c r="G2217" s="972"/>
      <c r="H2217" s="972"/>
      <c r="I2217" s="972"/>
      <c r="J2217" s="972"/>
      <c r="K2217" s="972"/>
      <c r="L2217" s="972"/>
      <c r="M2217" s="972"/>
    </row>
    <row r="2218" spans="5:13">
      <c r="E2218" s="972"/>
      <c r="F2218" s="972"/>
      <c r="G2218" s="972"/>
      <c r="H2218" s="972"/>
      <c r="I2218" s="972"/>
      <c r="J2218" s="972"/>
      <c r="K2218" s="972"/>
      <c r="L2218" s="972"/>
      <c r="M2218" s="972"/>
    </row>
    <row r="2219" spans="5:13">
      <c r="E2219" s="972"/>
      <c r="F2219" s="972"/>
      <c r="G2219" s="972"/>
      <c r="H2219" s="972"/>
      <c r="I2219" s="972"/>
      <c r="J2219" s="972"/>
      <c r="K2219" s="972"/>
      <c r="L2219" s="972"/>
      <c r="M2219" s="972"/>
    </row>
    <row r="2220" spans="5:13">
      <c r="E2220" s="972"/>
      <c r="F2220" s="972"/>
      <c r="G2220" s="972"/>
      <c r="H2220" s="972"/>
      <c r="I2220" s="972"/>
      <c r="J2220" s="972"/>
      <c r="K2220" s="972"/>
      <c r="L2220" s="972"/>
      <c r="M2220" s="972"/>
    </row>
    <row r="2221" spans="5:13">
      <c r="E2221" s="972"/>
      <c r="F2221" s="972"/>
      <c r="G2221" s="972"/>
      <c r="H2221" s="972"/>
      <c r="I2221" s="972"/>
      <c r="J2221" s="972"/>
      <c r="K2221" s="972"/>
      <c r="L2221" s="972"/>
      <c r="M2221" s="972"/>
    </row>
    <row r="2222" spans="5:13">
      <c r="E2222" s="972"/>
      <c r="F2222" s="972"/>
      <c r="G2222" s="972"/>
      <c r="H2222" s="972"/>
      <c r="I2222" s="972"/>
      <c r="J2222" s="972"/>
      <c r="K2222" s="972"/>
      <c r="L2222" s="972"/>
      <c r="M2222" s="972"/>
    </row>
    <row r="2223" spans="5:13">
      <c r="E2223" s="972"/>
      <c r="F2223" s="972"/>
      <c r="G2223" s="972"/>
      <c r="H2223" s="972"/>
      <c r="I2223" s="972"/>
      <c r="J2223" s="972"/>
      <c r="K2223" s="972"/>
      <c r="L2223" s="972"/>
      <c r="M2223" s="972"/>
    </row>
    <row r="2224" spans="5:13">
      <c r="E2224" s="972"/>
      <c r="F2224" s="972"/>
      <c r="G2224" s="972"/>
      <c r="H2224" s="972"/>
      <c r="I2224" s="972"/>
      <c r="J2224" s="972"/>
      <c r="K2224" s="972"/>
      <c r="L2224" s="972"/>
      <c r="M2224" s="972"/>
    </row>
    <row r="2225" spans="5:13">
      <c r="E2225" s="972"/>
      <c r="F2225" s="972"/>
      <c r="G2225" s="972"/>
      <c r="H2225" s="972"/>
      <c r="I2225" s="972"/>
      <c r="J2225" s="972"/>
      <c r="K2225" s="972"/>
      <c r="L2225" s="972"/>
      <c r="M2225" s="972"/>
    </row>
    <row r="2226" spans="5:13">
      <c r="E2226" s="972"/>
      <c r="F2226" s="972"/>
      <c r="G2226" s="972"/>
      <c r="H2226" s="972"/>
      <c r="I2226" s="972"/>
      <c r="J2226" s="972"/>
      <c r="K2226" s="972"/>
      <c r="L2226" s="972"/>
      <c r="M2226" s="972"/>
    </row>
    <row r="2227" spans="5:13">
      <c r="E2227" s="972"/>
      <c r="F2227" s="972"/>
      <c r="G2227" s="972"/>
      <c r="H2227" s="972"/>
      <c r="I2227" s="972"/>
      <c r="J2227" s="972"/>
      <c r="K2227" s="972"/>
      <c r="L2227" s="972"/>
      <c r="M2227" s="972"/>
    </row>
    <row r="2228" spans="5:13">
      <c r="E2228" s="972"/>
      <c r="F2228" s="972"/>
      <c r="G2228" s="972"/>
      <c r="H2228" s="972"/>
      <c r="I2228" s="972"/>
      <c r="J2228" s="972"/>
      <c r="K2228" s="972"/>
      <c r="L2228" s="972"/>
      <c r="M2228" s="972"/>
    </row>
    <row r="2229" spans="5:13">
      <c r="E2229" s="972"/>
      <c r="F2229" s="972"/>
      <c r="G2229" s="972"/>
      <c r="H2229" s="972"/>
      <c r="I2229" s="972"/>
      <c r="J2229" s="972"/>
      <c r="K2229" s="972"/>
      <c r="L2229" s="972"/>
      <c r="M2229" s="972"/>
    </row>
    <row r="2230" spans="5:13">
      <c r="E2230" s="972"/>
      <c r="F2230" s="972"/>
      <c r="G2230" s="972"/>
      <c r="H2230" s="972"/>
      <c r="I2230" s="972"/>
      <c r="J2230" s="972"/>
      <c r="K2230" s="972"/>
      <c r="L2230" s="972"/>
      <c r="M2230" s="972"/>
    </row>
    <row r="2231" spans="5:13">
      <c r="E2231" s="972"/>
      <c r="F2231" s="972"/>
      <c r="G2231" s="972"/>
      <c r="H2231" s="972"/>
      <c r="I2231" s="972"/>
      <c r="J2231" s="972"/>
      <c r="K2231" s="972"/>
      <c r="L2231" s="972"/>
      <c r="M2231" s="972"/>
    </row>
    <row r="2232" spans="5:13">
      <c r="E2232" s="972"/>
      <c r="F2232" s="972"/>
      <c r="G2232" s="972"/>
      <c r="H2232" s="972"/>
      <c r="I2232" s="972"/>
      <c r="J2232" s="972"/>
      <c r="K2232" s="972"/>
      <c r="L2232" s="972"/>
      <c r="M2232" s="972"/>
    </row>
    <row r="2233" spans="5:13">
      <c r="E2233" s="972"/>
      <c r="F2233" s="972"/>
      <c r="G2233" s="972"/>
      <c r="H2233" s="972"/>
      <c r="I2233" s="972"/>
      <c r="J2233" s="972"/>
      <c r="K2233" s="972"/>
      <c r="L2233" s="972"/>
      <c r="M2233" s="972"/>
    </row>
    <row r="2234" spans="5:13">
      <c r="E2234" s="972"/>
      <c r="F2234" s="972"/>
      <c r="G2234" s="972"/>
      <c r="H2234" s="972"/>
      <c r="I2234" s="972"/>
      <c r="J2234" s="972"/>
      <c r="K2234" s="972"/>
      <c r="L2234" s="972"/>
      <c r="M2234" s="972"/>
    </row>
    <row r="2235" spans="5:13">
      <c r="E2235" s="972"/>
      <c r="F2235" s="972"/>
      <c r="G2235" s="972"/>
      <c r="H2235" s="972"/>
      <c r="I2235" s="972"/>
      <c r="J2235" s="972"/>
      <c r="K2235" s="972"/>
      <c r="L2235" s="972"/>
      <c r="M2235" s="972"/>
    </row>
    <row r="2236" spans="5:13">
      <c r="E2236" s="972"/>
      <c r="F2236" s="972"/>
      <c r="G2236" s="972"/>
      <c r="H2236" s="972"/>
      <c r="I2236" s="972"/>
      <c r="J2236" s="972"/>
      <c r="K2236" s="972"/>
      <c r="L2236" s="972"/>
      <c r="M2236" s="972"/>
    </row>
    <row r="2237" spans="5:13">
      <c r="E2237" s="972"/>
      <c r="F2237" s="972"/>
      <c r="G2237" s="972"/>
      <c r="H2237" s="972"/>
      <c r="I2237" s="972"/>
      <c r="J2237" s="972"/>
      <c r="K2237" s="972"/>
      <c r="L2237" s="972"/>
      <c r="M2237" s="972"/>
    </row>
    <row r="2238" spans="5:13">
      <c r="E2238" s="972"/>
      <c r="F2238" s="972"/>
      <c r="G2238" s="972"/>
      <c r="H2238" s="972"/>
      <c r="I2238" s="972"/>
      <c r="J2238" s="972"/>
      <c r="K2238" s="972"/>
      <c r="L2238" s="972"/>
      <c r="M2238" s="972"/>
    </row>
    <row r="2239" spans="5:13">
      <c r="E2239" s="972"/>
      <c r="F2239" s="972"/>
      <c r="G2239" s="972"/>
      <c r="H2239" s="972"/>
      <c r="I2239" s="972"/>
      <c r="J2239" s="972"/>
      <c r="K2239" s="972"/>
      <c r="L2239" s="972"/>
      <c r="M2239" s="972"/>
    </row>
    <row r="2240" spans="5:13">
      <c r="E2240" s="972"/>
      <c r="F2240" s="972"/>
      <c r="G2240" s="972"/>
      <c r="H2240" s="972"/>
      <c r="I2240" s="972"/>
      <c r="J2240" s="972"/>
      <c r="K2240" s="972"/>
      <c r="L2240" s="972"/>
      <c r="M2240" s="972"/>
    </row>
    <row r="2241" spans="5:13">
      <c r="E2241" s="972"/>
      <c r="F2241" s="972"/>
      <c r="G2241" s="972"/>
      <c r="H2241" s="972"/>
      <c r="I2241" s="972"/>
      <c r="J2241" s="972"/>
      <c r="K2241" s="972"/>
      <c r="L2241" s="972"/>
      <c r="M2241" s="972"/>
    </row>
    <row r="2242" spans="5:13">
      <c r="E2242" s="972"/>
      <c r="F2242" s="972"/>
      <c r="G2242" s="972"/>
      <c r="H2242" s="972"/>
      <c r="I2242" s="972"/>
      <c r="J2242" s="972"/>
      <c r="K2242" s="972"/>
      <c r="L2242" s="972"/>
      <c r="M2242" s="972"/>
    </row>
    <row r="2243" spans="5:13">
      <c r="E2243" s="972"/>
      <c r="F2243" s="972"/>
      <c r="G2243" s="972"/>
      <c r="H2243" s="972"/>
      <c r="I2243" s="972"/>
      <c r="J2243" s="972"/>
      <c r="K2243" s="972"/>
      <c r="L2243" s="972"/>
      <c r="M2243" s="972"/>
    </row>
    <row r="2244" spans="5:13">
      <c r="E2244" s="972"/>
      <c r="F2244" s="972"/>
      <c r="G2244" s="972"/>
      <c r="H2244" s="972"/>
      <c r="I2244" s="972"/>
      <c r="J2244" s="972"/>
      <c r="K2244" s="972"/>
      <c r="L2244" s="972"/>
      <c r="M2244" s="972"/>
    </row>
    <row r="2245" spans="5:13">
      <c r="E2245" s="972"/>
      <c r="F2245" s="972"/>
      <c r="G2245" s="972"/>
      <c r="H2245" s="972"/>
      <c r="I2245" s="972"/>
      <c r="J2245" s="972"/>
      <c r="K2245" s="972"/>
      <c r="L2245" s="972"/>
      <c r="M2245" s="972"/>
    </row>
    <row r="2246" spans="5:13">
      <c r="E2246" s="972"/>
      <c r="F2246" s="972"/>
      <c r="G2246" s="972"/>
      <c r="H2246" s="972"/>
      <c r="I2246" s="972"/>
      <c r="J2246" s="972"/>
      <c r="K2246" s="972"/>
      <c r="L2246" s="972"/>
      <c r="M2246" s="972"/>
    </row>
    <row r="2247" spans="5:13">
      <c r="E2247" s="972"/>
      <c r="F2247" s="972"/>
      <c r="G2247" s="972"/>
      <c r="H2247" s="972"/>
      <c r="I2247" s="972"/>
      <c r="J2247" s="972"/>
      <c r="K2247" s="972"/>
      <c r="L2247" s="972"/>
      <c r="M2247" s="972"/>
    </row>
    <row r="2248" spans="5:13">
      <c r="E2248" s="972"/>
      <c r="F2248" s="972"/>
      <c r="G2248" s="972"/>
      <c r="H2248" s="972"/>
      <c r="I2248" s="972"/>
      <c r="J2248" s="972"/>
      <c r="K2248" s="972"/>
      <c r="L2248" s="972"/>
      <c r="M2248" s="972"/>
    </row>
    <row r="2249" spans="5:13">
      <c r="E2249" s="972"/>
      <c r="F2249" s="972"/>
      <c r="G2249" s="972"/>
      <c r="H2249" s="972"/>
      <c r="I2249" s="972"/>
      <c r="J2249" s="972"/>
      <c r="K2249" s="972"/>
      <c r="L2249" s="972"/>
      <c r="M2249" s="972"/>
    </row>
    <row r="2250" spans="5:13">
      <c r="E2250" s="972"/>
      <c r="F2250" s="972"/>
      <c r="G2250" s="972"/>
      <c r="H2250" s="972"/>
      <c r="I2250" s="972"/>
      <c r="J2250" s="972"/>
      <c r="K2250" s="972"/>
      <c r="L2250" s="972"/>
      <c r="M2250" s="972"/>
    </row>
    <row r="2251" spans="5:13">
      <c r="E2251" s="972"/>
      <c r="F2251" s="972"/>
      <c r="G2251" s="972"/>
      <c r="H2251" s="972"/>
      <c r="I2251" s="972"/>
      <c r="J2251" s="972"/>
      <c r="K2251" s="972"/>
      <c r="L2251" s="972"/>
      <c r="M2251" s="972"/>
    </row>
    <row r="2252" spans="5:13">
      <c r="E2252" s="972"/>
      <c r="F2252" s="972"/>
      <c r="G2252" s="972"/>
      <c r="H2252" s="972"/>
      <c r="I2252" s="972"/>
      <c r="J2252" s="972"/>
      <c r="K2252" s="972"/>
      <c r="L2252" s="972"/>
      <c r="M2252" s="972"/>
    </row>
    <row r="2253" spans="5:13">
      <c r="E2253" s="972"/>
      <c r="F2253" s="972"/>
      <c r="G2253" s="972"/>
      <c r="H2253" s="972"/>
      <c r="I2253" s="972"/>
      <c r="J2253" s="972"/>
      <c r="K2253" s="972"/>
      <c r="L2253" s="972"/>
      <c r="M2253" s="972"/>
    </row>
    <row r="2254" spans="5:13">
      <c r="E2254" s="972"/>
      <c r="F2254" s="972"/>
      <c r="G2254" s="972"/>
      <c r="H2254" s="972"/>
      <c r="I2254" s="972"/>
      <c r="J2254" s="972"/>
      <c r="K2254" s="972"/>
      <c r="L2254" s="972"/>
      <c r="M2254" s="972"/>
    </row>
    <row r="2255" spans="5:13">
      <c r="E2255" s="972"/>
      <c r="F2255" s="972"/>
      <c r="G2255" s="972"/>
      <c r="H2255" s="972"/>
      <c r="I2255" s="972"/>
      <c r="J2255" s="972"/>
      <c r="K2255" s="972"/>
      <c r="L2255" s="972"/>
      <c r="M2255" s="972"/>
    </row>
    <row r="2256" spans="5:13">
      <c r="E2256" s="972"/>
      <c r="F2256" s="972"/>
      <c r="G2256" s="972"/>
      <c r="H2256" s="972"/>
      <c r="I2256" s="972"/>
      <c r="J2256" s="972"/>
      <c r="K2256" s="972"/>
      <c r="L2256" s="972"/>
      <c r="M2256" s="972"/>
    </row>
    <row r="2257" spans="5:13">
      <c r="E2257" s="972"/>
      <c r="F2257" s="972"/>
      <c r="G2257" s="972"/>
      <c r="H2257" s="972"/>
      <c r="I2257" s="972"/>
      <c r="J2257" s="972"/>
      <c r="K2257" s="972"/>
      <c r="L2257" s="972"/>
      <c r="M2257" s="972"/>
    </row>
    <row r="2258" spans="5:13">
      <c r="E2258" s="972"/>
      <c r="F2258" s="972"/>
      <c r="G2258" s="972"/>
      <c r="H2258" s="972"/>
      <c r="I2258" s="972"/>
      <c r="J2258" s="972"/>
      <c r="K2258" s="972"/>
      <c r="L2258" s="972"/>
      <c r="M2258" s="972"/>
    </row>
    <row r="2259" spans="5:13">
      <c r="E2259" s="972"/>
      <c r="F2259" s="972"/>
      <c r="G2259" s="972"/>
      <c r="H2259" s="972"/>
      <c r="I2259" s="972"/>
      <c r="J2259" s="972"/>
      <c r="K2259" s="972"/>
      <c r="L2259" s="972"/>
      <c r="M2259" s="972"/>
    </row>
    <row r="2260" spans="5:13">
      <c r="E2260" s="972"/>
      <c r="F2260" s="972"/>
      <c r="G2260" s="972"/>
      <c r="H2260" s="972"/>
      <c r="I2260" s="972"/>
      <c r="J2260" s="972"/>
      <c r="K2260" s="972"/>
      <c r="L2260" s="972"/>
      <c r="M2260" s="972"/>
    </row>
    <row r="2261" spans="5:13">
      <c r="E2261" s="972"/>
      <c r="F2261" s="972"/>
      <c r="G2261" s="972"/>
      <c r="H2261" s="972"/>
      <c r="I2261" s="972"/>
      <c r="J2261" s="972"/>
      <c r="K2261" s="972"/>
      <c r="L2261" s="972"/>
      <c r="M2261" s="972"/>
    </row>
    <row r="2262" spans="5:13">
      <c r="E2262" s="972"/>
      <c r="F2262" s="972"/>
      <c r="G2262" s="972"/>
      <c r="H2262" s="972"/>
      <c r="I2262" s="972"/>
      <c r="J2262" s="972"/>
      <c r="K2262" s="972"/>
      <c r="L2262" s="972"/>
      <c r="M2262" s="972"/>
    </row>
    <row r="2263" spans="5:13">
      <c r="E2263" s="972"/>
      <c r="F2263" s="972"/>
      <c r="G2263" s="972"/>
      <c r="H2263" s="972"/>
      <c r="I2263" s="972"/>
      <c r="J2263" s="972"/>
      <c r="K2263" s="972"/>
      <c r="L2263" s="972"/>
      <c r="M2263" s="972"/>
    </row>
    <row r="2264" spans="5:13">
      <c r="E2264" s="972"/>
      <c r="F2264" s="972"/>
      <c r="G2264" s="972"/>
      <c r="H2264" s="972"/>
      <c r="I2264" s="972"/>
      <c r="J2264" s="972"/>
      <c r="K2264" s="972"/>
      <c r="L2264" s="972"/>
      <c r="M2264" s="972"/>
    </row>
    <row r="2265" spans="5:13">
      <c r="E2265" s="972"/>
      <c r="F2265" s="972"/>
      <c r="G2265" s="972"/>
      <c r="H2265" s="972"/>
      <c r="I2265" s="972"/>
      <c r="J2265" s="972"/>
      <c r="K2265" s="972"/>
      <c r="L2265" s="972"/>
      <c r="M2265" s="972"/>
    </row>
    <row r="2266" spans="5:13">
      <c r="E2266" s="972"/>
      <c r="F2266" s="972"/>
      <c r="G2266" s="972"/>
      <c r="H2266" s="972"/>
      <c r="I2266" s="972"/>
      <c r="J2266" s="972"/>
      <c r="K2266" s="972"/>
      <c r="L2266" s="972"/>
      <c r="M2266" s="972"/>
    </row>
    <row r="2267" spans="5:13">
      <c r="E2267" s="972"/>
      <c r="F2267" s="972"/>
      <c r="G2267" s="972"/>
      <c r="H2267" s="972"/>
      <c r="I2267" s="972"/>
      <c r="J2267" s="972"/>
      <c r="K2267" s="972"/>
      <c r="L2267" s="972"/>
      <c r="M2267" s="972"/>
    </row>
    <row r="2268" spans="5:13">
      <c r="E2268" s="972"/>
      <c r="F2268" s="972"/>
      <c r="G2268" s="972"/>
      <c r="H2268" s="972"/>
      <c r="I2268" s="972"/>
      <c r="J2268" s="972"/>
      <c r="K2268" s="972"/>
      <c r="L2268" s="972"/>
      <c r="M2268" s="972"/>
    </row>
    <row r="2269" spans="5:13">
      <c r="E2269" s="972"/>
      <c r="F2269" s="972"/>
      <c r="G2269" s="972"/>
      <c r="H2269" s="972"/>
      <c r="I2269" s="972"/>
      <c r="J2269" s="972"/>
      <c r="K2269" s="972"/>
      <c r="L2269" s="972"/>
      <c r="M2269" s="972"/>
    </row>
    <row r="2270" spans="5:13">
      <c r="E2270" s="972"/>
      <c r="F2270" s="972"/>
      <c r="G2270" s="972"/>
      <c r="H2270" s="972"/>
      <c r="I2270" s="972"/>
      <c r="J2270" s="972"/>
      <c r="K2270" s="972"/>
      <c r="L2270" s="972"/>
      <c r="M2270" s="972"/>
    </row>
    <row r="2271" spans="5:13">
      <c r="E2271" s="972"/>
      <c r="F2271" s="972"/>
      <c r="G2271" s="972"/>
      <c r="H2271" s="972"/>
      <c r="I2271" s="972"/>
      <c r="J2271" s="972"/>
      <c r="K2271" s="972"/>
      <c r="L2271" s="972"/>
      <c r="M2271" s="972"/>
    </row>
    <row r="2272" spans="5:13">
      <c r="E2272" s="972"/>
      <c r="F2272" s="972"/>
      <c r="G2272" s="972"/>
      <c r="H2272" s="972"/>
      <c r="I2272" s="972"/>
      <c r="J2272" s="972"/>
      <c r="K2272" s="972"/>
      <c r="L2272" s="972"/>
      <c r="M2272" s="972"/>
    </row>
    <row r="2273" spans="5:13">
      <c r="E2273" s="972"/>
      <c r="F2273" s="972"/>
      <c r="G2273" s="972"/>
      <c r="H2273" s="972"/>
      <c r="I2273" s="972"/>
      <c r="J2273" s="972"/>
      <c r="K2273" s="972"/>
      <c r="L2273" s="972"/>
      <c r="M2273" s="972"/>
    </row>
    <row r="2274" spans="5:13">
      <c r="E2274" s="972"/>
      <c r="F2274" s="972"/>
      <c r="G2274" s="972"/>
      <c r="H2274" s="972"/>
      <c r="I2274" s="972"/>
      <c r="J2274" s="972"/>
      <c r="K2274" s="972"/>
      <c r="L2274" s="972"/>
      <c r="M2274" s="972"/>
    </row>
    <row r="2275" spans="5:13">
      <c r="E2275" s="972"/>
      <c r="F2275" s="972"/>
      <c r="G2275" s="972"/>
      <c r="H2275" s="972"/>
      <c r="I2275" s="972"/>
      <c r="J2275" s="972"/>
      <c r="K2275" s="972"/>
      <c r="L2275" s="972"/>
      <c r="M2275" s="972"/>
    </row>
    <row r="2276" spans="5:13">
      <c r="E2276" s="972"/>
      <c r="F2276" s="972"/>
      <c r="G2276" s="972"/>
      <c r="H2276" s="972"/>
      <c r="I2276" s="972"/>
      <c r="J2276" s="972"/>
      <c r="K2276" s="972"/>
      <c r="L2276" s="972"/>
      <c r="M2276" s="972"/>
    </row>
    <row r="2277" spans="5:13">
      <c r="E2277" s="972"/>
      <c r="F2277" s="972"/>
      <c r="G2277" s="972"/>
      <c r="H2277" s="972"/>
      <c r="I2277" s="972"/>
      <c r="J2277" s="972"/>
      <c r="K2277" s="972"/>
      <c r="L2277" s="972"/>
      <c r="M2277" s="972"/>
    </row>
    <row r="2278" spans="5:13">
      <c r="E2278" s="972"/>
      <c r="F2278" s="972"/>
      <c r="G2278" s="972"/>
      <c r="H2278" s="972"/>
      <c r="I2278" s="972"/>
      <c r="J2278" s="972"/>
      <c r="K2278" s="972"/>
      <c r="L2278" s="972"/>
      <c r="M2278" s="972"/>
    </row>
    <row r="2279" spans="5:13">
      <c r="E2279" s="972"/>
      <c r="F2279" s="972"/>
      <c r="G2279" s="972"/>
      <c r="H2279" s="972"/>
      <c r="I2279" s="972"/>
      <c r="J2279" s="972"/>
      <c r="K2279" s="972"/>
      <c r="L2279" s="972"/>
      <c r="M2279" s="972"/>
    </row>
    <row r="2280" spans="5:13">
      <c r="E2280" s="972"/>
      <c r="F2280" s="972"/>
      <c r="G2280" s="972"/>
      <c r="H2280" s="972"/>
      <c r="I2280" s="972"/>
      <c r="J2280" s="972"/>
      <c r="K2280" s="972"/>
      <c r="L2280" s="972"/>
      <c r="M2280" s="972"/>
    </row>
    <row r="2281" spans="5:13">
      <c r="E2281" s="972"/>
      <c r="F2281" s="972"/>
      <c r="G2281" s="972"/>
      <c r="H2281" s="972"/>
      <c r="I2281" s="972"/>
      <c r="J2281" s="972"/>
      <c r="K2281" s="972"/>
      <c r="L2281" s="972"/>
      <c r="M2281" s="972"/>
    </row>
    <row r="2282" spans="5:13">
      <c r="E2282" s="972"/>
      <c r="F2282" s="972"/>
      <c r="G2282" s="972"/>
      <c r="H2282" s="972"/>
      <c r="I2282" s="972"/>
      <c r="J2282" s="972"/>
      <c r="K2282" s="972"/>
      <c r="L2282" s="972"/>
      <c r="M2282" s="972"/>
    </row>
    <row r="2283" spans="5:13">
      <c r="E2283" s="972"/>
      <c r="F2283" s="972"/>
      <c r="G2283" s="972"/>
      <c r="H2283" s="972"/>
      <c r="I2283" s="972"/>
      <c r="J2283" s="972"/>
      <c r="K2283" s="972"/>
      <c r="L2283" s="972"/>
      <c r="M2283" s="972"/>
    </row>
    <row r="2284" spans="5:13">
      <c r="E2284" s="972"/>
      <c r="F2284" s="972"/>
      <c r="G2284" s="972"/>
      <c r="H2284" s="972"/>
      <c r="I2284" s="972"/>
      <c r="J2284" s="972"/>
      <c r="K2284" s="972"/>
      <c r="L2284" s="972"/>
      <c r="M2284" s="972"/>
    </row>
    <row r="2285" spans="5:13">
      <c r="E2285" s="972"/>
      <c r="F2285" s="972"/>
      <c r="G2285" s="972"/>
      <c r="H2285" s="972"/>
      <c r="I2285" s="972"/>
      <c r="J2285" s="972"/>
      <c r="K2285" s="972"/>
      <c r="L2285" s="972"/>
      <c r="M2285" s="972"/>
    </row>
    <row r="2286" spans="5:13">
      <c r="E2286" s="972"/>
      <c r="F2286" s="972"/>
      <c r="G2286" s="972"/>
      <c r="H2286" s="972"/>
      <c r="I2286" s="972"/>
      <c r="J2286" s="972"/>
      <c r="K2286" s="972"/>
      <c r="L2286" s="972"/>
      <c r="M2286" s="972"/>
    </row>
    <row r="2287" spans="5:13">
      <c r="E2287" s="972"/>
      <c r="F2287" s="972"/>
      <c r="G2287" s="972"/>
      <c r="H2287" s="972"/>
      <c r="I2287" s="972"/>
      <c r="J2287" s="972"/>
      <c r="K2287" s="972"/>
      <c r="L2287" s="972"/>
      <c r="M2287" s="972"/>
    </row>
    <row r="2288" spans="5:13">
      <c r="E2288" s="972"/>
      <c r="F2288" s="972"/>
      <c r="G2288" s="972"/>
      <c r="H2288" s="972"/>
      <c r="I2288" s="972"/>
      <c r="J2288" s="972"/>
      <c r="K2288" s="972"/>
      <c r="L2288" s="972"/>
      <c r="M2288" s="972"/>
    </row>
    <row r="2289" spans="5:13">
      <c r="E2289" s="972"/>
      <c r="F2289" s="972"/>
      <c r="G2289" s="972"/>
      <c r="H2289" s="972"/>
      <c r="I2289" s="972"/>
      <c r="J2289" s="972"/>
      <c r="K2289" s="972"/>
      <c r="L2289" s="972"/>
      <c r="M2289" s="972"/>
    </row>
    <row r="2290" spans="5:13">
      <c r="E2290" s="972"/>
      <c r="F2290" s="972"/>
      <c r="G2290" s="972"/>
      <c r="H2290" s="972"/>
      <c r="I2290" s="972"/>
      <c r="J2290" s="972"/>
      <c r="K2290" s="972"/>
      <c r="L2290" s="972"/>
      <c r="M2290" s="972"/>
    </row>
    <row r="2291" spans="5:13">
      <c r="E2291" s="972"/>
      <c r="F2291" s="972"/>
      <c r="G2291" s="972"/>
      <c r="H2291" s="972"/>
      <c r="I2291" s="972"/>
      <c r="J2291" s="972"/>
      <c r="K2291" s="972"/>
      <c r="L2291" s="972"/>
      <c r="M2291" s="972"/>
    </row>
    <row r="2292" spans="5:13">
      <c r="E2292" s="972"/>
      <c r="F2292" s="972"/>
      <c r="G2292" s="972"/>
      <c r="H2292" s="972"/>
      <c r="I2292" s="972"/>
      <c r="J2292" s="972"/>
      <c r="K2292" s="972"/>
      <c r="L2292" s="972"/>
      <c r="M2292" s="972"/>
    </row>
    <row r="2293" spans="5:13">
      <c r="E2293" s="972"/>
      <c r="F2293" s="972"/>
      <c r="G2293" s="972"/>
      <c r="H2293" s="972"/>
      <c r="I2293" s="972"/>
      <c r="J2293" s="972"/>
      <c r="K2293" s="972"/>
      <c r="L2293" s="972"/>
      <c r="M2293" s="972"/>
    </row>
    <row r="2294" spans="5:13">
      <c r="E2294" s="972"/>
      <c r="F2294" s="972"/>
      <c r="G2294" s="972"/>
      <c r="H2294" s="972"/>
      <c r="I2294" s="972"/>
      <c r="J2294" s="972"/>
      <c r="K2294" s="972"/>
      <c r="L2294" s="972"/>
      <c r="M2294" s="972"/>
    </row>
    <row r="2295" spans="5:13">
      <c r="E2295" s="972"/>
      <c r="F2295" s="972"/>
      <c r="G2295" s="972"/>
      <c r="H2295" s="972"/>
      <c r="I2295" s="972"/>
      <c r="J2295" s="972"/>
      <c r="K2295" s="972"/>
      <c r="L2295" s="972"/>
      <c r="M2295" s="972"/>
    </row>
    <row r="2296" spans="5:13">
      <c r="E2296" s="972"/>
      <c r="F2296" s="972"/>
      <c r="G2296" s="972"/>
      <c r="H2296" s="972"/>
      <c r="I2296" s="972"/>
      <c r="J2296" s="972"/>
      <c r="K2296" s="972"/>
      <c r="L2296" s="972"/>
      <c r="M2296" s="972"/>
    </row>
    <row r="2297" spans="5:13">
      <c r="E2297" s="972"/>
      <c r="F2297" s="972"/>
      <c r="G2297" s="972"/>
      <c r="H2297" s="972"/>
      <c r="I2297" s="972"/>
      <c r="J2297" s="972"/>
      <c r="K2297" s="972"/>
      <c r="L2297" s="972"/>
      <c r="M2297" s="972"/>
    </row>
    <row r="2298" spans="5:13">
      <c r="E2298" s="972"/>
      <c r="F2298" s="972"/>
      <c r="G2298" s="972"/>
      <c r="H2298" s="972"/>
      <c r="I2298" s="972"/>
      <c r="J2298" s="972"/>
      <c r="K2298" s="972"/>
      <c r="L2298" s="972"/>
      <c r="M2298" s="972"/>
    </row>
    <row r="2299" spans="5:13">
      <c r="E2299" s="972"/>
      <c r="F2299" s="972"/>
      <c r="G2299" s="972"/>
      <c r="H2299" s="972"/>
      <c r="I2299" s="972"/>
      <c r="J2299" s="972"/>
      <c r="K2299" s="972"/>
      <c r="L2299" s="972"/>
      <c r="M2299" s="972"/>
    </row>
    <row r="2300" spans="5:13">
      <c r="E2300" s="972"/>
      <c r="F2300" s="972"/>
      <c r="G2300" s="972"/>
      <c r="H2300" s="972"/>
      <c r="I2300" s="972"/>
      <c r="J2300" s="972"/>
      <c r="K2300" s="972"/>
      <c r="L2300" s="972"/>
      <c r="M2300" s="972"/>
    </row>
    <row r="2301" spans="5:13">
      <c r="E2301" s="972"/>
      <c r="F2301" s="972"/>
      <c r="G2301" s="972"/>
      <c r="H2301" s="972"/>
      <c r="I2301" s="972"/>
      <c r="J2301" s="972"/>
      <c r="K2301" s="972"/>
      <c r="L2301" s="972"/>
      <c r="M2301" s="972"/>
    </row>
    <row r="2302" spans="5:13">
      <c r="E2302" s="972"/>
      <c r="F2302" s="972"/>
      <c r="G2302" s="972"/>
      <c r="H2302" s="972"/>
      <c r="I2302" s="972"/>
      <c r="J2302" s="972"/>
      <c r="K2302" s="972"/>
      <c r="L2302" s="972"/>
      <c r="M2302" s="972"/>
    </row>
    <row r="2303" spans="5:13">
      <c r="E2303" s="972"/>
      <c r="F2303" s="972"/>
      <c r="G2303" s="972"/>
      <c r="H2303" s="972"/>
      <c r="I2303" s="972"/>
      <c r="J2303" s="972"/>
      <c r="K2303" s="972"/>
      <c r="L2303" s="972"/>
      <c r="M2303" s="972"/>
    </row>
    <row r="2304" spans="5:13">
      <c r="E2304" s="972"/>
      <c r="F2304" s="972"/>
      <c r="G2304" s="972"/>
      <c r="H2304" s="972"/>
      <c r="I2304" s="972"/>
      <c r="J2304" s="972"/>
      <c r="K2304" s="972"/>
      <c r="L2304" s="972"/>
      <c r="M2304" s="972"/>
    </row>
    <row r="2305" spans="5:13">
      <c r="E2305" s="972"/>
      <c r="F2305" s="972"/>
      <c r="G2305" s="972"/>
      <c r="H2305" s="972"/>
      <c r="I2305" s="972"/>
      <c r="J2305" s="972"/>
      <c r="K2305" s="972"/>
      <c r="L2305" s="972"/>
      <c r="M2305" s="972"/>
    </row>
    <row r="2306" spans="5:13">
      <c r="E2306" s="972"/>
      <c r="F2306" s="972"/>
      <c r="G2306" s="972"/>
      <c r="H2306" s="972"/>
      <c r="I2306" s="972"/>
      <c r="J2306" s="972"/>
      <c r="K2306" s="972"/>
      <c r="L2306" s="972"/>
      <c r="M2306" s="972"/>
    </row>
    <row r="2307" spans="5:13">
      <c r="E2307" s="972"/>
      <c r="F2307" s="972"/>
      <c r="G2307" s="972"/>
      <c r="H2307" s="972"/>
      <c r="I2307" s="972"/>
      <c r="J2307" s="972"/>
      <c r="K2307" s="972"/>
      <c r="L2307" s="972"/>
      <c r="M2307" s="972"/>
    </row>
    <row r="2308" spans="5:13">
      <c r="E2308" s="972"/>
      <c r="F2308" s="972"/>
      <c r="G2308" s="972"/>
      <c r="H2308" s="972"/>
      <c r="I2308" s="972"/>
      <c r="J2308" s="972"/>
      <c r="K2308" s="972"/>
      <c r="L2308" s="972"/>
      <c r="M2308" s="972"/>
    </row>
    <row r="2309" spans="5:13">
      <c r="E2309" s="972"/>
      <c r="F2309" s="972"/>
      <c r="G2309" s="972"/>
      <c r="H2309" s="972"/>
      <c r="I2309" s="972"/>
      <c r="J2309" s="972"/>
      <c r="K2309" s="972"/>
      <c r="L2309" s="972"/>
      <c r="M2309" s="972"/>
    </row>
    <row r="2310" spans="5:13">
      <c r="E2310" s="972"/>
      <c r="F2310" s="972"/>
      <c r="G2310" s="972"/>
      <c r="H2310" s="972"/>
      <c r="I2310" s="972"/>
      <c r="J2310" s="972"/>
      <c r="K2310" s="972"/>
      <c r="L2310" s="972"/>
      <c r="M2310" s="972"/>
    </row>
    <row r="2311" spans="5:13">
      <c r="E2311" s="972"/>
      <c r="F2311" s="972"/>
      <c r="G2311" s="972"/>
      <c r="H2311" s="972"/>
      <c r="I2311" s="972"/>
      <c r="J2311" s="972"/>
      <c r="K2311" s="972"/>
      <c r="L2311" s="972"/>
      <c r="M2311" s="972"/>
    </row>
    <row r="2312" spans="5:13">
      <c r="E2312" s="972"/>
      <c r="F2312" s="972"/>
      <c r="G2312" s="972"/>
      <c r="H2312" s="972"/>
      <c r="I2312" s="972"/>
      <c r="J2312" s="972"/>
      <c r="K2312" s="972"/>
      <c r="L2312" s="972"/>
      <c r="M2312" s="972"/>
    </row>
    <row r="2313" spans="5:13">
      <c r="E2313" s="972"/>
      <c r="F2313" s="972"/>
      <c r="G2313" s="972"/>
      <c r="H2313" s="972"/>
      <c r="I2313" s="972"/>
      <c r="J2313" s="972"/>
      <c r="K2313" s="972"/>
      <c r="L2313" s="972"/>
      <c r="M2313" s="972"/>
    </row>
    <row r="2314" spans="5:13">
      <c r="E2314" s="972"/>
      <c r="F2314" s="972"/>
      <c r="G2314" s="972"/>
      <c r="H2314" s="972"/>
      <c r="I2314" s="972"/>
      <c r="J2314" s="972"/>
      <c r="K2314" s="972"/>
      <c r="L2314" s="972"/>
      <c r="M2314" s="972"/>
    </row>
    <row r="2315" spans="5:13">
      <c r="E2315" s="972"/>
      <c r="F2315" s="972"/>
      <c r="G2315" s="972"/>
      <c r="H2315" s="972"/>
      <c r="I2315" s="972"/>
      <c r="J2315" s="972"/>
      <c r="K2315" s="972"/>
      <c r="L2315" s="972"/>
      <c r="M2315" s="972"/>
    </row>
    <row r="2316" spans="5:13">
      <c r="E2316" s="972"/>
      <c r="F2316" s="972"/>
      <c r="G2316" s="972"/>
      <c r="H2316" s="972"/>
      <c r="I2316" s="972"/>
      <c r="J2316" s="972"/>
      <c r="K2316" s="972"/>
      <c r="L2316" s="972"/>
      <c r="M2316" s="972"/>
    </row>
    <row r="2317" spans="5:13">
      <c r="E2317" s="972"/>
      <c r="F2317" s="972"/>
      <c r="G2317" s="972"/>
      <c r="H2317" s="972"/>
      <c r="I2317" s="972"/>
      <c r="J2317" s="972"/>
      <c r="K2317" s="972"/>
      <c r="L2317" s="972"/>
      <c r="M2317" s="972"/>
    </row>
    <row r="2318" spans="5:13">
      <c r="E2318" s="972"/>
      <c r="F2318" s="972"/>
      <c r="G2318" s="972"/>
      <c r="H2318" s="972"/>
      <c r="I2318" s="972"/>
      <c r="J2318" s="972"/>
      <c r="K2318" s="972"/>
      <c r="L2318" s="972"/>
      <c r="M2318" s="972"/>
    </row>
    <row r="2319" spans="5:13">
      <c r="E2319" s="972"/>
      <c r="F2319" s="972"/>
      <c r="G2319" s="972"/>
      <c r="H2319" s="972"/>
      <c r="I2319" s="972"/>
      <c r="J2319" s="972"/>
      <c r="K2319" s="972"/>
      <c r="L2319" s="972"/>
      <c r="M2319" s="972"/>
    </row>
    <row r="2320" spans="5:13">
      <c r="E2320" s="972"/>
      <c r="F2320" s="972"/>
      <c r="G2320" s="972"/>
      <c r="H2320" s="972"/>
      <c r="I2320" s="972"/>
      <c r="J2320" s="972"/>
      <c r="K2320" s="972"/>
      <c r="L2320" s="972"/>
      <c r="M2320" s="972"/>
    </row>
    <row r="2321" spans="5:13">
      <c r="E2321" s="972"/>
      <c r="F2321" s="972"/>
      <c r="G2321" s="972"/>
      <c r="H2321" s="972"/>
      <c r="I2321" s="972"/>
      <c r="J2321" s="972"/>
      <c r="K2321" s="972"/>
      <c r="L2321" s="972"/>
      <c r="M2321" s="972"/>
    </row>
    <row r="2322" spans="5:13">
      <c r="E2322" s="972"/>
      <c r="F2322" s="972"/>
      <c r="G2322" s="972"/>
      <c r="H2322" s="972"/>
      <c r="I2322" s="972"/>
      <c r="J2322" s="972"/>
      <c r="K2322" s="972"/>
      <c r="L2322" s="972"/>
      <c r="M2322" s="972"/>
    </row>
    <row r="2323" spans="5:13">
      <c r="E2323" s="972"/>
      <c r="F2323" s="972"/>
      <c r="G2323" s="972"/>
      <c r="H2323" s="972"/>
      <c r="I2323" s="972"/>
      <c r="J2323" s="972"/>
      <c r="K2323" s="972"/>
      <c r="L2323" s="972"/>
      <c r="M2323" s="972"/>
    </row>
    <row r="2324" spans="5:13">
      <c r="E2324" s="972"/>
      <c r="F2324" s="972"/>
      <c r="G2324" s="972"/>
      <c r="H2324" s="972"/>
      <c r="I2324" s="972"/>
      <c r="J2324" s="972"/>
      <c r="K2324" s="972"/>
      <c r="L2324" s="972"/>
      <c r="M2324" s="972"/>
    </row>
    <row r="2325" spans="5:13">
      <c r="E2325" s="972"/>
      <c r="F2325" s="972"/>
      <c r="G2325" s="972"/>
      <c r="H2325" s="972"/>
      <c r="I2325" s="972"/>
      <c r="J2325" s="972"/>
      <c r="K2325" s="972"/>
      <c r="L2325" s="972"/>
      <c r="M2325" s="972"/>
    </row>
    <row r="2326" spans="5:13">
      <c r="E2326" s="972"/>
      <c r="F2326" s="972"/>
      <c r="G2326" s="972"/>
      <c r="H2326" s="972"/>
      <c r="I2326" s="972"/>
      <c r="J2326" s="972"/>
      <c r="K2326" s="972"/>
      <c r="L2326" s="972"/>
      <c r="M2326" s="972"/>
    </row>
    <row r="2327" spans="5:13">
      <c r="E2327" s="972"/>
      <c r="F2327" s="972"/>
      <c r="G2327" s="972"/>
      <c r="H2327" s="972"/>
      <c r="I2327" s="972"/>
      <c r="J2327" s="972"/>
      <c r="K2327" s="972"/>
      <c r="L2327" s="972"/>
      <c r="M2327" s="972"/>
    </row>
    <row r="2328" spans="5:13">
      <c r="E2328" s="972"/>
      <c r="F2328" s="972"/>
      <c r="G2328" s="972"/>
      <c r="H2328" s="972"/>
      <c r="I2328" s="972"/>
      <c r="J2328" s="972"/>
      <c r="K2328" s="972"/>
      <c r="L2328" s="972"/>
      <c r="M2328" s="972"/>
    </row>
    <row r="2329" spans="5:13">
      <c r="E2329" s="972"/>
      <c r="F2329" s="972"/>
      <c r="G2329" s="972"/>
      <c r="H2329" s="972"/>
      <c r="I2329" s="972"/>
      <c r="J2329" s="972"/>
      <c r="K2329" s="972"/>
      <c r="L2329" s="972"/>
      <c r="M2329" s="972"/>
    </row>
    <row r="2330" spans="5:13">
      <c r="E2330" s="972"/>
      <c r="F2330" s="972"/>
      <c r="G2330" s="972"/>
      <c r="H2330" s="972"/>
      <c r="I2330" s="972"/>
      <c r="J2330" s="972"/>
      <c r="K2330" s="972"/>
      <c r="L2330" s="972"/>
      <c r="M2330" s="972"/>
    </row>
    <row r="2331" spans="5:13">
      <c r="E2331" s="972"/>
      <c r="F2331" s="972"/>
      <c r="G2331" s="972"/>
      <c r="H2331" s="972"/>
      <c r="I2331" s="972"/>
      <c r="J2331" s="972"/>
      <c r="K2331" s="972"/>
      <c r="L2331" s="972"/>
      <c r="M2331" s="972"/>
    </row>
    <row r="2332" spans="5:13">
      <c r="E2332" s="972"/>
      <c r="F2332" s="972"/>
      <c r="G2332" s="972"/>
      <c r="H2332" s="972"/>
      <c r="I2332" s="972"/>
      <c r="J2332" s="972"/>
      <c r="K2332" s="972"/>
      <c r="L2332" s="972"/>
      <c r="M2332" s="972"/>
    </row>
    <row r="2333" spans="5:13">
      <c r="E2333" s="972"/>
      <c r="F2333" s="972"/>
      <c r="G2333" s="972"/>
      <c r="H2333" s="972"/>
      <c r="I2333" s="972"/>
      <c r="J2333" s="972"/>
      <c r="K2333" s="972"/>
      <c r="L2333" s="972"/>
      <c r="M2333" s="972"/>
    </row>
    <row r="2334" spans="5:13">
      <c r="E2334" s="972"/>
      <c r="F2334" s="972"/>
      <c r="G2334" s="972"/>
      <c r="H2334" s="972"/>
      <c r="I2334" s="972"/>
      <c r="J2334" s="972"/>
      <c r="K2334" s="972"/>
      <c r="L2334" s="972"/>
      <c r="M2334" s="972"/>
    </row>
    <row r="2335" spans="5:13">
      <c r="E2335" s="972"/>
      <c r="F2335" s="972"/>
      <c r="G2335" s="972"/>
      <c r="H2335" s="972"/>
      <c r="I2335" s="972"/>
      <c r="J2335" s="972"/>
      <c r="K2335" s="972"/>
      <c r="L2335" s="972"/>
      <c r="M2335" s="972"/>
    </row>
    <row r="2336" spans="5:13">
      <c r="E2336" s="972"/>
      <c r="F2336" s="972"/>
      <c r="G2336" s="972"/>
      <c r="H2336" s="972"/>
      <c r="I2336" s="972"/>
      <c r="J2336" s="972"/>
      <c r="K2336" s="972"/>
      <c r="L2336" s="972"/>
      <c r="M2336" s="972"/>
    </row>
    <row r="2337" spans="5:13">
      <c r="E2337" s="972"/>
      <c r="F2337" s="972"/>
      <c r="G2337" s="972"/>
      <c r="H2337" s="972"/>
      <c r="I2337" s="972"/>
      <c r="J2337" s="972"/>
      <c r="K2337" s="972"/>
      <c r="L2337" s="972"/>
      <c r="M2337" s="972"/>
    </row>
    <row r="2338" spans="5:13">
      <c r="E2338" s="972"/>
      <c r="F2338" s="972"/>
      <c r="G2338" s="972"/>
      <c r="H2338" s="972"/>
      <c r="I2338" s="972"/>
      <c r="J2338" s="972"/>
      <c r="K2338" s="972"/>
      <c r="L2338" s="972"/>
      <c r="M2338" s="972"/>
    </row>
    <row r="2339" spans="5:13">
      <c r="E2339" s="972"/>
      <c r="F2339" s="972"/>
      <c r="G2339" s="972"/>
      <c r="H2339" s="972"/>
      <c r="I2339" s="972"/>
      <c r="J2339" s="972"/>
      <c r="K2339" s="972"/>
      <c r="L2339" s="972"/>
      <c r="M2339" s="972"/>
    </row>
    <row r="2340" spans="5:13">
      <c r="E2340" s="972"/>
      <c r="F2340" s="972"/>
      <c r="G2340" s="972"/>
      <c r="H2340" s="972"/>
      <c r="I2340" s="972"/>
      <c r="J2340" s="972"/>
      <c r="K2340" s="972"/>
      <c r="L2340" s="972"/>
      <c r="M2340" s="972"/>
    </row>
    <row r="2341" spans="5:13">
      <c r="E2341" s="972"/>
      <c r="F2341" s="972"/>
      <c r="G2341" s="972"/>
      <c r="H2341" s="972"/>
      <c r="I2341" s="972"/>
      <c r="J2341" s="972"/>
      <c r="K2341" s="972"/>
      <c r="L2341" s="972"/>
      <c r="M2341" s="972"/>
    </row>
    <row r="2342" spans="5:13">
      <c r="E2342" s="972"/>
      <c r="F2342" s="972"/>
      <c r="G2342" s="972"/>
      <c r="H2342" s="972"/>
      <c r="I2342" s="972"/>
      <c r="J2342" s="972"/>
      <c r="K2342" s="972"/>
      <c r="L2342" s="972"/>
      <c r="M2342" s="972"/>
    </row>
    <row r="2343" spans="5:13">
      <c r="E2343" s="972"/>
      <c r="F2343" s="972"/>
      <c r="G2343" s="972"/>
      <c r="H2343" s="972"/>
      <c r="I2343" s="972"/>
      <c r="J2343" s="972"/>
      <c r="K2343" s="972"/>
      <c r="L2343" s="972"/>
      <c r="M2343" s="972"/>
    </row>
    <row r="2344" spans="5:13">
      <c r="E2344" s="972"/>
      <c r="F2344" s="972"/>
      <c r="G2344" s="972"/>
      <c r="H2344" s="972"/>
      <c r="I2344" s="972"/>
      <c r="J2344" s="972"/>
      <c r="K2344" s="972"/>
      <c r="L2344" s="972"/>
      <c r="M2344" s="972"/>
    </row>
    <row r="2345" spans="5:13">
      <c r="E2345" s="972"/>
      <c r="F2345" s="972"/>
      <c r="G2345" s="972"/>
      <c r="H2345" s="972"/>
      <c r="I2345" s="972"/>
      <c r="J2345" s="972"/>
      <c r="K2345" s="972"/>
      <c r="L2345" s="972"/>
      <c r="M2345" s="972"/>
    </row>
    <row r="2346" spans="5:13">
      <c r="E2346" s="972"/>
      <c r="F2346" s="972"/>
      <c r="G2346" s="972"/>
      <c r="H2346" s="972"/>
      <c r="I2346" s="972"/>
      <c r="J2346" s="972"/>
      <c r="K2346" s="972"/>
      <c r="L2346" s="972"/>
      <c r="M2346" s="972"/>
    </row>
    <row r="2347" spans="5:13">
      <c r="E2347" s="972"/>
      <c r="F2347" s="972"/>
      <c r="G2347" s="972"/>
      <c r="H2347" s="972"/>
      <c r="I2347" s="972"/>
      <c r="J2347" s="972"/>
      <c r="K2347" s="972"/>
      <c r="L2347" s="972"/>
      <c r="M2347" s="972"/>
    </row>
    <row r="2348" spans="5:13">
      <c r="E2348" s="972"/>
      <c r="F2348" s="972"/>
      <c r="G2348" s="972"/>
      <c r="H2348" s="972"/>
      <c r="I2348" s="972"/>
      <c r="J2348" s="972"/>
      <c r="K2348" s="972"/>
      <c r="L2348" s="972"/>
      <c r="M2348" s="972"/>
    </row>
    <row r="2349" spans="5:13">
      <c r="E2349" s="972"/>
      <c r="F2349" s="972"/>
      <c r="G2349" s="972"/>
      <c r="H2349" s="972"/>
      <c r="I2349" s="972"/>
      <c r="J2349" s="972"/>
      <c r="K2349" s="972"/>
      <c r="L2349" s="972"/>
      <c r="M2349" s="972"/>
    </row>
    <row r="2350" spans="5:13">
      <c r="E2350" s="972"/>
      <c r="F2350" s="972"/>
      <c r="G2350" s="972"/>
      <c r="H2350" s="972"/>
      <c r="I2350" s="972"/>
      <c r="J2350" s="972"/>
      <c r="K2350" s="972"/>
      <c r="L2350" s="972"/>
      <c r="M2350" s="972"/>
    </row>
    <row r="2351" spans="5:13">
      <c r="E2351" s="972"/>
      <c r="F2351" s="972"/>
      <c r="G2351" s="972"/>
      <c r="H2351" s="972"/>
      <c r="I2351" s="972"/>
      <c r="J2351" s="972"/>
      <c r="K2351" s="972"/>
      <c r="L2351" s="972"/>
      <c r="M2351" s="972"/>
    </row>
    <row r="2352" spans="5:13">
      <c r="E2352" s="972"/>
      <c r="F2352" s="972"/>
      <c r="G2352" s="972"/>
      <c r="H2352" s="972"/>
      <c r="I2352" s="972"/>
      <c r="J2352" s="972"/>
      <c r="K2352" s="972"/>
      <c r="L2352" s="972"/>
      <c r="M2352" s="972"/>
    </row>
    <row r="2353" spans="5:13">
      <c r="E2353" s="972"/>
      <c r="F2353" s="972"/>
      <c r="G2353" s="972"/>
      <c r="H2353" s="972"/>
      <c r="I2353" s="972"/>
      <c r="J2353" s="972"/>
      <c r="K2353" s="972"/>
      <c r="L2353" s="972"/>
      <c r="M2353" s="972"/>
    </row>
    <row r="2354" spans="5:13">
      <c r="E2354" s="972"/>
      <c r="F2354" s="972"/>
      <c r="G2354" s="972"/>
      <c r="H2354" s="972"/>
      <c r="I2354" s="972"/>
      <c r="J2354" s="972"/>
      <c r="K2354" s="972"/>
      <c r="L2354" s="972"/>
      <c r="M2354" s="972"/>
    </row>
    <row r="2355" spans="5:13">
      <c r="E2355" s="972"/>
      <c r="F2355" s="972"/>
      <c r="G2355" s="972"/>
      <c r="H2355" s="972"/>
      <c r="I2355" s="972"/>
      <c r="J2355" s="972"/>
      <c r="K2355" s="972"/>
      <c r="L2355" s="972"/>
      <c r="M2355" s="972"/>
    </row>
    <row r="2356" spans="5:13">
      <c r="E2356" s="972"/>
      <c r="F2356" s="972"/>
      <c r="G2356" s="972"/>
      <c r="H2356" s="972"/>
      <c r="I2356" s="972"/>
      <c r="J2356" s="972"/>
      <c r="K2356" s="972"/>
      <c r="L2356" s="972"/>
      <c r="M2356" s="972"/>
    </row>
    <row r="2357" spans="5:13">
      <c r="E2357" s="972"/>
      <c r="F2357" s="972"/>
      <c r="G2357" s="972"/>
      <c r="H2357" s="972"/>
      <c r="I2357" s="972"/>
      <c r="J2357" s="972"/>
      <c r="K2357" s="972"/>
      <c r="L2357" s="972"/>
      <c r="M2357" s="972"/>
    </row>
    <row r="2358" spans="5:13">
      <c r="E2358" s="972"/>
      <c r="F2358" s="972"/>
      <c r="G2358" s="972"/>
      <c r="H2358" s="972"/>
      <c r="I2358" s="972"/>
      <c r="J2358" s="972"/>
      <c r="K2358" s="972"/>
      <c r="L2358" s="972"/>
      <c r="M2358" s="972"/>
    </row>
    <row r="2359" spans="5:13">
      <c r="E2359" s="972"/>
      <c r="F2359" s="972"/>
      <c r="G2359" s="972"/>
      <c r="H2359" s="972"/>
      <c r="I2359" s="972"/>
      <c r="J2359" s="972"/>
      <c r="K2359" s="972"/>
      <c r="L2359" s="972"/>
      <c r="M2359" s="972"/>
    </row>
    <row r="2360" spans="5:13">
      <c r="E2360" s="972"/>
      <c r="F2360" s="972"/>
      <c r="G2360" s="972"/>
      <c r="H2360" s="972"/>
      <c r="I2360" s="972"/>
      <c r="J2360" s="972"/>
      <c r="K2360" s="972"/>
      <c r="L2360" s="972"/>
      <c r="M2360" s="972"/>
    </row>
    <row r="2361" spans="5:13">
      <c r="E2361" s="972"/>
      <c r="F2361" s="972"/>
      <c r="G2361" s="972"/>
      <c r="H2361" s="972"/>
      <c r="I2361" s="972"/>
      <c r="J2361" s="972"/>
      <c r="K2361" s="972"/>
      <c r="L2361" s="972"/>
      <c r="M2361" s="972"/>
    </row>
    <row r="2362" spans="5:13">
      <c r="E2362" s="972"/>
      <c r="F2362" s="972"/>
      <c r="G2362" s="972"/>
      <c r="H2362" s="972"/>
      <c r="I2362" s="972"/>
      <c r="J2362" s="972"/>
      <c r="K2362" s="972"/>
      <c r="L2362" s="972"/>
      <c r="M2362" s="972"/>
    </row>
    <row r="2363" spans="5:13">
      <c r="E2363" s="972"/>
      <c r="F2363" s="972"/>
      <c r="G2363" s="972"/>
      <c r="H2363" s="972"/>
      <c r="I2363" s="972"/>
      <c r="J2363" s="972"/>
      <c r="K2363" s="972"/>
      <c r="L2363" s="972"/>
      <c r="M2363" s="972"/>
    </row>
    <row r="2364" spans="5:13">
      <c r="E2364" s="972"/>
      <c r="F2364" s="972"/>
      <c r="G2364" s="972"/>
      <c r="H2364" s="972"/>
      <c r="I2364" s="972"/>
      <c r="J2364" s="972"/>
      <c r="K2364" s="972"/>
      <c r="L2364" s="972"/>
      <c r="M2364" s="972"/>
    </row>
    <row r="2365" spans="5:13">
      <c r="E2365" s="972"/>
      <c r="F2365" s="972"/>
      <c r="G2365" s="972"/>
      <c r="H2365" s="972"/>
      <c r="I2365" s="972"/>
      <c r="J2365" s="972"/>
      <c r="K2365" s="972"/>
      <c r="L2365" s="972"/>
      <c r="M2365" s="972"/>
    </row>
    <row r="2366" spans="5:13">
      <c r="E2366" s="972"/>
      <c r="F2366" s="972"/>
      <c r="G2366" s="972"/>
      <c r="H2366" s="972"/>
      <c r="I2366" s="972"/>
      <c r="J2366" s="972"/>
      <c r="K2366" s="972"/>
      <c r="L2366" s="972"/>
      <c r="M2366" s="972"/>
    </row>
    <row r="2367" spans="5:13">
      <c r="E2367" s="972"/>
      <c r="F2367" s="972"/>
      <c r="G2367" s="972"/>
      <c r="H2367" s="972"/>
      <c r="I2367" s="972"/>
      <c r="J2367" s="972"/>
      <c r="K2367" s="972"/>
      <c r="L2367" s="972"/>
      <c r="M2367" s="972"/>
    </row>
    <row r="2368" spans="5:13">
      <c r="E2368" s="972"/>
      <c r="F2368" s="972"/>
      <c r="G2368" s="972"/>
      <c r="H2368" s="972"/>
      <c r="I2368" s="972"/>
      <c r="J2368" s="972"/>
      <c r="K2368" s="972"/>
      <c r="L2368" s="972"/>
      <c r="M2368" s="972"/>
    </row>
    <row r="2369" spans="5:13">
      <c r="E2369" s="972"/>
      <c r="F2369" s="972"/>
      <c r="G2369" s="972"/>
      <c r="H2369" s="972"/>
      <c r="I2369" s="972"/>
      <c r="J2369" s="972"/>
      <c r="K2369" s="972"/>
      <c r="L2369" s="972"/>
      <c r="M2369" s="972"/>
    </row>
    <row r="2370" spans="5:13">
      <c r="E2370" s="972"/>
      <c r="F2370" s="972"/>
      <c r="G2370" s="972"/>
      <c r="H2370" s="972"/>
      <c r="I2370" s="972"/>
      <c r="J2370" s="972"/>
      <c r="K2370" s="972"/>
      <c r="L2370" s="972"/>
      <c r="M2370" s="972"/>
    </row>
    <row r="2371" spans="5:13">
      <c r="E2371" s="972"/>
      <c r="F2371" s="972"/>
      <c r="G2371" s="972"/>
      <c r="H2371" s="972"/>
      <c r="I2371" s="972"/>
      <c r="J2371" s="972"/>
      <c r="K2371" s="972"/>
      <c r="L2371" s="972"/>
      <c r="M2371" s="972"/>
    </row>
    <row r="2372" spans="5:13">
      <c r="E2372" s="972"/>
      <c r="F2372" s="972"/>
      <c r="G2372" s="972"/>
      <c r="H2372" s="972"/>
      <c r="I2372" s="972"/>
      <c r="J2372" s="972"/>
      <c r="K2372" s="972"/>
      <c r="L2372" s="972"/>
      <c r="M2372" s="972"/>
    </row>
    <row r="2373" spans="5:13">
      <c r="E2373" s="972"/>
      <c r="F2373" s="972"/>
      <c r="G2373" s="972"/>
      <c r="H2373" s="972"/>
      <c r="I2373" s="972"/>
      <c r="J2373" s="972"/>
      <c r="K2373" s="972"/>
      <c r="L2373" s="972"/>
      <c r="M2373" s="972"/>
    </row>
    <row r="2374" spans="5:13">
      <c r="E2374" s="972"/>
      <c r="F2374" s="972"/>
      <c r="G2374" s="972"/>
      <c r="H2374" s="972"/>
      <c r="I2374" s="972"/>
      <c r="J2374" s="972"/>
      <c r="K2374" s="972"/>
      <c r="L2374" s="972"/>
      <c r="M2374" s="972"/>
    </row>
    <row r="2375" spans="5:13">
      <c r="E2375" s="972"/>
      <c r="F2375" s="972"/>
      <c r="G2375" s="972"/>
      <c r="H2375" s="972"/>
      <c r="I2375" s="972"/>
      <c r="J2375" s="972"/>
      <c r="K2375" s="972"/>
      <c r="L2375" s="972"/>
      <c r="M2375" s="972"/>
    </row>
    <row r="2376" spans="5:13">
      <c r="E2376" s="972"/>
      <c r="F2376" s="972"/>
      <c r="G2376" s="972"/>
      <c r="H2376" s="972"/>
      <c r="I2376" s="972"/>
      <c r="J2376" s="972"/>
      <c r="K2376" s="972"/>
      <c r="L2376" s="972"/>
      <c r="M2376" s="972"/>
    </row>
    <row r="2377" spans="5:13">
      <c r="E2377" s="972"/>
      <c r="F2377" s="972"/>
      <c r="G2377" s="972"/>
      <c r="H2377" s="972"/>
      <c r="I2377" s="972"/>
      <c r="J2377" s="972"/>
      <c r="K2377" s="972"/>
      <c r="L2377" s="972"/>
      <c r="M2377" s="972"/>
    </row>
    <row r="2378" spans="5:13">
      <c r="E2378" s="972"/>
      <c r="F2378" s="972"/>
      <c r="G2378" s="972"/>
      <c r="H2378" s="972"/>
      <c r="I2378" s="972"/>
      <c r="J2378" s="972"/>
      <c r="K2378" s="972"/>
      <c r="L2378" s="972"/>
      <c r="M2378" s="972"/>
    </row>
    <row r="2379" spans="5:13">
      <c r="E2379" s="972"/>
      <c r="F2379" s="972"/>
      <c r="G2379" s="972"/>
      <c r="H2379" s="972"/>
      <c r="I2379" s="972"/>
      <c r="J2379" s="972"/>
      <c r="K2379" s="972"/>
      <c r="L2379" s="972"/>
      <c r="M2379" s="972"/>
    </row>
    <row r="2380" spans="5:13">
      <c r="E2380" s="972"/>
      <c r="F2380" s="972"/>
      <c r="G2380" s="972"/>
      <c r="H2380" s="972"/>
      <c r="I2380" s="972"/>
      <c r="J2380" s="972"/>
      <c r="K2380" s="972"/>
      <c r="L2380" s="972"/>
      <c r="M2380" s="972"/>
    </row>
    <row r="2381" spans="5:13">
      <c r="E2381" s="972"/>
      <c r="F2381" s="972"/>
      <c r="G2381" s="972"/>
      <c r="H2381" s="972"/>
      <c r="I2381" s="972"/>
      <c r="J2381" s="972"/>
      <c r="K2381" s="972"/>
      <c r="L2381" s="972"/>
      <c r="M2381" s="972"/>
    </row>
    <row r="2382" spans="5:13">
      <c r="E2382" s="972"/>
      <c r="F2382" s="972"/>
      <c r="G2382" s="972"/>
      <c r="H2382" s="972"/>
      <c r="I2382" s="972"/>
      <c r="J2382" s="972"/>
      <c r="K2382" s="972"/>
      <c r="L2382" s="972"/>
      <c r="M2382" s="972"/>
    </row>
    <row r="2383" spans="5:13">
      <c r="E2383" s="972"/>
      <c r="F2383" s="972"/>
      <c r="G2383" s="972"/>
      <c r="H2383" s="972"/>
      <c r="I2383" s="972"/>
      <c r="J2383" s="972"/>
      <c r="K2383" s="972"/>
      <c r="L2383" s="972"/>
      <c r="M2383" s="972"/>
    </row>
    <row r="2384" spans="5:13">
      <c r="E2384" s="972"/>
      <c r="F2384" s="972"/>
      <c r="G2384" s="972"/>
      <c r="H2384" s="972"/>
      <c r="I2384" s="972"/>
      <c r="J2384" s="972"/>
      <c r="K2384" s="972"/>
      <c r="L2384" s="972"/>
      <c r="M2384" s="972"/>
    </row>
    <row r="2385" spans="5:13">
      <c r="E2385" s="972"/>
      <c r="F2385" s="972"/>
      <c r="G2385" s="972"/>
      <c r="H2385" s="972"/>
      <c r="I2385" s="972"/>
      <c r="J2385" s="972"/>
      <c r="K2385" s="972"/>
      <c r="L2385" s="972"/>
      <c r="M2385" s="972"/>
    </row>
    <row r="2386" spans="5:13">
      <c r="E2386" s="972"/>
      <c r="F2386" s="972"/>
      <c r="G2386" s="972"/>
      <c r="H2386" s="972"/>
      <c r="I2386" s="972"/>
      <c r="J2386" s="972"/>
      <c r="K2386" s="972"/>
      <c r="L2386" s="972"/>
      <c r="M2386" s="972"/>
    </row>
    <row r="2387" spans="5:13">
      <c r="E2387" s="972"/>
      <c r="F2387" s="972"/>
      <c r="G2387" s="972"/>
      <c r="H2387" s="972"/>
      <c r="I2387" s="972"/>
      <c r="J2387" s="972"/>
      <c r="K2387" s="972"/>
      <c r="L2387" s="972"/>
      <c r="M2387" s="972"/>
    </row>
    <row r="2388" spans="5:13">
      <c r="E2388" s="972"/>
      <c r="F2388" s="972"/>
      <c r="G2388" s="972"/>
      <c r="H2388" s="972"/>
      <c r="I2388" s="972"/>
      <c r="J2388" s="972"/>
      <c r="K2388" s="972"/>
      <c r="L2388" s="972"/>
      <c r="M2388" s="972"/>
    </row>
    <row r="2389" spans="5:13">
      <c r="E2389" s="972"/>
      <c r="F2389" s="972"/>
      <c r="G2389" s="972"/>
      <c r="H2389" s="972"/>
      <c r="I2389" s="972"/>
      <c r="J2389" s="972"/>
      <c r="K2389" s="972"/>
      <c r="L2389" s="972"/>
      <c r="M2389" s="972"/>
    </row>
    <row r="2390" spans="5:13">
      <c r="E2390" s="972"/>
      <c r="F2390" s="972"/>
      <c r="G2390" s="972"/>
      <c r="H2390" s="972"/>
      <c r="I2390" s="972"/>
      <c r="J2390" s="972"/>
      <c r="K2390" s="972"/>
      <c r="L2390" s="972"/>
      <c r="M2390" s="972"/>
    </row>
    <row r="2391" spans="5:13">
      <c r="E2391" s="972"/>
      <c r="F2391" s="972"/>
      <c r="G2391" s="972"/>
      <c r="H2391" s="972"/>
      <c r="I2391" s="972"/>
      <c r="J2391" s="972"/>
      <c r="K2391" s="972"/>
      <c r="L2391" s="972"/>
      <c r="M2391" s="972"/>
    </row>
    <row r="2392" spans="5:13">
      <c r="E2392" s="972"/>
      <c r="F2392" s="972"/>
      <c r="G2392" s="972"/>
      <c r="H2392" s="972"/>
      <c r="I2392" s="972"/>
      <c r="J2392" s="972"/>
      <c r="K2392" s="972"/>
      <c r="L2392" s="972"/>
      <c r="M2392" s="972"/>
    </row>
    <row r="2393" spans="5:13">
      <c r="E2393" s="972"/>
      <c r="F2393" s="972"/>
      <c r="G2393" s="972"/>
      <c r="H2393" s="972"/>
      <c r="I2393" s="972"/>
      <c r="J2393" s="972"/>
      <c r="K2393" s="972"/>
      <c r="L2393" s="972"/>
      <c r="M2393" s="972"/>
    </row>
    <row r="2394" spans="5:13">
      <c r="E2394" s="972"/>
      <c r="F2394" s="972"/>
      <c r="G2394" s="972"/>
      <c r="H2394" s="972"/>
      <c r="I2394" s="972"/>
      <c r="J2394" s="972"/>
      <c r="K2394" s="972"/>
      <c r="L2394" s="972"/>
      <c r="M2394" s="972"/>
    </row>
    <row r="2395" spans="5:13">
      <c r="E2395" s="972"/>
      <c r="F2395" s="972"/>
      <c r="G2395" s="972"/>
      <c r="H2395" s="972"/>
      <c r="I2395" s="972"/>
      <c r="J2395" s="972"/>
      <c r="K2395" s="972"/>
      <c r="L2395" s="972"/>
      <c r="M2395" s="972"/>
    </row>
    <row r="2396" spans="5:13">
      <c r="E2396" s="972"/>
      <c r="F2396" s="972"/>
      <c r="G2396" s="972"/>
      <c r="H2396" s="972"/>
      <c r="I2396" s="972"/>
      <c r="J2396" s="972"/>
      <c r="K2396" s="972"/>
      <c r="L2396" s="972"/>
      <c r="M2396" s="972"/>
    </row>
    <row r="2397" spans="5:13">
      <c r="E2397" s="972"/>
      <c r="F2397" s="972"/>
      <c r="G2397" s="972"/>
      <c r="H2397" s="972"/>
      <c r="I2397" s="972"/>
      <c r="J2397" s="972"/>
      <c r="K2397" s="972"/>
      <c r="L2397" s="972"/>
      <c r="M2397" s="972"/>
    </row>
    <row r="2398" spans="5:13">
      <c r="E2398" s="972"/>
      <c r="F2398" s="972"/>
      <c r="G2398" s="972"/>
      <c r="H2398" s="972"/>
      <c r="I2398" s="972"/>
      <c r="J2398" s="972"/>
      <c r="K2398" s="972"/>
      <c r="L2398" s="972"/>
      <c r="M2398" s="972"/>
    </row>
    <row r="2399" spans="5:13">
      <c r="E2399" s="972"/>
      <c r="F2399" s="972"/>
      <c r="G2399" s="972"/>
      <c r="H2399" s="972"/>
      <c r="I2399" s="972"/>
      <c r="J2399" s="972"/>
      <c r="K2399" s="972"/>
      <c r="L2399" s="972"/>
      <c r="M2399" s="972"/>
    </row>
    <row r="2400" spans="5:13">
      <c r="E2400" s="972"/>
      <c r="F2400" s="972"/>
      <c r="G2400" s="972"/>
      <c r="H2400" s="972"/>
      <c r="I2400" s="972"/>
      <c r="J2400" s="972"/>
      <c r="K2400" s="972"/>
      <c r="L2400" s="972"/>
      <c r="M2400" s="972"/>
    </row>
    <row r="2401" spans="5:13">
      <c r="E2401" s="972"/>
      <c r="F2401" s="972"/>
      <c r="G2401" s="972"/>
      <c r="H2401" s="972"/>
      <c r="I2401" s="972"/>
      <c r="J2401" s="972"/>
      <c r="K2401" s="972"/>
      <c r="L2401" s="972"/>
      <c r="M2401" s="972"/>
    </row>
    <row r="2402" spans="5:13">
      <c r="E2402" s="972"/>
      <c r="F2402" s="972"/>
      <c r="G2402" s="972"/>
      <c r="H2402" s="972"/>
      <c r="I2402" s="972"/>
      <c r="J2402" s="972"/>
      <c r="K2402" s="972"/>
      <c r="L2402" s="972"/>
      <c r="M2402" s="972"/>
    </row>
    <row r="2403" spans="5:13">
      <c r="E2403" s="972"/>
      <c r="F2403" s="972"/>
      <c r="G2403" s="972"/>
      <c r="H2403" s="972"/>
      <c r="I2403" s="972"/>
      <c r="J2403" s="972"/>
      <c r="K2403" s="972"/>
      <c r="L2403" s="972"/>
      <c r="M2403" s="972"/>
    </row>
    <row r="2404" spans="5:13">
      <c r="E2404" s="972"/>
      <c r="F2404" s="972"/>
      <c r="G2404" s="972"/>
      <c r="H2404" s="972"/>
      <c r="I2404" s="972"/>
      <c r="J2404" s="972"/>
      <c r="K2404" s="972"/>
      <c r="L2404" s="972"/>
      <c r="M2404" s="972"/>
    </row>
    <row r="2405" spans="5:13">
      <c r="E2405" s="972"/>
      <c r="F2405" s="972"/>
      <c r="G2405" s="972"/>
      <c r="H2405" s="972"/>
      <c r="I2405" s="972"/>
      <c r="J2405" s="972"/>
      <c r="K2405" s="972"/>
      <c r="L2405" s="972"/>
      <c r="M2405" s="972"/>
    </row>
    <row r="2406" spans="5:13">
      <c r="E2406" s="972"/>
      <c r="F2406" s="972"/>
      <c r="G2406" s="972"/>
      <c r="H2406" s="972"/>
      <c r="I2406" s="972"/>
      <c r="J2406" s="972"/>
      <c r="K2406" s="972"/>
      <c r="L2406" s="972"/>
      <c r="M2406" s="972"/>
    </row>
    <row r="2407" spans="5:13">
      <c r="E2407" s="972"/>
      <c r="F2407" s="972"/>
      <c r="G2407" s="972"/>
      <c r="H2407" s="972"/>
      <c r="I2407" s="972"/>
      <c r="J2407" s="972"/>
      <c r="K2407" s="972"/>
      <c r="L2407" s="972"/>
      <c r="M2407" s="972"/>
    </row>
    <row r="2408" spans="5:13">
      <c r="E2408" s="972"/>
      <c r="F2408" s="972"/>
      <c r="G2408" s="972"/>
      <c r="H2408" s="972"/>
      <c r="I2408" s="972"/>
      <c r="J2408" s="972"/>
      <c r="K2408" s="972"/>
      <c r="L2408" s="972"/>
      <c r="M2408" s="972"/>
    </row>
    <row r="2409" spans="5:13">
      <c r="E2409" s="972"/>
      <c r="F2409" s="972"/>
      <c r="G2409" s="972"/>
      <c r="H2409" s="972"/>
      <c r="I2409" s="972"/>
      <c r="J2409" s="972"/>
      <c r="K2409" s="972"/>
      <c r="L2409" s="972"/>
      <c r="M2409" s="972"/>
    </row>
    <row r="2410" spans="5:13">
      <c r="E2410" s="972"/>
      <c r="F2410" s="972"/>
      <c r="G2410" s="972"/>
      <c r="H2410" s="972"/>
      <c r="I2410" s="972"/>
      <c r="J2410" s="972"/>
      <c r="K2410" s="972"/>
      <c r="L2410" s="972"/>
      <c r="M2410" s="972"/>
    </row>
    <row r="2411" spans="5:13">
      <c r="E2411" s="972"/>
      <c r="F2411" s="972"/>
      <c r="G2411" s="972"/>
      <c r="H2411" s="972"/>
      <c r="I2411" s="972"/>
      <c r="J2411" s="972"/>
      <c r="K2411" s="972"/>
      <c r="L2411" s="972"/>
      <c r="M2411" s="972"/>
    </row>
    <row r="2412" spans="5:13">
      <c r="E2412" s="972"/>
      <c r="F2412" s="972"/>
      <c r="G2412" s="972"/>
      <c r="H2412" s="972"/>
      <c r="I2412" s="972"/>
      <c r="J2412" s="972"/>
      <c r="K2412" s="972"/>
      <c r="L2412" s="972"/>
      <c r="M2412" s="972"/>
    </row>
    <row r="2413" spans="5:13">
      <c r="E2413" s="972"/>
      <c r="F2413" s="972"/>
      <c r="G2413" s="972"/>
      <c r="H2413" s="972"/>
      <c r="I2413" s="972"/>
      <c r="J2413" s="972"/>
      <c r="K2413" s="972"/>
      <c r="L2413" s="972"/>
      <c r="M2413" s="972"/>
    </row>
    <row r="2414" spans="5:13">
      <c r="E2414" s="972"/>
      <c r="F2414" s="972"/>
      <c r="G2414" s="972"/>
      <c r="H2414" s="972"/>
      <c r="I2414" s="972"/>
      <c r="J2414" s="972"/>
      <c r="K2414" s="972"/>
      <c r="L2414" s="972"/>
      <c r="M2414" s="972"/>
    </row>
    <row r="2415" spans="5:13">
      <c r="E2415" s="972"/>
      <c r="F2415" s="972"/>
      <c r="G2415" s="972"/>
      <c r="H2415" s="972"/>
      <c r="I2415" s="972"/>
      <c r="J2415" s="972"/>
      <c r="K2415" s="972"/>
      <c r="L2415" s="972"/>
      <c r="M2415" s="972"/>
    </row>
    <row r="2416" spans="5:13">
      <c r="E2416" s="972"/>
      <c r="F2416" s="972"/>
      <c r="G2416" s="972"/>
      <c r="H2416" s="972"/>
      <c r="I2416" s="972"/>
      <c r="J2416" s="972"/>
      <c r="K2416" s="972"/>
      <c r="L2416" s="972"/>
      <c r="M2416" s="972"/>
    </row>
    <row r="2417" spans="5:13">
      <c r="E2417" s="972"/>
      <c r="F2417" s="972"/>
      <c r="G2417" s="972"/>
      <c r="H2417" s="972"/>
      <c r="I2417" s="972"/>
      <c r="J2417" s="972"/>
      <c r="K2417" s="972"/>
      <c r="L2417" s="972"/>
      <c r="M2417" s="972"/>
    </row>
    <row r="2418" spans="5:13">
      <c r="E2418" s="972"/>
      <c r="F2418" s="972"/>
      <c r="G2418" s="972"/>
      <c r="H2418" s="972"/>
      <c r="I2418" s="972"/>
      <c r="J2418" s="972"/>
      <c r="K2418" s="972"/>
      <c r="L2418" s="972"/>
      <c r="M2418" s="972"/>
    </row>
    <row r="2419" spans="5:13">
      <c r="E2419" s="972"/>
      <c r="F2419" s="972"/>
      <c r="G2419" s="972"/>
      <c r="H2419" s="972"/>
      <c r="I2419" s="972"/>
      <c r="J2419" s="972"/>
      <c r="K2419" s="972"/>
      <c r="L2419" s="972"/>
      <c r="M2419" s="972"/>
    </row>
    <row r="2420" spans="5:13">
      <c r="E2420" s="972"/>
      <c r="F2420" s="972"/>
      <c r="G2420" s="972"/>
      <c r="H2420" s="972"/>
      <c r="I2420" s="972"/>
      <c r="J2420" s="972"/>
      <c r="K2420" s="972"/>
      <c r="L2420" s="972"/>
      <c r="M2420" s="972"/>
    </row>
    <row r="2421" spans="5:13">
      <c r="E2421" s="972"/>
      <c r="F2421" s="972"/>
      <c r="G2421" s="972"/>
      <c r="H2421" s="972"/>
      <c r="I2421" s="972"/>
      <c r="J2421" s="972"/>
      <c r="K2421" s="972"/>
      <c r="L2421" s="972"/>
      <c r="M2421" s="972"/>
    </row>
    <row r="2422" spans="5:13">
      <c r="E2422" s="972"/>
      <c r="F2422" s="972"/>
      <c r="G2422" s="972"/>
      <c r="H2422" s="972"/>
      <c r="I2422" s="972"/>
      <c r="J2422" s="972"/>
      <c r="K2422" s="972"/>
      <c r="L2422" s="972"/>
      <c r="M2422" s="972"/>
    </row>
    <row r="2423" spans="5:13">
      <c r="E2423" s="972"/>
      <c r="F2423" s="972"/>
      <c r="G2423" s="972"/>
      <c r="H2423" s="972"/>
      <c r="I2423" s="972"/>
      <c r="J2423" s="972"/>
      <c r="K2423" s="972"/>
      <c r="L2423" s="972"/>
      <c r="M2423" s="972"/>
    </row>
    <row r="2424" spans="5:13">
      <c r="E2424" s="972"/>
      <c r="F2424" s="972"/>
      <c r="G2424" s="972"/>
      <c r="H2424" s="972"/>
      <c r="I2424" s="972"/>
      <c r="J2424" s="972"/>
      <c r="K2424" s="972"/>
      <c r="L2424" s="972"/>
      <c r="M2424" s="972"/>
    </row>
    <row r="2425" spans="5:13">
      <c r="E2425" s="972"/>
      <c r="F2425" s="972"/>
      <c r="G2425" s="972"/>
      <c r="H2425" s="972"/>
      <c r="I2425" s="972"/>
      <c r="J2425" s="972"/>
      <c r="K2425" s="972"/>
      <c r="L2425" s="972"/>
      <c r="M2425" s="972"/>
    </row>
    <row r="2426" spans="5:13">
      <c r="E2426" s="972"/>
      <c r="F2426" s="972"/>
      <c r="G2426" s="972"/>
      <c r="H2426" s="972"/>
      <c r="I2426" s="972"/>
      <c r="J2426" s="972"/>
      <c r="K2426" s="972"/>
      <c r="L2426" s="972"/>
      <c r="M2426" s="972"/>
    </row>
    <row r="2427" spans="5:13">
      <c r="E2427" s="972"/>
      <c r="F2427" s="972"/>
      <c r="G2427" s="972"/>
      <c r="H2427" s="972"/>
      <c r="I2427" s="972"/>
      <c r="J2427" s="972"/>
      <c r="K2427" s="972"/>
      <c r="L2427" s="972"/>
      <c r="M2427" s="972"/>
    </row>
    <row r="2428" spans="5:13">
      <c r="E2428" s="972"/>
      <c r="F2428" s="972"/>
      <c r="G2428" s="972"/>
      <c r="H2428" s="972"/>
      <c r="I2428" s="972"/>
      <c r="J2428" s="972"/>
      <c r="K2428" s="972"/>
      <c r="L2428" s="972"/>
      <c r="M2428" s="972"/>
    </row>
    <row r="2429" spans="5:13">
      <c r="E2429" s="972"/>
      <c r="F2429" s="972"/>
      <c r="G2429" s="972"/>
      <c r="H2429" s="972"/>
      <c r="I2429" s="972"/>
      <c r="J2429" s="972"/>
      <c r="K2429" s="972"/>
      <c r="L2429" s="972"/>
      <c r="M2429" s="972"/>
    </row>
    <row r="2430" spans="5:13">
      <c r="E2430" s="972"/>
      <c r="F2430" s="972"/>
      <c r="G2430" s="972"/>
      <c r="H2430" s="972"/>
      <c r="I2430" s="972"/>
      <c r="J2430" s="972"/>
      <c r="K2430" s="972"/>
      <c r="L2430" s="972"/>
      <c r="M2430" s="972"/>
    </row>
    <row r="2431" spans="5:13">
      <c r="E2431" s="972"/>
      <c r="F2431" s="972"/>
      <c r="G2431" s="972"/>
      <c r="H2431" s="972"/>
      <c r="I2431" s="972"/>
      <c r="J2431" s="972"/>
      <c r="K2431" s="972"/>
      <c r="L2431" s="972"/>
      <c r="M2431" s="972"/>
    </row>
    <row r="2432" spans="5:13">
      <c r="E2432" s="972"/>
      <c r="F2432" s="972"/>
      <c r="G2432" s="972"/>
      <c r="H2432" s="972"/>
      <c r="I2432" s="972"/>
      <c r="J2432" s="972"/>
      <c r="K2432" s="972"/>
      <c r="L2432" s="972"/>
      <c r="M2432" s="972"/>
    </row>
    <row r="2433" spans="5:13">
      <c r="E2433" s="972"/>
      <c r="F2433" s="972"/>
      <c r="G2433" s="972"/>
      <c r="H2433" s="972"/>
      <c r="I2433" s="972"/>
      <c r="J2433" s="972"/>
      <c r="K2433" s="972"/>
      <c r="L2433" s="972"/>
      <c r="M2433" s="972"/>
    </row>
    <row r="2434" spans="5:13">
      <c r="E2434" s="972"/>
      <c r="F2434" s="972"/>
      <c r="G2434" s="972"/>
      <c r="H2434" s="972"/>
      <c r="I2434" s="972"/>
      <c r="J2434" s="972"/>
      <c r="K2434" s="972"/>
      <c r="L2434" s="972"/>
      <c r="M2434" s="972"/>
    </row>
    <row r="2435" spans="5:13">
      <c r="E2435" s="972"/>
      <c r="F2435" s="972"/>
      <c r="G2435" s="972"/>
      <c r="H2435" s="972"/>
      <c r="I2435" s="972"/>
      <c r="J2435" s="972"/>
      <c r="K2435" s="972"/>
      <c r="L2435" s="972"/>
      <c r="M2435" s="972"/>
    </row>
    <row r="2436" spans="5:13">
      <c r="E2436" s="972"/>
      <c r="F2436" s="972"/>
      <c r="G2436" s="972"/>
      <c r="H2436" s="972"/>
      <c r="I2436" s="972"/>
      <c r="J2436" s="972"/>
      <c r="K2436" s="972"/>
      <c r="L2436" s="972"/>
      <c r="M2436" s="972"/>
    </row>
    <row r="2437" spans="5:13">
      <c r="E2437" s="972"/>
      <c r="F2437" s="972"/>
      <c r="G2437" s="972"/>
      <c r="H2437" s="972"/>
      <c r="I2437" s="972"/>
      <c r="J2437" s="972"/>
      <c r="K2437" s="972"/>
      <c r="L2437" s="972"/>
      <c r="M2437" s="972"/>
    </row>
    <row r="2438" spans="5:13">
      <c r="E2438" s="972"/>
      <c r="F2438" s="972"/>
      <c r="G2438" s="972"/>
      <c r="H2438" s="972"/>
      <c r="I2438" s="972"/>
      <c r="J2438" s="972"/>
      <c r="K2438" s="972"/>
      <c r="L2438" s="972"/>
      <c r="M2438" s="972"/>
    </row>
    <row r="2439" spans="5:13">
      <c r="E2439" s="972"/>
      <c r="F2439" s="972"/>
      <c r="G2439" s="972"/>
      <c r="H2439" s="972"/>
      <c r="I2439" s="972"/>
      <c r="J2439" s="972"/>
      <c r="K2439" s="972"/>
      <c r="L2439" s="972"/>
      <c r="M2439" s="972"/>
    </row>
    <row r="2440" spans="5:13">
      <c r="E2440" s="972"/>
      <c r="F2440" s="972"/>
      <c r="G2440" s="972"/>
      <c r="H2440" s="972"/>
      <c r="I2440" s="972"/>
      <c r="J2440" s="972"/>
      <c r="K2440" s="972"/>
      <c r="L2440" s="972"/>
      <c r="M2440" s="972"/>
    </row>
    <row r="2441" spans="5:13">
      <c r="E2441" s="972"/>
      <c r="F2441" s="972"/>
      <c r="G2441" s="972"/>
      <c r="H2441" s="972"/>
      <c r="I2441" s="972"/>
      <c r="J2441" s="972"/>
      <c r="K2441" s="972"/>
      <c r="L2441" s="972"/>
      <c r="M2441" s="972"/>
    </row>
    <row r="2442" spans="5:13">
      <c r="E2442" s="972"/>
      <c r="F2442" s="972"/>
      <c r="G2442" s="972"/>
      <c r="H2442" s="972"/>
      <c r="I2442" s="972"/>
      <c r="J2442" s="972"/>
      <c r="K2442" s="972"/>
      <c r="L2442" s="972"/>
      <c r="M2442" s="972"/>
    </row>
    <row r="2443" spans="5:13">
      <c r="E2443" s="972"/>
      <c r="F2443" s="972"/>
      <c r="G2443" s="972"/>
      <c r="H2443" s="972"/>
      <c r="I2443" s="972"/>
      <c r="J2443" s="972"/>
      <c r="K2443" s="972"/>
      <c r="L2443" s="972"/>
      <c r="M2443" s="972"/>
    </row>
    <row r="2444" spans="5:13">
      <c r="E2444" s="972"/>
      <c r="F2444" s="972"/>
      <c r="G2444" s="972"/>
      <c r="H2444" s="972"/>
      <c r="I2444" s="972"/>
      <c r="J2444" s="972"/>
      <c r="K2444" s="972"/>
      <c r="L2444" s="972"/>
      <c r="M2444" s="972"/>
    </row>
    <row r="2445" spans="5:13">
      <c r="E2445" s="972"/>
      <c r="F2445" s="972"/>
      <c r="G2445" s="972"/>
      <c r="H2445" s="972"/>
      <c r="I2445" s="972"/>
      <c r="J2445" s="972"/>
      <c r="K2445" s="972"/>
      <c r="L2445" s="972"/>
      <c r="M2445" s="972"/>
    </row>
    <row r="2446" spans="5:13">
      <c r="E2446" s="972"/>
      <c r="F2446" s="972"/>
      <c r="G2446" s="972"/>
      <c r="H2446" s="972"/>
      <c r="I2446" s="972"/>
      <c r="J2446" s="972"/>
      <c r="K2446" s="972"/>
      <c r="L2446" s="972"/>
      <c r="M2446" s="972"/>
    </row>
    <row r="2447" spans="5:13">
      <c r="E2447" s="972"/>
      <c r="F2447" s="972"/>
      <c r="G2447" s="972"/>
      <c r="H2447" s="972"/>
      <c r="I2447" s="972"/>
      <c r="J2447" s="972"/>
      <c r="K2447" s="972"/>
      <c r="L2447" s="972"/>
      <c r="M2447" s="972"/>
    </row>
    <row r="2448" spans="5:13">
      <c r="E2448" s="972"/>
      <c r="F2448" s="972"/>
      <c r="G2448" s="972"/>
      <c r="H2448" s="972"/>
      <c r="I2448" s="972"/>
      <c r="J2448" s="972"/>
      <c r="K2448" s="972"/>
      <c r="L2448" s="972"/>
      <c r="M2448" s="972"/>
    </row>
    <row r="2449" spans="5:13">
      <c r="E2449" s="972"/>
      <c r="F2449" s="972"/>
      <c r="G2449" s="972"/>
      <c r="H2449" s="972"/>
      <c r="I2449" s="972"/>
      <c r="J2449" s="972"/>
      <c r="K2449" s="972"/>
      <c r="L2449" s="972"/>
      <c r="M2449" s="972"/>
    </row>
    <row r="2450" spans="5:13">
      <c r="E2450" s="972"/>
      <c r="F2450" s="972"/>
      <c r="G2450" s="972"/>
      <c r="H2450" s="972"/>
      <c r="I2450" s="972"/>
      <c r="J2450" s="972"/>
      <c r="K2450" s="972"/>
      <c r="L2450" s="972"/>
      <c r="M2450" s="972"/>
    </row>
    <row r="2451" spans="5:13">
      <c r="E2451" s="972"/>
      <c r="F2451" s="972"/>
      <c r="G2451" s="972"/>
      <c r="H2451" s="972"/>
      <c r="I2451" s="972"/>
      <c r="J2451" s="972"/>
      <c r="K2451" s="972"/>
      <c r="L2451" s="972"/>
      <c r="M2451" s="972"/>
    </row>
    <row r="2452" spans="5:13">
      <c r="E2452" s="972"/>
      <c r="F2452" s="972"/>
      <c r="G2452" s="972"/>
      <c r="H2452" s="972"/>
      <c r="I2452" s="972"/>
      <c r="J2452" s="972"/>
      <c r="K2452" s="972"/>
      <c r="L2452" s="972"/>
      <c r="M2452" s="972"/>
    </row>
    <row r="2453" spans="5:13">
      <c r="E2453" s="972"/>
      <c r="F2453" s="972"/>
      <c r="G2453" s="972"/>
      <c r="H2453" s="972"/>
      <c r="I2453" s="972"/>
      <c r="J2453" s="972"/>
      <c r="K2453" s="972"/>
      <c r="L2453" s="972"/>
      <c r="M2453" s="972"/>
    </row>
    <row r="2454" spans="5:13">
      <c r="E2454" s="972"/>
      <c r="F2454" s="972"/>
      <c r="G2454" s="972"/>
      <c r="H2454" s="972"/>
      <c r="I2454" s="972"/>
      <c r="J2454" s="972"/>
      <c r="K2454" s="972"/>
      <c r="L2454" s="972"/>
      <c r="M2454" s="972"/>
    </row>
    <row r="2455" spans="5:13">
      <c r="E2455" s="972"/>
      <c r="F2455" s="972"/>
      <c r="G2455" s="972"/>
      <c r="H2455" s="972"/>
      <c r="I2455" s="972"/>
      <c r="J2455" s="972"/>
      <c r="K2455" s="972"/>
      <c r="L2455" s="972"/>
      <c r="M2455" s="972"/>
    </row>
    <row r="2456" spans="5:13">
      <c r="E2456" s="972"/>
      <c r="F2456" s="972"/>
      <c r="G2456" s="972"/>
      <c r="H2456" s="972"/>
      <c r="I2456" s="972"/>
      <c r="J2456" s="972"/>
      <c r="K2456" s="972"/>
      <c r="L2456" s="972"/>
      <c r="M2456" s="972"/>
    </row>
    <row r="2457" spans="5:13">
      <c r="E2457" s="972"/>
      <c r="F2457" s="972"/>
      <c r="G2457" s="972"/>
      <c r="H2457" s="972"/>
      <c r="I2457" s="972"/>
      <c r="J2457" s="972"/>
      <c r="K2457" s="972"/>
      <c r="L2457" s="972"/>
      <c r="M2457" s="972"/>
    </row>
    <row r="2458" spans="5:13">
      <c r="E2458" s="972"/>
      <c r="F2458" s="972"/>
      <c r="G2458" s="972"/>
      <c r="H2458" s="972"/>
      <c r="I2458" s="972"/>
      <c r="J2458" s="972"/>
      <c r="K2458" s="972"/>
      <c r="L2458" s="972"/>
      <c r="M2458" s="972"/>
    </row>
    <row r="2459" spans="5:13">
      <c r="E2459" s="972"/>
      <c r="F2459" s="972"/>
      <c r="G2459" s="972"/>
      <c r="H2459" s="972"/>
      <c r="I2459" s="972"/>
      <c r="J2459" s="972"/>
      <c r="K2459" s="972"/>
      <c r="L2459" s="972"/>
      <c r="M2459" s="972"/>
    </row>
    <row r="2460" spans="5:13">
      <c r="E2460" s="972"/>
      <c r="F2460" s="972"/>
      <c r="G2460" s="972"/>
      <c r="H2460" s="972"/>
      <c r="I2460" s="972"/>
      <c r="J2460" s="972"/>
      <c r="K2460" s="972"/>
      <c r="L2460" s="972"/>
      <c r="M2460" s="972"/>
    </row>
    <row r="2461" spans="5:13">
      <c r="E2461" s="972"/>
      <c r="F2461" s="972"/>
      <c r="G2461" s="972"/>
      <c r="H2461" s="972"/>
      <c r="I2461" s="972"/>
      <c r="J2461" s="972"/>
      <c r="K2461" s="972"/>
      <c r="L2461" s="972"/>
      <c r="M2461" s="972"/>
    </row>
    <row r="2462" spans="5:13">
      <c r="E2462" s="972"/>
      <c r="F2462" s="972"/>
      <c r="G2462" s="972"/>
      <c r="H2462" s="972"/>
      <c r="I2462" s="972"/>
      <c r="J2462" s="972"/>
      <c r="K2462" s="972"/>
      <c r="L2462" s="972"/>
      <c r="M2462" s="972"/>
    </row>
    <row r="2463" spans="5:13">
      <c r="E2463" s="972"/>
      <c r="F2463" s="972"/>
      <c r="G2463" s="972"/>
      <c r="H2463" s="972"/>
      <c r="I2463" s="972"/>
      <c r="J2463" s="972"/>
      <c r="K2463" s="972"/>
      <c r="L2463" s="972"/>
      <c r="M2463" s="972"/>
    </row>
    <row r="2464" spans="5:13">
      <c r="E2464" s="972"/>
      <c r="F2464" s="972"/>
      <c r="G2464" s="972"/>
      <c r="H2464" s="972"/>
      <c r="I2464" s="972"/>
      <c r="J2464" s="972"/>
      <c r="K2464" s="972"/>
      <c r="L2464" s="972"/>
      <c r="M2464" s="972"/>
    </row>
    <row r="2465" spans="5:13">
      <c r="E2465" s="972"/>
      <c r="F2465" s="972"/>
      <c r="G2465" s="972"/>
      <c r="H2465" s="972"/>
      <c r="I2465" s="972"/>
      <c r="J2465" s="972"/>
      <c r="K2465" s="972"/>
      <c r="L2465" s="972"/>
      <c r="M2465" s="972"/>
    </row>
    <row r="2466" spans="5:13">
      <c r="E2466" s="972"/>
      <c r="F2466" s="972"/>
      <c r="G2466" s="972"/>
      <c r="H2466" s="972"/>
      <c r="I2466" s="972"/>
      <c r="J2466" s="972"/>
      <c r="K2466" s="972"/>
      <c r="L2466" s="972"/>
      <c r="M2466" s="972"/>
    </row>
    <row r="2467" spans="5:13">
      <c r="E2467" s="972"/>
      <c r="F2467" s="972"/>
      <c r="G2467" s="972"/>
      <c r="H2467" s="972"/>
      <c r="I2467" s="972"/>
      <c r="J2467" s="972"/>
      <c r="K2467" s="972"/>
      <c r="L2467" s="972"/>
      <c r="M2467" s="972"/>
    </row>
    <row r="2468" spans="5:13">
      <c r="E2468" s="972"/>
      <c r="F2468" s="972"/>
      <c r="G2468" s="972"/>
      <c r="H2468" s="972"/>
      <c r="I2468" s="972"/>
      <c r="J2468" s="972"/>
      <c r="K2468" s="972"/>
      <c r="L2468" s="972"/>
      <c r="M2468" s="972"/>
    </row>
    <row r="2469" spans="5:13">
      <c r="E2469" s="972"/>
      <c r="F2469" s="972"/>
      <c r="G2469" s="972"/>
      <c r="H2469" s="972"/>
      <c r="I2469" s="972"/>
      <c r="J2469" s="972"/>
      <c r="K2469" s="972"/>
      <c r="L2469" s="972"/>
      <c r="M2469" s="972"/>
    </row>
    <row r="2470" spans="5:13">
      <c r="E2470" s="972"/>
      <c r="F2470" s="972"/>
      <c r="G2470" s="972"/>
      <c r="H2470" s="972"/>
      <c r="I2470" s="972"/>
      <c r="J2470" s="972"/>
      <c r="K2470" s="972"/>
      <c r="L2470" s="972"/>
      <c r="M2470" s="972"/>
    </row>
    <row r="2471" spans="5:13">
      <c r="E2471" s="972"/>
      <c r="F2471" s="972"/>
      <c r="G2471" s="972"/>
      <c r="H2471" s="972"/>
      <c r="I2471" s="972"/>
      <c r="J2471" s="972"/>
      <c r="K2471" s="972"/>
      <c r="L2471" s="972"/>
      <c r="M2471" s="972"/>
    </row>
    <row r="2472" spans="5:13">
      <c r="E2472" s="972"/>
      <c r="F2472" s="972"/>
      <c r="G2472" s="972"/>
      <c r="H2472" s="972"/>
      <c r="I2472" s="972"/>
      <c r="J2472" s="972"/>
      <c r="K2472" s="972"/>
      <c r="L2472" s="972"/>
      <c r="M2472" s="972"/>
    </row>
    <row r="2473" spans="5:13">
      <c r="E2473" s="972"/>
      <c r="F2473" s="972"/>
      <c r="G2473" s="972"/>
      <c r="H2473" s="972"/>
      <c r="I2473" s="972"/>
      <c r="J2473" s="972"/>
      <c r="K2473" s="972"/>
      <c r="L2473" s="972"/>
      <c r="M2473" s="972"/>
    </row>
    <row r="2474" spans="5:13">
      <c r="E2474" s="972"/>
      <c r="F2474" s="972"/>
      <c r="G2474" s="972"/>
      <c r="H2474" s="972"/>
      <c r="I2474" s="972"/>
      <c r="J2474" s="972"/>
      <c r="K2474" s="972"/>
      <c r="L2474" s="972"/>
      <c r="M2474" s="972"/>
    </row>
    <row r="2475" spans="5:13">
      <c r="E2475" s="972"/>
      <c r="F2475" s="972"/>
      <c r="G2475" s="972"/>
      <c r="H2475" s="972"/>
      <c r="I2475" s="972"/>
      <c r="J2475" s="972"/>
      <c r="K2475" s="972"/>
      <c r="L2475" s="972"/>
      <c r="M2475" s="972"/>
    </row>
    <row r="2476" spans="5:13">
      <c r="E2476" s="972"/>
      <c r="F2476" s="972"/>
      <c r="G2476" s="972"/>
      <c r="H2476" s="972"/>
      <c r="I2476" s="972"/>
      <c r="J2476" s="972"/>
      <c r="K2476" s="972"/>
      <c r="L2476" s="972"/>
      <c r="M2476" s="972"/>
    </row>
    <row r="2477" spans="5:13">
      <c r="E2477" s="972"/>
      <c r="F2477" s="972"/>
      <c r="G2477" s="972"/>
      <c r="H2477" s="972"/>
      <c r="I2477" s="972"/>
      <c r="J2477" s="972"/>
      <c r="K2477" s="972"/>
      <c r="L2477" s="972"/>
      <c r="M2477" s="972"/>
    </row>
    <row r="2478" spans="5:13">
      <c r="E2478" s="972"/>
      <c r="F2478" s="972"/>
      <c r="G2478" s="972"/>
      <c r="H2478" s="972"/>
      <c r="I2478" s="972"/>
      <c r="J2478" s="972"/>
      <c r="K2478" s="972"/>
      <c r="L2478" s="972"/>
      <c r="M2478" s="972"/>
    </row>
    <row r="2479" spans="5:13">
      <c r="E2479" s="972"/>
      <c r="F2479" s="972"/>
      <c r="G2479" s="972"/>
      <c r="H2479" s="972"/>
      <c r="I2479" s="972"/>
      <c r="J2479" s="972"/>
      <c r="K2479" s="972"/>
      <c r="L2479" s="972"/>
      <c r="M2479" s="972"/>
    </row>
    <row r="2480" spans="5:13">
      <c r="E2480" s="972"/>
      <c r="F2480" s="972"/>
      <c r="G2480" s="972"/>
      <c r="H2480" s="972"/>
      <c r="I2480" s="972"/>
      <c r="J2480" s="972"/>
      <c r="K2480" s="972"/>
      <c r="L2480" s="972"/>
      <c r="M2480" s="972"/>
    </row>
    <row r="2481" spans="5:13">
      <c r="E2481" s="972"/>
      <c r="F2481" s="972"/>
      <c r="G2481" s="972"/>
      <c r="H2481" s="972"/>
      <c r="I2481" s="972"/>
      <c r="J2481" s="972"/>
      <c r="K2481" s="972"/>
      <c r="L2481" s="972"/>
      <c r="M2481" s="972"/>
    </row>
    <row r="2482" spans="5:13">
      <c r="E2482" s="972"/>
      <c r="F2482" s="972"/>
      <c r="G2482" s="972"/>
      <c r="H2482" s="972"/>
      <c r="I2482" s="972"/>
      <c r="J2482" s="972"/>
      <c r="K2482" s="972"/>
      <c r="L2482" s="972"/>
      <c r="M2482" s="972"/>
    </row>
    <row r="2483" spans="5:13">
      <c r="E2483" s="972"/>
      <c r="F2483" s="972"/>
      <c r="G2483" s="972"/>
      <c r="H2483" s="972"/>
      <c r="I2483" s="972"/>
      <c r="J2483" s="972"/>
      <c r="K2483" s="972"/>
      <c r="L2483" s="972"/>
      <c r="M2483" s="972"/>
    </row>
    <row r="2484" spans="5:13">
      <c r="E2484" s="972"/>
      <c r="F2484" s="972"/>
      <c r="G2484" s="972"/>
      <c r="H2484" s="972"/>
      <c r="I2484" s="972"/>
      <c r="J2484" s="972"/>
      <c r="K2484" s="972"/>
      <c r="L2484" s="972"/>
      <c r="M2484" s="972"/>
    </row>
    <row r="2485" spans="5:13">
      <c r="E2485" s="972"/>
      <c r="F2485" s="972"/>
      <c r="G2485" s="972"/>
      <c r="H2485" s="972"/>
      <c r="I2485" s="972"/>
      <c r="J2485" s="972"/>
      <c r="K2485" s="972"/>
      <c r="L2485" s="972"/>
      <c r="M2485" s="972"/>
    </row>
    <row r="2486" spans="5:13">
      <c r="E2486" s="972"/>
      <c r="F2486" s="972"/>
      <c r="G2486" s="972"/>
      <c r="H2486" s="972"/>
      <c r="I2486" s="972"/>
      <c r="J2486" s="972"/>
      <c r="K2486" s="972"/>
      <c r="L2486" s="972"/>
      <c r="M2486" s="972"/>
    </row>
    <row r="2487" spans="5:13">
      <c r="E2487" s="972"/>
      <c r="F2487" s="972"/>
      <c r="G2487" s="972"/>
      <c r="H2487" s="972"/>
      <c r="I2487" s="972"/>
      <c r="J2487" s="972"/>
      <c r="K2487" s="972"/>
      <c r="L2487" s="972"/>
      <c r="M2487" s="972"/>
    </row>
    <row r="2488" spans="5:13">
      <c r="E2488" s="972"/>
      <c r="F2488" s="972"/>
      <c r="G2488" s="972"/>
      <c r="H2488" s="972"/>
      <c r="I2488" s="972"/>
      <c r="J2488" s="972"/>
      <c r="K2488" s="972"/>
      <c r="L2488" s="972"/>
      <c r="M2488" s="972"/>
    </row>
    <row r="2489" spans="5:13">
      <c r="E2489" s="972"/>
      <c r="F2489" s="972"/>
      <c r="G2489" s="972"/>
      <c r="H2489" s="972"/>
      <c r="I2489" s="972"/>
      <c r="J2489" s="972"/>
      <c r="K2489" s="972"/>
      <c r="L2489" s="972"/>
      <c r="M2489" s="972"/>
    </row>
    <row r="2490" spans="5:13">
      <c r="E2490" s="972"/>
      <c r="F2490" s="972"/>
      <c r="G2490" s="972"/>
      <c r="H2490" s="972"/>
      <c r="I2490" s="972"/>
      <c r="J2490" s="972"/>
      <c r="K2490" s="972"/>
      <c r="L2490" s="972"/>
      <c r="M2490" s="972"/>
    </row>
    <row r="2491" spans="5:13">
      <c r="E2491" s="972"/>
      <c r="F2491" s="972"/>
      <c r="G2491" s="972"/>
      <c r="H2491" s="972"/>
      <c r="I2491" s="972"/>
      <c r="J2491" s="972"/>
      <c r="K2491" s="972"/>
      <c r="L2491" s="972"/>
      <c r="M2491" s="972"/>
    </row>
    <row r="2492" spans="5:13">
      <c r="E2492" s="972"/>
      <c r="F2492" s="972"/>
      <c r="G2492" s="972"/>
      <c r="H2492" s="972"/>
      <c r="I2492" s="972"/>
      <c r="J2492" s="972"/>
      <c r="K2492" s="972"/>
      <c r="L2492" s="972"/>
      <c r="M2492" s="972"/>
    </row>
    <row r="2493" spans="5:13">
      <c r="E2493" s="972"/>
      <c r="F2493" s="972"/>
      <c r="G2493" s="972"/>
      <c r="H2493" s="972"/>
      <c r="I2493" s="972"/>
      <c r="J2493" s="972"/>
      <c r="K2493" s="972"/>
      <c r="L2493" s="972"/>
      <c r="M2493" s="972"/>
    </row>
    <row r="2494" spans="5:13">
      <c r="E2494" s="972"/>
      <c r="F2494" s="972"/>
      <c r="G2494" s="972"/>
      <c r="H2494" s="972"/>
      <c r="I2494" s="972"/>
      <c r="J2494" s="972"/>
      <c r="K2494" s="972"/>
      <c r="L2494" s="972"/>
      <c r="M2494" s="972"/>
    </row>
    <row r="2495" spans="5:13">
      <c r="E2495" s="972"/>
      <c r="F2495" s="972"/>
      <c r="G2495" s="972"/>
      <c r="H2495" s="972"/>
      <c r="I2495" s="972"/>
      <c r="J2495" s="972"/>
      <c r="K2495" s="972"/>
      <c r="L2495" s="972"/>
      <c r="M2495" s="972"/>
    </row>
    <row r="2496" spans="5:13">
      <c r="E2496" s="972"/>
      <c r="F2496" s="972"/>
      <c r="G2496" s="972"/>
      <c r="H2496" s="972"/>
      <c r="I2496" s="972"/>
      <c r="J2496" s="972"/>
      <c r="K2496" s="972"/>
      <c r="L2496" s="972"/>
      <c r="M2496" s="972"/>
    </row>
    <row r="2497" spans="5:13">
      <c r="E2497" s="972"/>
      <c r="F2497" s="972"/>
      <c r="G2497" s="972"/>
      <c r="H2497" s="972"/>
      <c r="I2497" s="972"/>
      <c r="J2497" s="972"/>
      <c r="K2497" s="972"/>
      <c r="L2497" s="972"/>
      <c r="M2497" s="972"/>
    </row>
    <row r="2498" spans="5:13">
      <c r="E2498" s="972"/>
      <c r="F2498" s="972"/>
      <c r="G2498" s="972"/>
      <c r="H2498" s="972"/>
      <c r="I2498" s="972"/>
      <c r="J2498" s="972"/>
      <c r="K2498" s="972"/>
      <c r="L2498" s="972"/>
      <c r="M2498" s="972"/>
    </row>
    <row r="2499" spans="5:13">
      <c r="E2499" s="972"/>
      <c r="F2499" s="972"/>
      <c r="G2499" s="972"/>
      <c r="H2499" s="972"/>
      <c r="I2499" s="972"/>
      <c r="J2499" s="972"/>
      <c r="K2499" s="972"/>
      <c r="L2499" s="972"/>
      <c r="M2499" s="972"/>
    </row>
    <row r="2500" spans="5:13">
      <c r="E2500" s="972"/>
      <c r="F2500" s="972"/>
      <c r="G2500" s="972"/>
      <c r="H2500" s="972"/>
      <c r="I2500" s="972"/>
      <c r="J2500" s="972"/>
      <c r="K2500" s="972"/>
      <c r="L2500" s="972"/>
      <c r="M2500" s="972"/>
    </row>
    <row r="2501" spans="5:13">
      <c r="E2501" s="972"/>
      <c r="F2501" s="972"/>
      <c r="G2501" s="972"/>
      <c r="H2501" s="972"/>
      <c r="I2501" s="972"/>
      <c r="J2501" s="972"/>
      <c r="K2501" s="972"/>
      <c r="L2501" s="972"/>
      <c r="M2501" s="972"/>
    </row>
    <row r="2502" spans="5:13">
      <c r="E2502" s="972"/>
      <c r="F2502" s="972"/>
      <c r="G2502" s="972"/>
      <c r="H2502" s="972"/>
      <c r="I2502" s="972"/>
      <c r="J2502" s="972"/>
      <c r="K2502" s="972"/>
      <c r="L2502" s="972"/>
      <c r="M2502" s="972"/>
    </row>
    <row r="2503" spans="5:13">
      <c r="E2503" s="972"/>
      <c r="F2503" s="972"/>
      <c r="G2503" s="972"/>
      <c r="H2503" s="972"/>
      <c r="I2503" s="972"/>
      <c r="J2503" s="972"/>
      <c r="K2503" s="972"/>
      <c r="L2503" s="972"/>
      <c r="M2503" s="972"/>
    </row>
    <row r="2504" spans="5:13">
      <c r="E2504" s="972"/>
      <c r="F2504" s="972"/>
      <c r="G2504" s="972"/>
      <c r="H2504" s="972"/>
      <c r="I2504" s="972"/>
      <c r="J2504" s="972"/>
      <c r="K2504" s="972"/>
      <c r="L2504" s="972"/>
      <c r="M2504" s="972"/>
    </row>
    <row r="2505" spans="5:13">
      <c r="E2505" s="972"/>
      <c r="F2505" s="972"/>
      <c r="G2505" s="972"/>
      <c r="H2505" s="972"/>
      <c r="I2505" s="972"/>
      <c r="J2505" s="972"/>
      <c r="K2505" s="972"/>
      <c r="L2505" s="972"/>
      <c r="M2505" s="972"/>
    </row>
    <row r="2506" spans="5:13">
      <c r="E2506" s="972"/>
      <c r="F2506" s="972"/>
      <c r="G2506" s="972"/>
      <c r="H2506" s="972"/>
      <c r="I2506" s="972"/>
      <c r="J2506" s="972"/>
      <c r="K2506" s="972"/>
      <c r="L2506" s="972"/>
      <c r="M2506" s="972"/>
    </row>
    <row r="2507" spans="5:13">
      <c r="E2507" s="972"/>
      <c r="F2507" s="972"/>
      <c r="G2507" s="972"/>
      <c r="H2507" s="972"/>
      <c r="I2507" s="972"/>
      <c r="J2507" s="972"/>
      <c r="K2507" s="972"/>
      <c r="L2507" s="972"/>
      <c r="M2507" s="972"/>
    </row>
    <row r="2508" spans="5:13">
      <c r="E2508" s="972"/>
      <c r="F2508" s="972"/>
      <c r="G2508" s="972"/>
      <c r="H2508" s="972"/>
      <c r="I2508" s="972"/>
      <c r="J2508" s="972"/>
      <c r="K2508" s="972"/>
      <c r="L2508" s="972"/>
      <c r="M2508" s="972"/>
    </row>
    <row r="2509" spans="5:13">
      <c r="E2509" s="972"/>
      <c r="F2509" s="972"/>
      <c r="G2509" s="972"/>
      <c r="H2509" s="972"/>
      <c r="I2509" s="972"/>
      <c r="J2509" s="972"/>
      <c r="K2509" s="972"/>
      <c r="L2509" s="972"/>
      <c r="M2509" s="972"/>
    </row>
    <row r="2510" spans="5:13">
      <c r="E2510" s="972"/>
      <c r="F2510" s="972"/>
      <c r="G2510" s="972"/>
      <c r="H2510" s="972"/>
      <c r="I2510" s="972"/>
      <c r="J2510" s="972"/>
      <c r="K2510" s="972"/>
      <c r="L2510" s="972"/>
      <c r="M2510" s="972"/>
    </row>
    <row r="2511" spans="5:13">
      <c r="E2511" s="972"/>
      <c r="F2511" s="972"/>
      <c r="G2511" s="972"/>
      <c r="H2511" s="972"/>
      <c r="I2511" s="972"/>
      <c r="J2511" s="972"/>
      <c r="K2511" s="972"/>
      <c r="L2511" s="972"/>
      <c r="M2511" s="972"/>
    </row>
    <row r="2512" spans="5:13">
      <c r="E2512" s="972"/>
      <c r="F2512" s="972"/>
      <c r="G2512" s="972"/>
      <c r="H2512" s="972"/>
      <c r="I2512" s="972"/>
      <c r="J2512" s="972"/>
      <c r="K2512" s="972"/>
      <c r="L2512" s="972"/>
      <c r="M2512" s="972"/>
    </row>
    <row r="2513" spans="5:13">
      <c r="E2513" s="972"/>
      <c r="F2513" s="972"/>
      <c r="G2513" s="972"/>
      <c r="H2513" s="972"/>
      <c r="I2513" s="972"/>
      <c r="J2513" s="972"/>
      <c r="K2513" s="972"/>
      <c r="L2513" s="972"/>
      <c r="M2513" s="972"/>
    </row>
    <row r="2514" spans="5:13">
      <c r="E2514" s="972"/>
      <c r="F2514" s="972"/>
      <c r="G2514" s="972"/>
      <c r="H2514" s="972"/>
      <c r="I2514" s="972"/>
      <c r="J2514" s="972"/>
      <c r="K2514" s="972"/>
      <c r="L2514" s="972"/>
      <c r="M2514" s="972"/>
    </row>
    <row r="2515" spans="5:13">
      <c r="E2515" s="972"/>
      <c r="F2515" s="972"/>
      <c r="G2515" s="972"/>
      <c r="H2515" s="972"/>
      <c r="I2515" s="972"/>
      <c r="J2515" s="972"/>
      <c r="K2515" s="972"/>
      <c r="L2515" s="972"/>
      <c r="M2515" s="972"/>
    </row>
    <row r="2516" spans="5:13">
      <c r="E2516" s="972"/>
      <c r="F2516" s="972"/>
      <c r="G2516" s="972"/>
      <c r="H2516" s="972"/>
      <c r="I2516" s="972"/>
      <c r="J2516" s="972"/>
      <c r="K2516" s="972"/>
      <c r="L2516" s="972"/>
      <c r="M2516" s="972"/>
    </row>
    <row r="2517" spans="5:13">
      <c r="E2517" s="972"/>
      <c r="F2517" s="972"/>
      <c r="G2517" s="972"/>
      <c r="H2517" s="972"/>
      <c r="I2517" s="972"/>
      <c r="J2517" s="972"/>
      <c r="K2517" s="972"/>
      <c r="L2517" s="972"/>
      <c r="M2517" s="972"/>
    </row>
    <row r="2518" spans="5:13">
      <c r="E2518" s="972"/>
      <c r="F2518" s="972"/>
      <c r="G2518" s="972"/>
      <c r="H2518" s="972"/>
      <c r="I2518" s="972"/>
      <c r="J2518" s="972"/>
      <c r="K2518" s="972"/>
      <c r="L2518" s="972"/>
      <c r="M2518" s="972"/>
    </row>
    <row r="2519" spans="5:13">
      <c r="E2519" s="972"/>
      <c r="F2519" s="972"/>
      <c r="G2519" s="972"/>
      <c r="H2519" s="972"/>
      <c r="I2519" s="972"/>
      <c r="J2519" s="972"/>
      <c r="K2519" s="972"/>
      <c r="L2519" s="972"/>
      <c r="M2519" s="972"/>
    </row>
    <row r="2520" spans="5:13">
      <c r="E2520" s="972"/>
      <c r="F2520" s="972"/>
      <c r="G2520" s="972"/>
      <c r="H2520" s="972"/>
      <c r="I2520" s="972"/>
      <c r="J2520" s="972"/>
      <c r="K2520" s="972"/>
      <c r="L2520" s="972"/>
      <c r="M2520" s="972"/>
    </row>
    <row r="2521" spans="5:13">
      <c r="E2521" s="972"/>
      <c r="F2521" s="972"/>
      <c r="G2521" s="972"/>
      <c r="H2521" s="972"/>
      <c r="I2521" s="972"/>
      <c r="J2521" s="972"/>
      <c r="K2521" s="972"/>
      <c r="L2521" s="972"/>
      <c r="M2521" s="972"/>
    </row>
    <row r="2522" spans="5:13">
      <c r="E2522" s="972"/>
      <c r="F2522" s="972"/>
      <c r="G2522" s="972"/>
      <c r="H2522" s="972"/>
      <c r="I2522" s="972"/>
      <c r="J2522" s="972"/>
      <c r="K2522" s="972"/>
      <c r="L2522" s="972"/>
      <c r="M2522" s="972"/>
    </row>
    <row r="2523" spans="5:13">
      <c r="E2523" s="972"/>
      <c r="F2523" s="972"/>
      <c r="G2523" s="972"/>
      <c r="H2523" s="972"/>
      <c r="I2523" s="972"/>
      <c r="J2523" s="972"/>
      <c r="K2523" s="972"/>
      <c r="L2523" s="972"/>
      <c r="M2523" s="972"/>
    </row>
    <row r="2524" spans="5:13">
      <c r="E2524" s="972"/>
      <c r="F2524" s="972"/>
      <c r="G2524" s="972"/>
      <c r="H2524" s="972"/>
      <c r="I2524" s="972"/>
      <c r="J2524" s="972"/>
      <c r="K2524" s="972"/>
      <c r="L2524" s="972"/>
      <c r="M2524" s="972"/>
    </row>
    <row r="2525" spans="5:13">
      <c r="E2525" s="972"/>
      <c r="F2525" s="972"/>
      <c r="G2525" s="972"/>
      <c r="H2525" s="972"/>
      <c r="I2525" s="972"/>
      <c r="J2525" s="972"/>
      <c r="K2525" s="972"/>
      <c r="L2525" s="972"/>
      <c r="M2525" s="972"/>
    </row>
    <row r="2526" spans="5:13">
      <c r="E2526" s="972"/>
      <c r="F2526" s="972"/>
      <c r="G2526" s="972"/>
      <c r="H2526" s="972"/>
      <c r="I2526" s="972"/>
      <c r="J2526" s="972"/>
      <c r="K2526" s="972"/>
      <c r="L2526" s="972"/>
      <c r="M2526" s="972"/>
    </row>
    <row r="2527" spans="5:13">
      <c r="E2527" s="972"/>
      <c r="F2527" s="972"/>
      <c r="G2527" s="972"/>
      <c r="H2527" s="972"/>
      <c r="I2527" s="972"/>
      <c r="J2527" s="972"/>
      <c r="K2527" s="972"/>
      <c r="L2527" s="972"/>
      <c r="M2527" s="972"/>
    </row>
    <row r="2528" spans="5:13">
      <c r="E2528" s="972"/>
      <c r="F2528" s="972"/>
      <c r="G2528" s="972"/>
      <c r="H2528" s="972"/>
      <c r="I2528" s="972"/>
      <c r="J2528" s="972"/>
      <c r="K2528" s="972"/>
      <c r="L2528" s="972"/>
      <c r="M2528" s="972"/>
    </row>
    <row r="2529" spans="5:13">
      <c r="E2529" s="972"/>
      <c r="F2529" s="972"/>
      <c r="G2529" s="972"/>
      <c r="H2529" s="972"/>
      <c r="I2529" s="972"/>
      <c r="J2529" s="972"/>
      <c r="K2529" s="972"/>
      <c r="L2529" s="972"/>
      <c r="M2529" s="972"/>
    </row>
    <row r="2530" spans="5:13">
      <c r="E2530" s="972"/>
      <c r="F2530" s="972"/>
      <c r="G2530" s="972"/>
      <c r="H2530" s="972"/>
      <c r="I2530" s="972"/>
      <c r="J2530" s="972"/>
      <c r="K2530" s="972"/>
      <c r="L2530" s="972"/>
      <c r="M2530" s="972"/>
    </row>
    <row r="2531" spans="5:13">
      <c r="E2531" s="972"/>
      <c r="F2531" s="972"/>
      <c r="G2531" s="972"/>
      <c r="H2531" s="972"/>
      <c r="I2531" s="972"/>
      <c r="J2531" s="972"/>
      <c r="K2531" s="972"/>
      <c r="L2531" s="972"/>
      <c r="M2531" s="972"/>
    </row>
    <row r="2532" spans="5:13">
      <c r="E2532" s="972"/>
      <c r="F2532" s="972"/>
      <c r="G2532" s="972"/>
      <c r="H2532" s="972"/>
      <c r="I2532" s="972"/>
      <c r="J2532" s="972"/>
      <c r="K2532" s="972"/>
      <c r="L2532" s="972"/>
      <c r="M2532" s="972"/>
    </row>
    <row r="2533" spans="5:13">
      <c r="E2533" s="972"/>
      <c r="F2533" s="972"/>
      <c r="G2533" s="972"/>
      <c r="H2533" s="972"/>
      <c r="I2533" s="972"/>
      <c r="J2533" s="972"/>
      <c r="K2533" s="972"/>
      <c r="L2533" s="972"/>
      <c r="M2533" s="972"/>
    </row>
    <row r="2534" spans="5:13">
      <c r="E2534" s="972"/>
      <c r="F2534" s="972"/>
      <c r="G2534" s="972"/>
      <c r="H2534" s="972"/>
      <c r="I2534" s="972"/>
      <c r="J2534" s="972"/>
      <c r="K2534" s="972"/>
      <c r="L2534" s="972"/>
      <c r="M2534" s="972"/>
    </row>
    <row r="2535" spans="5:13">
      <c r="E2535" s="972"/>
      <c r="F2535" s="972"/>
      <c r="G2535" s="972"/>
      <c r="H2535" s="972"/>
      <c r="I2535" s="972"/>
      <c r="J2535" s="972"/>
      <c r="K2535" s="972"/>
      <c r="L2535" s="972"/>
      <c r="M2535" s="972"/>
    </row>
    <row r="2536" spans="5:13">
      <c r="E2536" s="972"/>
      <c r="F2536" s="972"/>
      <c r="G2536" s="972"/>
      <c r="H2536" s="972"/>
      <c r="I2536" s="972"/>
      <c r="J2536" s="972"/>
      <c r="K2536" s="972"/>
      <c r="L2536" s="972"/>
      <c r="M2536" s="972"/>
    </row>
    <row r="2537" spans="5:13">
      <c r="E2537" s="972"/>
      <c r="F2537" s="972"/>
      <c r="G2537" s="972"/>
      <c r="H2537" s="972"/>
      <c r="I2537" s="972"/>
      <c r="J2537" s="972"/>
      <c r="K2537" s="972"/>
      <c r="L2537" s="972"/>
      <c r="M2537" s="972"/>
    </row>
    <row r="2538" spans="5:13">
      <c r="E2538" s="972"/>
      <c r="F2538" s="972"/>
      <c r="G2538" s="972"/>
      <c r="H2538" s="972"/>
      <c r="I2538" s="972"/>
      <c r="J2538" s="972"/>
      <c r="K2538" s="972"/>
      <c r="L2538" s="972"/>
      <c r="M2538" s="972"/>
    </row>
    <row r="2539" spans="5:13">
      <c r="E2539" s="972"/>
      <c r="F2539" s="972"/>
      <c r="G2539" s="972"/>
      <c r="H2539" s="972"/>
      <c r="I2539" s="972"/>
      <c r="J2539" s="972"/>
      <c r="K2539" s="972"/>
      <c r="L2539" s="972"/>
      <c r="M2539" s="972"/>
    </row>
    <row r="2540" spans="5:13">
      <c r="E2540" s="972"/>
      <c r="F2540" s="972"/>
      <c r="G2540" s="972"/>
      <c r="H2540" s="972"/>
      <c r="I2540" s="972"/>
      <c r="J2540" s="972"/>
      <c r="K2540" s="972"/>
      <c r="L2540" s="972"/>
      <c r="M2540" s="972"/>
    </row>
    <row r="2541" spans="5:13">
      <c r="E2541" s="972"/>
      <c r="F2541" s="972"/>
      <c r="G2541" s="972"/>
      <c r="H2541" s="972"/>
      <c r="I2541" s="972"/>
      <c r="J2541" s="972"/>
      <c r="K2541" s="972"/>
      <c r="L2541" s="972"/>
      <c r="M2541" s="972"/>
    </row>
    <row r="2542" spans="5:13">
      <c r="E2542" s="972"/>
      <c r="F2542" s="972"/>
      <c r="G2542" s="972"/>
      <c r="H2542" s="972"/>
      <c r="I2542" s="972"/>
      <c r="J2542" s="972"/>
      <c r="K2542" s="972"/>
      <c r="L2542" s="972"/>
      <c r="M2542" s="972"/>
    </row>
    <row r="2543" spans="5:13">
      <c r="E2543" s="972"/>
      <c r="F2543" s="972"/>
      <c r="G2543" s="972"/>
      <c r="H2543" s="972"/>
      <c r="I2543" s="972"/>
      <c r="J2543" s="972"/>
      <c r="K2543" s="972"/>
      <c r="L2543" s="972"/>
      <c r="M2543" s="972"/>
    </row>
    <row r="2544" spans="5:13">
      <c r="E2544" s="972"/>
      <c r="F2544" s="972"/>
      <c r="G2544" s="972"/>
      <c r="H2544" s="972"/>
      <c r="I2544" s="972"/>
      <c r="J2544" s="972"/>
      <c r="K2544" s="972"/>
      <c r="L2544" s="972"/>
      <c r="M2544" s="972"/>
    </row>
    <row r="2545" spans="5:13">
      <c r="E2545" s="972"/>
      <c r="F2545" s="972"/>
      <c r="G2545" s="972"/>
      <c r="H2545" s="972"/>
      <c r="I2545" s="972"/>
      <c r="J2545" s="972"/>
      <c r="K2545" s="972"/>
      <c r="L2545" s="972"/>
      <c r="M2545" s="972"/>
    </row>
    <row r="2546" spans="5:13">
      <c r="E2546" s="972"/>
      <c r="F2546" s="972"/>
      <c r="G2546" s="972"/>
      <c r="H2546" s="972"/>
      <c r="I2546" s="972"/>
      <c r="J2546" s="972"/>
      <c r="K2546" s="972"/>
      <c r="L2546" s="972"/>
      <c r="M2546" s="972"/>
    </row>
    <row r="2547" spans="5:13">
      <c r="E2547" s="972"/>
      <c r="F2547" s="972"/>
      <c r="G2547" s="972"/>
      <c r="H2547" s="972"/>
      <c r="I2547" s="972"/>
      <c r="J2547" s="972"/>
      <c r="K2547" s="972"/>
      <c r="L2547" s="972"/>
      <c r="M2547" s="972"/>
    </row>
    <row r="2548" spans="5:13">
      <c r="E2548" s="972"/>
      <c r="F2548" s="972"/>
      <c r="G2548" s="972"/>
      <c r="H2548" s="972"/>
      <c r="I2548" s="972"/>
      <c r="J2548" s="972"/>
      <c r="K2548" s="972"/>
      <c r="L2548" s="972"/>
      <c r="M2548" s="972"/>
    </row>
    <row r="2549" spans="5:13">
      <c r="E2549" s="972"/>
      <c r="F2549" s="972"/>
      <c r="G2549" s="972"/>
      <c r="H2549" s="972"/>
      <c r="I2549" s="972"/>
      <c r="J2549" s="972"/>
      <c r="K2549" s="972"/>
      <c r="L2549" s="972"/>
      <c r="M2549" s="972"/>
    </row>
    <row r="2550" spans="5:13">
      <c r="E2550" s="972"/>
      <c r="F2550" s="972"/>
      <c r="G2550" s="972"/>
      <c r="H2550" s="972"/>
      <c r="I2550" s="972"/>
      <c r="J2550" s="972"/>
      <c r="K2550" s="972"/>
      <c r="L2550" s="972"/>
      <c r="M2550" s="972"/>
    </row>
    <row r="2551" spans="5:13">
      <c r="E2551" s="972"/>
      <c r="F2551" s="972"/>
      <c r="G2551" s="972"/>
      <c r="H2551" s="972"/>
      <c r="I2551" s="972"/>
      <c r="J2551" s="972"/>
      <c r="K2551" s="972"/>
      <c r="L2551" s="972"/>
      <c r="M2551" s="972"/>
    </row>
    <row r="2552" spans="5:13">
      <c r="E2552" s="972"/>
      <c r="F2552" s="972"/>
      <c r="G2552" s="972"/>
      <c r="H2552" s="972"/>
      <c r="I2552" s="972"/>
      <c r="J2552" s="972"/>
      <c r="K2552" s="972"/>
      <c r="L2552" s="972"/>
      <c r="M2552" s="972"/>
    </row>
    <row r="2553" spans="5:13">
      <c r="E2553" s="972"/>
      <c r="F2553" s="972"/>
      <c r="G2553" s="972"/>
      <c r="H2553" s="972"/>
      <c r="I2553" s="972"/>
      <c r="J2553" s="972"/>
      <c r="K2553" s="972"/>
      <c r="L2553" s="972"/>
      <c r="M2553" s="972"/>
    </row>
    <row r="2554" spans="5:13">
      <c r="E2554" s="972"/>
      <c r="F2554" s="972"/>
      <c r="G2554" s="972"/>
      <c r="H2554" s="972"/>
      <c r="I2554" s="972"/>
      <c r="J2554" s="972"/>
      <c r="K2554" s="972"/>
      <c r="L2554" s="972"/>
      <c r="M2554" s="972"/>
    </row>
    <row r="2555" spans="5:13">
      <c r="E2555" s="972"/>
      <c r="F2555" s="972"/>
      <c r="G2555" s="972"/>
      <c r="H2555" s="972"/>
      <c r="I2555" s="972"/>
      <c r="J2555" s="972"/>
      <c r="K2555" s="972"/>
      <c r="L2555" s="972"/>
      <c r="M2555" s="972"/>
    </row>
    <row r="2556" spans="5:13">
      <c r="E2556" s="972"/>
      <c r="F2556" s="972"/>
      <c r="G2556" s="972"/>
      <c r="H2556" s="972"/>
      <c r="I2556" s="972"/>
      <c r="J2556" s="972"/>
      <c r="K2556" s="972"/>
      <c r="L2556" s="972"/>
      <c r="M2556" s="972"/>
    </row>
    <row r="2557" spans="5:13">
      <c r="E2557" s="972"/>
      <c r="F2557" s="972"/>
      <c r="G2557" s="972"/>
      <c r="H2557" s="972"/>
      <c r="I2557" s="972"/>
      <c r="J2557" s="972"/>
      <c r="K2557" s="972"/>
      <c r="L2557" s="972"/>
      <c r="M2557" s="972"/>
    </row>
    <row r="2558" spans="5:13">
      <c r="E2558" s="972"/>
      <c r="F2558" s="972"/>
      <c r="G2558" s="972"/>
      <c r="H2558" s="972"/>
      <c r="I2558" s="972"/>
      <c r="J2558" s="972"/>
      <c r="K2558" s="972"/>
      <c r="L2558" s="972"/>
      <c r="M2558" s="972"/>
    </row>
    <row r="2559" spans="5:13">
      <c r="E2559" s="972"/>
      <c r="F2559" s="972"/>
      <c r="G2559" s="972"/>
      <c r="H2559" s="972"/>
      <c r="I2559" s="972"/>
      <c r="J2559" s="972"/>
      <c r="K2559" s="972"/>
      <c r="L2559" s="972"/>
      <c r="M2559" s="972"/>
    </row>
    <row r="2560" spans="5:13">
      <c r="E2560" s="972"/>
      <c r="F2560" s="972"/>
      <c r="G2560" s="972"/>
      <c r="H2560" s="972"/>
      <c r="I2560" s="972"/>
      <c r="J2560" s="972"/>
      <c r="K2560" s="972"/>
      <c r="L2560" s="972"/>
      <c r="M2560" s="972"/>
    </row>
    <row r="2561" spans="5:13">
      <c r="E2561" s="972"/>
      <c r="F2561" s="972"/>
      <c r="G2561" s="972"/>
      <c r="H2561" s="972"/>
      <c r="I2561" s="972"/>
      <c r="J2561" s="972"/>
      <c r="K2561" s="972"/>
      <c r="L2561" s="972"/>
      <c r="M2561" s="972"/>
    </row>
    <row r="2562" spans="5:13">
      <c r="E2562" s="972"/>
      <c r="F2562" s="972"/>
      <c r="G2562" s="972"/>
      <c r="H2562" s="972"/>
      <c r="I2562" s="972"/>
      <c r="J2562" s="972"/>
      <c r="K2562" s="972"/>
      <c r="L2562" s="972"/>
      <c r="M2562" s="972"/>
    </row>
    <row r="2563" spans="5:13">
      <c r="E2563" s="972"/>
      <c r="F2563" s="972"/>
      <c r="G2563" s="972"/>
      <c r="H2563" s="972"/>
      <c r="I2563" s="972"/>
      <c r="J2563" s="972"/>
      <c r="K2563" s="972"/>
      <c r="L2563" s="972"/>
      <c r="M2563" s="972"/>
    </row>
    <row r="2564" spans="5:13">
      <c r="E2564" s="972"/>
      <c r="F2564" s="972"/>
      <c r="G2564" s="972"/>
      <c r="H2564" s="972"/>
      <c r="I2564" s="972"/>
      <c r="J2564" s="972"/>
      <c r="K2564" s="972"/>
      <c r="L2564" s="972"/>
      <c r="M2564" s="972"/>
    </row>
    <row r="2565" spans="5:13">
      <c r="E2565" s="972"/>
      <c r="F2565" s="972"/>
      <c r="G2565" s="972"/>
      <c r="H2565" s="972"/>
      <c r="I2565" s="972"/>
      <c r="J2565" s="972"/>
      <c r="K2565" s="972"/>
      <c r="L2565" s="972"/>
      <c r="M2565" s="972"/>
    </row>
    <row r="2566" spans="5:13">
      <c r="E2566" s="972"/>
      <c r="F2566" s="972"/>
      <c r="G2566" s="972"/>
      <c r="H2566" s="972"/>
      <c r="I2566" s="972"/>
      <c r="J2566" s="972"/>
      <c r="K2566" s="972"/>
      <c r="L2566" s="972"/>
      <c r="M2566" s="972"/>
    </row>
    <row r="2567" spans="5:13">
      <c r="E2567" s="972"/>
      <c r="F2567" s="972"/>
      <c r="G2567" s="972"/>
      <c r="H2567" s="972"/>
      <c r="I2567" s="972"/>
      <c r="J2567" s="972"/>
      <c r="K2567" s="972"/>
      <c r="L2567" s="972"/>
      <c r="M2567" s="972"/>
    </row>
    <row r="2568" spans="5:13">
      <c r="E2568" s="972"/>
      <c r="F2568" s="972"/>
      <c r="G2568" s="972"/>
      <c r="H2568" s="972"/>
      <c r="I2568" s="972"/>
      <c r="J2568" s="972"/>
      <c r="K2568" s="972"/>
      <c r="L2568" s="972"/>
      <c r="M2568" s="972"/>
    </row>
    <row r="2569" spans="5:13">
      <c r="E2569" s="972"/>
      <c r="F2569" s="972"/>
      <c r="G2569" s="972"/>
      <c r="H2569" s="972"/>
      <c r="I2569" s="972"/>
      <c r="J2569" s="972"/>
      <c r="K2569" s="972"/>
      <c r="L2569" s="972"/>
      <c r="M2569" s="972"/>
    </row>
    <row r="2570" spans="5:13">
      <c r="E2570" s="972"/>
      <c r="F2570" s="972"/>
      <c r="G2570" s="972"/>
      <c r="H2570" s="972"/>
      <c r="I2570" s="972"/>
      <c r="J2570" s="972"/>
      <c r="K2570" s="972"/>
      <c r="L2570" s="972"/>
      <c r="M2570" s="972"/>
    </row>
    <row r="2571" spans="5:13">
      <c r="E2571" s="972"/>
      <c r="F2571" s="972"/>
      <c r="G2571" s="972"/>
      <c r="H2571" s="972"/>
      <c r="I2571" s="972"/>
      <c r="J2571" s="972"/>
      <c r="K2571" s="972"/>
      <c r="L2571" s="972"/>
      <c r="M2571" s="972"/>
    </row>
    <row r="2572" spans="5:13">
      <c r="E2572" s="972"/>
      <c r="F2572" s="972"/>
      <c r="G2572" s="972"/>
      <c r="H2572" s="972"/>
      <c r="I2572" s="972"/>
      <c r="J2572" s="972"/>
      <c r="K2572" s="972"/>
      <c r="L2572" s="972"/>
      <c r="M2572" s="972"/>
    </row>
    <row r="2573" spans="5:13">
      <c r="E2573" s="972"/>
      <c r="F2573" s="972"/>
      <c r="G2573" s="972"/>
      <c r="H2573" s="972"/>
      <c r="I2573" s="972"/>
      <c r="J2573" s="972"/>
      <c r="K2573" s="972"/>
      <c r="L2573" s="972"/>
      <c r="M2573" s="972"/>
    </row>
    <row r="2574" spans="5:13">
      <c r="E2574" s="972"/>
      <c r="F2574" s="972"/>
      <c r="G2574" s="972"/>
      <c r="H2574" s="972"/>
      <c r="I2574" s="972"/>
      <c r="J2574" s="972"/>
      <c r="K2574" s="972"/>
      <c r="L2574" s="972"/>
      <c r="M2574" s="972"/>
    </row>
    <row r="2575" spans="5:13">
      <c r="E2575" s="972"/>
      <c r="F2575" s="972"/>
      <c r="G2575" s="972"/>
      <c r="H2575" s="972"/>
      <c r="I2575" s="972"/>
      <c r="J2575" s="972"/>
      <c r="K2575" s="972"/>
      <c r="L2575" s="972"/>
      <c r="M2575" s="972"/>
    </row>
    <row r="2576" spans="5:13">
      <c r="E2576" s="972"/>
      <c r="F2576" s="972"/>
      <c r="G2576" s="972"/>
      <c r="H2576" s="972"/>
      <c r="I2576" s="972"/>
      <c r="J2576" s="972"/>
      <c r="K2576" s="972"/>
      <c r="L2576" s="972"/>
      <c r="M2576" s="972"/>
    </row>
    <row r="2577" spans="5:13">
      <c r="E2577" s="972"/>
      <c r="F2577" s="972"/>
      <c r="G2577" s="972"/>
      <c r="H2577" s="972"/>
      <c r="I2577" s="972"/>
      <c r="J2577" s="972"/>
      <c r="K2577" s="972"/>
      <c r="L2577" s="972"/>
      <c r="M2577" s="972"/>
    </row>
    <row r="2578" spans="5:13">
      <c r="E2578" s="972"/>
      <c r="F2578" s="972"/>
      <c r="G2578" s="972"/>
      <c r="H2578" s="972"/>
      <c r="I2578" s="972"/>
      <c r="J2578" s="972"/>
      <c r="K2578" s="972"/>
      <c r="L2578" s="972"/>
      <c r="M2578" s="972"/>
    </row>
    <row r="2579" spans="5:13">
      <c r="E2579" s="972"/>
      <c r="F2579" s="972"/>
      <c r="G2579" s="972"/>
      <c r="H2579" s="972"/>
      <c r="I2579" s="972"/>
      <c r="J2579" s="972"/>
      <c r="K2579" s="972"/>
      <c r="L2579" s="972"/>
      <c r="M2579" s="972"/>
    </row>
    <row r="2580" spans="5:13">
      <c r="E2580" s="972"/>
      <c r="F2580" s="972"/>
      <c r="G2580" s="972"/>
      <c r="H2580" s="972"/>
      <c r="I2580" s="972"/>
      <c r="J2580" s="972"/>
      <c r="K2580" s="972"/>
      <c r="L2580" s="972"/>
      <c r="M2580" s="972"/>
    </row>
    <row r="2581" spans="5:13">
      <c r="E2581" s="972"/>
      <c r="F2581" s="972"/>
      <c r="G2581" s="972"/>
      <c r="H2581" s="972"/>
      <c r="I2581" s="972"/>
      <c r="J2581" s="972"/>
      <c r="K2581" s="972"/>
      <c r="L2581" s="972"/>
      <c r="M2581" s="972"/>
    </row>
    <row r="2582" spans="5:13">
      <c r="E2582" s="972"/>
      <c r="F2582" s="972"/>
      <c r="G2582" s="972"/>
      <c r="H2582" s="972"/>
      <c r="I2582" s="972"/>
      <c r="J2582" s="972"/>
      <c r="K2582" s="972"/>
      <c r="L2582" s="972"/>
      <c r="M2582" s="972"/>
    </row>
    <row r="2583" spans="5:13">
      <c r="E2583" s="972"/>
      <c r="F2583" s="972"/>
      <c r="G2583" s="972"/>
      <c r="H2583" s="972"/>
      <c r="I2583" s="972"/>
      <c r="J2583" s="972"/>
      <c r="K2583" s="972"/>
      <c r="L2583" s="972"/>
      <c r="M2583" s="972"/>
    </row>
    <row r="2584" spans="5:13">
      <c r="E2584" s="972"/>
      <c r="F2584" s="972"/>
      <c r="G2584" s="972"/>
      <c r="H2584" s="972"/>
      <c r="I2584" s="972"/>
      <c r="J2584" s="972"/>
      <c r="K2584" s="972"/>
      <c r="L2584" s="972"/>
      <c r="M2584" s="972"/>
    </row>
    <row r="2585" spans="5:13">
      <c r="E2585" s="972"/>
      <c r="F2585" s="972"/>
      <c r="G2585" s="972"/>
      <c r="H2585" s="972"/>
      <c r="I2585" s="972"/>
      <c r="J2585" s="972"/>
      <c r="K2585" s="972"/>
      <c r="L2585" s="972"/>
      <c r="M2585" s="972"/>
    </row>
    <row r="2586" spans="5:13">
      <c r="E2586" s="972"/>
      <c r="F2586" s="972"/>
      <c r="G2586" s="972"/>
      <c r="H2586" s="972"/>
      <c r="I2586" s="972"/>
      <c r="J2586" s="972"/>
      <c r="K2586" s="972"/>
      <c r="L2586" s="972"/>
      <c r="M2586" s="972"/>
    </row>
    <row r="2587" spans="5:13">
      <c r="E2587" s="972"/>
      <c r="F2587" s="972"/>
      <c r="G2587" s="972"/>
      <c r="H2587" s="972"/>
      <c r="I2587" s="972"/>
      <c r="J2587" s="972"/>
      <c r="K2587" s="972"/>
      <c r="L2587" s="972"/>
      <c r="M2587" s="972"/>
    </row>
    <row r="2588" spans="5:13">
      <c r="E2588" s="972"/>
      <c r="F2588" s="972"/>
      <c r="G2588" s="972"/>
      <c r="H2588" s="972"/>
      <c r="I2588" s="972"/>
      <c r="J2588" s="972"/>
      <c r="K2588" s="972"/>
      <c r="L2588" s="972"/>
      <c r="M2588" s="972"/>
    </row>
    <row r="2589" spans="5:13">
      <c r="E2589" s="972"/>
      <c r="F2589" s="972"/>
      <c r="G2589" s="972"/>
      <c r="H2589" s="972"/>
      <c r="I2589" s="972"/>
      <c r="J2589" s="972"/>
      <c r="K2589" s="972"/>
      <c r="L2589" s="972"/>
      <c r="M2589" s="972"/>
    </row>
    <row r="2590" spans="5:13">
      <c r="E2590" s="972"/>
      <c r="F2590" s="972"/>
      <c r="G2590" s="972"/>
      <c r="H2590" s="972"/>
      <c r="I2590" s="972"/>
      <c r="J2590" s="972"/>
      <c r="K2590" s="972"/>
      <c r="L2590" s="972"/>
      <c r="M2590" s="972"/>
    </row>
    <row r="2591" spans="5:13">
      <c r="E2591" s="972"/>
      <c r="F2591" s="972"/>
      <c r="G2591" s="972"/>
      <c r="H2591" s="972"/>
      <c r="I2591" s="972"/>
      <c r="J2591" s="972"/>
      <c r="K2591" s="972"/>
      <c r="L2591" s="972"/>
      <c r="M2591" s="972"/>
    </row>
    <row r="2592" spans="5:13">
      <c r="E2592" s="972"/>
      <c r="F2592" s="972"/>
      <c r="G2592" s="972"/>
      <c r="H2592" s="972"/>
      <c r="I2592" s="972"/>
      <c r="J2592" s="972"/>
      <c r="K2592" s="972"/>
      <c r="L2592" s="972"/>
      <c r="M2592" s="972"/>
    </row>
    <row r="2593" spans="5:13">
      <c r="E2593" s="972"/>
      <c r="F2593" s="972"/>
      <c r="G2593" s="972"/>
      <c r="H2593" s="972"/>
      <c r="I2593" s="972"/>
      <c r="J2593" s="972"/>
      <c r="K2593" s="972"/>
      <c r="L2593" s="972"/>
      <c r="M2593" s="972"/>
    </row>
    <row r="2594" spans="5:13">
      <c r="E2594" s="972"/>
      <c r="F2594" s="972"/>
      <c r="G2594" s="972"/>
      <c r="H2594" s="972"/>
      <c r="I2594" s="972"/>
      <c r="J2594" s="972"/>
      <c r="K2594" s="972"/>
      <c r="L2594" s="972"/>
      <c r="M2594" s="972"/>
    </row>
    <row r="2595" spans="5:13">
      <c r="E2595" s="972"/>
      <c r="F2595" s="972"/>
      <c r="G2595" s="972"/>
      <c r="H2595" s="972"/>
      <c r="I2595" s="972"/>
      <c r="J2595" s="972"/>
      <c r="K2595" s="972"/>
      <c r="L2595" s="972"/>
      <c r="M2595" s="972"/>
    </row>
    <row r="2596" spans="5:13">
      <c r="E2596" s="972"/>
      <c r="F2596" s="972"/>
      <c r="G2596" s="972"/>
      <c r="H2596" s="972"/>
      <c r="I2596" s="972"/>
      <c r="J2596" s="972"/>
      <c r="K2596" s="972"/>
      <c r="L2596" s="972"/>
      <c r="M2596" s="972"/>
    </row>
    <row r="2597" spans="5:13">
      <c r="E2597" s="972"/>
      <c r="F2597" s="972"/>
      <c r="G2597" s="972"/>
      <c r="H2597" s="972"/>
      <c r="I2597" s="972"/>
      <c r="J2597" s="972"/>
      <c r="K2597" s="972"/>
      <c r="L2597" s="972"/>
      <c r="M2597" s="972"/>
    </row>
    <row r="2598" spans="5:13">
      <c r="E2598" s="972"/>
      <c r="F2598" s="972"/>
      <c r="G2598" s="972"/>
      <c r="H2598" s="972"/>
      <c r="I2598" s="972"/>
      <c r="J2598" s="972"/>
      <c r="K2598" s="972"/>
      <c r="L2598" s="972"/>
      <c r="M2598" s="972"/>
    </row>
    <row r="2599" spans="5:13">
      <c r="E2599" s="972"/>
      <c r="F2599" s="972"/>
      <c r="G2599" s="972"/>
      <c r="H2599" s="972"/>
      <c r="I2599" s="972"/>
      <c r="J2599" s="972"/>
      <c r="K2599" s="972"/>
      <c r="L2599" s="972"/>
      <c r="M2599" s="972"/>
    </row>
    <row r="2600" spans="5:13">
      <c r="E2600" s="972"/>
      <c r="F2600" s="972"/>
      <c r="G2600" s="972"/>
      <c r="H2600" s="972"/>
      <c r="I2600" s="972"/>
      <c r="J2600" s="972"/>
      <c r="K2600" s="972"/>
      <c r="L2600" s="972"/>
      <c r="M2600" s="972"/>
    </row>
    <row r="2601" spans="5:13">
      <c r="E2601" s="972"/>
      <c r="F2601" s="972"/>
      <c r="G2601" s="972"/>
      <c r="H2601" s="972"/>
      <c r="I2601" s="972"/>
      <c r="J2601" s="972"/>
      <c r="K2601" s="972"/>
      <c r="L2601" s="972"/>
      <c r="M2601" s="972"/>
    </row>
    <row r="2602" spans="5:13">
      <c r="E2602" s="972"/>
      <c r="F2602" s="972"/>
      <c r="G2602" s="972"/>
      <c r="H2602" s="972"/>
      <c r="I2602" s="972"/>
      <c r="J2602" s="972"/>
      <c r="K2602" s="972"/>
      <c r="L2602" s="972"/>
      <c r="M2602" s="972"/>
    </row>
    <row r="2603" spans="5:13">
      <c r="E2603" s="972"/>
      <c r="F2603" s="972"/>
      <c r="G2603" s="972"/>
      <c r="H2603" s="972"/>
      <c r="I2603" s="972"/>
      <c r="J2603" s="972"/>
      <c r="K2603" s="972"/>
      <c r="L2603" s="972"/>
      <c r="M2603" s="972"/>
    </row>
    <row r="2604" spans="5:13">
      <c r="E2604" s="972"/>
      <c r="F2604" s="972"/>
      <c r="G2604" s="972"/>
      <c r="H2604" s="972"/>
      <c r="I2604" s="972"/>
      <c r="J2604" s="972"/>
      <c r="K2604" s="972"/>
      <c r="L2604" s="972"/>
      <c r="M2604" s="972"/>
    </row>
    <row r="2605" spans="5:13">
      <c r="E2605" s="972"/>
      <c r="F2605" s="972"/>
      <c r="G2605" s="972"/>
      <c r="H2605" s="972"/>
      <c r="I2605" s="972"/>
      <c r="J2605" s="972"/>
      <c r="K2605" s="972"/>
      <c r="L2605" s="972"/>
      <c r="M2605" s="972"/>
    </row>
    <row r="2606" spans="5:13">
      <c r="E2606" s="972"/>
      <c r="F2606" s="972"/>
      <c r="G2606" s="972"/>
      <c r="H2606" s="972"/>
      <c r="I2606" s="972"/>
      <c r="J2606" s="972"/>
      <c r="K2606" s="972"/>
      <c r="L2606" s="972"/>
      <c r="M2606" s="972"/>
    </row>
    <row r="2607" spans="5:13">
      <c r="E2607" s="972"/>
      <c r="F2607" s="972"/>
      <c r="G2607" s="972"/>
      <c r="H2607" s="972"/>
      <c r="I2607" s="972"/>
      <c r="J2607" s="972"/>
      <c r="K2607" s="972"/>
      <c r="L2607" s="972"/>
      <c r="M2607" s="972"/>
    </row>
    <row r="2608" spans="5:13">
      <c r="E2608" s="972"/>
      <c r="F2608" s="972"/>
      <c r="G2608" s="972"/>
      <c r="H2608" s="972"/>
      <c r="I2608" s="972"/>
      <c r="J2608" s="972"/>
      <c r="K2608" s="972"/>
      <c r="L2608" s="972"/>
      <c r="M2608" s="972"/>
    </row>
    <row r="2609" spans="5:13">
      <c r="E2609" s="972"/>
      <c r="F2609" s="972"/>
      <c r="G2609" s="972"/>
      <c r="H2609" s="972"/>
      <c r="I2609" s="972"/>
      <c r="J2609" s="972"/>
      <c r="K2609" s="972"/>
      <c r="L2609" s="972"/>
      <c r="M2609" s="972"/>
    </row>
    <row r="2610" spans="5:13">
      <c r="E2610" s="972"/>
      <c r="F2610" s="972"/>
      <c r="G2610" s="972"/>
      <c r="H2610" s="972"/>
      <c r="I2610" s="972"/>
      <c r="J2610" s="972"/>
      <c r="K2610" s="972"/>
      <c r="L2610" s="972"/>
      <c r="M2610" s="972"/>
    </row>
    <row r="2611" spans="5:13">
      <c r="E2611" s="972"/>
      <c r="F2611" s="972"/>
      <c r="G2611" s="972"/>
      <c r="H2611" s="972"/>
      <c r="I2611" s="972"/>
      <c r="J2611" s="972"/>
      <c r="K2611" s="972"/>
      <c r="L2611" s="972"/>
      <c r="M2611" s="972"/>
    </row>
    <row r="2612" spans="5:13">
      <c r="E2612" s="972"/>
      <c r="F2612" s="972"/>
      <c r="G2612" s="972"/>
      <c r="H2612" s="972"/>
      <c r="I2612" s="972"/>
      <c r="J2612" s="972"/>
      <c r="K2612" s="972"/>
      <c r="L2612" s="972"/>
      <c r="M2612" s="972"/>
    </row>
    <row r="2613" spans="5:13">
      <c r="E2613" s="972"/>
      <c r="F2613" s="972"/>
      <c r="G2613" s="972"/>
      <c r="H2613" s="972"/>
      <c r="I2613" s="972"/>
      <c r="J2613" s="972"/>
      <c r="K2613" s="972"/>
      <c r="L2613" s="972"/>
      <c r="M2613" s="972"/>
    </row>
    <row r="2614" spans="5:13">
      <c r="E2614" s="972"/>
      <c r="F2614" s="972"/>
      <c r="G2614" s="972"/>
      <c r="H2614" s="972"/>
      <c r="I2614" s="972"/>
      <c r="J2614" s="972"/>
      <c r="K2614" s="972"/>
      <c r="L2614" s="972"/>
      <c r="M2614" s="972"/>
    </row>
    <row r="2615" spans="5:13">
      <c r="E2615" s="972"/>
      <c r="F2615" s="972"/>
      <c r="G2615" s="972"/>
      <c r="H2615" s="972"/>
      <c r="I2615" s="972"/>
      <c r="J2615" s="972"/>
      <c r="K2615" s="972"/>
      <c r="L2615" s="972"/>
      <c r="M2615" s="972"/>
    </row>
    <row r="2616" spans="5:13">
      <c r="E2616" s="972"/>
      <c r="F2616" s="972"/>
      <c r="G2616" s="972"/>
      <c r="H2616" s="972"/>
      <c r="I2616" s="972"/>
      <c r="J2616" s="972"/>
      <c r="K2616" s="972"/>
      <c r="L2616" s="972"/>
      <c r="M2616" s="972"/>
    </row>
    <row r="2617" spans="5:13">
      <c r="E2617" s="972"/>
      <c r="F2617" s="972"/>
      <c r="G2617" s="972"/>
      <c r="H2617" s="972"/>
      <c r="I2617" s="972"/>
      <c r="J2617" s="972"/>
      <c r="K2617" s="972"/>
      <c r="L2617" s="972"/>
      <c r="M2617" s="972"/>
    </row>
    <row r="2618" spans="5:13">
      <c r="E2618" s="972"/>
      <c r="F2618" s="972"/>
      <c r="G2618" s="972"/>
      <c r="H2618" s="972"/>
      <c r="I2618" s="972"/>
      <c r="J2618" s="972"/>
      <c r="K2618" s="972"/>
      <c r="L2618" s="972"/>
      <c r="M2618" s="972"/>
    </row>
    <row r="2619" spans="5:13">
      <c r="E2619" s="972"/>
      <c r="F2619" s="972"/>
      <c r="G2619" s="972"/>
      <c r="H2619" s="972"/>
      <c r="I2619" s="972"/>
      <c r="J2619" s="972"/>
      <c r="K2619" s="972"/>
      <c r="L2619" s="972"/>
      <c r="M2619" s="972"/>
    </row>
    <row r="2620" spans="5:13">
      <c r="E2620" s="972"/>
      <c r="F2620" s="972"/>
      <c r="G2620" s="972"/>
      <c r="H2620" s="972"/>
      <c r="I2620" s="972"/>
      <c r="J2620" s="972"/>
      <c r="K2620" s="972"/>
      <c r="L2620" s="972"/>
      <c r="M2620" s="972"/>
    </row>
    <row r="2621" spans="5:13">
      <c r="E2621" s="972"/>
      <c r="F2621" s="972"/>
      <c r="G2621" s="972"/>
      <c r="H2621" s="972"/>
      <c r="I2621" s="972"/>
      <c r="J2621" s="972"/>
      <c r="K2621" s="972"/>
      <c r="L2621" s="972"/>
      <c r="M2621" s="972"/>
    </row>
    <row r="2622" spans="5:13">
      <c r="E2622" s="972"/>
      <c r="F2622" s="972"/>
      <c r="G2622" s="972"/>
      <c r="H2622" s="972"/>
      <c r="I2622" s="972"/>
      <c r="J2622" s="972"/>
      <c r="K2622" s="972"/>
      <c r="L2622" s="972"/>
      <c r="M2622" s="972"/>
    </row>
    <row r="2623" spans="5:13">
      <c r="E2623" s="972"/>
      <c r="F2623" s="972"/>
      <c r="G2623" s="972"/>
      <c r="H2623" s="972"/>
      <c r="I2623" s="972"/>
      <c r="J2623" s="972"/>
      <c r="K2623" s="972"/>
      <c r="L2623" s="972"/>
      <c r="M2623" s="972"/>
    </row>
    <row r="2624" spans="5:13">
      <c r="E2624" s="972"/>
      <c r="F2624" s="972"/>
      <c r="G2624" s="972"/>
      <c r="H2624" s="972"/>
      <c r="I2624" s="972"/>
      <c r="J2624" s="972"/>
      <c r="K2624" s="972"/>
      <c r="L2624" s="972"/>
      <c r="M2624" s="972"/>
    </row>
    <row r="2625" spans="5:13">
      <c r="E2625" s="972"/>
      <c r="F2625" s="972"/>
      <c r="G2625" s="972"/>
      <c r="H2625" s="972"/>
      <c r="I2625" s="972"/>
      <c r="J2625" s="972"/>
      <c r="K2625" s="972"/>
      <c r="L2625" s="972"/>
      <c r="M2625" s="972"/>
    </row>
    <row r="2626" spans="5:13">
      <c r="E2626" s="972"/>
      <c r="F2626" s="972"/>
      <c r="G2626" s="972"/>
      <c r="H2626" s="972"/>
      <c r="I2626" s="972"/>
      <c r="J2626" s="972"/>
      <c r="K2626" s="972"/>
      <c r="L2626" s="972"/>
      <c r="M2626" s="972"/>
    </row>
    <row r="2627" spans="5:13">
      <c r="E2627" s="972"/>
      <c r="F2627" s="972"/>
      <c r="G2627" s="972"/>
      <c r="H2627" s="972"/>
      <c r="I2627" s="972"/>
      <c r="J2627" s="972"/>
      <c r="K2627" s="972"/>
      <c r="L2627" s="972"/>
      <c r="M2627" s="972"/>
    </row>
    <row r="2628" spans="5:13">
      <c r="E2628" s="972"/>
      <c r="F2628" s="972"/>
      <c r="G2628" s="972"/>
      <c r="H2628" s="972"/>
      <c r="I2628" s="972"/>
      <c r="J2628" s="972"/>
      <c r="K2628" s="972"/>
      <c r="L2628" s="972"/>
      <c r="M2628" s="972"/>
    </row>
    <row r="2629" spans="5:13">
      <c r="E2629" s="972"/>
      <c r="F2629" s="972"/>
      <c r="G2629" s="972"/>
      <c r="H2629" s="972"/>
      <c r="I2629" s="972"/>
      <c r="J2629" s="972"/>
      <c r="K2629" s="972"/>
      <c r="L2629" s="972"/>
      <c r="M2629" s="972"/>
    </row>
    <row r="2630" spans="5:13">
      <c r="E2630" s="972"/>
      <c r="F2630" s="972"/>
      <c r="G2630" s="972"/>
      <c r="H2630" s="972"/>
      <c r="I2630" s="972"/>
      <c r="J2630" s="972"/>
      <c r="K2630" s="972"/>
      <c r="L2630" s="972"/>
      <c r="M2630" s="972"/>
    </row>
    <row r="2631" spans="5:13">
      <c r="E2631" s="972"/>
      <c r="F2631" s="972"/>
      <c r="G2631" s="972"/>
      <c r="H2631" s="972"/>
      <c r="I2631" s="972"/>
      <c r="J2631" s="972"/>
      <c r="K2631" s="972"/>
      <c r="L2631" s="972"/>
      <c r="M2631" s="972"/>
    </row>
    <row r="2632" spans="5:13">
      <c r="E2632" s="972"/>
      <c r="F2632" s="972"/>
      <c r="G2632" s="972"/>
      <c r="H2632" s="972"/>
      <c r="I2632" s="972"/>
      <c r="J2632" s="972"/>
      <c r="K2632" s="972"/>
      <c r="L2632" s="972"/>
      <c r="M2632" s="972"/>
    </row>
    <row r="2633" spans="5:13">
      <c r="E2633" s="972"/>
      <c r="F2633" s="972"/>
      <c r="G2633" s="972"/>
      <c r="H2633" s="972"/>
      <c r="I2633" s="972"/>
      <c r="J2633" s="972"/>
      <c r="K2633" s="972"/>
      <c r="L2633" s="972"/>
      <c r="M2633" s="972"/>
    </row>
    <row r="2634" spans="5:13">
      <c r="E2634" s="972"/>
      <c r="F2634" s="972"/>
      <c r="G2634" s="972"/>
      <c r="H2634" s="972"/>
      <c r="I2634" s="972"/>
      <c r="J2634" s="972"/>
      <c r="K2634" s="972"/>
      <c r="L2634" s="972"/>
      <c r="M2634" s="972"/>
    </row>
    <row r="2635" spans="5:13">
      <c r="E2635" s="972"/>
      <c r="F2635" s="972"/>
      <c r="G2635" s="972"/>
      <c r="H2635" s="972"/>
      <c r="I2635" s="972"/>
      <c r="J2635" s="972"/>
      <c r="K2635" s="972"/>
      <c r="L2635" s="972"/>
      <c r="M2635" s="972"/>
    </row>
    <row r="2636" spans="5:13">
      <c r="E2636" s="972"/>
      <c r="F2636" s="972"/>
      <c r="G2636" s="972"/>
      <c r="H2636" s="972"/>
      <c r="I2636" s="972"/>
      <c r="J2636" s="972"/>
      <c r="K2636" s="972"/>
      <c r="L2636" s="972"/>
      <c r="M2636" s="972"/>
    </row>
    <row r="2637" spans="5:13">
      <c r="E2637" s="972"/>
      <c r="F2637" s="972"/>
      <c r="G2637" s="972"/>
      <c r="H2637" s="972"/>
      <c r="I2637" s="972"/>
      <c r="J2637" s="972"/>
      <c r="K2637" s="972"/>
      <c r="L2637" s="972"/>
      <c r="M2637" s="972"/>
    </row>
    <row r="2638" spans="5:13">
      <c r="E2638" s="972"/>
      <c r="F2638" s="972"/>
      <c r="G2638" s="972"/>
      <c r="H2638" s="972"/>
      <c r="I2638" s="972"/>
      <c r="J2638" s="972"/>
      <c r="K2638" s="972"/>
      <c r="L2638" s="972"/>
      <c r="M2638" s="972"/>
    </row>
    <row r="2639" spans="5:13">
      <c r="E2639" s="972"/>
      <c r="F2639" s="972"/>
      <c r="G2639" s="972"/>
      <c r="H2639" s="972"/>
      <c r="I2639" s="972"/>
      <c r="J2639" s="972"/>
      <c r="K2639" s="972"/>
      <c r="L2639" s="972"/>
      <c r="M2639" s="972"/>
    </row>
    <row r="2640" spans="5:13">
      <c r="E2640" s="972"/>
      <c r="F2640" s="972"/>
      <c r="G2640" s="972"/>
      <c r="H2640" s="972"/>
      <c r="I2640" s="972"/>
      <c r="J2640" s="972"/>
      <c r="K2640" s="972"/>
      <c r="L2640" s="972"/>
      <c r="M2640" s="972"/>
    </row>
    <row r="2641" spans="5:13">
      <c r="E2641" s="972"/>
      <c r="F2641" s="972"/>
      <c r="G2641" s="972"/>
      <c r="H2641" s="972"/>
      <c r="I2641" s="972"/>
      <c r="J2641" s="972"/>
      <c r="K2641" s="972"/>
      <c r="L2641" s="972"/>
      <c r="M2641" s="972"/>
    </row>
    <row r="2642" spans="5:13">
      <c r="E2642" s="972"/>
      <c r="F2642" s="972"/>
      <c r="G2642" s="972"/>
      <c r="H2642" s="972"/>
      <c r="I2642" s="972"/>
      <c r="J2642" s="972"/>
      <c r="K2642" s="972"/>
      <c r="L2642" s="972"/>
      <c r="M2642" s="972"/>
    </row>
    <row r="2643" spans="5:13">
      <c r="E2643" s="972"/>
      <c r="F2643" s="972"/>
      <c r="G2643" s="972"/>
      <c r="H2643" s="972"/>
      <c r="I2643" s="972"/>
      <c r="J2643" s="972"/>
      <c r="K2643" s="972"/>
      <c r="L2643" s="972"/>
      <c r="M2643" s="972"/>
    </row>
    <row r="2644" spans="5:13">
      <c r="E2644" s="972"/>
      <c r="F2644" s="972"/>
      <c r="G2644" s="972"/>
      <c r="H2644" s="972"/>
      <c r="I2644" s="972"/>
      <c r="J2644" s="972"/>
      <c r="K2644" s="972"/>
      <c r="L2644" s="972"/>
      <c r="M2644" s="972"/>
    </row>
    <row r="2645" spans="5:13">
      <c r="E2645" s="972"/>
      <c r="F2645" s="972"/>
      <c r="G2645" s="972"/>
      <c r="H2645" s="972"/>
      <c r="I2645" s="972"/>
      <c r="J2645" s="972"/>
      <c r="K2645" s="972"/>
      <c r="L2645" s="972"/>
      <c r="M2645" s="972"/>
    </row>
    <row r="2646" spans="5:13">
      <c r="E2646" s="972"/>
      <c r="F2646" s="972"/>
      <c r="G2646" s="972"/>
      <c r="H2646" s="972"/>
      <c r="I2646" s="972"/>
      <c r="J2646" s="972"/>
      <c r="K2646" s="972"/>
      <c r="L2646" s="972"/>
      <c r="M2646" s="972"/>
    </row>
    <row r="2647" spans="5:13">
      <c r="E2647" s="972"/>
      <c r="F2647" s="972"/>
      <c r="G2647" s="972"/>
      <c r="H2647" s="972"/>
      <c r="I2647" s="972"/>
      <c r="J2647" s="972"/>
      <c r="K2647" s="972"/>
      <c r="L2647" s="972"/>
      <c r="M2647" s="972"/>
    </row>
    <row r="2648" spans="5:13">
      <c r="E2648" s="972"/>
      <c r="F2648" s="972"/>
      <c r="G2648" s="972"/>
      <c r="H2648" s="972"/>
      <c r="I2648" s="972"/>
      <c r="J2648" s="972"/>
      <c r="K2648" s="972"/>
      <c r="L2648" s="972"/>
      <c r="M2648" s="972"/>
    </row>
    <row r="2649" spans="5:13">
      <c r="E2649" s="972"/>
      <c r="F2649" s="972"/>
      <c r="G2649" s="972"/>
      <c r="H2649" s="972"/>
      <c r="I2649" s="972"/>
      <c r="J2649" s="972"/>
      <c r="K2649" s="972"/>
      <c r="L2649" s="972"/>
      <c r="M2649" s="972"/>
    </row>
    <row r="2650" spans="5:13">
      <c r="E2650" s="972"/>
      <c r="F2650" s="972"/>
      <c r="G2650" s="972"/>
      <c r="H2650" s="972"/>
      <c r="I2650" s="972"/>
      <c r="J2650" s="972"/>
      <c r="K2650" s="972"/>
      <c r="L2650" s="972"/>
      <c r="M2650" s="972"/>
    </row>
    <row r="2651" spans="5:13">
      <c r="E2651" s="972"/>
      <c r="F2651" s="972"/>
      <c r="G2651" s="972"/>
      <c r="H2651" s="972"/>
      <c r="I2651" s="972"/>
      <c r="J2651" s="972"/>
      <c r="K2651" s="972"/>
      <c r="L2651" s="972"/>
      <c r="M2651" s="972"/>
    </row>
    <row r="2652" spans="5:13">
      <c r="E2652" s="972"/>
      <c r="F2652" s="972"/>
      <c r="G2652" s="972"/>
      <c r="H2652" s="972"/>
      <c r="I2652" s="972"/>
      <c r="J2652" s="972"/>
      <c r="K2652" s="972"/>
      <c r="L2652" s="972"/>
      <c r="M2652" s="972"/>
    </row>
    <row r="2653" spans="5:13">
      <c r="E2653" s="972"/>
      <c r="F2653" s="972"/>
      <c r="G2653" s="972"/>
      <c r="H2653" s="972"/>
      <c r="I2653" s="972"/>
      <c r="J2653" s="972"/>
      <c r="K2653" s="972"/>
      <c r="L2653" s="972"/>
      <c r="M2653" s="972"/>
    </row>
    <row r="2654" spans="5:13">
      <c r="E2654" s="972"/>
      <c r="F2654" s="972"/>
      <c r="G2654" s="972"/>
      <c r="H2654" s="972"/>
      <c r="I2654" s="972"/>
      <c r="J2654" s="972"/>
      <c r="K2654" s="972"/>
      <c r="L2654" s="972"/>
      <c r="M2654" s="972"/>
    </row>
    <row r="2655" spans="5:13">
      <c r="E2655" s="972"/>
      <c r="F2655" s="972"/>
      <c r="G2655" s="972"/>
      <c r="H2655" s="972"/>
      <c r="I2655" s="972"/>
      <c r="J2655" s="972"/>
      <c r="K2655" s="972"/>
      <c r="L2655" s="972"/>
      <c r="M2655" s="972"/>
    </row>
    <row r="2656" spans="5:13">
      <c r="E2656" s="972"/>
      <c r="F2656" s="972"/>
      <c r="G2656" s="972"/>
      <c r="H2656" s="972"/>
      <c r="I2656" s="972"/>
      <c r="J2656" s="972"/>
      <c r="K2656" s="972"/>
      <c r="L2656" s="972"/>
      <c r="M2656" s="972"/>
    </row>
    <row r="2657" spans="5:13">
      <c r="E2657" s="972"/>
      <c r="F2657" s="972"/>
      <c r="G2657" s="972"/>
      <c r="H2657" s="972"/>
      <c r="I2657" s="972"/>
      <c r="J2657" s="972"/>
      <c r="K2657" s="972"/>
      <c r="L2657" s="972"/>
      <c r="M2657" s="972"/>
    </row>
    <row r="2658" spans="5:13">
      <c r="E2658" s="972"/>
      <c r="F2658" s="972"/>
      <c r="G2658" s="972"/>
      <c r="H2658" s="972"/>
      <c r="I2658" s="972"/>
      <c r="J2658" s="972"/>
      <c r="K2658" s="972"/>
      <c r="L2658" s="972"/>
      <c r="M2658" s="972"/>
    </row>
    <row r="2659" spans="5:13">
      <c r="E2659" s="972"/>
      <c r="F2659" s="972"/>
      <c r="G2659" s="972"/>
      <c r="H2659" s="972"/>
      <c r="I2659" s="972"/>
      <c r="J2659" s="972"/>
      <c r="K2659" s="972"/>
      <c r="L2659" s="972"/>
      <c r="M2659" s="972"/>
    </row>
    <row r="2660" spans="5:13">
      <c r="E2660" s="972"/>
      <c r="F2660" s="972"/>
      <c r="G2660" s="972"/>
      <c r="H2660" s="972"/>
      <c r="I2660" s="972"/>
      <c r="J2660" s="972"/>
      <c r="K2660" s="972"/>
      <c r="L2660" s="972"/>
      <c r="M2660" s="972"/>
    </row>
    <row r="2661" spans="5:13">
      <c r="E2661" s="972"/>
      <c r="F2661" s="972"/>
      <c r="G2661" s="972"/>
      <c r="H2661" s="972"/>
      <c r="I2661" s="972"/>
      <c r="J2661" s="972"/>
      <c r="K2661" s="972"/>
      <c r="L2661" s="972"/>
      <c r="M2661" s="972"/>
    </row>
    <row r="2662" spans="5:13">
      <c r="E2662" s="972"/>
      <c r="F2662" s="972"/>
      <c r="G2662" s="972"/>
      <c r="H2662" s="972"/>
      <c r="I2662" s="972"/>
      <c r="J2662" s="972"/>
      <c r="K2662" s="972"/>
      <c r="L2662" s="972"/>
      <c r="M2662" s="972"/>
    </row>
    <row r="2663" spans="5:13">
      <c r="E2663" s="972"/>
      <c r="F2663" s="972"/>
      <c r="G2663" s="972"/>
      <c r="H2663" s="972"/>
      <c r="I2663" s="972"/>
      <c r="J2663" s="972"/>
      <c r="K2663" s="972"/>
      <c r="L2663" s="972"/>
      <c r="M2663" s="972"/>
    </row>
    <row r="2664" spans="5:13">
      <c r="E2664" s="972"/>
      <c r="F2664" s="972"/>
      <c r="G2664" s="972"/>
      <c r="H2664" s="972"/>
      <c r="I2664" s="972"/>
      <c r="J2664" s="972"/>
      <c r="K2664" s="972"/>
      <c r="L2664" s="972"/>
      <c r="M2664" s="972"/>
    </row>
    <row r="2665" spans="5:13">
      <c r="E2665" s="972"/>
      <c r="F2665" s="972"/>
      <c r="G2665" s="972"/>
      <c r="H2665" s="972"/>
      <c r="I2665" s="972"/>
      <c r="J2665" s="972"/>
      <c r="K2665" s="972"/>
      <c r="L2665" s="972"/>
      <c r="M2665" s="972"/>
    </row>
    <row r="2666" spans="5:13">
      <c r="E2666" s="972"/>
      <c r="F2666" s="972"/>
      <c r="G2666" s="972"/>
      <c r="H2666" s="972"/>
      <c r="I2666" s="972"/>
      <c r="J2666" s="972"/>
      <c r="K2666" s="972"/>
      <c r="L2666" s="972"/>
      <c r="M2666" s="972"/>
    </row>
    <row r="2667" spans="5:13">
      <c r="E2667" s="972"/>
      <c r="F2667" s="972"/>
      <c r="G2667" s="972"/>
      <c r="H2667" s="972"/>
      <c r="I2667" s="972"/>
      <c r="J2667" s="972"/>
      <c r="K2667" s="972"/>
      <c r="L2667" s="972"/>
      <c r="M2667" s="972"/>
    </row>
    <row r="2668" spans="5:13">
      <c r="E2668" s="972"/>
      <c r="F2668" s="972"/>
      <c r="G2668" s="972"/>
      <c r="H2668" s="972"/>
      <c r="I2668" s="972"/>
      <c r="J2668" s="972"/>
      <c r="K2668" s="972"/>
      <c r="L2668" s="972"/>
      <c r="M2668" s="972"/>
    </row>
    <row r="2669" spans="5:13">
      <c r="E2669" s="972"/>
      <c r="F2669" s="972"/>
      <c r="G2669" s="972"/>
      <c r="H2669" s="972"/>
      <c r="I2669" s="972"/>
      <c r="J2669" s="972"/>
      <c r="K2669" s="972"/>
      <c r="L2669" s="972"/>
      <c r="M2669" s="972"/>
    </row>
    <row r="2670" spans="5:13">
      <c r="E2670" s="972"/>
      <c r="F2670" s="972"/>
      <c r="G2670" s="972"/>
      <c r="H2670" s="972"/>
      <c r="I2670" s="972"/>
      <c r="J2670" s="972"/>
      <c r="K2670" s="972"/>
      <c r="L2670" s="972"/>
      <c r="M2670" s="972"/>
    </row>
    <row r="2671" spans="5:13">
      <c r="E2671" s="972"/>
      <c r="F2671" s="972"/>
      <c r="G2671" s="972"/>
      <c r="H2671" s="972"/>
      <c r="I2671" s="972"/>
      <c r="J2671" s="972"/>
      <c r="K2671" s="972"/>
      <c r="L2671" s="972"/>
      <c r="M2671" s="972"/>
    </row>
    <row r="2672" spans="5:13">
      <c r="E2672" s="972"/>
      <c r="F2672" s="972"/>
      <c r="G2672" s="972"/>
      <c r="H2672" s="972"/>
      <c r="I2672" s="972"/>
      <c r="J2672" s="972"/>
      <c r="K2672" s="972"/>
      <c r="L2672" s="972"/>
      <c r="M2672" s="972"/>
    </row>
    <row r="2673" spans="5:13">
      <c r="E2673" s="972"/>
      <c r="F2673" s="972"/>
      <c r="G2673" s="972"/>
      <c r="H2673" s="972"/>
      <c r="I2673" s="972"/>
      <c r="J2673" s="972"/>
      <c r="K2673" s="972"/>
      <c r="L2673" s="972"/>
      <c r="M2673" s="972"/>
    </row>
    <row r="2674" spans="5:13">
      <c r="E2674" s="972"/>
      <c r="F2674" s="972"/>
      <c r="G2674" s="972"/>
      <c r="H2674" s="972"/>
      <c r="I2674" s="972"/>
      <c r="J2674" s="972"/>
      <c r="K2674" s="972"/>
      <c r="L2674" s="972"/>
      <c r="M2674" s="972"/>
    </row>
    <row r="2675" spans="5:13">
      <c r="E2675" s="972"/>
      <c r="F2675" s="972"/>
      <c r="G2675" s="972"/>
      <c r="H2675" s="972"/>
      <c r="I2675" s="972"/>
      <c r="J2675" s="972"/>
      <c r="K2675" s="972"/>
      <c r="L2675" s="972"/>
      <c r="M2675" s="972"/>
    </row>
    <row r="2676" spans="5:13">
      <c r="E2676" s="972"/>
      <c r="F2676" s="972"/>
      <c r="G2676" s="972"/>
      <c r="H2676" s="972"/>
      <c r="I2676" s="972"/>
      <c r="J2676" s="972"/>
      <c r="K2676" s="972"/>
      <c r="L2676" s="972"/>
      <c r="M2676" s="972"/>
    </row>
    <row r="2677" spans="5:13">
      <c r="E2677" s="972"/>
      <c r="F2677" s="972"/>
      <c r="G2677" s="972"/>
      <c r="H2677" s="972"/>
      <c r="I2677" s="972"/>
      <c r="J2677" s="972"/>
      <c r="K2677" s="972"/>
      <c r="L2677" s="972"/>
      <c r="M2677" s="972"/>
    </row>
    <row r="2678" spans="5:13">
      <c r="E2678" s="972"/>
      <c r="F2678" s="972"/>
      <c r="G2678" s="972"/>
      <c r="H2678" s="972"/>
      <c r="I2678" s="972"/>
      <c r="J2678" s="972"/>
      <c r="K2678" s="972"/>
      <c r="L2678" s="972"/>
      <c r="M2678" s="972"/>
    </row>
    <row r="2679" spans="5:13">
      <c r="E2679" s="972"/>
      <c r="F2679" s="972"/>
      <c r="G2679" s="972"/>
      <c r="H2679" s="972"/>
      <c r="I2679" s="972"/>
      <c r="J2679" s="972"/>
      <c r="K2679" s="972"/>
      <c r="L2679" s="972"/>
      <c r="M2679" s="972"/>
    </row>
    <row r="2680" spans="5:13">
      <c r="E2680" s="972"/>
      <c r="F2680" s="972"/>
      <c r="G2680" s="972"/>
      <c r="H2680" s="972"/>
      <c r="I2680" s="972"/>
      <c r="J2680" s="972"/>
      <c r="K2680" s="972"/>
      <c r="L2680" s="972"/>
      <c r="M2680" s="972"/>
    </row>
    <row r="2681" spans="5:13">
      <c r="E2681" s="972"/>
      <c r="F2681" s="972"/>
      <c r="G2681" s="972"/>
      <c r="H2681" s="972"/>
      <c r="I2681" s="972"/>
      <c r="J2681" s="972"/>
      <c r="K2681" s="972"/>
      <c r="L2681" s="972"/>
      <c r="M2681" s="972"/>
    </row>
    <row r="2682" spans="5:13">
      <c r="E2682" s="972"/>
      <c r="F2682" s="972"/>
      <c r="G2682" s="972"/>
      <c r="H2682" s="972"/>
      <c r="I2682" s="972"/>
      <c r="J2682" s="972"/>
      <c r="K2682" s="972"/>
      <c r="L2682" s="972"/>
      <c r="M2682" s="972"/>
    </row>
    <row r="2683" spans="5:13">
      <c r="E2683" s="972"/>
      <c r="F2683" s="972"/>
      <c r="G2683" s="972"/>
      <c r="H2683" s="972"/>
      <c r="I2683" s="972"/>
      <c r="J2683" s="972"/>
      <c r="K2683" s="972"/>
      <c r="L2683" s="972"/>
      <c r="M2683" s="972"/>
    </row>
    <row r="2684" spans="5:13">
      <c r="E2684" s="972"/>
      <c r="F2684" s="972"/>
      <c r="G2684" s="972"/>
      <c r="H2684" s="972"/>
      <c r="I2684" s="972"/>
      <c r="J2684" s="972"/>
      <c r="K2684" s="972"/>
      <c r="L2684" s="972"/>
      <c r="M2684" s="972"/>
    </row>
    <row r="2685" spans="5:13">
      <c r="E2685" s="972"/>
      <c r="F2685" s="972"/>
      <c r="G2685" s="972"/>
      <c r="H2685" s="972"/>
      <c r="I2685" s="972"/>
      <c r="J2685" s="972"/>
      <c r="K2685" s="972"/>
      <c r="L2685" s="972"/>
      <c r="M2685" s="972"/>
    </row>
    <row r="2686" spans="5:13">
      <c r="E2686" s="972"/>
      <c r="F2686" s="972"/>
      <c r="G2686" s="972"/>
      <c r="H2686" s="972"/>
      <c r="I2686" s="972"/>
      <c r="J2686" s="972"/>
      <c r="K2686" s="972"/>
      <c r="L2686" s="972"/>
      <c r="M2686" s="972"/>
    </row>
    <row r="2687" spans="5:13">
      <c r="E2687" s="972"/>
      <c r="F2687" s="972"/>
      <c r="G2687" s="972"/>
      <c r="H2687" s="972"/>
      <c r="I2687" s="972"/>
      <c r="J2687" s="972"/>
      <c r="K2687" s="972"/>
      <c r="L2687" s="972"/>
      <c r="M2687" s="972"/>
    </row>
    <row r="2688" spans="5:13">
      <c r="E2688" s="972"/>
      <c r="F2688" s="972"/>
      <c r="G2688" s="972"/>
      <c r="H2688" s="972"/>
      <c r="I2688" s="972"/>
      <c r="J2688" s="972"/>
      <c r="K2688" s="972"/>
      <c r="L2688" s="972"/>
      <c r="M2688" s="972"/>
    </row>
    <row r="2689" spans="5:13">
      <c r="E2689" s="972"/>
      <c r="F2689" s="972"/>
      <c r="G2689" s="972"/>
      <c r="H2689" s="972"/>
      <c r="I2689" s="972"/>
      <c r="J2689" s="972"/>
      <c r="K2689" s="972"/>
      <c r="L2689" s="972"/>
      <c r="M2689" s="972"/>
    </row>
    <row r="2690" spans="5:13">
      <c r="E2690" s="972"/>
      <c r="F2690" s="972"/>
      <c r="G2690" s="972"/>
      <c r="H2690" s="972"/>
      <c r="I2690" s="972"/>
      <c r="J2690" s="972"/>
      <c r="K2690" s="972"/>
      <c r="L2690" s="972"/>
      <c r="M2690" s="972"/>
    </row>
    <row r="2691" spans="5:13">
      <c r="E2691" s="972"/>
      <c r="F2691" s="972"/>
      <c r="G2691" s="972"/>
      <c r="H2691" s="972"/>
      <c r="I2691" s="972"/>
      <c r="J2691" s="972"/>
      <c r="K2691" s="972"/>
      <c r="L2691" s="972"/>
      <c r="M2691" s="972"/>
    </row>
    <row r="2692" spans="5:13">
      <c r="E2692" s="972"/>
      <c r="F2692" s="972"/>
      <c r="G2692" s="972"/>
      <c r="H2692" s="972"/>
      <c r="I2692" s="972"/>
      <c r="J2692" s="972"/>
      <c r="K2692" s="972"/>
      <c r="L2692" s="972"/>
      <c r="M2692" s="972"/>
    </row>
    <row r="2693" spans="5:13">
      <c r="E2693" s="972"/>
      <c r="F2693" s="972"/>
      <c r="G2693" s="972"/>
      <c r="H2693" s="972"/>
      <c r="I2693" s="972"/>
      <c r="J2693" s="972"/>
      <c r="K2693" s="972"/>
      <c r="L2693" s="972"/>
      <c r="M2693" s="972"/>
    </row>
    <row r="2694" spans="5:13">
      <c r="E2694" s="972"/>
      <c r="F2694" s="972"/>
      <c r="G2694" s="972"/>
      <c r="H2694" s="972"/>
      <c r="I2694" s="972"/>
      <c r="J2694" s="972"/>
      <c r="K2694" s="972"/>
      <c r="L2694" s="972"/>
      <c r="M2694" s="972"/>
    </row>
    <row r="2695" spans="5:13">
      <c r="E2695" s="972"/>
      <c r="F2695" s="972"/>
      <c r="G2695" s="972"/>
      <c r="H2695" s="972"/>
      <c r="I2695" s="972"/>
      <c r="J2695" s="972"/>
      <c r="K2695" s="972"/>
      <c r="L2695" s="972"/>
      <c r="M2695" s="972"/>
    </row>
    <row r="2696" spans="5:13">
      <c r="E2696" s="972"/>
      <c r="F2696" s="972"/>
      <c r="G2696" s="972"/>
      <c r="H2696" s="972"/>
      <c r="I2696" s="972"/>
      <c r="J2696" s="972"/>
      <c r="K2696" s="972"/>
      <c r="L2696" s="972"/>
      <c r="M2696" s="972"/>
    </row>
    <row r="2697" spans="5:13">
      <c r="E2697" s="972"/>
      <c r="F2697" s="972"/>
      <c r="G2697" s="972"/>
      <c r="H2697" s="972"/>
      <c r="I2697" s="972"/>
      <c r="J2697" s="972"/>
      <c r="K2697" s="972"/>
      <c r="L2697" s="972"/>
      <c r="M2697" s="972"/>
    </row>
    <row r="2698" spans="5:13">
      <c r="E2698" s="972"/>
      <c r="F2698" s="972"/>
      <c r="G2698" s="972"/>
      <c r="H2698" s="972"/>
      <c r="I2698" s="972"/>
      <c r="J2698" s="972"/>
      <c r="K2698" s="972"/>
      <c r="L2698" s="972"/>
      <c r="M2698" s="972"/>
    </row>
    <row r="2699" spans="5:13">
      <c r="E2699" s="972"/>
      <c r="F2699" s="972"/>
      <c r="G2699" s="972"/>
      <c r="H2699" s="972"/>
      <c r="I2699" s="972"/>
      <c r="J2699" s="972"/>
      <c r="K2699" s="972"/>
      <c r="L2699" s="972"/>
      <c r="M2699" s="972"/>
    </row>
    <row r="2700" spans="5:13">
      <c r="E2700" s="972"/>
      <c r="F2700" s="972"/>
      <c r="G2700" s="972"/>
      <c r="H2700" s="972"/>
      <c r="I2700" s="972"/>
      <c r="J2700" s="972"/>
      <c r="K2700" s="972"/>
      <c r="L2700" s="972"/>
      <c r="M2700" s="972"/>
    </row>
    <row r="2701" spans="5:13">
      <c r="E2701" s="972"/>
      <c r="F2701" s="972"/>
      <c r="G2701" s="972"/>
      <c r="H2701" s="972"/>
      <c r="I2701" s="972"/>
      <c r="J2701" s="972"/>
      <c r="K2701" s="972"/>
      <c r="L2701" s="972"/>
      <c r="M2701" s="972"/>
    </row>
    <row r="2702" spans="5:13">
      <c r="E2702" s="972"/>
      <c r="F2702" s="972"/>
      <c r="G2702" s="972"/>
      <c r="H2702" s="972"/>
      <c r="I2702" s="972"/>
      <c r="J2702" s="972"/>
      <c r="K2702" s="972"/>
      <c r="L2702" s="972"/>
      <c r="M2702" s="972"/>
    </row>
    <row r="2703" spans="5:13">
      <c r="E2703" s="972"/>
      <c r="F2703" s="972"/>
      <c r="G2703" s="972"/>
      <c r="H2703" s="972"/>
      <c r="I2703" s="972"/>
      <c r="J2703" s="972"/>
      <c r="K2703" s="972"/>
      <c r="L2703" s="972"/>
      <c r="M2703" s="972"/>
    </row>
    <row r="2704" spans="5:13">
      <c r="E2704" s="972"/>
      <c r="F2704" s="972"/>
      <c r="G2704" s="972"/>
      <c r="H2704" s="972"/>
      <c r="I2704" s="972"/>
      <c r="J2704" s="972"/>
      <c r="K2704" s="972"/>
      <c r="L2704" s="972"/>
      <c r="M2704" s="972"/>
    </row>
    <row r="2705" spans="5:13">
      <c r="E2705" s="972"/>
      <c r="F2705" s="972"/>
      <c r="G2705" s="972"/>
      <c r="H2705" s="972"/>
      <c r="I2705" s="972"/>
      <c r="J2705" s="972"/>
      <c r="K2705" s="972"/>
      <c r="L2705" s="972"/>
      <c r="M2705" s="972"/>
    </row>
    <row r="2706" spans="5:13">
      <c r="E2706" s="972"/>
      <c r="F2706" s="972"/>
      <c r="G2706" s="972"/>
      <c r="H2706" s="972"/>
      <c r="I2706" s="972"/>
      <c r="J2706" s="972"/>
      <c r="K2706" s="972"/>
      <c r="L2706" s="972"/>
      <c r="M2706" s="972"/>
    </row>
    <row r="2707" spans="5:13">
      <c r="E2707" s="972"/>
      <c r="F2707" s="972"/>
      <c r="G2707" s="972"/>
      <c r="H2707" s="972"/>
      <c r="I2707" s="972"/>
      <c r="J2707" s="972"/>
      <c r="K2707" s="972"/>
      <c r="L2707" s="972"/>
      <c r="M2707" s="972"/>
    </row>
    <row r="2708" spans="5:13">
      <c r="E2708" s="972"/>
      <c r="F2708" s="972"/>
      <c r="G2708" s="972"/>
      <c r="H2708" s="972"/>
      <c r="I2708" s="972"/>
      <c r="J2708" s="972"/>
      <c r="K2708" s="972"/>
      <c r="L2708" s="972"/>
      <c r="M2708" s="972"/>
    </row>
    <row r="2709" spans="5:13">
      <c r="E2709" s="972"/>
      <c r="F2709" s="972"/>
      <c r="G2709" s="972"/>
      <c r="H2709" s="972"/>
      <c r="I2709" s="972"/>
      <c r="J2709" s="972"/>
      <c r="K2709" s="972"/>
      <c r="L2709" s="972"/>
      <c r="M2709" s="972"/>
    </row>
    <row r="2710" spans="5:13">
      <c r="E2710" s="972"/>
      <c r="F2710" s="972"/>
      <c r="G2710" s="972"/>
      <c r="H2710" s="972"/>
      <c r="I2710" s="972"/>
      <c r="J2710" s="972"/>
      <c r="K2710" s="972"/>
      <c r="L2710" s="972"/>
      <c r="M2710" s="972"/>
    </row>
    <row r="2711" spans="5:13">
      <c r="E2711" s="972"/>
      <c r="F2711" s="972"/>
      <c r="G2711" s="972"/>
      <c r="H2711" s="972"/>
      <c r="I2711" s="972"/>
      <c r="J2711" s="972"/>
      <c r="K2711" s="972"/>
      <c r="L2711" s="972"/>
      <c r="M2711" s="972"/>
    </row>
    <row r="2712" spans="5:13">
      <c r="E2712" s="972"/>
      <c r="F2712" s="972"/>
      <c r="G2712" s="972"/>
      <c r="H2712" s="972"/>
      <c r="I2712" s="972"/>
      <c r="J2712" s="972"/>
      <c r="K2712" s="972"/>
      <c r="L2712" s="972"/>
      <c r="M2712" s="972"/>
    </row>
    <row r="2713" spans="5:13">
      <c r="E2713" s="972"/>
      <c r="F2713" s="972"/>
      <c r="G2713" s="972"/>
      <c r="H2713" s="972"/>
      <c r="I2713" s="972"/>
      <c r="J2713" s="972"/>
      <c r="K2713" s="972"/>
      <c r="L2713" s="972"/>
      <c r="M2713" s="972"/>
    </row>
    <row r="2714" spans="5:13">
      <c r="E2714" s="972"/>
      <c r="F2714" s="972"/>
      <c r="G2714" s="972"/>
      <c r="H2714" s="972"/>
      <c r="I2714" s="972"/>
      <c r="J2714" s="972"/>
      <c r="K2714" s="972"/>
      <c r="L2714" s="972"/>
      <c r="M2714" s="972"/>
    </row>
    <row r="2715" spans="5:13">
      <c r="E2715" s="972"/>
      <c r="F2715" s="972"/>
      <c r="G2715" s="972"/>
      <c r="H2715" s="972"/>
      <c r="I2715" s="972"/>
      <c r="J2715" s="972"/>
      <c r="K2715" s="972"/>
      <c r="L2715" s="972"/>
      <c r="M2715" s="972"/>
    </row>
    <row r="2716" spans="5:13">
      <c r="E2716" s="972"/>
      <c r="F2716" s="972"/>
      <c r="G2716" s="972"/>
      <c r="H2716" s="972"/>
      <c r="I2716" s="972"/>
      <c r="J2716" s="972"/>
      <c r="K2716" s="972"/>
      <c r="L2716" s="972"/>
      <c r="M2716" s="972"/>
    </row>
    <row r="2717" spans="5:13">
      <c r="E2717" s="972"/>
      <c r="F2717" s="972"/>
      <c r="G2717" s="972"/>
      <c r="H2717" s="972"/>
      <c r="I2717" s="972"/>
      <c r="J2717" s="972"/>
      <c r="K2717" s="972"/>
      <c r="L2717" s="972"/>
      <c r="M2717" s="972"/>
    </row>
    <row r="2718" spans="5:13">
      <c r="E2718" s="972"/>
      <c r="F2718" s="972"/>
      <c r="G2718" s="972"/>
      <c r="H2718" s="972"/>
      <c r="I2718" s="972"/>
      <c r="J2718" s="972"/>
      <c r="K2718" s="972"/>
      <c r="L2718" s="972"/>
      <c r="M2718" s="972"/>
    </row>
    <row r="2719" spans="5:13">
      <c r="E2719" s="972"/>
      <c r="F2719" s="972"/>
      <c r="G2719" s="972"/>
      <c r="H2719" s="972"/>
      <c r="I2719" s="972"/>
      <c r="J2719" s="972"/>
      <c r="K2719" s="972"/>
      <c r="L2719" s="972"/>
      <c r="M2719" s="972"/>
    </row>
    <row r="2720" spans="5:13">
      <c r="E2720" s="972"/>
      <c r="F2720" s="972"/>
      <c r="G2720" s="972"/>
      <c r="H2720" s="972"/>
      <c r="I2720" s="972"/>
      <c r="J2720" s="972"/>
      <c r="K2720" s="972"/>
      <c r="L2720" s="972"/>
      <c r="M2720" s="972"/>
    </row>
    <row r="2721" spans="5:13">
      <c r="E2721" s="972"/>
      <c r="F2721" s="972"/>
      <c r="G2721" s="972"/>
      <c r="H2721" s="972"/>
      <c r="I2721" s="972"/>
      <c r="J2721" s="972"/>
      <c r="K2721" s="972"/>
      <c r="L2721" s="972"/>
      <c r="M2721" s="972"/>
    </row>
    <row r="2722" spans="5:13">
      <c r="E2722" s="972"/>
      <c r="F2722" s="972"/>
      <c r="G2722" s="972"/>
      <c r="H2722" s="972"/>
      <c r="I2722" s="972"/>
      <c r="J2722" s="972"/>
      <c r="K2722" s="972"/>
      <c r="L2722" s="972"/>
      <c r="M2722" s="972"/>
    </row>
    <row r="2723" spans="5:13">
      <c r="E2723" s="972"/>
      <c r="F2723" s="972"/>
      <c r="G2723" s="972"/>
      <c r="H2723" s="972"/>
      <c r="I2723" s="972"/>
      <c r="J2723" s="972"/>
      <c r="K2723" s="972"/>
      <c r="L2723" s="972"/>
      <c r="M2723" s="972"/>
    </row>
    <row r="2724" spans="5:13">
      <c r="E2724" s="972"/>
      <c r="F2724" s="972"/>
      <c r="G2724" s="972"/>
      <c r="H2724" s="972"/>
      <c r="I2724" s="972"/>
      <c r="J2724" s="972"/>
      <c r="K2724" s="972"/>
      <c r="L2724" s="972"/>
      <c r="M2724" s="972"/>
    </row>
    <row r="2725" spans="5:13">
      <c r="E2725" s="972"/>
      <c r="F2725" s="972"/>
      <c r="G2725" s="972"/>
      <c r="H2725" s="972"/>
      <c r="I2725" s="972"/>
      <c r="J2725" s="972"/>
      <c r="K2725" s="972"/>
      <c r="L2725" s="972"/>
      <c r="M2725" s="972"/>
    </row>
    <row r="2726" spans="5:13">
      <c r="E2726" s="972"/>
      <c r="F2726" s="972"/>
      <c r="G2726" s="972"/>
      <c r="H2726" s="972"/>
      <c r="I2726" s="972"/>
      <c r="J2726" s="972"/>
      <c r="K2726" s="972"/>
      <c r="L2726" s="972"/>
      <c r="M2726" s="972"/>
    </row>
    <row r="2727" spans="5:13">
      <c r="E2727" s="972"/>
      <c r="F2727" s="972"/>
      <c r="G2727" s="972"/>
      <c r="H2727" s="972"/>
      <c r="I2727" s="972"/>
      <c r="J2727" s="972"/>
      <c r="K2727" s="972"/>
      <c r="L2727" s="972"/>
      <c r="M2727" s="972"/>
    </row>
    <row r="2728" spans="5:13">
      <c r="E2728" s="972"/>
      <c r="F2728" s="972"/>
      <c r="G2728" s="972"/>
      <c r="H2728" s="972"/>
      <c r="I2728" s="972"/>
      <c r="J2728" s="972"/>
      <c r="K2728" s="972"/>
      <c r="L2728" s="972"/>
      <c r="M2728" s="972"/>
    </row>
    <row r="2729" spans="5:13">
      <c r="E2729" s="972"/>
      <c r="F2729" s="972"/>
      <c r="G2729" s="972"/>
      <c r="H2729" s="972"/>
      <c r="I2729" s="972"/>
      <c r="J2729" s="972"/>
      <c r="K2729" s="972"/>
      <c r="L2729" s="972"/>
      <c r="M2729" s="972"/>
    </row>
    <row r="2730" spans="5:13">
      <c r="E2730" s="972"/>
      <c r="F2730" s="972"/>
      <c r="G2730" s="972"/>
      <c r="H2730" s="972"/>
      <c r="I2730" s="972"/>
      <c r="J2730" s="972"/>
      <c r="K2730" s="972"/>
      <c r="L2730" s="972"/>
      <c r="M2730" s="972"/>
    </row>
    <row r="2731" spans="5:13">
      <c r="E2731" s="972"/>
      <c r="F2731" s="972"/>
      <c r="G2731" s="972"/>
      <c r="H2731" s="972"/>
      <c r="I2731" s="972"/>
      <c r="J2731" s="972"/>
      <c r="K2731" s="972"/>
      <c r="L2731" s="972"/>
      <c r="M2731" s="972"/>
    </row>
    <row r="2732" spans="5:13">
      <c r="E2732" s="972"/>
      <c r="F2732" s="972"/>
      <c r="G2732" s="972"/>
      <c r="H2732" s="972"/>
      <c r="I2732" s="972"/>
      <c r="J2732" s="972"/>
      <c r="K2732" s="972"/>
      <c r="L2732" s="972"/>
      <c r="M2732" s="972"/>
    </row>
    <row r="2733" spans="5:13">
      <c r="E2733" s="972"/>
      <c r="F2733" s="972"/>
      <c r="G2733" s="972"/>
      <c r="H2733" s="972"/>
      <c r="I2733" s="972"/>
      <c r="J2733" s="972"/>
      <c r="K2733" s="972"/>
      <c r="L2733" s="972"/>
      <c r="M2733" s="972"/>
    </row>
    <row r="2734" spans="5:13">
      <c r="E2734" s="972"/>
      <c r="F2734" s="972"/>
      <c r="G2734" s="972"/>
      <c r="H2734" s="972"/>
      <c r="I2734" s="972"/>
      <c r="J2734" s="972"/>
      <c r="K2734" s="972"/>
      <c r="L2734" s="972"/>
      <c r="M2734" s="972"/>
    </row>
    <row r="2735" spans="5:13">
      <c r="E2735" s="972"/>
      <c r="F2735" s="972"/>
      <c r="G2735" s="972"/>
      <c r="H2735" s="972"/>
      <c r="I2735" s="972"/>
      <c r="J2735" s="972"/>
      <c r="K2735" s="972"/>
      <c r="L2735" s="972"/>
      <c r="M2735" s="972"/>
    </row>
    <row r="2736" spans="5:13">
      <c r="E2736" s="972"/>
      <c r="F2736" s="972"/>
      <c r="G2736" s="972"/>
      <c r="H2736" s="972"/>
      <c r="I2736" s="972"/>
      <c r="J2736" s="972"/>
      <c r="K2736" s="972"/>
      <c r="L2736" s="972"/>
      <c r="M2736" s="972"/>
    </row>
    <row r="2737" spans="5:13">
      <c r="E2737" s="972"/>
      <c r="F2737" s="972"/>
      <c r="G2737" s="972"/>
      <c r="H2737" s="972"/>
      <c r="I2737" s="972"/>
      <c r="J2737" s="972"/>
      <c r="K2737" s="972"/>
      <c r="L2737" s="972"/>
      <c r="M2737" s="972"/>
    </row>
    <row r="2738" spans="5:13">
      <c r="E2738" s="972"/>
      <c r="F2738" s="972"/>
      <c r="G2738" s="972"/>
      <c r="H2738" s="972"/>
      <c r="I2738" s="972"/>
      <c r="J2738" s="972"/>
      <c r="K2738" s="972"/>
      <c r="L2738" s="972"/>
      <c r="M2738" s="972"/>
    </row>
    <row r="2739" spans="5:13">
      <c r="E2739" s="972"/>
      <c r="F2739" s="972"/>
      <c r="G2739" s="972"/>
      <c r="H2739" s="972"/>
      <c r="I2739" s="972"/>
      <c r="J2739" s="972"/>
      <c r="K2739" s="972"/>
      <c r="L2739" s="972"/>
      <c r="M2739" s="972"/>
    </row>
    <row r="2740" spans="5:13">
      <c r="E2740" s="972"/>
      <c r="F2740" s="972"/>
      <c r="G2740" s="972"/>
      <c r="H2740" s="972"/>
      <c r="I2740" s="972"/>
      <c r="J2740" s="972"/>
      <c r="K2740" s="972"/>
      <c r="L2740" s="972"/>
      <c r="M2740" s="972"/>
    </row>
    <row r="2741" spans="5:13">
      <c r="E2741" s="972"/>
      <c r="F2741" s="972"/>
      <c r="G2741" s="972"/>
      <c r="H2741" s="972"/>
      <c r="I2741" s="972"/>
      <c r="J2741" s="972"/>
      <c r="K2741" s="972"/>
      <c r="L2741" s="972"/>
      <c r="M2741" s="972"/>
    </row>
    <row r="2742" spans="5:13">
      <c r="E2742" s="972"/>
      <c r="F2742" s="972"/>
      <c r="G2742" s="972"/>
      <c r="H2742" s="972"/>
      <c r="I2742" s="972"/>
      <c r="J2742" s="972"/>
      <c r="K2742" s="972"/>
      <c r="L2742" s="972"/>
      <c r="M2742" s="972"/>
    </row>
    <row r="2743" spans="5:13">
      <c r="E2743" s="972"/>
      <c r="F2743" s="972"/>
      <c r="G2743" s="972"/>
      <c r="H2743" s="972"/>
      <c r="I2743" s="972"/>
      <c r="J2743" s="972"/>
      <c r="K2743" s="972"/>
      <c r="L2743" s="972"/>
      <c r="M2743" s="972"/>
    </row>
    <row r="2744" spans="5:13">
      <c r="E2744" s="972"/>
      <c r="F2744" s="972"/>
      <c r="G2744" s="972"/>
      <c r="H2744" s="972"/>
      <c r="I2744" s="972"/>
      <c r="J2744" s="972"/>
      <c r="K2744" s="972"/>
      <c r="L2744" s="972"/>
      <c r="M2744" s="972"/>
    </row>
    <row r="2745" spans="5:13">
      <c r="E2745" s="972"/>
      <c r="F2745" s="972"/>
      <c r="G2745" s="972"/>
      <c r="H2745" s="972"/>
      <c r="I2745" s="972"/>
      <c r="J2745" s="972"/>
      <c r="K2745" s="972"/>
      <c r="L2745" s="972"/>
      <c r="M2745" s="972"/>
    </row>
    <row r="2746" spans="5:13">
      <c r="E2746" s="972"/>
      <c r="F2746" s="972"/>
      <c r="G2746" s="972"/>
      <c r="H2746" s="972"/>
      <c r="I2746" s="972"/>
      <c r="J2746" s="972"/>
      <c r="K2746" s="972"/>
      <c r="L2746" s="972"/>
      <c r="M2746" s="972"/>
    </row>
    <row r="2747" spans="5:13">
      <c r="E2747" s="972"/>
      <c r="F2747" s="972"/>
      <c r="G2747" s="972"/>
      <c r="H2747" s="972"/>
      <c r="I2747" s="972"/>
      <c r="J2747" s="972"/>
      <c r="K2747" s="972"/>
      <c r="L2747" s="972"/>
      <c r="M2747" s="972"/>
    </row>
    <row r="2748" spans="5:13">
      <c r="E2748" s="972"/>
      <c r="F2748" s="972"/>
      <c r="G2748" s="972"/>
      <c r="H2748" s="972"/>
      <c r="I2748" s="972"/>
      <c r="J2748" s="972"/>
      <c r="K2748" s="972"/>
      <c r="L2748" s="972"/>
      <c r="M2748" s="972"/>
    </row>
    <row r="2749" spans="5:13">
      <c r="E2749" s="972"/>
      <c r="F2749" s="972"/>
      <c r="G2749" s="972"/>
      <c r="H2749" s="972"/>
      <c r="I2749" s="972"/>
      <c r="J2749" s="972"/>
      <c r="K2749" s="972"/>
      <c r="L2749" s="972"/>
      <c r="M2749" s="972"/>
    </row>
    <row r="2750" spans="5:13">
      <c r="E2750" s="972"/>
      <c r="F2750" s="972"/>
      <c r="G2750" s="972"/>
      <c r="H2750" s="972"/>
      <c r="I2750" s="972"/>
      <c r="J2750" s="972"/>
      <c r="K2750" s="972"/>
      <c r="L2750" s="972"/>
      <c r="M2750" s="972"/>
    </row>
    <row r="2751" spans="5:13">
      <c r="E2751" s="972"/>
      <c r="F2751" s="972"/>
      <c r="G2751" s="972"/>
      <c r="H2751" s="972"/>
      <c r="I2751" s="972"/>
      <c r="J2751" s="972"/>
      <c r="K2751" s="972"/>
      <c r="L2751" s="972"/>
      <c r="M2751" s="972"/>
    </row>
    <row r="2752" spans="5:13">
      <c r="E2752" s="972"/>
      <c r="F2752" s="972"/>
      <c r="G2752" s="972"/>
      <c r="H2752" s="972"/>
      <c r="I2752" s="972"/>
      <c r="J2752" s="972"/>
      <c r="K2752" s="972"/>
      <c r="L2752" s="972"/>
      <c r="M2752" s="972"/>
    </row>
    <row r="2753" spans="5:13">
      <c r="E2753" s="972"/>
      <c r="F2753" s="972"/>
      <c r="G2753" s="972"/>
      <c r="H2753" s="972"/>
      <c r="I2753" s="972"/>
      <c r="J2753" s="972"/>
      <c r="K2753" s="972"/>
      <c r="L2753" s="972"/>
      <c r="M2753" s="972"/>
    </row>
    <row r="2754" spans="5:13">
      <c r="E2754" s="972"/>
      <c r="F2754" s="972"/>
      <c r="G2754" s="972"/>
      <c r="H2754" s="972"/>
      <c r="I2754" s="972"/>
      <c r="J2754" s="972"/>
      <c r="K2754" s="972"/>
      <c r="L2754" s="972"/>
      <c r="M2754" s="972"/>
    </row>
    <row r="2755" spans="5:13">
      <c r="E2755" s="972"/>
      <c r="F2755" s="972"/>
      <c r="G2755" s="972"/>
      <c r="H2755" s="972"/>
      <c r="I2755" s="972"/>
      <c r="J2755" s="972"/>
      <c r="K2755" s="972"/>
      <c r="L2755" s="972"/>
      <c r="M2755" s="972"/>
    </row>
    <row r="2756" spans="5:13">
      <c r="E2756" s="972"/>
      <c r="F2756" s="972"/>
      <c r="G2756" s="972"/>
      <c r="H2756" s="972"/>
      <c r="I2756" s="972"/>
      <c r="J2756" s="972"/>
      <c r="K2756" s="972"/>
      <c r="L2756" s="972"/>
      <c r="M2756" s="972"/>
    </row>
    <row r="2757" spans="5:13">
      <c r="E2757" s="972"/>
      <c r="F2757" s="972"/>
      <c r="G2757" s="972"/>
      <c r="H2757" s="972"/>
      <c r="I2757" s="972"/>
      <c r="J2757" s="972"/>
      <c r="K2757" s="972"/>
      <c r="L2757" s="972"/>
      <c r="M2757" s="972"/>
    </row>
    <row r="2758" spans="5:13">
      <c r="E2758" s="972"/>
      <c r="F2758" s="972"/>
      <c r="G2758" s="972"/>
      <c r="H2758" s="972"/>
      <c r="I2758" s="972"/>
      <c r="J2758" s="972"/>
      <c r="K2758" s="972"/>
      <c r="L2758" s="972"/>
      <c r="M2758" s="972"/>
    </row>
    <row r="2759" spans="5:13">
      <c r="E2759" s="972"/>
      <c r="F2759" s="972"/>
      <c r="G2759" s="972"/>
      <c r="H2759" s="972"/>
      <c r="I2759" s="972"/>
      <c r="J2759" s="972"/>
      <c r="K2759" s="972"/>
      <c r="L2759" s="972"/>
      <c r="M2759" s="972"/>
    </row>
    <row r="2760" spans="5:13">
      <c r="E2760" s="972"/>
      <c r="F2760" s="972"/>
      <c r="G2760" s="972"/>
      <c r="H2760" s="972"/>
      <c r="I2760" s="972"/>
      <c r="J2760" s="972"/>
      <c r="K2760" s="972"/>
      <c r="L2760" s="972"/>
      <c r="M2760" s="972"/>
    </row>
    <row r="2761" spans="5:13">
      <c r="E2761" s="972"/>
      <c r="F2761" s="972"/>
      <c r="G2761" s="972"/>
      <c r="H2761" s="972"/>
      <c r="I2761" s="972"/>
      <c r="J2761" s="972"/>
      <c r="K2761" s="972"/>
      <c r="L2761" s="972"/>
      <c r="M2761" s="972"/>
    </row>
    <row r="2762" spans="5:13">
      <c r="E2762" s="972"/>
      <c r="F2762" s="972"/>
      <c r="G2762" s="972"/>
      <c r="H2762" s="972"/>
      <c r="I2762" s="972"/>
      <c r="J2762" s="972"/>
      <c r="K2762" s="972"/>
      <c r="L2762" s="972"/>
      <c r="M2762" s="972"/>
    </row>
    <row r="2763" spans="5:13">
      <c r="E2763" s="972"/>
      <c r="F2763" s="972"/>
      <c r="G2763" s="972"/>
      <c r="H2763" s="972"/>
      <c r="I2763" s="972"/>
      <c r="J2763" s="972"/>
      <c r="K2763" s="972"/>
      <c r="L2763" s="972"/>
      <c r="M2763" s="972"/>
    </row>
    <row r="2764" spans="5:13">
      <c r="E2764" s="972"/>
      <c r="F2764" s="972"/>
      <c r="G2764" s="972"/>
      <c r="H2764" s="972"/>
      <c r="I2764" s="972"/>
      <c r="J2764" s="972"/>
      <c r="K2764" s="972"/>
      <c r="L2764" s="972"/>
      <c r="M2764" s="972"/>
    </row>
    <row r="2765" spans="5:13">
      <c r="E2765" s="972"/>
      <c r="F2765" s="972"/>
      <c r="G2765" s="972"/>
      <c r="H2765" s="972"/>
      <c r="I2765" s="972"/>
      <c r="J2765" s="972"/>
      <c r="K2765" s="972"/>
      <c r="L2765" s="972"/>
      <c r="M2765" s="972"/>
    </row>
    <row r="2766" spans="5:13">
      <c r="E2766" s="972"/>
      <c r="F2766" s="972"/>
      <c r="G2766" s="972"/>
      <c r="H2766" s="972"/>
      <c r="I2766" s="972"/>
      <c r="J2766" s="972"/>
      <c r="K2766" s="972"/>
      <c r="L2766" s="972"/>
      <c r="M2766" s="972"/>
    </row>
    <row r="2767" spans="5:13">
      <c r="E2767" s="972"/>
      <c r="F2767" s="972"/>
      <c r="G2767" s="972"/>
      <c r="H2767" s="972"/>
      <c r="I2767" s="972"/>
      <c r="J2767" s="972"/>
      <c r="K2767" s="972"/>
      <c r="L2767" s="972"/>
      <c r="M2767" s="972"/>
    </row>
    <row r="2768" spans="5:13">
      <c r="E2768" s="972"/>
      <c r="F2768" s="972"/>
      <c r="G2768" s="972"/>
      <c r="H2768" s="972"/>
      <c r="I2768" s="972"/>
      <c r="J2768" s="972"/>
      <c r="K2768" s="972"/>
      <c r="L2768" s="972"/>
      <c r="M2768" s="972"/>
    </row>
    <row r="2769" spans="5:13">
      <c r="E2769" s="972"/>
      <c r="F2769" s="972"/>
      <c r="G2769" s="972"/>
      <c r="H2769" s="972"/>
      <c r="I2769" s="972"/>
      <c r="J2769" s="972"/>
      <c r="K2769" s="972"/>
      <c r="L2769" s="972"/>
      <c r="M2769" s="972"/>
    </row>
    <row r="2770" spans="5:13">
      <c r="E2770" s="972"/>
      <c r="F2770" s="972"/>
      <c r="G2770" s="972"/>
      <c r="H2770" s="972"/>
      <c r="I2770" s="972"/>
      <c r="J2770" s="972"/>
      <c r="K2770" s="972"/>
      <c r="L2770" s="972"/>
      <c r="M2770" s="972"/>
    </row>
    <row r="2771" spans="5:13">
      <c r="E2771" s="972"/>
      <c r="F2771" s="972"/>
      <c r="G2771" s="972"/>
      <c r="H2771" s="972"/>
      <c r="I2771" s="972"/>
      <c r="J2771" s="972"/>
      <c r="K2771" s="972"/>
      <c r="L2771" s="972"/>
      <c r="M2771" s="972"/>
    </row>
    <row r="2772" spans="5:13">
      <c r="E2772" s="972"/>
      <c r="F2772" s="972"/>
      <c r="G2772" s="972"/>
      <c r="H2772" s="972"/>
      <c r="I2772" s="972"/>
      <c r="J2772" s="972"/>
      <c r="K2772" s="972"/>
      <c r="L2772" s="972"/>
      <c r="M2772" s="972"/>
    </row>
    <row r="2773" spans="5:13">
      <c r="E2773" s="972"/>
      <c r="F2773" s="972"/>
      <c r="G2773" s="972"/>
      <c r="H2773" s="972"/>
      <c r="I2773" s="972"/>
      <c r="J2773" s="972"/>
      <c r="K2773" s="972"/>
      <c r="L2773" s="972"/>
      <c r="M2773" s="972"/>
    </row>
    <row r="2774" spans="5:13">
      <c r="E2774" s="972"/>
      <c r="F2774" s="972"/>
      <c r="G2774" s="972"/>
      <c r="H2774" s="972"/>
      <c r="I2774" s="972"/>
      <c r="J2774" s="972"/>
      <c r="K2774" s="972"/>
      <c r="L2774" s="972"/>
      <c r="M2774" s="972"/>
    </row>
    <row r="2775" spans="5:13">
      <c r="E2775" s="972"/>
      <c r="F2775" s="972"/>
      <c r="G2775" s="972"/>
      <c r="H2775" s="972"/>
      <c r="I2775" s="972"/>
      <c r="J2775" s="972"/>
      <c r="K2775" s="972"/>
      <c r="L2775" s="972"/>
      <c r="M2775" s="972"/>
    </row>
    <row r="2776" spans="5:13">
      <c r="E2776" s="972"/>
      <c r="F2776" s="972"/>
      <c r="G2776" s="972"/>
      <c r="H2776" s="972"/>
      <c r="I2776" s="972"/>
      <c r="J2776" s="972"/>
      <c r="K2776" s="972"/>
      <c r="L2776" s="972"/>
      <c r="M2776" s="972"/>
    </row>
    <row r="2777" spans="5:13">
      <c r="E2777" s="972"/>
      <c r="F2777" s="972"/>
      <c r="G2777" s="972"/>
      <c r="H2777" s="972"/>
      <c r="I2777" s="972"/>
      <c r="J2777" s="972"/>
      <c r="K2777" s="972"/>
      <c r="L2777" s="972"/>
      <c r="M2777" s="972"/>
    </row>
    <row r="2778" spans="5:13">
      <c r="E2778" s="972"/>
      <c r="F2778" s="972"/>
      <c r="G2778" s="972"/>
      <c r="H2778" s="972"/>
      <c r="I2778" s="972"/>
      <c r="J2778" s="972"/>
      <c r="K2778" s="972"/>
      <c r="L2778" s="972"/>
      <c r="M2778" s="972"/>
    </row>
    <row r="2779" spans="5:13">
      <c r="E2779" s="972"/>
      <c r="F2779" s="972"/>
      <c r="G2779" s="972"/>
      <c r="H2779" s="972"/>
      <c r="I2779" s="972"/>
      <c r="J2779" s="972"/>
      <c r="K2779" s="972"/>
      <c r="L2779" s="972"/>
      <c r="M2779" s="972"/>
    </row>
    <row r="2780" spans="5:13">
      <c r="E2780" s="972"/>
      <c r="F2780" s="972"/>
      <c r="G2780" s="972"/>
      <c r="H2780" s="972"/>
      <c r="I2780" s="972"/>
      <c r="J2780" s="972"/>
      <c r="K2780" s="972"/>
      <c r="L2780" s="972"/>
      <c r="M2780" s="972"/>
    </row>
    <row r="2781" spans="5:13">
      <c r="E2781" s="972"/>
      <c r="F2781" s="972"/>
      <c r="G2781" s="972"/>
      <c r="H2781" s="972"/>
      <c r="I2781" s="972"/>
      <c r="J2781" s="972"/>
      <c r="K2781" s="972"/>
      <c r="L2781" s="972"/>
      <c r="M2781" s="972"/>
    </row>
    <row r="2782" spans="5:13">
      <c r="E2782" s="972"/>
      <c r="F2782" s="972"/>
      <c r="G2782" s="972"/>
      <c r="H2782" s="972"/>
      <c r="I2782" s="972"/>
      <c r="J2782" s="972"/>
      <c r="K2782" s="972"/>
      <c r="L2782" s="972"/>
      <c r="M2782" s="972"/>
    </row>
    <row r="2783" spans="5:13">
      <c r="E2783" s="972"/>
      <c r="F2783" s="972"/>
      <c r="G2783" s="972"/>
      <c r="H2783" s="972"/>
      <c r="I2783" s="972"/>
      <c r="J2783" s="972"/>
      <c r="K2783" s="972"/>
      <c r="L2783" s="972"/>
      <c r="M2783" s="972"/>
    </row>
    <row r="2784" spans="5:13">
      <c r="E2784" s="972"/>
      <c r="F2784" s="972"/>
      <c r="G2784" s="972"/>
      <c r="H2784" s="972"/>
      <c r="I2784" s="972"/>
      <c r="J2784" s="972"/>
      <c r="K2784" s="972"/>
      <c r="L2784" s="972"/>
      <c r="M2784" s="972"/>
    </row>
    <row r="2785" spans="5:13">
      <c r="E2785" s="972"/>
      <c r="F2785" s="972"/>
      <c r="G2785" s="972"/>
      <c r="H2785" s="972"/>
      <c r="I2785" s="972"/>
      <c r="J2785" s="972"/>
      <c r="K2785" s="972"/>
      <c r="L2785" s="972"/>
      <c r="M2785" s="972"/>
    </row>
    <row r="2786" spans="5:13">
      <c r="E2786" s="972"/>
      <c r="F2786" s="972"/>
      <c r="G2786" s="972"/>
      <c r="H2786" s="972"/>
      <c r="I2786" s="972"/>
      <c r="J2786" s="972"/>
      <c r="K2786" s="972"/>
      <c r="L2786" s="972"/>
      <c r="M2786" s="972"/>
    </row>
    <row r="2787" spans="5:13">
      <c r="E2787" s="972"/>
      <c r="F2787" s="972"/>
      <c r="G2787" s="972"/>
      <c r="H2787" s="972"/>
      <c r="I2787" s="972"/>
      <c r="J2787" s="972"/>
      <c r="K2787" s="972"/>
      <c r="L2787" s="972"/>
      <c r="M2787" s="972"/>
    </row>
    <row r="2788" spans="5:13">
      <c r="E2788" s="972"/>
      <c r="F2788" s="972"/>
      <c r="G2788" s="972"/>
      <c r="H2788" s="972"/>
      <c r="I2788" s="972"/>
      <c r="J2788" s="972"/>
      <c r="K2788" s="972"/>
      <c r="L2788" s="972"/>
      <c r="M2788" s="972"/>
    </row>
    <row r="2789" spans="5:13">
      <c r="E2789" s="972"/>
      <c r="F2789" s="972"/>
      <c r="G2789" s="972"/>
      <c r="H2789" s="972"/>
      <c r="I2789" s="972"/>
      <c r="J2789" s="972"/>
      <c r="K2789" s="972"/>
      <c r="L2789" s="972"/>
      <c r="M2789" s="972"/>
    </row>
    <row r="2790" spans="5:13">
      <c r="E2790" s="972"/>
      <c r="F2790" s="972"/>
      <c r="G2790" s="972"/>
      <c r="H2790" s="972"/>
      <c r="I2790" s="972"/>
      <c r="J2790" s="972"/>
      <c r="K2790" s="972"/>
      <c r="L2790" s="972"/>
      <c r="M2790" s="972"/>
    </row>
    <row r="2791" spans="5:13">
      <c r="E2791" s="972"/>
      <c r="F2791" s="972"/>
      <c r="G2791" s="972"/>
      <c r="H2791" s="972"/>
      <c r="I2791" s="972"/>
      <c r="J2791" s="972"/>
      <c r="K2791" s="972"/>
      <c r="L2791" s="972"/>
      <c r="M2791" s="972"/>
    </row>
    <row r="2792" spans="5:13">
      <c r="E2792" s="972"/>
      <c r="F2792" s="972"/>
      <c r="G2792" s="972"/>
      <c r="H2792" s="972"/>
      <c r="I2792" s="972"/>
      <c r="J2792" s="972"/>
      <c r="K2792" s="972"/>
      <c r="L2792" s="972"/>
      <c r="M2792" s="972"/>
    </row>
    <row r="2793" spans="5:13">
      <c r="E2793" s="972"/>
      <c r="F2793" s="972"/>
      <c r="G2793" s="972"/>
      <c r="H2793" s="972"/>
      <c r="I2793" s="972"/>
      <c r="J2793" s="972"/>
      <c r="K2793" s="972"/>
      <c r="L2793" s="972"/>
      <c r="M2793" s="972"/>
    </row>
    <row r="2794" spans="5:13">
      <c r="E2794" s="972"/>
      <c r="F2794" s="972"/>
      <c r="G2794" s="972"/>
      <c r="H2794" s="972"/>
      <c r="I2794" s="972"/>
      <c r="J2794" s="972"/>
      <c r="K2794" s="972"/>
      <c r="L2794" s="972"/>
      <c r="M2794" s="972"/>
    </row>
    <row r="2795" spans="5:13">
      <c r="E2795" s="972"/>
      <c r="F2795" s="972"/>
      <c r="G2795" s="972"/>
      <c r="H2795" s="972"/>
      <c r="I2795" s="972"/>
      <c r="J2795" s="972"/>
      <c r="K2795" s="972"/>
      <c r="L2795" s="972"/>
      <c r="M2795" s="972"/>
    </row>
    <row r="2796" spans="5:13">
      <c r="E2796" s="972"/>
      <c r="F2796" s="972"/>
      <c r="G2796" s="972"/>
      <c r="H2796" s="972"/>
      <c r="I2796" s="972"/>
      <c r="J2796" s="972"/>
      <c r="K2796" s="972"/>
      <c r="L2796" s="972"/>
      <c r="M2796" s="972"/>
    </row>
    <row r="2797" spans="5:13">
      <c r="E2797" s="972"/>
      <c r="F2797" s="972"/>
      <c r="G2797" s="972"/>
      <c r="H2797" s="972"/>
      <c r="I2797" s="972"/>
      <c r="J2797" s="972"/>
      <c r="K2797" s="972"/>
      <c r="L2797" s="972"/>
      <c r="M2797" s="972"/>
    </row>
    <row r="2798" spans="5:13">
      <c r="E2798" s="972"/>
      <c r="F2798" s="972"/>
      <c r="G2798" s="972"/>
      <c r="H2798" s="972"/>
      <c r="I2798" s="972"/>
      <c r="J2798" s="972"/>
      <c r="K2798" s="972"/>
      <c r="L2798" s="972"/>
      <c r="M2798" s="972"/>
    </row>
    <row r="2799" spans="5:13">
      <c r="E2799" s="972"/>
      <c r="F2799" s="972"/>
      <c r="G2799" s="972"/>
      <c r="H2799" s="972"/>
      <c r="I2799" s="972"/>
      <c r="J2799" s="972"/>
      <c r="K2799" s="972"/>
      <c r="L2799" s="972"/>
      <c r="M2799" s="972"/>
    </row>
    <row r="2800" spans="5:13">
      <c r="E2800" s="972"/>
      <c r="F2800" s="972"/>
      <c r="G2800" s="972"/>
      <c r="H2800" s="972"/>
      <c r="I2800" s="972"/>
      <c r="J2800" s="972"/>
      <c r="K2800" s="972"/>
      <c r="L2800" s="972"/>
      <c r="M2800" s="972"/>
    </row>
    <row r="2801" spans="5:13">
      <c r="E2801" s="972"/>
      <c r="F2801" s="972"/>
      <c r="G2801" s="972"/>
      <c r="H2801" s="972"/>
      <c r="I2801" s="972"/>
      <c r="J2801" s="972"/>
      <c r="K2801" s="972"/>
      <c r="L2801" s="972"/>
      <c r="M2801" s="972"/>
    </row>
    <row r="2802" spans="5:13">
      <c r="E2802" s="972"/>
      <c r="F2802" s="972"/>
      <c r="G2802" s="972"/>
      <c r="H2802" s="972"/>
      <c r="I2802" s="972"/>
      <c r="J2802" s="972"/>
      <c r="K2802" s="972"/>
      <c r="L2802" s="972"/>
      <c r="M2802" s="972"/>
    </row>
    <row r="2803" spans="5:13">
      <c r="E2803" s="972"/>
      <c r="F2803" s="972"/>
      <c r="G2803" s="972"/>
      <c r="H2803" s="972"/>
      <c r="I2803" s="972"/>
      <c r="J2803" s="972"/>
      <c r="K2803" s="972"/>
      <c r="L2803" s="972"/>
      <c r="M2803" s="972"/>
    </row>
    <row r="2804" spans="5:13">
      <c r="E2804" s="972"/>
      <c r="F2804" s="972"/>
      <c r="G2804" s="972"/>
      <c r="H2804" s="972"/>
      <c r="I2804" s="972"/>
      <c r="J2804" s="972"/>
      <c r="K2804" s="972"/>
      <c r="L2804" s="972"/>
      <c r="M2804" s="972"/>
    </row>
    <row r="2805" spans="5:13">
      <c r="E2805" s="972"/>
      <c r="F2805" s="972"/>
      <c r="G2805" s="972"/>
      <c r="H2805" s="972"/>
      <c r="I2805" s="972"/>
      <c r="J2805" s="972"/>
      <c r="K2805" s="972"/>
      <c r="L2805" s="972"/>
      <c r="M2805" s="972"/>
    </row>
    <row r="2806" spans="5:13">
      <c r="E2806" s="972"/>
      <c r="F2806" s="972"/>
      <c r="G2806" s="972"/>
      <c r="H2806" s="972"/>
      <c r="I2806" s="972"/>
      <c r="J2806" s="972"/>
      <c r="K2806" s="972"/>
      <c r="L2806" s="972"/>
      <c r="M2806" s="972"/>
    </row>
    <row r="2807" spans="5:13">
      <c r="E2807" s="972"/>
      <c r="F2807" s="972"/>
      <c r="G2807" s="972"/>
      <c r="H2807" s="972"/>
      <c r="I2807" s="972"/>
      <c r="J2807" s="972"/>
      <c r="K2807" s="972"/>
      <c r="L2807" s="972"/>
      <c r="M2807" s="972"/>
    </row>
    <row r="2808" spans="5:13">
      <c r="E2808" s="972"/>
      <c r="F2808" s="972"/>
      <c r="G2808" s="972"/>
      <c r="H2808" s="972"/>
      <c r="I2808" s="972"/>
      <c r="J2808" s="972"/>
      <c r="K2808" s="972"/>
      <c r="L2808" s="972"/>
      <c r="M2808" s="972"/>
    </row>
    <row r="2809" spans="5:13">
      <c r="E2809" s="972"/>
      <c r="F2809" s="972"/>
      <c r="G2809" s="972"/>
      <c r="H2809" s="972"/>
      <c r="I2809" s="972"/>
      <c r="J2809" s="972"/>
      <c r="K2809" s="972"/>
      <c r="L2809" s="972"/>
      <c r="M2809" s="972"/>
    </row>
    <row r="2810" spans="5:13">
      <c r="E2810" s="972"/>
      <c r="F2810" s="972"/>
      <c r="G2810" s="972"/>
      <c r="H2810" s="972"/>
      <c r="I2810" s="972"/>
      <c r="J2810" s="972"/>
      <c r="K2810" s="972"/>
      <c r="L2810" s="972"/>
      <c r="M2810" s="972"/>
    </row>
    <row r="2811" spans="5:13">
      <c r="E2811" s="972"/>
      <c r="F2811" s="972"/>
      <c r="G2811" s="972"/>
      <c r="H2811" s="972"/>
      <c r="I2811" s="972"/>
      <c r="J2811" s="972"/>
      <c r="K2811" s="972"/>
      <c r="L2811" s="972"/>
      <c r="M2811" s="972"/>
    </row>
    <row r="2812" spans="5:13">
      <c r="E2812" s="972"/>
      <c r="F2812" s="972"/>
      <c r="G2812" s="972"/>
      <c r="H2812" s="972"/>
      <c r="I2812" s="972"/>
      <c r="J2812" s="972"/>
      <c r="K2812" s="972"/>
      <c r="L2812" s="972"/>
      <c r="M2812" s="972"/>
    </row>
    <row r="2813" spans="5:13">
      <c r="E2813" s="972"/>
      <c r="F2813" s="972"/>
      <c r="G2813" s="972"/>
      <c r="H2813" s="972"/>
      <c r="I2813" s="972"/>
      <c r="J2813" s="972"/>
      <c r="K2813" s="972"/>
      <c r="L2813" s="972"/>
      <c r="M2813" s="972"/>
    </row>
    <row r="2814" spans="5:13">
      <c r="E2814" s="972"/>
      <c r="F2814" s="972"/>
      <c r="G2814" s="972"/>
      <c r="H2814" s="972"/>
      <c r="I2814" s="972"/>
      <c r="J2814" s="972"/>
      <c r="K2814" s="972"/>
      <c r="L2814" s="972"/>
      <c r="M2814" s="972"/>
    </row>
    <row r="2815" spans="5:13">
      <c r="E2815" s="972"/>
      <c r="F2815" s="972"/>
      <c r="G2815" s="972"/>
      <c r="H2815" s="972"/>
      <c r="I2815" s="972"/>
      <c r="J2815" s="972"/>
      <c r="K2815" s="972"/>
      <c r="L2815" s="972"/>
      <c r="M2815" s="972"/>
    </row>
    <row r="2816" spans="5:13">
      <c r="E2816" s="972"/>
      <c r="F2816" s="972"/>
      <c r="G2816" s="972"/>
      <c r="H2816" s="972"/>
      <c r="I2816" s="972"/>
      <c r="J2816" s="972"/>
      <c r="K2816" s="972"/>
      <c r="L2816" s="972"/>
      <c r="M2816" s="972"/>
    </row>
    <row r="2817" spans="5:13">
      <c r="E2817" s="972"/>
      <c r="F2817" s="972"/>
      <c r="G2817" s="972"/>
      <c r="H2817" s="972"/>
      <c r="I2817" s="972"/>
      <c r="J2817" s="972"/>
      <c r="K2817" s="972"/>
      <c r="L2817" s="972"/>
      <c r="M2817" s="972"/>
    </row>
    <row r="2818" spans="5:13">
      <c r="E2818" s="972"/>
      <c r="F2818" s="972"/>
      <c r="G2818" s="972"/>
      <c r="H2818" s="972"/>
      <c r="I2818" s="972"/>
      <c r="J2818" s="972"/>
      <c r="K2818" s="972"/>
      <c r="L2818" s="972"/>
      <c r="M2818" s="972"/>
    </row>
    <row r="2819" spans="5:13">
      <c r="E2819" s="972"/>
      <c r="F2819" s="972"/>
      <c r="G2819" s="972"/>
      <c r="H2819" s="972"/>
      <c r="I2819" s="972"/>
      <c r="J2819" s="972"/>
      <c r="K2819" s="972"/>
      <c r="L2819" s="972"/>
      <c r="M2819" s="972"/>
    </row>
    <row r="2820" spans="5:13">
      <c r="E2820" s="972"/>
      <c r="F2820" s="972"/>
      <c r="G2820" s="972"/>
      <c r="H2820" s="972"/>
      <c r="I2820" s="972"/>
      <c r="J2820" s="972"/>
      <c r="K2820" s="972"/>
      <c r="L2820" s="972"/>
      <c r="M2820" s="972"/>
    </row>
    <row r="2821" spans="5:13">
      <c r="E2821" s="972"/>
      <c r="F2821" s="972"/>
      <c r="G2821" s="972"/>
      <c r="H2821" s="972"/>
      <c r="I2821" s="972"/>
      <c r="J2821" s="972"/>
      <c r="K2821" s="972"/>
      <c r="L2821" s="972"/>
      <c r="M2821" s="972"/>
    </row>
    <row r="2822" spans="5:13">
      <c r="E2822" s="972"/>
      <c r="F2822" s="972"/>
      <c r="G2822" s="972"/>
      <c r="H2822" s="972"/>
      <c r="I2822" s="972"/>
      <c r="J2822" s="972"/>
      <c r="K2822" s="972"/>
      <c r="L2822" s="972"/>
      <c r="M2822" s="972"/>
    </row>
    <row r="2823" spans="5:13">
      <c r="E2823" s="972"/>
      <c r="F2823" s="972"/>
      <c r="G2823" s="972"/>
      <c r="H2823" s="972"/>
      <c r="I2823" s="972"/>
      <c r="J2823" s="972"/>
      <c r="K2823" s="972"/>
      <c r="L2823" s="972"/>
      <c r="M2823" s="972"/>
    </row>
    <row r="2824" spans="5:13">
      <c r="E2824" s="972"/>
      <c r="F2824" s="972"/>
      <c r="G2824" s="972"/>
      <c r="H2824" s="972"/>
      <c r="I2824" s="972"/>
      <c r="J2824" s="972"/>
      <c r="K2824" s="972"/>
      <c r="L2824" s="972"/>
      <c r="M2824" s="972"/>
    </row>
    <row r="2825" spans="5:13">
      <c r="E2825" s="972"/>
      <c r="F2825" s="972"/>
      <c r="G2825" s="972"/>
      <c r="H2825" s="972"/>
      <c r="I2825" s="972"/>
      <c r="J2825" s="972"/>
      <c r="K2825" s="972"/>
      <c r="L2825" s="972"/>
      <c r="M2825" s="972"/>
    </row>
    <row r="2826" spans="5:13">
      <c r="E2826" s="972"/>
      <c r="F2826" s="972"/>
      <c r="G2826" s="972"/>
      <c r="H2826" s="972"/>
      <c r="I2826" s="972"/>
      <c r="J2826" s="972"/>
      <c r="K2826" s="972"/>
      <c r="L2826" s="972"/>
      <c r="M2826" s="972"/>
    </row>
    <row r="2827" spans="5:13">
      <c r="E2827" s="972"/>
      <c r="F2827" s="972"/>
      <c r="G2827" s="972"/>
      <c r="H2827" s="972"/>
      <c r="I2827" s="972"/>
      <c r="J2827" s="972"/>
      <c r="K2827" s="972"/>
      <c r="L2827" s="972"/>
      <c r="M2827" s="972"/>
    </row>
    <row r="2828" spans="5:13">
      <c r="E2828" s="972"/>
      <c r="F2828" s="972"/>
      <c r="G2828" s="972"/>
      <c r="H2828" s="972"/>
      <c r="I2828" s="972"/>
      <c r="J2828" s="972"/>
      <c r="K2828" s="972"/>
      <c r="L2828" s="972"/>
      <c r="M2828" s="972"/>
    </row>
    <row r="2829" spans="5:13">
      <c r="E2829" s="972"/>
      <c r="F2829" s="972"/>
      <c r="G2829" s="972"/>
      <c r="H2829" s="972"/>
      <c r="I2829" s="972"/>
      <c r="J2829" s="972"/>
      <c r="K2829" s="972"/>
      <c r="L2829" s="972"/>
      <c r="M2829" s="972"/>
    </row>
    <row r="2830" spans="5:13">
      <c r="E2830" s="972"/>
      <c r="F2830" s="972"/>
      <c r="G2830" s="972"/>
      <c r="H2830" s="972"/>
      <c r="I2830" s="972"/>
      <c r="J2830" s="972"/>
      <c r="K2830" s="972"/>
      <c r="L2830" s="972"/>
      <c r="M2830" s="972"/>
    </row>
    <row r="2831" spans="5:13">
      <c r="E2831" s="972"/>
      <c r="F2831" s="972"/>
      <c r="G2831" s="972"/>
      <c r="H2831" s="972"/>
      <c r="I2831" s="972"/>
      <c r="J2831" s="972"/>
      <c r="K2831" s="972"/>
      <c r="L2831" s="972"/>
      <c r="M2831" s="972"/>
    </row>
    <row r="2832" spans="5:13">
      <c r="E2832" s="972"/>
      <c r="F2832" s="972"/>
      <c r="G2832" s="972"/>
      <c r="H2832" s="972"/>
      <c r="I2832" s="972"/>
      <c r="J2832" s="972"/>
      <c r="K2832" s="972"/>
      <c r="L2832" s="972"/>
      <c r="M2832" s="972"/>
    </row>
    <row r="2833" spans="5:13">
      <c r="E2833" s="972"/>
      <c r="F2833" s="972"/>
      <c r="G2833" s="972"/>
      <c r="H2833" s="972"/>
      <c r="I2833" s="972"/>
      <c r="J2833" s="972"/>
      <c r="K2833" s="972"/>
      <c r="L2833" s="972"/>
      <c r="M2833" s="972"/>
    </row>
    <row r="2834" spans="5:13">
      <c r="E2834" s="972"/>
      <c r="F2834" s="972"/>
      <c r="G2834" s="972"/>
      <c r="H2834" s="972"/>
      <c r="I2834" s="972"/>
      <c r="J2834" s="972"/>
      <c r="K2834" s="972"/>
      <c r="L2834" s="972"/>
      <c r="M2834" s="972"/>
    </row>
    <row r="2835" spans="5:13">
      <c r="E2835" s="972"/>
      <c r="F2835" s="972"/>
      <c r="G2835" s="972"/>
      <c r="H2835" s="972"/>
      <c r="I2835" s="972"/>
      <c r="J2835" s="972"/>
      <c r="K2835" s="972"/>
      <c r="L2835" s="972"/>
      <c r="M2835" s="972"/>
    </row>
    <row r="2836" spans="5:13">
      <c r="E2836" s="972"/>
      <c r="F2836" s="972"/>
      <c r="G2836" s="972"/>
      <c r="H2836" s="972"/>
      <c r="I2836" s="972"/>
      <c r="J2836" s="972"/>
      <c r="K2836" s="972"/>
      <c r="L2836" s="972"/>
      <c r="M2836" s="972"/>
    </row>
    <row r="2837" spans="5:13">
      <c r="E2837" s="972"/>
      <c r="F2837" s="972"/>
      <c r="G2837" s="972"/>
      <c r="H2837" s="972"/>
      <c r="I2837" s="972"/>
      <c r="J2837" s="972"/>
      <c r="K2837" s="972"/>
      <c r="L2837" s="972"/>
      <c r="M2837" s="972"/>
    </row>
    <row r="2838" spans="5:13">
      <c r="E2838" s="972"/>
      <c r="F2838" s="972"/>
      <c r="G2838" s="972"/>
      <c r="H2838" s="972"/>
      <c r="I2838" s="972"/>
      <c r="J2838" s="972"/>
      <c r="K2838" s="972"/>
      <c r="L2838" s="972"/>
      <c r="M2838" s="972"/>
    </row>
    <row r="2839" spans="5:13">
      <c r="E2839" s="972"/>
      <c r="F2839" s="972"/>
      <c r="G2839" s="972"/>
      <c r="H2839" s="972"/>
      <c r="I2839" s="972"/>
      <c r="J2839" s="972"/>
      <c r="K2839" s="972"/>
      <c r="L2839" s="972"/>
      <c r="M2839" s="972"/>
    </row>
    <row r="2840" spans="5:13">
      <c r="E2840" s="972"/>
      <c r="F2840" s="972"/>
      <c r="G2840" s="972"/>
      <c r="H2840" s="972"/>
      <c r="I2840" s="972"/>
      <c r="J2840" s="972"/>
      <c r="K2840" s="972"/>
      <c r="L2840" s="972"/>
      <c r="M2840" s="972"/>
    </row>
    <row r="2841" spans="5:13">
      <c r="E2841" s="972"/>
      <c r="F2841" s="972"/>
      <c r="G2841" s="972"/>
      <c r="H2841" s="972"/>
      <c r="I2841" s="972"/>
      <c r="J2841" s="972"/>
      <c r="K2841" s="972"/>
      <c r="L2841" s="972"/>
      <c r="M2841" s="972"/>
    </row>
    <row r="2842" spans="5:13">
      <c r="E2842" s="972"/>
      <c r="F2842" s="972"/>
      <c r="G2842" s="972"/>
      <c r="H2842" s="972"/>
      <c r="I2842" s="972"/>
      <c r="J2842" s="972"/>
      <c r="K2842" s="972"/>
      <c r="L2842" s="972"/>
      <c r="M2842" s="972"/>
    </row>
    <row r="2843" spans="5:13">
      <c r="E2843" s="972"/>
      <c r="F2843" s="972"/>
      <c r="G2843" s="972"/>
      <c r="H2843" s="972"/>
      <c r="I2843" s="972"/>
      <c r="J2843" s="972"/>
      <c r="K2843" s="972"/>
      <c r="L2843" s="972"/>
      <c r="M2843" s="972"/>
    </row>
    <row r="2844" spans="5:13">
      <c r="E2844" s="972"/>
      <c r="F2844" s="972"/>
      <c r="G2844" s="972"/>
      <c r="H2844" s="972"/>
      <c r="I2844" s="972"/>
      <c r="J2844" s="972"/>
      <c r="K2844" s="972"/>
      <c r="L2844" s="972"/>
      <c r="M2844" s="972"/>
    </row>
    <row r="2845" spans="5:13">
      <c r="E2845" s="972"/>
      <c r="F2845" s="972"/>
      <c r="G2845" s="972"/>
      <c r="H2845" s="972"/>
      <c r="I2845" s="972"/>
      <c r="J2845" s="972"/>
      <c r="K2845" s="972"/>
      <c r="L2845" s="972"/>
      <c r="M2845" s="972"/>
    </row>
    <row r="2846" spans="5:13">
      <c r="E2846" s="972"/>
      <c r="F2846" s="972"/>
      <c r="G2846" s="972"/>
      <c r="H2846" s="972"/>
      <c r="I2846" s="972"/>
      <c r="J2846" s="972"/>
      <c r="K2846" s="972"/>
      <c r="L2846" s="972"/>
      <c r="M2846" s="972"/>
    </row>
    <row r="2847" spans="5:13">
      <c r="E2847" s="972"/>
      <c r="F2847" s="972"/>
      <c r="G2847" s="972"/>
      <c r="H2847" s="972"/>
      <c r="I2847" s="972"/>
      <c r="J2847" s="972"/>
      <c r="K2847" s="972"/>
      <c r="L2847" s="972"/>
      <c r="M2847" s="972"/>
    </row>
    <row r="2848" spans="5:13">
      <c r="E2848" s="972"/>
      <c r="F2848" s="972"/>
      <c r="G2848" s="972"/>
      <c r="H2848" s="972"/>
      <c r="I2848" s="972"/>
      <c r="J2848" s="972"/>
      <c r="K2848" s="972"/>
      <c r="L2848" s="972"/>
      <c r="M2848" s="972"/>
    </row>
    <row r="2849" spans="5:13">
      <c r="E2849" s="972"/>
      <c r="F2849" s="972"/>
      <c r="G2849" s="972"/>
      <c r="H2849" s="972"/>
      <c r="I2849" s="972"/>
      <c r="J2849" s="972"/>
      <c r="K2849" s="972"/>
      <c r="L2849" s="972"/>
      <c r="M2849" s="972"/>
    </row>
    <row r="2850" spans="5:13">
      <c r="E2850" s="972"/>
      <c r="F2850" s="972"/>
      <c r="G2850" s="972"/>
      <c r="H2850" s="972"/>
      <c r="I2850" s="972"/>
      <c r="J2850" s="972"/>
      <c r="K2850" s="972"/>
      <c r="L2850" s="972"/>
      <c r="M2850" s="972"/>
    </row>
    <row r="2851" spans="5:13">
      <c r="E2851" s="972"/>
      <c r="F2851" s="972"/>
      <c r="G2851" s="972"/>
      <c r="H2851" s="972"/>
      <c r="I2851" s="972"/>
      <c r="J2851" s="972"/>
      <c r="K2851" s="972"/>
      <c r="L2851" s="972"/>
      <c r="M2851" s="972"/>
    </row>
    <row r="2852" spans="5:13">
      <c r="E2852" s="972"/>
      <c r="F2852" s="972"/>
      <c r="G2852" s="972"/>
      <c r="H2852" s="972"/>
      <c r="I2852" s="972"/>
      <c r="J2852" s="972"/>
      <c r="K2852" s="972"/>
      <c r="L2852" s="972"/>
      <c r="M2852" s="972"/>
    </row>
    <row r="2853" spans="5:13">
      <c r="E2853" s="972"/>
      <c r="F2853" s="972"/>
      <c r="G2853" s="972"/>
      <c r="H2853" s="972"/>
      <c r="I2853" s="972"/>
      <c r="J2853" s="972"/>
      <c r="K2853" s="972"/>
      <c r="L2853" s="972"/>
      <c r="M2853" s="972"/>
    </row>
    <row r="2854" spans="5:13">
      <c r="E2854" s="972"/>
      <c r="F2854" s="972"/>
      <c r="G2854" s="972"/>
      <c r="H2854" s="972"/>
      <c r="I2854" s="972"/>
      <c r="J2854" s="972"/>
      <c r="K2854" s="972"/>
      <c r="L2854" s="972"/>
      <c r="M2854" s="972"/>
    </row>
    <row r="2855" spans="5:13">
      <c r="E2855" s="972"/>
      <c r="F2855" s="972"/>
      <c r="G2855" s="972"/>
      <c r="H2855" s="972"/>
      <c r="I2855" s="972"/>
      <c r="J2855" s="972"/>
      <c r="K2855" s="972"/>
      <c r="L2855" s="972"/>
      <c r="M2855" s="972"/>
    </row>
    <row r="2856" spans="5:13">
      <c r="E2856" s="972"/>
      <c r="F2856" s="972"/>
      <c r="G2856" s="972"/>
      <c r="H2856" s="972"/>
      <c r="I2856" s="972"/>
      <c r="J2856" s="972"/>
      <c r="K2856" s="972"/>
      <c r="L2856" s="972"/>
      <c r="M2856" s="972"/>
    </row>
    <row r="2857" spans="5:13">
      <c r="E2857" s="972"/>
      <c r="F2857" s="972"/>
      <c r="G2857" s="972"/>
      <c r="H2857" s="972"/>
      <c r="I2857" s="972"/>
      <c r="J2857" s="972"/>
      <c r="K2857" s="972"/>
      <c r="L2857" s="972"/>
      <c r="M2857" s="972"/>
    </row>
    <row r="2858" spans="5:13">
      <c r="E2858" s="972"/>
      <c r="F2858" s="972"/>
      <c r="G2858" s="972"/>
      <c r="H2858" s="972"/>
      <c r="I2858" s="972"/>
      <c r="J2858" s="972"/>
      <c r="K2858" s="972"/>
      <c r="L2858" s="972"/>
      <c r="M2858" s="972"/>
    </row>
    <row r="2859" spans="5:13">
      <c r="E2859" s="972"/>
      <c r="F2859" s="972"/>
      <c r="G2859" s="972"/>
      <c r="H2859" s="972"/>
      <c r="I2859" s="972"/>
      <c r="J2859" s="972"/>
      <c r="K2859" s="972"/>
      <c r="L2859" s="972"/>
      <c r="M2859" s="972"/>
    </row>
    <row r="2860" spans="5:13">
      <c r="E2860" s="972"/>
      <c r="F2860" s="972"/>
      <c r="G2860" s="972"/>
      <c r="H2860" s="972"/>
      <c r="I2860" s="972"/>
      <c r="J2860" s="972"/>
      <c r="K2860" s="972"/>
      <c r="L2860" s="972"/>
      <c r="M2860" s="972"/>
    </row>
    <row r="2861" spans="5:13">
      <c r="E2861" s="972"/>
      <c r="F2861" s="972"/>
      <c r="G2861" s="972"/>
      <c r="H2861" s="972"/>
      <c r="I2861" s="972"/>
      <c r="J2861" s="972"/>
      <c r="K2861" s="972"/>
      <c r="L2861" s="972"/>
      <c r="M2861" s="972"/>
    </row>
    <row r="2862" spans="5:13">
      <c r="E2862" s="972"/>
      <c r="F2862" s="972"/>
      <c r="G2862" s="972"/>
      <c r="H2862" s="972"/>
      <c r="I2862" s="972"/>
      <c r="J2862" s="972"/>
      <c r="K2862" s="972"/>
      <c r="L2862" s="972"/>
      <c r="M2862" s="972"/>
    </row>
    <row r="2863" spans="5:13">
      <c r="E2863" s="972"/>
      <c r="F2863" s="972"/>
      <c r="G2863" s="972"/>
      <c r="H2863" s="972"/>
      <c r="I2863" s="972"/>
      <c r="J2863" s="972"/>
      <c r="K2863" s="972"/>
      <c r="L2863" s="972"/>
      <c r="M2863" s="972"/>
    </row>
    <row r="2864" spans="5:13">
      <c r="E2864" s="972"/>
      <c r="F2864" s="972"/>
      <c r="G2864" s="972"/>
      <c r="H2864" s="972"/>
      <c r="I2864" s="972"/>
      <c r="J2864" s="972"/>
      <c r="K2864" s="972"/>
      <c r="L2864" s="972"/>
      <c r="M2864" s="972"/>
    </row>
    <row r="2865" spans="5:13">
      <c r="E2865" s="972"/>
      <c r="F2865" s="972"/>
      <c r="G2865" s="972"/>
      <c r="H2865" s="972"/>
      <c r="I2865" s="972"/>
      <c r="J2865" s="972"/>
      <c r="K2865" s="972"/>
      <c r="L2865" s="972"/>
      <c r="M2865" s="972"/>
    </row>
    <row r="2866" spans="5:13">
      <c r="E2866" s="972"/>
      <c r="F2866" s="972"/>
      <c r="G2866" s="972"/>
      <c r="H2866" s="972"/>
      <c r="I2866" s="972"/>
      <c r="J2866" s="972"/>
      <c r="K2866" s="972"/>
      <c r="L2866" s="972"/>
      <c r="M2866" s="972"/>
    </row>
    <row r="2867" spans="5:13">
      <c r="E2867" s="972"/>
      <c r="F2867" s="972"/>
      <c r="G2867" s="972"/>
      <c r="H2867" s="972"/>
      <c r="I2867" s="972"/>
      <c r="J2867" s="972"/>
      <c r="K2867" s="972"/>
      <c r="L2867" s="972"/>
      <c r="M2867" s="972"/>
    </row>
    <row r="2868" spans="5:13">
      <c r="E2868" s="972"/>
      <c r="F2868" s="972"/>
      <c r="G2868" s="972"/>
      <c r="H2868" s="972"/>
      <c r="I2868" s="972"/>
      <c r="J2868" s="972"/>
      <c r="K2868" s="972"/>
      <c r="L2868" s="972"/>
      <c r="M2868" s="972"/>
    </row>
    <row r="2869" spans="5:13">
      <c r="E2869" s="972"/>
      <c r="F2869" s="972"/>
      <c r="G2869" s="972"/>
      <c r="H2869" s="972"/>
      <c r="I2869" s="972"/>
      <c r="J2869" s="972"/>
      <c r="K2869" s="972"/>
      <c r="L2869" s="972"/>
      <c r="M2869" s="972"/>
    </row>
    <row r="2870" spans="5:13">
      <c r="E2870" s="972"/>
      <c r="F2870" s="972"/>
      <c r="G2870" s="972"/>
      <c r="H2870" s="972"/>
      <c r="I2870" s="972"/>
      <c r="J2870" s="972"/>
      <c r="K2870" s="972"/>
      <c r="L2870" s="972"/>
      <c r="M2870" s="972"/>
    </row>
    <row r="2871" spans="5:13">
      <c r="E2871" s="972"/>
      <c r="F2871" s="972"/>
      <c r="G2871" s="972"/>
      <c r="H2871" s="972"/>
      <c r="I2871" s="972"/>
      <c r="J2871" s="972"/>
      <c r="K2871" s="972"/>
      <c r="L2871" s="972"/>
      <c r="M2871" s="972"/>
    </row>
    <row r="2872" spans="5:13">
      <c r="E2872" s="972"/>
      <c r="F2872" s="972"/>
      <c r="G2872" s="972"/>
      <c r="H2872" s="972"/>
      <c r="I2872" s="972"/>
      <c r="J2872" s="972"/>
      <c r="K2872" s="972"/>
      <c r="L2872" s="972"/>
      <c r="M2872" s="972"/>
    </row>
    <row r="2873" spans="5:13">
      <c r="E2873" s="972"/>
      <c r="F2873" s="972"/>
      <c r="G2873" s="972"/>
      <c r="H2873" s="972"/>
      <c r="I2873" s="972"/>
      <c r="J2873" s="972"/>
      <c r="K2873" s="972"/>
      <c r="L2873" s="972"/>
      <c r="M2873" s="972"/>
    </row>
    <row r="2874" spans="5:13">
      <c r="E2874" s="972"/>
      <c r="F2874" s="972"/>
      <c r="G2874" s="972"/>
      <c r="H2874" s="972"/>
      <c r="I2874" s="972"/>
      <c r="J2874" s="972"/>
      <c r="K2874" s="972"/>
      <c r="L2874" s="972"/>
      <c r="M2874" s="972"/>
    </row>
    <row r="2875" spans="5:13">
      <c r="E2875" s="972"/>
      <c r="F2875" s="972"/>
      <c r="G2875" s="972"/>
      <c r="H2875" s="972"/>
      <c r="I2875" s="972"/>
      <c r="J2875" s="972"/>
      <c r="K2875" s="972"/>
      <c r="L2875" s="972"/>
      <c r="M2875" s="972"/>
    </row>
    <row r="2876" spans="5:13">
      <c r="E2876" s="972"/>
      <c r="F2876" s="972"/>
      <c r="G2876" s="972"/>
      <c r="H2876" s="972"/>
      <c r="I2876" s="972"/>
      <c r="J2876" s="972"/>
      <c r="K2876" s="972"/>
      <c r="L2876" s="972"/>
      <c r="M2876" s="972"/>
    </row>
    <row r="2877" spans="5:13">
      <c r="E2877" s="972"/>
      <c r="F2877" s="972"/>
      <c r="G2877" s="972"/>
      <c r="H2877" s="972"/>
      <c r="I2877" s="972"/>
      <c r="J2877" s="972"/>
      <c r="K2877" s="972"/>
      <c r="L2877" s="972"/>
      <c r="M2877" s="972"/>
    </row>
    <row r="2878" spans="5:13">
      <c r="E2878" s="972"/>
      <c r="F2878" s="972"/>
      <c r="G2878" s="972"/>
      <c r="H2878" s="972"/>
      <c r="I2878" s="972"/>
      <c r="J2878" s="972"/>
      <c r="K2878" s="972"/>
      <c r="L2878" s="972"/>
      <c r="M2878" s="972"/>
    </row>
    <row r="2879" spans="5:13">
      <c r="E2879" s="972"/>
      <c r="F2879" s="972"/>
      <c r="G2879" s="972"/>
      <c r="H2879" s="972"/>
      <c r="I2879" s="972"/>
      <c r="J2879" s="972"/>
      <c r="K2879" s="972"/>
      <c r="L2879" s="972"/>
      <c r="M2879" s="972"/>
    </row>
    <row r="2880" spans="5:13">
      <c r="E2880" s="972"/>
      <c r="F2880" s="972"/>
      <c r="G2880" s="972"/>
      <c r="H2880" s="972"/>
      <c r="I2880" s="972"/>
      <c r="J2880" s="972"/>
      <c r="K2880" s="972"/>
      <c r="L2880" s="972"/>
      <c r="M2880" s="972"/>
    </row>
    <row r="2881" spans="5:13">
      <c r="E2881" s="972"/>
      <c r="F2881" s="972"/>
      <c r="G2881" s="972"/>
      <c r="H2881" s="972"/>
      <c r="I2881" s="972"/>
      <c r="J2881" s="972"/>
      <c r="K2881" s="972"/>
      <c r="L2881" s="972"/>
      <c r="M2881" s="972"/>
    </row>
    <row r="2882" spans="5:13">
      <c r="E2882" s="972"/>
      <c r="F2882" s="972"/>
      <c r="G2882" s="972"/>
      <c r="H2882" s="972"/>
      <c r="I2882" s="972"/>
      <c r="J2882" s="972"/>
      <c r="K2882" s="972"/>
      <c r="L2882" s="972"/>
      <c r="M2882" s="972"/>
    </row>
    <row r="2883" spans="5:13">
      <c r="E2883" s="972"/>
      <c r="F2883" s="972"/>
      <c r="G2883" s="972"/>
      <c r="H2883" s="972"/>
      <c r="I2883" s="972"/>
      <c r="J2883" s="972"/>
      <c r="K2883" s="972"/>
      <c r="L2883" s="972"/>
      <c r="M2883" s="972"/>
    </row>
    <row r="2884" spans="5:13">
      <c r="E2884" s="972"/>
      <c r="F2884" s="972"/>
      <c r="G2884" s="972"/>
      <c r="H2884" s="972"/>
      <c r="I2884" s="972"/>
      <c r="J2884" s="972"/>
      <c r="K2884" s="972"/>
      <c r="L2884" s="972"/>
      <c r="M2884" s="972"/>
    </row>
    <row r="2885" spans="5:13">
      <c r="E2885" s="972"/>
      <c r="F2885" s="972"/>
      <c r="G2885" s="972"/>
      <c r="H2885" s="972"/>
      <c r="I2885" s="972"/>
      <c r="J2885" s="972"/>
      <c r="K2885" s="972"/>
      <c r="L2885" s="972"/>
      <c r="M2885" s="972"/>
    </row>
    <row r="2886" spans="5:13">
      <c r="E2886" s="972"/>
      <c r="F2886" s="972"/>
      <c r="G2886" s="972"/>
      <c r="H2886" s="972"/>
      <c r="I2886" s="972"/>
      <c r="J2886" s="972"/>
      <c r="K2886" s="972"/>
      <c r="L2886" s="972"/>
      <c r="M2886" s="972"/>
    </row>
    <row r="2887" spans="5:13">
      <c r="E2887" s="972"/>
      <c r="F2887" s="972"/>
      <c r="G2887" s="972"/>
      <c r="H2887" s="972"/>
      <c r="I2887" s="972"/>
      <c r="J2887" s="972"/>
      <c r="K2887" s="972"/>
      <c r="L2887" s="972"/>
      <c r="M2887" s="972"/>
    </row>
    <row r="2888" spans="5:13">
      <c r="E2888" s="972"/>
      <c r="F2888" s="972"/>
      <c r="G2888" s="972"/>
      <c r="H2888" s="972"/>
      <c r="I2888" s="972"/>
      <c r="J2888" s="972"/>
      <c r="K2888" s="972"/>
      <c r="L2888" s="972"/>
      <c r="M2888" s="972"/>
    </row>
    <row r="2889" spans="5:13">
      <c r="E2889" s="972"/>
      <c r="F2889" s="972"/>
      <c r="G2889" s="972"/>
      <c r="H2889" s="972"/>
      <c r="I2889" s="972"/>
      <c r="J2889" s="972"/>
      <c r="K2889" s="972"/>
      <c r="L2889" s="972"/>
      <c r="M2889" s="972"/>
    </row>
    <row r="2890" spans="5:13">
      <c r="E2890" s="972"/>
      <c r="F2890" s="972"/>
      <c r="G2890" s="972"/>
      <c r="H2890" s="972"/>
      <c r="I2890" s="972"/>
      <c r="J2890" s="972"/>
      <c r="K2890" s="972"/>
      <c r="L2890" s="972"/>
      <c r="M2890" s="972"/>
    </row>
    <row r="2891" spans="5:13">
      <c r="E2891" s="972"/>
      <c r="F2891" s="972"/>
      <c r="G2891" s="972"/>
      <c r="H2891" s="972"/>
      <c r="I2891" s="972"/>
      <c r="J2891" s="972"/>
      <c r="K2891" s="972"/>
      <c r="L2891" s="972"/>
      <c r="M2891" s="972"/>
    </row>
    <row r="2892" spans="5:13">
      <c r="E2892" s="972"/>
      <c r="F2892" s="972"/>
      <c r="G2892" s="972"/>
      <c r="H2892" s="972"/>
      <c r="I2892" s="972"/>
      <c r="J2892" s="972"/>
      <c r="K2892" s="972"/>
      <c r="L2892" s="972"/>
      <c r="M2892" s="972"/>
    </row>
    <row r="2893" spans="5:13">
      <c r="E2893" s="972"/>
      <c r="F2893" s="972"/>
      <c r="G2893" s="972"/>
      <c r="H2893" s="972"/>
      <c r="I2893" s="972"/>
      <c r="J2893" s="972"/>
      <c r="K2893" s="972"/>
      <c r="L2893" s="972"/>
      <c r="M2893" s="972"/>
    </row>
    <row r="2894" spans="5:13">
      <c r="E2894" s="972"/>
      <c r="F2894" s="972"/>
      <c r="G2894" s="972"/>
      <c r="H2894" s="972"/>
      <c r="I2894" s="972"/>
      <c r="J2894" s="972"/>
      <c r="K2894" s="972"/>
      <c r="L2894" s="972"/>
      <c r="M2894" s="972"/>
    </row>
    <row r="2895" spans="5:13">
      <c r="E2895" s="972"/>
      <c r="F2895" s="972"/>
      <c r="G2895" s="972"/>
      <c r="H2895" s="972"/>
      <c r="I2895" s="972"/>
      <c r="J2895" s="972"/>
      <c r="K2895" s="972"/>
      <c r="L2895" s="972"/>
      <c r="M2895" s="972"/>
    </row>
    <row r="2896" spans="5:13">
      <c r="E2896" s="972"/>
      <c r="F2896" s="972"/>
      <c r="G2896" s="972"/>
      <c r="H2896" s="972"/>
      <c r="I2896" s="972"/>
      <c r="J2896" s="972"/>
      <c r="K2896" s="972"/>
      <c r="L2896" s="972"/>
      <c r="M2896" s="972"/>
    </row>
    <row r="2897" spans="5:13">
      <c r="E2897" s="972"/>
      <c r="F2897" s="972"/>
      <c r="G2897" s="972"/>
      <c r="H2897" s="972"/>
      <c r="I2897" s="972"/>
      <c r="J2897" s="972"/>
      <c r="K2897" s="972"/>
      <c r="L2897" s="972"/>
      <c r="M2897" s="972"/>
    </row>
    <row r="2898" spans="5:13">
      <c r="E2898" s="972"/>
      <c r="F2898" s="972"/>
      <c r="G2898" s="972"/>
      <c r="H2898" s="972"/>
      <c r="I2898" s="972"/>
      <c r="J2898" s="972"/>
      <c r="K2898" s="972"/>
      <c r="L2898" s="972"/>
      <c r="M2898" s="972"/>
    </row>
    <row r="2899" spans="5:13">
      <c r="E2899" s="972"/>
      <c r="F2899" s="972"/>
      <c r="G2899" s="972"/>
      <c r="H2899" s="972"/>
      <c r="I2899" s="972"/>
      <c r="J2899" s="972"/>
      <c r="K2899" s="972"/>
      <c r="L2899" s="972"/>
      <c r="M2899" s="972"/>
    </row>
    <row r="2900" spans="5:13">
      <c r="E2900" s="972"/>
      <c r="F2900" s="972"/>
      <c r="G2900" s="972"/>
      <c r="H2900" s="972"/>
      <c r="I2900" s="972"/>
      <c r="J2900" s="972"/>
      <c r="K2900" s="972"/>
      <c r="L2900" s="972"/>
      <c r="M2900" s="972"/>
    </row>
    <row r="2901" spans="5:13">
      <c r="E2901" s="972"/>
      <c r="F2901" s="972"/>
      <c r="G2901" s="972"/>
      <c r="H2901" s="972"/>
      <c r="I2901" s="972"/>
      <c r="J2901" s="972"/>
      <c r="K2901" s="972"/>
      <c r="L2901" s="972"/>
      <c r="M2901" s="972"/>
    </row>
    <row r="2902" spans="5:13">
      <c r="E2902" s="972"/>
      <c r="F2902" s="972"/>
      <c r="G2902" s="972"/>
      <c r="H2902" s="972"/>
      <c r="I2902" s="972"/>
      <c r="J2902" s="972"/>
      <c r="K2902" s="972"/>
      <c r="L2902" s="972"/>
      <c r="M2902" s="972"/>
    </row>
    <row r="2903" spans="5:13">
      <c r="E2903" s="972"/>
      <c r="F2903" s="972"/>
      <c r="G2903" s="972"/>
      <c r="H2903" s="972"/>
      <c r="I2903" s="972"/>
      <c r="J2903" s="972"/>
      <c r="K2903" s="972"/>
      <c r="L2903" s="972"/>
      <c r="M2903" s="972"/>
    </row>
    <row r="2904" spans="5:13">
      <c r="E2904" s="972"/>
      <c r="F2904" s="972"/>
      <c r="G2904" s="972"/>
      <c r="H2904" s="972"/>
      <c r="I2904" s="972"/>
      <c r="J2904" s="972"/>
      <c r="K2904" s="972"/>
      <c r="L2904" s="972"/>
      <c r="M2904" s="972"/>
    </row>
    <row r="2905" spans="5:13">
      <c r="E2905" s="972"/>
      <c r="F2905" s="972"/>
      <c r="G2905" s="972"/>
      <c r="H2905" s="972"/>
      <c r="I2905" s="972"/>
      <c r="J2905" s="972"/>
      <c r="K2905" s="972"/>
      <c r="L2905" s="972"/>
      <c r="M2905" s="972"/>
    </row>
    <row r="2906" spans="5:13">
      <c r="E2906" s="972"/>
      <c r="F2906" s="972"/>
      <c r="G2906" s="972"/>
      <c r="H2906" s="972"/>
      <c r="I2906" s="972"/>
      <c r="J2906" s="972"/>
      <c r="K2906" s="972"/>
      <c r="L2906" s="972"/>
      <c r="M2906" s="972"/>
    </row>
    <row r="2907" spans="5:13">
      <c r="E2907" s="972"/>
      <c r="F2907" s="972"/>
      <c r="G2907" s="972"/>
      <c r="H2907" s="972"/>
      <c r="I2907" s="972"/>
      <c r="J2907" s="972"/>
      <c r="K2907" s="972"/>
      <c r="L2907" s="972"/>
      <c r="M2907" s="972"/>
    </row>
    <row r="2908" spans="5:13">
      <c r="E2908" s="972"/>
      <c r="F2908" s="972"/>
      <c r="G2908" s="972"/>
      <c r="H2908" s="972"/>
      <c r="I2908" s="972"/>
      <c r="J2908" s="972"/>
      <c r="K2908" s="972"/>
      <c r="L2908" s="972"/>
      <c r="M2908" s="972"/>
    </row>
    <row r="2909" spans="5:13">
      <c r="E2909" s="972"/>
      <c r="F2909" s="972"/>
      <c r="G2909" s="972"/>
      <c r="H2909" s="972"/>
      <c r="I2909" s="972"/>
      <c r="J2909" s="972"/>
      <c r="K2909" s="972"/>
      <c r="L2909" s="972"/>
      <c r="M2909" s="972"/>
    </row>
    <row r="2910" spans="5:13">
      <c r="E2910" s="972"/>
      <c r="F2910" s="972"/>
      <c r="G2910" s="972"/>
      <c r="H2910" s="972"/>
      <c r="I2910" s="972"/>
      <c r="J2910" s="972"/>
      <c r="K2910" s="972"/>
      <c r="L2910" s="972"/>
      <c r="M2910" s="972"/>
    </row>
    <row r="2911" spans="5:13">
      <c r="E2911" s="972"/>
      <c r="F2911" s="972"/>
      <c r="G2911" s="972"/>
      <c r="H2911" s="972"/>
      <c r="I2911" s="972"/>
      <c r="J2911" s="972"/>
      <c r="K2911" s="972"/>
      <c r="L2911" s="972"/>
      <c r="M2911" s="972"/>
    </row>
    <row r="2912" spans="5:13">
      <c r="E2912" s="972"/>
      <c r="F2912" s="972"/>
      <c r="G2912" s="972"/>
      <c r="H2912" s="972"/>
      <c r="I2912" s="972"/>
      <c r="J2912" s="972"/>
      <c r="K2912" s="972"/>
      <c r="L2912" s="972"/>
      <c r="M2912" s="972"/>
    </row>
    <row r="2913" spans="5:13">
      <c r="E2913" s="972"/>
      <c r="F2913" s="972"/>
      <c r="G2913" s="972"/>
      <c r="H2913" s="972"/>
      <c r="I2913" s="972"/>
      <c r="J2913" s="972"/>
      <c r="K2913" s="972"/>
      <c r="L2913" s="972"/>
      <c r="M2913" s="972"/>
    </row>
    <row r="2914" spans="5:13">
      <c r="E2914" s="972"/>
      <c r="F2914" s="972"/>
      <c r="G2914" s="972"/>
      <c r="H2914" s="972"/>
      <c r="I2914" s="972"/>
      <c r="J2914" s="972"/>
      <c r="K2914" s="972"/>
      <c r="L2914" s="972"/>
      <c r="M2914" s="972"/>
    </row>
    <row r="2915" spans="5:13">
      <c r="E2915" s="972"/>
      <c r="F2915" s="972"/>
      <c r="G2915" s="972"/>
      <c r="H2915" s="972"/>
      <c r="I2915" s="972"/>
      <c r="J2915" s="972"/>
      <c r="K2915" s="972"/>
      <c r="L2915" s="972"/>
      <c r="M2915" s="972"/>
    </row>
    <row r="2916" spans="5:13">
      <c r="E2916" s="972"/>
      <c r="F2916" s="972"/>
      <c r="G2916" s="972"/>
      <c r="H2916" s="972"/>
      <c r="I2916" s="972"/>
      <c r="J2916" s="972"/>
      <c r="K2916" s="972"/>
      <c r="L2916" s="972"/>
      <c r="M2916" s="972"/>
    </row>
    <row r="2917" spans="5:13">
      <c r="E2917" s="972"/>
      <c r="F2917" s="972"/>
      <c r="G2917" s="972"/>
      <c r="H2917" s="972"/>
      <c r="I2917" s="972"/>
      <c r="J2917" s="972"/>
      <c r="K2917" s="972"/>
      <c r="L2917" s="972"/>
      <c r="M2917" s="972"/>
    </row>
    <row r="2918" spans="5:13">
      <c r="E2918" s="972"/>
      <c r="F2918" s="972"/>
      <c r="G2918" s="972"/>
      <c r="H2918" s="972"/>
      <c r="I2918" s="972"/>
      <c r="J2918" s="972"/>
      <c r="K2918" s="972"/>
      <c r="L2918" s="972"/>
      <c r="M2918" s="972"/>
    </row>
    <row r="2919" spans="5:13">
      <c r="E2919" s="972"/>
      <c r="F2919" s="972"/>
      <c r="G2919" s="972"/>
      <c r="H2919" s="972"/>
      <c r="I2919" s="972"/>
      <c r="J2919" s="972"/>
      <c r="K2919" s="972"/>
      <c r="L2919" s="972"/>
      <c r="M2919" s="972"/>
    </row>
    <row r="2920" spans="5:13">
      <c r="E2920" s="972"/>
      <c r="F2920" s="972"/>
      <c r="G2920" s="972"/>
      <c r="H2920" s="972"/>
      <c r="I2920" s="972"/>
      <c r="J2920" s="972"/>
      <c r="K2920" s="972"/>
      <c r="L2920" s="972"/>
      <c r="M2920" s="972"/>
    </row>
    <row r="2921" spans="5:13">
      <c r="E2921" s="972"/>
      <c r="F2921" s="972"/>
      <c r="G2921" s="972"/>
      <c r="H2921" s="972"/>
      <c r="I2921" s="972"/>
      <c r="J2921" s="972"/>
      <c r="K2921" s="972"/>
      <c r="L2921" s="972"/>
      <c r="M2921" s="972"/>
    </row>
    <row r="2922" spans="5:13">
      <c r="E2922" s="972"/>
      <c r="F2922" s="972"/>
      <c r="G2922" s="972"/>
      <c r="H2922" s="972"/>
      <c r="I2922" s="972"/>
      <c r="J2922" s="972"/>
      <c r="K2922" s="972"/>
      <c r="L2922" s="972"/>
      <c r="M2922" s="972"/>
    </row>
    <row r="2923" spans="5:13">
      <c r="E2923" s="972"/>
      <c r="F2923" s="972"/>
      <c r="G2923" s="972"/>
      <c r="H2923" s="972"/>
      <c r="I2923" s="972"/>
      <c r="J2923" s="972"/>
      <c r="K2923" s="972"/>
      <c r="L2923" s="972"/>
      <c r="M2923" s="972"/>
    </row>
    <row r="2924" spans="5:13">
      <c r="E2924" s="972"/>
      <c r="F2924" s="972"/>
      <c r="G2924" s="972"/>
      <c r="H2924" s="972"/>
      <c r="I2924" s="972"/>
      <c r="J2924" s="972"/>
      <c r="K2924" s="972"/>
      <c r="L2924" s="972"/>
      <c r="M2924" s="972"/>
    </row>
    <row r="2925" spans="5:13">
      <c r="E2925" s="972"/>
      <c r="F2925" s="972"/>
      <c r="G2925" s="972"/>
      <c r="H2925" s="972"/>
      <c r="I2925" s="972"/>
      <c r="J2925" s="972"/>
      <c r="K2925" s="972"/>
      <c r="L2925" s="972"/>
      <c r="M2925" s="972"/>
    </row>
    <row r="2926" spans="5:13">
      <c r="E2926" s="972"/>
      <c r="F2926" s="972"/>
      <c r="G2926" s="972"/>
      <c r="H2926" s="972"/>
      <c r="I2926" s="972"/>
      <c r="J2926" s="972"/>
      <c r="K2926" s="972"/>
      <c r="L2926" s="972"/>
      <c r="M2926" s="972"/>
    </row>
    <row r="2927" spans="5:13">
      <c r="E2927" s="972"/>
      <c r="F2927" s="972"/>
      <c r="G2927" s="972"/>
      <c r="H2927" s="972"/>
      <c r="I2927" s="972"/>
      <c r="J2927" s="972"/>
      <c r="K2927" s="972"/>
      <c r="L2927" s="972"/>
      <c r="M2927" s="972"/>
    </row>
    <row r="2928" spans="5:13">
      <c r="E2928" s="972"/>
      <c r="F2928" s="972"/>
      <c r="G2928" s="972"/>
      <c r="H2928" s="972"/>
      <c r="I2928" s="972"/>
      <c r="J2928" s="972"/>
      <c r="K2928" s="972"/>
      <c r="L2928" s="972"/>
      <c r="M2928" s="972"/>
    </row>
    <row r="2929" spans="5:13">
      <c r="E2929" s="972"/>
      <c r="F2929" s="972"/>
      <c r="G2929" s="972"/>
      <c r="H2929" s="972"/>
      <c r="I2929" s="972"/>
      <c r="J2929" s="972"/>
      <c r="K2929" s="972"/>
      <c r="L2929" s="972"/>
      <c r="M2929" s="972"/>
    </row>
    <row r="2930" spans="5:13">
      <c r="E2930" s="972"/>
      <c r="F2930" s="972"/>
      <c r="G2930" s="972"/>
      <c r="H2930" s="972"/>
      <c r="I2930" s="972"/>
      <c r="J2930" s="972"/>
      <c r="K2930" s="972"/>
      <c r="L2930" s="972"/>
      <c r="M2930" s="972"/>
    </row>
    <row r="2931" spans="5:13">
      <c r="E2931" s="972"/>
      <c r="F2931" s="972"/>
      <c r="G2931" s="972"/>
      <c r="H2931" s="972"/>
      <c r="I2931" s="972"/>
      <c r="J2931" s="972"/>
      <c r="K2931" s="972"/>
      <c r="L2931" s="972"/>
      <c r="M2931" s="972"/>
    </row>
    <row r="2932" spans="5:13">
      <c r="E2932" s="972"/>
      <c r="F2932" s="972"/>
      <c r="G2932" s="972"/>
      <c r="H2932" s="972"/>
      <c r="I2932" s="972"/>
      <c r="J2932" s="972"/>
      <c r="K2932" s="972"/>
      <c r="L2932" s="972"/>
      <c r="M2932" s="972"/>
    </row>
    <row r="2933" spans="5:13">
      <c r="E2933" s="972"/>
      <c r="F2933" s="972"/>
      <c r="G2933" s="972"/>
      <c r="H2933" s="972"/>
      <c r="I2933" s="972"/>
      <c r="J2933" s="972"/>
      <c r="K2933" s="972"/>
      <c r="L2933" s="972"/>
      <c r="M2933" s="972"/>
    </row>
    <row r="2934" spans="5:13">
      <c r="E2934" s="972"/>
      <c r="F2934" s="972"/>
      <c r="G2934" s="972"/>
      <c r="H2934" s="972"/>
      <c r="I2934" s="972"/>
      <c r="J2934" s="972"/>
      <c r="K2934" s="972"/>
      <c r="L2934" s="972"/>
      <c r="M2934" s="972"/>
    </row>
    <row r="2935" spans="5:13">
      <c r="E2935" s="972"/>
      <c r="F2935" s="972"/>
      <c r="G2935" s="972"/>
      <c r="H2935" s="972"/>
      <c r="I2935" s="972"/>
      <c r="J2935" s="972"/>
      <c r="K2935" s="972"/>
      <c r="L2935" s="972"/>
      <c r="M2935" s="972"/>
    </row>
    <row r="2936" spans="5:13">
      <c r="E2936" s="972"/>
      <c r="F2936" s="972"/>
      <c r="G2936" s="972"/>
      <c r="H2936" s="972"/>
      <c r="I2936" s="972"/>
      <c r="J2936" s="972"/>
      <c r="K2936" s="972"/>
      <c r="L2936" s="972"/>
      <c r="M2936" s="972"/>
    </row>
    <row r="2937" spans="5:13">
      <c r="E2937" s="972"/>
      <c r="F2937" s="972"/>
      <c r="G2937" s="972"/>
      <c r="H2937" s="972"/>
      <c r="I2937" s="972"/>
      <c r="J2937" s="972"/>
      <c r="K2937" s="972"/>
      <c r="L2937" s="972"/>
      <c r="M2937" s="972"/>
    </row>
    <row r="2938" spans="5:13">
      <c r="E2938" s="972"/>
      <c r="F2938" s="972"/>
      <c r="G2938" s="972"/>
      <c r="H2938" s="972"/>
      <c r="I2938" s="972"/>
      <c r="J2938" s="972"/>
      <c r="K2938" s="972"/>
      <c r="L2938" s="972"/>
      <c r="M2938" s="972"/>
    </row>
    <row r="2939" spans="5:13">
      <c r="E2939" s="972"/>
      <c r="F2939" s="972"/>
      <c r="G2939" s="972"/>
      <c r="H2939" s="972"/>
      <c r="I2939" s="972"/>
      <c r="J2939" s="972"/>
      <c r="K2939" s="972"/>
      <c r="L2939" s="972"/>
      <c r="M2939" s="972"/>
    </row>
    <row r="2940" spans="5:13">
      <c r="E2940" s="972"/>
      <c r="F2940" s="972"/>
      <c r="G2940" s="972"/>
      <c r="H2940" s="972"/>
      <c r="I2940" s="972"/>
      <c r="J2940" s="972"/>
      <c r="K2940" s="972"/>
      <c r="L2940" s="972"/>
      <c r="M2940" s="972"/>
    </row>
    <row r="2941" spans="5:13">
      <c r="E2941" s="972"/>
      <c r="F2941" s="972"/>
      <c r="G2941" s="972"/>
      <c r="H2941" s="972"/>
      <c r="I2941" s="972"/>
      <c r="J2941" s="972"/>
      <c r="K2941" s="972"/>
      <c r="L2941" s="972"/>
      <c r="M2941" s="972"/>
    </row>
    <row r="2942" spans="5:13">
      <c r="E2942" s="972"/>
      <c r="F2942" s="972"/>
      <c r="G2942" s="972"/>
      <c r="H2942" s="972"/>
      <c r="I2942" s="972"/>
      <c r="J2942" s="972"/>
      <c r="K2942" s="972"/>
      <c r="L2942" s="972"/>
      <c r="M2942" s="972"/>
    </row>
    <row r="2943" spans="5:13">
      <c r="E2943" s="972"/>
      <c r="F2943" s="972"/>
      <c r="G2943" s="972"/>
      <c r="H2943" s="972"/>
      <c r="I2943" s="972"/>
      <c r="J2943" s="972"/>
      <c r="K2943" s="972"/>
      <c r="L2943" s="972"/>
      <c r="M2943" s="972"/>
    </row>
    <row r="2944" spans="5:13">
      <c r="E2944" s="972"/>
      <c r="F2944" s="972"/>
      <c r="G2944" s="972"/>
      <c r="H2944" s="972"/>
      <c r="I2944" s="972"/>
      <c r="J2944" s="972"/>
      <c r="K2944" s="972"/>
      <c r="L2944" s="972"/>
      <c r="M2944" s="972"/>
    </row>
    <row r="2945" spans="5:13">
      <c r="E2945" s="972"/>
      <c r="F2945" s="972"/>
      <c r="G2945" s="972"/>
      <c r="H2945" s="972"/>
      <c r="I2945" s="972"/>
      <c r="J2945" s="972"/>
      <c r="K2945" s="972"/>
      <c r="L2945" s="972"/>
      <c r="M2945" s="972"/>
    </row>
    <row r="2946" spans="5:13">
      <c r="E2946" s="972"/>
      <c r="F2946" s="972"/>
      <c r="G2946" s="972"/>
      <c r="H2946" s="972"/>
      <c r="I2946" s="972"/>
      <c r="J2946" s="972"/>
      <c r="K2946" s="972"/>
      <c r="L2946" s="972"/>
      <c r="M2946" s="972"/>
    </row>
    <row r="2947" spans="5:13">
      <c r="E2947" s="972"/>
      <c r="F2947" s="972"/>
      <c r="G2947" s="972"/>
      <c r="H2947" s="972"/>
      <c r="I2947" s="972"/>
      <c r="J2947" s="972"/>
      <c r="K2947" s="972"/>
      <c r="L2947" s="972"/>
      <c r="M2947" s="972"/>
    </row>
    <row r="2948" spans="5:13">
      <c r="E2948" s="972"/>
      <c r="F2948" s="972"/>
      <c r="G2948" s="972"/>
      <c r="H2948" s="972"/>
      <c r="I2948" s="972"/>
      <c r="J2948" s="972"/>
      <c r="K2948" s="972"/>
      <c r="L2948" s="972"/>
      <c r="M2948" s="972"/>
    </row>
    <row r="2949" spans="5:13">
      <c r="E2949" s="972"/>
      <c r="F2949" s="972"/>
      <c r="G2949" s="972"/>
      <c r="H2949" s="972"/>
      <c r="I2949" s="972"/>
      <c r="J2949" s="972"/>
      <c r="K2949" s="972"/>
      <c r="L2949" s="972"/>
      <c r="M2949" s="972"/>
    </row>
    <row r="2950" spans="5:13">
      <c r="E2950" s="972"/>
      <c r="F2950" s="972"/>
      <c r="G2950" s="972"/>
      <c r="H2950" s="972"/>
      <c r="I2950" s="972"/>
      <c r="J2950" s="972"/>
      <c r="K2950" s="972"/>
      <c r="L2950" s="972"/>
      <c r="M2950" s="972"/>
    </row>
    <row r="2951" spans="5:13">
      <c r="E2951" s="972"/>
      <c r="F2951" s="972"/>
      <c r="G2951" s="972"/>
      <c r="H2951" s="972"/>
      <c r="I2951" s="972"/>
      <c r="J2951" s="972"/>
      <c r="K2951" s="972"/>
      <c r="L2951" s="972"/>
      <c r="M2951" s="972"/>
    </row>
    <row r="2952" spans="5:13">
      <c r="E2952" s="972"/>
      <c r="F2952" s="972"/>
      <c r="G2952" s="972"/>
      <c r="H2952" s="972"/>
      <c r="I2952" s="972"/>
      <c r="J2952" s="972"/>
      <c r="K2952" s="972"/>
      <c r="L2952" s="972"/>
      <c r="M2952" s="972"/>
    </row>
    <row r="2953" spans="5:13">
      <c r="E2953" s="972"/>
      <c r="F2953" s="972"/>
      <c r="G2953" s="972"/>
      <c r="H2953" s="972"/>
      <c r="I2953" s="972"/>
      <c r="J2953" s="972"/>
      <c r="K2953" s="972"/>
      <c r="L2953" s="972"/>
      <c r="M2953" s="972"/>
    </row>
    <row r="2954" spans="5:13">
      <c r="E2954" s="972"/>
      <c r="F2954" s="972"/>
      <c r="G2954" s="972"/>
      <c r="H2954" s="972"/>
      <c r="I2954" s="972"/>
      <c r="J2954" s="972"/>
      <c r="K2954" s="972"/>
      <c r="L2954" s="972"/>
      <c r="M2954" s="972"/>
    </row>
    <row r="2955" spans="5:13">
      <c r="E2955" s="972"/>
      <c r="F2955" s="972"/>
      <c r="G2955" s="972"/>
      <c r="H2955" s="972"/>
      <c r="I2955" s="972"/>
      <c r="J2955" s="972"/>
      <c r="K2955" s="972"/>
      <c r="L2955" s="972"/>
      <c r="M2955" s="972"/>
    </row>
    <row r="2956" spans="5:13">
      <c r="E2956" s="972"/>
      <c r="F2956" s="972"/>
      <c r="G2956" s="972"/>
      <c r="H2956" s="972"/>
      <c r="I2956" s="972"/>
      <c r="J2956" s="972"/>
      <c r="K2956" s="972"/>
      <c r="L2956" s="972"/>
      <c r="M2956" s="972"/>
    </row>
    <row r="2957" spans="5:13">
      <c r="E2957" s="972"/>
      <c r="F2957" s="972"/>
      <c r="G2957" s="972"/>
      <c r="H2957" s="972"/>
      <c r="I2957" s="972"/>
      <c r="J2957" s="972"/>
      <c r="K2957" s="972"/>
      <c r="L2957" s="972"/>
      <c r="M2957" s="972"/>
    </row>
    <row r="2958" spans="5:13">
      <c r="E2958" s="972"/>
      <c r="F2958" s="972"/>
      <c r="G2958" s="972"/>
      <c r="H2958" s="972"/>
      <c r="I2958" s="972"/>
      <c r="J2958" s="972"/>
      <c r="K2958" s="972"/>
      <c r="L2958" s="972"/>
      <c r="M2958" s="972"/>
    </row>
    <row r="2959" spans="5:13">
      <c r="E2959" s="972"/>
      <c r="F2959" s="972"/>
      <c r="G2959" s="972"/>
      <c r="H2959" s="972"/>
      <c r="I2959" s="972"/>
      <c r="J2959" s="972"/>
      <c r="K2959" s="972"/>
      <c r="L2959" s="972"/>
      <c r="M2959" s="972"/>
    </row>
    <row r="2960" spans="5:13">
      <c r="E2960" s="972"/>
      <c r="F2960" s="972"/>
      <c r="G2960" s="972"/>
      <c r="H2960" s="972"/>
      <c r="I2960" s="972"/>
      <c r="J2960" s="972"/>
      <c r="K2960" s="972"/>
      <c r="L2960" s="972"/>
      <c r="M2960" s="972"/>
    </row>
    <row r="2961" spans="5:13">
      <c r="E2961" s="972"/>
      <c r="F2961" s="972"/>
      <c r="G2961" s="972"/>
      <c r="H2961" s="972"/>
      <c r="I2961" s="972"/>
      <c r="J2961" s="972"/>
      <c r="K2961" s="972"/>
      <c r="L2961" s="972"/>
      <c r="M2961" s="972"/>
    </row>
    <row r="2962" spans="5:13">
      <c r="E2962" s="972"/>
      <c r="F2962" s="972"/>
      <c r="G2962" s="972"/>
      <c r="H2962" s="972"/>
      <c r="I2962" s="972"/>
      <c r="J2962" s="972"/>
      <c r="K2962" s="972"/>
      <c r="L2962" s="972"/>
      <c r="M2962" s="972"/>
    </row>
    <row r="2963" spans="5:13">
      <c r="E2963" s="972"/>
      <c r="F2963" s="972"/>
      <c r="G2963" s="972"/>
      <c r="H2963" s="972"/>
      <c r="I2963" s="972"/>
      <c r="J2963" s="972"/>
      <c r="K2963" s="972"/>
      <c r="L2963" s="972"/>
      <c r="M2963" s="972"/>
    </row>
    <row r="2964" spans="5:13">
      <c r="E2964" s="972"/>
      <c r="F2964" s="972"/>
      <c r="G2964" s="972"/>
      <c r="H2964" s="972"/>
      <c r="I2964" s="972"/>
      <c r="J2964" s="972"/>
      <c r="K2964" s="972"/>
      <c r="L2964" s="972"/>
      <c r="M2964" s="972"/>
    </row>
    <row r="2965" spans="5:13">
      <c r="E2965" s="972"/>
      <c r="F2965" s="972"/>
      <c r="G2965" s="972"/>
      <c r="H2965" s="972"/>
      <c r="I2965" s="972"/>
      <c r="J2965" s="972"/>
      <c r="K2965" s="972"/>
      <c r="L2965" s="972"/>
      <c r="M2965" s="972"/>
    </row>
    <row r="2966" spans="5:13">
      <c r="E2966" s="972"/>
      <c r="F2966" s="972"/>
      <c r="G2966" s="972"/>
      <c r="H2966" s="972"/>
      <c r="I2966" s="972"/>
      <c r="J2966" s="972"/>
      <c r="K2966" s="972"/>
      <c r="L2966" s="972"/>
      <c r="M2966" s="972"/>
    </row>
    <row r="2967" spans="5:13">
      <c r="E2967" s="972"/>
      <c r="F2967" s="972"/>
      <c r="G2967" s="972"/>
      <c r="H2967" s="972"/>
      <c r="I2967" s="972"/>
      <c r="J2967" s="972"/>
      <c r="K2967" s="972"/>
      <c r="L2967" s="972"/>
      <c r="M2967" s="972"/>
    </row>
    <row r="2968" spans="5:13">
      <c r="E2968" s="972"/>
      <c r="F2968" s="972"/>
      <c r="G2968" s="972"/>
      <c r="H2968" s="972"/>
      <c r="I2968" s="972"/>
      <c r="J2968" s="972"/>
      <c r="K2968" s="972"/>
      <c r="L2968" s="972"/>
      <c r="M2968" s="972"/>
    </row>
    <row r="2969" spans="5:13">
      <c r="E2969" s="972"/>
      <c r="F2969" s="972"/>
      <c r="G2969" s="972"/>
      <c r="H2969" s="972"/>
      <c r="I2969" s="972"/>
      <c r="J2969" s="972"/>
      <c r="K2969" s="972"/>
      <c r="L2969" s="972"/>
      <c r="M2969" s="972"/>
    </row>
    <row r="2970" spans="5:13">
      <c r="E2970" s="972"/>
      <c r="F2970" s="972"/>
      <c r="G2970" s="972"/>
      <c r="H2970" s="972"/>
      <c r="I2970" s="972"/>
      <c r="J2970" s="972"/>
      <c r="K2970" s="972"/>
      <c r="L2970" s="972"/>
      <c r="M2970" s="972"/>
    </row>
    <row r="2971" spans="5:13">
      <c r="E2971" s="972"/>
      <c r="F2971" s="972"/>
      <c r="G2971" s="972"/>
      <c r="H2971" s="972"/>
      <c r="I2971" s="972"/>
      <c r="J2971" s="972"/>
      <c r="K2971" s="972"/>
      <c r="L2971" s="972"/>
      <c r="M2971" s="972"/>
    </row>
    <row r="2972" spans="5:13">
      <c r="E2972" s="972"/>
      <c r="F2972" s="972"/>
      <c r="G2972" s="972"/>
      <c r="H2972" s="972"/>
      <c r="I2972" s="972"/>
      <c r="J2972" s="972"/>
      <c r="K2972" s="972"/>
      <c r="L2972" s="972"/>
      <c r="M2972" s="972"/>
    </row>
    <row r="2973" spans="5:13">
      <c r="E2973" s="972"/>
      <c r="F2973" s="972"/>
      <c r="G2973" s="972"/>
      <c r="H2973" s="972"/>
      <c r="I2973" s="972"/>
      <c r="J2973" s="972"/>
      <c r="K2973" s="972"/>
      <c r="L2973" s="972"/>
      <c r="M2973" s="972"/>
    </row>
    <row r="2974" spans="5:13">
      <c r="E2974" s="972"/>
      <c r="F2974" s="972"/>
      <c r="G2974" s="972"/>
      <c r="H2974" s="972"/>
      <c r="I2974" s="972"/>
      <c r="J2974" s="972"/>
      <c r="K2974" s="972"/>
      <c r="L2974" s="972"/>
      <c r="M2974" s="972"/>
    </row>
    <row r="2975" spans="5:13">
      <c r="E2975" s="972"/>
      <c r="F2975" s="972"/>
      <c r="G2975" s="972"/>
      <c r="H2975" s="972"/>
      <c r="I2975" s="972"/>
      <c r="J2975" s="972"/>
      <c r="K2975" s="972"/>
      <c r="L2975" s="972"/>
      <c r="M2975" s="972"/>
    </row>
    <row r="2976" spans="5:13">
      <c r="E2976" s="972"/>
      <c r="F2976" s="972"/>
      <c r="G2976" s="972"/>
      <c r="H2976" s="972"/>
      <c r="I2976" s="972"/>
      <c r="J2976" s="972"/>
      <c r="K2976" s="972"/>
      <c r="L2976" s="972"/>
      <c r="M2976" s="972"/>
    </row>
    <row r="2977" spans="5:13">
      <c r="E2977" s="972"/>
      <c r="F2977" s="972"/>
      <c r="G2977" s="972"/>
      <c r="H2977" s="972"/>
      <c r="I2977" s="972"/>
      <c r="J2977" s="972"/>
      <c r="K2977" s="972"/>
      <c r="L2977" s="972"/>
      <c r="M2977" s="972"/>
    </row>
    <row r="2978" spans="5:13">
      <c r="E2978" s="972"/>
      <c r="F2978" s="972"/>
      <c r="G2978" s="972"/>
      <c r="H2978" s="972"/>
      <c r="I2978" s="972"/>
      <c r="J2978" s="972"/>
      <c r="K2978" s="972"/>
      <c r="L2978" s="972"/>
      <c r="M2978" s="972"/>
    </row>
    <row r="2979" spans="5:13">
      <c r="E2979" s="972"/>
      <c r="F2979" s="972"/>
      <c r="G2979" s="972"/>
      <c r="H2979" s="972"/>
      <c r="I2979" s="972"/>
      <c r="J2979" s="972"/>
      <c r="K2979" s="972"/>
      <c r="L2979" s="972"/>
      <c r="M2979" s="972"/>
    </row>
    <row r="2980" spans="5:13">
      <c r="E2980" s="972"/>
      <c r="F2980" s="972"/>
      <c r="G2980" s="972"/>
      <c r="H2980" s="972"/>
      <c r="I2980" s="972"/>
      <c r="J2980" s="972"/>
      <c r="K2980" s="972"/>
      <c r="L2980" s="972"/>
      <c r="M2980" s="972"/>
    </row>
    <row r="2981" spans="5:13">
      <c r="E2981" s="972"/>
      <c r="F2981" s="972"/>
      <c r="G2981" s="972"/>
      <c r="H2981" s="972"/>
      <c r="I2981" s="972"/>
      <c r="J2981" s="972"/>
      <c r="K2981" s="972"/>
      <c r="L2981" s="972"/>
      <c r="M2981" s="972"/>
    </row>
    <row r="2982" spans="5:13">
      <c r="E2982" s="972"/>
      <c r="F2982" s="972"/>
      <c r="G2982" s="972"/>
      <c r="H2982" s="972"/>
      <c r="I2982" s="972"/>
      <c r="J2982" s="972"/>
      <c r="K2982" s="972"/>
      <c r="L2982" s="972"/>
      <c r="M2982" s="972"/>
    </row>
    <row r="2983" spans="5:13">
      <c r="E2983" s="972"/>
      <c r="F2983" s="972"/>
      <c r="G2983" s="972"/>
      <c r="H2983" s="972"/>
      <c r="I2983" s="972"/>
      <c r="J2983" s="972"/>
      <c r="K2983" s="972"/>
      <c r="L2983" s="972"/>
      <c r="M2983" s="972"/>
    </row>
    <row r="2984" spans="5:13">
      <c r="E2984" s="972"/>
      <c r="F2984" s="972"/>
      <c r="G2984" s="972"/>
      <c r="H2984" s="972"/>
      <c r="I2984" s="972"/>
      <c r="J2984" s="972"/>
      <c r="K2984" s="972"/>
      <c r="L2984" s="972"/>
      <c r="M2984" s="972"/>
    </row>
    <row r="2985" spans="5:13">
      <c r="E2985" s="972"/>
      <c r="F2985" s="972"/>
      <c r="G2985" s="972"/>
      <c r="H2985" s="972"/>
      <c r="I2985" s="972"/>
      <c r="J2985" s="972"/>
      <c r="K2985" s="972"/>
      <c r="L2985" s="972"/>
      <c r="M2985" s="972"/>
    </row>
    <row r="2986" spans="5:13">
      <c r="E2986" s="972"/>
      <c r="F2986" s="972"/>
      <c r="G2986" s="972"/>
      <c r="H2986" s="972"/>
      <c r="I2986" s="972"/>
      <c r="J2986" s="972"/>
      <c r="K2986" s="972"/>
      <c r="L2986" s="972"/>
      <c r="M2986" s="972"/>
    </row>
    <row r="2987" spans="5:13">
      <c r="E2987" s="972"/>
      <c r="F2987" s="972"/>
      <c r="G2987" s="972"/>
      <c r="H2987" s="972"/>
      <c r="I2987" s="972"/>
      <c r="J2987" s="972"/>
      <c r="K2987" s="972"/>
      <c r="L2987" s="972"/>
      <c r="M2987" s="972"/>
    </row>
    <row r="2988" spans="5:13">
      <c r="E2988" s="972"/>
      <c r="F2988" s="972"/>
      <c r="G2988" s="972"/>
      <c r="H2988" s="972"/>
      <c r="I2988" s="972"/>
      <c r="J2988" s="972"/>
      <c r="K2988" s="972"/>
      <c r="L2988" s="972"/>
      <c r="M2988" s="972"/>
    </row>
    <row r="2989" spans="5:13">
      <c r="E2989" s="972"/>
      <c r="F2989" s="972"/>
      <c r="G2989" s="972"/>
      <c r="H2989" s="972"/>
      <c r="I2989" s="972"/>
      <c r="J2989" s="972"/>
      <c r="K2989" s="972"/>
      <c r="L2989" s="972"/>
      <c r="M2989" s="972"/>
    </row>
    <row r="2990" spans="5:13">
      <c r="E2990" s="972"/>
      <c r="F2990" s="972"/>
      <c r="G2990" s="972"/>
      <c r="H2990" s="972"/>
      <c r="I2990" s="972"/>
      <c r="J2990" s="972"/>
      <c r="K2990" s="972"/>
      <c r="L2990" s="972"/>
      <c r="M2990" s="972"/>
    </row>
    <row r="2991" spans="5:13">
      <c r="E2991" s="972"/>
      <c r="F2991" s="972"/>
      <c r="G2991" s="972"/>
      <c r="H2991" s="972"/>
      <c r="I2991" s="972"/>
      <c r="J2991" s="972"/>
      <c r="K2991" s="972"/>
      <c r="L2991" s="972"/>
      <c r="M2991" s="972"/>
    </row>
    <row r="2992" spans="5:13">
      <c r="E2992" s="972"/>
      <c r="F2992" s="972"/>
      <c r="G2992" s="972"/>
      <c r="H2992" s="972"/>
      <c r="I2992" s="972"/>
      <c r="J2992" s="972"/>
      <c r="K2992" s="972"/>
      <c r="L2992" s="972"/>
      <c r="M2992" s="972"/>
    </row>
    <row r="2993" spans="5:13">
      <c r="E2993" s="972"/>
      <c r="F2993" s="972"/>
      <c r="G2993" s="972"/>
      <c r="H2993" s="972"/>
      <c r="I2993" s="972"/>
      <c r="J2993" s="972"/>
      <c r="K2993" s="972"/>
      <c r="L2993" s="972"/>
      <c r="M2993" s="972"/>
    </row>
    <row r="2994" spans="5:13">
      <c r="E2994" s="972"/>
      <c r="F2994" s="972"/>
      <c r="G2994" s="972"/>
      <c r="H2994" s="972"/>
      <c r="I2994" s="972"/>
      <c r="J2994" s="972"/>
      <c r="K2994" s="972"/>
      <c r="L2994" s="972"/>
      <c r="M2994" s="972"/>
    </row>
    <row r="2995" spans="5:13">
      <c r="E2995" s="972"/>
      <c r="F2995" s="972"/>
      <c r="G2995" s="972"/>
      <c r="H2995" s="972"/>
      <c r="I2995" s="972"/>
      <c r="J2995" s="972"/>
      <c r="K2995" s="972"/>
      <c r="L2995" s="972"/>
      <c r="M2995" s="972"/>
    </row>
    <row r="2996" spans="5:13">
      <c r="E2996" s="972"/>
      <c r="F2996" s="972"/>
      <c r="G2996" s="972"/>
      <c r="H2996" s="972"/>
      <c r="I2996" s="972"/>
      <c r="J2996" s="972"/>
      <c r="K2996" s="972"/>
      <c r="L2996" s="972"/>
      <c r="M2996" s="972"/>
    </row>
    <row r="2997" spans="5:13">
      <c r="E2997" s="972"/>
      <c r="F2997" s="972"/>
      <c r="G2997" s="972"/>
      <c r="H2997" s="972"/>
      <c r="I2997" s="972"/>
      <c r="J2997" s="972"/>
      <c r="K2997" s="972"/>
      <c r="L2997" s="972"/>
      <c r="M2997" s="972"/>
    </row>
    <row r="2998" spans="5:13">
      <c r="E2998" s="972"/>
      <c r="F2998" s="972"/>
      <c r="G2998" s="972"/>
      <c r="H2998" s="972"/>
      <c r="I2998" s="972"/>
      <c r="J2998" s="972"/>
      <c r="K2998" s="972"/>
      <c r="L2998" s="972"/>
      <c r="M2998" s="972"/>
    </row>
    <row r="2999" spans="5:13">
      <c r="E2999" s="972"/>
      <c r="F2999" s="972"/>
      <c r="G2999" s="972"/>
      <c r="H2999" s="972"/>
      <c r="I2999" s="972"/>
      <c r="J2999" s="972"/>
      <c r="K2999" s="972"/>
      <c r="L2999" s="972"/>
      <c r="M2999" s="972"/>
    </row>
    <row r="3000" spans="5:13">
      <c r="E3000" s="972"/>
      <c r="F3000" s="972"/>
      <c r="G3000" s="972"/>
      <c r="H3000" s="972"/>
      <c r="I3000" s="972"/>
      <c r="J3000" s="972"/>
      <c r="K3000" s="972"/>
      <c r="L3000" s="972"/>
      <c r="M3000" s="972"/>
    </row>
    <row r="3001" spans="5:13">
      <c r="E3001" s="972"/>
      <c r="F3001" s="972"/>
      <c r="G3001" s="972"/>
      <c r="H3001" s="972"/>
      <c r="I3001" s="972"/>
      <c r="J3001" s="972"/>
      <c r="K3001" s="972"/>
      <c r="L3001" s="972"/>
      <c r="M3001" s="972"/>
    </row>
    <row r="3002" spans="5:13">
      <c r="E3002" s="972"/>
      <c r="F3002" s="972"/>
      <c r="G3002" s="972"/>
      <c r="H3002" s="972"/>
      <c r="I3002" s="972"/>
      <c r="J3002" s="972"/>
      <c r="K3002" s="972"/>
      <c r="L3002" s="972"/>
      <c r="M3002" s="972"/>
    </row>
    <row r="3003" spans="5:13">
      <c r="E3003" s="972"/>
      <c r="F3003" s="972"/>
      <c r="G3003" s="972"/>
      <c r="H3003" s="972"/>
      <c r="I3003" s="972"/>
      <c r="J3003" s="972"/>
      <c r="K3003" s="972"/>
      <c r="L3003" s="972"/>
      <c r="M3003" s="972"/>
    </row>
    <row r="3004" spans="5:13">
      <c r="E3004" s="972"/>
      <c r="F3004" s="972"/>
      <c r="G3004" s="972"/>
      <c r="H3004" s="972"/>
      <c r="I3004" s="972"/>
      <c r="J3004" s="972"/>
      <c r="K3004" s="972"/>
      <c r="L3004" s="972"/>
      <c r="M3004" s="972"/>
    </row>
    <row r="3005" spans="5:13">
      <c r="E3005" s="972"/>
      <c r="F3005" s="972"/>
      <c r="G3005" s="972"/>
      <c r="H3005" s="972"/>
      <c r="I3005" s="972"/>
      <c r="J3005" s="972"/>
      <c r="K3005" s="972"/>
      <c r="L3005" s="972"/>
      <c r="M3005" s="972"/>
    </row>
    <row r="3006" spans="5:13">
      <c r="E3006" s="972"/>
      <c r="F3006" s="972"/>
      <c r="G3006" s="972"/>
      <c r="H3006" s="972"/>
      <c r="I3006" s="972"/>
      <c r="J3006" s="972"/>
      <c r="K3006" s="972"/>
      <c r="L3006" s="972"/>
      <c r="M3006" s="972"/>
    </row>
    <row r="3007" spans="5:13">
      <c r="E3007" s="972"/>
      <c r="F3007" s="972"/>
      <c r="G3007" s="972"/>
      <c r="H3007" s="972"/>
      <c r="I3007" s="972"/>
      <c r="J3007" s="972"/>
      <c r="K3007" s="972"/>
      <c r="L3007" s="972"/>
      <c r="M3007" s="972"/>
    </row>
    <row r="3008" spans="5:13">
      <c r="E3008" s="972"/>
      <c r="F3008" s="972"/>
      <c r="G3008" s="972"/>
      <c r="H3008" s="972"/>
      <c r="I3008" s="972"/>
      <c r="J3008" s="972"/>
      <c r="K3008" s="972"/>
      <c r="L3008" s="972"/>
      <c r="M3008" s="972"/>
    </row>
    <row r="3009" spans="5:13">
      <c r="E3009" s="972"/>
      <c r="F3009" s="972"/>
      <c r="G3009" s="972"/>
      <c r="H3009" s="972"/>
      <c r="I3009" s="972"/>
      <c r="J3009" s="972"/>
      <c r="K3009" s="972"/>
      <c r="L3009" s="972"/>
      <c r="M3009" s="972"/>
    </row>
    <row r="3010" spans="5:13">
      <c r="E3010" s="972"/>
      <c r="F3010" s="972"/>
      <c r="G3010" s="972"/>
      <c r="H3010" s="972"/>
      <c r="I3010" s="972"/>
      <c r="J3010" s="972"/>
      <c r="K3010" s="972"/>
      <c r="L3010" s="972"/>
      <c r="M3010" s="972"/>
    </row>
    <row r="3011" spans="5:13">
      <c r="E3011" s="972"/>
      <c r="F3011" s="972"/>
      <c r="G3011" s="972"/>
      <c r="H3011" s="972"/>
      <c r="I3011" s="972"/>
      <c r="J3011" s="972"/>
      <c r="K3011" s="972"/>
      <c r="L3011" s="972"/>
      <c r="M3011" s="972"/>
    </row>
    <row r="3012" spans="5:13">
      <c r="E3012" s="972"/>
      <c r="F3012" s="972"/>
      <c r="G3012" s="972"/>
      <c r="H3012" s="972"/>
      <c r="I3012" s="972"/>
      <c r="J3012" s="972"/>
      <c r="K3012" s="972"/>
      <c r="L3012" s="972"/>
      <c r="M3012" s="972"/>
    </row>
    <row r="3013" spans="5:13">
      <c r="E3013" s="972"/>
      <c r="F3013" s="972"/>
      <c r="G3013" s="972"/>
      <c r="H3013" s="972"/>
      <c r="I3013" s="972"/>
      <c r="J3013" s="972"/>
      <c r="K3013" s="972"/>
      <c r="L3013" s="972"/>
      <c r="M3013" s="972"/>
    </row>
    <row r="3014" spans="5:13">
      <c r="E3014" s="972"/>
      <c r="F3014" s="972"/>
      <c r="G3014" s="972"/>
      <c r="H3014" s="972"/>
      <c r="I3014" s="972"/>
      <c r="J3014" s="972"/>
      <c r="K3014" s="972"/>
      <c r="L3014" s="972"/>
      <c r="M3014" s="972"/>
    </row>
    <row r="3015" spans="5:13">
      <c r="E3015" s="972"/>
      <c r="F3015" s="972"/>
      <c r="G3015" s="972"/>
      <c r="H3015" s="972"/>
      <c r="I3015" s="972"/>
      <c r="J3015" s="972"/>
      <c r="K3015" s="972"/>
      <c r="L3015" s="972"/>
      <c r="M3015" s="972"/>
    </row>
    <row r="3016" spans="5:13">
      <c r="E3016" s="972"/>
      <c r="F3016" s="972"/>
      <c r="G3016" s="972"/>
      <c r="H3016" s="972"/>
      <c r="I3016" s="972"/>
      <c r="J3016" s="972"/>
      <c r="K3016" s="972"/>
      <c r="L3016" s="972"/>
      <c r="M3016" s="972"/>
    </row>
    <row r="3017" spans="5:13">
      <c r="E3017" s="972"/>
      <c r="F3017" s="972"/>
      <c r="G3017" s="972"/>
      <c r="H3017" s="972"/>
      <c r="I3017" s="972"/>
      <c r="J3017" s="972"/>
      <c r="K3017" s="972"/>
      <c r="L3017" s="972"/>
      <c r="M3017" s="972"/>
    </row>
    <row r="3018" spans="5:13">
      <c r="E3018" s="972"/>
      <c r="F3018" s="972"/>
      <c r="G3018" s="972"/>
      <c r="H3018" s="972"/>
      <c r="I3018" s="972"/>
      <c r="J3018" s="972"/>
      <c r="K3018" s="972"/>
      <c r="L3018" s="972"/>
      <c r="M3018" s="972"/>
    </row>
    <row r="3019" spans="5:13">
      <c r="E3019" s="972"/>
      <c r="F3019" s="972"/>
      <c r="G3019" s="972"/>
      <c r="H3019" s="972"/>
      <c r="I3019" s="972"/>
      <c r="J3019" s="972"/>
      <c r="K3019" s="972"/>
      <c r="L3019" s="972"/>
      <c r="M3019" s="972"/>
    </row>
    <row r="3020" spans="5:13">
      <c r="E3020" s="972"/>
      <c r="F3020" s="972"/>
      <c r="G3020" s="972"/>
      <c r="H3020" s="972"/>
      <c r="I3020" s="972"/>
      <c r="J3020" s="972"/>
      <c r="K3020" s="972"/>
      <c r="L3020" s="972"/>
      <c r="M3020" s="972"/>
    </row>
    <row r="3021" spans="5:13">
      <c r="E3021" s="972"/>
      <c r="F3021" s="972"/>
      <c r="G3021" s="972"/>
      <c r="H3021" s="972"/>
      <c r="I3021" s="972"/>
      <c r="J3021" s="972"/>
      <c r="K3021" s="972"/>
      <c r="L3021" s="972"/>
      <c r="M3021" s="972"/>
    </row>
    <row r="3022" spans="5:13">
      <c r="E3022" s="972"/>
      <c r="F3022" s="972"/>
      <c r="G3022" s="972"/>
      <c r="H3022" s="972"/>
      <c r="I3022" s="972"/>
      <c r="J3022" s="972"/>
      <c r="K3022" s="972"/>
      <c r="L3022" s="972"/>
      <c r="M3022" s="972"/>
    </row>
    <row r="3023" spans="5:13">
      <c r="E3023" s="972"/>
      <c r="F3023" s="972"/>
      <c r="G3023" s="972"/>
      <c r="H3023" s="972"/>
      <c r="I3023" s="972"/>
      <c r="J3023" s="972"/>
      <c r="K3023" s="972"/>
      <c r="L3023" s="972"/>
      <c r="M3023" s="972"/>
    </row>
    <row r="3024" spans="5:13">
      <c r="E3024" s="972"/>
      <c r="F3024" s="972"/>
      <c r="G3024" s="972"/>
      <c r="H3024" s="972"/>
      <c r="I3024" s="972"/>
      <c r="J3024" s="972"/>
      <c r="K3024" s="972"/>
      <c r="L3024" s="972"/>
      <c r="M3024" s="972"/>
    </row>
    <row r="3025" spans="5:13">
      <c r="E3025" s="972"/>
      <c r="F3025" s="972"/>
      <c r="G3025" s="972"/>
      <c r="H3025" s="972"/>
      <c r="I3025" s="972"/>
      <c r="J3025" s="972"/>
      <c r="K3025" s="972"/>
      <c r="L3025" s="972"/>
      <c r="M3025" s="972"/>
    </row>
    <row r="3026" spans="5:13">
      <c r="E3026" s="972"/>
      <c r="F3026" s="972"/>
      <c r="G3026" s="972"/>
      <c r="H3026" s="972"/>
      <c r="I3026" s="972"/>
      <c r="J3026" s="972"/>
      <c r="K3026" s="972"/>
      <c r="L3026" s="972"/>
      <c r="M3026" s="972"/>
    </row>
    <row r="3027" spans="5:13">
      <c r="E3027" s="972"/>
      <c r="F3027" s="972"/>
      <c r="G3027" s="972"/>
      <c r="H3027" s="972"/>
      <c r="I3027" s="972"/>
      <c r="J3027" s="972"/>
      <c r="K3027" s="972"/>
      <c r="L3027" s="972"/>
      <c r="M3027" s="972"/>
    </row>
    <row r="3028" spans="5:13">
      <c r="E3028" s="972"/>
      <c r="F3028" s="972"/>
      <c r="G3028" s="972"/>
      <c r="H3028" s="972"/>
      <c r="I3028" s="972"/>
      <c r="J3028" s="972"/>
      <c r="K3028" s="972"/>
      <c r="L3028" s="972"/>
      <c r="M3028" s="972"/>
    </row>
    <row r="3029" spans="5:13">
      <c r="E3029" s="972"/>
      <c r="F3029" s="972"/>
      <c r="G3029" s="972"/>
      <c r="H3029" s="972"/>
      <c r="I3029" s="972"/>
      <c r="J3029" s="972"/>
      <c r="K3029" s="972"/>
      <c r="L3029" s="972"/>
      <c r="M3029" s="972"/>
    </row>
    <row r="3030" spans="5:13">
      <c r="E3030" s="972"/>
      <c r="F3030" s="972"/>
      <c r="G3030" s="972"/>
      <c r="H3030" s="972"/>
      <c r="I3030" s="972"/>
      <c r="J3030" s="972"/>
      <c r="K3030" s="972"/>
      <c r="L3030" s="972"/>
      <c r="M3030" s="972"/>
    </row>
    <row r="3031" spans="5:13">
      <c r="E3031" s="972"/>
      <c r="F3031" s="972"/>
      <c r="G3031" s="972"/>
      <c r="H3031" s="972"/>
      <c r="I3031" s="972"/>
      <c r="J3031" s="972"/>
      <c r="K3031" s="972"/>
      <c r="L3031" s="972"/>
      <c r="M3031" s="972"/>
    </row>
    <row r="3032" spans="5:13">
      <c r="E3032" s="972"/>
      <c r="F3032" s="972"/>
      <c r="G3032" s="972"/>
      <c r="H3032" s="972"/>
      <c r="I3032" s="972"/>
      <c r="J3032" s="972"/>
      <c r="K3032" s="972"/>
      <c r="L3032" s="972"/>
      <c r="M3032" s="972"/>
    </row>
    <row r="3033" spans="5:13">
      <c r="E3033" s="972"/>
      <c r="F3033" s="972"/>
      <c r="G3033" s="972"/>
      <c r="H3033" s="972"/>
      <c r="I3033" s="972"/>
      <c r="J3033" s="972"/>
      <c r="K3033" s="972"/>
      <c r="L3033" s="972"/>
      <c r="M3033" s="972"/>
    </row>
    <row r="3034" spans="5:13">
      <c r="E3034" s="972"/>
      <c r="F3034" s="972"/>
      <c r="G3034" s="972"/>
      <c r="H3034" s="972"/>
      <c r="I3034" s="972"/>
      <c r="J3034" s="972"/>
      <c r="K3034" s="972"/>
      <c r="L3034" s="972"/>
      <c r="M3034" s="972"/>
    </row>
    <row r="3035" spans="5:13">
      <c r="E3035" s="972"/>
      <c r="F3035" s="972"/>
      <c r="G3035" s="972"/>
      <c r="H3035" s="972"/>
      <c r="I3035" s="972"/>
      <c r="J3035" s="972"/>
      <c r="K3035" s="972"/>
      <c r="L3035" s="972"/>
      <c r="M3035" s="972"/>
    </row>
    <row r="3036" spans="5:13">
      <c r="E3036" s="972"/>
      <c r="F3036" s="972"/>
      <c r="G3036" s="972"/>
      <c r="H3036" s="972"/>
      <c r="I3036" s="972"/>
      <c r="J3036" s="972"/>
      <c r="K3036" s="972"/>
      <c r="L3036" s="972"/>
      <c r="M3036" s="972"/>
    </row>
    <row r="3037" spans="5:13">
      <c r="E3037" s="972"/>
      <c r="F3037" s="972"/>
      <c r="G3037" s="972"/>
      <c r="H3037" s="972"/>
      <c r="I3037" s="972"/>
      <c r="J3037" s="972"/>
      <c r="K3037" s="972"/>
      <c r="L3037" s="972"/>
      <c r="M3037" s="972"/>
    </row>
    <row r="3038" spans="5:13">
      <c r="E3038" s="972"/>
      <c r="F3038" s="972"/>
      <c r="G3038" s="972"/>
      <c r="H3038" s="972"/>
      <c r="I3038" s="972"/>
      <c r="J3038" s="972"/>
      <c r="K3038" s="972"/>
      <c r="L3038" s="972"/>
      <c r="M3038" s="972"/>
    </row>
    <row r="3039" spans="5:13">
      <c r="E3039" s="972"/>
      <c r="F3039" s="972"/>
      <c r="G3039" s="972"/>
      <c r="H3039" s="972"/>
      <c r="I3039" s="972"/>
      <c r="J3039" s="972"/>
      <c r="K3039" s="972"/>
      <c r="L3039" s="972"/>
      <c r="M3039" s="972"/>
    </row>
    <row r="3040" spans="5:13">
      <c r="E3040" s="972"/>
      <c r="F3040" s="972"/>
      <c r="G3040" s="972"/>
      <c r="H3040" s="972"/>
      <c r="I3040" s="972"/>
      <c r="J3040" s="972"/>
      <c r="K3040" s="972"/>
      <c r="L3040" s="972"/>
      <c r="M3040" s="972"/>
    </row>
    <row r="3041" spans="5:13">
      <c r="E3041" s="972"/>
      <c r="F3041" s="972"/>
      <c r="G3041" s="972"/>
      <c r="H3041" s="972"/>
      <c r="I3041" s="972"/>
      <c r="J3041" s="972"/>
      <c r="K3041" s="972"/>
      <c r="L3041" s="972"/>
      <c r="M3041" s="972"/>
    </row>
    <row r="3042" spans="5:13">
      <c r="E3042" s="972"/>
      <c r="F3042" s="972"/>
      <c r="G3042" s="972"/>
      <c r="H3042" s="972"/>
      <c r="I3042" s="972"/>
      <c r="J3042" s="972"/>
      <c r="K3042" s="972"/>
      <c r="L3042" s="972"/>
      <c r="M3042" s="972"/>
    </row>
    <row r="3043" spans="5:13">
      <c r="E3043" s="972"/>
      <c r="F3043" s="972"/>
      <c r="G3043" s="972"/>
      <c r="H3043" s="972"/>
      <c r="I3043" s="972"/>
      <c r="J3043" s="972"/>
      <c r="K3043" s="972"/>
      <c r="L3043" s="972"/>
      <c r="M3043" s="972"/>
    </row>
    <row r="3044" spans="5:13">
      <c r="E3044" s="972"/>
      <c r="F3044" s="972"/>
      <c r="G3044" s="972"/>
      <c r="H3044" s="972"/>
      <c r="I3044" s="972"/>
      <c r="J3044" s="972"/>
      <c r="K3044" s="972"/>
      <c r="L3044" s="972"/>
      <c r="M3044" s="972"/>
    </row>
    <row r="3045" spans="5:13">
      <c r="E3045" s="972"/>
      <c r="F3045" s="972"/>
      <c r="G3045" s="972"/>
      <c r="H3045" s="972"/>
      <c r="I3045" s="972"/>
      <c r="J3045" s="972"/>
      <c r="K3045" s="972"/>
      <c r="L3045" s="972"/>
      <c r="M3045" s="972"/>
    </row>
    <row r="3046" spans="5:13">
      <c r="E3046" s="972"/>
      <c r="F3046" s="972"/>
      <c r="G3046" s="972"/>
      <c r="H3046" s="972"/>
      <c r="I3046" s="972"/>
      <c r="J3046" s="972"/>
      <c r="K3046" s="972"/>
      <c r="L3046" s="972"/>
      <c r="M3046" s="972"/>
    </row>
    <row r="3047" spans="5:13">
      <c r="E3047" s="972"/>
      <c r="F3047" s="972"/>
      <c r="G3047" s="972"/>
      <c r="H3047" s="972"/>
      <c r="I3047" s="972"/>
      <c r="J3047" s="972"/>
      <c r="K3047" s="972"/>
      <c r="L3047" s="972"/>
      <c r="M3047" s="972"/>
    </row>
    <row r="3048" spans="5:13">
      <c r="E3048" s="972"/>
      <c r="F3048" s="972"/>
      <c r="G3048" s="972"/>
      <c r="H3048" s="972"/>
      <c r="I3048" s="972"/>
      <c r="J3048" s="972"/>
      <c r="K3048" s="972"/>
      <c r="L3048" s="972"/>
      <c r="M3048" s="972"/>
    </row>
    <row r="3049" spans="5:13">
      <c r="E3049" s="972"/>
      <c r="F3049" s="972"/>
      <c r="G3049" s="972"/>
      <c r="H3049" s="972"/>
      <c r="I3049" s="972"/>
      <c r="J3049" s="972"/>
      <c r="K3049" s="972"/>
      <c r="L3049" s="972"/>
      <c r="M3049" s="972"/>
    </row>
    <row r="3050" spans="5:13">
      <c r="E3050" s="972"/>
      <c r="F3050" s="972"/>
      <c r="G3050" s="972"/>
      <c r="H3050" s="972"/>
      <c r="I3050" s="972"/>
      <c r="J3050" s="972"/>
      <c r="K3050" s="972"/>
      <c r="L3050" s="972"/>
      <c r="M3050" s="972"/>
    </row>
    <row r="3051" spans="5:13">
      <c r="E3051" s="972"/>
      <c r="F3051" s="972"/>
      <c r="G3051" s="972"/>
      <c r="H3051" s="972"/>
      <c r="I3051" s="972"/>
      <c r="J3051" s="972"/>
      <c r="K3051" s="972"/>
      <c r="L3051" s="972"/>
      <c r="M3051" s="972"/>
    </row>
    <row r="3052" spans="5:13">
      <c r="E3052" s="972"/>
      <c r="F3052" s="972"/>
      <c r="G3052" s="972"/>
      <c r="H3052" s="972"/>
      <c r="I3052" s="972"/>
      <c r="J3052" s="972"/>
      <c r="K3052" s="972"/>
      <c r="L3052" s="972"/>
      <c r="M3052" s="972"/>
    </row>
    <row r="3053" spans="5:13">
      <c r="E3053" s="972"/>
      <c r="F3053" s="972"/>
      <c r="G3053" s="972"/>
      <c r="H3053" s="972"/>
      <c r="I3053" s="972"/>
      <c r="J3053" s="972"/>
      <c r="K3053" s="972"/>
      <c r="L3053" s="972"/>
      <c r="M3053" s="972"/>
    </row>
    <row r="3054" spans="5:13">
      <c r="E3054" s="972"/>
      <c r="F3054" s="972"/>
      <c r="G3054" s="972"/>
      <c r="H3054" s="972"/>
      <c r="I3054" s="972"/>
      <c r="J3054" s="972"/>
      <c r="K3054" s="972"/>
      <c r="L3054" s="972"/>
      <c r="M3054" s="972"/>
    </row>
    <row r="3055" spans="5:13">
      <c r="E3055" s="972"/>
      <c r="F3055" s="972"/>
      <c r="G3055" s="972"/>
      <c r="H3055" s="972"/>
      <c r="I3055" s="972"/>
      <c r="J3055" s="972"/>
      <c r="K3055" s="972"/>
      <c r="L3055" s="972"/>
      <c r="M3055" s="972"/>
    </row>
    <row r="3056" spans="5:13">
      <c r="E3056" s="972"/>
      <c r="F3056" s="972"/>
      <c r="G3056" s="972"/>
      <c r="H3056" s="972"/>
      <c r="I3056" s="972"/>
      <c r="J3056" s="972"/>
      <c r="K3056" s="972"/>
      <c r="L3056" s="972"/>
      <c r="M3056" s="972"/>
    </row>
    <row r="3057" spans="5:13">
      <c r="E3057" s="972"/>
      <c r="F3057" s="972"/>
      <c r="G3057" s="972"/>
      <c r="H3057" s="972"/>
      <c r="I3057" s="972"/>
      <c r="J3057" s="972"/>
      <c r="K3057" s="972"/>
      <c r="L3057" s="972"/>
      <c r="M3057" s="972"/>
    </row>
    <row r="3058" spans="5:13">
      <c r="E3058" s="972"/>
      <c r="F3058" s="972"/>
      <c r="G3058" s="972"/>
      <c r="H3058" s="972"/>
      <c r="I3058" s="972"/>
      <c r="J3058" s="972"/>
      <c r="K3058" s="972"/>
      <c r="L3058" s="972"/>
      <c r="M3058" s="972"/>
    </row>
    <row r="3059" spans="5:13">
      <c r="E3059" s="972"/>
      <c r="F3059" s="972"/>
      <c r="G3059" s="972"/>
      <c r="H3059" s="972"/>
      <c r="I3059" s="972"/>
      <c r="J3059" s="972"/>
      <c r="K3059" s="972"/>
      <c r="L3059" s="972"/>
      <c r="M3059" s="972"/>
    </row>
    <row r="3060" spans="5:13">
      <c r="E3060" s="972"/>
      <c r="F3060" s="972"/>
      <c r="G3060" s="972"/>
      <c r="H3060" s="972"/>
      <c r="I3060" s="972"/>
      <c r="J3060" s="972"/>
      <c r="K3060" s="972"/>
      <c r="L3060" s="972"/>
      <c r="M3060" s="972"/>
    </row>
    <row r="3061" spans="5:13">
      <c r="E3061" s="972"/>
      <c r="F3061" s="972"/>
      <c r="G3061" s="972"/>
      <c r="H3061" s="972"/>
      <c r="I3061" s="972"/>
      <c r="J3061" s="972"/>
      <c r="K3061" s="972"/>
      <c r="L3061" s="972"/>
      <c r="M3061" s="972"/>
    </row>
    <row r="3062" spans="5:13">
      <c r="E3062" s="972"/>
      <c r="F3062" s="972"/>
      <c r="G3062" s="972"/>
      <c r="H3062" s="972"/>
      <c r="I3062" s="972"/>
      <c r="J3062" s="972"/>
      <c r="K3062" s="972"/>
      <c r="L3062" s="972"/>
      <c r="M3062" s="972"/>
    </row>
    <row r="3063" spans="5:13">
      <c r="E3063" s="972"/>
      <c r="F3063" s="972"/>
      <c r="G3063" s="972"/>
      <c r="H3063" s="972"/>
      <c r="I3063" s="972"/>
      <c r="J3063" s="972"/>
      <c r="K3063" s="972"/>
      <c r="L3063" s="972"/>
      <c r="M3063" s="972"/>
    </row>
    <row r="3064" spans="5:13">
      <c r="E3064" s="972"/>
      <c r="F3064" s="972"/>
      <c r="G3064" s="972"/>
      <c r="H3064" s="972"/>
      <c r="I3064" s="972"/>
      <c r="J3064" s="972"/>
      <c r="K3064" s="972"/>
      <c r="L3064" s="972"/>
      <c r="M3064" s="972"/>
    </row>
    <row r="3065" spans="5:13">
      <c r="E3065" s="972"/>
      <c r="F3065" s="972"/>
      <c r="G3065" s="972"/>
      <c r="H3065" s="972"/>
      <c r="I3065" s="972"/>
      <c r="J3065" s="972"/>
      <c r="K3065" s="972"/>
      <c r="L3065" s="972"/>
      <c r="M3065" s="972"/>
    </row>
    <row r="3066" spans="5:13">
      <c r="E3066" s="972"/>
      <c r="F3066" s="972"/>
      <c r="G3066" s="972"/>
      <c r="H3066" s="972"/>
      <c r="I3066" s="972"/>
      <c r="J3066" s="972"/>
      <c r="K3066" s="972"/>
      <c r="L3066" s="972"/>
      <c r="M3066" s="972"/>
    </row>
    <row r="3067" spans="5:13">
      <c r="E3067" s="972"/>
      <c r="F3067" s="972"/>
      <c r="G3067" s="972"/>
      <c r="H3067" s="972"/>
      <c r="I3067" s="972"/>
      <c r="J3067" s="972"/>
      <c r="K3067" s="972"/>
      <c r="L3067" s="972"/>
      <c r="M3067" s="972"/>
    </row>
    <row r="3068" spans="5:13">
      <c r="E3068" s="972"/>
      <c r="F3068" s="972"/>
      <c r="G3068" s="972"/>
      <c r="H3068" s="972"/>
      <c r="I3068" s="972"/>
      <c r="J3068" s="972"/>
      <c r="K3068" s="972"/>
      <c r="L3068" s="972"/>
      <c r="M3068" s="972"/>
    </row>
    <row r="3069" spans="5:13">
      <c r="E3069" s="972"/>
      <c r="F3069" s="972"/>
      <c r="G3069" s="972"/>
      <c r="H3069" s="972"/>
      <c r="I3069" s="972"/>
      <c r="J3069" s="972"/>
      <c r="K3069" s="972"/>
      <c r="L3069" s="972"/>
      <c r="M3069" s="972"/>
    </row>
    <row r="3070" spans="5:13">
      <c r="E3070" s="972"/>
      <c r="F3070" s="972"/>
      <c r="G3070" s="972"/>
      <c r="H3070" s="972"/>
      <c r="I3070" s="972"/>
      <c r="J3070" s="972"/>
      <c r="K3070" s="972"/>
      <c r="L3070" s="972"/>
      <c r="M3070" s="972"/>
    </row>
    <row r="3071" spans="5:13">
      <c r="E3071" s="972"/>
      <c r="F3071" s="972"/>
      <c r="G3071" s="972"/>
      <c r="H3071" s="972"/>
      <c r="I3071" s="972"/>
      <c r="J3071" s="972"/>
      <c r="K3071" s="972"/>
      <c r="L3071" s="972"/>
      <c r="M3071" s="972"/>
    </row>
    <row r="3072" spans="5:13">
      <c r="E3072" s="972"/>
      <c r="F3072" s="972"/>
      <c r="G3072" s="972"/>
      <c r="H3072" s="972"/>
      <c r="I3072" s="972"/>
      <c r="J3072" s="972"/>
      <c r="K3072" s="972"/>
      <c r="L3072" s="972"/>
      <c r="M3072" s="972"/>
    </row>
    <row r="3073" spans="5:13">
      <c r="E3073" s="972"/>
      <c r="F3073" s="972"/>
      <c r="G3073" s="972"/>
      <c r="H3073" s="972"/>
      <c r="I3073" s="972"/>
      <c r="J3073" s="972"/>
      <c r="K3073" s="972"/>
      <c r="L3073" s="972"/>
      <c r="M3073" s="972"/>
    </row>
    <row r="3074" spans="5:13">
      <c r="E3074" s="972"/>
      <c r="F3074" s="972"/>
      <c r="G3074" s="972"/>
      <c r="H3074" s="972"/>
      <c r="I3074" s="972"/>
      <c r="J3074" s="972"/>
      <c r="K3074" s="972"/>
      <c r="L3074" s="972"/>
      <c r="M3074" s="972"/>
    </row>
    <row r="3075" spans="5:13">
      <c r="E3075" s="972"/>
      <c r="F3075" s="972"/>
      <c r="G3075" s="972"/>
      <c r="H3075" s="972"/>
      <c r="I3075" s="972"/>
      <c r="J3075" s="972"/>
      <c r="K3075" s="972"/>
      <c r="L3075" s="972"/>
      <c r="M3075" s="972"/>
    </row>
    <row r="3076" spans="5:13">
      <c r="E3076" s="972"/>
      <c r="F3076" s="972"/>
      <c r="G3076" s="972"/>
      <c r="H3076" s="972"/>
      <c r="I3076" s="972"/>
      <c r="J3076" s="972"/>
      <c r="K3076" s="972"/>
      <c r="L3076" s="972"/>
      <c r="M3076" s="972"/>
    </row>
    <row r="3077" spans="5:13">
      <c r="E3077" s="972"/>
      <c r="F3077" s="972"/>
      <c r="G3077" s="972"/>
      <c r="H3077" s="972"/>
      <c r="I3077" s="972"/>
      <c r="J3077" s="972"/>
      <c r="K3077" s="972"/>
      <c r="L3077" s="972"/>
      <c r="M3077" s="972"/>
    </row>
    <row r="3078" spans="5:13">
      <c r="E3078" s="972"/>
      <c r="F3078" s="972"/>
      <c r="G3078" s="972"/>
      <c r="H3078" s="972"/>
      <c r="I3078" s="972"/>
      <c r="J3078" s="972"/>
      <c r="K3078" s="972"/>
      <c r="L3078" s="972"/>
      <c r="M3078" s="972"/>
    </row>
    <row r="3079" spans="5:13">
      <c r="E3079" s="972"/>
      <c r="F3079" s="972"/>
      <c r="G3079" s="972"/>
      <c r="H3079" s="972"/>
      <c r="I3079" s="972"/>
      <c r="J3079" s="972"/>
      <c r="K3079" s="972"/>
      <c r="L3079" s="972"/>
      <c r="M3079" s="972"/>
    </row>
    <row r="3080" spans="5:13">
      <c r="E3080" s="972"/>
      <c r="F3080" s="972"/>
      <c r="G3080" s="972"/>
      <c r="H3080" s="972"/>
      <c r="I3080" s="972"/>
      <c r="J3080" s="972"/>
      <c r="K3080" s="972"/>
      <c r="L3080" s="972"/>
      <c r="M3080" s="972"/>
    </row>
    <row r="3081" spans="5:13">
      <c r="E3081" s="972"/>
      <c r="F3081" s="972"/>
      <c r="G3081" s="972"/>
      <c r="H3081" s="972"/>
      <c r="I3081" s="972"/>
      <c r="J3081" s="972"/>
      <c r="K3081" s="972"/>
      <c r="L3081" s="972"/>
      <c r="M3081" s="972"/>
    </row>
    <row r="3082" spans="5:13">
      <c r="E3082" s="972"/>
      <c r="F3082" s="972"/>
      <c r="G3082" s="972"/>
      <c r="H3082" s="972"/>
      <c r="I3082" s="972"/>
      <c r="J3082" s="972"/>
      <c r="K3082" s="972"/>
      <c r="L3082" s="972"/>
      <c r="M3082" s="972"/>
    </row>
    <row r="3083" spans="5:13">
      <c r="E3083" s="972"/>
      <c r="F3083" s="972"/>
      <c r="G3083" s="972"/>
      <c r="H3083" s="972"/>
      <c r="I3083" s="972"/>
      <c r="J3083" s="972"/>
      <c r="K3083" s="972"/>
      <c r="L3083" s="972"/>
      <c r="M3083" s="972"/>
    </row>
    <row r="3084" spans="5:13">
      <c r="E3084" s="972"/>
      <c r="F3084" s="972"/>
      <c r="G3084" s="972"/>
      <c r="H3084" s="972"/>
      <c r="I3084" s="972"/>
      <c r="J3084" s="972"/>
      <c r="K3084" s="972"/>
      <c r="L3084" s="972"/>
      <c r="M3084" s="972"/>
    </row>
    <row r="3085" spans="5:13">
      <c r="E3085" s="972"/>
      <c r="F3085" s="972"/>
      <c r="G3085" s="972"/>
      <c r="H3085" s="972"/>
      <c r="I3085" s="972"/>
      <c r="J3085" s="972"/>
      <c r="K3085" s="972"/>
      <c r="L3085" s="972"/>
      <c r="M3085" s="972"/>
    </row>
    <row r="3086" spans="5:13">
      <c r="E3086" s="972"/>
      <c r="F3086" s="972"/>
      <c r="G3086" s="972"/>
      <c r="H3086" s="972"/>
      <c r="I3086" s="972"/>
      <c r="J3086" s="972"/>
      <c r="K3086" s="972"/>
      <c r="L3086" s="972"/>
      <c r="M3086" s="972"/>
    </row>
    <row r="3087" spans="5:13">
      <c r="E3087" s="972"/>
      <c r="F3087" s="972"/>
      <c r="G3087" s="972"/>
      <c r="H3087" s="972"/>
      <c r="I3087" s="972"/>
      <c r="J3087" s="972"/>
      <c r="K3087" s="972"/>
      <c r="L3087" s="972"/>
      <c r="M3087" s="972"/>
    </row>
    <row r="3088" spans="5:13">
      <c r="E3088" s="972"/>
      <c r="F3088" s="972"/>
      <c r="G3088" s="972"/>
      <c r="H3088" s="972"/>
      <c r="I3088" s="972"/>
      <c r="J3088" s="972"/>
      <c r="K3088" s="972"/>
      <c r="L3088" s="972"/>
      <c r="M3088" s="972"/>
    </row>
    <row r="3089" spans="5:13">
      <c r="E3089" s="972"/>
      <c r="F3089" s="972"/>
      <c r="G3089" s="972"/>
      <c r="H3089" s="972"/>
      <c r="I3089" s="972"/>
      <c r="J3089" s="972"/>
      <c r="K3089" s="972"/>
      <c r="L3089" s="972"/>
      <c r="M3089" s="972"/>
    </row>
    <row r="3090" spans="5:13">
      <c r="E3090" s="972"/>
      <c r="F3090" s="972"/>
      <c r="G3090" s="972"/>
      <c r="H3090" s="972"/>
      <c r="I3090" s="972"/>
      <c r="J3090" s="972"/>
      <c r="K3090" s="972"/>
      <c r="L3090" s="972"/>
      <c r="M3090" s="972"/>
    </row>
    <row r="3091" spans="5:13">
      <c r="E3091" s="972"/>
      <c r="F3091" s="972"/>
      <c r="G3091" s="972"/>
      <c r="H3091" s="972"/>
      <c r="I3091" s="972"/>
      <c r="J3091" s="972"/>
      <c r="K3091" s="972"/>
      <c r="L3091" s="972"/>
      <c r="M3091" s="972"/>
    </row>
    <row r="3092" spans="5:13">
      <c r="E3092" s="972"/>
      <c r="F3092" s="972"/>
      <c r="G3092" s="972"/>
      <c r="H3092" s="972"/>
      <c r="I3092" s="972"/>
      <c r="J3092" s="972"/>
      <c r="K3092" s="972"/>
      <c r="L3092" s="972"/>
      <c r="M3092" s="972"/>
    </row>
    <row r="3093" spans="5:13">
      <c r="E3093" s="972"/>
      <c r="F3093" s="972"/>
      <c r="G3093" s="972"/>
      <c r="H3093" s="972"/>
      <c r="I3093" s="972"/>
      <c r="J3093" s="972"/>
      <c r="K3093" s="972"/>
      <c r="L3093" s="972"/>
      <c r="M3093" s="972"/>
    </row>
    <row r="3094" spans="5:13">
      <c r="E3094" s="972"/>
      <c r="F3094" s="972"/>
      <c r="G3094" s="972"/>
      <c r="H3094" s="972"/>
      <c r="I3094" s="972"/>
      <c r="J3094" s="972"/>
      <c r="K3094" s="972"/>
      <c r="L3094" s="972"/>
      <c r="M3094" s="972"/>
    </row>
    <row r="3095" spans="5:13">
      <c r="E3095" s="972"/>
      <c r="F3095" s="972"/>
      <c r="G3095" s="972"/>
      <c r="H3095" s="972"/>
      <c r="I3095" s="972"/>
      <c r="J3095" s="972"/>
      <c r="K3095" s="972"/>
      <c r="L3095" s="972"/>
      <c r="M3095" s="972"/>
    </row>
    <row r="3096" spans="5:13">
      <c r="E3096" s="972"/>
      <c r="F3096" s="972"/>
      <c r="G3096" s="972"/>
      <c r="H3096" s="972"/>
      <c r="I3096" s="972"/>
      <c r="J3096" s="972"/>
      <c r="K3096" s="972"/>
      <c r="L3096" s="972"/>
      <c r="M3096" s="972"/>
    </row>
    <row r="3097" spans="5:13">
      <c r="E3097" s="972"/>
      <c r="F3097" s="972"/>
      <c r="G3097" s="972"/>
      <c r="H3097" s="972"/>
      <c r="I3097" s="972"/>
      <c r="J3097" s="972"/>
      <c r="K3097" s="972"/>
      <c r="L3097" s="972"/>
      <c r="M3097" s="972"/>
    </row>
    <row r="3098" spans="5:13">
      <c r="E3098" s="972"/>
      <c r="F3098" s="972"/>
      <c r="G3098" s="972"/>
      <c r="H3098" s="972"/>
      <c r="I3098" s="972"/>
      <c r="J3098" s="972"/>
      <c r="K3098" s="972"/>
      <c r="L3098" s="972"/>
      <c r="M3098" s="972"/>
    </row>
    <row r="3099" spans="5:13">
      <c r="E3099" s="972"/>
      <c r="F3099" s="972"/>
      <c r="G3099" s="972"/>
      <c r="H3099" s="972"/>
      <c r="I3099" s="972"/>
      <c r="J3099" s="972"/>
      <c r="K3099" s="972"/>
      <c r="L3099" s="972"/>
      <c r="M3099" s="972"/>
    </row>
    <row r="3100" spans="5:13">
      <c r="E3100" s="972"/>
      <c r="F3100" s="972"/>
      <c r="G3100" s="972"/>
      <c r="H3100" s="972"/>
      <c r="I3100" s="972"/>
      <c r="J3100" s="972"/>
      <c r="K3100" s="972"/>
      <c r="L3100" s="972"/>
      <c r="M3100" s="972"/>
    </row>
    <row r="3101" spans="5:13">
      <c r="E3101" s="972"/>
      <c r="F3101" s="972"/>
      <c r="G3101" s="972"/>
      <c r="H3101" s="972"/>
      <c r="I3101" s="972"/>
      <c r="J3101" s="972"/>
      <c r="K3101" s="972"/>
      <c r="L3101" s="972"/>
      <c r="M3101" s="972"/>
    </row>
    <row r="3102" spans="5:13">
      <c r="E3102" s="972"/>
      <c r="F3102" s="972"/>
      <c r="G3102" s="972"/>
      <c r="H3102" s="972"/>
      <c r="I3102" s="972"/>
      <c r="J3102" s="972"/>
      <c r="K3102" s="972"/>
      <c r="L3102" s="972"/>
      <c r="M3102" s="972"/>
    </row>
    <row r="3103" spans="5:13">
      <c r="E3103" s="972"/>
      <c r="F3103" s="972"/>
      <c r="G3103" s="972"/>
      <c r="H3103" s="972"/>
      <c r="I3103" s="972"/>
      <c r="J3103" s="972"/>
      <c r="K3103" s="972"/>
      <c r="L3103" s="972"/>
      <c r="M3103" s="972"/>
    </row>
    <row r="3104" spans="5:13">
      <c r="E3104" s="972"/>
      <c r="F3104" s="972"/>
      <c r="G3104" s="972"/>
      <c r="H3104" s="972"/>
      <c r="I3104" s="972"/>
      <c r="J3104" s="972"/>
      <c r="K3104" s="972"/>
      <c r="L3104" s="972"/>
      <c r="M3104" s="972"/>
    </row>
    <row r="3105" spans="5:13">
      <c r="E3105" s="972"/>
      <c r="F3105" s="972"/>
      <c r="G3105" s="972"/>
      <c r="H3105" s="972"/>
      <c r="I3105" s="972"/>
      <c r="J3105" s="972"/>
      <c r="K3105" s="972"/>
      <c r="L3105" s="972"/>
      <c r="M3105" s="972"/>
    </row>
    <row r="3106" spans="5:13">
      <c r="E3106" s="972"/>
      <c r="F3106" s="972"/>
      <c r="G3106" s="972"/>
      <c r="H3106" s="972"/>
      <c r="I3106" s="972"/>
      <c r="J3106" s="972"/>
      <c r="K3106" s="972"/>
      <c r="L3106" s="972"/>
      <c r="M3106" s="972"/>
    </row>
    <row r="3107" spans="5:13">
      <c r="E3107" s="972"/>
      <c r="F3107" s="972"/>
      <c r="G3107" s="972"/>
      <c r="H3107" s="972"/>
      <c r="I3107" s="972"/>
      <c r="J3107" s="972"/>
      <c r="K3107" s="972"/>
      <c r="L3107" s="972"/>
      <c r="M3107" s="972"/>
    </row>
    <row r="3108" spans="5:13">
      <c r="E3108" s="972"/>
      <c r="F3108" s="972"/>
      <c r="G3108" s="972"/>
      <c r="H3108" s="972"/>
      <c r="I3108" s="972"/>
      <c r="J3108" s="972"/>
      <c r="K3108" s="972"/>
      <c r="L3108" s="972"/>
      <c r="M3108" s="972"/>
    </row>
    <row r="3109" spans="5:13">
      <c r="E3109" s="972"/>
      <c r="F3109" s="972"/>
      <c r="G3109" s="972"/>
      <c r="H3109" s="972"/>
      <c r="I3109" s="972"/>
      <c r="J3109" s="972"/>
      <c r="K3109" s="972"/>
      <c r="L3109" s="972"/>
      <c r="M3109" s="972"/>
    </row>
    <row r="3110" spans="5:13">
      <c r="E3110" s="972"/>
      <c r="F3110" s="972"/>
      <c r="G3110" s="972"/>
      <c r="H3110" s="972"/>
      <c r="I3110" s="972"/>
      <c r="J3110" s="972"/>
      <c r="K3110" s="972"/>
      <c r="L3110" s="972"/>
      <c r="M3110" s="972"/>
    </row>
    <row r="3111" spans="5:13">
      <c r="E3111" s="972"/>
      <c r="F3111" s="972"/>
      <c r="G3111" s="972"/>
      <c r="H3111" s="972"/>
      <c r="I3111" s="972"/>
      <c r="J3111" s="972"/>
      <c r="K3111" s="972"/>
      <c r="L3111" s="972"/>
      <c r="M3111" s="972"/>
    </row>
    <row r="3112" spans="5:13">
      <c r="E3112" s="972"/>
      <c r="F3112" s="972"/>
      <c r="G3112" s="972"/>
      <c r="H3112" s="972"/>
      <c r="I3112" s="972"/>
      <c r="J3112" s="972"/>
      <c r="K3112" s="972"/>
      <c r="L3112" s="972"/>
      <c r="M3112" s="972"/>
    </row>
    <row r="3113" spans="5:13">
      <c r="E3113" s="972"/>
      <c r="F3113" s="972"/>
      <c r="G3113" s="972"/>
      <c r="H3113" s="972"/>
      <c r="I3113" s="972"/>
      <c r="J3113" s="972"/>
      <c r="K3113" s="972"/>
      <c r="L3113" s="972"/>
      <c r="M3113" s="972"/>
    </row>
    <row r="3114" spans="5:13">
      <c r="E3114" s="972"/>
      <c r="F3114" s="972"/>
      <c r="G3114" s="972"/>
      <c r="H3114" s="972"/>
      <c r="I3114" s="972"/>
      <c r="J3114" s="972"/>
      <c r="K3114" s="972"/>
      <c r="L3114" s="972"/>
      <c r="M3114" s="972"/>
    </row>
    <row r="3115" spans="5:13">
      <c r="E3115" s="972"/>
      <c r="F3115" s="972"/>
      <c r="G3115" s="972"/>
      <c r="H3115" s="972"/>
      <c r="I3115" s="972"/>
      <c r="J3115" s="972"/>
      <c r="K3115" s="972"/>
      <c r="L3115" s="972"/>
      <c r="M3115" s="972"/>
    </row>
    <row r="3116" spans="5:13">
      <c r="E3116" s="972"/>
      <c r="F3116" s="972"/>
      <c r="G3116" s="972"/>
      <c r="H3116" s="972"/>
      <c r="I3116" s="972"/>
      <c r="J3116" s="972"/>
      <c r="K3116" s="972"/>
      <c r="L3116" s="972"/>
      <c r="M3116" s="972"/>
    </row>
    <row r="3117" spans="5:13">
      <c r="E3117" s="972"/>
      <c r="F3117" s="972"/>
      <c r="G3117" s="972"/>
      <c r="H3117" s="972"/>
      <c r="I3117" s="972"/>
      <c r="J3117" s="972"/>
      <c r="K3117" s="972"/>
      <c r="L3117" s="972"/>
      <c r="M3117" s="972"/>
    </row>
    <row r="3118" spans="5:13">
      <c r="E3118" s="972"/>
      <c r="F3118" s="972"/>
      <c r="G3118" s="972"/>
      <c r="H3118" s="972"/>
      <c r="I3118" s="972"/>
      <c r="J3118" s="972"/>
      <c r="K3118" s="972"/>
      <c r="L3118" s="972"/>
      <c r="M3118" s="972"/>
    </row>
    <row r="3119" spans="5:13">
      <c r="E3119" s="972"/>
      <c r="F3119" s="972"/>
      <c r="G3119" s="972"/>
      <c r="H3119" s="972"/>
      <c r="I3119" s="972"/>
      <c r="J3119" s="972"/>
      <c r="K3119" s="972"/>
      <c r="L3119" s="972"/>
      <c r="M3119" s="972"/>
    </row>
    <row r="3120" spans="5:13">
      <c r="E3120" s="972"/>
      <c r="F3120" s="972"/>
      <c r="G3120" s="972"/>
      <c r="H3120" s="972"/>
      <c r="I3120" s="972"/>
      <c r="J3120" s="972"/>
      <c r="K3120" s="972"/>
      <c r="L3120" s="972"/>
      <c r="M3120" s="972"/>
    </row>
    <row r="3121" spans="5:13">
      <c r="E3121" s="972"/>
      <c r="F3121" s="972"/>
      <c r="G3121" s="972"/>
      <c r="H3121" s="972"/>
      <c r="I3121" s="972"/>
      <c r="J3121" s="972"/>
      <c r="K3121" s="972"/>
      <c r="L3121" s="972"/>
      <c r="M3121" s="972"/>
    </row>
    <row r="3122" spans="5:13">
      <c r="E3122" s="972"/>
      <c r="F3122" s="972"/>
      <c r="G3122" s="972"/>
      <c r="H3122" s="972"/>
      <c r="I3122" s="972"/>
      <c r="J3122" s="972"/>
      <c r="K3122" s="972"/>
      <c r="L3122" s="972"/>
      <c r="M3122" s="972"/>
    </row>
    <row r="3123" spans="5:13">
      <c r="E3123" s="972"/>
      <c r="F3123" s="972"/>
      <c r="G3123" s="972"/>
      <c r="H3123" s="972"/>
      <c r="I3123" s="972"/>
      <c r="J3123" s="972"/>
      <c r="K3123" s="972"/>
      <c r="L3123" s="972"/>
      <c r="M3123" s="972"/>
    </row>
    <row r="3124" spans="5:13">
      <c r="E3124" s="972"/>
      <c r="F3124" s="972"/>
      <c r="G3124" s="972"/>
      <c r="H3124" s="972"/>
      <c r="I3124" s="972"/>
      <c r="J3124" s="972"/>
      <c r="K3124" s="972"/>
      <c r="L3124" s="972"/>
      <c r="M3124" s="972"/>
    </row>
    <row r="3125" spans="5:13">
      <c r="E3125" s="972"/>
      <c r="F3125" s="972"/>
      <c r="G3125" s="972"/>
      <c r="H3125" s="972"/>
      <c r="I3125" s="972"/>
      <c r="J3125" s="972"/>
      <c r="K3125" s="972"/>
      <c r="L3125" s="972"/>
      <c r="M3125" s="972"/>
    </row>
    <row r="3126" spans="5:13">
      <c r="E3126" s="972"/>
      <c r="F3126" s="972"/>
      <c r="G3126" s="972"/>
      <c r="H3126" s="972"/>
      <c r="I3126" s="972"/>
      <c r="J3126" s="972"/>
      <c r="K3126" s="972"/>
      <c r="L3126" s="972"/>
      <c r="M3126" s="972"/>
    </row>
    <row r="3127" spans="5:13">
      <c r="E3127" s="972"/>
      <c r="F3127" s="972"/>
      <c r="G3127" s="972"/>
      <c r="H3127" s="972"/>
      <c r="I3127" s="972"/>
      <c r="J3127" s="972"/>
      <c r="K3127" s="972"/>
      <c r="L3127" s="972"/>
      <c r="M3127" s="972"/>
    </row>
    <row r="3128" spans="5:13">
      <c r="E3128" s="972"/>
      <c r="F3128" s="972"/>
      <c r="G3128" s="972"/>
      <c r="H3128" s="972"/>
      <c r="I3128" s="972"/>
      <c r="J3128" s="972"/>
      <c r="K3128" s="972"/>
      <c r="L3128" s="972"/>
      <c r="M3128" s="972"/>
    </row>
    <row r="3129" spans="5:13">
      <c r="E3129" s="972"/>
      <c r="F3129" s="972"/>
      <c r="G3129" s="972"/>
      <c r="H3129" s="972"/>
      <c r="I3129" s="972"/>
      <c r="J3129" s="972"/>
      <c r="K3129" s="972"/>
      <c r="L3129" s="972"/>
      <c r="M3129" s="972"/>
    </row>
    <row r="3130" spans="5:13">
      <c r="E3130" s="972"/>
      <c r="F3130" s="972"/>
      <c r="G3130" s="972"/>
      <c r="H3130" s="972"/>
      <c r="I3130" s="972"/>
      <c r="J3130" s="972"/>
      <c r="K3130" s="972"/>
      <c r="L3130" s="972"/>
      <c r="M3130" s="972"/>
    </row>
    <row r="3131" spans="5:13">
      <c r="E3131" s="972"/>
      <c r="F3131" s="972"/>
      <c r="G3131" s="972"/>
      <c r="H3131" s="972"/>
      <c r="I3131" s="972"/>
      <c r="J3131" s="972"/>
      <c r="K3131" s="972"/>
      <c r="L3131" s="972"/>
      <c r="M3131" s="972"/>
    </row>
    <row r="3132" spans="5:13">
      <c r="E3132" s="972"/>
      <c r="F3132" s="972"/>
      <c r="G3132" s="972"/>
      <c r="H3132" s="972"/>
      <c r="I3132" s="972"/>
      <c r="J3132" s="972"/>
      <c r="K3132" s="972"/>
      <c r="L3132" s="972"/>
      <c r="M3132" s="972"/>
    </row>
    <row r="3133" spans="5:13">
      <c r="E3133" s="972"/>
      <c r="F3133" s="972"/>
      <c r="G3133" s="972"/>
      <c r="H3133" s="972"/>
      <c r="I3133" s="972"/>
      <c r="J3133" s="972"/>
      <c r="K3133" s="972"/>
      <c r="L3133" s="972"/>
      <c r="M3133" s="972"/>
    </row>
    <row r="3134" spans="5:13">
      <c r="E3134" s="972"/>
      <c r="F3134" s="972"/>
      <c r="G3134" s="972"/>
      <c r="H3134" s="972"/>
      <c r="I3134" s="972"/>
      <c r="J3134" s="972"/>
      <c r="K3134" s="972"/>
      <c r="L3134" s="972"/>
      <c r="M3134" s="972"/>
    </row>
    <row r="3135" spans="5:13">
      <c r="E3135" s="972"/>
      <c r="F3135" s="972"/>
      <c r="G3135" s="972"/>
      <c r="H3135" s="972"/>
      <c r="I3135" s="972"/>
      <c r="J3135" s="972"/>
      <c r="K3135" s="972"/>
      <c r="L3135" s="972"/>
      <c r="M3135" s="972"/>
    </row>
    <row r="3136" spans="5:13">
      <c r="E3136" s="972"/>
      <c r="F3136" s="972"/>
      <c r="G3136" s="972"/>
      <c r="H3136" s="972"/>
      <c r="I3136" s="972"/>
      <c r="J3136" s="972"/>
      <c r="K3136" s="972"/>
      <c r="L3136" s="972"/>
      <c r="M3136" s="972"/>
    </row>
    <row r="3137" spans="5:13">
      <c r="E3137" s="972"/>
      <c r="F3137" s="972"/>
      <c r="G3137" s="972"/>
      <c r="H3137" s="972"/>
      <c r="I3137" s="972"/>
      <c r="J3137" s="972"/>
      <c r="K3137" s="972"/>
      <c r="L3137" s="972"/>
      <c r="M3137" s="972"/>
    </row>
    <row r="3138" spans="5:13">
      <c r="E3138" s="972"/>
      <c r="F3138" s="972"/>
      <c r="G3138" s="972"/>
      <c r="H3138" s="972"/>
      <c r="I3138" s="972"/>
      <c r="J3138" s="972"/>
      <c r="K3138" s="972"/>
      <c r="L3138" s="972"/>
      <c r="M3138" s="972"/>
    </row>
    <row r="3139" spans="5:13">
      <c r="E3139" s="972"/>
      <c r="F3139" s="972"/>
      <c r="G3139" s="972"/>
      <c r="H3139" s="972"/>
      <c r="I3139" s="972"/>
      <c r="J3139" s="972"/>
      <c r="K3139" s="972"/>
      <c r="L3139" s="972"/>
      <c r="M3139" s="972"/>
    </row>
    <row r="3140" spans="5:13">
      <c r="E3140" s="972"/>
      <c r="F3140" s="972"/>
      <c r="G3140" s="972"/>
      <c r="H3140" s="972"/>
      <c r="I3140" s="972"/>
      <c r="J3140" s="972"/>
      <c r="K3140" s="972"/>
      <c r="L3140" s="972"/>
      <c r="M3140" s="972"/>
    </row>
    <row r="3141" spans="5:13">
      <c r="E3141" s="972"/>
      <c r="F3141" s="972"/>
      <c r="G3141" s="972"/>
      <c r="H3141" s="972"/>
      <c r="I3141" s="972"/>
      <c r="J3141" s="972"/>
      <c r="K3141" s="972"/>
      <c r="L3141" s="972"/>
      <c r="M3141" s="972"/>
    </row>
    <row r="3142" spans="5:13">
      <c r="E3142" s="972"/>
      <c r="F3142" s="972"/>
      <c r="G3142" s="972"/>
      <c r="H3142" s="972"/>
      <c r="I3142" s="972"/>
      <c r="J3142" s="972"/>
      <c r="K3142" s="972"/>
      <c r="L3142" s="972"/>
      <c r="M3142" s="972"/>
    </row>
    <row r="3143" spans="5:13">
      <c r="E3143" s="972"/>
      <c r="F3143" s="972"/>
      <c r="G3143" s="972"/>
      <c r="H3143" s="972"/>
      <c r="I3143" s="972"/>
      <c r="J3143" s="972"/>
      <c r="K3143" s="972"/>
      <c r="L3143" s="972"/>
      <c r="M3143" s="972"/>
    </row>
    <row r="3144" spans="5:13">
      <c r="E3144" s="972"/>
      <c r="F3144" s="972"/>
      <c r="G3144" s="972"/>
      <c r="H3144" s="972"/>
      <c r="I3144" s="972"/>
      <c r="J3144" s="972"/>
      <c r="K3144" s="972"/>
      <c r="L3144" s="972"/>
      <c r="M3144" s="972"/>
    </row>
    <row r="3145" spans="5:13">
      <c r="E3145" s="972"/>
      <c r="F3145" s="972"/>
      <c r="G3145" s="972"/>
      <c r="H3145" s="972"/>
      <c r="I3145" s="972"/>
      <c r="J3145" s="972"/>
      <c r="K3145" s="972"/>
      <c r="L3145" s="972"/>
      <c r="M3145" s="972"/>
    </row>
    <row r="3146" spans="5:13">
      <c r="E3146" s="972"/>
      <c r="F3146" s="972"/>
      <c r="G3146" s="972"/>
      <c r="H3146" s="972"/>
      <c r="I3146" s="972"/>
      <c r="J3146" s="972"/>
      <c r="K3146" s="972"/>
      <c r="L3146" s="972"/>
      <c r="M3146" s="972"/>
    </row>
    <row r="3147" spans="5:13">
      <c r="E3147" s="972"/>
      <c r="F3147" s="972"/>
      <c r="G3147" s="972"/>
      <c r="H3147" s="972"/>
      <c r="I3147" s="972"/>
      <c r="J3147" s="972"/>
      <c r="K3147" s="972"/>
      <c r="L3147" s="972"/>
      <c r="M3147" s="972"/>
    </row>
    <row r="3148" spans="5:13">
      <c r="E3148" s="972"/>
      <c r="F3148" s="972"/>
      <c r="G3148" s="972"/>
      <c r="H3148" s="972"/>
      <c r="I3148" s="972"/>
      <c r="J3148" s="972"/>
      <c r="K3148" s="972"/>
      <c r="L3148" s="972"/>
      <c r="M3148" s="972"/>
    </row>
    <row r="3149" spans="5:13">
      <c r="E3149" s="972"/>
      <c r="F3149" s="972"/>
      <c r="G3149" s="972"/>
      <c r="H3149" s="972"/>
      <c r="I3149" s="972"/>
      <c r="J3149" s="972"/>
      <c r="K3149" s="972"/>
      <c r="L3149" s="972"/>
      <c r="M3149" s="972"/>
    </row>
    <row r="3150" spans="5:13">
      <c r="E3150" s="972"/>
      <c r="F3150" s="972"/>
      <c r="G3150" s="972"/>
      <c r="H3150" s="972"/>
      <c r="I3150" s="972"/>
      <c r="J3150" s="972"/>
      <c r="K3150" s="972"/>
      <c r="L3150" s="972"/>
      <c r="M3150" s="972"/>
    </row>
    <row r="3151" spans="5:13">
      <c r="E3151" s="972"/>
      <c r="F3151" s="972"/>
      <c r="G3151" s="972"/>
      <c r="H3151" s="972"/>
      <c r="I3151" s="972"/>
      <c r="J3151" s="972"/>
      <c r="K3151" s="972"/>
      <c r="L3151" s="972"/>
      <c r="M3151" s="972"/>
    </row>
    <row r="3152" spans="5:13">
      <c r="E3152" s="972"/>
      <c r="F3152" s="972"/>
      <c r="G3152" s="972"/>
      <c r="H3152" s="972"/>
      <c r="I3152" s="972"/>
      <c r="J3152" s="972"/>
      <c r="K3152" s="972"/>
      <c r="L3152" s="972"/>
      <c r="M3152" s="972"/>
    </row>
    <row r="3153" spans="5:13">
      <c r="E3153" s="972"/>
      <c r="F3153" s="972"/>
      <c r="G3153" s="972"/>
      <c r="H3153" s="972"/>
      <c r="I3153" s="972"/>
      <c r="J3153" s="972"/>
      <c r="K3153" s="972"/>
      <c r="L3153" s="972"/>
      <c r="M3153" s="972"/>
    </row>
    <row r="3154" spans="5:13">
      <c r="E3154" s="972"/>
      <c r="F3154" s="972"/>
      <c r="G3154" s="972"/>
      <c r="H3154" s="972"/>
      <c r="I3154" s="972"/>
      <c r="J3154" s="972"/>
      <c r="K3154" s="972"/>
      <c r="L3154" s="972"/>
      <c r="M3154" s="972"/>
    </row>
    <row r="3155" spans="5:13">
      <c r="E3155" s="972"/>
      <c r="F3155" s="972"/>
      <c r="G3155" s="972"/>
      <c r="H3155" s="972"/>
      <c r="I3155" s="972"/>
      <c r="J3155" s="972"/>
      <c r="K3155" s="972"/>
      <c r="L3155" s="972"/>
      <c r="M3155" s="972"/>
    </row>
    <row r="3156" spans="5:13">
      <c r="E3156" s="972"/>
      <c r="F3156" s="972"/>
      <c r="G3156" s="972"/>
      <c r="H3156" s="972"/>
      <c r="I3156" s="972"/>
      <c r="J3156" s="972"/>
      <c r="K3156" s="972"/>
      <c r="L3156" s="972"/>
      <c r="M3156" s="972"/>
    </row>
    <row r="3157" spans="5:13">
      <c r="E3157" s="972"/>
      <c r="F3157" s="972"/>
      <c r="G3157" s="972"/>
      <c r="H3157" s="972"/>
      <c r="I3157" s="972"/>
      <c r="J3157" s="972"/>
      <c r="K3157" s="972"/>
      <c r="L3157" s="972"/>
      <c r="M3157" s="972"/>
    </row>
    <row r="3158" spans="5:13">
      <c r="E3158" s="972"/>
      <c r="F3158" s="972"/>
      <c r="G3158" s="972"/>
      <c r="H3158" s="972"/>
      <c r="I3158" s="972"/>
      <c r="J3158" s="972"/>
      <c r="K3158" s="972"/>
      <c r="L3158" s="972"/>
      <c r="M3158" s="972"/>
    </row>
    <row r="3159" spans="5:13">
      <c r="E3159" s="972"/>
      <c r="F3159" s="972"/>
      <c r="G3159" s="972"/>
      <c r="H3159" s="972"/>
      <c r="I3159" s="972"/>
      <c r="J3159" s="972"/>
      <c r="K3159" s="972"/>
      <c r="L3159" s="972"/>
      <c r="M3159" s="972"/>
    </row>
    <row r="3160" spans="5:13">
      <c r="E3160" s="972"/>
      <c r="F3160" s="972"/>
      <c r="G3160" s="972"/>
      <c r="H3160" s="972"/>
      <c r="I3160" s="972"/>
      <c r="J3160" s="972"/>
      <c r="K3160" s="972"/>
      <c r="L3160" s="972"/>
      <c r="M3160" s="972"/>
    </row>
    <row r="3161" spans="5:13">
      <c r="E3161" s="972"/>
      <c r="F3161" s="972"/>
      <c r="G3161" s="972"/>
      <c r="H3161" s="972"/>
      <c r="I3161" s="972"/>
      <c r="J3161" s="972"/>
      <c r="K3161" s="972"/>
      <c r="L3161" s="972"/>
      <c r="M3161" s="972"/>
    </row>
    <row r="3162" spans="5:13">
      <c r="E3162" s="972"/>
      <c r="F3162" s="972"/>
      <c r="G3162" s="972"/>
      <c r="H3162" s="972"/>
      <c r="I3162" s="972"/>
      <c r="J3162" s="972"/>
      <c r="K3162" s="972"/>
      <c r="L3162" s="972"/>
      <c r="M3162" s="972"/>
    </row>
    <row r="3163" spans="5:13">
      <c r="E3163" s="972"/>
      <c r="F3163" s="972"/>
      <c r="G3163" s="972"/>
      <c r="H3163" s="972"/>
      <c r="I3163" s="972"/>
      <c r="J3163" s="972"/>
      <c r="K3163" s="972"/>
      <c r="L3163" s="972"/>
      <c r="M3163" s="972"/>
    </row>
    <row r="3164" spans="5:13">
      <c r="E3164" s="972"/>
      <c r="F3164" s="972"/>
      <c r="G3164" s="972"/>
      <c r="H3164" s="972"/>
      <c r="I3164" s="972"/>
      <c r="J3164" s="972"/>
      <c r="K3164" s="972"/>
      <c r="L3164" s="972"/>
      <c r="M3164" s="972"/>
    </row>
    <row r="3165" spans="5:13">
      <c r="E3165" s="972"/>
      <c r="F3165" s="972"/>
      <c r="G3165" s="972"/>
      <c r="H3165" s="972"/>
      <c r="I3165" s="972"/>
      <c r="J3165" s="972"/>
      <c r="K3165" s="972"/>
      <c r="L3165" s="972"/>
      <c r="M3165" s="972"/>
    </row>
    <row r="3166" spans="5:13">
      <c r="E3166" s="972"/>
      <c r="F3166" s="972"/>
      <c r="G3166" s="972"/>
      <c r="H3166" s="972"/>
      <c r="I3166" s="972"/>
      <c r="J3166" s="972"/>
      <c r="K3166" s="972"/>
      <c r="L3166" s="972"/>
      <c r="M3166" s="972"/>
    </row>
    <row r="3167" spans="5:13">
      <c r="E3167" s="972"/>
      <c r="F3167" s="972"/>
      <c r="G3167" s="972"/>
      <c r="H3167" s="972"/>
      <c r="I3167" s="972"/>
      <c r="J3167" s="972"/>
      <c r="K3167" s="972"/>
      <c r="L3167" s="972"/>
      <c r="M3167" s="972"/>
    </row>
    <row r="3168" spans="5:13">
      <c r="E3168" s="972"/>
      <c r="F3168" s="972"/>
      <c r="G3168" s="972"/>
      <c r="H3168" s="972"/>
      <c r="I3168" s="972"/>
      <c r="J3168" s="972"/>
      <c r="K3168" s="972"/>
      <c r="L3168" s="972"/>
      <c r="M3168" s="972"/>
    </row>
    <row r="3169" spans="5:13">
      <c r="E3169" s="972"/>
      <c r="F3169" s="972"/>
      <c r="G3169" s="972"/>
      <c r="H3169" s="972"/>
      <c r="I3169" s="972"/>
      <c r="J3169" s="972"/>
      <c r="K3169" s="972"/>
      <c r="L3169" s="972"/>
      <c r="M3169" s="972"/>
    </row>
    <row r="3170" spans="5:13">
      <c r="E3170" s="972"/>
      <c r="F3170" s="972"/>
      <c r="G3170" s="972"/>
      <c r="H3170" s="972"/>
      <c r="I3170" s="972"/>
      <c r="J3170" s="972"/>
      <c r="K3170" s="972"/>
      <c r="L3170" s="972"/>
      <c r="M3170" s="972"/>
    </row>
    <row r="3171" spans="5:13">
      <c r="E3171" s="972"/>
      <c r="F3171" s="972"/>
      <c r="G3171" s="972"/>
      <c r="H3171" s="972"/>
      <c r="I3171" s="972"/>
      <c r="J3171" s="972"/>
      <c r="K3171" s="972"/>
      <c r="L3171" s="972"/>
      <c r="M3171" s="972"/>
    </row>
    <row r="3172" spans="5:13">
      <c r="E3172" s="972"/>
      <c r="F3172" s="972"/>
      <c r="G3172" s="972"/>
      <c r="H3172" s="972"/>
      <c r="I3172" s="972"/>
      <c r="J3172" s="972"/>
      <c r="K3172" s="972"/>
      <c r="L3172" s="972"/>
      <c r="M3172" s="972"/>
    </row>
    <row r="3173" spans="5:13">
      <c r="E3173" s="972"/>
      <c r="F3173" s="972"/>
      <c r="G3173" s="972"/>
      <c r="H3173" s="972"/>
      <c r="I3173" s="972"/>
      <c r="J3173" s="972"/>
      <c r="K3173" s="972"/>
      <c r="L3173" s="972"/>
      <c r="M3173" s="972"/>
    </row>
    <row r="3174" spans="5:13">
      <c r="E3174" s="972"/>
      <c r="F3174" s="972"/>
      <c r="G3174" s="972"/>
      <c r="H3174" s="972"/>
      <c r="I3174" s="972"/>
      <c r="J3174" s="972"/>
      <c r="K3174" s="972"/>
      <c r="L3174" s="972"/>
      <c r="M3174" s="972"/>
    </row>
    <row r="3175" spans="5:13">
      <c r="E3175" s="972"/>
      <c r="F3175" s="972"/>
      <c r="G3175" s="972"/>
      <c r="H3175" s="972"/>
      <c r="I3175" s="972"/>
      <c r="J3175" s="972"/>
      <c r="K3175" s="972"/>
      <c r="L3175" s="972"/>
      <c r="M3175" s="972"/>
    </row>
    <row r="3176" spans="5:13">
      <c r="E3176" s="972"/>
      <c r="F3176" s="972"/>
      <c r="G3176" s="972"/>
      <c r="H3176" s="972"/>
      <c r="I3176" s="972"/>
      <c r="J3176" s="972"/>
      <c r="K3176" s="972"/>
      <c r="L3176" s="972"/>
      <c r="M3176" s="972"/>
    </row>
    <row r="3177" spans="5:13">
      <c r="E3177" s="972"/>
      <c r="F3177" s="972"/>
      <c r="G3177" s="972"/>
      <c r="H3177" s="972"/>
      <c r="I3177" s="972"/>
      <c r="J3177" s="972"/>
      <c r="K3177" s="972"/>
      <c r="L3177" s="972"/>
      <c r="M3177" s="972"/>
    </row>
    <row r="3178" spans="5:13">
      <c r="E3178" s="972"/>
      <c r="F3178" s="972"/>
      <c r="G3178" s="972"/>
      <c r="H3178" s="972"/>
      <c r="I3178" s="972"/>
      <c r="J3178" s="972"/>
      <c r="K3178" s="972"/>
      <c r="L3178" s="972"/>
      <c r="M3178" s="972"/>
    </row>
    <row r="3179" spans="5:13">
      <c r="E3179" s="972"/>
      <c r="F3179" s="972"/>
      <c r="G3179" s="972"/>
      <c r="H3179" s="972"/>
      <c r="I3179" s="972"/>
      <c r="J3179" s="972"/>
      <c r="K3179" s="972"/>
      <c r="L3179" s="972"/>
      <c r="M3179" s="972"/>
    </row>
    <row r="3180" spans="5:13">
      <c r="E3180" s="972"/>
      <c r="F3180" s="972"/>
      <c r="G3180" s="972"/>
      <c r="H3180" s="972"/>
      <c r="I3180" s="972"/>
      <c r="J3180" s="972"/>
      <c r="K3180" s="972"/>
      <c r="L3180" s="972"/>
      <c r="M3180" s="972"/>
    </row>
    <row r="3181" spans="5:13">
      <c r="E3181" s="972"/>
      <c r="F3181" s="972"/>
      <c r="G3181" s="972"/>
      <c r="H3181" s="972"/>
      <c r="I3181" s="972"/>
      <c r="J3181" s="972"/>
      <c r="K3181" s="972"/>
      <c r="L3181" s="972"/>
      <c r="M3181" s="972"/>
    </row>
    <row r="3182" spans="5:13">
      <c r="E3182" s="972"/>
      <c r="F3182" s="972"/>
      <c r="G3182" s="972"/>
      <c r="H3182" s="972"/>
      <c r="I3182" s="972"/>
      <c r="J3182" s="972"/>
      <c r="K3182" s="972"/>
      <c r="L3182" s="972"/>
      <c r="M3182" s="972"/>
    </row>
    <row r="3183" spans="5:13">
      <c r="E3183" s="972"/>
      <c r="F3183" s="972"/>
      <c r="G3183" s="972"/>
      <c r="H3183" s="972"/>
      <c r="I3183" s="972"/>
      <c r="J3183" s="972"/>
      <c r="K3183" s="972"/>
      <c r="L3183" s="972"/>
      <c r="M3183" s="972"/>
    </row>
    <row r="3184" spans="5:13">
      <c r="E3184" s="972"/>
      <c r="F3184" s="972"/>
      <c r="G3184" s="972"/>
      <c r="H3184" s="972"/>
      <c r="I3184" s="972"/>
      <c r="J3184" s="972"/>
      <c r="K3184" s="972"/>
      <c r="L3184" s="972"/>
      <c r="M3184" s="972"/>
    </row>
    <row r="3185" spans="5:13">
      <c r="E3185" s="972"/>
      <c r="F3185" s="972"/>
      <c r="G3185" s="972"/>
      <c r="H3185" s="972"/>
      <c r="I3185" s="972"/>
      <c r="J3185" s="972"/>
      <c r="K3185" s="972"/>
      <c r="L3185" s="972"/>
      <c r="M3185" s="972"/>
    </row>
    <row r="3186" spans="5:13">
      <c r="E3186" s="972"/>
      <c r="F3186" s="972"/>
      <c r="G3186" s="972"/>
      <c r="H3186" s="972"/>
      <c r="I3186" s="972"/>
      <c r="J3186" s="972"/>
      <c r="K3186" s="972"/>
      <c r="L3186" s="972"/>
      <c r="M3186" s="972"/>
    </row>
    <row r="3187" spans="5:13">
      <c r="E3187" s="972"/>
      <c r="F3187" s="972"/>
      <c r="G3187" s="972"/>
      <c r="H3187" s="972"/>
      <c r="I3187" s="972"/>
      <c r="J3187" s="972"/>
      <c r="K3187" s="972"/>
      <c r="L3187" s="972"/>
      <c r="M3187" s="972"/>
    </row>
    <row r="3188" spans="5:13">
      <c r="E3188" s="972"/>
      <c r="F3188" s="972"/>
      <c r="G3188" s="972"/>
      <c r="H3188" s="972"/>
      <c r="I3188" s="972"/>
      <c r="J3188" s="972"/>
      <c r="K3188" s="972"/>
      <c r="L3188" s="972"/>
      <c r="M3188" s="972"/>
    </row>
    <row r="3189" spans="5:13">
      <c r="E3189" s="972"/>
      <c r="F3189" s="972"/>
      <c r="G3189" s="972"/>
      <c r="H3189" s="972"/>
      <c r="I3189" s="972"/>
      <c r="J3189" s="972"/>
      <c r="K3189" s="972"/>
      <c r="L3189" s="972"/>
      <c r="M3189" s="972"/>
    </row>
    <row r="3190" spans="5:13">
      <c r="E3190" s="972"/>
      <c r="F3190" s="972"/>
      <c r="G3190" s="972"/>
      <c r="H3190" s="972"/>
      <c r="I3190" s="972"/>
      <c r="J3190" s="972"/>
      <c r="K3190" s="972"/>
      <c r="L3190" s="972"/>
      <c r="M3190" s="972"/>
    </row>
    <row r="3191" spans="5:13">
      <c r="E3191" s="972"/>
      <c r="F3191" s="972"/>
      <c r="G3191" s="972"/>
      <c r="H3191" s="972"/>
      <c r="I3191" s="972"/>
      <c r="J3191" s="972"/>
      <c r="K3191" s="972"/>
      <c r="L3191" s="972"/>
      <c r="M3191" s="972"/>
    </row>
    <row r="3192" spans="5:13">
      <c r="E3192" s="972"/>
      <c r="F3192" s="972"/>
      <c r="G3192" s="972"/>
      <c r="H3192" s="972"/>
      <c r="I3192" s="972"/>
      <c r="J3192" s="972"/>
      <c r="K3192" s="972"/>
      <c r="L3192" s="972"/>
      <c r="M3192" s="972"/>
    </row>
    <row r="3193" spans="5:13">
      <c r="E3193" s="972"/>
      <c r="F3193" s="972"/>
      <c r="G3193" s="972"/>
      <c r="H3193" s="972"/>
      <c r="I3193" s="972"/>
      <c r="J3193" s="972"/>
      <c r="K3193" s="972"/>
      <c r="L3193" s="972"/>
      <c r="M3193" s="972"/>
    </row>
    <row r="3194" spans="5:13">
      <c r="E3194" s="972"/>
      <c r="F3194" s="972"/>
      <c r="G3194" s="972"/>
      <c r="H3194" s="972"/>
      <c r="I3194" s="972"/>
      <c r="J3194" s="972"/>
      <c r="K3194" s="972"/>
      <c r="L3194" s="972"/>
      <c r="M3194" s="972"/>
    </row>
    <row r="3195" spans="5:13">
      <c r="E3195" s="972"/>
      <c r="F3195" s="972"/>
      <c r="G3195" s="972"/>
      <c r="H3195" s="972"/>
      <c r="I3195" s="972"/>
      <c r="J3195" s="972"/>
      <c r="K3195" s="972"/>
      <c r="L3195" s="972"/>
      <c r="M3195" s="972"/>
    </row>
    <row r="3196" spans="5:13">
      <c r="E3196" s="972"/>
      <c r="F3196" s="972"/>
      <c r="G3196" s="972"/>
      <c r="H3196" s="972"/>
      <c r="I3196" s="972"/>
      <c r="J3196" s="972"/>
      <c r="K3196" s="972"/>
      <c r="L3196" s="972"/>
      <c r="M3196" s="972"/>
    </row>
    <row r="3197" spans="5:13">
      <c r="E3197" s="972"/>
      <c r="F3197" s="972"/>
      <c r="G3197" s="972"/>
      <c r="H3197" s="972"/>
      <c r="I3197" s="972"/>
      <c r="J3197" s="972"/>
      <c r="K3197" s="972"/>
      <c r="L3197" s="972"/>
      <c r="M3197" s="972"/>
    </row>
    <row r="3198" spans="5:13">
      <c r="E3198" s="972"/>
      <c r="F3198" s="972"/>
      <c r="G3198" s="972"/>
      <c r="H3198" s="972"/>
      <c r="I3198" s="972"/>
      <c r="J3198" s="972"/>
      <c r="K3198" s="972"/>
      <c r="L3198" s="972"/>
      <c r="M3198" s="972"/>
    </row>
    <row r="3199" spans="5:13">
      <c r="E3199" s="972"/>
      <c r="F3199" s="972"/>
      <c r="G3199" s="972"/>
      <c r="H3199" s="972"/>
      <c r="I3199" s="972"/>
      <c r="J3199" s="972"/>
      <c r="K3199" s="972"/>
      <c r="L3199" s="972"/>
      <c r="M3199" s="972"/>
    </row>
    <row r="3200" spans="5:13">
      <c r="E3200" s="972"/>
      <c r="F3200" s="972"/>
      <c r="G3200" s="972"/>
      <c r="H3200" s="972"/>
      <c r="I3200" s="972"/>
      <c r="J3200" s="972"/>
      <c r="K3200" s="972"/>
      <c r="L3200" s="972"/>
      <c r="M3200" s="972"/>
    </row>
    <row r="3201" spans="5:13">
      <c r="E3201" s="972"/>
      <c r="F3201" s="972"/>
      <c r="G3201" s="972"/>
      <c r="H3201" s="972"/>
      <c r="I3201" s="972"/>
      <c r="J3201" s="972"/>
      <c r="K3201" s="972"/>
      <c r="L3201" s="972"/>
      <c r="M3201" s="972"/>
    </row>
    <row r="3202" spans="5:13">
      <c r="E3202" s="972"/>
      <c r="F3202" s="972"/>
      <c r="G3202" s="972"/>
      <c r="H3202" s="972"/>
      <c r="I3202" s="972"/>
      <c r="J3202" s="972"/>
      <c r="K3202" s="972"/>
      <c r="L3202" s="972"/>
      <c r="M3202" s="972"/>
    </row>
    <row r="3203" spans="5:13">
      <c r="E3203" s="972"/>
      <c r="F3203" s="972"/>
      <c r="G3203" s="972"/>
      <c r="H3203" s="972"/>
      <c r="I3203" s="972"/>
      <c r="J3203" s="972"/>
      <c r="K3203" s="972"/>
      <c r="L3203" s="972"/>
      <c r="M3203" s="972"/>
    </row>
    <row r="3204" spans="5:13">
      <c r="E3204" s="972"/>
      <c r="F3204" s="972"/>
      <c r="G3204" s="972"/>
      <c r="H3204" s="972"/>
      <c r="I3204" s="972"/>
      <c r="J3204" s="972"/>
      <c r="K3204" s="972"/>
      <c r="L3204" s="972"/>
      <c r="M3204" s="972"/>
    </row>
    <row r="3205" spans="5:13">
      <c r="E3205" s="972"/>
      <c r="F3205" s="972"/>
      <c r="G3205" s="972"/>
      <c r="H3205" s="972"/>
      <c r="I3205" s="972"/>
      <c r="J3205" s="972"/>
      <c r="K3205" s="972"/>
      <c r="L3205" s="972"/>
      <c r="M3205" s="972"/>
    </row>
    <row r="3206" spans="5:13">
      <c r="E3206" s="972"/>
      <c r="F3206" s="972"/>
      <c r="G3206" s="972"/>
      <c r="H3206" s="972"/>
      <c r="I3206" s="972"/>
      <c r="J3206" s="972"/>
      <c r="K3206" s="972"/>
      <c r="L3206" s="972"/>
      <c r="M3206" s="972"/>
    </row>
    <row r="3207" spans="5:13">
      <c r="E3207" s="972"/>
      <c r="F3207" s="972"/>
      <c r="G3207" s="972"/>
      <c r="H3207" s="972"/>
      <c r="I3207" s="972"/>
      <c r="J3207" s="972"/>
      <c r="K3207" s="972"/>
      <c r="L3207" s="972"/>
      <c r="M3207" s="972"/>
    </row>
    <row r="3208" spans="5:13">
      <c r="E3208" s="972"/>
      <c r="F3208" s="972"/>
      <c r="G3208" s="972"/>
      <c r="H3208" s="972"/>
      <c r="I3208" s="972"/>
      <c r="J3208" s="972"/>
      <c r="K3208" s="972"/>
      <c r="L3208" s="972"/>
      <c r="M3208" s="972"/>
    </row>
    <row r="3209" spans="5:13">
      <c r="E3209" s="972"/>
      <c r="F3209" s="972"/>
      <c r="G3209" s="972"/>
      <c r="H3209" s="972"/>
      <c r="I3209" s="972"/>
      <c r="J3209" s="972"/>
      <c r="K3209" s="972"/>
      <c r="L3209" s="972"/>
      <c r="M3209" s="972"/>
    </row>
    <row r="3210" spans="5:13">
      <c r="E3210" s="972"/>
      <c r="F3210" s="972"/>
      <c r="G3210" s="972"/>
      <c r="H3210" s="972"/>
      <c r="I3210" s="972"/>
      <c r="J3210" s="972"/>
      <c r="K3210" s="972"/>
      <c r="L3210" s="972"/>
      <c r="M3210" s="972"/>
    </row>
    <row r="3211" spans="5:13">
      <c r="E3211" s="972"/>
      <c r="F3211" s="972"/>
      <c r="G3211" s="972"/>
      <c r="H3211" s="972"/>
      <c r="I3211" s="972"/>
      <c r="J3211" s="972"/>
      <c r="K3211" s="972"/>
      <c r="L3211" s="972"/>
      <c r="M3211" s="972"/>
    </row>
    <row r="3212" spans="5:13">
      <c r="E3212" s="972"/>
      <c r="F3212" s="972"/>
      <c r="G3212" s="972"/>
      <c r="H3212" s="972"/>
      <c r="I3212" s="972"/>
      <c r="J3212" s="972"/>
      <c r="K3212" s="972"/>
      <c r="L3212" s="972"/>
      <c r="M3212" s="972"/>
    </row>
    <row r="3213" spans="5:13">
      <c r="E3213" s="972"/>
      <c r="F3213" s="972"/>
      <c r="G3213" s="972"/>
      <c r="H3213" s="972"/>
      <c r="I3213" s="972"/>
      <c r="J3213" s="972"/>
      <c r="K3213" s="972"/>
      <c r="L3213" s="972"/>
      <c r="M3213" s="972"/>
    </row>
    <row r="3214" spans="5:13">
      <c r="E3214" s="972"/>
      <c r="F3214" s="972"/>
      <c r="G3214" s="972"/>
      <c r="H3214" s="972"/>
      <c r="I3214" s="972"/>
      <c r="J3214" s="972"/>
      <c r="K3214" s="972"/>
      <c r="L3214" s="972"/>
      <c r="M3214" s="972"/>
    </row>
    <row r="3215" spans="5:13">
      <c r="E3215" s="972"/>
      <c r="F3215" s="972"/>
      <c r="G3215" s="972"/>
      <c r="H3215" s="972"/>
      <c r="I3215" s="972"/>
      <c r="J3215" s="972"/>
      <c r="K3215" s="972"/>
      <c r="L3215" s="972"/>
      <c r="M3215" s="972"/>
    </row>
    <row r="3216" spans="5:13">
      <c r="E3216" s="972"/>
      <c r="F3216" s="972"/>
      <c r="G3216" s="972"/>
      <c r="H3216" s="972"/>
      <c r="I3216" s="972"/>
      <c r="J3216" s="972"/>
      <c r="K3216" s="972"/>
      <c r="L3216" s="972"/>
      <c r="M3216" s="972"/>
    </row>
    <row r="3217" spans="5:13">
      <c r="E3217" s="972"/>
      <c r="F3217" s="972"/>
      <c r="G3217" s="972"/>
      <c r="H3217" s="972"/>
      <c r="I3217" s="972"/>
      <c r="J3217" s="972"/>
      <c r="K3217" s="972"/>
      <c r="L3217" s="972"/>
      <c r="M3217" s="972"/>
    </row>
    <row r="3218" spans="5:13">
      <c r="E3218" s="972"/>
      <c r="F3218" s="972"/>
      <c r="G3218" s="972"/>
      <c r="H3218" s="972"/>
      <c r="I3218" s="972"/>
      <c r="J3218" s="972"/>
      <c r="K3218" s="972"/>
      <c r="L3218" s="972"/>
      <c r="M3218" s="972"/>
    </row>
    <row r="3219" spans="5:13">
      <c r="E3219" s="972"/>
      <c r="F3219" s="972"/>
      <c r="G3219" s="972"/>
      <c r="H3219" s="972"/>
      <c r="I3219" s="972"/>
      <c r="J3219" s="972"/>
      <c r="K3219" s="972"/>
      <c r="L3219" s="972"/>
      <c r="M3219" s="972"/>
    </row>
    <row r="3220" spans="5:13">
      <c r="E3220" s="972"/>
      <c r="F3220" s="972"/>
      <c r="G3220" s="972"/>
      <c r="H3220" s="972"/>
      <c r="I3220" s="972"/>
      <c r="J3220" s="972"/>
      <c r="K3220" s="972"/>
      <c r="L3220" s="972"/>
      <c r="M3220" s="972"/>
    </row>
    <row r="3221" spans="5:13">
      <c r="E3221" s="972"/>
      <c r="F3221" s="972"/>
      <c r="G3221" s="972"/>
      <c r="H3221" s="972"/>
      <c r="I3221" s="972"/>
      <c r="J3221" s="972"/>
      <c r="K3221" s="972"/>
      <c r="L3221" s="972"/>
      <c r="M3221" s="972"/>
    </row>
    <row r="3222" spans="5:13">
      <c r="E3222" s="972"/>
      <c r="F3222" s="972"/>
      <c r="G3222" s="972"/>
      <c r="H3222" s="972"/>
      <c r="I3222" s="972"/>
      <c r="J3222" s="972"/>
      <c r="K3222" s="972"/>
      <c r="L3222" s="972"/>
      <c r="M3222" s="972"/>
    </row>
    <row r="3223" spans="5:13">
      <c r="E3223" s="972"/>
      <c r="F3223" s="972"/>
      <c r="G3223" s="972"/>
      <c r="H3223" s="972"/>
      <c r="I3223" s="972"/>
      <c r="J3223" s="972"/>
      <c r="K3223" s="972"/>
      <c r="L3223" s="972"/>
      <c r="M3223" s="972"/>
    </row>
    <row r="3224" spans="5:13">
      <c r="E3224" s="972"/>
      <c r="F3224" s="972"/>
      <c r="G3224" s="972"/>
      <c r="H3224" s="972"/>
      <c r="I3224" s="972"/>
      <c r="J3224" s="972"/>
      <c r="K3224" s="972"/>
      <c r="L3224" s="972"/>
      <c r="M3224" s="972"/>
    </row>
    <row r="3225" spans="5:13">
      <c r="E3225" s="972"/>
      <c r="F3225" s="972"/>
      <c r="G3225" s="972"/>
      <c r="H3225" s="972"/>
      <c r="I3225" s="972"/>
      <c r="J3225" s="972"/>
      <c r="K3225" s="972"/>
      <c r="L3225" s="972"/>
      <c r="M3225" s="972"/>
    </row>
    <row r="3226" spans="5:13">
      <c r="E3226" s="972"/>
      <c r="F3226" s="972"/>
      <c r="G3226" s="972"/>
      <c r="H3226" s="972"/>
      <c r="I3226" s="972"/>
      <c r="J3226" s="972"/>
      <c r="K3226" s="972"/>
      <c r="L3226" s="972"/>
      <c r="M3226" s="972"/>
    </row>
    <row r="3227" spans="5:13">
      <c r="E3227" s="972"/>
      <c r="F3227" s="972"/>
      <c r="G3227" s="972"/>
      <c r="H3227" s="972"/>
      <c r="I3227" s="972"/>
      <c r="J3227" s="972"/>
      <c r="K3227" s="972"/>
      <c r="L3227" s="972"/>
      <c r="M3227" s="972"/>
    </row>
    <row r="3228" spans="5:13">
      <c r="E3228" s="972"/>
      <c r="F3228" s="972"/>
      <c r="G3228" s="972"/>
      <c r="H3228" s="972"/>
      <c r="I3228" s="972"/>
      <c r="J3228" s="972"/>
      <c r="K3228" s="972"/>
      <c r="L3228" s="972"/>
      <c r="M3228" s="972"/>
    </row>
    <row r="3229" spans="5:13">
      <c r="E3229" s="972"/>
      <c r="F3229" s="972"/>
      <c r="G3229" s="972"/>
      <c r="H3229" s="972"/>
      <c r="I3229" s="972"/>
      <c r="J3229" s="972"/>
      <c r="K3229" s="972"/>
      <c r="L3229" s="972"/>
      <c r="M3229" s="972"/>
    </row>
    <row r="3230" spans="5:13">
      <c r="E3230" s="972"/>
      <c r="F3230" s="972"/>
      <c r="G3230" s="972"/>
      <c r="H3230" s="972"/>
      <c r="I3230" s="972"/>
      <c r="J3230" s="972"/>
      <c r="K3230" s="972"/>
      <c r="L3230" s="972"/>
      <c r="M3230" s="972"/>
    </row>
    <row r="3231" spans="5:13">
      <c r="E3231" s="972"/>
      <c r="F3231" s="972"/>
      <c r="G3231" s="972"/>
      <c r="H3231" s="972"/>
      <c r="I3231" s="972"/>
      <c r="J3231" s="972"/>
      <c r="K3231" s="972"/>
      <c r="L3231" s="972"/>
      <c r="M3231" s="972"/>
    </row>
    <row r="3232" spans="5:13">
      <c r="E3232" s="972"/>
      <c r="F3232" s="972"/>
      <c r="G3232" s="972"/>
      <c r="H3232" s="972"/>
      <c r="I3232" s="972"/>
      <c r="J3232" s="972"/>
      <c r="K3232" s="972"/>
      <c r="L3232" s="972"/>
      <c r="M3232" s="972"/>
    </row>
    <row r="3233" spans="5:13">
      <c r="E3233" s="972"/>
      <c r="F3233" s="972"/>
      <c r="G3233" s="972"/>
      <c r="H3233" s="972"/>
      <c r="I3233" s="972"/>
      <c r="J3233" s="972"/>
      <c r="K3233" s="972"/>
      <c r="L3233" s="972"/>
      <c r="M3233" s="972"/>
    </row>
    <row r="3234" spans="5:13">
      <c r="E3234" s="972"/>
      <c r="F3234" s="972"/>
      <c r="G3234" s="972"/>
      <c r="H3234" s="972"/>
      <c r="I3234" s="972"/>
      <c r="J3234" s="972"/>
      <c r="K3234" s="972"/>
      <c r="L3234" s="972"/>
      <c r="M3234" s="972"/>
    </row>
    <row r="3235" spans="5:13">
      <c r="E3235" s="972"/>
      <c r="F3235" s="972"/>
      <c r="G3235" s="972"/>
      <c r="H3235" s="972"/>
      <c r="I3235" s="972"/>
      <c r="J3235" s="972"/>
      <c r="K3235" s="972"/>
      <c r="L3235" s="972"/>
      <c r="M3235" s="972"/>
    </row>
    <row r="3236" spans="5:13">
      <c r="E3236" s="972"/>
      <c r="F3236" s="972"/>
      <c r="G3236" s="972"/>
      <c r="H3236" s="972"/>
      <c r="I3236" s="972"/>
      <c r="J3236" s="972"/>
      <c r="K3236" s="972"/>
      <c r="L3236" s="972"/>
      <c r="M3236" s="972"/>
    </row>
    <row r="3237" spans="5:13">
      <c r="E3237" s="972"/>
      <c r="F3237" s="972"/>
      <c r="G3237" s="972"/>
      <c r="H3237" s="972"/>
      <c r="I3237" s="972"/>
      <c r="J3237" s="972"/>
      <c r="K3237" s="972"/>
      <c r="L3237" s="972"/>
      <c r="M3237" s="972"/>
    </row>
    <row r="3238" spans="5:13">
      <c r="E3238" s="972"/>
      <c r="F3238" s="972"/>
      <c r="G3238" s="972"/>
      <c r="H3238" s="972"/>
      <c r="I3238" s="972"/>
      <c r="J3238" s="972"/>
      <c r="K3238" s="972"/>
      <c r="L3238" s="972"/>
      <c r="M3238" s="972"/>
    </row>
    <row r="3239" spans="5:13">
      <c r="E3239" s="972"/>
      <c r="F3239" s="972"/>
      <c r="G3239" s="972"/>
      <c r="H3239" s="972"/>
      <c r="I3239" s="972"/>
      <c r="J3239" s="972"/>
      <c r="K3239" s="972"/>
      <c r="L3239" s="972"/>
      <c r="M3239" s="972"/>
    </row>
    <row r="3240" spans="5:13">
      <c r="E3240" s="972"/>
      <c r="F3240" s="972"/>
      <c r="G3240" s="972"/>
      <c r="H3240" s="972"/>
      <c r="I3240" s="972"/>
      <c r="J3240" s="972"/>
      <c r="K3240" s="972"/>
      <c r="L3240" s="972"/>
      <c r="M3240" s="972"/>
    </row>
    <row r="3241" spans="5:13">
      <c r="E3241" s="972"/>
      <c r="F3241" s="972"/>
      <c r="G3241" s="972"/>
      <c r="H3241" s="972"/>
      <c r="I3241" s="972"/>
      <c r="J3241" s="972"/>
      <c r="K3241" s="972"/>
      <c r="L3241" s="972"/>
      <c r="M3241" s="972"/>
    </row>
    <row r="3242" spans="5:13">
      <c r="E3242" s="972"/>
      <c r="F3242" s="972"/>
      <c r="G3242" s="972"/>
      <c r="H3242" s="972"/>
      <c r="I3242" s="972"/>
      <c r="J3242" s="972"/>
      <c r="K3242" s="972"/>
      <c r="L3242" s="972"/>
      <c r="M3242" s="972"/>
    </row>
    <row r="3243" spans="5:13">
      <c r="E3243" s="972"/>
      <c r="F3243" s="972"/>
      <c r="G3243" s="972"/>
      <c r="H3243" s="972"/>
      <c r="I3243" s="972"/>
      <c r="J3243" s="972"/>
      <c r="K3243" s="972"/>
      <c r="L3243" s="972"/>
      <c r="M3243" s="972"/>
    </row>
    <row r="3244" spans="5:13">
      <c r="E3244" s="972"/>
      <c r="F3244" s="972"/>
      <c r="G3244" s="972"/>
      <c r="H3244" s="972"/>
      <c r="I3244" s="972"/>
      <c r="J3244" s="972"/>
      <c r="K3244" s="972"/>
      <c r="L3244" s="972"/>
      <c r="M3244" s="972"/>
    </row>
    <row r="3245" spans="5:13">
      <c r="E3245" s="972"/>
      <c r="F3245" s="972"/>
      <c r="G3245" s="972"/>
      <c r="H3245" s="972"/>
      <c r="I3245" s="972"/>
      <c r="J3245" s="972"/>
      <c r="K3245" s="972"/>
      <c r="L3245" s="972"/>
      <c r="M3245" s="972"/>
    </row>
    <row r="3246" spans="5:13">
      <c r="E3246" s="972"/>
      <c r="F3246" s="972"/>
      <c r="G3246" s="972"/>
      <c r="H3246" s="972"/>
      <c r="I3246" s="972"/>
      <c r="J3246" s="972"/>
      <c r="K3246" s="972"/>
      <c r="L3246" s="972"/>
      <c r="M3246" s="972"/>
    </row>
    <row r="3247" spans="5:13">
      <c r="E3247" s="972"/>
      <c r="F3247" s="972"/>
      <c r="G3247" s="972"/>
      <c r="H3247" s="972"/>
      <c r="I3247" s="972"/>
      <c r="J3247" s="972"/>
      <c r="K3247" s="972"/>
      <c r="L3247" s="972"/>
      <c r="M3247" s="972"/>
    </row>
    <row r="3248" spans="5:13">
      <c r="E3248" s="972"/>
      <c r="F3248" s="972"/>
      <c r="G3248" s="972"/>
      <c r="H3248" s="972"/>
      <c r="I3248" s="972"/>
      <c r="J3248" s="972"/>
      <c r="K3248" s="972"/>
      <c r="L3248" s="972"/>
      <c r="M3248" s="972"/>
    </row>
    <row r="3249" spans="5:13">
      <c r="E3249" s="972"/>
      <c r="F3249" s="972"/>
      <c r="G3249" s="972"/>
      <c r="H3249" s="972"/>
      <c r="I3249" s="972"/>
      <c r="J3249" s="972"/>
      <c r="K3249" s="972"/>
      <c r="L3249" s="972"/>
      <c r="M3249" s="972"/>
    </row>
    <row r="3250" spans="5:13">
      <c r="E3250" s="972"/>
      <c r="F3250" s="972"/>
      <c r="G3250" s="972"/>
      <c r="H3250" s="972"/>
      <c r="I3250" s="972"/>
      <c r="J3250" s="972"/>
      <c r="K3250" s="972"/>
      <c r="L3250" s="972"/>
      <c r="M3250" s="972"/>
    </row>
    <row r="3251" spans="5:13">
      <c r="E3251" s="972"/>
      <c r="F3251" s="972"/>
      <c r="G3251" s="972"/>
      <c r="H3251" s="972"/>
      <c r="I3251" s="972"/>
      <c r="J3251" s="972"/>
      <c r="K3251" s="972"/>
      <c r="L3251" s="972"/>
      <c r="M3251" s="972"/>
    </row>
    <row r="3252" spans="5:13">
      <c r="E3252" s="972"/>
      <c r="F3252" s="972"/>
      <c r="G3252" s="972"/>
      <c r="H3252" s="972"/>
      <c r="I3252" s="972"/>
      <c r="J3252" s="972"/>
      <c r="K3252" s="972"/>
      <c r="L3252" s="972"/>
      <c r="M3252" s="972"/>
    </row>
    <row r="3253" spans="5:13">
      <c r="E3253" s="972"/>
      <c r="F3253" s="972"/>
      <c r="G3253" s="972"/>
      <c r="H3253" s="972"/>
      <c r="I3253" s="972"/>
      <c r="J3253" s="972"/>
      <c r="K3253" s="972"/>
      <c r="L3253" s="972"/>
      <c r="M3253" s="972"/>
    </row>
    <row r="3254" spans="5:13">
      <c r="E3254" s="972"/>
      <c r="F3254" s="972"/>
      <c r="G3254" s="972"/>
      <c r="H3254" s="972"/>
      <c r="I3254" s="972"/>
      <c r="J3254" s="972"/>
      <c r="K3254" s="972"/>
      <c r="L3254" s="972"/>
      <c r="M3254" s="972"/>
    </row>
    <row r="3255" spans="5:13">
      <c r="E3255" s="972"/>
      <c r="F3255" s="972"/>
      <c r="G3255" s="972"/>
      <c r="H3255" s="972"/>
      <c r="I3255" s="972"/>
      <c r="J3255" s="972"/>
      <c r="K3255" s="972"/>
      <c r="L3255" s="972"/>
      <c r="M3255" s="972"/>
    </row>
    <row r="3256" spans="5:13">
      <c r="E3256" s="972"/>
      <c r="F3256" s="972"/>
      <c r="G3256" s="972"/>
      <c r="H3256" s="972"/>
      <c r="I3256" s="972"/>
      <c r="J3256" s="972"/>
      <c r="K3256" s="972"/>
      <c r="L3256" s="972"/>
      <c r="M3256" s="972"/>
    </row>
    <row r="3257" spans="5:13">
      <c r="E3257" s="972"/>
      <c r="F3257" s="972"/>
      <c r="G3257" s="972"/>
      <c r="H3257" s="972"/>
      <c r="I3257" s="972"/>
      <c r="J3257" s="972"/>
      <c r="K3257" s="972"/>
      <c r="L3257" s="972"/>
      <c r="M3257" s="972"/>
    </row>
    <row r="3258" spans="5:13">
      <c r="E3258" s="972"/>
      <c r="F3258" s="972"/>
      <c r="G3258" s="972"/>
      <c r="H3258" s="972"/>
      <c r="I3258" s="972"/>
      <c r="J3258" s="972"/>
      <c r="K3258" s="972"/>
      <c r="L3258" s="972"/>
      <c r="M3258" s="972"/>
    </row>
    <row r="3259" spans="5:13">
      <c r="E3259" s="972"/>
      <c r="F3259" s="972"/>
      <c r="G3259" s="972"/>
      <c r="H3259" s="972"/>
      <c r="I3259" s="972"/>
      <c r="J3259" s="972"/>
      <c r="K3259" s="972"/>
      <c r="L3259" s="972"/>
      <c r="M3259" s="972"/>
    </row>
    <row r="3260" spans="5:13">
      <c r="E3260" s="972"/>
      <c r="F3260" s="972"/>
      <c r="G3260" s="972"/>
      <c r="H3260" s="972"/>
      <c r="I3260" s="972"/>
      <c r="J3260" s="972"/>
      <c r="K3260" s="972"/>
      <c r="L3260" s="972"/>
      <c r="M3260" s="972"/>
    </row>
    <row r="3261" spans="5:13">
      <c r="E3261" s="972"/>
      <c r="F3261" s="972"/>
      <c r="G3261" s="972"/>
      <c r="H3261" s="972"/>
      <c r="I3261" s="972"/>
      <c r="J3261" s="972"/>
      <c r="K3261" s="972"/>
      <c r="L3261" s="972"/>
      <c r="M3261" s="972"/>
    </row>
    <row r="3262" spans="5:13">
      <c r="E3262" s="972"/>
      <c r="F3262" s="972"/>
      <c r="G3262" s="972"/>
      <c r="H3262" s="972"/>
      <c r="I3262" s="972"/>
      <c r="J3262" s="972"/>
      <c r="K3262" s="972"/>
      <c r="L3262" s="972"/>
      <c r="M3262" s="972"/>
    </row>
    <row r="3263" spans="5:13">
      <c r="E3263" s="972"/>
      <c r="F3263" s="972"/>
      <c r="G3263" s="972"/>
      <c r="H3263" s="972"/>
      <c r="I3263" s="972"/>
      <c r="J3263" s="972"/>
      <c r="K3263" s="972"/>
      <c r="L3263" s="972"/>
      <c r="M3263" s="972"/>
    </row>
    <row r="3264" spans="5:13">
      <c r="E3264" s="972"/>
      <c r="F3264" s="972"/>
      <c r="G3264" s="972"/>
      <c r="H3264" s="972"/>
      <c r="I3264" s="972"/>
      <c r="J3264" s="972"/>
      <c r="K3264" s="972"/>
      <c r="L3264" s="972"/>
      <c r="M3264" s="972"/>
    </row>
    <row r="3265" spans="5:13">
      <c r="E3265" s="972"/>
      <c r="F3265" s="972"/>
      <c r="G3265" s="972"/>
      <c r="H3265" s="972"/>
      <c r="I3265" s="972"/>
      <c r="J3265" s="972"/>
      <c r="K3265" s="972"/>
      <c r="L3265" s="972"/>
      <c r="M3265" s="972"/>
    </row>
    <row r="3266" spans="5:13">
      <c r="E3266" s="972"/>
      <c r="F3266" s="972"/>
      <c r="G3266" s="972"/>
      <c r="H3266" s="972"/>
      <c r="I3266" s="972"/>
      <c r="J3266" s="972"/>
      <c r="K3266" s="972"/>
      <c r="L3266" s="972"/>
      <c r="M3266" s="972"/>
    </row>
    <row r="3267" spans="5:13">
      <c r="E3267" s="972"/>
      <c r="F3267" s="972"/>
      <c r="G3267" s="972"/>
      <c r="H3267" s="972"/>
      <c r="I3267" s="972"/>
      <c r="J3267" s="972"/>
      <c r="K3267" s="972"/>
      <c r="L3267" s="972"/>
      <c r="M3267" s="972"/>
    </row>
    <row r="3268" spans="5:13">
      <c r="E3268" s="972"/>
      <c r="F3268" s="972"/>
      <c r="G3268" s="972"/>
      <c r="H3268" s="972"/>
      <c r="I3268" s="972"/>
      <c r="J3268" s="972"/>
      <c r="K3268" s="972"/>
      <c r="L3268" s="972"/>
      <c r="M3268" s="972"/>
    </row>
    <row r="3269" spans="5:13">
      <c r="E3269" s="972"/>
      <c r="F3269" s="972"/>
      <c r="G3269" s="972"/>
      <c r="H3269" s="972"/>
      <c r="I3269" s="972"/>
      <c r="J3269" s="972"/>
      <c r="K3269" s="972"/>
      <c r="L3269" s="972"/>
      <c r="M3269" s="972"/>
    </row>
    <row r="3270" spans="5:13">
      <c r="E3270" s="972"/>
      <c r="F3270" s="972"/>
      <c r="G3270" s="972"/>
      <c r="H3270" s="972"/>
      <c r="I3270" s="972"/>
      <c r="J3270" s="972"/>
      <c r="K3270" s="972"/>
      <c r="L3270" s="972"/>
      <c r="M3270" s="972"/>
    </row>
    <row r="3271" spans="5:13">
      <c r="E3271" s="972"/>
      <c r="F3271" s="972"/>
      <c r="G3271" s="972"/>
      <c r="H3271" s="972"/>
      <c r="I3271" s="972"/>
      <c r="J3271" s="972"/>
      <c r="K3271" s="972"/>
      <c r="L3271" s="972"/>
      <c r="M3271" s="972"/>
    </row>
    <row r="3272" spans="5:13">
      <c r="E3272" s="972"/>
      <c r="F3272" s="972"/>
      <c r="G3272" s="972"/>
      <c r="H3272" s="972"/>
      <c r="I3272" s="972"/>
      <c r="J3272" s="972"/>
      <c r="K3272" s="972"/>
      <c r="L3272" s="972"/>
      <c r="M3272" s="972"/>
    </row>
    <row r="3273" spans="5:13">
      <c r="E3273" s="972"/>
      <c r="F3273" s="972"/>
      <c r="G3273" s="972"/>
      <c r="H3273" s="972"/>
      <c r="I3273" s="972"/>
      <c r="J3273" s="972"/>
      <c r="K3273" s="972"/>
      <c r="L3273" s="972"/>
      <c r="M3273" s="972"/>
    </row>
    <row r="3274" spans="5:13">
      <c r="E3274" s="972"/>
      <c r="F3274" s="972"/>
      <c r="G3274" s="972"/>
      <c r="H3274" s="972"/>
      <c r="I3274" s="972"/>
      <c r="J3274" s="972"/>
      <c r="K3274" s="972"/>
      <c r="L3274" s="972"/>
      <c r="M3274" s="972"/>
    </row>
    <row r="3275" spans="5:13">
      <c r="E3275" s="972"/>
      <c r="F3275" s="972"/>
      <c r="G3275" s="972"/>
      <c r="H3275" s="972"/>
      <c r="I3275" s="972"/>
      <c r="J3275" s="972"/>
      <c r="K3275" s="972"/>
      <c r="L3275" s="972"/>
      <c r="M3275" s="972"/>
    </row>
    <row r="3276" spans="5:13">
      <c r="E3276" s="972"/>
      <c r="F3276" s="972"/>
      <c r="G3276" s="972"/>
      <c r="H3276" s="972"/>
      <c r="I3276" s="972"/>
      <c r="J3276" s="972"/>
      <c r="K3276" s="972"/>
      <c r="L3276" s="972"/>
      <c r="M3276" s="972"/>
    </row>
    <row r="3277" spans="5:13">
      <c r="E3277" s="972"/>
      <c r="F3277" s="972"/>
      <c r="G3277" s="972"/>
      <c r="H3277" s="972"/>
      <c r="I3277" s="972"/>
      <c r="J3277" s="972"/>
      <c r="K3277" s="972"/>
      <c r="L3277" s="972"/>
      <c r="M3277" s="972"/>
    </row>
    <row r="3278" spans="5:13">
      <c r="E3278" s="972"/>
      <c r="F3278" s="972"/>
      <c r="G3278" s="972"/>
      <c r="H3278" s="972"/>
      <c r="I3278" s="972"/>
      <c r="J3278" s="972"/>
      <c r="K3278" s="972"/>
      <c r="L3278" s="972"/>
      <c r="M3278" s="972"/>
    </row>
    <row r="3279" spans="5:13">
      <c r="E3279" s="972"/>
      <c r="F3279" s="972"/>
      <c r="G3279" s="972"/>
      <c r="H3279" s="972"/>
      <c r="I3279" s="972"/>
      <c r="J3279" s="972"/>
      <c r="K3279" s="972"/>
      <c r="L3279" s="972"/>
      <c r="M3279" s="972"/>
    </row>
    <row r="3280" spans="5:13">
      <c r="E3280" s="972"/>
      <c r="F3280" s="972"/>
      <c r="G3280" s="972"/>
      <c r="H3280" s="972"/>
      <c r="I3280" s="972"/>
      <c r="J3280" s="972"/>
      <c r="K3280" s="972"/>
      <c r="L3280" s="972"/>
      <c r="M3280" s="972"/>
    </row>
    <row r="3281" spans="5:13">
      <c r="E3281" s="972"/>
      <c r="F3281" s="972"/>
      <c r="G3281" s="972"/>
      <c r="H3281" s="972"/>
      <c r="I3281" s="972"/>
      <c r="J3281" s="972"/>
      <c r="K3281" s="972"/>
      <c r="L3281" s="972"/>
      <c r="M3281" s="972"/>
    </row>
    <row r="3282" spans="5:13">
      <c r="E3282" s="972"/>
      <c r="F3282" s="972"/>
      <c r="G3282" s="972"/>
      <c r="H3282" s="972"/>
      <c r="I3282" s="972"/>
      <c r="J3282" s="972"/>
      <c r="K3282" s="972"/>
      <c r="L3282" s="972"/>
      <c r="M3282" s="972"/>
    </row>
    <row r="3283" spans="5:13">
      <c r="E3283" s="972"/>
      <c r="F3283" s="972"/>
      <c r="G3283" s="972"/>
      <c r="H3283" s="972"/>
      <c r="I3283" s="972"/>
      <c r="J3283" s="972"/>
      <c r="K3283" s="972"/>
      <c r="L3283" s="972"/>
      <c r="M3283" s="972"/>
    </row>
    <row r="3284" spans="5:13">
      <c r="E3284" s="972"/>
      <c r="F3284" s="972"/>
      <c r="G3284" s="972"/>
      <c r="H3284" s="972"/>
      <c r="I3284" s="972"/>
      <c r="J3284" s="972"/>
      <c r="K3284" s="972"/>
      <c r="L3284" s="972"/>
      <c r="M3284" s="972"/>
    </row>
    <row r="3285" spans="5:13">
      <c r="E3285" s="972"/>
      <c r="F3285" s="972"/>
      <c r="G3285" s="972"/>
      <c r="H3285" s="972"/>
      <c r="I3285" s="972"/>
      <c r="J3285" s="972"/>
      <c r="K3285" s="972"/>
      <c r="L3285" s="972"/>
      <c r="M3285" s="972"/>
    </row>
    <row r="3286" spans="5:13">
      <c r="E3286" s="972"/>
      <c r="F3286" s="972"/>
      <c r="G3286" s="972"/>
      <c r="H3286" s="972"/>
      <c r="I3286" s="972"/>
      <c r="J3286" s="972"/>
      <c r="K3286" s="972"/>
      <c r="L3286" s="972"/>
      <c r="M3286" s="972"/>
    </row>
    <row r="3287" spans="5:13">
      <c r="E3287" s="972"/>
      <c r="F3287" s="972"/>
      <c r="G3287" s="972"/>
      <c r="H3287" s="972"/>
      <c r="I3287" s="972"/>
      <c r="J3287" s="972"/>
      <c r="K3287" s="972"/>
      <c r="L3287" s="972"/>
      <c r="M3287" s="972"/>
    </row>
    <row r="3288" spans="5:13">
      <c r="E3288" s="972"/>
      <c r="F3288" s="972"/>
      <c r="G3288" s="972"/>
      <c r="H3288" s="972"/>
      <c r="I3288" s="972"/>
      <c r="J3288" s="972"/>
      <c r="K3288" s="972"/>
      <c r="L3288" s="972"/>
      <c r="M3288" s="972"/>
    </row>
    <row r="3289" spans="5:13">
      <c r="E3289" s="972"/>
      <c r="F3289" s="972"/>
      <c r="G3289" s="972"/>
      <c r="H3289" s="972"/>
      <c r="I3289" s="972"/>
      <c r="J3289" s="972"/>
      <c r="K3289" s="972"/>
      <c r="L3289" s="972"/>
      <c r="M3289" s="972"/>
    </row>
    <row r="3290" spans="5:13">
      <c r="E3290" s="972"/>
      <c r="F3290" s="972"/>
      <c r="G3290" s="972"/>
      <c r="H3290" s="972"/>
      <c r="I3290" s="972"/>
      <c r="J3290" s="972"/>
      <c r="K3290" s="972"/>
      <c r="L3290" s="972"/>
      <c r="M3290" s="972"/>
    </row>
    <row r="3291" spans="5:13">
      <c r="E3291" s="972"/>
      <c r="F3291" s="972"/>
      <c r="G3291" s="972"/>
      <c r="H3291" s="972"/>
      <c r="I3291" s="972"/>
      <c r="J3291" s="972"/>
      <c r="K3291" s="972"/>
      <c r="L3291" s="972"/>
      <c r="M3291" s="972"/>
    </row>
    <row r="3292" spans="5:13">
      <c r="E3292" s="972"/>
      <c r="F3292" s="972"/>
      <c r="G3292" s="972"/>
      <c r="H3292" s="972"/>
      <c r="I3292" s="972"/>
      <c r="J3292" s="972"/>
      <c r="K3292" s="972"/>
      <c r="L3292" s="972"/>
      <c r="M3292" s="972"/>
    </row>
    <row r="3293" spans="5:13">
      <c r="E3293" s="972"/>
      <c r="F3293" s="972"/>
      <c r="G3293" s="972"/>
      <c r="H3293" s="972"/>
      <c r="I3293" s="972"/>
      <c r="J3293" s="972"/>
      <c r="K3293" s="972"/>
      <c r="L3293" s="972"/>
      <c r="M3293" s="972"/>
    </row>
    <row r="3294" spans="5:13">
      <c r="E3294" s="972"/>
      <c r="F3294" s="972"/>
      <c r="G3294" s="972"/>
      <c r="H3294" s="972"/>
      <c r="I3294" s="972"/>
      <c r="J3294" s="972"/>
      <c r="K3294" s="972"/>
      <c r="L3294" s="972"/>
      <c r="M3294" s="972"/>
    </row>
    <row r="3295" spans="5:13">
      <c r="E3295" s="972"/>
      <c r="F3295" s="972"/>
      <c r="G3295" s="972"/>
      <c r="H3295" s="972"/>
      <c r="I3295" s="972"/>
      <c r="J3295" s="972"/>
      <c r="K3295" s="972"/>
      <c r="L3295" s="972"/>
      <c r="M3295" s="972"/>
    </row>
    <row r="3296" spans="5:13">
      <c r="E3296" s="972"/>
      <c r="F3296" s="972"/>
      <c r="G3296" s="972"/>
      <c r="H3296" s="972"/>
      <c r="I3296" s="972"/>
      <c r="J3296" s="972"/>
      <c r="K3296" s="972"/>
      <c r="L3296" s="972"/>
      <c r="M3296" s="972"/>
    </row>
    <row r="3297" spans="5:13">
      <c r="E3297" s="972"/>
      <c r="F3297" s="972"/>
      <c r="G3297" s="972"/>
      <c r="H3297" s="972"/>
      <c r="I3297" s="972"/>
      <c r="J3297" s="972"/>
      <c r="K3297" s="972"/>
      <c r="L3297" s="972"/>
      <c r="M3297" s="972"/>
    </row>
    <row r="3298" spans="5:13">
      <c r="E3298" s="972"/>
      <c r="F3298" s="972"/>
      <c r="G3298" s="972"/>
      <c r="H3298" s="972"/>
      <c r="I3298" s="972"/>
      <c r="J3298" s="972"/>
      <c r="K3298" s="972"/>
      <c r="L3298" s="972"/>
      <c r="M3298" s="972"/>
    </row>
    <row r="3299" spans="5:13">
      <c r="E3299" s="972"/>
      <c r="F3299" s="972"/>
      <c r="G3299" s="972"/>
      <c r="H3299" s="972"/>
      <c r="I3299" s="972"/>
      <c r="J3299" s="972"/>
      <c r="K3299" s="972"/>
      <c r="L3299" s="972"/>
      <c r="M3299" s="972"/>
    </row>
    <row r="3300" spans="5:13">
      <c r="E3300" s="972"/>
      <c r="F3300" s="972"/>
      <c r="G3300" s="972"/>
      <c r="H3300" s="972"/>
      <c r="I3300" s="972"/>
      <c r="J3300" s="972"/>
      <c r="K3300" s="972"/>
      <c r="L3300" s="972"/>
      <c r="M3300" s="972"/>
    </row>
    <row r="3301" spans="5:13">
      <c r="E3301" s="972"/>
      <c r="F3301" s="972"/>
      <c r="G3301" s="972"/>
      <c r="H3301" s="972"/>
      <c r="I3301" s="972"/>
      <c r="J3301" s="972"/>
      <c r="K3301" s="972"/>
      <c r="L3301" s="972"/>
      <c r="M3301" s="972"/>
    </row>
    <row r="3302" spans="5:13">
      <c r="E3302" s="972"/>
      <c r="F3302" s="972"/>
      <c r="G3302" s="972"/>
      <c r="H3302" s="972"/>
      <c r="I3302" s="972"/>
      <c r="J3302" s="972"/>
      <c r="K3302" s="972"/>
      <c r="L3302" s="972"/>
      <c r="M3302" s="972"/>
    </row>
    <row r="3303" spans="5:13">
      <c r="E3303" s="972"/>
      <c r="F3303" s="972"/>
      <c r="G3303" s="972"/>
      <c r="H3303" s="972"/>
      <c r="I3303" s="972"/>
      <c r="J3303" s="972"/>
      <c r="K3303" s="972"/>
      <c r="L3303" s="972"/>
      <c r="M3303" s="972"/>
    </row>
    <row r="3304" spans="5:13">
      <c r="E3304" s="972"/>
      <c r="F3304" s="972"/>
      <c r="G3304" s="972"/>
      <c r="H3304" s="972"/>
      <c r="I3304" s="972"/>
      <c r="J3304" s="972"/>
      <c r="K3304" s="972"/>
      <c r="L3304" s="972"/>
      <c r="M3304" s="972"/>
    </row>
    <row r="3305" spans="5:13">
      <c r="E3305" s="972"/>
      <c r="F3305" s="972"/>
      <c r="G3305" s="972"/>
      <c r="H3305" s="972"/>
      <c r="I3305" s="972"/>
      <c r="J3305" s="972"/>
      <c r="K3305" s="972"/>
      <c r="L3305" s="972"/>
      <c r="M3305" s="972"/>
    </row>
    <row r="3306" spans="5:13">
      <c r="E3306" s="972"/>
      <c r="F3306" s="972"/>
      <c r="G3306" s="972"/>
      <c r="H3306" s="972"/>
      <c r="I3306" s="972"/>
      <c r="J3306" s="972"/>
      <c r="K3306" s="972"/>
      <c r="L3306" s="972"/>
      <c r="M3306" s="972"/>
    </row>
    <row r="3307" spans="5:13">
      <c r="E3307" s="972"/>
      <c r="F3307" s="972"/>
      <c r="G3307" s="972"/>
      <c r="H3307" s="972"/>
      <c r="I3307" s="972"/>
      <c r="J3307" s="972"/>
      <c r="K3307" s="972"/>
      <c r="L3307" s="972"/>
      <c r="M3307" s="972"/>
    </row>
    <row r="3308" spans="5:13">
      <c r="E3308" s="972"/>
      <c r="F3308" s="972"/>
      <c r="G3308" s="972"/>
      <c r="H3308" s="972"/>
      <c r="I3308" s="972"/>
      <c r="J3308" s="972"/>
      <c r="K3308" s="972"/>
      <c r="L3308" s="972"/>
      <c r="M3308" s="972"/>
    </row>
    <row r="3309" spans="5:13">
      <c r="E3309" s="972"/>
      <c r="F3309" s="972"/>
      <c r="G3309" s="972"/>
      <c r="H3309" s="972"/>
      <c r="I3309" s="972"/>
      <c r="J3309" s="972"/>
      <c r="K3309" s="972"/>
      <c r="L3309" s="972"/>
      <c r="M3309" s="972"/>
    </row>
    <row r="3310" spans="5:13">
      <c r="E3310" s="972"/>
      <c r="F3310" s="972"/>
      <c r="G3310" s="972"/>
      <c r="H3310" s="972"/>
      <c r="I3310" s="972"/>
      <c r="J3310" s="972"/>
      <c r="K3310" s="972"/>
      <c r="L3310" s="972"/>
      <c r="M3310" s="972"/>
    </row>
    <row r="3311" spans="5:13">
      <c r="E3311" s="972"/>
      <c r="F3311" s="972"/>
      <c r="G3311" s="972"/>
      <c r="H3311" s="972"/>
      <c r="I3311" s="972"/>
      <c r="J3311" s="972"/>
      <c r="K3311" s="972"/>
      <c r="L3311" s="972"/>
      <c r="M3311" s="972"/>
    </row>
    <row r="3312" spans="5:13">
      <c r="E3312" s="972"/>
      <c r="F3312" s="972"/>
      <c r="G3312" s="972"/>
      <c r="H3312" s="972"/>
      <c r="I3312" s="972"/>
      <c r="J3312" s="972"/>
      <c r="K3312" s="972"/>
      <c r="L3312" s="972"/>
      <c r="M3312" s="972"/>
    </row>
    <row r="3313" spans="5:13">
      <c r="E3313" s="972"/>
      <c r="F3313" s="972"/>
      <c r="G3313" s="972"/>
      <c r="H3313" s="972"/>
      <c r="I3313" s="972"/>
      <c r="J3313" s="972"/>
      <c r="K3313" s="972"/>
      <c r="L3313" s="972"/>
      <c r="M3313" s="972"/>
    </row>
    <row r="3314" spans="5:13">
      <c r="E3314" s="972"/>
      <c r="F3314" s="972"/>
      <c r="G3314" s="972"/>
      <c r="H3314" s="972"/>
      <c r="I3314" s="972"/>
      <c r="J3314" s="972"/>
      <c r="K3314" s="972"/>
      <c r="L3314" s="972"/>
      <c r="M3314" s="972"/>
    </row>
    <row r="3315" spans="5:13">
      <c r="E3315" s="972"/>
      <c r="F3315" s="972"/>
      <c r="G3315" s="972"/>
      <c r="H3315" s="972"/>
      <c r="I3315" s="972"/>
      <c r="J3315" s="972"/>
      <c r="K3315" s="972"/>
      <c r="L3315" s="972"/>
      <c r="M3315" s="972"/>
    </row>
    <row r="3316" spans="5:13">
      <c r="E3316" s="972"/>
      <c r="F3316" s="972"/>
      <c r="G3316" s="972"/>
      <c r="H3316" s="972"/>
      <c r="I3316" s="972"/>
      <c r="J3316" s="972"/>
      <c r="K3316" s="972"/>
      <c r="L3316" s="972"/>
      <c r="M3316" s="972"/>
    </row>
    <row r="3317" spans="5:13">
      <c r="E3317" s="972"/>
      <c r="F3317" s="972"/>
      <c r="G3317" s="972"/>
      <c r="H3317" s="972"/>
      <c r="I3317" s="972"/>
      <c r="J3317" s="972"/>
      <c r="K3317" s="972"/>
      <c r="L3317" s="972"/>
      <c r="M3317" s="972"/>
    </row>
    <row r="3318" spans="5:13">
      <c r="E3318" s="972"/>
      <c r="F3318" s="972"/>
      <c r="G3318" s="972"/>
      <c r="H3318" s="972"/>
      <c r="I3318" s="972"/>
      <c r="J3318" s="972"/>
      <c r="K3318" s="972"/>
      <c r="L3318" s="972"/>
      <c r="M3318" s="972"/>
    </row>
    <row r="3319" spans="5:13">
      <c r="E3319" s="972"/>
      <c r="F3319" s="972"/>
      <c r="G3319" s="972"/>
      <c r="H3319" s="972"/>
      <c r="I3319" s="972"/>
      <c r="J3319" s="972"/>
      <c r="K3319" s="972"/>
      <c r="L3319" s="972"/>
      <c r="M3319" s="972"/>
    </row>
    <row r="3320" spans="5:13">
      <c r="E3320" s="972"/>
      <c r="F3320" s="972"/>
      <c r="G3320" s="972"/>
      <c r="H3320" s="972"/>
      <c r="I3320" s="972"/>
      <c r="J3320" s="972"/>
      <c r="K3320" s="972"/>
      <c r="L3320" s="972"/>
      <c r="M3320" s="972"/>
    </row>
    <row r="3321" spans="5:13">
      <c r="E3321" s="972"/>
      <c r="F3321" s="972"/>
      <c r="G3321" s="972"/>
      <c r="H3321" s="972"/>
      <c r="I3321" s="972"/>
      <c r="J3321" s="972"/>
      <c r="K3321" s="972"/>
      <c r="L3321" s="972"/>
      <c r="M3321" s="972"/>
    </row>
    <row r="3322" spans="5:13">
      <c r="E3322" s="972"/>
      <c r="F3322" s="972"/>
      <c r="G3322" s="972"/>
      <c r="H3322" s="972"/>
      <c r="I3322" s="972"/>
      <c r="J3322" s="972"/>
      <c r="K3322" s="972"/>
      <c r="L3322" s="972"/>
      <c r="M3322" s="972"/>
    </row>
    <row r="3323" spans="5:13">
      <c r="E3323" s="972"/>
      <c r="F3323" s="972"/>
      <c r="G3323" s="972"/>
      <c r="H3323" s="972"/>
      <c r="I3323" s="972"/>
      <c r="J3323" s="972"/>
      <c r="K3323" s="972"/>
      <c r="L3323" s="972"/>
      <c r="M3323" s="972"/>
    </row>
    <row r="3324" spans="5:13">
      <c r="E3324" s="972"/>
      <c r="F3324" s="972"/>
      <c r="G3324" s="972"/>
      <c r="H3324" s="972"/>
      <c r="I3324" s="972"/>
      <c r="J3324" s="972"/>
      <c r="K3324" s="972"/>
      <c r="L3324" s="972"/>
      <c r="M3324" s="972"/>
    </row>
    <row r="3325" spans="5:13">
      <c r="E3325" s="972"/>
      <c r="F3325" s="972"/>
      <c r="G3325" s="972"/>
      <c r="H3325" s="972"/>
      <c r="I3325" s="972"/>
      <c r="J3325" s="972"/>
      <c r="K3325" s="972"/>
      <c r="L3325" s="972"/>
      <c r="M3325" s="972"/>
    </row>
    <row r="3326" spans="5:13">
      <c r="E3326" s="972"/>
      <c r="F3326" s="972"/>
      <c r="G3326" s="972"/>
      <c r="H3326" s="972"/>
      <c r="I3326" s="972"/>
      <c r="J3326" s="972"/>
      <c r="K3326" s="972"/>
      <c r="L3326" s="972"/>
      <c r="M3326" s="972"/>
    </row>
    <row r="3327" spans="5:13">
      <c r="E3327" s="972"/>
      <c r="F3327" s="972"/>
      <c r="G3327" s="972"/>
      <c r="H3327" s="972"/>
      <c r="I3327" s="972"/>
      <c r="J3327" s="972"/>
      <c r="K3327" s="972"/>
      <c r="L3327" s="972"/>
      <c r="M3327" s="972"/>
    </row>
    <row r="3328" spans="5:13">
      <c r="E3328" s="972"/>
      <c r="F3328" s="972"/>
      <c r="G3328" s="972"/>
      <c r="H3328" s="972"/>
      <c r="I3328" s="972"/>
      <c r="J3328" s="972"/>
      <c r="K3328" s="972"/>
      <c r="L3328" s="972"/>
      <c r="M3328" s="972"/>
    </row>
    <row r="3329" spans="5:13">
      <c r="E3329" s="972"/>
      <c r="F3329" s="972"/>
      <c r="G3329" s="972"/>
      <c r="H3329" s="972"/>
      <c r="I3329" s="972"/>
      <c r="J3329" s="972"/>
      <c r="K3329" s="972"/>
      <c r="L3329" s="972"/>
      <c r="M3329" s="972"/>
    </row>
    <row r="3330" spans="5:13">
      <c r="E3330" s="972"/>
      <c r="F3330" s="972"/>
      <c r="G3330" s="972"/>
      <c r="H3330" s="972"/>
      <c r="I3330" s="972"/>
      <c r="J3330" s="972"/>
      <c r="K3330" s="972"/>
      <c r="L3330" s="972"/>
      <c r="M3330" s="972"/>
    </row>
    <row r="3331" spans="5:13">
      <c r="E3331" s="972"/>
      <c r="F3331" s="972"/>
      <c r="G3331" s="972"/>
      <c r="H3331" s="972"/>
      <c r="I3331" s="972"/>
      <c r="J3331" s="972"/>
      <c r="K3331" s="972"/>
      <c r="L3331" s="972"/>
      <c r="M3331" s="972"/>
    </row>
    <row r="3332" spans="5:13">
      <c r="E3332" s="972"/>
      <c r="F3332" s="972"/>
      <c r="G3332" s="972"/>
      <c r="H3332" s="972"/>
      <c r="I3332" s="972"/>
      <c r="J3332" s="972"/>
      <c r="K3332" s="972"/>
      <c r="L3332" s="972"/>
      <c r="M3332" s="972"/>
    </row>
    <row r="3333" spans="5:13">
      <c r="E3333" s="972"/>
      <c r="F3333" s="972"/>
      <c r="G3333" s="972"/>
      <c r="H3333" s="972"/>
      <c r="I3333" s="972"/>
      <c r="J3333" s="972"/>
      <c r="K3333" s="972"/>
      <c r="L3333" s="972"/>
      <c r="M3333" s="972"/>
    </row>
    <row r="3334" spans="5:13">
      <c r="E3334" s="972"/>
      <c r="F3334" s="972"/>
      <c r="G3334" s="972"/>
      <c r="H3334" s="972"/>
      <c r="I3334" s="972"/>
      <c r="J3334" s="972"/>
      <c r="K3334" s="972"/>
      <c r="L3334" s="972"/>
      <c r="M3334" s="972"/>
    </row>
    <row r="3335" spans="5:13">
      <c r="E3335" s="972"/>
      <c r="F3335" s="972"/>
      <c r="G3335" s="972"/>
      <c r="H3335" s="972"/>
      <c r="I3335" s="972"/>
      <c r="J3335" s="972"/>
      <c r="K3335" s="972"/>
      <c r="L3335" s="972"/>
      <c r="M3335" s="972"/>
    </row>
    <row r="3336" spans="5:13">
      <c r="E3336" s="972"/>
      <c r="F3336" s="972"/>
      <c r="G3336" s="972"/>
      <c r="H3336" s="972"/>
      <c r="I3336" s="972"/>
      <c r="J3336" s="972"/>
      <c r="K3336" s="972"/>
      <c r="L3336" s="972"/>
      <c r="M3336" s="972"/>
    </row>
    <row r="3337" spans="5:13">
      <c r="E3337" s="972"/>
      <c r="F3337" s="972"/>
      <c r="G3337" s="972"/>
      <c r="H3337" s="972"/>
      <c r="I3337" s="972"/>
      <c r="J3337" s="972"/>
      <c r="K3337" s="972"/>
      <c r="L3337" s="972"/>
      <c r="M3337" s="972"/>
    </row>
    <row r="3338" spans="5:13">
      <c r="E3338" s="972"/>
      <c r="F3338" s="972"/>
      <c r="G3338" s="972"/>
      <c r="H3338" s="972"/>
      <c r="I3338" s="972"/>
      <c r="J3338" s="972"/>
      <c r="K3338" s="972"/>
      <c r="L3338" s="972"/>
      <c r="M3338" s="972"/>
    </row>
    <row r="3339" spans="5:13">
      <c r="E3339" s="972"/>
      <c r="F3339" s="972"/>
      <c r="G3339" s="972"/>
      <c r="H3339" s="972"/>
      <c r="I3339" s="972"/>
      <c r="J3339" s="972"/>
      <c r="K3339" s="972"/>
      <c r="L3339" s="972"/>
      <c r="M3339" s="972"/>
    </row>
    <row r="3340" spans="5:13">
      <c r="E3340" s="972"/>
      <c r="F3340" s="972"/>
      <c r="G3340" s="972"/>
      <c r="H3340" s="972"/>
      <c r="I3340" s="972"/>
      <c r="J3340" s="972"/>
      <c r="K3340" s="972"/>
      <c r="L3340" s="972"/>
      <c r="M3340" s="972"/>
    </row>
    <row r="3341" spans="5:13">
      <c r="E3341" s="972"/>
      <c r="F3341" s="972"/>
      <c r="G3341" s="972"/>
      <c r="H3341" s="972"/>
      <c r="I3341" s="972"/>
      <c r="J3341" s="972"/>
      <c r="K3341" s="972"/>
      <c r="L3341" s="972"/>
      <c r="M3341" s="972"/>
    </row>
    <row r="3342" spans="5:13">
      <c r="E3342" s="972"/>
      <c r="F3342" s="972"/>
      <c r="G3342" s="972"/>
      <c r="H3342" s="972"/>
      <c r="I3342" s="972"/>
      <c r="J3342" s="972"/>
      <c r="K3342" s="972"/>
      <c r="L3342" s="972"/>
      <c r="M3342" s="972"/>
    </row>
    <row r="3343" spans="5:13">
      <c r="E3343" s="972"/>
      <c r="F3343" s="972"/>
      <c r="G3343" s="972"/>
      <c r="H3343" s="972"/>
      <c r="I3343" s="972"/>
      <c r="J3343" s="972"/>
      <c r="K3343" s="972"/>
      <c r="L3343" s="972"/>
      <c r="M3343" s="972"/>
    </row>
    <row r="3344" spans="5:13">
      <c r="E3344" s="972"/>
      <c r="F3344" s="972"/>
      <c r="G3344" s="972"/>
      <c r="H3344" s="972"/>
      <c r="I3344" s="972"/>
      <c r="J3344" s="972"/>
      <c r="K3344" s="972"/>
      <c r="L3344" s="972"/>
      <c r="M3344" s="972"/>
    </row>
    <row r="3345" spans="5:13">
      <c r="E3345" s="972"/>
      <c r="F3345" s="972"/>
      <c r="G3345" s="972"/>
      <c r="H3345" s="972"/>
      <c r="I3345" s="972"/>
      <c r="J3345" s="972"/>
      <c r="K3345" s="972"/>
      <c r="L3345" s="972"/>
      <c r="M3345" s="972"/>
    </row>
    <row r="3346" spans="5:13">
      <c r="E3346" s="972"/>
      <c r="F3346" s="972"/>
      <c r="G3346" s="972"/>
      <c r="H3346" s="972"/>
      <c r="I3346" s="972"/>
      <c r="J3346" s="972"/>
      <c r="K3346" s="972"/>
      <c r="L3346" s="972"/>
      <c r="M3346" s="972"/>
    </row>
    <row r="3347" spans="5:13">
      <c r="E3347" s="972"/>
      <c r="F3347" s="972"/>
      <c r="G3347" s="972"/>
      <c r="H3347" s="972"/>
      <c r="I3347" s="972"/>
      <c r="J3347" s="972"/>
      <c r="K3347" s="972"/>
      <c r="L3347" s="972"/>
      <c r="M3347" s="972"/>
    </row>
    <row r="3348" spans="5:13">
      <c r="E3348" s="972"/>
      <c r="F3348" s="972"/>
      <c r="G3348" s="972"/>
      <c r="H3348" s="972"/>
      <c r="I3348" s="972"/>
      <c r="J3348" s="972"/>
      <c r="K3348" s="972"/>
      <c r="L3348" s="972"/>
      <c r="M3348" s="972"/>
    </row>
    <row r="3349" spans="5:13">
      <c r="E3349" s="972"/>
      <c r="F3349" s="972"/>
      <c r="G3349" s="972"/>
      <c r="H3349" s="972"/>
      <c r="I3349" s="972"/>
      <c r="J3349" s="972"/>
      <c r="K3349" s="972"/>
      <c r="L3349" s="972"/>
      <c r="M3349" s="972"/>
    </row>
    <row r="3350" spans="5:13">
      <c r="E3350" s="972"/>
      <c r="F3350" s="972"/>
      <c r="G3350" s="972"/>
      <c r="H3350" s="972"/>
      <c r="I3350" s="972"/>
      <c r="J3350" s="972"/>
      <c r="K3350" s="972"/>
      <c r="L3350" s="972"/>
      <c r="M3350" s="972"/>
    </row>
    <row r="3351" spans="5:13">
      <c r="E3351" s="972"/>
      <c r="F3351" s="972"/>
      <c r="G3351" s="972"/>
      <c r="H3351" s="972"/>
      <c r="I3351" s="972"/>
      <c r="J3351" s="972"/>
      <c r="K3351" s="972"/>
      <c r="L3351" s="972"/>
      <c r="M3351" s="972"/>
    </row>
    <row r="3352" spans="5:13">
      <c r="E3352" s="972"/>
      <c r="F3352" s="972"/>
      <c r="G3352" s="972"/>
      <c r="H3352" s="972"/>
      <c r="I3352" s="972"/>
      <c r="J3352" s="972"/>
      <c r="K3352" s="972"/>
      <c r="L3352" s="972"/>
      <c r="M3352" s="972"/>
    </row>
    <row r="3353" spans="5:13">
      <c r="E3353" s="972"/>
      <c r="F3353" s="972"/>
      <c r="G3353" s="972"/>
      <c r="H3353" s="972"/>
      <c r="I3353" s="972"/>
      <c r="J3353" s="972"/>
      <c r="K3353" s="972"/>
      <c r="L3353" s="972"/>
      <c r="M3353" s="972"/>
    </row>
    <row r="3354" spans="5:13">
      <c r="E3354" s="972"/>
      <c r="F3354" s="972"/>
      <c r="G3354" s="972"/>
      <c r="H3354" s="972"/>
      <c r="I3354" s="972"/>
      <c r="J3354" s="972"/>
      <c r="K3354" s="972"/>
      <c r="L3354" s="972"/>
      <c r="M3354" s="972"/>
    </row>
    <row r="3355" spans="5:13">
      <c r="E3355" s="972"/>
      <c r="F3355" s="972"/>
      <c r="G3355" s="972"/>
      <c r="H3355" s="972"/>
      <c r="I3355" s="972"/>
      <c r="J3355" s="972"/>
      <c r="K3355" s="972"/>
      <c r="L3355" s="972"/>
      <c r="M3355" s="972"/>
    </row>
    <row r="3356" spans="5:13">
      <c r="E3356" s="972"/>
      <c r="F3356" s="972"/>
      <c r="G3356" s="972"/>
      <c r="H3356" s="972"/>
      <c r="I3356" s="972"/>
      <c r="J3356" s="972"/>
      <c r="K3356" s="972"/>
      <c r="L3356" s="972"/>
      <c r="M3356" s="972"/>
    </row>
    <row r="3357" spans="5:13">
      <c r="E3357" s="972"/>
      <c r="F3357" s="972"/>
      <c r="G3357" s="972"/>
      <c r="H3357" s="972"/>
      <c r="I3357" s="972"/>
      <c r="J3357" s="972"/>
      <c r="K3357" s="972"/>
      <c r="L3357" s="972"/>
      <c r="M3357" s="972"/>
    </row>
    <row r="3358" spans="5:13">
      <c r="E3358" s="972"/>
      <c r="F3358" s="972"/>
      <c r="G3358" s="972"/>
      <c r="H3358" s="972"/>
      <c r="I3358" s="972"/>
      <c r="J3358" s="972"/>
      <c r="K3358" s="972"/>
      <c r="L3358" s="972"/>
      <c r="M3358" s="972"/>
    </row>
    <row r="3359" spans="5:13">
      <c r="E3359" s="972"/>
      <c r="F3359" s="972"/>
      <c r="G3359" s="972"/>
      <c r="H3359" s="972"/>
      <c r="I3359" s="972"/>
      <c r="J3359" s="972"/>
      <c r="K3359" s="972"/>
      <c r="L3359" s="972"/>
      <c r="M3359" s="972"/>
    </row>
    <row r="3360" spans="5:13">
      <c r="E3360" s="972"/>
      <c r="F3360" s="972"/>
      <c r="G3360" s="972"/>
      <c r="H3360" s="972"/>
      <c r="I3360" s="972"/>
      <c r="J3360" s="972"/>
      <c r="K3360" s="972"/>
      <c r="L3360" s="972"/>
      <c r="M3360" s="972"/>
    </row>
    <row r="3361" spans="5:13">
      <c r="E3361" s="972"/>
      <c r="F3361" s="972"/>
      <c r="G3361" s="972"/>
      <c r="H3361" s="972"/>
      <c r="I3361" s="972"/>
      <c r="J3361" s="972"/>
      <c r="K3361" s="972"/>
      <c r="L3361" s="972"/>
      <c r="M3361" s="972"/>
    </row>
    <row r="3362" spans="5:13">
      <c r="E3362" s="972"/>
      <c r="F3362" s="972"/>
      <c r="G3362" s="972"/>
      <c r="H3362" s="972"/>
      <c r="I3362" s="972"/>
      <c r="J3362" s="972"/>
      <c r="K3362" s="972"/>
      <c r="L3362" s="972"/>
      <c r="M3362" s="972"/>
    </row>
    <row r="3363" spans="5:13">
      <c r="E3363" s="972"/>
      <c r="F3363" s="972"/>
      <c r="G3363" s="972"/>
      <c r="H3363" s="972"/>
      <c r="I3363" s="972"/>
      <c r="J3363" s="972"/>
      <c r="K3363" s="972"/>
      <c r="L3363" s="972"/>
      <c r="M3363" s="972"/>
    </row>
    <row r="3364" spans="5:13">
      <c r="E3364" s="972"/>
      <c r="F3364" s="972"/>
      <c r="G3364" s="972"/>
      <c r="H3364" s="972"/>
      <c r="I3364" s="972"/>
      <c r="J3364" s="972"/>
      <c r="K3364" s="972"/>
      <c r="L3364" s="972"/>
      <c r="M3364" s="972"/>
    </row>
    <row r="3365" spans="5:13">
      <c r="E3365" s="972"/>
      <c r="F3365" s="972"/>
      <c r="G3365" s="972"/>
      <c r="H3365" s="972"/>
      <c r="I3365" s="972"/>
      <c r="J3365" s="972"/>
      <c r="K3365" s="972"/>
      <c r="L3365" s="972"/>
      <c r="M3365" s="972"/>
    </row>
    <row r="3366" spans="5:13">
      <c r="E3366" s="972"/>
      <c r="F3366" s="972"/>
      <c r="G3366" s="972"/>
      <c r="H3366" s="972"/>
      <c r="I3366" s="972"/>
      <c r="J3366" s="972"/>
      <c r="K3366" s="972"/>
      <c r="L3366" s="972"/>
      <c r="M3366" s="972"/>
    </row>
    <row r="3367" spans="5:13">
      <c r="E3367" s="972"/>
      <c r="F3367" s="972"/>
      <c r="G3367" s="972"/>
      <c r="H3367" s="972"/>
      <c r="I3367" s="972"/>
      <c r="J3367" s="972"/>
      <c r="K3367" s="972"/>
      <c r="L3367" s="972"/>
      <c r="M3367" s="972"/>
    </row>
    <row r="3368" spans="5:13">
      <c r="E3368" s="972"/>
      <c r="F3368" s="972"/>
      <c r="G3368" s="972"/>
      <c r="H3368" s="972"/>
      <c r="I3368" s="972"/>
      <c r="J3368" s="972"/>
      <c r="K3368" s="972"/>
      <c r="L3368" s="972"/>
      <c r="M3368" s="972"/>
    </row>
    <row r="3369" spans="5:13">
      <c r="E3369" s="972"/>
      <c r="F3369" s="972"/>
      <c r="G3369" s="972"/>
      <c r="H3369" s="972"/>
      <c r="I3369" s="972"/>
      <c r="J3369" s="972"/>
      <c r="K3369" s="972"/>
      <c r="L3369" s="972"/>
      <c r="M3369" s="972"/>
    </row>
    <row r="3370" spans="5:13">
      <c r="E3370" s="972"/>
      <c r="F3370" s="972"/>
      <c r="G3370" s="972"/>
      <c r="H3370" s="972"/>
      <c r="I3370" s="972"/>
      <c r="J3370" s="972"/>
      <c r="K3370" s="972"/>
      <c r="L3370" s="972"/>
      <c r="M3370" s="972"/>
    </row>
    <row r="3371" spans="5:13">
      <c r="E3371" s="972"/>
      <c r="F3371" s="972"/>
      <c r="G3371" s="972"/>
      <c r="H3371" s="972"/>
      <c r="I3371" s="972"/>
      <c r="J3371" s="972"/>
      <c r="K3371" s="972"/>
      <c r="L3371" s="972"/>
      <c r="M3371" s="972"/>
    </row>
    <row r="3372" spans="5:13">
      <c r="E3372" s="972"/>
      <c r="F3372" s="972"/>
      <c r="G3372" s="972"/>
      <c r="H3372" s="972"/>
      <c r="I3372" s="972"/>
      <c r="J3372" s="972"/>
      <c r="K3372" s="972"/>
      <c r="L3372" s="972"/>
      <c r="M3372" s="972"/>
    </row>
    <row r="3373" spans="5:13">
      <c r="E3373" s="972"/>
      <c r="F3373" s="972"/>
      <c r="G3373" s="972"/>
      <c r="H3373" s="972"/>
      <c r="I3373" s="972"/>
      <c r="J3373" s="972"/>
      <c r="K3373" s="972"/>
      <c r="L3373" s="972"/>
      <c r="M3373" s="972"/>
    </row>
    <row r="3374" spans="5:13">
      <c r="E3374" s="972"/>
      <c r="F3374" s="972"/>
      <c r="G3374" s="972"/>
      <c r="H3374" s="972"/>
      <c r="I3374" s="972"/>
      <c r="J3374" s="972"/>
      <c r="K3374" s="972"/>
      <c r="L3374" s="972"/>
      <c r="M3374" s="972"/>
    </row>
    <row r="3375" spans="5:13">
      <c r="E3375" s="972"/>
      <c r="F3375" s="972"/>
      <c r="G3375" s="972"/>
      <c r="H3375" s="972"/>
      <c r="I3375" s="972"/>
      <c r="J3375" s="972"/>
      <c r="K3375" s="972"/>
      <c r="L3375" s="972"/>
      <c r="M3375" s="972"/>
    </row>
    <row r="3376" spans="5:13">
      <c r="E3376" s="972"/>
      <c r="F3376" s="972"/>
      <c r="G3376" s="972"/>
      <c r="H3376" s="972"/>
      <c r="I3376" s="972"/>
      <c r="J3376" s="972"/>
      <c r="K3376" s="972"/>
      <c r="L3376" s="972"/>
      <c r="M3376" s="972"/>
    </row>
    <row r="3377" spans="5:13">
      <c r="E3377" s="972"/>
      <c r="F3377" s="972"/>
      <c r="G3377" s="972"/>
      <c r="H3377" s="972"/>
      <c r="I3377" s="972"/>
      <c r="J3377" s="972"/>
      <c r="K3377" s="972"/>
      <c r="L3377" s="972"/>
      <c r="M3377" s="972"/>
    </row>
    <row r="3378" spans="5:13">
      <c r="E3378" s="972"/>
      <c r="F3378" s="972"/>
      <c r="G3378" s="972"/>
      <c r="H3378" s="972"/>
      <c r="I3378" s="972"/>
      <c r="J3378" s="972"/>
      <c r="K3378" s="972"/>
      <c r="L3378" s="972"/>
      <c r="M3378" s="972"/>
    </row>
    <row r="3379" spans="5:13">
      <c r="E3379" s="972"/>
      <c r="F3379" s="972"/>
      <c r="G3379" s="972"/>
      <c r="H3379" s="972"/>
      <c r="I3379" s="972"/>
      <c r="J3379" s="972"/>
      <c r="K3379" s="972"/>
      <c r="L3379" s="972"/>
      <c r="M3379" s="972"/>
    </row>
    <row r="3380" spans="5:13">
      <c r="E3380" s="972"/>
      <c r="F3380" s="972"/>
      <c r="G3380" s="972"/>
      <c r="H3380" s="972"/>
      <c r="I3380" s="972"/>
      <c r="J3380" s="972"/>
      <c r="K3380" s="972"/>
      <c r="L3380" s="972"/>
      <c r="M3380" s="972"/>
    </row>
    <row r="3381" spans="5:13">
      <c r="E3381" s="972"/>
      <c r="F3381" s="972"/>
      <c r="G3381" s="972"/>
      <c r="H3381" s="972"/>
      <c r="I3381" s="972"/>
      <c r="J3381" s="972"/>
      <c r="K3381" s="972"/>
      <c r="L3381" s="972"/>
      <c r="M3381" s="972"/>
    </row>
    <row r="3382" spans="5:13">
      <c r="E3382" s="972"/>
      <c r="F3382" s="972"/>
      <c r="G3382" s="972"/>
      <c r="H3382" s="972"/>
      <c r="I3382" s="972"/>
      <c r="J3382" s="972"/>
      <c r="K3382" s="972"/>
      <c r="L3382" s="972"/>
      <c r="M3382" s="972"/>
    </row>
    <row r="3383" spans="5:13">
      <c r="E3383" s="972"/>
      <c r="F3383" s="972"/>
      <c r="G3383" s="972"/>
      <c r="H3383" s="972"/>
      <c r="I3383" s="972"/>
      <c r="J3383" s="972"/>
      <c r="K3383" s="972"/>
      <c r="L3383" s="972"/>
      <c r="M3383" s="972"/>
    </row>
    <row r="3384" spans="5:13">
      <c r="E3384" s="972"/>
      <c r="F3384" s="972"/>
      <c r="G3384" s="972"/>
      <c r="H3384" s="972"/>
      <c r="I3384" s="972"/>
      <c r="J3384" s="972"/>
      <c r="K3384" s="972"/>
      <c r="L3384" s="972"/>
      <c r="M3384" s="972"/>
    </row>
    <row r="3385" spans="5:13">
      <c r="E3385" s="972"/>
      <c r="F3385" s="972"/>
      <c r="G3385" s="972"/>
      <c r="H3385" s="972"/>
      <c r="I3385" s="972"/>
      <c r="J3385" s="972"/>
      <c r="K3385" s="972"/>
      <c r="L3385" s="972"/>
      <c r="M3385" s="972"/>
    </row>
    <row r="3386" spans="5:13">
      <c r="E3386" s="972"/>
      <c r="F3386" s="972"/>
      <c r="G3386" s="972"/>
      <c r="H3386" s="972"/>
      <c r="I3386" s="972"/>
      <c r="J3386" s="972"/>
      <c r="K3386" s="972"/>
      <c r="L3386" s="972"/>
      <c r="M3386" s="972"/>
    </row>
    <row r="3387" spans="5:13">
      <c r="E3387" s="972"/>
      <c r="F3387" s="972"/>
      <c r="G3387" s="972"/>
      <c r="H3387" s="972"/>
      <c r="I3387" s="972"/>
      <c r="J3387" s="972"/>
      <c r="K3387" s="972"/>
      <c r="L3387" s="972"/>
      <c r="M3387" s="972"/>
    </row>
    <row r="3388" spans="5:13">
      <c r="E3388" s="972"/>
      <c r="F3388" s="972"/>
      <c r="G3388" s="972"/>
      <c r="H3388" s="972"/>
      <c r="I3388" s="972"/>
      <c r="J3388" s="972"/>
      <c r="K3388" s="972"/>
      <c r="L3388" s="972"/>
      <c r="M3388" s="972"/>
    </row>
    <row r="3389" spans="5:13">
      <c r="E3389" s="972"/>
      <c r="F3389" s="972"/>
      <c r="G3389" s="972"/>
      <c r="H3389" s="972"/>
      <c r="I3389" s="972"/>
      <c r="J3389" s="972"/>
      <c r="K3389" s="972"/>
      <c r="L3389" s="972"/>
      <c r="M3389" s="972"/>
    </row>
    <row r="3390" spans="5:13">
      <c r="E3390" s="972"/>
      <c r="F3390" s="972"/>
      <c r="G3390" s="972"/>
      <c r="H3390" s="972"/>
      <c r="I3390" s="972"/>
      <c r="J3390" s="972"/>
      <c r="K3390" s="972"/>
      <c r="L3390" s="972"/>
      <c r="M3390" s="972"/>
    </row>
    <row r="3391" spans="5:13">
      <c r="E3391" s="972"/>
      <c r="F3391" s="972"/>
      <c r="G3391" s="972"/>
      <c r="H3391" s="972"/>
      <c r="I3391" s="972"/>
      <c r="J3391" s="972"/>
      <c r="K3391" s="972"/>
      <c r="L3391" s="972"/>
      <c r="M3391" s="972"/>
    </row>
    <row r="3392" spans="5:13">
      <c r="E3392" s="972"/>
      <c r="F3392" s="972"/>
      <c r="G3392" s="972"/>
      <c r="H3392" s="972"/>
      <c r="I3392" s="972"/>
      <c r="J3392" s="972"/>
      <c r="K3392" s="972"/>
      <c r="L3392" s="972"/>
      <c r="M3392" s="972"/>
    </row>
    <row r="3393" spans="5:13">
      <c r="E3393" s="972"/>
      <c r="F3393" s="972"/>
      <c r="G3393" s="972"/>
      <c r="H3393" s="972"/>
      <c r="I3393" s="972"/>
      <c r="J3393" s="972"/>
      <c r="K3393" s="972"/>
      <c r="L3393" s="972"/>
      <c r="M3393" s="972"/>
    </row>
    <row r="3394" spans="5:13">
      <c r="E3394" s="972"/>
      <c r="F3394" s="972"/>
      <c r="G3394" s="972"/>
      <c r="H3394" s="972"/>
      <c r="I3394" s="972"/>
      <c r="J3394" s="972"/>
      <c r="K3394" s="972"/>
      <c r="L3394" s="972"/>
      <c r="M3394" s="972"/>
    </row>
    <row r="3395" spans="5:13">
      <c r="E3395" s="972"/>
      <c r="F3395" s="972"/>
      <c r="G3395" s="972"/>
      <c r="H3395" s="972"/>
      <c r="I3395" s="972"/>
      <c r="J3395" s="972"/>
      <c r="K3395" s="972"/>
      <c r="L3395" s="972"/>
      <c r="M3395" s="972"/>
    </row>
    <row r="3396" spans="5:13">
      <c r="E3396" s="972"/>
      <c r="F3396" s="972"/>
      <c r="G3396" s="972"/>
      <c r="H3396" s="972"/>
      <c r="I3396" s="972"/>
      <c r="J3396" s="972"/>
      <c r="K3396" s="972"/>
      <c r="L3396" s="972"/>
      <c r="M3396" s="972"/>
    </row>
    <row r="3397" spans="5:13">
      <c r="E3397" s="972"/>
      <c r="F3397" s="972"/>
      <c r="G3397" s="972"/>
      <c r="H3397" s="972"/>
      <c r="I3397" s="972"/>
      <c r="J3397" s="972"/>
      <c r="K3397" s="972"/>
      <c r="L3397" s="972"/>
      <c r="M3397" s="972"/>
    </row>
    <row r="3398" spans="5:13">
      <c r="E3398" s="972"/>
      <c r="F3398" s="972"/>
      <c r="G3398" s="972"/>
      <c r="H3398" s="972"/>
      <c r="I3398" s="972"/>
      <c r="J3398" s="972"/>
      <c r="K3398" s="972"/>
      <c r="L3398" s="972"/>
      <c r="M3398" s="972"/>
    </row>
    <row r="3399" spans="5:13">
      <c r="E3399" s="972"/>
      <c r="F3399" s="972"/>
      <c r="G3399" s="972"/>
      <c r="H3399" s="972"/>
      <c r="I3399" s="972"/>
      <c r="J3399" s="972"/>
      <c r="K3399" s="972"/>
      <c r="L3399" s="972"/>
      <c r="M3399" s="972"/>
    </row>
    <row r="3400" spans="5:13">
      <c r="E3400" s="972"/>
      <c r="F3400" s="972"/>
      <c r="G3400" s="972"/>
      <c r="H3400" s="972"/>
      <c r="I3400" s="972"/>
      <c r="J3400" s="972"/>
      <c r="K3400" s="972"/>
      <c r="L3400" s="972"/>
      <c r="M3400" s="972"/>
    </row>
    <row r="3401" spans="5:13">
      <c r="E3401" s="972"/>
      <c r="F3401" s="972"/>
      <c r="G3401" s="972"/>
      <c r="H3401" s="972"/>
      <c r="I3401" s="972"/>
      <c r="J3401" s="972"/>
      <c r="K3401" s="972"/>
      <c r="L3401" s="972"/>
      <c r="M3401" s="972"/>
    </row>
    <row r="3402" spans="5:13">
      <c r="E3402" s="972"/>
      <c r="F3402" s="972"/>
      <c r="G3402" s="972"/>
      <c r="H3402" s="972"/>
      <c r="I3402" s="972"/>
      <c r="J3402" s="972"/>
      <c r="K3402" s="972"/>
      <c r="L3402" s="972"/>
      <c r="M3402" s="972"/>
    </row>
    <row r="3403" spans="5:13">
      <c r="E3403" s="972"/>
      <c r="F3403" s="972"/>
      <c r="G3403" s="972"/>
      <c r="H3403" s="972"/>
      <c r="I3403" s="972"/>
      <c r="J3403" s="972"/>
      <c r="K3403" s="972"/>
      <c r="L3403" s="972"/>
      <c r="M3403" s="972"/>
    </row>
    <row r="3404" spans="5:13">
      <c r="E3404" s="972"/>
      <c r="F3404" s="972"/>
      <c r="G3404" s="972"/>
      <c r="H3404" s="972"/>
      <c r="I3404" s="972"/>
      <c r="J3404" s="972"/>
      <c r="K3404" s="972"/>
      <c r="L3404" s="972"/>
      <c r="M3404" s="972"/>
    </row>
    <row r="3405" spans="5:13">
      <c r="E3405" s="972"/>
      <c r="F3405" s="972"/>
      <c r="G3405" s="972"/>
      <c r="H3405" s="972"/>
      <c r="I3405" s="972"/>
      <c r="J3405" s="972"/>
      <c r="K3405" s="972"/>
      <c r="L3405" s="972"/>
      <c r="M3405" s="972"/>
    </row>
    <row r="3406" spans="5:13">
      <c r="E3406" s="972"/>
      <c r="F3406" s="972"/>
      <c r="G3406" s="972"/>
      <c r="H3406" s="972"/>
      <c r="I3406" s="972"/>
      <c r="J3406" s="972"/>
      <c r="K3406" s="972"/>
      <c r="L3406" s="972"/>
      <c r="M3406" s="972"/>
    </row>
    <row r="3407" spans="5:13">
      <c r="E3407" s="972"/>
      <c r="F3407" s="972"/>
      <c r="G3407" s="972"/>
      <c r="H3407" s="972"/>
      <c r="I3407" s="972"/>
      <c r="J3407" s="972"/>
      <c r="K3407" s="972"/>
      <c r="L3407" s="972"/>
      <c r="M3407" s="972"/>
    </row>
    <row r="3408" spans="5:13">
      <c r="E3408" s="972"/>
      <c r="F3408" s="972"/>
      <c r="G3408" s="972"/>
      <c r="H3408" s="972"/>
      <c r="I3408" s="972"/>
      <c r="J3408" s="972"/>
      <c r="K3408" s="972"/>
      <c r="L3408" s="972"/>
      <c r="M3408" s="972"/>
    </row>
    <row r="3409" spans="5:13">
      <c r="E3409" s="972"/>
      <c r="F3409" s="972"/>
      <c r="G3409" s="972"/>
      <c r="H3409" s="972"/>
      <c r="I3409" s="972"/>
      <c r="J3409" s="972"/>
      <c r="K3409" s="972"/>
      <c r="L3409" s="972"/>
      <c r="M3409" s="972"/>
    </row>
    <row r="3410" spans="5:13">
      <c r="E3410" s="972"/>
      <c r="F3410" s="972"/>
      <c r="G3410" s="972"/>
      <c r="H3410" s="972"/>
      <c r="I3410" s="972"/>
      <c r="J3410" s="972"/>
      <c r="K3410" s="972"/>
      <c r="L3410" s="972"/>
      <c r="M3410" s="972"/>
    </row>
    <row r="3411" spans="5:13">
      <c r="E3411" s="972"/>
      <c r="F3411" s="972"/>
      <c r="G3411" s="972"/>
      <c r="H3411" s="972"/>
      <c r="I3411" s="972"/>
      <c r="J3411" s="972"/>
      <c r="K3411" s="972"/>
      <c r="L3411" s="972"/>
      <c r="M3411" s="972"/>
    </row>
    <row r="3412" spans="5:13">
      <c r="E3412" s="972"/>
      <c r="F3412" s="972"/>
      <c r="G3412" s="972"/>
      <c r="H3412" s="972"/>
      <c r="I3412" s="972"/>
      <c r="J3412" s="972"/>
      <c r="K3412" s="972"/>
      <c r="L3412" s="972"/>
      <c r="M3412" s="972"/>
    </row>
    <row r="3413" spans="5:13">
      <c r="E3413" s="972"/>
      <c r="F3413" s="972"/>
      <c r="G3413" s="972"/>
      <c r="H3413" s="972"/>
      <c r="I3413" s="972"/>
      <c r="J3413" s="972"/>
      <c r="K3413" s="972"/>
      <c r="L3413" s="972"/>
      <c r="M3413" s="972"/>
    </row>
    <row r="3414" spans="5:13">
      <c r="E3414" s="972"/>
      <c r="F3414" s="972"/>
      <c r="G3414" s="972"/>
      <c r="H3414" s="972"/>
      <c r="I3414" s="972"/>
      <c r="J3414" s="972"/>
      <c r="K3414" s="972"/>
      <c r="L3414" s="972"/>
      <c r="M3414" s="972"/>
    </row>
    <row r="3415" spans="5:13">
      <c r="E3415" s="972"/>
      <c r="F3415" s="972"/>
      <c r="G3415" s="972"/>
      <c r="H3415" s="972"/>
      <c r="I3415" s="972"/>
      <c r="J3415" s="972"/>
      <c r="K3415" s="972"/>
      <c r="L3415" s="972"/>
      <c r="M3415" s="972"/>
    </row>
    <row r="3416" spans="5:13">
      <c r="E3416" s="972"/>
      <c r="F3416" s="972"/>
      <c r="G3416" s="972"/>
      <c r="H3416" s="972"/>
      <c r="I3416" s="972"/>
      <c r="J3416" s="972"/>
      <c r="K3416" s="972"/>
      <c r="L3416" s="972"/>
      <c r="M3416" s="972"/>
    </row>
    <row r="3417" spans="5:13">
      <c r="E3417" s="972"/>
      <c r="F3417" s="972"/>
      <c r="G3417" s="972"/>
      <c r="H3417" s="972"/>
      <c r="I3417" s="972"/>
      <c r="J3417" s="972"/>
      <c r="K3417" s="972"/>
      <c r="L3417" s="972"/>
      <c r="M3417" s="972"/>
    </row>
    <row r="3418" spans="5:13">
      <c r="E3418" s="972"/>
      <c r="F3418" s="972"/>
      <c r="G3418" s="972"/>
      <c r="H3418" s="972"/>
      <c r="I3418" s="972"/>
      <c r="J3418" s="972"/>
      <c r="K3418" s="972"/>
      <c r="L3418" s="972"/>
      <c r="M3418" s="972"/>
    </row>
    <row r="3419" spans="5:13">
      <c r="E3419" s="972"/>
      <c r="F3419" s="972"/>
      <c r="G3419" s="972"/>
      <c r="H3419" s="972"/>
      <c r="I3419" s="972"/>
      <c r="J3419" s="972"/>
      <c r="K3419" s="972"/>
      <c r="L3419" s="972"/>
      <c r="M3419" s="972"/>
    </row>
    <row r="3420" spans="5:13">
      <c r="E3420" s="972"/>
      <c r="F3420" s="972"/>
      <c r="G3420" s="972"/>
      <c r="H3420" s="972"/>
      <c r="I3420" s="972"/>
      <c r="J3420" s="972"/>
      <c r="K3420" s="972"/>
      <c r="L3420" s="972"/>
      <c r="M3420" s="972"/>
    </row>
    <row r="3421" spans="5:13">
      <c r="E3421" s="972"/>
      <c r="F3421" s="972"/>
      <c r="G3421" s="972"/>
      <c r="H3421" s="972"/>
      <c r="I3421" s="972"/>
      <c r="J3421" s="972"/>
      <c r="K3421" s="972"/>
      <c r="L3421" s="972"/>
      <c r="M3421" s="972"/>
    </row>
    <row r="3422" spans="5:13">
      <c r="E3422" s="972"/>
      <c r="F3422" s="972"/>
      <c r="G3422" s="972"/>
      <c r="H3422" s="972"/>
      <c r="I3422" s="972"/>
      <c r="J3422" s="972"/>
      <c r="K3422" s="972"/>
      <c r="L3422" s="972"/>
      <c r="M3422" s="972"/>
    </row>
    <row r="3423" spans="5:13">
      <c r="E3423" s="972"/>
      <c r="F3423" s="972"/>
      <c r="G3423" s="972"/>
      <c r="H3423" s="972"/>
      <c r="I3423" s="972"/>
      <c r="J3423" s="972"/>
      <c r="K3423" s="972"/>
      <c r="L3423" s="972"/>
      <c r="M3423" s="972"/>
    </row>
    <row r="3424" spans="5:13">
      <c r="E3424" s="972"/>
      <c r="F3424" s="972"/>
      <c r="G3424" s="972"/>
      <c r="H3424" s="972"/>
      <c r="I3424" s="972"/>
      <c r="J3424" s="972"/>
      <c r="K3424" s="972"/>
      <c r="L3424" s="972"/>
      <c r="M3424" s="972"/>
    </row>
    <row r="3425" spans="5:13">
      <c r="E3425" s="972"/>
      <c r="F3425" s="972"/>
      <c r="G3425" s="972"/>
      <c r="H3425" s="972"/>
      <c r="I3425" s="972"/>
      <c r="J3425" s="972"/>
      <c r="K3425" s="972"/>
      <c r="L3425" s="972"/>
      <c r="M3425" s="972"/>
    </row>
    <row r="3426" spans="5:13">
      <c r="E3426" s="972"/>
      <c r="F3426" s="972"/>
      <c r="G3426" s="972"/>
      <c r="H3426" s="972"/>
      <c r="I3426" s="972"/>
      <c r="J3426" s="972"/>
      <c r="K3426" s="972"/>
      <c r="L3426" s="972"/>
      <c r="M3426" s="972"/>
    </row>
    <row r="3427" spans="5:13">
      <c r="E3427" s="972"/>
      <c r="F3427" s="972"/>
      <c r="G3427" s="972"/>
      <c r="H3427" s="972"/>
      <c r="I3427" s="972"/>
      <c r="J3427" s="972"/>
      <c r="K3427" s="972"/>
      <c r="L3427" s="972"/>
      <c r="M3427" s="972"/>
    </row>
    <row r="3428" spans="5:13">
      <c r="E3428" s="972"/>
      <c r="F3428" s="972"/>
      <c r="G3428" s="972"/>
      <c r="H3428" s="972"/>
      <c r="I3428" s="972"/>
      <c r="J3428" s="972"/>
      <c r="K3428" s="972"/>
      <c r="L3428" s="972"/>
      <c r="M3428" s="972"/>
    </row>
    <row r="3429" spans="5:13">
      <c r="E3429" s="972"/>
      <c r="F3429" s="972"/>
      <c r="G3429" s="972"/>
      <c r="H3429" s="972"/>
      <c r="I3429" s="972"/>
      <c r="J3429" s="972"/>
      <c r="K3429" s="972"/>
      <c r="L3429" s="972"/>
      <c r="M3429" s="972"/>
    </row>
    <row r="3430" spans="5:13">
      <c r="E3430" s="972"/>
      <c r="F3430" s="972"/>
      <c r="G3430" s="972"/>
      <c r="H3430" s="972"/>
      <c r="I3430" s="972"/>
      <c r="J3430" s="972"/>
      <c r="K3430" s="972"/>
      <c r="L3430" s="972"/>
      <c r="M3430" s="972"/>
    </row>
    <row r="3431" spans="5:13">
      <c r="E3431" s="972"/>
      <c r="F3431" s="972"/>
      <c r="G3431" s="972"/>
      <c r="H3431" s="972"/>
      <c r="I3431" s="972"/>
      <c r="J3431" s="972"/>
      <c r="K3431" s="972"/>
      <c r="L3431" s="972"/>
      <c r="M3431" s="972"/>
    </row>
    <row r="3432" spans="5:13">
      <c r="E3432" s="972"/>
      <c r="F3432" s="972"/>
      <c r="G3432" s="972"/>
      <c r="H3432" s="972"/>
      <c r="I3432" s="972"/>
      <c r="J3432" s="972"/>
      <c r="K3432" s="972"/>
      <c r="L3432" s="972"/>
      <c r="M3432" s="972"/>
    </row>
    <row r="3433" spans="5:13">
      <c r="E3433" s="972"/>
      <c r="F3433" s="972"/>
      <c r="G3433" s="972"/>
      <c r="H3433" s="972"/>
      <c r="I3433" s="972"/>
      <c r="J3433" s="972"/>
      <c r="K3433" s="972"/>
      <c r="L3433" s="972"/>
      <c r="M3433" s="972"/>
    </row>
    <row r="3434" spans="5:13">
      <c r="E3434" s="972"/>
      <c r="F3434" s="972"/>
      <c r="G3434" s="972"/>
      <c r="H3434" s="972"/>
      <c r="I3434" s="972"/>
      <c r="J3434" s="972"/>
      <c r="K3434" s="972"/>
      <c r="L3434" s="972"/>
      <c r="M3434" s="972"/>
    </row>
    <row r="3435" spans="5:13">
      <c r="E3435" s="972"/>
      <c r="F3435" s="972"/>
      <c r="G3435" s="972"/>
      <c r="H3435" s="972"/>
      <c r="I3435" s="972"/>
      <c r="J3435" s="972"/>
      <c r="K3435" s="972"/>
      <c r="L3435" s="972"/>
      <c r="M3435" s="972"/>
    </row>
    <row r="3436" spans="5:13">
      <c r="E3436" s="972"/>
      <c r="F3436" s="972"/>
      <c r="G3436" s="972"/>
      <c r="H3436" s="972"/>
      <c r="I3436" s="972"/>
      <c r="J3436" s="972"/>
      <c r="K3436" s="972"/>
      <c r="L3436" s="972"/>
      <c r="M3436" s="972"/>
    </row>
    <row r="3437" spans="5:13">
      <c r="E3437" s="972"/>
      <c r="F3437" s="972"/>
      <c r="G3437" s="972"/>
      <c r="H3437" s="972"/>
      <c r="I3437" s="972"/>
      <c r="J3437" s="972"/>
      <c r="K3437" s="972"/>
      <c r="L3437" s="972"/>
      <c r="M3437" s="972"/>
    </row>
    <row r="3438" spans="5:13">
      <c r="E3438" s="972"/>
      <c r="F3438" s="972"/>
      <c r="G3438" s="972"/>
      <c r="H3438" s="972"/>
      <c r="I3438" s="972"/>
      <c r="J3438" s="972"/>
      <c r="K3438" s="972"/>
      <c r="L3438" s="972"/>
      <c r="M3438" s="972"/>
    </row>
    <row r="3439" spans="5:13">
      <c r="E3439" s="972"/>
      <c r="F3439" s="972"/>
      <c r="G3439" s="972"/>
      <c r="H3439" s="972"/>
      <c r="I3439" s="972"/>
      <c r="J3439" s="972"/>
      <c r="K3439" s="972"/>
      <c r="L3439" s="972"/>
      <c r="M3439" s="972"/>
    </row>
    <row r="3440" spans="5:13">
      <c r="E3440" s="972"/>
      <c r="F3440" s="972"/>
      <c r="G3440" s="972"/>
      <c r="H3440" s="972"/>
      <c r="I3440" s="972"/>
      <c r="J3440" s="972"/>
      <c r="K3440" s="972"/>
      <c r="L3440" s="972"/>
      <c r="M3440" s="972"/>
    </row>
    <row r="3441" spans="5:13">
      <c r="E3441" s="972"/>
      <c r="F3441" s="972"/>
      <c r="G3441" s="972"/>
      <c r="H3441" s="972"/>
      <c r="I3441" s="972"/>
      <c r="J3441" s="972"/>
      <c r="K3441" s="972"/>
      <c r="L3441" s="972"/>
      <c r="M3441" s="972"/>
    </row>
    <row r="3442" spans="5:13">
      <c r="E3442" s="972"/>
      <c r="F3442" s="972"/>
      <c r="G3442" s="972"/>
      <c r="H3442" s="972"/>
      <c r="I3442" s="972"/>
      <c r="J3442" s="972"/>
      <c r="K3442" s="972"/>
      <c r="L3442" s="972"/>
      <c r="M3442" s="972"/>
    </row>
    <row r="3443" spans="5:13">
      <c r="E3443" s="972"/>
      <c r="F3443" s="972"/>
      <c r="G3443" s="972"/>
      <c r="H3443" s="972"/>
      <c r="I3443" s="972"/>
      <c r="J3443" s="972"/>
      <c r="K3443" s="972"/>
      <c r="L3443" s="972"/>
      <c r="M3443" s="972"/>
    </row>
    <row r="3444" spans="5:13">
      <c r="E3444" s="972"/>
      <c r="F3444" s="972"/>
      <c r="G3444" s="972"/>
      <c r="H3444" s="972"/>
      <c r="I3444" s="972"/>
      <c r="J3444" s="972"/>
      <c r="K3444" s="972"/>
      <c r="L3444" s="972"/>
      <c r="M3444" s="972"/>
    </row>
    <row r="3445" spans="5:13">
      <c r="E3445" s="972"/>
      <c r="F3445" s="972"/>
      <c r="G3445" s="972"/>
      <c r="H3445" s="972"/>
      <c r="I3445" s="972"/>
      <c r="J3445" s="972"/>
      <c r="K3445" s="972"/>
      <c r="L3445" s="972"/>
      <c r="M3445" s="972"/>
    </row>
    <row r="3446" spans="5:13">
      <c r="E3446" s="972"/>
      <c r="F3446" s="972"/>
      <c r="G3446" s="972"/>
      <c r="H3446" s="972"/>
      <c r="I3446" s="972"/>
      <c r="J3446" s="972"/>
      <c r="K3446" s="972"/>
      <c r="L3446" s="972"/>
      <c r="M3446" s="972"/>
    </row>
    <row r="3447" spans="5:13">
      <c r="E3447" s="972"/>
      <c r="F3447" s="972"/>
      <c r="G3447" s="972"/>
      <c r="H3447" s="972"/>
      <c r="I3447" s="972"/>
      <c r="J3447" s="972"/>
      <c r="K3447" s="972"/>
      <c r="L3447" s="972"/>
      <c r="M3447" s="972"/>
    </row>
    <row r="3448" spans="5:13">
      <c r="E3448" s="972"/>
      <c r="F3448" s="972"/>
      <c r="G3448" s="972"/>
      <c r="H3448" s="972"/>
      <c r="I3448" s="972"/>
      <c r="J3448" s="972"/>
      <c r="K3448" s="972"/>
      <c r="L3448" s="972"/>
      <c r="M3448" s="972"/>
    </row>
    <row r="3449" spans="5:13">
      <c r="E3449" s="972"/>
      <c r="F3449" s="972"/>
      <c r="G3449" s="972"/>
      <c r="H3449" s="972"/>
      <c r="I3449" s="972"/>
      <c r="J3449" s="972"/>
      <c r="K3449" s="972"/>
      <c r="L3449" s="972"/>
      <c r="M3449" s="972"/>
    </row>
    <row r="3450" spans="5:13">
      <c r="E3450" s="972"/>
      <c r="F3450" s="972"/>
      <c r="G3450" s="972"/>
      <c r="H3450" s="972"/>
      <c r="I3450" s="972"/>
      <c r="J3450" s="972"/>
      <c r="K3450" s="972"/>
      <c r="L3450" s="972"/>
      <c r="M3450" s="972"/>
    </row>
    <row r="3451" spans="5:13">
      <c r="E3451" s="972"/>
      <c r="F3451" s="972"/>
      <c r="G3451" s="972"/>
      <c r="H3451" s="972"/>
      <c r="I3451" s="972"/>
      <c r="J3451" s="972"/>
      <c r="K3451" s="972"/>
      <c r="L3451" s="972"/>
      <c r="M3451" s="972"/>
    </row>
    <row r="3452" spans="5:13">
      <c r="E3452" s="972"/>
      <c r="F3452" s="972"/>
      <c r="G3452" s="972"/>
      <c r="H3452" s="972"/>
      <c r="I3452" s="972"/>
      <c r="J3452" s="972"/>
      <c r="K3452" s="972"/>
      <c r="L3452" s="972"/>
      <c r="M3452" s="972"/>
    </row>
    <row r="3453" spans="5:13">
      <c r="E3453" s="972"/>
      <c r="F3453" s="972"/>
      <c r="G3453" s="972"/>
      <c r="H3453" s="972"/>
      <c r="I3453" s="972"/>
      <c r="J3453" s="972"/>
      <c r="K3453" s="972"/>
      <c r="L3453" s="972"/>
      <c r="M3453" s="972"/>
    </row>
    <row r="3454" spans="5:13">
      <c r="E3454" s="972"/>
      <c r="F3454" s="972"/>
      <c r="G3454" s="972"/>
      <c r="H3454" s="972"/>
      <c r="I3454" s="972"/>
      <c r="J3454" s="972"/>
      <c r="K3454" s="972"/>
      <c r="L3454" s="972"/>
      <c r="M3454" s="972"/>
    </row>
    <row r="3455" spans="5:13">
      <c r="E3455" s="972"/>
      <c r="F3455" s="972"/>
      <c r="G3455" s="972"/>
      <c r="H3455" s="972"/>
      <c r="I3455" s="972"/>
      <c r="J3455" s="972"/>
      <c r="K3455" s="972"/>
      <c r="L3455" s="972"/>
      <c r="M3455" s="972"/>
    </row>
    <row r="3456" spans="5:13">
      <c r="E3456" s="972"/>
      <c r="F3456" s="972"/>
      <c r="G3456" s="972"/>
      <c r="H3456" s="972"/>
      <c r="I3456" s="972"/>
      <c r="J3456" s="972"/>
      <c r="K3456" s="972"/>
      <c r="L3456" s="972"/>
      <c r="M3456" s="972"/>
    </row>
    <row r="3457" spans="5:13">
      <c r="E3457" s="972"/>
      <c r="F3457" s="972"/>
      <c r="G3457" s="972"/>
      <c r="H3457" s="972"/>
      <c r="I3457" s="972"/>
      <c r="J3457" s="972"/>
      <c r="K3457" s="972"/>
      <c r="L3457" s="972"/>
      <c r="M3457" s="972"/>
    </row>
    <row r="3458" spans="5:13">
      <c r="E3458" s="972"/>
      <c r="F3458" s="972"/>
      <c r="G3458" s="972"/>
      <c r="H3458" s="972"/>
      <c r="I3458" s="972"/>
      <c r="J3458" s="972"/>
      <c r="K3458" s="972"/>
      <c r="L3458" s="972"/>
      <c r="M3458" s="972"/>
    </row>
    <row r="3459" spans="5:13">
      <c r="E3459" s="972"/>
      <c r="F3459" s="972"/>
      <c r="G3459" s="972"/>
      <c r="H3459" s="972"/>
      <c r="I3459" s="972"/>
      <c r="J3459" s="972"/>
      <c r="K3459" s="972"/>
      <c r="L3459" s="972"/>
      <c r="M3459" s="972"/>
    </row>
    <row r="3460" spans="5:13">
      <c r="E3460" s="972"/>
      <c r="F3460" s="972"/>
      <c r="G3460" s="972"/>
      <c r="H3460" s="972"/>
      <c r="I3460" s="972"/>
      <c r="J3460" s="972"/>
      <c r="K3460" s="972"/>
      <c r="L3460" s="972"/>
      <c r="M3460" s="972"/>
    </row>
    <row r="3461" spans="5:13">
      <c r="E3461" s="972"/>
      <c r="F3461" s="972"/>
      <c r="G3461" s="972"/>
      <c r="H3461" s="972"/>
      <c r="I3461" s="972"/>
      <c r="J3461" s="972"/>
      <c r="K3461" s="972"/>
      <c r="L3461" s="972"/>
      <c r="M3461" s="972"/>
    </row>
    <row r="3462" spans="5:13">
      <c r="E3462" s="972"/>
      <c r="F3462" s="972"/>
      <c r="G3462" s="972"/>
      <c r="H3462" s="972"/>
      <c r="I3462" s="972"/>
      <c r="J3462" s="972"/>
      <c r="K3462" s="972"/>
      <c r="L3462" s="972"/>
      <c r="M3462" s="972"/>
    </row>
    <row r="3463" spans="5:13">
      <c r="E3463" s="972"/>
      <c r="F3463" s="972"/>
      <c r="G3463" s="972"/>
      <c r="H3463" s="972"/>
      <c r="I3463" s="972"/>
      <c r="J3463" s="972"/>
      <c r="K3463" s="972"/>
      <c r="L3463" s="972"/>
      <c r="M3463" s="972"/>
    </row>
    <row r="3464" spans="5:13">
      <c r="E3464" s="972"/>
      <c r="F3464" s="972"/>
      <c r="G3464" s="972"/>
      <c r="H3464" s="972"/>
      <c r="I3464" s="972"/>
      <c r="J3464" s="972"/>
      <c r="K3464" s="972"/>
      <c r="L3464" s="972"/>
      <c r="M3464" s="972"/>
    </row>
    <row r="3465" spans="5:13">
      <c r="E3465" s="972"/>
      <c r="F3465" s="972"/>
      <c r="G3465" s="972"/>
      <c r="H3465" s="972"/>
      <c r="I3465" s="972"/>
      <c r="J3465" s="972"/>
      <c r="K3465" s="972"/>
      <c r="L3465" s="972"/>
      <c r="M3465" s="972"/>
    </row>
    <row r="3466" spans="5:13">
      <c r="E3466" s="972"/>
      <c r="F3466" s="972"/>
      <c r="G3466" s="972"/>
      <c r="H3466" s="972"/>
      <c r="I3466" s="972"/>
      <c r="J3466" s="972"/>
      <c r="K3466" s="972"/>
      <c r="L3466" s="972"/>
      <c r="M3466" s="972"/>
    </row>
    <row r="3467" spans="5:13">
      <c r="E3467" s="972"/>
      <c r="F3467" s="972"/>
      <c r="G3467" s="972"/>
      <c r="H3467" s="972"/>
      <c r="I3467" s="972"/>
      <c r="J3467" s="972"/>
      <c r="K3467" s="972"/>
      <c r="L3467" s="972"/>
      <c r="M3467" s="972"/>
    </row>
    <row r="3468" spans="5:13">
      <c r="E3468" s="972"/>
      <c r="F3468" s="972"/>
      <c r="G3468" s="972"/>
      <c r="H3468" s="972"/>
      <c r="I3468" s="972"/>
      <c r="J3468" s="972"/>
      <c r="K3468" s="972"/>
      <c r="L3468" s="972"/>
      <c r="M3468" s="972"/>
    </row>
    <row r="3469" spans="5:13">
      <c r="E3469" s="972"/>
      <c r="F3469" s="972"/>
      <c r="G3469" s="972"/>
      <c r="H3469" s="972"/>
      <c r="I3469" s="972"/>
      <c r="J3469" s="972"/>
      <c r="K3469" s="972"/>
      <c r="L3469" s="972"/>
      <c r="M3469" s="972"/>
    </row>
    <row r="3470" spans="5:13">
      <c r="E3470" s="972"/>
      <c r="F3470" s="972"/>
      <c r="G3470" s="972"/>
      <c r="H3470" s="972"/>
      <c r="I3470" s="972"/>
      <c r="J3470" s="972"/>
      <c r="K3470" s="972"/>
      <c r="L3470" s="972"/>
      <c r="M3470" s="972"/>
    </row>
    <row r="3471" spans="5:13">
      <c r="E3471" s="972"/>
      <c r="F3471" s="972"/>
      <c r="G3471" s="972"/>
      <c r="H3471" s="972"/>
      <c r="I3471" s="972"/>
      <c r="J3471" s="972"/>
      <c r="K3471" s="972"/>
      <c r="L3471" s="972"/>
      <c r="M3471" s="972"/>
    </row>
    <row r="3472" spans="5:13">
      <c r="E3472" s="972"/>
      <c r="F3472" s="972"/>
      <c r="G3472" s="972"/>
      <c r="H3472" s="972"/>
      <c r="I3472" s="972"/>
      <c r="J3472" s="972"/>
      <c r="K3472" s="972"/>
      <c r="L3472" s="972"/>
      <c r="M3472" s="972"/>
    </row>
    <row r="3473" spans="5:13">
      <c r="E3473" s="972"/>
      <c r="F3473" s="972"/>
      <c r="G3473" s="972"/>
      <c r="H3473" s="972"/>
      <c r="I3473" s="972"/>
      <c r="J3473" s="972"/>
      <c r="K3473" s="972"/>
      <c r="L3473" s="972"/>
      <c r="M3473" s="972"/>
    </row>
    <row r="3474" spans="5:13">
      <c r="E3474" s="972"/>
      <c r="F3474" s="972"/>
      <c r="G3474" s="972"/>
      <c r="H3474" s="972"/>
      <c r="I3474" s="972"/>
      <c r="J3474" s="972"/>
      <c r="K3474" s="972"/>
      <c r="L3474" s="972"/>
      <c r="M3474" s="972"/>
    </row>
    <row r="3475" spans="5:13">
      <c r="E3475" s="972"/>
      <c r="F3475" s="972"/>
      <c r="G3475" s="972"/>
      <c r="H3475" s="972"/>
      <c r="I3475" s="972"/>
      <c r="J3475" s="972"/>
      <c r="K3475" s="972"/>
      <c r="L3475" s="972"/>
      <c r="M3475" s="972"/>
    </row>
    <row r="3476" spans="5:13">
      <c r="E3476" s="972"/>
      <c r="F3476" s="972"/>
      <c r="G3476" s="972"/>
      <c r="H3476" s="972"/>
      <c r="I3476" s="972"/>
      <c r="J3476" s="972"/>
      <c r="K3476" s="972"/>
      <c r="L3476" s="972"/>
      <c r="M3476" s="972"/>
    </row>
    <row r="3477" spans="5:13">
      <c r="E3477" s="972"/>
      <c r="F3477" s="972"/>
      <c r="G3477" s="972"/>
      <c r="H3477" s="972"/>
      <c r="I3477" s="972"/>
      <c r="J3477" s="972"/>
      <c r="K3477" s="972"/>
      <c r="L3477" s="972"/>
      <c r="M3477" s="972"/>
    </row>
    <row r="3478" spans="5:13">
      <c r="E3478" s="972"/>
      <c r="F3478" s="972"/>
      <c r="G3478" s="972"/>
      <c r="H3478" s="972"/>
      <c r="I3478" s="972"/>
      <c r="J3478" s="972"/>
      <c r="K3478" s="972"/>
      <c r="L3478" s="972"/>
      <c r="M3478" s="972"/>
    </row>
    <row r="3479" spans="5:13">
      <c r="E3479" s="972"/>
      <c r="F3479" s="972"/>
      <c r="G3479" s="972"/>
      <c r="H3479" s="972"/>
      <c r="I3479" s="972"/>
      <c r="J3479" s="972"/>
      <c r="K3479" s="972"/>
      <c r="L3479" s="972"/>
      <c r="M3479" s="972"/>
    </row>
    <row r="3480" spans="5:13">
      <c r="E3480" s="972"/>
      <c r="F3480" s="972"/>
      <c r="G3480" s="972"/>
      <c r="H3480" s="972"/>
      <c r="I3480" s="972"/>
      <c r="J3480" s="972"/>
      <c r="K3480" s="972"/>
      <c r="L3480" s="972"/>
      <c r="M3480" s="972"/>
    </row>
    <row r="3481" spans="5:13">
      <c r="E3481" s="972"/>
      <c r="F3481" s="972"/>
      <c r="G3481" s="972"/>
      <c r="H3481" s="972"/>
      <c r="I3481" s="972"/>
      <c r="J3481" s="972"/>
      <c r="K3481" s="972"/>
      <c r="L3481" s="972"/>
      <c r="M3481" s="972"/>
    </row>
    <row r="3482" spans="5:13">
      <c r="E3482" s="972"/>
      <c r="F3482" s="972"/>
      <c r="G3482" s="972"/>
      <c r="H3482" s="972"/>
      <c r="I3482" s="972"/>
      <c r="J3482" s="972"/>
      <c r="K3482" s="972"/>
      <c r="L3482" s="972"/>
      <c r="M3482" s="972"/>
    </row>
    <row r="3483" spans="5:13">
      <c r="E3483" s="972"/>
      <c r="F3483" s="972"/>
      <c r="G3483" s="972"/>
      <c r="H3483" s="972"/>
      <c r="I3483" s="972"/>
      <c r="J3483" s="972"/>
      <c r="K3483" s="972"/>
      <c r="L3483" s="972"/>
      <c r="M3483" s="972"/>
    </row>
    <row r="3484" spans="5:13">
      <c r="E3484" s="972"/>
      <c r="F3484" s="972"/>
      <c r="G3484" s="972"/>
      <c r="H3484" s="972"/>
      <c r="I3484" s="972"/>
      <c r="J3484" s="972"/>
      <c r="K3484" s="972"/>
      <c r="L3484" s="972"/>
      <c r="M3484" s="972"/>
    </row>
    <row r="3485" spans="5:13">
      <c r="E3485" s="972"/>
      <c r="F3485" s="972"/>
      <c r="G3485" s="972"/>
      <c r="H3485" s="972"/>
      <c r="I3485" s="972"/>
      <c r="J3485" s="972"/>
      <c r="K3485" s="972"/>
      <c r="L3485" s="972"/>
      <c r="M3485" s="972"/>
    </row>
    <row r="3486" spans="5:13">
      <c r="E3486" s="972"/>
      <c r="F3486" s="972"/>
      <c r="G3486" s="972"/>
      <c r="H3486" s="972"/>
      <c r="I3486" s="972"/>
      <c r="J3486" s="972"/>
      <c r="K3486" s="972"/>
      <c r="L3486" s="972"/>
      <c r="M3486" s="972"/>
    </row>
    <row r="3487" spans="5:13">
      <c r="E3487" s="972"/>
      <c r="F3487" s="972"/>
      <c r="G3487" s="972"/>
      <c r="H3487" s="972"/>
      <c r="I3487" s="972"/>
      <c r="J3487" s="972"/>
      <c r="K3487" s="972"/>
      <c r="L3487" s="972"/>
      <c r="M3487" s="972"/>
    </row>
    <row r="3488" spans="5:13">
      <c r="E3488" s="972"/>
      <c r="F3488" s="972"/>
      <c r="G3488" s="972"/>
      <c r="H3488" s="972"/>
      <c r="I3488" s="972"/>
      <c r="J3488" s="972"/>
      <c r="K3488" s="972"/>
      <c r="L3488" s="972"/>
      <c r="M3488" s="972"/>
    </row>
    <row r="3489" spans="5:13">
      <c r="E3489" s="972"/>
      <c r="F3489" s="972"/>
      <c r="G3489" s="972"/>
      <c r="H3489" s="972"/>
      <c r="I3489" s="972"/>
      <c r="J3489" s="972"/>
      <c r="K3489" s="972"/>
      <c r="L3489" s="972"/>
      <c r="M3489" s="972"/>
    </row>
    <row r="3490" spans="5:13">
      <c r="E3490" s="972"/>
      <c r="F3490" s="972"/>
      <c r="G3490" s="972"/>
      <c r="H3490" s="972"/>
      <c r="I3490" s="972"/>
      <c r="J3490" s="972"/>
      <c r="K3490" s="972"/>
      <c r="L3490" s="972"/>
      <c r="M3490" s="972"/>
    </row>
    <row r="3491" spans="5:13">
      <c r="E3491" s="972"/>
      <c r="F3491" s="972"/>
      <c r="G3491" s="972"/>
      <c r="H3491" s="972"/>
      <c r="I3491" s="972"/>
      <c r="J3491" s="972"/>
      <c r="K3491" s="972"/>
      <c r="L3491" s="972"/>
      <c r="M3491" s="972"/>
    </row>
    <row r="3492" spans="5:13">
      <c r="E3492" s="972"/>
      <c r="F3492" s="972"/>
      <c r="G3492" s="972"/>
      <c r="H3492" s="972"/>
      <c r="I3492" s="972"/>
      <c r="J3492" s="972"/>
      <c r="K3492" s="972"/>
      <c r="L3492" s="972"/>
      <c r="M3492" s="972"/>
    </row>
    <row r="3493" spans="5:13">
      <c r="E3493" s="972"/>
      <c r="F3493" s="972"/>
      <c r="G3493" s="972"/>
      <c r="H3493" s="972"/>
      <c r="I3493" s="972"/>
      <c r="J3493" s="972"/>
      <c r="K3493" s="972"/>
      <c r="L3493" s="972"/>
      <c r="M3493" s="972"/>
    </row>
    <row r="3494" spans="5:13">
      <c r="E3494" s="972"/>
      <c r="F3494" s="972"/>
      <c r="G3494" s="972"/>
      <c r="H3494" s="972"/>
      <c r="I3494" s="972"/>
      <c r="J3494" s="972"/>
      <c r="K3494" s="972"/>
      <c r="L3494" s="972"/>
      <c r="M3494" s="972"/>
    </row>
    <row r="3495" spans="5:13">
      <c r="E3495" s="972"/>
      <c r="F3495" s="972"/>
      <c r="G3495" s="972"/>
      <c r="H3495" s="972"/>
      <c r="I3495" s="972"/>
      <c r="J3495" s="972"/>
      <c r="K3495" s="972"/>
      <c r="L3495" s="972"/>
      <c r="M3495" s="972"/>
    </row>
    <row r="3496" spans="5:13">
      <c r="E3496" s="972"/>
      <c r="F3496" s="972"/>
      <c r="G3496" s="972"/>
      <c r="H3496" s="972"/>
      <c r="I3496" s="972"/>
      <c r="J3496" s="972"/>
      <c r="K3496" s="972"/>
      <c r="L3496" s="972"/>
      <c r="M3496" s="972"/>
    </row>
    <row r="3497" spans="5:13">
      <c r="E3497" s="972"/>
      <c r="F3497" s="972"/>
      <c r="G3497" s="972"/>
      <c r="H3497" s="972"/>
      <c r="I3497" s="972"/>
      <c r="J3497" s="972"/>
      <c r="K3497" s="972"/>
      <c r="L3497" s="972"/>
      <c r="M3497" s="972"/>
    </row>
    <row r="3498" spans="5:13">
      <c r="E3498" s="972"/>
      <c r="F3498" s="972"/>
      <c r="G3498" s="972"/>
      <c r="H3498" s="972"/>
      <c r="I3498" s="972"/>
      <c r="J3498" s="972"/>
      <c r="K3498" s="972"/>
      <c r="L3498" s="972"/>
      <c r="M3498" s="972"/>
    </row>
    <row r="3499" spans="5:13">
      <c r="E3499" s="972"/>
      <c r="F3499" s="972"/>
      <c r="G3499" s="972"/>
      <c r="H3499" s="972"/>
      <c r="I3499" s="972"/>
      <c r="J3499" s="972"/>
      <c r="K3499" s="972"/>
      <c r="L3499" s="972"/>
      <c r="M3499" s="972"/>
    </row>
    <row r="3500" spans="5:13">
      <c r="E3500" s="972"/>
      <c r="F3500" s="972"/>
      <c r="G3500" s="972"/>
      <c r="H3500" s="972"/>
      <c r="I3500" s="972"/>
      <c r="J3500" s="972"/>
      <c r="K3500" s="972"/>
      <c r="L3500" s="972"/>
      <c r="M3500" s="972"/>
    </row>
    <row r="3501" spans="5:13">
      <c r="E3501" s="972"/>
      <c r="F3501" s="972"/>
      <c r="G3501" s="972"/>
      <c r="H3501" s="972"/>
      <c r="I3501" s="972"/>
      <c r="J3501" s="972"/>
      <c r="K3501" s="972"/>
      <c r="L3501" s="972"/>
      <c r="M3501" s="972"/>
    </row>
    <row r="3502" spans="5:13">
      <c r="E3502" s="972"/>
      <c r="F3502" s="972"/>
      <c r="G3502" s="972"/>
      <c r="H3502" s="972"/>
      <c r="I3502" s="972"/>
      <c r="J3502" s="972"/>
      <c r="K3502" s="972"/>
      <c r="L3502" s="972"/>
      <c r="M3502" s="972"/>
    </row>
    <row r="3503" spans="5:13">
      <c r="E3503" s="972"/>
      <c r="F3503" s="972"/>
      <c r="G3503" s="972"/>
      <c r="H3503" s="972"/>
      <c r="I3503" s="972"/>
      <c r="J3503" s="972"/>
      <c r="K3503" s="972"/>
      <c r="L3503" s="972"/>
      <c r="M3503" s="972"/>
    </row>
    <row r="3504" spans="5:13">
      <c r="E3504" s="972"/>
      <c r="F3504" s="972"/>
      <c r="G3504" s="972"/>
      <c r="H3504" s="972"/>
      <c r="I3504" s="972"/>
      <c r="J3504" s="972"/>
      <c r="K3504" s="972"/>
      <c r="L3504" s="972"/>
      <c r="M3504" s="972"/>
    </row>
    <row r="3505" spans="5:13">
      <c r="E3505" s="972"/>
      <c r="F3505" s="972"/>
      <c r="G3505" s="972"/>
      <c r="H3505" s="972"/>
      <c r="I3505" s="972"/>
      <c r="J3505" s="972"/>
      <c r="K3505" s="972"/>
      <c r="L3505" s="972"/>
      <c r="M3505" s="972"/>
    </row>
    <row r="3506" spans="5:13">
      <c r="E3506" s="972"/>
      <c r="F3506" s="972"/>
      <c r="G3506" s="972"/>
      <c r="H3506" s="972"/>
      <c r="I3506" s="972"/>
      <c r="J3506" s="972"/>
      <c r="K3506" s="972"/>
      <c r="L3506" s="972"/>
      <c r="M3506" s="972"/>
    </row>
    <row r="3507" spans="5:13">
      <c r="E3507" s="972"/>
      <c r="F3507" s="972"/>
      <c r="G3507" s="972"/>
      <c r="H3507" s="972"/>
      <c r="I3507" s="972"/>
      <c r="J3507" s="972"/>
      <c r="K3507" s="972"/>
      <c r="L3507" s="972"/>
      <c r="M3507" s="972"/>
    </row>
    <row r="3508" spans="5:13">
      <c r="E3508" s="972"/>
      <c r="F3508" s="972"/>
      <c r="G3508" s="972"/>
      <c r="H3508" s="972"/>
      <c r="I3508" s="972"/>
      <c r="J3508" s="972"/>
      <c r="K3508" s="972"/>
      <c r="L3508" s="972"/>
      <c r="M3508" s="972"/>
    </row>
    <row r="3509" spans="5:13">
      <c r="E3509" s="972"/>
      <c r="F3509" s="972"/>
      <c r="G3509" s="972"/>
      <c r="H3509" s="972"/>
      <c r="I3509" s="972"/>
      <c r="J3509" s="972"/>
      <c r="K3509" s="972"/>
      <c r="L3509" s="972"/>
      <c r="M3509" s="972"/>
    </row>
    <row r="3510" spans="5:13">
      <c r="E3510" s="972"/>
      <c r="F3510" s="972"/>
      <c r="G3510" s="972"/>
      <c r="H3510" s="972"/>
      <c r="I3510" s="972"/>
      <c r="J3510" s="972"/>
      <c r="K3510" s="972"/>
      <c r="L3510" s="972"/>
      <c r="M3510" s="972"/>
    </row>
    <row r="3511" spans="5:13">
      <c r="E3511" s="972"/>
      <c r="F3511" s="972"/>
      <c r="G3511" s="972"/>
      <c r="H3511" s="972"/>
      <c r="I3511" s="972"/>
      <c r="J3511" s="972"/>
      <c r="K3511" s="972"/>
      <c r="L3511" s="972"/>
      <c r="M3511" s="972"/>
    </row>
    <row r="3512" spans="5:13">
      <c r="E3512" s="972"/>
      <c r="F3512" s="972"/>
      <c r="G3512" s="972"/>
      <c r="H3512" s="972"/>
      <c r="I3512" s="972"/>
      <c r="J3512" s="972"/>
      <c r="K3512" s="972"/>
      <c r="L3512" s="972"/>
      <c r="M3512" s="972"/>
    </row>
    <row r="3513" spans="5:13">
      <c r="E3513" s="972"/>
      <c r="F3513" s="972"/>
      <c r="G3513" s="972"/>
      <c r="H3513" s="972"/>
      <c r="I3513" s="972"/>
      <c r="J3513" s="972"/>
      <c r="K3513" s="972"/>
      <c r="L3513" s="972"/>
      <c r="M3513" s="972"/>
    </row>
    <row r="3514" spans="5:13">
      <c r="E3514" s="972"/>
      <c r="F3514" s="972"/>
      <c r="G3514" s="972"/>
      <c r="H3514" s="972"/>
      <c r="I3514" s="972"/>
      <c r="J3514" s="972"/>
      <c r="K3514" s="972"/>
      <c r="L3514" s="972"/>
      <c r="M3514" s="972"/>
    </row>
    <row r="3515" spans="5:13" ht="409.5">
      <c r="E3515" s="972"/>
      <c r="F3515" s="972"/>
      <c r="G3515" s="972"/>
      <c r="H3515" s="972"/>
      <c r="I3515" s="972"/>
      <c r="J3515" s="972"/>
      <c r="K3515" s="1331" t="s">
        <v>5308</v>
      </c>
      <c r="L3515" s="1938">
        <v>4646</v>
      </c>
      <c r="M3515" s="972"/>
    </row>
    <row r="3516" spans="5:13">
      <c r="E3516" s="972"/>
      <c r="F3516" s="972"/>
      <c r="G3516" s="972"/>
      <c r="H3516" s="972"/>
      <c r="I3516" s="972"/>
      <c r="J3516" s="972"/>
      <c r="K3516" s="972"/>
      <c r="L3516" s="972"/>
      <c r="M3516" s="972"/>
    </row>
    <row r="3517" spans="5:13">
      <c r="E3517" s="972"/>
      <c r="F3517" s="972"/>
      <c r="G3517" s="972"/>
      <c r="H3517" s="972"/>
      <c r="I3517" s="972"/>
      <c r="J3517" s="972"/>
      <c r="K3517" s="972"/>
      <c r="L3517" s="972"/>
      <c r="M3517" s="972"/>
    </row>
    <row r="3518" spans="5:13">
      <c r="E3518" s="972"/>
      <c r="F3518" s="972"/>
      <c r="G3518" s="972"/>
      <c r="H3518" s="972"/>
      <c r="I3518" s="972"/>
      <c r="J3518" s="972"/>
      <c r="K3518" s="972"/>
      <c r="L3518" s="972"/>
      <c r="M3518" s="972"/>
    </row>
    <row r="3519" spans="5:13">
      <c r="E3519" s="972"/>
      <c r="F3519" s="972"/>
      <c r="G3519" s="972"/>
      <c r="H3519" s="972"/>
      <c r="I3519" s="972"/>
      <c r="J3519" s="972"/>
      <c r="K3519" s="972"/>
      <c r="L3519" s="972"/>
      <c r="M3519" s="972"/>
    </row>
    <row r="3520" spans="5:13">
      <c r="E3520" s="972"/>
      <c r="F3520" s="972"/>
      <c r="G3520" s="972"/>
      <c r="H3520" s="972"/>
      <c r="I3520" s="972"/>
      <c r="J3520" s="972"/>
      <c r="K3520" s="972"/>
      <c r="L3520" s="972"/>
      <c r="M3520" s="972"/>
    </row>
    <row r="3521" spans="5:13">
      <c r="E3521" s="972"/>
      <c r="F3521" s="972"/>
      <c r="G3521" s="972"/>
      <c r="H3521" s="972"/>
      <c r="I3521" s="972"/>
      <c r="J3521" s="972"/>
      <c r="K3521" s="972"/>
      <c r="L3521" s="972"/>
      <c r="M3521" s="972"/>
    </row>
    <row r="3522" spans="5:13">
      <c r="E3522" s="972"/>
      <c r="F3522" s="972"/>
      <c r="G3522" s="972"/>
      <c r="H3522" s="972"/>
      <c r="I3522" s="972"/>
      <c r="J3522" s="972"/>
      <c r="K3522" s="972"/>
      <c r="L3522" s="972"/>
      <c r="M3522" s="972"/>
    </row>
    <row r="3523" spans="5:13">
      <c r="E3523" s="972"/>
      <c r="F3523" s="972"/>
      <c r="G3523" s="972"/>
      <c r="H3523" s="972"/>
      <c r="I3523" s="972"/>
      <c r="J3523" s="972"/>
      <c r="K3523" s="972"/>
      <c r="L3523" s="972"/>
      <c r="M3523" s="972"/>
    </row>
    <row r="3524" spans="5:13">
      <c r="E3524" s="972"/>
      <c r="F3524" s="972"/>
      <c r="G3524" s="972"/>
      <c r="H3524" s="972"/>
      <c r="I3524" s="972"/>
      <c r="J3524" s="972"/>
      <c r="K3524" s="972"/>
      <c r="L3524" s="972"/>
      <c r="M3524" s="972"/>
    </row>
    <row r="3525" spans="5:13">
      <c r="E3525" s="972"/>
      <c r="F3525" s="972"/>
      <c r="G3525" s="972"/>
      <c r="H3525" s="972"/>
      <c r="I3525" s="972"/>
      <c r="J3525" s="972"/>
      <c r="K3525" s="972"/>
      <c r="L3525" s="972"/>
      <c r="M3525" s="972"/>
    </row>
    <row r="3526" spans="5:13">
      <c r="E3526" s="972"/>
      <c r="F3526" s="972"/>
      <c r="G3526" s="972"/>
      <c r="H3526" s="972"/>
      <c r="I3526" s="972"/>
      <c r="J3526" s="972"/>
      <c r="K3526" s="972"/>
      <c r="L3526" s="972"/>
      <c r="M3526" s="972"/>
    </row>
    <row r="3527" spans="5:13">
      <c r="E3527" s="972"/>
      <c r="F3527" s="972"/>
      <c r="G3527" s="972"/>
      <c r="H3527" s="972"/>
      <c r="I3527" s="972"/>
      <c r="J3527" s="972"/>
      <c r="K3527" s="972"/>
      <c r="L3527" s="972"/>
      <c r="M3527" s="972"/>
    </row>
    <row r="3528" spans="5:13">
      <c r="E3528" s="972"/>
      <c r="F3528" s="972"/>
      <c r="G3528" s="972"/>
      <c r="H3528" s="972"/>
      <c r="I3528" s="972"/>
      <c r="J3528" s="972"/>
      <c r="K3528" s="972"/>
      <c r="L3528" s="972"/>
      <c r="M3528" s="972"/>
    </row>
    <row r="3529" spans="5:13">
      <c r="E3529" s="972"/>
      <c r="F3529" s="972"/>
      <c r="G3529" s="972"/>
      <c r="H3529" s="972"/>
      <c r="I3529" s="972"/>
      <c r="J3529" s="972"/>
      <c r="K3529" s="972"/>
      <c r="L3529" s="972"/>
      <c r="M3529" s="972"/>
    </row>
    <row r="3530" spans="5:13">
      <c r="E3530" s="972"/>
      <c r="F3530" s="972"/>
      <c r="G3530" s="972"/>
      <c r="H3530" s="972"/>
      <c r="I3530" s="972"/>
      <c r="J3530" s="972"/>
      <c r="K3530" s="972"/>
      <c r="L3530" s="972"/>
      <c r="M3530" s="972"/>
    </row>
    <row r="3531" spans="5:13">
      <c r="E3531" s="972"/>
      <c r="F3531" s="972"/>
      <c r="G3531" s="972"/>
      <c r="H3531" s="972"/>
      <c r="I3531" s="972"/>
      <c r="J3531" s="972"/>
      <c r="K3531" s="972"/>
      <c r="L3531" s="972"/>
      <c r="M3531" s="972"/>
    </row>
    <row r="3532" spans="5:13">
      <c r="E3532" s="972"/>
      <c r="F3532" s="972"/>
      <c r="G3532" s="972"/>
      <c r="H3532" s="972"/>
      <c r="I3532" s="972"/>
      <c r="J3532" s="972"/>
      <c r="K3532" s="972"/>
      <c r="L3532" s="972"/>
      <c r="M3532" s="972"/>
    </row>
    <row r="3533" spans="5:13">
      <c r="E3533" s="972"/>
      <c r="F3533" s="972"/>
      <c r="G3533" s="972"/>
      <c r="H3533" s="972"/>
      <c r="I3533" s="972"/>
      <c r="J3533" s="972"/>
      <c r="K3533" s="972"/>
      <c r="L3533" s="972"/>
      <c r="M3533" s="972"/>
    </row>
    <row r="3534" spans="5:13">
      <c r="E3534" s="972"/>
      <c r="F3534" s="972"/>
      <c r="G3534" s="972"/>
      <c r="H3534" s="972"/>
      <c r="I3534" s="972"/>
      <c r="J3534" s="972"/>
      <c r="K3534" s="972"/>
      <c r="L3534" s="972"/>
      <c r="M3534" s="972"/>
    </row>
    <row r="3535" spans="5:13">
      <c r="E3535" s="972"/>
      <c r="F3535" s="972"/>
      <c r="G3535" s="972"/>
      <c r="H3535" s="972"/>
      <c r="I3535" s="972"/>
      <c r="J3535" s="972"/>
      <c r="K3535" s="972"/>
      <c r="L3535" s="972"/>
      <c r="M3535" s="972"/>
    </row>
    <row r="3536" spans="5:13">
      <c r="E3536" s="972"/>
      <c r="F3536" s="972"/>
      <c r="G3536" s="972"/>
      <c r="H3536" s="972"/>
      <c r="I3536" s="972"/>
      <c r="J3536" s="972"/>
      <c r="K3536" s="972"/>
      <c r="L3536" s="972"/>
      <c r="M3536" s="972"/>
    </row>
    <row r="3537" spans="5:13">
      <c r="E3537" s="972"/>
      <c r="F3537" s="972"/>
      <c r="G3537" s="972"/>
      <c r="H3537" s="972"/>
      <c r="I3537" s="972"/>
      <c r="J3537" s="972"/>
      <c r="K3537" s="972"/>
      <c r="L3537" s="972"/>
      <c r="M3537" s="972"/>
    </row>
    <row r="3538" spans="5:13">
      <c r="E3538" s="972"/>
      <c r="F3538" s="972"/>
      <c r="G3538" s="972"/>
      <c r="H3538" s="972"/>
      <c r="I3538" s="972"/>
      <c r="J3538" s="972"/>
      <c r="K3538" s="972"/>
      <c r="L3538" s="972"/>
      <c r="M3538" s="972"/>
    </row>
    <row r="3539" spans="5:13">
      <c r="E3539" s="972"/>
      <c r="F3539" s="972"/>
      <c r="G3539" s="972"/>
      <c r="H3539" s="972"/>
      <c r="I3539" s="972"/>
      <c r="J3539" s="972"/>
      <c r="K3539" s="972"/>
      <c r="L3539" s="972"/>
      <c r="M3539" s="972"/>
    </row>
    <row r="3540" spans="5:13">
      <c r="E3540" s="972"/>
      <c r="F3540" s="972"/>
      <c r="G3540" s="972"/>
      <c r="H3540" s="972"/>
      <c r="I3540" s="972"/>
      <c r="J3540" s="972"/>
      <c r="K3540" s="972"/>
      <c r="L3540" s="972"/>
      <c r="M3540" s="972"/>
    </row>
    <row r="3541" spans="5:13">
      <c r="E3541" s="972"/>
      <c r="F3541" s="972"/>
      <c r="G3541" s="972"/>
      <c r="H3541" s="972"/>
      <c r="I3541" s="972"/>
      <c r="J3541" s="972"/>
      <c r="K3541" s="972"/>
      <c r="L3541" s="972"/>
      <c r="M3541" s="972"/>
    </row>
    <row r="3542" spans="5:13">
      <c r="E3542" s="972"/>
      <c r="F3542" s="972"/>
      <c r="G3542" s="972"/>
      <c r="H3542" s="972"/>
      <c r="I3542" s="972"/>
      <c r="J3542" s="972"/>
      <c r="K3542" s="972"/>
      <c r="L3542" s="972"/>
      <c r="M3542" s="972"/>
    </row>
    <row r="3543" spans="5:13">
      <c r="E3543" s="972"/>
      <c r="F3543" s="972"/>
      <c r="G3543" s="972"/>
      <c r="H3543" s="972"/>
      <c r="I3543" s="972"/>
      <c r="J3543" s="972"/>
      <c r="K3543" s="972"/>
      <c r="L3543" s="972"/>
      <c r="M3543" s="972"/>
    </row>
    <row r="3544" spans="5:13">
      <c r="E3544" s="972"/>
      <c r="F3544" s="972"/>
      <c r="G3544" s="972"/>
      <c r="H3544" s="972"/>
      <c r="I3544" s="972"/>
      <c r="J3544" s="972"/>
      <c r="K3544" s="972"/>
      <c r="L3544" s="972"/>
      <c r="M3544" s="972"/>
    </row>
    <row r="3545" spans="5:13">
      <c r="E3545" s="972"/>
      <c r="F3545" s="972"/>
      <c r="G3545" s="972"/>
      <c r="H3545" s="972"/>
      <c r="I3545" s="972"/>
      <c r="J3545" s="972"/>
      <c r="K3545" s="972"/>
      <c r="L3545" s="972"/>
      <c r="M3545" s="972"/>
    </row>
    <row r="3546" spans="5:13">
      <c r="E3546" s="972"/>
      <c r="F3546" s="972"/>
      <c r="G3546" s="972"/>
      <c r="H3546" s="972"/>
      <c r="I3546" s="972"/>
      <c r="J3546" s="972"/>
      <c r="K3546" s="972"/>
      <c r="L3546" s="972"/>
      <c r="M3546" s="972"/>
    </row>
    <row r="3547" spans="5:13">
      <c r="E3547" s="972"/>
      <c r="F3547" s="972"/>
      <c r="G3547" s="972"/>
      <c r="H3547" s="972"/>
      <c r="I3547" s="972"/>
      <c r="J3547" s="972"/>
      <c r="K3547" s="972"/>
      <c r="L3547" s="972"/>
      <c r="M3547" s="972"/>
    </row>
    <row r="3548" spans="5:13">
      <c r="E3548" s="972"/>
      <c r="F3548" s="972"/>
      <c r="G3548" s="972"/>
      <c r="H3548" s="972"/>
      <c r="I3548" s="972"/>
      <c r="J3548" s="972"/>
      <c r="K3548" s="972"/>
      <c r="L3548" s="972"/>
      <c r="M3548" s="972"/>
    </row>
    <row r="3549" spans="5:13">
      <c r="E3549" s="972"/>
      <c r="F3549" s="972"/>
      <c r="G3549" s="972"/>
      <c r="H3549" s="972"/>
      <c r="I3549" s="972"/>
      <c r="J3549" s="972"/>
      <c r="K3549" s="972"/>
      <c r="L3549" s="972"/>
      <c r="M3549" s="972"/>
    </row>
    <row r="3550" spans="5:13">
      <c r="E3550" s="972"/>
      <c r="F3550" s="972"/>
      <c r="G3550" s="972"/>
      <c r="H3550" s="972"/>
      <c r="I3550" s="972"/>
      <c r="J3550" s="972"/>
      <c r="K3550" s="972"/>
      <c r="L3550" s="972"/>
      <c r="M3550" s="972"/>
    </row>
    <row r="3551" spans="5:13">
      <c r="E3551" s="972"/>
      <c r="F3551" s="972"/>
      <c r="G3551" s="972"/>
      <c r="H3551" s="972"/>
      <c r="I3551" s="972"/>
      <c r="J3551" s="972"/>
      <c r="K3551" s="972"/>
      <c r="L3551" s="972"/>
      <c r="M3551" s="972"/>
    </row>
    <row r="3552" spans="5:13">
      <c r="E3552" s="972"/>
      <c r="F3552" s="972"/>
      <c r="G3552" s="972"/>
      <c r="H3552" s="972"/>
      <c r="I3552" s="972"/>
      <c r="J3552" s="972"/>
      <c r="K3552" s="972"/>
      <c r="L3552" s="972"/>
      <c r="M3552" s="972"/>
    </row>
    <row r="3553" spans="5:13">
      <c r="E3553" s="972"/>
      <c r="F3553" s="972"/>
      <c r="G3553" s="972"/>
      <c r="H3553" s="972"/>
      <c r="I3553" s="972"/>
      <c r="J3553" s="972"/>
      <c r="K3553" s="972"/>
      <c r="L3553" s="972"/>
      <c r="M3553" s="972"/>
    </row>
    <row r="3554" spans="5:13">
      <c r="E3554" s="972"/>
      <c r="F3554" s="972"/>
      <c r="G3554" s="972"/>
      <c r="H3554" s="972"/>
      <c r="I3554" s="972"/>
      <c r="J3554" s="972"/>
      <c r="K3554" s="972"/>
      <c r="L3554" s="972"/>
      <c r="M3554" s="972"/>
    </row>
    <row r="3555" spans="5:13">
      <c r="E3555" s="972"/>
      <c r="F3555" s="972"/>
      <c r="G3555" s="972"/>
      <c r="H3555" s="972"/>
      <c r="I3555" s="972"/>
      <c r="J3555" s="972"/>
      <c r="K3555" s="972"/>
      <c r="L3555" s="972"/>
      <c r="M3555" s="972"/>
    </row>
    <row r="3556" spans="5:13">
      <c r="E3556" s="972"/>
      <c r="F3556" s="972"/>
      <c r="G3556" s="972"/>
      <c r="H3556" s="972"/>
      <c r="I3556" s="972"/>
      <c r="J3556" s="972"/>
      <c r="K3556" s="972"/>
      <c r="L3556" s="972"/>
      <c r="M3556" s="972"/>
    </row>
    <row r="3557" spans="5:13">
      <c r="E3557" s="972"/>
      <c r="F3557" s="972"/>
      <c r="G3557" s="972"/>
      <c r="H3557" s="972"/>
      <c r="I3557" s="972"/>
      <c r="J3557" s="972"/>
      <c r="K3557" s="972"/>
      <c r="L3557" s="972"/>
      <c r="M3557" s="972"/>
    </row>
    <row r="3558" spans="5:13">
      <c r="E3558" s="972"/>
      <c r="F3558" s="972"/>
      <c r="G3558" s="972"/>
      <c r="H3558" s="972"/>
      <c r="I3558" s="972"/>
      <c r="J3558" s="972"/>
      <c r="K3558" s="972"/>
      <c r="L3558" s="972"/>
      <c r="M3558" s="972"/>
    </row>
    <row r="3559" spans="5:13">
      <c r="E3559" s="972"/>
      <c r="F3559" s="972"/>
      <c r="G3559" s="972"/>
      <c r="H3559" s="972"/>
      <c r="I3559" s="972"/>
      <c r="J3559" s="972"/>
      <c r="K3559" s="972"/>
      <c r="L3559" s="972"/>
      <c r="M3559" s="972"/>
    </row>
    <row r="3560" spans="5:13">
      <c r="E3560" s="972"/>
      <c r="F3560" s="972"/>
      <c r="G3560" s="972"/>
      <c r="H3560" s="972"/>
      <c r="I3560" s="972"/>
      <c r="J3560" s="972"/>
      <c r="K3560" s="972"/>
      <c r="L3560" s="972"/>
      <c r="M3560" s="972"/>
    </row>
    <row r="3561" spans="5:13">
      <c r="E3561" s="972"/>
      <c r="F3561" s="972"/>
      <c r="G3561" s="972"/>
      <c r="H3561" s="972"/>
      <c r="I3561" s="972"/>
      <c r="J3561" s="972"/>
      <c r="K3561" s="972"/>
      <c r="L3561" s="972"/>
      <c r="M3561" s="972"/>
    </row>
    <row r="3562" spans="5:13">
      <c r="E3562" s="972"/>
      <c r="F3562" s="972"/>
      <c r="G3562" s="972"/>
      <c r="H3562" s="972"/>
      <c r="I3562" s="972"/>
      <c r="J3562" s="972"/>
      <c r="K3562" s="972"/>
      <c r="L3562" s="972"/>
      <c r="M3562" s="972"/>
    </row>
    <row r="3563" spans="5:13">
      <c r="E3563" s="972"/>
      <c r="F3563" s="972"/>
      <c r="G3563" s="972"/>
      <c r="H3563" s="972"/>
      <c r="I3563" s="972"/>
      <c r="J3563" s="972"/>
      <c r="K3563" s="972"/>
      <c r="L3563" s="972"/>
      <c r="M3563" s="972"/>
    </row>
    <row r="3564" spans="5:13">
      <c r="E3564" s="972"/>
      <c r="F3564" s="972"/>
      <c r="G3564" s="972"/>
      <c r="H3564" s="972"/>
      <c r="I3564" s="972"/>
      <c r="J3564" s="972"/>
      <c r="K3564" s="972"/>
      <c r="L3564" s="972"/>
      <c r="M3564" s="972"/>
    </row>
    <row r="3565" spans="5:13">
      <c r="E3565" s="972"/>
      <c r="F3565" s="972"/>
      <c r="G3565" s="972"/>
      <c r="H3565" s="972"/>
      <c r="I3565" s="972"/>
      <c r="J3565" s="972"/>
      <c r="K3565" s="972"/>
      <c r="L3565" s="972"/>
      <c r="M3565" s="972"/>
    </row>
    <row r="3566" spans="5:13">
      <c r="E3566" s="972"/>
      <c r="F3566" s="972"/>
      <c r="G3566" s="972"/>
      <c r="H3566" s="972"/>
      <c r="I3566" s="972"/>
      <c r="J3566" s="972"/>
      <c r="K3566" s="972"/>
      <c r="L3566" s="972"/>
      <c r="M3566" s="972"/>
    </row>
    <row r="3567" spans="5:13">
      <c r="E3567" s="972"/>
      <c r="F3567" s="972"/>
      <c r="G3567" s="972"/>
      <c r="H3567" s="972"/>
      <c r="I3567" s="972"/>
      <c r="J3567" s="972"/>
      <c r="K3567" s="972"/>
      <c r="L3567" s="972"/>
      <c r="M3567" s="972"/>
    </row>
    <row r="3568" spans="5:13">
      <c r="E3568" s="972"/>
      <c r="F3568" s="972"/>
      <c r="G3568" s="972"/>
      <c r="H3568" s="972"/>
      <c r="I3568" s="972"/>
      <c r="J3568" s="972"/>
      <c r="K3568" s="972"/>
      <c r="L3568" s="972"/>
      <c r="M3568" s="972"/>
    </row>
    <row r="3569" spans="5:13">
      <c r="E3569" s="972"/>
      <c r="F3569" s="972"/>
      <c r="G3569" s="972"/>
      <c r="H3569" s="972"/>
      <c r="I3569" s="972"/>
      <c r="J3569" s="972"/>
      <c r="K3569" s="972"/>
      <c r="L3569" s="972"/>
      <c r="M3569" s="972"/>
    </row>
    <row r="3570" spans="5:13">
      <c r="E3570" s="972"/>
      <c r="F3570" s="972"/>
      <c r="G3570" s="972"/>
      <c r="H3570" s="972"/>
      <c r="I3570" s="972"/>
      <c r="J3570" s="972"/>
      <c r="K3570" s="972"/>
      <c r="L3570" s="972"/>
      <c r="M3570" s="972"/>
    </row>
    <row r="3571" spans="5:13">
      <c r="E3571" s="972"/>
      <c r="F3571" s="972"/>
      <c r="G3571" s="972"/>
      <c r="H3571" s="972"/>
      <c r="I3571" s="972"/>
      <c r="J3571" s="972"/>
      <c r="K3571" s="972"/>
      <c r="L3571" s="972"/>
      <c r="M3571" s="972"/>
    </row>
    <row r="3572" spans="5:13">
      <c r="E3572" s="972"/>
      <c r="F3572" s="972"/>
      <c r="G3572" s="972"/>
      <c r="H3572" s="972"/>
      <c r="I3572" s="972"/>
      <c r="J3572" s="972"/>
      <c r="K3572" s="972"/>
      <c r="L3572" s="972"/>
      <c r="M3572" s="972"/>
    </row>
    <row r="3573" spans="5:13">
      <c r="E3573" s="972"/>
      <c r="F3573" s="972"/>
      <c r="G3573" s="972"/>
      <c r="H3573" s="972"/>
      <c r="I3573" s="972"/>
      <c r="J3573" s="972"/>
      <c r="K3573" s="972"/>
      <c r="L3573" s="972"/>
      <c r="M3573" s="972"/>
    </row>
    <row r="3574" spans="5:13">
      <c r="E3574" s="972"/>
      <c r="F3574" s="972"/>
      <c r="G3574" s="972"/>
      <c r="H3574" s="972"/>
      <c r="I3574" s="972"/>
      <c r="J3574" s="972"/>
      <c r="K3574" s="972"/>
      <c r="L3574" s="972"/>
      <c r="M3574" s="972"/>
    </row>
    <row r="3575" spans="5:13">
      <c r="E3575" s="972"/>
      <c r="F3575" s="972"/>
      <c r="G3575" s="972"/>
      <c r="H3575" s="972"/>
      <c r="I3575" s="972"/>
      <c r="J3575" s="972"/>
      <c r="K3575" s="972"/>
      <c r="L3575" s="972"/>
      <c r="M3575" s="972"/>
    </row>
    <row r="3576" spans="5:13">
      <c r="E3576" s="972"/>
      <c r="F3576" s="972"/>
      <c r="G3576" s="972"/>
      <c r="H3576" s="972"/>
      <c r="I3576" s="972"/>
      <c r="J3576" s="972"/>
      <c r="K3576" s="972"/>
      <c r="L3576" s="972"/>
      <c r="M3576" s="972"/>
    </row>
    <row r="3577" spans="5:13">
      <c r="E3577" s="972"/>
      <c r="F3577" s="972"/>
      <c r="G3577" s="972"/>
      <c r="H3577" s="972"/>
      <c r="I3577" s="972"/>
      <c r="J3577" s="972"/>
      <c r="K3577" s="972"/>
      <c r="L3577" s="972"/>
      <c r="M3577" s="972"/>
    </row>
    <row r="3578" spans="5:13">
      <c r="E3578" s="972"/>
      <c r="F3578" s="972"/>
      <c r="G3578" s="972"/>
      <c r="H3578" s="972"/>
      <c r="I3578" s="972"/>
      <c r="J3578" s="972"/>
      <c r="K3578" s="972"/>
      <c r="L3578" s="972"/>
      <c r="M3578" s="972"/>
    </row>
    <row r="3579" spans="5:13">
      <c r="E3579" s="972"/>
      <c r="F3579" s="972"/>
      <c r="G3579" s="972"/>
      <c r="H3579" s="972"/>
      <c r="I3579" s="972"/>
      <c r="J3579" s="972"/>
      <c r="K3579" s="972"/>
      <c r="L3579" s="972"/>
      <c r="M3579" s="972"/>
    </row>
    <row r="3580" spans="5:13">
      <c r="E3580" s="972"/>
      <c r="F3580" s="972"/>
      <c r="G3580" s="972"/>
      <c r="H3580" s="972"/>
      <c r="I3580" s="972"/>
      <c r="J3580" s="972"/>
      <c r="K3580" s="972"/>
      <c r="L3580" s="972"/>
      <c r="M3580" s="972"/>
    </row>
    <row r="3581" spans="5:13">
      <c r="E3581" s="972"/>
      <c r="F3581" s="972"/>
      <c r="G3581" s="972"/>
      <c r="H3581" s="972"/>
      <c r="I3581" s="972"/>
      <c r="J3581" s="972"/>
      <c r="K3581" s="972"/>
      <c r="L3581" s="972"/>
      <c r="M3581" s="972"/>
    </row>
    <row r="3582" spans="5:13">
      <c r="E3582" s="972"/>
      <c r="F3582" s="972"/>
      <c r="G3582" s="972"/>
      <c r="H3582" s="972"/>
      <c r="I3582" s="972"/>
      <c r="J3582" s="972"/>
      <c r="K3582" s="972"/>
      <c r="L3582" s="972"/>
      <c r="M3582" s="972"/>
    </row>
    <row r="3583" spans="5:13">
      <c r="E3583" s="972"/>
      <c r="F3583" s="972"/>
      <c r="G3583" s="972"/>
      <c r="H3583" s="972"/>
      <c r="I3583" s="972"/>
      <c r="J3583" s="972"/>
      <c r="K3583" s="972"/>
      <c r="L3583" s="972"/>
      <c r="M3583" s="972"/>
    </row>
    <row r="3584" spans="5:13">
      <c r="E3584" s="972"/>
      <c r="F3584" s="972"/>
      <c r="G3584" s="972"/>
      <c r="H3584" s="972"/>
      <c r="I3584" s="972"/>
      <c r="J3584" s="972"/>
      <c r="K3584" s="972"/>
      <c r="L3584" s="972"/>
      <c r="M3584" s="972"/>
    </row>
    <row r="3585" spans="5:13">
      <c r="E3585" s="972"/>
      <c r="F3585" s="972"/>
      <c r="G3585" s="972"/>
      <c r="H3585" s="972"/>
      <c r="I3585" s="972"/>
      <c r="J3585" s="972"/>
      <c r="K3585" s="972"/>
      <c r="L3585" s="972"/>
      <c r="M3585" s="972"/>
    </row>
    <row r="3586" spans="5:13">
      <c r="E3586" s="972"/>
      <c r="F3586" s="972"/>
      <c r="G3586" s="972"/>
      <c r="H3586" s="972"/>
      <c r="I3586" s="972"/>
      <c r="J3586" s="972"/>
      <c r="K3586" s="972"/>
      <c r="L3586" s="972"/>
      <c r="M3586" s="972"/>
    </row>
    <row r="3587" spans="5:13">
      <c r="E3587" s="972"/>
      <c r="F3587" s="972"/>
      <c r="G3587" s="972"/>
      <c r="H3587" s="972"/>
      <c r="I3587" s="972"/>
      <c r="J3587" s="972"/>
      <c r="K3587" s="972"/>
      <c r="L3587" s="972"/>
      <c r="M3587" s="972"/>
    </row>
    <row r="3588" spans="5:13">
      <c r="E3588" s="972"/>
      <c r="F3588" s="972"/>
      <c r="G3588" s="972"/>
      <c r="H3588" s="972"/>
      <c r="I3588" s="972"/>
      <c r="J3588" s="972"/>
      <c r="K3588" s="972"/>
      <c r="L3588" s="972"/>
      <c r="M3588" s="972"/>
    </row>
    <row r="3589" spans="5:13">
      <c r="E3589" s="972"/>
      <c r="F3589" s="972"/>
      <c r="G3589" s="972"/>
      <c r="H3589" s="972"/>
      <c r="I3589" s="972"/>
      <c r="J3589" s="972"/>
      <c r="K3589" s="972"/>
      <c r="L3589" s="972"/>
      <c r="M3589" s="972"/>
    </row>
    <row r="3590" spans="5:13">
      <c r="E3590" s="972"/>
      <c r="F3590" s="972"/>
      <c r="G3590" s="972"/>
      <c r="H3590" s="972"/>
      <c r="I3590" s="972"/>
      <c r="J3590" s="972"/>
      <c r="K3590" s="972"/>
      <c r="L3590" s="972"/>
      <c r="M3590" s="972"/>
    </row>
    <row r="3591" spans="5:13">
      <c r="E3591" s="972"/>
      <c r="F3591" s="972"/>
      <c r="G3591" s="972"/>
      <c r="H3591" s="972"/>
      <c r="I3591" s="972"/>
      <c r="J3591" s="972"/>
      <c r="K3591" s="972"/>
      <c r="L3591" s="972"/>
      <c r="M3591" s="972"/>
    </row>
    <row r="3592" spans="5:13">
      <c r="E3592" s="972"/>
      <c r="F3592" s="972"/>
      <c r="G3592" s="972"/>
      <c r="H3592" s="972"/>
      <c r="I3592" s="972"/>
      <c r="J3592" s="972"/>
      <c r="K3592" s="972"/>
      <c r="L3592" s="972"/>
      <c r="M3592" s="972"/>
    </row>
    <row r="3593" spans="5:13">
      <c r="E3593" s="972"/>
      <c r="F3593" s="972"/>
      <c r="G3593" s="972"/>
      <c r="H3593" s="972"/>
      <c r="I3593" s="972"/>
      <c r="J3593" s="972"/>
      <c r="K3593" s="972"/>
      <c r="L3593" s="972"/>
      <c r="M3593" s="972"/>
    </row>
    <row r="3594" spans="5:13">
      <c r="E3594" s="972"/>
      <c r="F3594" s="972"/>
      <c r="G3594" s="972"/>
      <c r="H3594" s="972"/>
      <c r="I3594" s="972"/>
      <c r="J3594" s="972"/>
      <c r="K3594" s="972"/>
      <c r="L3594" s="972"/>
      <c r="M3594" s="972"/>
    </row>
    <row r="3595" spans="5:13">
      <c r="E3595" s="972"/>
      <c r="F3595" s="972"/>
      <c r="G3595" s="972"/>
      <c r="H3595" s="972"/>
      <c r="I3595" s="972"/>
      <c r="J3595" s="972"/>
      <c r="K3595" s="972"/>
      <c r="L3595" s="972"/>
      <c r="M3595" s="972"/>
    </row>
    <row r="3596" spans="5:13">
      <c r="E3596" s="972"/>
      <c r="F3596" s="972"/>
      <c r="G3596" s="972"/>
      <c r="H3596" s="972"/>
      <c r="I3596" s="972"/>
      <c r="J3596" s="972"/>
      <c r="K3596" s="972"/>
      <c r="L3596" s="972"/>
      <c r="M3596" s="972"/>
    </row>
    <row r="3597" spans="5:13">
      <c r="E3597" s="972"/>
      <c r="F3597" s="972"/>
      <c r="G3597" s="972"/>
      <c r="H3597" s="972"/>
      <c r="I3597" s="972"/>
      <c r="J3597" s="972"/>
      <c r="K3597" s="972"/>
      <c r="L3597" s="972"/>
      <c r="M3597" s="972"/>
    </row>
    <row r="3598" spans="5:13">
      <c r="E3598" s="972"/>
      <c r="F3598" s="972"/>
      <c r="G3598" s="972"/>
      <c r="H3598" s="972"/>
      <c r="I3598" s="972"/>
      <c r="J3598" s="972"/>
      <c r="K3598" s="972"/>
      <c r="L3598" s="972"/>
      <c r="M3598" s="972"/>
    </row>
    <row r="3599" spans="5:13">
      <c r="E3599" s="972"/>
      <c r="F3599" s="972"/>
      <c r="G3599" s="972"/>
      <c r="H3599" s="972"/>
      <c r="I3599" s="972"/>
      <c r="J3599" s="972"/>
      <c r="K3599" s="972"/>
      <c r="L3599" s="972"/>
      <c r="M3599" s="972"/>
    </row>
    <row r="3600" spans="5:13">
      <c r="E3600" s="972"/>
      <c r="F3600" s="972"/>
      <c r="G3600" s="972"/>
      <c r="H3600" s="972"/>
      <c r="I3600" s="972"/>
      <c r="J3600" s="972"/>
      <c r="K3600" s="972"/>
      <c r="L3600" s="972"/>
      <c r="M3600" s="972"/>
    </row>
    <row r="3601" spans="5:13">
      <c r="E3601" s="972"/>
      <c r="F3601" s="972"/>
      <c r="G3601" s="972"/>
      <c r="H3601" s="972"/>
      <c r="I3601" s="972"/>
      <c r="J3601" s="972"/>
      <c r="K3601" s="972"/>
      <c r="L3601" s="972"/>
      <c r="M3601" s="972"/>
    </row>
    <row r="3602" spans="5:13">
      <c r="E3602" s="972"/>
      <c r="F3602" s="972"/>
      <c r="G3602" s="972"/>
      <c r="H3602" s="972"/>
      <c r="I3602" s="972"/>
      <c r="J3602" s="972"/>
      <c r="K3602" s="972"/>
      <c r="L3602" s="972"/>
      <c r="M3602" s="972"/>
    </row>
    <row r="3603" spans="5:13">
      <c r="E3603" s="972"/>
      <c r="F3603" s="972"/>
      <c r="G3603" s="972"/>
      <c r="H3603" s="972"/>
      <c r="I3603" s="972"/>
      <c r="J3603" s="972"/>
      <c r="K3603" s="972"/>
      <c r="L3603" s="972"/>
      <c r="M3603" s="972"/>
    </row>
    <row r="3604" spans="5:13">
      <c r="E3604" s="972"/>
      <c r="F3604" s="972"/>
      <c r="G3604" s="972"/>
      <c r="H3604" s="972"/>
      <c r="I3604" s="972"/>
      <c r="J3604" s="972"/>
      <c r="K3604" s="972"/>
      <c r="L3604" s="972"/>
      <c r="M3604" s="972"/>
    </row>
    <row r="3605" spans="5:13">
      <c r="E3605" s="972"/>
      <c r="F3605" s="972"/>
      <c r="G3605" s="972"/>
      <c r="H3605" s="972"/>
      <c r="I3605" s="972"/>
      <c r="J3605" s="972"/>
      <c r="K3605" s="972"/>
      <c r="L3605" s="972"/>
      <c r="M3605" s="972"/>
    </row>
    <row r="3606" spans="5:13">
      <c r="E3606" s="972"/>
      <c r="F3606" s="972"/>
      <c r="G3606" s="972"/>
      <c r="H3606" s="972"/>
      <c r="I3606" s="972"/>
      <c r="J3606" s="972"/>
      <c r="K3606" s="972"/>
      <c r="L3606" s="972"/>
      <c r="M3606" s="972"/>
    </row>
    <row r="3607" spans="5:13">
      <c r="E3607" s="972"/>
      <c r="F3607" s="972"/>
      <c r="G3607" s="972"/>
      <c r="H3607" s="972"/>
      <c r="I3607" s="972"/>
      <c r="J3607" s="972"/>
      <c r="K3607" s="972"/>
      <c r="L3607" s="972"/>
      <c r="M3607" s="972"/>
    </row>
    <row r="3608" spans="5:13">
      <c r="E3608" s="972"/>
      <c r="F3608" s="972"/>
      <c r="G3608" s="972"/>
      <c r="H3608" s="972"/>
      <c r="I3608" s="972"/>
      <c r="J3608" s="972"/>
      <c r="K3608" s="972"/>
      <c r="L3608" s="972"/>
      <c r="M3608" s="972"/>
    </row>
    <row r="3609" spans="5:13">
      <c r="E3609" s="972"/>
      <c r="F3609" s="972"/>
      <c r="G3609" s="972"/>
      <c r="H3609" s="972"/>
      <c r="I3609" s="972"/>
      <c r="J3609" s="972"/>
      <c r="K3609" s="972"/>
      <c r="L3609" s="972"/>
      <c r="M3609" s="972"/>
    </row>
    <row r="3610" spans="5:13">
      <c r="E3610" s="972"/>
      <c r="F3610" s="972"/>
      <c r="G3610" s="972"/>
      <c r="H3610" s="972"/>
      <c r="I3610" s="972"/>
      <c r="J3610" s="972"/>
      <c r="K3610" s="972"/>
      <c r="L3610" s="972"/>
      <c r="M3610" s="972"/>
    </row>
    <row r="3611" spans="5:13">
      <c r="E3611" s="972"/>
      <c r="F3611" s="972"/>
      <c r="G3611" s="972"/>
      <c r="H3611" s="972"/>
      <c r="I3611" s="972"/>
      <c r="J3611" s="972"/>
      <c r="K3611" s="972"/>
      <c r="L3611" s="972"/>
      <c r="M3611" s="972"/>
    </row>
    <row r="3612" spans="5:13">
      <c r="E3612" s="972"/>
      <c r="F3612" s="972"/>
      <c r="G3612" s="972"/>
      <c r="H3612" s="972"/>
      <c r="I3612" s="972"/>
      <c r="J3612" s="972"/>
      <c r="K3612" s="972"/>
      <c r="L3612" s="972"/>
      <c r="M3612" s="972"/>
    </row>
    <row r="3613" spans="5:13">
      <c r="E3613" s="972"/>
      <c r="F3613" s="972"/>
      <c r="G3613" s="972"/>
      <c r="H3613" s="972"/>
      <c r="I3613" s="972"/>
      <c r="J3613" s="972"/>
      <c r="K3613" s="972"/>
      <c r="L3613" s="972"/>
      <c r="M3613" s="972"/>
    </row>
    <row r="3614" spans="5:13">
      <c r="E3614" s="972"/>
      <c r="F3614" s="972"/>
      <c r="G3614" s="972"/>
      <c r="H3614" s="972"/>
      <c r="I3614" s="972"/>
      <c r="J3614" s="972"/>
      <c r="K3614" s="972"/>
      <c r="L3614" s="972"/>
      <c r="M3614" s="972"/>
    </row>
    <row r="3615" spans="5:13">
      <c r="E3615" s="972"/>
      <c r="F3615" s="972"/>
      <c r="G3615" s="972"/>
      <c r="H3615" s="972"/>
      <c r="I3615" s="972"/>
      <c r="J3615" s="972"/>
      <c r="K3615" s="972"/>
      <c r="L3615" s="972"/>
      <c r="M3615" s="972"/>
    </row>
    <row r="3616" spans="5:13">
      <c r="E3616" s="972"/>
      <c r="F3616" s="972"/>
      <c r="G3616" s="972"/>
      <c r="H3616" s="972"/>
      <c r="I3616" s="972"/>
      <c r="J3616" s="972"/>
      <c r="K3616" s="972"/>
      <c r="L3616" s="972"/>
      <c r="M3616" s="972"/>
    </row>
    <row r="3617" spans="5:13">
      <c r="E3617" s="972"/>
      <c r="F3617" s="972"/>
      <c r="G3617" s="972"/>
      <c r="H3617" s="972"/>
      <c r="I3617" s="972"/>
      <c r="J3617" s="972"/>
      <c r="K3617" s="972"/>
      <c r="L3617" s="972"/>
      <c r="M3617" s="972"/>
    </row>
    <row r="3618" spans="5:13">
      <c r="E3618" s="972"/>
      <c r="F3618" s="972"/>
      <c r="G3618" s="972"/>
      <c r="H3618" s="972"/>
      <c r="I3618" s="972"/>
      <c r="J3618" s="972"/>
      <c r="K3618" s="972"/>
      <c r="L3618" s="972"/>
      <c r="M3618" s="972"/>
    </row>
    <row r="3619" spans="5:13">
      <c r="E3619" s="972"/>
      <c r="F3619" s="972"/>
      <c r="G3619" s="972"/>
      <c r="H3619" s="972"/>
      <c r="I3619" s="972"/>
      <c r="J3619" s="972"/>
      <c r="K3619" s="972"/>
      <c r="L3619" s="972"/>
      <c r="M3619" s="972"/>
    </row>
    <row r="3620" spans="5:13">
      <c r="E3620" s="972"/>
      <c r="F3620" s="972"/>
      <c r="G3620" s="972"/>
      <c r="H3620" s="972"/>
      <c r="I3620" s="972"/>
      <c r="J3620" s="972"/>
      <c r="K3620" s="972"/>
      <c r="L3620" s="972"/>
      <c r="M3620" s="972"/>
    </row>
    <row r="3621" spans="5:13">
      <c r="E3621" s="972"/>
      <c r="F3621" s="972"/>
      <c r="G3621" s="972"/>
      <c r="H3621" s="972"/>
      <c r="I3621" s="972"/>
      <c r="J3621" s="972"/>
      <c r="K3621" s="972"/>
      <c r="L3621" s="972"/>
      <c r="M3621" s="972"/>
    </row>
    <row r="3622" spans="5:13">
      <c r="E3622" s="972"/>
      <c r="F3622" s="972"/>
      <c r="G3622" s="972"/>
      <c r="H3622" s="972"/>
      <c r="I3622" s="972"/>
      <c r="J3622" s="972"/>
      <c r="K3622" s="972"/>
      <c r="L3622" s="972"/>
      <c r="M3622" s="972"/>
    </row>
    <row r="3623" spans="5:13">
      <c r="E3623" s="972"/>
      <c r="F3623" s="972"/>
      <c r="G3623" s="972"/>
      <c r="H3623" s="972"/>
      <c r="I3623" s="972"/>
      <c r="J3623" s="972"/>
      <c r="K3623" s="972"/>
      <c r="L3623" s="972"/>
      <c r="M3623" s="972"/>
    </row>
    <row r="3624" spans="5:13">
      <c r="E3624" s="972"/>
      <c r="F3624" s="972"/>
      <c r="G3624" s="972"/>
      <c r="H3624" s="972"/>
      <c r="I3624" s="972"/>
      <c r="J3624" s="972"/>
      <c r="K3624" s="972"/>
      <c r="L3624" s="972"/>
      <c r="M3624" s="972"/>
    </row>
    <row r="3625" spans="5:13">
      <c r="E3625" s="972"/>
      <c r="F3625" s="972"/>
      <c r="G3625" s="972"/>
      <c r="H3625" s="972"/>
      <c r="I3625" s="972"/>
      <c r="J3625" s="972"/>
      <c r="K3625" s="972"/>
      <c r="L3625" s="972"/>
      <c r="M3625" s="972"/>
    </row>
    <row r="3626" spans="5:13">
      <c r="E3626" s="972"/>
      <c r="F3626" s="972"/>
      <c r="G3626" s="972"/>
      <c r="H3626" s="972"/>
      <c r="I3626" s="972"/>
      <c r="J3626" s="972"/>
      <c r="K3626" s="972"/>
      <c r="L3626" s="972"/>
      <c r="M3626" s="972"/>
    </row>
    <row r="3627" spans="5:13">
      <c r="E3627" s="972"/>
      <c r="F3627" s="972"/>
      <c r="G3627" s="972"/>
      <c r="H3627" s="972"/>
      <c r="I3627" s="972"/>
      <c r="J3627" s="972"/>
      <c r="K3627" s="972"/>
      <c r="L3627" s="972"/>
      <c r="M3627" s="972"/>
    </row>
    <row r="3628" spans="5:13">
      <c r="E3628" s="972"/>
      <c r="F3628" s="972"/>
      <c r="G3628" s="972"/>
      <c r="H3628" s="972"/>
      <c r="I3628" s="972"/>
      <c r="J3628" s="972"/>
      <c r="K3628" s="972"/>
      <c r="L3628" s="972"/>
      <c r="M3628" s="972"/>
    </row>
    <row r="3629" spans="5:13">
      <c r="E3629" s="972"/>
      <c r="F3629" s="972"/>
      <c r="G3629" s="972"/>
      <c r="H3629" s="972"/>
      <c r="I3629" s="972"/>
      <c r="J3629" s="972"/>
      <c r="K3629" s="972"/>
      <c r="L3629" s="972"/>
      <c r="M3629" s="972"/>
    </row>
    <row r="3630" spans="5:13">
      <c r="E3630" s="972"/>
      <c r="F3630" s="972"/>
      <c r="G3630" s="972"/>
      <c r="H3630" s="972"/>
      <c r="I3630" s="972"/>
      <c r="J3630" s="972"/>
      <c r="K3630" s="972"/>
      <c r="L3630" s="972"/>
      <c r="M3630" s="972"/>
    </row>
    <row r="3631" spans="5:13">
      <c r="E3631" s="972"/>
      <c r="F3631" s="972"/>
      <c r="G3631" s="972"/>
      <c r="H3631" s="972"/>
      <c r="I3631" s="972"/>
      <c r="J3631" s="972"/>
      <c r="K3631" s="972"/>
      <c r="L3631" s="972"/>
      <c r="M3631" s="972"/>
    </row>
    <row r="3632" spans="5:13">
      <c r="E3632" s="972"/>
      <c r="F3632" s="972"/>
      <c r="G3632" s="972"/>
      <c r="H3632" s="972"/>
      <c r="I3632" s="972"/>
      <c r="J3632" s="972"/>
      <c r="K3632" s="972"/>
      <c r="L3632" s="972"/>
      <c r="M3632" s="972"/>
    </row>
    <row r="3633" spans="5:13">
      <c r="E3633" s="972"/>
      <c r="F3633" s="972"/>
      <c r="G3633" s="972"/>
      <c r="H3633" s="972"/>
      <c r="I3633" s="972"/>
      <c r="J3633" s="972"/>
      <c r="K3633" s="972"/>
      <c r="L3633" s="972"/>
      <c r="M3633" s="972"/>
    </row>
    <row r="3634" spans="5:13">
      <c r="E3634" s="972"/>
      <c r="F3634" s="972"/>
      <c r="G3634" s="972"/>
      <c r="H3634" s="972"/>
      <c r="I3634" s="972"/>
      <c r="J3634" s="972"/>
      <c r="K3634" s="972"/>
      <c r="L3634" s="972"/>
      <c r="M3634" s="972"/>
    </row>
    <row r="3635" spans="5:13">
      <c r="E3635" s="972"/>
      <c r="F3635" s="972"/>
      <c r="G3635" s="972"/>
      <c r="H3635" s="972"/>
      <c r="I3635" s="972"/>
      <c r="J3635" s="972"/>
      <c r="K3635" s="972"/>
      <c r="L3635" s="972"/>
      <c r="M3635" s="972"/>
    </row>
    <row r="3636" spans="5:13">
      <c r="E3636" s="972"/>
      <c r="F3636" s="972"/>
      <c r="G3636" s="972"/>
      <c r="H3636" s="972"/>
      <c r="I3636" s="972"/>
      <c r="J3636" s="972"/>
      <c r="K3636" s="972"/>
      <c r="L3636" s="972"/>
      <c r="M3636" s="972"/>
    </row>
    <row r="3637" spans="5:13">
      <c r="E3637" s="972"/>
      <c r="F3637" s="972"/>
      <c r="G3637" s="972"/>
      <c r="H3637" s="972"/>
      <c r="I3637" s="972"/>
      <c r="J3637" s="972"/>
      <c r="K3637" s="972"/>
      <c r="L3637" s="972"/>
      <c r="M3637" s="972"/>
    </row>
    <row r="3638" spans="5:13">
      <c r="E3638" s="972"/>
      <c r="F3638" s="972"/>
      <c r="G3638" s="972"/>
      <c r="H3638" s="972"/>
      <c r="I3638" s="972"/>
      <c r="J3638" s="972"/>
      <c r="K3638" s="972"/>
      <c r="L3638" s="972"/>
      <c r="M3638" s="972"/>
    </row>
    <row r="3639" spans="5:13">
      <c r="E3639" s="972"/>
      <c r="F3639" s="972"/>
      <c r="G3639" s="972"/>
      <c r="H3639" s="972"/>
      <c r="I3639" s="972"/>
      <c r="J3639" s="972"/>
      <c r="K3639" s="972"/>
      <c r="L3639" s="972"/>
      <c r="M3639" s="972"/>
    </row>
    <row r="3640" spans="5:13">
      <c r="E3640" s="972"/>
      <c r="F3640" s="972"/>
      <c r="G3640" s="972"/>
      <c r="H3640" s="972"/>
      <c r="I3640" s="972"/>
      <c r="J3640" s="972"/>
      <c r="K3640" s="972"/>
      <c r="L3640" s="972"/>
      <c r="M3640" s="972"/>
    </row>
    <row r="3641" spans="5:13">
      <c r="E3641" s="972"/>
      <c r="F3641" s="972"/>
      <c r="G3641" s="972"/>
      <c r="H3641" s="972"/>
      <c r="I3641" s="972"/>
      <c r="J3641" s="972"/>
      <c r="K3641" s="972"/>
      <c r="L3641" s="972"/>
      <c r="M3641" s="972"/>
    </row>
    <row r="3642" spans="5:13">
      <c r="E3642" s="972"/>
      <c r="F3642" s="972"/>
      <c r="G3642" s="972"/>
      <c r="H3642" s="972"/>
      <c r="I3642" s="972"/>
      <c r="J3642" s="972"/>
      <c r="K3642" s="972"/>
      <c r="L3642" s="972"/>
      <c r="M3642" s="972"/>
    </row>
    <row r="3643" spans="5:13">
      <c r="E3643" s="972"/>
      <c r="F3643" s="972"/>
      <c r="G3643" s="972"/>
      <c r="H3643" s="972"/>
      <c r="I3643" s="972"/>
      <c r="J3643" s="972"/>
      <c r="K3643" s="972"/>
      <c r="L3643" s="972"/>
      <c r="M3643" s="972"/>
    </row>
    <row r="3644" spans="5:13">
      <c r="E3644" s="972"/>
      <c r="F3644" s="972"/>
      <c r="G3644" s="972"/>
      <c r="H3644" s="972"/>
      <c r="I3644" s="972"/>
      <c r="J3644" s="972"/>
      <c r="K3644" s="972"/>
      <c r="L3644" s="972"/>
      <c r="M3644" s="972"/>
    </row>
    <row r="3645" spans="5:13">
      <c r="E3645" s="972"/>
      <c r="F3645" s="972"/>
      <c r="G3645" s="972"/>
      <c r="H3645" s="972"/>
      <c r="I3645" s="972"/>
      <c r="J3645" s="972"/>
      <c r="K3645" s="972"/>
      <c r="L3645" s="972"/>
      <c r="M3645" s="972"/>
    </row>
    <row r="3646" spans="5:13">
      <c r="E3646" s="972"/>
      <c r="F3646" s="972"/>
      <c r="G3646" s="972"/>
      <c r="H3646" s="972"/>
      <c r="I3646" s="972"/>
      <c r="J3646" s="972"/>
      <c r="K3646" s="972"/>
      <c r="L3646" s="972"/>
      <c r="M3646" s="972"/>
    </row>
    <row r="3647" spans="5:13">
      <c r="E3647" s="972"/>
      <c r="F3647" s="972"/>
      <c r="G3647" s="972"/>
      <c r="H3647" s="972"/>
      <c r="I3647" s="972"/>
      <c r="J3647" s="972"/>
      <c r="K3647" s="972"/>
      <c r="L3647" s="972"/>
      <c r="M3647" s="972"/>
    </row>
    <row r="3648" spans="5:13">
      <c r="E3648" s="972"/>
      <c r="F3648" s="972"/>
      <c r="G3648" s="972"/>
      <c r="H3648" s="972"/>
      <c r="I3648" s="972"/>
      <c r="J3648" s="972"/>
      <c r="K3648" s="972"/>
      <c r="L3648" s="972"/>
      <c r="M3648" s="972"/>
    </row>
    <row r="3649" spans="5:13">
      <c r="E3649" s="972"/>
      <c r="F3649" s="972"/>
      <c r="G3649" s="972"/>
      <c r="H3649" s="972"/>
      <c r="I3649" s="972"/>
      <c r="J3649" s="972"/>
      <c r="K3649" s="972"/>
      <c r="L3649" s="972"/>
      <c r="M3649" s="972"/>
    </row>
    <row r="3650" spans="5:13">
      <c r="E3650" s="972"/>
      <c r="F3650" s="972"/>
      <c r="G3650" s="972"/>
      <c r="H3650" s="972"/>
      <c r="I3650" s="972"/>
      <c r="J3650" s="972"/>
      <c r="K3650" s="972"/>
      <c r="L3650" s="972"/>
      <c r="M3650" s="972"/>
    </row>
    <row r="3651" spans="5:13">
      <c r="E3651" s="972"/>
      <c r="F3651" s="972"/>
      <c r="G3651" s="972"/>
      <c r="H3651" s="972"/>
      <c r="I3651" s="972"/>
      <c r="J3651" s="972"/>
      <c r="K3651" s="972"/>
      <c r="L3651" s="972"/>
      <c r="M3651" s="972"/>
    </row>
    <row r="3652" spans="5:13">
      <c r="E3652" s="972"/>
      <c r="F3652" s="972"/>
      <c r="G3652" s="972"/>
      <c r="H3652" s="972"/>
      <c r="I3652" s="972"/>
      <c r="J3652" s="972"/>
      <c r="K3652" s="972"/>
      <c r="L3652" s="972"/>
      <c r="M3652" s="972"/>
    </row>
    <row r="3653" spans="5:13">
      <c r="E3653" s="972"/>
      <c r="F3653" s="972"/>
      <c r="G3653" s="972"/>
      <c r="H3653" s="972"/>
      <c r="I3653" s="972"/>
      <c r="J3653" s="972"/>
      <c r="K3653" s="972"/>
      <c r="L3653" s="972"/>
      <c r="M3653" s="972"/>
    </row>
    <row r="3654" spans="5:13">
      <c r="E3654" s="972"/>
      <c r="F3654" s="972"/>
      <c r="G3654" s="972"/>
      <c r="H3654" s="972"/>
      <c r="I3654" s="972"/>
      <c r="J3654" s="972"/>
      <c r="K3654" s="972"/>
      <c r="L3654" s="972"/>
      <c r="M3654" s="972"/>
    </row>
    <row r="3655" spans="5:13">
      <c r="E3655" s="972"/>
      <c r="F3655" s="972"/>
      <c r="G3655" s="972"/>
      <c r="H3655" s="972"/>
      <c r="I3655" s="972"/>
      <c r="J3655" s="972"/>
      <c r="K3655" s="972"/>
      <c r="L3655" s="972"/>
      <c r="M3655" s="972"/>
    </row>
    <row r="3656" spans="5:13">
      <c r="E3656" s="972"/>
      <c r="F3656" s="972"/>
      <c r="G3656" s="972"/>
      <c r="H3656" s="972"/>
      <c r="I3656" s="972"/>
      <c r="J3656" s="972"/>
      <c r="K3656" s="972"/>
      <c r="L3656" s="972"/>
      <c r="M3656" s="972"/>
    </row>
    <row r="3657" spans="5:13">
      <c r="E3657" s="972"/>
      <c r="F3657" s="972"/>
      <c r="G3657" s="972"/>
      <c r="H3657" s="972"/>
      <c r="I3657" s="972"/>
      <c r="J3657" s="972"/>
      <c r="K3657" s="972"/>
      <c r="L3657" s="972"/>
      <c r="M3657" s="972"/>
    </row>
    <row r="3658" spans="5:13">
      <c r="E3658" s="972"/>
      <c r="F3658" s="972"/>
      <c r="G3658" s="972"/>
      <c r="H3658" s="972"/>
      <c r="I3658" s="972"/>
      <c r="J3658" s="972"/>
      <c r="K3658" s="972"/>
      <c r="L3658" s="972"/>
      <c r="M3658" s="972"/>
    </row>
    <row r="3659" spans="5:13">
      <c r="E3659" s="972"/>
      <c r="F3659" s="972"/>
      <c r="G3659" s="972"/>
      <c r="H3659" s="972"/>
      <c r="I3659" s="972"/>
      <c r="J3659" s="972"/>
      <c r="K3659" s="972"/>
      <c r="L3659" s="972"/>
      <c r="M3659" s="972"/>
    </row>
    <row r="3660" spans="5:13">
      <c r="E3660" s="972"/>
      <c r="F3660" s="972"/>
      <c r="G3660" s="972"/>
      <c r="H3660" s="972"/>
      <c r="I3660" s="972"/>
      <c r="J3660" s="972"/>
      <c r="K3660" s="972"/>
      <c r="L3660" s="972"/>
      <c r="M3660" s="972"/>
    </row>
    <row r="3661" spans="5:13">
      <c r="E3661" s="972"/>
      <c r="F3661" s="972"/>
      <c r="G3661" s="972"/>
      <c r="H3661" s="972"/>
      <c r="I3661" s="972"/>
      <c r="J3661" s="972"/>
      <c r="K3661" s="972"/>
      <c r="L3661" s="972"/>
      <c r="M3661" s="972"/>
    </row>
    <row r="3662" spans="5:13">
      <c r="E3662" s="972"/>
      <c r="F3662" s="972"/>
      <c r="G3662" s="972"/>
      <c r="H3662" s="972"/>
      <c r="I3662" s="972"/>
      <c r="J3662" s="972"/>
      <c r="K3662" s="972"/>
      <c r="L3662" s="972"/>
      <c r="M3662" s="972"/>
    </row>
    <row r="3663" spans="5:13">
      <c r="E3663" s="972"/>
      <c r="F3663" s="972"/>
      <c r="G3663" s="972"/>
      <c r="H3663" s="972"/>
      <c r="I3663" s="972"/>
      <c r="J3663" s="972"/>
      <c r="K3663" s="972"/>
      <c r="L3663" s="972"/>
      <c r="M3663" s="972"/>
    </row>
    <row r="3664" spans="5:13">
      <c r="E3664" s="972"/>
      <c r="F3664" s="972"/>
      <c r="G3664" s="972"/>
      <c r="H3664" s="972"/>
      <c r="I3664" s="972"/>
      <c r="J3664" s="972"/>
      <c r="K3664" s="972"/>
      <c r="L3664" s="972"/>
      <c r="M3664" s="972"/>
    </row>
    <row r="3665" spans="5:13">
      <c r="E3665" s="972"/>
      <c r="F3665" s="972"/>
      <c r="G3665" s="972"/>
      <c r="H3665" s="972"/>
      <c r="I3665" s="972"/>
      <c r="J3665" s="972"/>
      <c r="K3665" s="972"/>
      <c r="L3665" s="972"/>
      <c r="M3665" s="972"/>
    </row>
    <row r="3666" spans="5:13">
      <c r="E3666" s="972"/>
      <c r="F3666" s="972"/>
      <c r="G3666" s="972"/>
      <c r="H3666" s="972"/>
      <c r="I3666" s="972"/>
      <c r="J3666" s="972"/>
      <c r="K3666" s="972"/>
      <c r="L3666" s="972"/>
      <c r="M3666" s="972"/>
    </row>
    <row r="3667" spans="5:13">
      <c r="E3667" s="972"/>
      <c r="F3667" s="972"/>
      <c r="G3667" s="972"/>
      <c r="H3667" s="972"/>
      <c r="I3667" s="972"/>
      <c r="J3667" s="972"/>
      <c r="K3667" s="972"/>
      <c r="L3667" s="972"/>
      <c r="M3667" s="972"/>
    </row>
    <row r="3668" spans="5:13">
      <c r="E3668" s="972"/>
      <c r="F3668" s="972"/>
      <c r="G3668" s="972"/>
      <c r="H3668" s="972"/>
      <c r="I3668" s="972"/>
      <c r="J3668" s="972"/>
      <c r="K3668" s="972"/>
      <c r="L3668" s="972"/>
      <c r="M3668" s="972"/>
    </row>
    <row r="3669" spans="5:13">
      <c r="E3669" s="972"/>
      <c r="F3669" s="972"/>
      <c r="G3669" s="972"/>
      <c r="H3669" s="972"/>
      <c r="I3669" s="972"/>
      <c r="J3669" s="972"/>
      <c r="K3669" s="972"/>
      <c r="L3669" s="972"/>
      <c r="M3669" s="972"/>
    </row>
    <row r="3670" spans="5:13">
      <c r="E3670" s="972"/>
      <c r="F3670" s="972"/>
      <c r="G3670" s="972"/>
      <c r="H3670" s="972"/>
      <c r="I3670" s="972"/>
      <c r="J3670" s="972"/>
      <c r="K3670" s="972"/>
      <c r="L3670" s="972"/>
      <c r="M3670" s="972"/>
    </row>
    <row r="3671" spans="5:13">
      <c r="E3671" s="972"/>
      <c r="F3671" s="972"/>
      <c r="G3671" s="972"/>
      <c r="H3671" s="972"/>
      <c r="I3671" s="972"/>
      <c r="J3671" s="972"/>
      <c r="K3671" s="972"/>
      <c r="L3671" s="972"/>
      <c r="M3671" s="972"/>
    </row>
    <row r="3672" spans="5:13">
      <c r="E3672" s="972"/>
      <c r="F3672" s="972"/>
      <c r="G3672" s="972"/>
      <c r="H3672" s="972"/>
      <c r="I3672" s="972"/>
      <c r="J3672" s="972"/>
      <c r="K3672" s="972"/>
      <c r="L3672" s="972"/>
      <c r="M3672" s="972"/>
    </row>
    <row r="3673" spans="5:13">
      <c r="E3673" s="972"/>
      <c r="F3673" s="972"/>
      <c r="G3673" s="972"/>
      <c r="H3673" s="972"/>
      <c r="I3673" s="972"/>
      <c r="J3673" s="972"/>
      <c r="K3673" s="972"/>
      <c r="L3673" s="972"/>
      <c r="M3673" s="972"/>
    </row>
    <row r="3674" spans="5:13">
      <c r="E3674" s="972"/>
      <c r="F3674" s="972"/>
      <c r="G3674" s="972"/>
      <c r="H3674" s="972"/>
      <c r="I3674" s="972"/>
      <c r="J3674" s="972"/>
      <c r="K3674" s="972"/>
      <c r="L3674" s="972"/>
      <c r="M3674" s="972"/>
    </row>
    <row r="3675" spans="5:13">
      <c r="E3675" s="972"/>
      <c r="F3675" s="972"/>
      <c r="G3675" s="972"/>
      <c r="H3675" s="972"/>
      <c r="I3675" s="972"/>
      <c r="J3675" s="972"/>
      <c r="K3675" s="972"/>
      <c r="L3675" s="972"/>
      <c r="M3675" s="972"/>
    </row>
    <row r="3676" spans="5:13">
      <c r="E3676" s="972"/>
      <c r="F3676" s="972"/>
      <c r="G3676" s="972"/>
      <c r="H3676" s="972"/>
      <c r="I3676" s="972"/>
      <c r="J3676" s="972"/>
      <c r="K3676" s="972"/>
      <c r="L3676" s="972"/>
      <c r="M3676" s="972"/>
    </row>
    <row r="3677" spans="5:13">
      <c r="E3677" s="972"/>
      <c r="F3677" s="972"/>
      <c r="G3677" s="972"/>
      <c r="H3677" s="972"/>
      <c r="I3677" s="972"/>
      <c r="J3677" s="972"/>
      <c r="K3677" s="972"/>
      <c r="L3677" s="972"/>
      <c r="M3677" s="972"/>
    </row>
    <row r="3678" spans="5:13">
      <c r="E3678" s="972"/>
      <c r="F3678" s="972"/>
      <c r="G3678" s="972"/>
      <c r="H3678" s="972"/>
      <c r="I3678" s="972"/>
      <c r="J3678" s="972"/>
      <c r="K3678" s="972"/>
      <c r="L3678" s="972"/>
      <c r="M3678" s="972"/>
    </row>
    <row r="3679" spans="5:13">
      <c r="E3679" s="972"/>
      <c r="F3679" s="972"/>
      <c r="G3679" s="972"/>
      <c r="H3679" s="972"/>
      <c r="I3679" s="972"/>
      <c r="J3679" s="972"/>
      <c r="K3679" s="972"/>
      <c r="L3679" s="972"/>
      <c r="M3679" s="972"/>
    </row>
    <row r="3680" spans="5:13">
      <c r="E3680" s="972"/>
      <c r="F3680" s="972"/>
      <c r="G3680" s="972"/>
      <c r="H3680" s="972"/>
      <c r="I3680" s="972"/>
      <c r="J3680" s="972"/>
      <c r="K3680" s="972"/>
      <c r="L3680" s="972"/>
      <c r="M3680" s="972"/>
    </row>
    <row r="3681" spans="5:13">
      <c r="E3681" s="972"/>
      <c r="F3681" s="972"/>
      <c r="G3681" s="972"/>
      <c r="H3681" s="972"/>
      <c r="I3681" s="972"/>
      <c r="J3681" s="972"/>
      <c r="K3681" s="972"/>
      <c r="L3681" s="972"/>
      <c r="M3681" s="972"/>
    </row>
    <row r="3682" spans="5:13">
      <c r="E3682" s="972"/>
      <c r="F3682" s="972"/>
      <c r="G3682" s="972"/>
      <c r="H3682" s="972"/>
      <c r="I3682" s="972"/>
      <c r="J3682" s="972"/>
      <c r="K3682" s="972"/>
      <c r="L3682" s="972"/>
      <c r="M3682" s="972"/>
    </row>
    <row r="3683" spans="5:13">
      <c r="E3683" s="972"/>
      <c r="F3683" s="972"/>
      <c r="G3683" s="972"/>
      <c r="H3683" s="972"/>
      <c r="I3683" s="972"/>
      <c r="J3683" s="972"/>
      <c r="K3683" s="972"/>
      <c r="L3683" s="972"/>
      <c r="M3683" s="972"/>
    </row>
    <row r="3684" spans="5:13">
      <c r="E3684" s="972"/>
      <c r="F3684" s="972"/>
      <c r="G3684" s="972"/>
      <c r="H3684" s="972"/>
      <c r="I3684" s="972"/>
      <c r="J3684" s="972"/>
      <c r="K3684" s="972"/>
      <c r="L3684" s="972"/>
      <c r="M3684" s="972"/>
    </row>
    <row r="3685" spans="5:13">
      <c r="E3685" s="972"/>
      <c r="F3685" s="972"/>
      <c r="G3685" s="972"/>
      <c r="H3685" s="972"/>
      <c r="I3685" s="972"/>
      <c r="J3685" s="972"/>
      <c r="K3685" s="972"/>
      <c r="L3685" s="972"/>
      <c r="M3685" s="972"/>
    </row>
    <row r="3686" spans="5:13">
      <c r="E3686" s="972"/>
      <c r="F3686" s="972"/>
      <c r="G3686" s="972"/>
      <c r="H3686" s="972"/>
      <c r="I3686" s="972"/>
      <c r="J3686" s="972"/>
      <c r="K3686" s="972"/>
      <c r="L3686" s="972"/>
      <c r="M3686" s="972"/>
    </row>
    <row r="3687" spans="5:13">
      <c r="E3687" s="972"/>
      <c r="F3687" s="972"/>
      <c r="G3687" s="972"/>
      <c r="H3687" s="972"/>
      <c r="I3687" s="972"/>
      <c r="J3687" s="972"/>
      <c r="K3687" s="972"/>
      <c r="L3687" s="972"/>
      <c r="M3687" s="972"/>
    </row>
    <row r="3688" spans="5:13">
      <c r="E3688" s="972"/>
      <c r="F3688" s="972"/>
      <c r="G3688" s="972"/>
      <c r="H3688" s="972"/>
      <c r="I3688" s="972"/>
      <c r="J3688" s="972"/>
      <c r="K3688" s="972"/>
      <c r="L3688" s="972"/>
      <c r="M3688" s="972"/>
    </row>
    <row r="3689" spans="5:13">
      <c r="E3689" s="972"/>
      <c r="F3689" s="972"/>
      <c r="G3689" s="972"/>
      <c r="H3689" s="972"/>
      <c r="I3689" s="972"/>
      <c r="J3689" s="972"/>
      <c r="K3689" s="972"/>
      <c r="L3689" s="972"/>
      <c r="M3689" s="972"/>
    </row>
    <row r="3690" spans="5:13">
      <c r="E3690" s="972"/>
      <c r="F3690" s="972"/>
      <c r="G3690" s="972"/>
      <c r="H3690" s="972"/>
      <c r="I3690" s="972"/>
      <c r="J3690" s="972"/>
      <c r="K3690" s="972"/>
      <c r="L3690" s="972"/>
      <c r="M3690" s="972"/>
    </row>
    <row r="3691" spans="5:13">
      <c r="E3691" s="972"/>
      <c r="F3691" s="972"/>
      <c r="G3691" s="972"/>
      <c r="H3691" s="972"/>
      <c r="I3691" s="972"/>
      <c r="J3691" s="972"/>
      <c r="K3691" s="972"/>
      <c r="L3691" s="972"/>
      <c r="M3691" s="972"/>
    </row>
    <row r="3692" spans="5:13">
      <c r="E3692" s="972"/>
      <c r="F3692" s="972"/>
      <c r="G3692" s="972"/>
      <c r="H3692" s="972"/>
      <c r="I3692" s="972"/>
      <c r="J3692" s="972"/>
      <c r="K3692" s="972"/>
      <c r="L3692" s="972"/>
      <c r="M3692" s="972"/>
    </row>
    <row r="3693" spans="5:13">
      <c r="E3693" s="972"/>
      <c r="F3693" s="972"/>
      <c r="G3693" s="972"/>
      <c r="H3693" s="972"/>
      <c r="I3693" s="972"/>
      <c r="J3693" s="972"/>
      <c r="K3693" s="972"/>
      <c r="L3693" s="972"/>
      <c r="M3693" s="972"/>
    </row>
    <row r="3694" spans="5:13">
      <c r="E3694" s="972"/>
      <c r="F3694" s="972"/>
      <c r="G3694" s="972"/>
      <c r="H3694" s="972"/>
      <c r="I3694" s="972"/>
      <c r="J3694" s="972"/>
      <c r="K3694" s="972"/>
      <c r="L3694" s="972"/>
      <c r="M3694" s="972"/>
    </row>
    <row r="3695" spans="5:13">
      <c r="E3695" s="972"/>
      <c r="F3695" s="972"/>
      <c r="G3695" s="972"/>
      <c r="H3695" s="972"/>
      <c r="I3695" s="972"/>
      <c r="J3695" s="972"/>
      <c r="K3695" s="972"/>
      <c r="L3695" s="972"/>
      <c r="M3695" s="972"/>
    </row>
    <row r="3696" spans="5:13">
      <c r="E3696" s="972"/>
      <c r="F3696" s="972"/>
      <c r="G3696" s="972"/>
      <c r="H3696" s="972"/>
      <c r="I3696" s="972"/>
      <c r="J3696" s="972"/>
      <c r="K3696" s="972"/>
      <c r="L3696" s="972"/>
      <c r="M3696" s="972"/>
    </row>
    <row r="3697" spans="5:13">
      <c r="E3697" s="972"/>
      <c r="F3697" s="972"/>
      <c r="G3697" s="972"/>
      <c r="H3697" s="972"/>
      <c r="I3697" s="972"/>
      <c r="J3697" s="972"/>
      <c r="K3697" s="972"/>
      <c r="L3697" s="972"/>
      <c r="M3697" s="972"/>
    </row>
    <row r="3698" spans="5:13">
      <c r="E3698" s="972"/>
      <c r="F3698" s="972"/>
      <c r="G3698" s="972"/>
      <c r="H3698" s="972"/>
      <c r="I3698" s="972"/>
      <c r="J3698" s="972"/>
      <c r="K3698" s="972"/>
      <c r="L3698" s="972"/>
      <c r="M3698" s="972"/>
    </row>
    <row r="3699" spans="5:13">
      <c r="E3699" s="972"/>
      <c r="F3699" s="972"/>
      <c r="G3699" s="972"/>
      <c r="H3699" s="972"/>
      <c r="I3699" s="972"/>
      <c r="J3699" s="972"/>
      <c r="K3699" s="972"/>
      <c r="L3699" s="972"/>
      <c r="M3699" s="972"/>
    </row>
    <row r="3700" spans="5:13">
      <c r="E3700" s="972"/>
      <c r="F3700" s="972"/>
      <c r="G3700" s="972"/>
      <c r="H3700" s="972"/>
      <c r="I3700" s="972"/>
      <c r="J3700" s="972"/>
      <c r="K3700" s="972"/>
      <c r="L3700" s="972"/>
      <c r="M3700" s="972"/>
    </row>
    <row r="3701" spans="5:13">
      <c r="E3701" s="972"/>
      <c r="F3701" s="972"/>
      <c r="G3701" s="972"/>
      <c r="H3701" s="972"/>
      <c r="I3701" s="972"/>
      <c r="J3701" s="972"/>
      <c r="K3701" s="972"/>
      <c r="L3701" s="972"/>
      <c r="M3701" s="972"/>
    </row>
    <row r="3702" spans="5:13">
      <c r="E3702" s="972"/>
      <c r="F3702" s="972"/>
      <c r="G3702" s="972"/>
      <c r="H3702" s="972"/>
      <c r="I3702" s="972"/>
      <c r="J3702" s="972"/>
      <c r="K3702" s="972"/>
      <c r="L3702" s="972"/>
      <c r="M3702" s="972"/>
    </row>
    <row r="3703" spans="5:13">
      <c r="E3703" s="972"/>
      <c r="F3703" s="972"/>
      <c r="G3703" s="972"/>
      <c r="H3703" s="972"/>
      <c r="I3703" s="972"/>
      <c r="J3703" s="972"/>
      <c r="K3703" s="972"/>
      <c r="L3703" s="972"/>
      <c r="M3703" s="972"/>
    </row>
    <row r="3704" spans="5:13">
      <c r="E3704" s="972"/>
      <c r="F3704" s="972"/>
      <c r="G3704" s="972"/>
      <c r="H3704" s="972"/>
      <c r="I3704" s="972"/>
      <c r="J3704" s="972"/>
      <c r="K3704" s="972"/>
      <c r="L3704" s="972"/>
      <c r="M3704" s="972"/>
    </row>
    <row r="3705" spans="5:13">
      <c r="E3705" s="972"/>
      <c r="F3705" s="972"/>
      <c r="G3705" s="972"/>
      <c r="H3705" s="972"/>
      <c r="I3705" s="972"/>
      <c r="J3705" s="972"/>
      <c r="K3705" s="972"/>
      <c r="L3705" s="972"/>
      <c r="M3705" s="972"/>
    </row>
    <row r="3706" spans="5:13">
      <c r="E3706" s="972"/>
      <c r="F3706" s="972"/>
      <c r="G3706" s="972"/>
      <c r="H3706" s="972"/>
      <c r="I3706" s="972"/>
      <c r="J3706" s="972"/>
      <c r="K3706" s="972"/>
      <c r="L3706" s="972"/>
      <c r="M3706" s="972"/>
    </row>
    <row r="3707" spans="5:13">
      <c r="E3707" s="972"/>
      <c r="F3707" s="972"/>
      <c r="G3707" s="972"/>
      <c r="H3707" s="972"/>
      <c r="I3707" s="972"/>
      <c r="J3707" s="972"/>
      <c r="K3707" s="972"/>
      <c r="L3707" s="972"/>
      <c r="M3707" s="972"/>
    </row>
    <row r="3708" spans="5:13">
      <c r="E3708" s="972"/>
      <c r="F3708" s="972"/>
      <c r="G3708" s="972"/>
      <c r="H3708" s="972"/>
      <c r="I3708" s="972"/>
      <c r="J3708" s="972"/>
      <c r="K3708" s="972"/>
      <c r="L3708" s="972"/>
      <c r="M3708" s="972"/>
    </row>
    <row r="3709" spans="5:13">
      <c r="E3709" s="972"/>
      <c r="F3709" s="972"/>
      <c r="G3709" s="972"/>
      <c r="H3709" s="972"/>
      <c r="I3709" s="972"/>
      <c r="J3709" s="972"/>
      <c r="K3709" s="972"/>
      <c r="L3709" s="972"/>
      <c r="M3709" s="972"/>
    </row>
    <row r="3710" spans="5:13">
      <c r="E3710" s="972"/>
      <c r="F3710" s="972"/>
      <c r="G3710" s="972"/>
      <c r="H3710" s="972"/>
      <c r="I3710" s="972"/>
      <c r="J3710" s="972"/>
      <c r="K3710" s="972"/>
      <c r="L3710" s="972"/>
      <c r="M3710" s="972"/>
    </row>
    <row r="3711" spans="5:13">
      <c r="E3711" s="972"/>
      <c r="F3711" s="972"/>
      <c r="G3711" s="972"/>
      <c r="H3711" s="972"/>
      <c r="I3711" s="972"/>
      <c r="J3711" s="972"/>
      <c r="K3711" s="972"/>
      <c r="L3711" s="972"/>
      <c r="M3711" s="972"/>
    </row>
    <row r="3712" spans="5:13">
      <c r="E3712" s="972"/>
      <c r="F3712" s="972"/>
      <c r="G3712" s="972"/>
      <c r="H3712" s="972"/>
      <c r="I3712" s="972"/>
      <c r="J3712" s="972"/>
      <c r="K3712" s="972"/>
      <c r="L3712" s="972"/>
      <c r="M3712" s="972"/>
    </row>
    <row r="3713" spans="5:13">
      <c r="E3713" s="972"/>
      <c r="F3713" s="972"/>
      <c r="G3713" s="972"/>
      <c r="H3713" s="972"/>
      <c r="I3713" s="972"/>
      <c r="J3713" s="972"/>
      <c r="K3713" s="972"/>
      <c r="L3713" s="972"/>
      <c r="M3713" s="972"/>
    </row>
    <row r="3714" spans="5:13">
      <c r="E3714" s="972"/>
      <c r="F3714" s="972"/>
      <c r="G3714" s="972"/>
      <c r="H3714" s="972"/>
      <c r="I3714" s="972"/>
      <c r="J3714" s="972"/>
      <c r="K3714" s="972"/>
      <c r="L3714" s="972"/>
      <c r="M3714" s="972"/>
    </row>
    <row r="3715" spans="5:13">
      <c r="E3715" s="972"/>
      <c r="F3715" s="972"/>
      <c r="G3715" s="972"/>
      <c r="H3715" s="972"/>
      <c r="I3715" s="972"/>
      <c r="J3715" s="972"/>
      <c r="K3715" s="972"/>
      <c r="L3715" s="972"/>
      <c r="M3715" s="972"/>
    </row>
    <row r="3716" spans="5:13">
      <c r="E3716" s="972"/>
      <c r="F3716" s="972"/>
      <c r="G3716" s="972"/>
      <c r="H3716" s="972"/>
      <c r="I3716" s="972"/>
      <c r="J3716" s="972"/>
      <c r="K3716" s="972"/>
      <c r="L3716" s="972"/>
      <c r="M3716" s="972"/>
    </row>
    <row r="3717" spans="5:13">
      <c r="E3717" s="972"/>
      <c r="F3717" s="972"/>
      <c r="G3717" s="972"/>
      <c r="H3717" s="972"/>
      <c r="I3717" s="972"/>
      <c r="J3717" s="972"/>
      <c r="K3717" s="972"/>
      <c r="L3717" s="972"/>
      <c r="M3717" s="972"/>
    </row>
    <row r="3718" spans="5:13">
      <c r="E3718" s="972"/>
      <c r="F3718" s="972"/>
      <c r="G3718" s="972"/>
      <c r="H3718" s="972"/>
      <c r="I3718" s="972"/>
      <c r="J3718" s="972"/>
      <c r="K3718" s="972"/>
      <c r="L3718" s="972"/>
      <c r="M3718" s="972"/>
    </row>
    <row r="3719" spans="5:13">
      <c r="E3719" s="972"/>
      <c r="F3719" s="972"/>
      <c r="G3719" s="972"/>
      <c r="H3719" s="972"/>
      <c r="I3719" s="972"/>
      <c r="J3719" s="972"/>
      <c r="K3719" s="972"/>
      <c r="L3719" s="972"/>
      <c r="M3719" s="972"/>
    </row>
    <row r="3720" spans="5:13">
      <c r="E3720" s="972"/>
      <c r="F3720" s="972"/>
      <c r="G3720" s="972"/>
      <c r="H3720" s="972"/>
      <c r="I3720" s="972"/>
      <c r="J3720" s="972"/>
      <c r="K3720" s="972"/>
      <c r="L3720" s="972"/>
      <c r="M3720" s="972"/>
    </row>
    <row r="3721" spans="5:13">
      <c r="E3721" s="972"/>
      <c r="F3721" s="972"/>
      <c r="G3721" s="972"/>
      <c r="H3721" s="972"/>
      <c r="I3721" s="972"/>
      <c r="J3721" s="972"/>
      <c r="K3721" s="972"/>
      <c r="L3721" s="972"/>
      <c r="M3721" s="972"/>
    </row>
    <row r="3722" spans="5:13">
      <c r="E3722" s="972"/>
      <c r="F3722" s="972"/>
      <c r="G3722" s="972"/>
      <c r="H3722" s="972"/>
      <c r="I3722" s="972"/>
      <c r="J3722" s="972"/>
      <c r="K3722" s="972"/>
      <c r="L3722" s="972"/>
      <c r="M3722" s="972"/>
    </row>
    <row r="3723" spans="5:13">
      <c r="E3723" s="972"/>
      <c r="F3723" s="972"/>
      <c r="G3723" s="972"/>
      <c r="H3723" s="972"/>
      <c r="I3723" s="972"/>
      <c r="J3723" s="972"/>
      <c r="K3723" s="972"/>
      <c r="L3723" s="972"/>
      <c r="M3723" s="972"/>
    </row>
    <row r="3724" spans="5:13">
      <c r="E3724" s="972"/>
      <c r="F3724" s="972"/>
      <c r="G3724" s="972"/>
      <c r="H3724" s="972"/>
      <c r="I3724" s="972"/>
      <c r="J3724" s="972"/>
      <c r="K3724" s="972"/>
      <c r="L3724" s="972"/>
      <c r="M3724" s="972"/>
    </row>
    <row r="3725" spans="5:13">
      <c r="E3725" s="972"/>
      <c r="F3725" s="972"/>
      <c r="G3725" s="972"/>
      <c r="H3725" s="972"/>
      <c r="I3725" s="972"/>
      <c r="J3725" s="972"/>
      <c r="K3725" s="972"/>
      <c r="L3725" s="972"/>
      <c r="M3725" s="972"/>
    </row>
    <row r="3726" spans="5:13">
      <c r="E3726" s="972"/>
      <c r="F3726" s="972"/>
      <c r="G3726" s="972"/>
      <c r="H3726" s="972"/>
      <c r="I3726" s="972"/>
      <c r="J3726" s="972"/>
      <c r="K3726" s="972"/>
      <c r="L3726" s="972"/>
      <c r="M3726" s="972"/>
    </row>
    <row r="3727" spans="5:13">
      <c r="E3727" s="972"/>
      <c r="F3727" s="972"/>
      <c r="G3727" s="972"/>
      <c r="H3727" s="972"/>
      <c r="I3727" s="972"/>
      <c r="J3727" s="972"/>
      <c r="K3727" s="972"/>
      <c r="L3727" s="972"/>
      <c r="M3727" s="972"/>
    </row>
    <row r="3728" spans="5:13">
      <c r="E3728" s="972"/>
      <c r="F3728" s="972"/>
      <c r="G3728" s="972"/>
      <c r="H3728" s="972"/>
      <c r="I3728" s="972"/>
      <c r="J3728" s="972"/>
      <c r="K3728" s="972"/>
      <c r="L3728" s="972"/>
      <c r="M3728" s="972"/>
    </row>
    <row r="3729" spans="5:13">
      <c r="E3729" s="972"/>
      <c r="F3729" s="972"/>
      <c r="G3729" s="972"/>
      <c r="H3729" s="972"/>
      <c r="I3729" s="972"/>
      <c r="J3729" s="972"/>
      <c r="K3729" s="972"/>
      <c r="L3729" s="972"/>
      <c r="M3729" s="972"/>
    </row>
    <row r="3730" spans="5:13">
      <c r="E3730" s="972"/>
      <c r="F3730" s="972"/>
      <c r="G3730" s="972"/>
      <c r="H3730" s="972"/>
      <c r="I3730" s="972"/>
      <c r="J3730" s="972"/>
      <c r="K3730" s="972"/>
      <c r="L3730" s="972"/>
      <c r="M3730" s="972"/>
    </row>
    <row r="3731" spans="5:13">
      <c r="E3731" s="972"/>
      <c r="F3731" s="972"/>
      <c r="G3731" s="972"/>
      <c r="H3731" s="972"/>
      <c r="I3731" s="972"/>
      <c r="J3731" s="972"/>
      <c r="K3731" s="972"/>
      <c r="L3731" s="972"/>
      <c r="M3731" s="972"/>
    </row>
    <row r="3732" spans="5:13">
      <c r="E3732" s="972"/>
      <c r="F3732" s="972"/>
      <c r="G3732" s="972"/>
      <c r="H3732" s="972"/>
      <c r="I3732" s="972"/>
      <c r="J3732" s="972"/>
      <c r="K3732" s="972"/>
      <c r="L3732" s="972"/>
      <c r="M3732" s="972"/>
    </row>
    <row r="3733" spans="5:13">
      <c r="E3733" s="972"/>
      <c r="F3733" s="972"/>
      <c r="G3733" s="972"/>
      <c r="H3733" s="972"/>
      <c r="I3733" s="972"/>
      <c r="J3733" s="972"/>
      <c r="K3733" s="972"/>
      <c r="L3733" s="972"/>
      <c r="M3733" s="972"/>
    </row>
    <row r="3734" spans="5:13">
      <c r="E3734" s="972"/>
      <c r="F3734" s="972"/>
      <c r="G3734" s="972"/>
      <c r="H3734" s="972"/>
      <c r="I3734" s="972"/>
      <c r="J3734" s="972"/>
      <c r="K3734" s="972"/>
      <c r="L3734" s="972"/>
      <c r="M3734" s="972"/>
    </row>
    <row r="3735" spans="5:13">
      <c r="E3735" s="972"/>
      <c r="F3735" s="972"/>
      <c r="G3735" s="972"/>
      <c r="H3735" s="972"/>
      <c r="I3735" s="972"/>
      <c r="J3735" s="972"/>
      <c r="K3735" s="972"/>
      <c r="L3735" s="972"/>
      <c r="M3735" s="972"/>
    </row>
    <row r="3736" spans="5:13">
      <c r="E3736" s="972"/>
      <c r="F3736" s="972"/>
      <c r="G3736" s="972"/>
      <c r="H3736" s="972"/>
      <c r="I3736" s="972"/>
      <c r="J3736" s="972"/>
      <c r="K3736" s="972"/>
      <c r="L3736" s="972"/>
      <c r="M3736" s="972"/>
    </row>
    <row r="3737" spans="5:13">
      <c r="E3737" s="972"/>
      <c r="F3737" s="972"/>
      <c r="G3737" s="972"/>
      <c r="H3737" s="972"/>
      <c r="I3737" s="972"/>
      <c r="J3737" s="972"/>
      <c r="K3737" s="972"/>
      <c r="L3737" s="972"/>
      <c r="M3737" s="972"/>
    </row>
    <row r="3738" spans="5:13">
      <c r="E3738" s="972"/>
      <c r="F3738" s="972"/>
      <c r="G3738" s="972"/>
      <c r="H3738" s="972"/>
      <c r="I3738" s="972"/>
      <c r="J3738" s="972"/>
      <c r="K3738" s="972"/>
      <c r="L3738" s="972"/>
      <c r="M3738" s="972"/>
    </row>
    <row r="3739" spans="5:13">
      <c r="E3739" s="972"/>
      <c r="F3739" s="972"/>
      <c r="G3739" s="972"/>
      <c r="H3739" s="972"/>
      <c r="I3739" s="972"/>
      <c r="J3739" s="972"/>
      <c r="K3739" s="972"/>
      <c r="L3739" s="972"/>
      <c r="M3739" s="972"/>
    </row>
    <row r="3740" spans="5:13">
      <c r="E3740" s="972"/>
      <c r="F3740" s="972"/>
      <c r="G3740" s="972"/>
      <c r="H3740" s="972"/>
      <c r="I3740" s="972"/>
      <c r="J3740" s="972"/>
      <c r="K3740" s="972"/>
      <c r="L3740" s="972"/>
      <c r="M3740" s="972"/>
    </row>
    <row r="3741" spans="5:13">
      <c r="E3741" s="972"/>
      <c r="F3741" s="972"/>
      <c r="G3741" s="972"/>
      <c r="H3741" s="972"/>
      <c r="I3741" s="972"/>
      <c r="J3741" s="972"/>
      <c r="K3741" s="972"/>
      <c r="L3741" s="972"/>
      <c r="M3741" s="972"/>
    </row>
    <row r="3742" spans="5:13">
      <c r="E3742" s="972"/>
      <c r="F3742" s="972"/>
      <c r="G3742" s="972"/>
      <c r="H3742" s="972"/>
      <c r="I3742" s="972"/>
      <c r="J3742" s="972"/>
      <c r="K3742" s="972"/>
      <c r="L3742" s="972"/>
      <c r="M3742" s="972"/>
    </row>
    <row r="3743" spans="5:13">
      <c r="E3743" s="972"/>
      <c r="F3743" s="972"/>
      <c r="G3743" s="972"/>
      <c r="H3743" s="972"/>
      <c r="I3743" s="972"/>
      <c r="J3743" s="972"/>
      <c r="K3743" s="972"/>
      <c r="L3743" s="972"/>
      <c r="M3743" s="972"/>
    </row>
    <row r="3744" spans="5:13">
      <c r="E3744" s="972"/>
      <c r="F3744" s="972"/>
      <c r="G3744" s="972"/>
      <c r="H3744" s="972"/>
      <c r="I3744" s="972"/>
      <c r="J3744" s="972"/>
      <c r="K3744" s="972"/>
      <c r="L3744" s="972"/>
      <c r="M3744" s="972"/>
    </row>
    <row r="3745" spans="5:13">
      <c r="E3745" s="972"/>
      <c r="F3745" s="972"/>
      <c r="G3745" s="972"/>
      <c r="H3745" s="972"/>
      <c r="I3745" s="972"/>
      <c r="J3745" s="972"/>
      <c r="K3745" s="972"/>
      <c r="L3745" s="972"/>
      <c r="M3745" s="972"/>
    </row>
    <row r="3746" spans="5:13">
      <c r="E3746" s="972"/>
      <c r="F3746" s="972"/>
      <c r="G3746" s="972"/>
      <c r="H3746" s="972"/>
      <c r="I3746" s="972"/>
      <c r="J3746" s="972"/>
      <c r="K3746" s="972"/>
      <c r="L3746" s="972"/>
      <c r="M3746" s="972"/>
    </row>
    <row r="3747" spans="5:13">
      <c r="E3747" s="972"/>
      <c r="F3747" s="972"/>
      <c r="G3747" s="972"/>
      <c r="H3747" s="972"/>
      <c r="I3747" s="972"/>
      <c r="J3747" s="972"/>
      <c r="K3747" s="972"/>
      <c r="L3747" s="972"/>
      <c r="M3747" s="972"/>
    </row>
    <row r="3748" spans="5:13">
      <c r="E3748" s="972"/>
      <c r="F3748" s="972"/>
      <c r="G3748" s="972"/>
      <c r="H3748" s="972"/>
      <c r="I3748" s="972"/>
      <c r="J3748" s="972"/>
      <c r="K3748" s="972"/>
      <c r="L3748" s="972"/>
      <c r="M3748" s="972"/>
    </row>
    <row r="3749" spans="5:13">
      <c r="E3749" s="972"/>
      <c r="F3749" s="972"/>
      <c r="G3749" s="972"/>
      <c r="H3749" s="972"/>
      <c r="I3749" s="972"/>
      <c r="J3749" s="972"/>
      <c r="K3749" s="972"/>
      <c r="L3749" s="972"/>
      <c r="M3749" s="972"/>
    </row>
    <row r="3750" spans="5:13">
      <c r="E3750" s="972"/>
      <c r="F3750" s="972"/>
      <c r="G3750" s="972"/>
      <c r="H3750" s="972"/>
      <c r="I3750" s="972"/>
      <c r="J3750" s="972"/>
      <c r="K3750" s="972"/>
      <c r="L3750" s="972"/>
      <c r="M3750" s="972"/>
    </row>
    <row r="3751" spans="5:13">
      <c r="E3751" s="972"/>
      <c r="F3751" s="972"/>
      <c r="G3751" s="972"/>
      <c r="H3751" s="972"/>
      <c r="I3751" s="972"/>
      <c r="J3751" s="972"/>
      <c r="K3751" s="972"/>
      <c r="L3751" s="972"/>
      <c r="M3751" s="972"/>
    </row>
    <row r="3752" spans="5:13">
      <c r="E3752" s="972"/>
      <c r="F3752" s="972"/>
      <c r="G3752" s="972"/>
      <c r="H3752" s="972"/>
      <c r="I3752" s="972"/>
      <c r="J3752" s="972"/>
      <c r="K3752" s="972"/>
      <c r="L3752" s="972"/>
      <c r="M3752" s="972"/>
    </row>
    <row r="3753" spans="5:13">
      <c r="E3753" s="972"/>
      <c r="F3753" s="972"/>
      <c r="G3753" s="972"/>
      <c r="H3753" s="972"/>
      <c r="I3753" s="972"/>
      <c r="J3753" s="972"/>
      <c r="K3753" s="972"/>
      <c r="L3753" s="972"/>
      <c r="M3753" s="972"/>
    </row>
    <row r="3754" spans="5:13">
      <c r="E3754" s="972"/>
      <c r="F3754" s="972"/>
      <c r="G3754" s="972"/>
      <c r="H3754" s="972"/>
      <c r="I3754" s="972"/>
      <c r="J3754" s="972"/>
      <c r="K3754" s="972"/>
      <c r="L3754" s="972"/>
      <c r="M3754" s="972"/>
    </row>
    <row r="3755" spans="5:13">
      <c r="E3755" s="972"/>
      <c r="F3755" s="972"/>
      <c r="G3755" s="972"/>
      <c r="H3755" s="972"/>
      <c r="I3755" s="972"/>
      <c r="J3755" s="972"/>
      <c r="K3755" s="972"/>
      <c r="L3755" s="972"/>
      <c r="M3755" s="972"/>
    </row>
    <row r="3756" spans="5:13">
      <c r="E3756" s="972"/>
      <c r="F3756" s="972"/>
      <c r="G3756" s="972"/>
      <c r="H3756" s="972"/>
      <c r="I3756" s="972"/>
      <c r="J3756" s="972"/>
      <c r="K3756" s="972"/>
      <c r="L3756" s="972"/>
      <c r="M3756" s="972"/>
    </row>
    <row r="3757" spans="5:13">
      <c r="E3757" s="972"/>
      <c r="F3757" s="972"/>
      <c r="G3757" s="972"/>
      <c r="H3757" s="972"/>
      <c r="I3757" s="972"/>
      <c r="J3757" s="972"/>
      <c r="K3757" s="972"/>
      <c r="L3757" s="972"/>
      <c r="M3757" s="972"/>
    </row>
    <row r="3758" spans="5:13">
      <c r="E3758" s="972"/>
      <c r="F3758" s="972"/>
      <c r="G3758" s="972"/>
      <c r="H3758" s="972"/>
      <c r="I3758" s="972"/>
      <c r="J3758" s="972"/>
      <c r="K3758" s="972"/>
      <c r="L3758" s="972"/>
      <c r="M3758" s="972"/>
    </row>
    <row r="3759" spans="5:13">
      <c r="E3759" s="972"/>
      <c r="F3759" s="972"/>
      <c r="G3759" s="972"/>
      <c r="H3759" s="972"/>
      <c r="I3759" s="972"/>
      <c r="J3759" s="972"/>
      <c r="K3759" s="972"/>
      <c r="L3759" s="972"/>
      <c r="M3759" s="972"/>
    </row>
    <row r="3760" spans="5:13">
      <c r="E3760" s="972"/>
      <c r="F3760" s="972"/>
      <c r="G3760" s="972"/>
      <c r="H3760" s="972"/>
      <c r="I3760" s="972"/>
      <c r="J3760" s="972"/>
      <c r="K3760" s="972"/>
      <c r="L3760" s="972"/>
      <c r="M3760" s="972"/>
    </row>
    <row r="3761" spans="5:13">
      <c r="E3761" s="972"/>
      <c r="F3761" s="972"/>
      <c r="G3761" s="972"/>
      <c r="H3761" s="972"/>
      <c r="I3761" s="972"/>
      <c r="J3761" s="972"/>
      <c r="K3761" s="972"/>
      <c r="L3761" s="972"/>
      <c r="M3761" s="972"/>
    </row>
    <row r="3762" spans="5:13">
      <c r="E3762" s="972"/>
      <c r="F3762" s="972"/>
      <c r="G3762" s="972"/>
      <c r="H3762" s="972"/>
      <c r="I3762" s="972"/>
      <c r="J3762" s="972"/>
      <c r="K3762" s="972"/>
      <c r="L3762" s="972"/>
      <c r="M3762" s="972"/>
    </row>
    <row r="3763" spans="5:13">
      <c r="E3763" s="972"/>
      <c r="F3763" s="972"/>
      <c r="G3763" s="972"/>
      <c r="H3763" s="972"/>
      <c r="I3763" s="972"/>
      <c r="J3763" s="972"/>
      <c r="K3763" s="972"/>
      <c r="L3763" s="972"/>
      <c r="M3763" s="972"/>
    </row>
    <row r="3764" spans="5:13">
      <c r="E3764" s="972"/>
      <c r="F3764" s="972"/>
      <c r="G3764" s="972"/>
      <c r="H3764" s="972"/>
      <c r="I3764" s="972"/>
      <c r="J3764" s="972"/>
      <c r="K3764" s="972"/>
      <c r="L3764" s="972"/>
      <c r="M3764" s="972"/>
    </row>
    <row r="3765" spans="5:13">
      <c r="E3765" s="972"/>
      <c r="F3765" s="972"/>
      <c r="G3765" s="972"/>
      <c r="H3765" s="972"/>
      <c r="I3765" s="972"/>
      <c r="J3765" s="972"/>
      <c r="K3765" s="972"/>
      <c r="L3765" s="972"/>
      <c r="M3765" s="972"/>
    </row>
    <row r="3766" spans="5:13">
      <c r="E3766" s="972"/>
      <c r="F3766" s="972"/>
      <c r="G3766" s="972"/>
      <c r="H3766" s="972"/>
      <c r="I3766" s="972"/>
      <c r="J3766" s="972"/>
      <c r="K3766" s="972"/>
      <c r="L3766" s="972"/>
      <c r="M3766" s="972"/>
    </row>
    <row r="3767" spans="5:13">
      <c r="E3767" s="972"/>
      <c r="F3767" s="972"/>
      <c r="G3767" s="972"/>
      <c r="H3767" s="972"/>
      <c r="I3767" s="972"/>
      <c r="J3767" s="972"/>
      <c r="K3767" s="972"/>
      <c r="L3767" s="972"/>
      <c r="M3767" s="972"/>
    </row>
    <row r="3768" spans="5:13">
      <c r="E3768" s="972"/>
      <c r="F3768" s="972"/>
      <c r="G3768" s="972"/>
      <c r="H3768" s="972"/>
      <c r="I3768" s="972"/>
      <c r="J3768" s="972"/>
      <c r="K3768" s="972"/>
      <c r="L3768" s="972"/>
      <c r="M3768" s="972"/>
    </row>
    <row r="3769" spans="5:13">
      <c r="E3769" s="972"/>
      <c r="F3769" s="972"/>
      <c r="G3769" s="972"/>
      <c r="H3769" s="972"/>
      <c r="I3769" s="972"/>
      <c r="J3769" s="972"/>
      <c r="K3769" s="972"/>
      <c r="L3769" s="972"/>
      <c r="M3769" s="972"/>
    </row>
    <row r="3770" spans="5:13">
      <c r="E3770" s="972"/>
      <c r="F3770" s="972"/>
      <c r="G3770" s="972"/>
      <c r="H3770" s="972"/>
      <c r="I3770" s="972"/>
      <c r="J3770" s="972"/>
      <c r="K3770" s="972"/>
      <c r="L3770" s="972"/>
      <c r="M3770" s="972"/>
    </row>
    <row r="3771" spans="5:13">
      <c r="E3771" s="972"/>
      <c r="F3771" s="972"/>
      <c r="G3771" s="972"/>
      <c r="H3771" s="972"/>
      <c r="I3771" s="972"/>
      <c r="J3771" s="972"/>
      <c r="K3771" s="972"/>
      <c r="L3771" s="972"/>
      <c r="M3771" s="972"/>
    </row>
    <row r="3772" spans="5:13">
      <c r="E3772" s="972"/>
      <c r="F3772" s="972"/>
      <c r="G3772" s="972"/>
      <c r="H3772" s="972"/>
      <c r="I3772" s="972"/>
      <c r="J3772" s="972"/>
      <c r="K3772" s="972"/>
      <c r="L3772" s="972"/>
      <c r="M3772" s="972"/>
    </row>
    <row r="3773" spans="5:13">
      <c r="E3773" s="972"/>
      <c r="F3773" s="972"/>
      <c r="G3773" s="972"/>
      <c r="H3773" s="972"/>
      <c r="I3773" s="972"/>
      <c r="J3773" s="972"/>
      <c r="K3773" s="972"/>
      <c r="L3773" s="972"/>
      <c r="M3773" s="972"/>
    </row>
    <row r="3774" spans="5:13">
      <c r="E3774" s="972"/>
      <c r="F3774" s="972"/>
      <c r="G3774" s="972"/>
      <c r="H3774" s="972"/>
      <c r="I3774" s="972"/>
      <c r="J3774" s="972"/>
      <c r="K3774" s="972"/>
      <c r="L3774" s="972"/>
      <c r="M3774" s="972"/>
    </row>
    <row r="3775" spans="5:13">
      <c r="E3775" s="972"/>
      <c r="F3775" s="972"/>
      <c r="G3775" s="972"/>
      <c r="H3775" s="972"/>
      <c r="I3775" s="972"/>
      <c r="J3775" s="972"/>
      <c r="K3775" s="972"/>
      <c r="L3775" s="972"/>
      <c r="M3775" s="972"/>
    </row>
    <row r="3776" spans="5:13">
      <c r="E3776" s="972"/>
      <c r="F3776" s="972"/>
      <c r="G3776" s="972"/>
      <c r="H3776" s="972"/>
      <c r="I3776" s="972"/>
      <c r="J3776" s="972"/>
      <c r="K3776" s="972"/>
      <c r="L3776" s="972"/>
      <c r="M3776" s="972"/>
    </row>
    <row r="3777" spans="5:13">
      <c r="E3777" s="972"/>
      <c r="F3777" s="972"/>
      <c r="G3777" s="972"/>
      <c r="H3777" s="972"/>
      <c r="I3777" s="972"/>
      <c r="J3777" s="972"/>
      <c r="K3777" s="972"/>
      <c r="L3777" s="972"/>
      <c r="M3777" s="972"/>
    </row>
    <row r="3778" spans="5:13">
      <c r="E3778" s="972"/>
      <c r="F3778" s="972"/>
      <c r="G3778" s="972"/>
      <c r="H3778" s="972"/>
      <c r="I3778" s="972"/>
      <c r="J3778" s="972"/>
      <c r="K3778" s="972"/>
      <c r="L3778" s="972"/>
      <c r="M3778" s="972"/>
    </row>
    <row r="3779" spans="5:13">
      <c r="E3779" s="972"/>
      <c r="F3779" s="972"/>
      <c r="G3779" s="972"/>
      <c r="H3779" s="972"/>
      <c r="I3779" s="972"/>
      <c r="J3779" s="972"/>
      <c r="K3779" s="972"/>
      <c r="L3779" s="972"/>
      <c r="M3779" s="972"/>
    </row>
    <row r="3780" spans="5:13">
      <c r="E3780" s="972"/>
      <c r="F3780" s="972"/>
      <c r="G3780" s="972"/>
      <c r="H3780" s="972"/>
      <c r="I3780" s="972"/>
      <c r="J3780" s="972"/>
      <c r="K3780" s="972"/>
      <c r="L3780" s="972"/>
      <c r="M3780" s="972"/>
    </row>
    <row r="3781" spans="5:13">
      <c r="E3781" s="972"/>
      <c r="F3781" s="972"/>
      <c r="G3781" s="972"/>
      <c r="H3781" s="972"/>
      <c r="I3781" s="972"/>
      <c r="J3781" s="972"/>
      <c r="K3781" s="972"/>
      <c r="L3781" s="972"/>
      <c r="M3781" s="972"/>
    </row>
    <row r="3782" spans="5:13">
      <c r="E3782" s="972"/>
      <c r="F3782" s="972"/>
      <c r="G3782" s="972"/>
      <c r="H3782" s="972"/>
      <c r="I3782" s="972"/>
      <c r="J3782" s="972"/>
      <c r="K3782" s="972"/>
      <c r="L3782" s="972"/>
      <c r="M3782" s="972"/>
    </row>
    <row r="3783" spans="5:13">
      <c r="E3783" s="972"/>
      <c r="F3783" s="972"/>
      <c r="G3783" s="972"/>
      <c r="H3783" s="972"/>
      <c r="I3783" s="972"/>
      <c r="J3783" s="972"/>
      <c r="K3783" s="972"/>
      <c r="L3783" s="972"/>
      <c r="M3783" s="972"/>
    </row>
    <row r="3784" spans="5:13">
      <c r="E3784" s="972"/>
      <c r="F3784" s="972"/>
      <c r="G3784" s="972"/>
      <c r="H3784" s="972"/>
      <c r="I3784" s="972"/>
      <c r="J3784" s="972"/>
      <c r="K3784" s="972"/>
      <c r="L3784" s="972"/>
      <c r="M3784" s="972"/>
    </row>
    <row r="3785" spans="5:13">
      <c r="E3785" s="972"/>
      <c r="F3785" s="972"/>
      <c r="G3785" s="972"/>
      <c r="H3785" s="972"/>
      <c r="I3785" s="972"/>
      <c r="J3785" s="972"/>
      <c r="K3785" s="972"/>
      <c r="L3785" s="972"/>
      <c r="M3785" s="972"/>
    </row>
    <row r="3786" spans="5:13">
      <c r="E3786" s="972"/>
      <c r="F3786" s="972"/>
      <c r="G3786" s="972"/>
      <c r="H3786" s="972"/>
      <c r="I3786" s="972"/>
      <c r="J3786" s="972"/>
      <c r="K3786" s="972"/>
      <c r="L3786" s="972"/>
      <c r="M3786" s="972"/>
    </row>
    <row r="3787" spans="5:13">
      <c r="E3787" s="972"/>
      <c r="F3787" s="972"/>
      <c r="G3787" s="972"/>
      <c r="H3787" s="972"/>
      <c r="I3787" s="972"/>
      <c r="J3787" s="972"/>
      <c r="K3787" s="972"/>
      <c r="L3787" s="972"/>
      <c r="M3787" s="972"/>
    </row>
    <row r="3788" spans="5:13">
      <c r="E3788" s="972"/>
      <c r="F3788" s="972"/>
      <c r="G3788" s="972"/>
      <c r="H3788" s="972"/>
      <c r="I3788" s="972"/>
      <c r="J3788" s="972"/>
      <c r="K3788" s="972"/>
      <c r="L3788" s="972"/>
      <c r="M3788" s="972"/>
    </row>
    <row r="3789" spans="5:13">
      <c r="E3789" s="972"/>
      <c r="F3789" s="972"/>
      <c r="G3789" s="972"/>
      <c r="H3789" s="972"/>
      <c r="I3789" s="972"/>
      <c r="J3789" s="972"/>
      <c r="K3789" s="972"/>
      <c r="L3789" s="972"/>
      <c r="M3789" s="972"/>
    </row>
    <row r="3790" spans="5:13">
      <c r="E3790" s="972"/>
      <c r="F3790" s="972"/>
      <c r="G3790" s="972"/>
      <c r="H3790" s="972"/>
      <c r="I3790" s="972"/>
      <c r="J3790" s="972"/>
      <c r="K3790" s="972"/>
      <c r="L3790" s="972"/>
      <c r="M3790" s="972"/>
    </row>
    <row r="3791" spans="5:13">
      <c r="E3791" s="972"/>
      <c r="F3791" s="972"/>
      <c r="G3791" s="972"/>
      <c r="H3791" s="972"/>
      <c r="I3791" s="972"/>
      <c r="J3791" s="972"/>
      <c r="K3791" s="972"/>
      <c r="L3791" s="972"/>
      <c r="M3791" s="972"/>
    </row>
    <row r="3792" spans="5:13">
      <c r="E3792" s="972"/>
      <c r="F3792" s="972"/>
      <c r="G3792" s="972"/>
      <c r="H3792" s="972"/>
      <c r="I3792" s="972"/>
      <c r="J3792" s="972"/>
      <c r="K3792" s="972"/>
      <c r="L3792" s="972"/>
      <c r="M3792" s="972"/>
    </row>
    <row r="3793" spans="5:13">
      <c r="E3793" s="972"/>
      <c r="F3793" s="972"/>
      <c r="G3793" s="972"/>
      <c r="H3793" s="972"/>
      <c r="I3793" s="972"/>
      <c r="J3793" s="972"/>
      <c r="K3793" s="972"/>
      <c r="L3793" s="972"/>
      <c r="M3793" s="972"/>
    </row>
    <row r="3794" spans="5:13">
      <c r="E3794" s="972"/>
      <c r="F3794" s="972"/>
      <c r="G3794" s="972"/>
      <c r="H3794" s="972"/>
      <c r="I3794" s="972"/>
      <c r="J3794" s="972"/>
      <c r="K3794" s="972"/>
      <c r="L3794" s="972"/>
      <c r="M3794" s="972"/>
    </row>
    <row r="3795" spans="5:13">
      <c r="E3795" s="972"/>
      <c r="F3795" s="972"/>
      <c r="G3795" s="972"/>
      <c r="H3795" s="972"/>
      <c r="I3795" s="972"/>
      <c r="J3795" s="972"/>
      <c r="K3795" s="972"/>
      <c r="L3795" s="972"/>
      <c r="M3795" s="972"/>
    </row>
    <row r="3796" spans="5:13">
      <c r="E3796" s="972"/>
      <c r="F3796" s="972"/>
      <c r="G3796" s="972"/>
      <c r="H3796" s="972"/>
      <c r="I3796" s="972"/>
      <c r="J3796" s="972"/>
      <c r="K3796" s="972"/>
      <c r="L3796" s="972"/>
      <c r="M3796" s="972"/>
    </row>
    <row r="3797" spans="5:13">
      <c r="E3797" s="972"/>
      <c r="F3797" s="972"/>
      <c r="G3797" s="972"/>
      <c r="H3797" s="972"/>
      <c r="I3797" s="972"/>
      <c r="J3797" s="972"/>
      <c r="K3797" s="972"/>
      <c r="L3797" s="972"/>
      <c r="M3797" s="972"/>
    </row>
    <row r="3798" spans="5:13">
      <c r="E3798" s="972"/>
      <c r="F3798" s="972"/>
      <c r="G3798" s="972"/>
      <c r="H3798" s="972"/>
      <c r="I3798" s="972"/>
      <c r="J3798" s="972"/>
      <c r="K3798" s="972"/>
      <c r="L3798" s="972"/>
      <c r="M3798" s="972"/>
    </row>
    <row r="3799" spans="5:13">
      <c r="E3799" s="972"/>
      <c r="F3799" s="972"/>
      <c r="G3799" s="972"/>
      <c r="H3799" s="972"/>
      <c r="I3799" s="972"/>
      <c r="J3799" s="972"/>
      <c r="K3799" s="972"/>
      <c r="L3799" s="972"/>
      <c r="M3799" s="972"/>
    </row>
    <row r="3800" spans="5:13">
      <c r="E3800" s="972"/>
      <c r="F3800" s="972"/>
      <c r="G3800" s="972"/>
      <c r="H3800" s="972"/>
      <c r="I3800" s="972"/>
      <c r="J3800" s="972"/>
      <c r="K3800" s="972"/>
      <c r="L3800" s="972"/>
      <c r="M3800" s="972"/>
    </row>
    <row r="3801" spans="5:13">
      <c r="E3801" s="972"/>
      <c r="F3801" s="972"/>
      <c r="G3801" s="972"/>
      <c r="H3801" s="972"/>
      <c r="I3801" s="972"/>
      <c r="J3801" s="972"/>
      <c r="K3801" s="972"/>
      <c r="L3801" s="972"/>
      <c r="M3801" s="972"/>
    </row>
    <row r="3802" spans="5:13">
      <c r="E3802" s="972"/>
      <c r="F3802" s="972"/>
      <c r="G3802" s="972"/>
      <c r="H3802" s="972"/>
      <c r="I3802" s="972"/>
      <c r="J3802" s="972"/>
      <c r="K3802" s="972"/>
      <c r="L3802" s="972"/>
      <c r="M3802" s="972"/>
    </row>
    <row r="3803" spans="5:13">
      <c r="E3803" s="972"/>
      <c r="F3803" s="972"/>
      <c r="G3803" s="972"/>
      <c r="H3803" s="972"/>
      <c r="I3803" s="972"/>
      <c r="J3803" s="972"/>
      <c r="K3803" s="972"/>
      <c r="L3803" s="972"/>
      <c r="M3803" s="972"/>
    </row>
    <row r="3804" spans="5:13">
      <c r="E3804" s="972"/>
      <c r="F3804" s="972"/>
      <c r="G3804" s="972"/>
      <c r="H3804" s="972"/>
      <c r="I3804" s="972"/>
      <c r="J3804" s="972"/>
      <c r="K3804" s="972"/>
      <c r="L3804" s="972"/>
      <c r="M3804" s="972"/>
    </row>
    <row r="3805" spans="5:13">
      <c r="E3805" s="972"/>
      <c r="F3805" s="972"/>
      <c r="G3805" s="972"/>
      <c r="H3805" s="972"/>
      <c r="I3805" s="972"/>
      <c r="J3805" s="972"/>
      <c r="K3805" s="972"/>
      <c r="L3805" s="972"/>
      <c r="M3805" s="972"/>
    </row>
    <row r="3806" spans="5:13">
      <c r="E3806" s="972"/>
      <c r="F3806" s="972"/>
      <c r="G3806" s="972"/>
      <c r="H3806" s="972"/>
      <c r="I3806" s="972"/>
      <c r="J3806" s="972"/>
      <c r="K3806" s="972"/>
      <c r="L3806" s="972"/>
      <c r="M3806" s="972"/>
    </row>
    <row r="3807" spans="5:13">
      <c r="E3807" s="972"/>
      <c r="F3807" s="972"/>
      <c r="G3807" s="972"/>
      <c r="H3807" s="972"/>
      <c r="I3807" s="972"/>
      <c r="J3807" s="972"/>
      <c r="K3807" s="972"/>
      <c r="L3807" s="972"/>
      <c r="M3807" s="972"/>
    </row>
    <row r="3808" spans="5:13">
      <c r="E3808" s="972"/>
      <c r="F3808" s="972"/>
      <c r="G3808" s="972"/>
      <c r="H3808" s="972"/>
      <c r="I3808" s="972"/>
      <c r="J3808" s="972"/>
      <c r="K3808" s="972"/>
      <c r="L3808" s="972"/>
      <c r="M3808" s="972"/>
    </row>
    <row r="3809" spans="5:13">
      <c r="E3809" s="972"/>
      <c r="F3809" s="972"/>
      <c r="G3809" s="972"/>
      <c r="H3809" s="972"/>
      <c r="I3809" s="972"/>
      <c r="J3809" s="972"/>
      <c r="K3809" s="972"/>
      <c r="L3809" s="972"/>
      <c r="M3809" s="972"/>
    </row>
    <row r="3810" spans="5:13">
      <c r="E3810" s="972"/>
      <c r="F3810" s="972"/>
      <c r="G3810" s="972"/>
      <c r="H3810" s="972"/>
      <c r="I3810" s="972"/>
      <c r="J3810" s="972"/>
      <c r="K3810" s="972"/>
      <c r="L3810" s="972"/>
      <c r="M3810" s="972"/>
    </row>
    <row r="3811" spans="5:13">
      <c r="E3811" s="972"/>
      <c r="F3811" s="972"/>
      <c r="G3811" s="972"/>
      <c r="H3811" s="972"/>
      <c r="I3811" s="972"/>
      <c r="J3811" s="972"/>
      <c r="K3811" s="972"/>
      <c r="L3811" s="972"/>
      <c r="M3811" s="972"/>
    </row>
    <row r="3812" spans="5:13">
      <c r="E3812" s="972"/>
      <c r="F3812" s="972"/>
      <c r="G3812" s="972"/>
      <c r="H3812" s="972"/>
      <c r="I3812" s="972"/>
      <c r="J3812" s="972"/>
      <c r="K3812" s="972"/>
      <c r="L3812" s="972"/>
      <c r="M3812" s="972"/>
    </row>
    <row r="3813" spans="5:13">
      <c r="E3813" s="972"/>
      <c r="F3813" s="972"/>
      <c r="G3813" s="972"/>
      <c r="H3813" s="972"/>
      <c r="I3813" s="972"/>
      <c r="J3813" s="972"/>
      <c r="K3813" s="972"/>
      <c r="L3813" s="972"/>
      <c r="M3813" s="972"/>
    </row>
    <row r="3814" spans="5:13">
      <c r="E3814" s="972"/>
      <c r="F3814" s="972"/>
      <c r="G3814" s="972"/>
      <c r="H3814" s="972"/>
      <c r="I3814" s="972"/>
      <c r="J3814" s="972"/>
      <c r="K3814" s="972"/>
      <c r="L3814" s="972"/>
      <c r="M3814" s="972"/>
    </row>
    <row r="3815" spans="5:13">
      <c r="E3815" s="972"/>
      <c r="F3815" s="972"/>
      <c r="G3815" s="972"/>
      <c r="H3815" s="972"/>
      <c r="I3815" s="972"/>
      <c r="J3815" s="972"/>
      <c r="K3815" s="972"/>
      <c r="L3815" s="972"/>
      <c r="M3815" s="972"/>
    </row>
    <row r="3816" spans="5:13">
      <c r="E3816" s="972"/>
      <c r="F3816" s="972"/>
      <c r="G3816" s="972"/>
      <c r="H3816" s="972"/>
      <c r="I3816" s="972"/>
      <c r="J3816" s="972"/>
      <c r="K3816" s="972"/>
      <c r="L3816" s="972"/>
      <c r="M3816" s="972"/>
    </row>
    <row r="3817" spans="5:13">
      <c r="E3817" s="972"/>
      <c r="F3817" s="972"/>
      <c r="G3817" s="972"/>
      <c r="H3817" s="972"/>
      <c r="I3817" s="972"/>
      <c r="J3817" s="972"/>
      <c r="K3817" s="972"/>
      <c r="L3817" s="972"/>
      <c r="M3817" s="972"/>
    </row>
    <row r="3818" spans="5:13">
      <c r="E3818" s="972"/>
      <c r="F3818" s="972"/>
      <c r="G3818" s="972"/>
      <c r="H3818" s="972"/>
      <c r="I3818" s="972"/>
      <c r="J3818" s="972"/>
      <c r="K3818" s="972"/>
      <c r="L3818" s="972"/>
      <c r="M3818" s="972"/>
    </row>
    <row r="3819" spans="5:13">
      <c r="E3819" s="972"/>
      <c r="F3819" s="972"/>
      <c r="G3819" s="972"/>
      <c r="H3819" s="972"/>
      <c r="I3819" s="972"/>
      <c r="J3819" s="972"/>
      <c r="K3819" s="972"/>
      <c r="L3819" s="972"/>
      <c r="M3819" s="972"/>
    </row>
    <row r="3820" spans="5:13">
      <c r="E3820" s="972"/>
      <c r="F3820" s="972"/>
      <c r="G3820" s="972"/>
      <c r="H3820" s="972"/>
      <c r="I3820" s="972"/>
      <c r="J3820" s="972"/>
      <c r="K3820" s="972"/>
      <c r="L3820" s="972"/>
      <c r="M3820" s="972"/>
    </row>
    <row r="3821" spans="5:13">
      <c r="E3821" s="972"/>
      <c r="F3821" s="972"/>
      <c r="G3821" s="972"/>
      <c r="H3821" s="972"/>
      <c r="I3821" s="972"/>
      <c r="J3821" s="972"/>
      <c r="K3821" s="972"/>
      <c r="L3821" s="972"/>
      <c r="M3821" s="972"/>
    </row>
    <row r="3822" spans="5:13">
      <c r="E3822" s="972"/>
      <c r="F3822" s="972"/>
      <c r="G3822" s="972"/>
      <c r="H3822" s="972"/>
      <c r="I3822" s="972"/>
      <c r="J3822" s="972"/>
      <c r="K3822" s="972"/>
      <c r="L3822" s="972"/>
      <c r="M3822" s="972"/>
    </row>
    <row r="3823" spans="5:13">
      <c r="E3823" s="972"/>
      <c r="F3823" s="972"/>
      <c r="G3823" s="972"/>
      <c r="H3823" s="972"/>
      <c r="I3823" s="972"/>
      <c r="J3823" s="972"/>
      <c r="K3823" s="972"/>
      <c r="L3823" s="972"/>
      <c r="M3823" s="972"/>
    </row>
    <row r="3824" spans="5:13">
      <c r="E3824" s="972"/>
      <c r="F3824" s="972"/>
      <c r="G3824" s="972"/>
      <c r="H3824" s="972"/>
      <c r="I3824" s="972"/>
      <c r="J3824" s="972"/>
      <c r="K3824" s="972"/>
      <c r="L3824" s="972"/>
      <c r="M3824" s="972"/>
    </row>
    <row r="3825" spans="5:13">
      <c r="E3825" s="972"/>
      <c r="F3825" s="972"/>
      <c r="G3825" s="972"/>
      <c r="H3825" s="972"/>
      <c r="I3825" s="972"/>
      <c r="J3825" s="972"/>
      <c r="K3825" s="972"/>
      <c r="L3825" s="972"/>
      <c r="M3825" s="972"/>
    </row>
    <row r="3826" spans="5:13">
      <c r="E3826" s="972"/>
      <c r="F3826" s="972"/>
      <c r="G3826" s="972"/>
      <c r="H3826" s="972"/>
      <c r="I3826" s="972"/>
      <c r="J3826" s="972"/>
      <c r="K3826" s="972"/>
      <c r="L3826" s="972"/>
      <c r="M3826" s="972"/>
    </row>
    <row r="3827" spans="5:13">
      <c r="E3827" s="972"/>
      <c r="F3827" s="972"/>
      <c r="G3827" s="972"/>
      <c r="H3827" s="972"/>
      <c r="I3827" s="972"/>
      <c r="J3827" s="972"/>
      <c r="K3827" s="972"/>
      <c r="L3827" s="972"/>
      <c r="M3827" s="972"/>
    </row>
    <row r="3828" spans="5:13">
      <c r="E3828" s="972"/>
      <c r="F3828" s="972"/>
      <c r="G3828" s="972"/>
      <c r="H3828" s="972"/>
      <c r="I3828" s="972"/>
      <c r="J3828" s="972"/>
      <c r="K3828" s="972"/>
      <c r="L3828" s="972"/>
      <c r="M3828" s="972"/>
    </row>
    <row r="3829" spans="5:13">
      <c r="E3829" s="972"/>
      <c r="F3829" s="972"/>
      <c r="G3829" s="972"/>
      <c r="H3829" s="972"/>
      <c r="I3829" s="972"/>
      <c r="J3829" s="972"/>
      <c r="K3829" s="972"/>
      <c r="L3829" s="972"/>
      <c r="M3829" s="972"/>
    </row>
    <row r="3830" spans="5:13">
      <c r="E3830" s="972"/>
      <c r="F3830" s="972"/>
      <c r="G3830" s="972"/>
      <c r="H3830" s="972"/>
      <c r="I3830" s="972"/>
      <c r="J3830" s="972"/>
      <c r="K3830" s="972"/>
      <c r="L3830" s="972"/>
      <c r="M3830" s="972"/>
    </row>
    <row r="3831" spans="5:13">
      <c r="E3831" s="972"/>
      <c r="F3831" s="972"/>
      <c r="G3831" s="972"/>
      <c r="H3831" s="972"/>
      <c r="I3831" s="972"/>
      <c r="J3831" s="972"/>
      <c r="K3831" s="972"/>
      <c r="L3831" s="972"/>
      <c r="M3831" s="972"/>
    </row>
    <row r="3832" spans="5:13">
      <c r="E3832" s="972"/>
      <c r="F3832" s="972"/>
      <c r="G3832" s="972"/>
      <c r="H3832" s="972"/>
      <c r="I3832" s="972"/>
      <c r="J3832" s="972"/>
      <c r="K3832" s="972"/>
      <c r="L3832" s="972"/>
      <c r="M3832" s="972"/>
    </row>
    <row r="3833" spans="5:13">
      <c r="E3833" s="972"/>
      <c r="F3833" s="972"/>
      <c r="G3833" s="972"/>
      <c r="H3833" s="972"/>
      <c r="I3833" s="972"/>
      <c r="J3833" s="972"/>
      <c r="K3833" s="972"/>
      <c r="L3833" s="972"/>
      <c r="M3833" s="972"/>
    </row>
    <row r="3834" spans="5:13">
      <c r="E3834" s="972"/>
      <c r="F3834" s="972"/>
      <c r="G3834" s="972"/>
      <c r="H3834" s="972"/>
      <c r="I3834" s="972"/>
      <c r="J3834" s="972"/>
      <c r="K3834" s="972"/>
      <c r="L3834" s="972"/>
      <c r="M3834" s="972"/>
    </row>
    <row r="3835" spans="5:13">
      <c r="E3835" s="972"/>
      <c r="F3835" s="972"/>
      <c r="G3835" s="972"/>
      <c r="H3835" s="972"/>
      <c r="I3835" s="972"/>
      <c r="J3835" s="972"/>
      <c r="K3835" s="972"/>
      <c r="L3835" s="972"/>
      <c r="M3835" s="972"/>
    </row>
    <row r="3836" spans="5:13">
      <c r="E3836" s="972"/>
      <c r="F3836" s="972"/>
      <c r="G3836" s="972"/>
      <c r="H3836" s="972"/>
      <c r="I3836" s="972"/>
      <c r="J3836" s="972"/>
      <c r="K3836" s="972"/>
      <c r="L3836" s="972"/>
      <c r="M3836" s="972"/>
    </row>
    <row r="3837" spans="5:13">
      <c r="E3837" s="972"/>
      <c r="F3837" s="972"/>
      <c r="G3837" s="972"/>
      <c r="H3837" s="972"/>
      <c r="I3837" s="972"/>
      <c r="J3837" s="972"/>
      <c r="K3837" s="972"/>
      <c r="L3837" s="972"/>
      <c r="M3837" s="972"/>
    </row>
    <row r="3838" spans="5:13">
      <c r="E3838" s="972"/>
      <c r="F3838" s="972"/>
      <c r="G3838" s="972"/>
      <c r="H3838" s="972"/>
      <c r="I3838" s="972"/>
      <c r="J3838" s="972"/>
      <c r="K3838" s="972"/>
      <c r="L3838" s="972"/>
      <c r="M3838" s="972"/>
    </row>
    <row r="3839" spans="5:13">
      <c r="E3839" s="972"/>
      <c r="F3839" s="972"/>
      <c r="G3839" s="972"/>
      <c r="H3839" s="972"/>
      <c r="I3839" s="972"/>
      <c r="J3839" s="972"/>
      <c r="K3839" s="972"/>
      <c r="L3839" s="972"/>
      <c r="M3839" s="972"/>
    </row>
    <row r="3840" spans="5:13">
      <c r="E3840" s="972"/>
      <c r="F3840" s="972"/>
      <c r="G3840" s="972"/>
      <c r="H3840" s="972"/>
      <c r="I3840" s="972"/>
      <c r="J3840" s="972"/>
      <c r="K3840" s="972"/>
      <c r="L3840" s="972"/>
      <c r="M3840" s="972"/>
    </row>
    <row r="3841" spans="5:13">
      <c r="E3841" s="972"/>
      <c r="F3841" s="972"/>
      <c r="G3841" s="972"/>
      <c r="H3841" s="972"/>
      <c r="I3841" s="972"/>
      <c r="J3841" s="972"/>
      <c r="K3841" s="972"/>
      <c r="L3841" s="972"/>
      <c r="M3841" s="972"/>
    </row>
    <row r="3842" spans="5:13">
      <c r="E3842" s="972"/>
      <c r="F3842" s="972"/>
      <c r="G3842" s="972"/>
      <c r="H3842" s="972"/>
      <c r="I3842" s="972"/>
      <c r="J3842" s="972"/>
      <c r="K3842" s="972"/>
      <c r="L3842" s="972"/>
      <c r="M3842" s="972"/>
    </row>
    <row r="3843" spans="5:13">
      <c r="E3843" s="972"/>
      <c r="F3843" s="972"/>
      <c r="G3843" s="972"/>
      <c r="H3843" s="972"/>
      <c r="I3843" s="972"/>
      <c r="J3843" s="972"/>
      <c r="K3843" s="972"/>
      <c r="L3843" s="972"/>
      <c r="M3843" s="972"/>
    </row>
    <row r="3844" spans="5:13">
      <c r="E3844" s="972"/>
      <c r="F3844" s="972"/>
      <c r="G3844" s="972"/>
      <c r="H3844" s="972"/>
      <c r="I3844" s="972"/>
      <c r="J3844" s="972"/>
      <c r="K3844" s="972"/>
      <c r="L3844" s="972"/>
      <c r="M3844" s="972"/>
    </row>
    <row r="3845" spans="5:13">
      <c r="E3845" s="972"/>
      <c r="F3845" s="972"/>
      <c r="G3845" s="972"/>
      <c r="H3845" s="972"/>
      <c r="I3845" s="972"/>
      <c r="J3845" s="972"/>
      <c r="K3845" s="972"/>
      <c r="L3845" s="972"/>
      <c r="M3845" s="972"/>
    </row>
    <row r="3846" spans="5:13">
      <c r="E3846" s="972"/>
      <c r="F3846" s="972"/>
      <c r="G3846" s="972"/>
      <c r="H3846" s="972"/>
      <c r="I3846" s="972"/>
      <c r="J3846" s="972"/>
      <c r="K3846" s="972"/>
      <c r="L3846" s="972"/>
      <c r="M3846" s="972"/>
    </row>
    <row r="3847" spans="5:13">
      <c r="E3847" s="972"/>
      <c r="F3847" s="972"/>
      <c r="G3847" s="972"/>
      <c r="H3847" s="972"/>
      <c r="I3847" s="972"/>
      <c r="J3847" s="972"/>
      <c r="K3847" s="972"/>
      <c r="L3847" s="972"/>
      <c r="M3847" s="972"/>
    </row>
    <row r="3848" spans="5:13">
      <c r="E3848" s="972"/>
      <c r="F3848" s="972"/>
      <c r="G3848" s="972"/>
      <c r="H3848" s="972"/>
      <c r="I3848" s="972"/>
      <c r="J3848" s="972"/>
      <c r="K3848" s="972"/>
      <c r="L3848" s="972"/>
      <c r="M3848" s="972"/>
    </row>
    <row r="3849" spans="5:13">
      <c r="E3849" s="972"/>
      <c r="F3849" s="972"/>
      <c r="G3849" s="972"/>
      <c r="H3849" s="972"/>
      <c r="I3849" s="972"/>
      <c r="J3849" s="972"/>
      <c r="K3849" s="972"/>
      <c r="L3849" s="972"/>
      <c r="M3849" s="972"/>
    </row>
    <row r="3850" spans="5:13">
      <c r="E3850" s="972"/>
      <c r="F3850" s="972"/>
      <c r="G3850" s="972"/>
      <c r="H3850" s="972"/>
      <c r="I3850" s="972"/>
      <c r="J3850" s="972"/>
      <c r="K3850" s="972"/>
      <c r="L3850" s="972"/>
      <c r="M3850" s="972"/>
    </row>
    <row r="3851" spans="5:13">
      <c r="E3851" s="972"/>
      <c r="F3851" s="972"/>
      <c r="G3851" s="972"/>
      <c r="H3851" s="972"/>
      <c r="I3851" s="972"/>
      <c r="J3851" s="972"/>
      <c r="K3851" s="972"/>
      <c r="L3851" s="972"/>
      <c r="M3851" s="972"/>
    </row>
    <row r="3852" spans="5:13">
      <c r="E3852" s="972"/>
      <c r="F3852" s="972"/>
      <c r="G3852" s="972"/>
      <c r="H3852" s="972"/>
      <c r="I3852" s="972"/>
      <c r="J3852" s="972"/>
      <c r="K3852" s="972"/>
      <c r="L3852" s="972"/>
      <c r="M3852" s="972"/>
    </row>
    <row r="3853" spans="5:13">
      <c r="E3853" s="972"/>
      <c r="F3853" s="972"/>
      <c r="G3853" s="972"/>
      <c r="H3853" s="972"/>
      <c r="I3853" s="972"/>
      <c r="J3853" s="972"/>
      <c r="K3853" s="972"/>
      <c r="L3853" s="972"/>
      <c r="M3853" s="972"/>
    </row>
    <row r="3854" spans="5:13">
      <c r="E3854" s="972"/>
      <c r="F3854" s="972"/>
      <c r="G3854" s="972"/>
      <c r="H3854" s="972"/>
      <c r="I3854" s="972"/>
      <c r="J3854" s="972"/>
      <c r="K3854" s="972"/>
      <c r="L3854" s="972"/>
      <c r="M3854" s="972"/>
    </row>
    <row r="3855" spans="5:13">
      <c r="E3855" s="972"/>
      <c r="F3855" s="972"/>
      <c r="G3855" s="972"/>
      <c r="H3855" s="972"/>
      <c r="I3855" s="972"/>
      <c r="J3855" s="972"/>
      <c r="K3855" s="972"/>
      <c r="L3855" s="972"/>
      <c r="M3855" s="972"/>
    </row>
    <row r="3856" spans="5:13">
      <c r="E3856" s="972"/>
      <c r="F3856" s="972"/>
      <c r="G3856" s="972"/>
      <c r="H3856" s="972"/>
      <c r="I3856" s="972"/>
      <c r="J3856" s="972"/>
      <c r="K3856" s="972"/>
      <c r="L3856" s="972"/>
      <c r="M3856" s="972"/>
    </row>
    <row r="3857" spans="5:13">
      <c r="E3857" s="972"/>
      <c r="F3857" s="972"/>
      <c r="G3857" s="972"/>
      <c r="H3857" s="972"/>
      <c r="I3857" s="972"/>
      <c r="J3857" s="972"/>
      <c r="K3857" s="972"/>
      <c r="L3857" s="972"/>
      <c r="M3857" s="972"/>
    </row>
    <row r="3858" spans="5:13">
      <c r="E3858" s="972"/>
      <c r="F3858" s="972"/>
      <c r="G3858" s="972"/>
      <c r="H3858" s="972"/>
      <c r="I3858" s="972"/>
      <c r="J3858" s="972"/>
      <c r="K3858" s="972"/>
      <c r="L3858" s="972"/>
      <c r="M3858" s="972"/>
    </row>
    <row r="3859" spans="5:13">
      <c r="E3859" s="972"/>
      <c r="F3859" s="972"/>
      <c r="G3859" s="972"/>
      <c r="H3859" s="972"/>
      <c r="I3859" s="972"/>
      <c r="J3859" s="972"/>
      <c r="K3859" s="972"/>
      <c r="L3859" s="972"/>
      <c r="M3859" s="972"/>
    </row>
    <row r="3860" spans="5:13">
      <c r="E3860" s="972"/>
      <c r="F3860" s="972"/>
      <c r="G3860" s="972"/>
      <c r="H3860" s="972"/>
      <c r="I3860" s="972"/>
      <c r="J3860" s="972"/>
      <c r="K3860" s="972"/>
      <c r="L3860" s="972"/>
      <c r="M3860" s="972"/>
    </row>
    <row r="3861" spans="5:13">
      <c r="E3861" s="972"/>
      <c r="F3861" s="972"/>
      <c r="G3861" s="972"/>
      <c r="H3861" s="972"/>
      <c r="I3861" s="972"/>
      <c r="J3861" s="972"/>
      <c r="K3861" s="972"/>
      <c r="L3861" s="972"/>
      <c r="M3861" s="972"/>
    </row>
    <row r="3862" spans="5:13">
      <c r="E3862" s="972"/>
      <c r="F3862" s="972"/>
      <c r="G3862" s="972"/>
      <c r="H3862" s="972"/>
      <c r="I3862" s="972"/>
      <c r="J3862" s="972"/>
      <c r="K3862" s="972"/>
      <c r="L3862" s="972"/>
      <c r="M3862" s="972"/>
    </row>
    <row r="3863" spans="5:13">
      <c r="E3863" s="972"/>
      <c r="F3863" s="972"/>
      <c r="G3863" s="972"/>
      <c r="H3863" s="972"/>
      <c r="I3863" s="972"/>
      <c r="J3863" s="972"/>
      <c r="K3863" s="972"/>
      <c r="L3863" s="972"/>
      <c r="M3863" s="972"/>
    </row>
    <row r="3864" spans="5:13">
      <c r="E3864" s="972"/>
      <c r="F3864" s="972"/>
      <c r="G3864" s="972"/>
      <c r="H3864" s="972"/>
      <c r="I3864" s="972"/>
      <c r="J3864" s="972"/>
      <c r="K3864" s="972"/>
      <c r="L3864" s="972"/>
      <c r="M3864" s="972"/>
    </row>
    <row r="3865" spans="5:13">
      <c r="E3865" s="972"/>
      <c r="F3865" s="972"/>
      <c r="G3865" s="972"/>
      <c r="H3865" s="972"/>
      <c r="I3865" s="972"/>
      <c r="J3865" s="972"/>
      <c r="K3865" s="972"/>
      <c r="L3865" s="972"/>
      <c r="M3865" s="972"/>
    </row>
    <row r="3866" spans="5:13">
      <c r="E3866" s="972"/>
      <c r="F3866" s="972"/>
      <c r="G3866" s="972"/>
      <c r="H3866" s="972"/>
      <c r="I3866" s="972"/>
      <c r="J3866" s="972"/>
      <c r="K3866" s="972"/>
      <c r="L3866" s="972"/>
      <c r="M3866" s="972"/>
    </row>
    <row r="3867" spans="5:13">
      <c r="E3867" s="972"/>
      <c r="F3867" s="972"/>
      <c r="G3867" s="972"/>
      <c r="H3867" s="972"/>
      <c r="I3867" s="972"/>
      <c r="J3867" s="972"/>
      <c r="K3867" s="972"/>
      <c r="L3867" s="972"/>
      <c r="M3867" s="972"/>
    </row>
    <row r="3868" spans="5:13">
      <c r="E3868" s="972"/>
      <c r="F3868" s="972"/>
      <c r="G3868" s="972"/>
      <c r="H3868" s="972"/>
      <c r="I3868" s="972"/>
      <c r="J3868" s="972"/>
      <c r="K3868" s="972"/>
      <c r="L3868" s="972"/>
      <c r="M3868" s="972"/>
    </row>
    <row r="3869" spans="5:13">
      <c r="E3869" s="972"/>
      <c r="F3869" s="972"/>
      <c r="G3869" s="972"/>
      <c r="H3869" s="972"/>
      <c r="I3869" s="972"/>
      <c r="J3869" s="972"/>
      <c r="K3869" s="972"/>
      <c r="L3869" s="972"/>
      <c r="M3869" s="972"/>
    </row>
    <row r="3870" spans="5:13">
      <c r="E3870" s="972"/>
      <c r="F3870" s="972"/>
      <c r="G3870" s="972"/>
      <c r="H3870" s="972"/>
      <c r="I3870" s="972"/>
      <c r="J3870" s="972"/>
      <c r="K3870" s="972"/>
      <c r="L3870" s="972"/>
      <c r="M3870" s="972"/>
    </row>
    <row r="3871" spans="5:13">
      <c r="E3871" s="972"/>
      <c r="F3871" s="972"/>
      <c r="G3871" s="972"/>
      <c r="H3871" s="972"/>
      <c r="I3871" s="972"/>
      <c r="J3871" s="972"/>
      <c r="K3871" s="972"/>
      <c r="L3871" s="972"/>
      <c r="M3871" s="972"/>
    </row>
    <row r="3872" spans="5:13">
      <c r="E3872" s="972"/>
      <c r="F3872" s="972"/>
      <c r="G3872" s="972"/>
      <c r="H3872" s="972"/>
      <c r="I3872" s="972"/>
      <c r="J3872" s="972"/>
      <c r="K3872" s="972"/>
      <c r="L3872" s="972"/>
      <c r="M3872" s="972"/>
    </row>
    <row r="3873" spans="5:13">
      <c r="E3873" s="972"/>
      <c r="F3873" s="972"/>
      <c r="G3873" s="972"/>
      <c r="H3873" s="972"/>
      <c r="I3873" s="972"/>
      <c r="J3873" s="972"/>
      <c r="K3873" s="972"/>
      <c r="L3873" s="972"/>
      <c r="M3873" s="972"/>
    </row>
    <row r="3874" spans="5:13">
      <c r="E3874" s="972"/>
      <c r="F3874" s="972"/>
      <c r="G3874" s="972"/>
      <c r="H3874" s="972"/>
      <c r="I3874" s="972"/>
      <c r="J3874" s="972"/>
      <c r="K3874" s="972"/>
      <c r="L3874" s="972"/>
      <c r="M3874" s="972"/>
    </row>
    <row r="3875" spans="5:13">
      <c r="E3875" s="972"/>
      <c r="F3875" s="972"/>
      <c r="G3875" s="972"/>
      <c r="H3875" s="972"/>
      <c r="I3875" s="972"/>
      <c r="J3875" s="972"/>
      <c r="K3875" s="972"/>
      <c r="L3875" s="972"/>
      <c r="M3875" s="972"/>
    </row>
    <row r="3876" spans="5:13">
      <c r="E3876" s="972"/>
      <c r="F3876" s="972"/>
      <c r="G3876" s="972"/>
      <c r="H3876" s="972"/>
      <c r="I3876" s="972"/>
      <c r="J3876" s="972"/>
      <c r="K3876" s="972"/>
      <c r="L3876" s="972"/>
      <c r="M3876" s="972"/>
    </row>
    <row r="3877" spans="5:13">
      <c r="E3877" s="972"/>
      <c r="F3877" s="972"/>
      <c r="G3877" s="972"/>
      <c r="H3877" s="972"/>
      <c r="I3877" s="972"/>
      <c r="J3877" s="972"/>
      <c r="K3877" s="972"/>
      <c r="L3877" s="972"/>
      <c r="M3877" s="972"/>
    </row>
    <row r="3878" spans="5:13">
      <c r="E3878" s="972"/>
      <c r="F3878" s="972"/>
      <c r="G3878" s="972"/>
      <c r="H3878" s="972"/>
      <c r="I3878" s="972"/>
      <c r="J3878" s="972"/>
      <c r="K3878" s="972"/>
      <c r="L3878" s="972"/>
      <c r="M3878" s="972"/>
    </row>
    <row r="3879" spans="5:13">
      <c r="E3879" s="972"/>
      <c r="F3879" s="972"/>
      <c r="G3879" s="972"/>
      <c r="H3879" s="972"/>
      <c r="I3879" s="972"/>
      <c r="J3879" s="972"/>
      <c r="K3879" s="972"/>
      <c r="L3879" s="972"/>
      <c r="M3879" s="972"/>
    </row>
    <row r="3880" spans="5:13">
      <c r="E3880" s="972"/>
      <c r="F3880" s="972"/>
      <c r="G3880" s="972"/>
      <c r="H3880" s="972"/>
      <c r="I3880" s="972"/>
      <c r="J3880" s="972"/>
      <c r="K3880" s="972"/>
      <c r="L3880" s="972"/>
      <c r="M3880" s="972"/>
    </row>
    <row r="3881" spans="5:13">
      <c r="E3881" s="972"/>
      <c r="F3881" s="972"/>
      <c r="G3881" s="972"/>
      <c r="H3881" s="972"/>
      <c r="I3881" s="972"/>
      <c r="J3881" s="972"/>
      <c r="K3881" s="972"/>
      <c r="L3881" s="972"/>
      <c r="M3881" s="972"/>
    </row>
    <row r="3882" spans="5:13">
      <c r="E3882" s="972"/>
      <c r="F3882" s="972"/>
      <c r="G3882" s="972"/>
      <c r="H3882" s="972"/>
      <c r="I3882" s="972"/>
      <c r="J3882" s="972"/>
      <c r="K3882" s="972"/>
      <c r="L3882" s="972"/>
      <c r="M3882" s="972"/>
    </row>
    <row r="3883" spans="5:13">
      <c r="E3883" s="972"/>
      <c r="F3883" s="972"/>
      <c r="G3883" s="972"/>
      <c r="H3883" s="972"/>
      <c r="I3883" s="972"/>
      <c r="J3883" s="972"/>
      <c r="K3883" s="972"/>
      <c r="L3883" s="972"/>
      <c r="M3883" s="972"/>
    </row>
    <row r="3884" spans="5:13">
      <c r="E3884" s="972"/>
      <c r="F3884" s="972"/>
      <c r="G3884" s="972"/>
      <c r="H3884" s="972"/>
      <c r="I3884" s="972"/>
      <c r="J3884" s="972"/>
      <c r="K3884" s="972"/>
      <c r="L3884" s="972"/>
      <c r="M3884" s="972"/>
    </row>
    <row r="3885" spans="5:13">
      <c r="E3885" s="972"/>
      <c r="F3885" s="972"/>
      <c r="G3885" s="972"/>
      <c r="H3885" s="972"/>
      <c r="I3885" s="972"/>
      <c r="J3885" s="972"/>
      <c r="K3885" s="972"/>
      <c r="L3885" s="972"/>
      <c r="M3885" s="972"/>
    </row>
    <row r="3886" spans="5:13">
      <c r="E3886" s="972"/>
      <c r="F3886" s="972"/>
      <c r="G3886" s="972"/>
      <c r="H3886" s="972"/>
      <c r="I3886" s="972"/>
      <c r="J3886" s="972"/>
      <c r="K3886" s="972"/>
      <c r="L3886" s="972"/>
      <c r="M3886" s="972"/>
    </row>
    <row r="3887" spans="5:13">
      <c r="E3887" s="972"/>
      <c r="F3887" s="972"/>
      <c r="G3887" s="972"/>
      <c r="H3887" s="972"/>
      <c r="I3887" s="972"/>
      <c r="J3887" s="972"/>
      <c r="K3887" s="972"/>
      <c r="L3887" s="972"/>
      <c r="M3887" s="972"/>
    </row>
    <row r="3888" spans="5:13">
      <c r="E3888" s="972"/>
      <c r="F3888" s="972"/>
      <c r="G3888" s="972"/>
      <c r="H3888" s="972"/>
      <c r="I3888" s="972"/>
      <c r="J3888" s="972"/>
      <c r="K3888" s="972"/>
      <c r="L3888" s="972"/>
      <c r="M3888" s="972"/>
    </row>
    <row r="3889" spans="5:13">
      <c r="E3889" s="972"/>
      <c r="F3889" s="972"/>
      <c r="G3889" s="972"/>
      <c r="H3889" s="972"/>
      <c r="I3889" s="972"/>
      <c r="J3889" s="972"/>
      <c r="K3889" s="972"/>
      <c r="L3889" s="972"/>
      <c r="M3889" s="972"/>
    </row>
    <row r="3890" spans="5:13">
      <c r="E3890" s="972"/>
      <c r="F3890" s="972"/>
      <c r="G3890" s="972"/>
      <c r="H3890" s="972"/>
      <c r="I3890" s="972"/>
      <c r="J3890" s="972"/>
      <c r="K3890" s="972"/>
      <c r="L3890" s="972"/>
      <c r="M3890" s="972"/>
    </row>
    <row r="3891" spans="5:13">
      <c r="E3891" s="972"/>
      <c r="F3891" s="972"/>
      <c r="G3891" s="972"/>
      <c r="H3891" s="972"/>
      <c r="I3891" s="972"/>
      <c r="J3891" s="972"/>
      <c r="K3891" s="972"/>
      <c r="L3891" s="972"/>
      <c r="M3891" s="972"/>
    </row>
    <row r="3892" spans="5:13">
      <c r="E3892" s="972"/>
      <c r="F3892" s="972"/>
      <c r="G3892" s="972"/>
      <c r="H3892" s="972"/>
      <c r="I3892" s="972"/>
      <c r="J3892" s="972"/>
      <c r="K3892" s="972"/>
      <c r="L3892" s="972"/>
      <c r="M3892" s="972"/>
    </row>
    <row r="3893" spans="5:13">
      <c r="E3893" s="972"/>
      <c r="F3893" s="972"/>
      <c r="G3893" s="972"/>
      <c r="H3893" s="972"/>
      <c r="I3893" s="972"/>
      <c r="J3893" s="972"/>
      <c r="K3893" s="972"/>
      <c r="L3893" s="972"/>
      <c r="M3893" s="972"/>
    </row>
    <row r="3894" spans="5:13">
      <c r="E3894" s="972"/>
      <c r="F3894" s="972"/>
      <c r="G3894" s="972"/>
      <c r="H3894" s="972"/>
      <c r="I3894" s="972"/>
      <c r="J3894" s="972"/>
      <c r="K3894" s="972"/>
      <c r="L3894" s="972"/>
      <c r="M3894" s="972"/>
    </row>
    <row r="3895" spans="5:13">
      <c r="E3895" s="972"/>
      <c r="F3895" s="972"/>
      <c r="G3895" s="972"/>
      <c r="H3895" s="972"/>
      <c r="I3895" s="972"/>
      <c r="J3895" s="972"/>
      <c r="K3895" s="972"/>
      <c r="L3895" s="972"/>
      <c r="M3895" s="972"/>
    </row>
    <row r="3896" spans="5:13">
      <c r="E3896" s="972"/>
      <c r="F3896" s="972"/>
      <c r="G3896" s="972"/>
      <c r="H3896" s="972"/>
      <c r="I3896" s="972"/>
      <c r="J3896" s="972"/>
      <c r="K3896" s="972"/>
      <c r="L3896" s="972"/>
      <c r="M3896" s="972"/>
    </row>
    <row r="3897" spans="5:13">
      <c r="E3897" s="972"/>
      <c r="F3897" s="972"/>
      <c r="G3897" s="972"/>
      <c r="H3897" s="972"/>
      <c r="I3897" s="972"/>
      <c r="J3897" s="972"/>
      <c r="K3897" s="972"/>
      <c r="L3897" s="972"/>
      <c r="M3897" s="972"/>
    </row>
    <row r="3898" spans="5:13">
      <c r="E3898" s="972"/>
      <c r="F3898" s="972"/>
      <c r="G3898" s="972"/>
      <c r="H3898" s="972"/>
      <c r="I3898" s="972"/>
      <c r="J3898" s="972"/>
      <c r="K3898" s="972"/>
      <c r="L3898" s="972"/>
      <c r="M3898" s="972"/>
    </row>
    <row r="3899" spans="5:13">
      <c r="E3899" s="972"/>
      <c r="F3899" s="972"/>
      <c r="G3899" s="972"/>
      <c r="H3899" s="972"/>
      <c r="I3899" s="972"/>
      <c r="J3899" s="972"/>
      <c r="K3899" s="972"/>
      <c r="L3899" s="972"/>
      <c r="M3899" s="972"/>
    </row>
    <row r="3900" spans="5:13">
      <c r="E3900" s="972"/>
      <c r="F3900" s="972"/>
      <c r="G3900" s="972"/>
      <c r="H3900" s="972"/>
      <c r="I3900" s="972"/>
      <c r="J3900" s="972"/>
      <c r="K3900" s="972"/>
      <c r="L3900" s="972"/>
      <c r="M3900" s="972"/>
    </row>
    <row r="3901" spans="5:13">
      <c r="E3901" s="972"/>
      <c r="F3901" s="972"/>
      <c r="G3901" s="972"/>
      <c r="H3901" s="972"/>
      <c r="I3901" s="972"/>
      <c r="J3901" s="972"/>
      <c r="K3901" s="972"/>
      <c r="L3901" s="972"/>
      <c r="M3901" s="972"/>
    </row>
    <row r="3902" spans="5:13">
      <c r="E3902" s="972"/>
      <c r="F3902" s="972"/>
      <c r="G3902" s="972"/>
      <c r="H3902" s="972"/>
      <c r="I3902" s="972"/>
      <c r="J3902" s="972"/>
      <c r="K3902" s="972"/>
      <c r="L3902" s="972"/>
      <c r="M3902" s="972"/>
    </row>
    <row r="3903" spans="5:13">
      <c r="E3903" s="972"/>
      <c r="F3903" s="972"/>
      <c r="G3903" s="972"/>
      <c r="H3903" s="972"/>
      <c r="I3903" s="972"/>
      <c r="J3903" s="972"/>
      <c r="K3903" s="972"/>
      <c r="L3903" s="972"/>
      <c r="M3903" s="972"/>
    </row>
    <row r="3904" spans="5:13">
      <c r="E3904" s="972"/>
      <c r="F3904" s="972"/>
      <c r="G3904" s="972"/>
      <c r="H3904" s="972"/>
      <c r="I3904" s="972"/>
      <c r="J3904" s="972"/>
      <c r="K3904" s="972"/>
      <c r="L3904" s="972"/>
      <c r="M3904" s="972"/>
    </row>
    <row r="3905" spans="5:13">
      <c r="E3905" s="972"/>
      <c r="F3905" s="972"/>
      <c r="G3905" s="972"/>
      <c r="H3905" s="972"/>
      <c r="I3905" s="972"/>
      <c r="J3905" s="972"/>
      <c r="K3905" s="972"/>
      <c r="L3905" s="972"/>
      <c r="M3905" s="972"/>
    </row>
    <row r="3906" spans="5:13">
      <c r="E3906" s="972"/>
      <c r="F3906" s="972"/>
      <c r="G3906" s="972"/>
      <c r="H3906" s="972"/>
      <c r="I3906" s="972"/>
      <c r="J3906" s="972"/>
      <c r="K3906" s="972"/>
      <c r="L3906" s="972"/>
      <c r="M3906" s="972"/>
    </row>
    <row r="3907" spans="5:13">
      <c r="E3907" s="972"/>
      <c r="F3907" s="972"/>
      <c r="G3907" s="972"/>
      <c r="H3907" s="972"/>
      <c r="I3907" s="972"/>
      <c r="J3907" s="972"/>
      <c r="K3907" s="972"/>
      <c r="L3907" s="972"/>
      <c r="M3907" s="972"/>
    </row>
    <row r="3908" spans="5:13">
      <c r="E3908" s="972"/>
      <c r="F3908" s="972"/>
      <c r="G3908" s="972"/>
      <c r="H3908" s="972"/>
      <c r="I3908" s="972"/>
      <c r="J3908" s="972"/>
      <c r="K3908" s="972"/>
      <c r="L3908" s="972"/>
      <c r="M3908" s="972"/>
    </row>
    <row r="3909" spans="5:13">
      <c r="E3909" s="972"/>
      <c r="F3909" s="972"/>
      <c r="G3909" s="972"/>
      <c r="H3909" s="972"/>
      <c r="I3909" s="972"/>
      <c r="J3909" s="972"/>
      <c r="K3909" s="972"/>
      <c r="L3909" s="972"/>
      <c r="M3909" s="972"/>
    </row>
    <row r="3910" spans="5:13">
      <c r="E3910" s="972"/>
      <c r="F3910" s="972"/>
      <c r="G3910" s="972"/>
      <c r="H3910" s="972"/>
      <c r="I3910" s="972"/>
      <c r="J3910" s="972"/>
      <c r="K3910" s="972"/>
      <c r="L3910" s="972"/>
      <c r="M3910" s="972"/>
    </row>
    <row r="3911" spans="5:13">
      <c r="E3911" s="972"/>
      <c r="F3911" s="972"/>
      <c r="G3911" s="972"/>
      <c r="H3911" s="972"/>
      <c r="I3911" s="972"/>
      <c r="J3911" s="972"/>
      <c r="K3911" s="972"/>
      <c r="L3911" s="972"/>
      <c r="M3911" s="972"/>
    </row>
    <row r="3912" spans="5:13">
      <c r="E3912" s="972"/>
      <c r="F3912" s="972"/>
      <c r="G3912" s="972"/>
      <c r="H3912" s="972"/>
      <c r="I3912" s="972"/>
      <c r="J3912" s="972"/>
      <c r="K3912" s="972"/>
      <c r="L3912" s="972"/>
      <c r="M3912" s="972"/>
    </row>
    <row r="3913" spans="5:13">
      <c r="E3913" s="972"/>
      <c r="F3913" s="972"/>
      <c r="G3913" s="972"/>
      <c r="H3913" s="972"/>
      <c r="I3913" s="972"/>
      <c r="J3913" s="972"/>
      <c r="K3913" s="972"/>
      <c r="L3913" s="972"/>
      <c r="M3913" s="972"/>
    </row>
    <row r="3914" spans="5:13">
      <c r="E3914" s="972"/>
      <c r="F3914" s="972"/>
      <c r="G3914" s="972"/>
      <c r="H3914" s="972"/>
      <c r="I3914" s="972"/>
      <c r="J3914" s="972"/>
      <c r="K3914" s="972"/>
      <c r="L3914" s="972"/>
      <c r="M3914" s="972"/>
    </row>
    <row r="3915" spans="5:13">
      <c r="E3915" s="972"/>
      <c r="F3915" s="972"/>
      <c r="G3915" s="972"/>
      <c r="H3915" s="972"/>
      <c r="I3915" s="972"/>
      <c r="J3915" s="972"/>
      <c r="K3915" s="972"/>
      <c r="L3915" s="972"/>
      <c r="M3915" s="972"/>
    </row>
    <row r="3916" spans="5:13">
      <c r="E3916" s="972"/>
      <c r="F3916" s="972"/>
      <c r="G3916" s="972"/>
      <c r="H3916" s="972"/>
      <c r="I3916" s="972"/>
      <c r="J3916" s="972"/>
      <c r="K3916" s="972"/>
      <c r="L3916" s="972"/>
      <c r="M3916" s="972"/>
    </row>
    <row r="3917" spans="5:13">
      <c r="E3917" s="972"/>
      <c r="F3917" s="972"/>
      <c r="G3917" s="972"/>
      <c r="H3917" s="972"/>
      <c r="I3917" s="972"/>
      <c r="J3917" s="972"/>
      <c r="K3917" s="972"/>
      <c r="L3917" s="972"/>
      <c r="M3917" s="972"/>
    </row>
    <row r="3918" spans="5:13">
      <c r="E3918" s="972"/>
      <c r="F3918" s="972"/>
      <c r="G3918" s="972"/>
      <c r="H3918" s="972"/>
      <c r="I3918" s="972"/>
      <c r="J3918" s="972"/>
      <c r="K3918" s="972"/>
      <c r="L3918" s="972"/>
      <c r="M3918" s="972"/>
    </row>
    <row r="3919" spans="5:13">
      <c r="E3919" s="972"/>
      <c r="F3919" s="972"/>
      <c r="G3919" s="972"/>
      <c r="H3919" s="972"/>
      <c r="I3919" s="972"/>
      <c r="J3919" s="972"/>
      <c r="K3919" s="972"/>
      <c r="L3919" s="972"/>
      <c r="M3919" s="972"/>
    </row>
    <row r="3920" spans="5:13">
      <c r="E3920" s="972"/>
      <c r="F3920" s="972"/>
      <c r="G3920" s="972"/>
      <c r="H3920" s="972"/>
      <c r="I3920" s="972"/>
      <c r="J3920" s="972"/>
      <c r="K3920" s="972"/>
      <c r="L3920" s="972"/>
      <c r="M3920" s="972"/>
    </row>
    <row r="3921" spans="5:13">
      <c r="E3921" s="972"/>
      <c r="F3921" s="972"/>
      <c r="G3921" s="972"/>
      <c r="H3921" s="972"/>
      <c r="I3921" s="972"/>
      <c r="J3921" s="972"/>
      <c r="K3921" s="972"/>
      <c r="L3921" s="972"/>
      <c r="M3921" s="972"/>
    </row>
    <row r="3922" spans="5:13">
      <c r="E3922" s="972"/>
      <c r="F3922" s="972"/>
      <c r="G3922" s="972"/>
      <c r="H3922" s="972"/>
      <c r="I3922" s="972"/>
      <c r="J3922" s="972"/>
      <c r="K3922" s="972"/>
      <c r="L3922" s="972"/>
      <c r="M3922" s="972"/>
    </row>
    <row r="3923" spans="5:13">
      <c r="E3923" s="972"/>
      <c r="F3923" s="972"/>
      <c r="G3923" s="972"/>
      <c r="H3923" s="972"/>
      <c r="I3923" s="972"/>
      <c r="J3923" s="972"/>
      <c r="K3923" s="972"/>
      <c r="L3923" s="972"/>
      <c r="M3923" s="972"/>
    </row>
    <row r="3924" spans="5:13">
      <c r="E3924" s="972"/>
      <c r="F3924" s="972"/>
      <c r="G3924" s="972"/>
      <c r="H3924" s="972"/>
      <c r="I3924" s="972"/>
      <c r="J3924" s="972"/>
      <c r="K3924" s="972"/>
      <c r="L3924" s="972"/>
      <c r="M3924" s="972"/>
    </row>
    <row r="3925" spans="5:13">
      <c r="E3925" s="972"/>
      <c r="F3925" s="972"/>
      <c r="G3925" s="972"/>
      <c r="H3925" s="972"/>
      <c r="I3925" s="972"/>
      <c r="J3925" s="972"/>
      <c r="K3925" s="972"/>
      <c r="L3925" s="972"/>
      <c r="M3925" s="972"/>
    </row>
    <row r="3926" spans="5:13">
      <c r="E3926" s="972"/>
      <c r="F3926" s="972"/>
      <c r="G3926" s="972"/>
      <c r="H3926" s="972"/>
      <c r="I3926" s="972"/>
      <c r="J3926" s="972"/>
      <c r="K3926" s="972"/>
      <c r="L3926" s="972"/>
      <c r="M3926" s="972"/>
    </row>
    <row r="3927" spans="5:13">
      <c r="E3927" s="972"/>
      <c r="F3927" s="972"/>
      <c r="G3927" s="972"/>
      <c r="H3927" s="972"/>
      <c r="I3927" s="972"/>
      <c r="J3927" s="972"/>
      <c r="K3927" s="972"/>
      <c r="L3927" s="972"/>
      <c r="M3927" s="972"/>
    </row>
    <row r="3928" spans="5:13">
      <c r="E3928" s="972"/>
      <c r="F3928" s="972"/>
      <c r="G3928" s="972"/>
      <c r="H3928" s="972"/>
      <c r="I3928" s="972"/>
      <c r="J3928" s="972"/>
      <c r="K3928" s="972"/>
      <c r="L3928" s="972"/>
      <c r="M3928" s="972"/>
    </row>
    <row r="3929" spans="5:13">
      <c r="E3929" s="972"/>
      <c r="F3929" s="972"/>
      <c r="G3929" s="972"/>
      <c r="H3929" s="972"/>
      <c r="I3929" s="972"/>
      <c r="J3929" s="972"/>
      <c r="K3929" s="972"/>
      <c r="L3929" s="972"/>
      <c r="M3929" s="972"/>
    </row>
    <row r="3930" spans="5:13">
      <c r="E3930" s="972"/>
      <c r="F3930" s="972"/>
      <c r="G3930" s="972"/>
      <c r="H3930" s="972"/>
      <c r="I3930" s="972"/>
      <c r="J3930" s="972"/>
      <c r="K3930" s="972"/>
      <c r="L3930" s="972"/>
      <c r="M3930" s="972"/>
    </row>
    <row r="3931" spans="5:13">
      <c r="E3931" s="972"/>
      <c r="F3931" s="972"/>
      <c r="G3931" s="972"/>
      <c r="H3931" s="972"/>
      <c r="I3931" s="972"/>
      <c r="J3931" s="972"/>
      <c r="K3931" s="972"/>
      <c r="L3931" s="972"/>
      <c r="M3931" s="972"/>
    </row>
    <row r="3932" spans="5:13">
      <c r="E3932" s="972"/>
      <c r="F3932" s="972"/>
      <c r="G3932" s="972"/>
      <c r="H3932" s="972"/>
      <c r="I3932" s="972"/>
      <c r="J3932" s="972"/>
      <c r="K3932" s="972"/>
      <c r="L3932" s="972"/>
      <c r="M3932" s="972"/>
    </row>
    <row r="3933" spans="5:13">
      <c r="E3933" s="972"/>
      <c r="F3933" s="972"/>
      <c r="G3933" s="972"/>
      <c r="H3933" s="972"/>
      <c r="I3933" s="972"/>
      <c r="J3933" s="972"/>
      <c r="K3933" s="972"/>
      <c r="L3933" s="972"/>
      <c r="M3933" s="972"/>
    </row>
    <row r="3934" spans="5:13">
      <c r="E3934" s="972"/>
      <c r="F3934" s="972"/>
      <c r="G3934" s="972"/>
      <c r="H3934" s="972"/>
      <c r="I3934" s="972"/>
      <c r="J3934" s="972"/>
      <c r="K3934" s="972"/>
      <c r="L3934" s="972"/>
      <c r="M3934" s="972"/>
    </row>
    <row r="3935" spans="5:13">
      <c r="E3935" s="972"/>
      <c r="F3935" s="972"/>
      <c r="G3935" s="972"/>
      <c r="H3935" s="972"/>
      <c r="I3935" s="972"/>
      <c r="J3935" s="972"/>
      <c r="K3935" s="972"/>
      <c r="L3935" s="972"/>
      <c r="M3935" s="972"/>
    </row>
    <row r="3936" spans="5:13">
      <c r="E3936" s="972"/>
      <c r="F3936" s="972"/>
      <c r="G3936" s="972"/>
      <c r="H3936" s="972"/>
      <c r="I3936" s="972"/>
      <c r="J3936" s="972"/>
      <c r="K3936" s="972"/>
      <c r="L3936" s="972"/>
      <c r="M3936" s="972"/>
    </row>
    <row r="3937" spans="5:13">
      <c r="E3937" s="972"/>
      <c r="F3937" s="972"/>
      <c r="G3937" s="972"/>
      <c r="H3937" s="972"/>
      <c r="I3937" s="972"/>
      <c r="J3937" s="972"/>
      <c r="K3937" s="972"/>
      <c r="L3937" s="972"/>
      <c r="M3937" s="972"/>
    </row>
    <row r="3938" spans="5:13">
      <c r="E3938" s="972"/>
      <c r="F3938" s="972"/>
      <c r="G3938" s="972"/>
      <c r="H3938" s="972"/>
      <c r="I3938" s="972"/>
      <c r="J3938" s="972"/>
      <c r="K3938" s="972"/>
      <c r="L3938" s="972"/>
      <c r="M3938" s="972"/>
    </row>
    <row r="3939" spans="5:13">
      <c r="E3939" s="972"/>
      <c r="F3939" s="972"/>
      <c r="G3939" s="972"/>
      <c r="H3939" s="972"/>
      <c r="I3939" s="972"/>
      <c r="J3939" s="972"/>
      <c r="K3939" s="972"/>
      <c r="L3939" s="972"/>
      <c r="M3939" s="972"/>
    </row>
    <row r="3940" spans="5:13">
      <c r="E3940" s="972"/>
      <c r="F3940" s="972"/>
      <c r="G3940" s="972"/>
      <c r="H3940" s="972"/>
      <c r="I3940" s="972"/>
      <c r="J3940" s="972"/>
      <c r="K3940" s="972"/>
      <c r="L3940" s="972"/>
      <c r="M3940" s="972"/>
    </row>
    <row r="3941" spans="5:13">
      <c r="E3941" s="972"/>
      <c r="F3941" s="972"/>
      <c r="G3941" s="972"/>
      <c r="H3941" s="972"/>
      <c r="I3941" s="972"/>
      <c r="J3941" s="972"/>
      <c r="K3941" s="972"/>
      <c r="L3941" s="972"/>
      <c r="M3941" s="972"/>
    </row>
    <row r="3942" spans="5:13">
      <c r="E3942" s="972"/>
      <c r="F3942" s="972"/>
      <c r="G3942" s="972"/>
      <c r="H3942" s="972"/>
      <c r="I3942" s="972"/>
      <c r="J3942" s="972"/>
      <c r="K3942" s="972"/>
      <c r="L3942" s="972"/>
      <c r="M3942" s="972"/>
    </row>
    <row r="3943" spans="5:13">
      <c r="E3943" s="972"/>
      <c r="F3943" s="972"/>
      <c r="G3943" s="972"/>
      <c r="H3943" s="972"/>
      <c r="I3943" s="972"/>
      <c r="J3943" s="972"/>
      <c r="K3943" s="972"/>
      <c r="L3943" s="972"/>
      <c r="M3943" s="972"/>
    </row>
    <row r="3944" spans="5:13">
      <c r="E3944" s="972"/>
      <c r="F3944" s="972"/>
      <c r="G3944" s="972"/>
      <c r="H3944" s="972"/>
      <c r="I3944" s="972"/>
      <c r="J3944" s="972"/>
      <c r="K3944" s="972"/>
      <c r="L3944" s="972"/>
      <c r="M3944" s="972"/>
    </row>
    <row r="3945" spans="5:13">
      <c r="E3945" s="972"/>
      <c r="F3945" s="972"/>
      <c r="G3945" s="972"/>
      <c r="H3945" s="972"/>
      <c r="I3945" s="972"/>
      <c r="J3945" s="972"/>
      <c r="K3945" s="972"/>
      <c r="L3945" s="972"/>
      <c r="M3945" s="972"/>
    </row>
    <row r="3946" spans="5:13">
      <c r="E3946" s="972"/>
      <c r="F3946" s="972"/>
      <c r="G3946" s="972"/>
      <c r="H3946" s="972"/>
      <c r="I3946" s="972"/>
      <c r="J3946" s="972"/>
      <c r="K3946" s="972"/>
      <c r="L3946" s="972"/>
      <c r="M3946" s="972"/>
    </row>
    <row r="3947" spans="5:13">
      <c r="E3947" s="972"/>
      <c r="F3947" s="972"/>
      <c r="G3947" s="972"/>
      <c r="H3947" s="972"/>
      <c r="I3947" s="972"/>
      <c r="J3947" s="972"/>
      <c r="K3947" s="972"/>
      <c r="L3947" s="972"/>
      <c r="M3947" s="972"/>
    </row>
    <row r="3948" spans="5:13">
      <c r="E3948" s="972"/>
      <c r="F3948" s="972"/>
      <c r="G3948" s="972"/>
      <c r="H3948" s="972"/>
      <c r="I3948" s="972"/>
      <c r="J3948" s="972"/>
      <c r="K3948" s="972"/>
      <c r="L3948" s="972"/>
      <c r="M3948" s="972"/>
    </row>
    <row r="3949" spans="5:13">
      <c r="E3949" s="972"/>
      <c r="F3949" s="972"/>
      <c r="G3949" s="972"/>
      <c r="H3949" s="972"/>
      <c r="I3949" s="972"/>
      <c r="J3949" s="972"/>
      <c r="K3949" s="972"/>
      <c r="L3949" s="972"/>
      <c r="M3949" s="972"/>
    </row>
    <row r="3950" spans="5:13">
      <c r="E3950" s="972"/>
      <c r="F3950" s="972"/>
      <c r="G3950" s="972"/>
      <c r="H3950" s="972"/>
      <c r="I3950" s="972"/>
      <c r="J3950" s="972"/>
      <c r="K3950" s="972"/>
      <c r="L3950" s="972"/>
      <c r="M3950" s="972"/>
    </row>
    <row r="3951" spans="5:13">
      <c r="E3951" s="972"/>
      <c r="F3951" s="972"/>
      <c r="G3951" s="972"/>
      <c r="H3951" s="972"/>
      <c r="I3951" s="972"/>
      <c r="J3951" s="972"/>
      <c r="K3951" s="972"/>
      <c r="L3951" s="972"/>
      <c r="M3951" s="972"/>
    </row>
    <row r="3952" spans="5:13">
      <c r="E3952" s="972"/>
      <c r="F3952" s="972"/>
      <c r="G3952" s="972"/>
      <c r="H3952" s="972"/>
      <c r="I3952" s="972"/>
      <c r="J3952" s="972"/>
      <c r="K3952" s="972"/>
      <c r="L3952" s="972"/>
      <c r="M3952" s="972"/>
    </row>
    <row r="3953" spans="5:13">
      <c r="E3953" s="972"/>
      <c r="F3953" s="972"/>
      <c r="G3953" s="972"/>
      <c r="H3953" s="972"/>
      <c r="I3953" s="972"/>
      <c r="J3953" s="972"/>
      <c r="K3953" s="972"/>
      <c r="L3953" s="972"/>
      <c r="M3953" s="972"/>
    </row>
    <row r="3954" spans="5:13">
      <c r="E3954" s="972"/>
      <c r="F3954" s="972"/>
      <c r="G3954" s="972"/>
      <c r="H3954" s="972"/>
      <c r="I3954" s="972"/>
      <c r="J3954" s="972"/>
      <c r="K3954" s="972"/>
      <c r="L3954" s="972"/>
      <c r="M3954" s="972"/>
    </row>
    <row r="3955" spans="5:13">
      <c r="E3955" s="972"/>
      <c r="F3955" s="972"/>
      <c r="G3955" s="972"/>
      <c r="H3955" s="972"/>
      <c r="I3955" s="972"/>
      <c r="J3955" s="972"/>
      <c r="K3955" s="972"/>
      <c r="L3955" s="972"/>
      <c r="M3955" s="972"/>
    </row>
    <row r="3956" spans="5:13">
      <c r="E3956" s="972"/>
      <c r="F3956" s="972"/>
      <c r="G3956" s="972"/>
      <c r="H3956" s="972"/>
      <c r="I3956" s="972"/>
      <c r="J3956" s="972"/>
      <c r="K3956" s="972"/>
      <c r="L3956" s="972"/>
      <c r="M3956" s="972"/>
    </row>
    <row r="3957" spans="5:13">
      <c r="E3957" s="972"/>
      <c r="F3957" s="972"/>
      <c r="G3957" s="972"/>
      <c r="H3957" s="972"/>
      <c r="I3957" s="972"/>
      <c r="J3957" s="972"/>
      <c r="K3957" s="972"/>
      <c r="L3957" s="972"/>
      <c r="M3957" s="972"/>
    </row>
    <row r="3958" spans="5:13">
      <c r="E3958" s="972"/>
      <c r="F3958" s="972"/>
      <c r="G3958" s="972"/>
      <c r="H3958" s="972"/>
      <c r="I3958" s="972"/>
      <c r="J3958" s="972"/>
      <c r="K3958" s="972"/>
      <c r="L3958" s="972"/>
      <c r="M3958" s="972"/>
    </row>
    <row r="3959" spans="5:13">
      <c r="E3959" s="972"/>
      <c r="F3959" s="972"/>
      <c r="G3959" s="972"/>
      <c r="H3959" s="972"/>
      <c r="I3959" s="972"/>
      <c r="J3959" s="972"/>
      <c r="K3959" s="972"/>
      <c r="L3959" s="972"/>
      <c r="M3959" s="972"/>
    </row>
    <row r="3960" spans="5:13">
      <c r="E3960" s="972"/>
      <c r="F3960" s="972"/>
      <c r="G3960" s="972"/>
      <c r="H3960" s="972"/>
      <c r="I3960" s="972"/>
      <c r="J3960" s="972"/>
      <c r="K3960" s="972"/>
      <c r="L3960" s="972"/>
      <c r="M3960" s="972"/>
    </row>
    <row r="3961" spans="5:13">
      <c r="E3961" s="972"/>
      <c r="F3961" s="972"/>
      <c r="G3961" s="972"/>
      <c r="H3961" s="972"/>
      <c r="I3961" s="972"/>
      <c r="J3961" s="972"/>
      <c r="K3961" s="972"/>
      <c r="L3961" s="972"/>
      <c r="M3961" s="972"/>
    </row>
    <row r="3962" spans="5:13">
      <c r="E3962" s="972"/>
      <c r="F3962" s="972"/>
      <c r="G3962" s="972"/>
      <c r="H3962" s="972"/>
      <c r="I3962" s="972"/>
      <c r="J3962" s="972"/>
      <c r="K3962" s="972"/>
      <c r="L3962" s="972"/>
      <c r="M3962" s="972"/>
    </row>
    <row r="3963" spans="5:13">
      <c r="E3963" s="972"/>
      <c r="F3963" s="972"/>
      <c r="G3963" s="972"/>
      <c r="H3963" s="972"/>
      <c r="I3963" s="972"/>
      <c r="J3963" s="972"/>
      <c r="K3963" s="972"/>
      <c r="L3963" s="972"/>
      <c r="M3963" s="972"/>
    </row>
    <row r="3964" spans="5:13">
      <c r="E3964" s="972"/>
      <c r="F3964" s="972"/>
      <c r="G3964" s="972"/>
      <c r="H3964" s="972"/>
      <c r="I3964" s="972"/>
      <c r="J3964" s="972"/>
      <c r="K3964" s="972"/>
      <c r="L3964" s="972"/>
      <c r="M3964" s="972"/>
    </row>
    <row r="3965" spans="5:13">
      <c r="E3965" s="972"/>
      <c r="F3965" s="972"/>
      <c r="G3965" s="972"/>
      <c r="H3965" s="972"/>
      <c r="I3965" s="972"/>
      <c r="J3965" s="972"/>
      <c r="K3965" s="972"/>
      <c r="L3965" s="972"/>
      <c r="M3965" s="972"/>
    </row>
    <row r="3966" spans="5:13">
      <c r="E3966" s="972"/>
      <c r="F3966" s="972"/>
      <c r="G3966" s="972"/>
      <c r="H3966" s="972"/>
      <c r="I3966" s="972"/>
      <c r="J3966" s="972"/>
      <c r="K3966" s="972"/>
      <c r="L3966" s="972"/>
      <c r="M3966" s="972"/>
    </row>
    <row r="3967" spans="5:13">
      <c r="E3967" s="972"/>
      <c r="F3967" s="972"/>
      <c r="G3967" s="972"/>
      <c r="H3967" s="972"/>
      <c r="I3967" s="972"/>
      <c r="J3967" s="972"/>
      <c r="K3967" s="972"/>
      <c r="L3967" s="972"/>
      <c r="M3967" s="972"/>
    </row>
    <row r="3968" spans="5:13">
      <c r="E3968" s="972"/>
      <c r="F3968" s="972"/>
      <c r="G3968" s="972"/>
      <c r="H3968" s="972"/>
      <c r="I3968" s="972"/>
      <c r="J3968" s="972"/>
      <c r="K3968" s="972"/>
      <c r="L3968" s="972"/>
      <c r="M3968" s="972"/>
    </row>
    <row r="3969" spans="5:13">
      <c r="E3969" s="972"/>
      <c r="F3969" s="972"/>
      <c r="G3969" s="972"/>
      <c r="H3969" s="972"/>
      <c r="I3969" s="972"/>
      <c r="J3969" s="972"/>
      <c r="K3969" s="972"/>
      <c r="L3969" s="972"/>
      <c r="M3969" s="972"/>
    </row>
    <row r="3970" spans="5:13">
      <c r="E3970" s="972"/>
      <c r="F3970" s="972"/>
      <c r="G3970" s="972"/>
      <c r="H3970" s="972"/>
      <c r="I3970" s="972"/>
      <c r="J3970" s="972"/>
      <c r="K3970" s="972"/>
      <c r="L3970" s="972"/>
      <c r="M3970" s="972"/>
    </row>
    <row r="3971" spans="5:13">
      <c r="E3971" s="972"/>
      <c r="F3971" s="972"/>
      <c r="G3971" s="972"/>
      <c r="H3971" s="972"/>
      <c r="I3971" s="972"/>
      <c r="J3971" s="972"/>
      <c r="K3971" s="972"/>
      <c r="L3971" s="972"/>
      <c r="M3971" s="972"/>
    </row>
    <row r="3972" spans="5:13">
      <c r="E3972" s="972"/>
      <c r="F3972" s="972"/>
      <c r="G3972" s="972"/>
      <c r="H3972" s="972"/>
      <c r="I3972" s="972"/>
      <c r="J3972" s="972"/>
      <c r="K3972" s="972"/>
      <c r="L3972" s="972"/>
      <c r="M3972" s="972"/>
    </row>
    <row r="3973" spans="5:13">
      <c r="E3973" s="972"/>
      <c r="F3973" s="972"/>
      <c r="G3973" s="972"/>
      <c r="H3973" s="972"/>
      <c r="I3973" s="972"/>
      <c r="J3973" s="972"/>
      <c r="K3973" s="972"/>
      <c r="L3973" s="972"/>
      <c r="M3973" s="972"/>
    </row>
    <row r="3974" spans="5:13">
      <c r="E3974" s="972"/>
      <c r="F3974" s="972"/>
      <c r="G3974" s="972"/>
      <c r="H3974" s="972"/>
      <c r="I3974" s="972"/>
      <c r="J3974" s="972"/>
      <c r="K3974" s="972"/>
      <c r="L3974" s="972"/>
      <c r="M3974" s="972"/>
    </row>
    <row r="3975" spans="5:13">
      <c r="E3975" s="972"/>
      <c r="F3975" s="972"/>
      <c r="G3975" s="972"/>
      <c r="H3975" s="972"/>
      <c r="I3975" s="972"/>
      <c r="J3975" s="972"/>
      <c r="K3975" s="972"/>
      <c r="L3975" s="972"/>
      <c r="M3975" s="972"/>
    </row>
    <row r="3976" spans="5:13">
      <c r="E3976" s="972"/>
      <c r="F3976" s="972"/>
      <c r="G3976" s="972"/>
      <c r="H3976" s="972"/>
      <c r="I3976" s="972"/>
      <c r="J3976" s="972"/>
      <c r="K3976" s="972"/>
      <c r="L3976" s="972"/>
      <c r="M3976" s="972"/>
    </row>
    <row r="3977" spans="5:13">
      <c r="E3977" s="972"/>
      <c r="F3977" s="972"/>
      <c r="G3977" s="972"/>
      <c r="H3977" s="972"/>
      <c r="I3977" s="972"/>
      <c r="J3977" s="972"/>
      <c r="K3977" s="972"/>
      <c r="L3977" s="972"/>
      <c r="M3977" s="972"/>
    </row>
    <row r="3978" spans="5:13">
      <c r="E3978" s="972"/>
      <c r="F3978" s="972"/>
      <c r="G3978" s="972"/>
      <c r="H3978" s="972"/>
      <c r="I3978" s="972"/>
      <c r="J3978" s="972"/>
      <c r="K3978" s="972"/>
      <c r="L3978" s="972"/>
      <c r="M3978" s="972"/>
    </row>
    <row r="3979" spans="5:13">
      <c r="E3979" s="972"/>
      <c r="F3979" s="972"/>
      <c r="G3979" s="972"/>
      <c r="H3979" s="972"/>
      <c r="I3979" s="972"/>
      <c r="J3979" s="972"/>
      <c r="K3979" s="972"/>
      <c r="L3979" s="972"/>
      <c r="M3979" s="972"/>
    </row>
    <row r="3980" spans="5:13">
      <c r="E3980" s="972"/>
      <c r="F3980" s="972"/>
      <c r="G3980" s="972"/>
      <c r="H3980" s="972"/>
      <c r="I3980" s="972"/>
      <c r="J3980" s="972"/>
      <c r="K3980" s="972"/>
      <c r="L3980" s="972"/>
      <c r="M3980" s="972"/>
    </row>
    <row r="3981" spans="5:13">
      <c r="E3981" s="972"/>
      <c r="F3981" s="972"/>
      <c r="G3981" s="972"/>
      <c r="H3981" s="972"/>
      <c r="I3981" s="972"/>
      <c r="J3981" s="972"/>
      <c r="K3981" s="972"/>
      <c r="L3981" s="972"/>
      <c r="M3981" s="972"/>
    </row>
    <row r="3982" spans="5:13">
      <c r="E3982" s="972"/>
      <c r="F3982" s="972"/>
      <c r="G3982" s="972"/>
      <c r="H3982" s="972"/>
      <c r="I3982" s="972"/>
      <c r="J3982" s="972"/>
      <c r="K3982" s="972"/>
      <c r="L3982" s="972"/>
      <c r="M3982" s="972"/>
    </row>
    <row r="3983" spans="5:13">
      <c r="E3983" s="972"/>
      <c r="F3983" s="972"/>
      <c r="G3983" s="972"/>
      <c r="H3983" s="972"/>
      <c r="I3983" s="972"/>
      <c r="J3983" s="972"/>
      <c r="K3983" s="972"/>
      <c r="L3983" s="972"/>
      <c r="M3983" s="972"/>
    </row>
    <row r="3984" spans="5:13">
      <c r="E3984" s="972"/>
      <c r="F3984" s="972"/>
      <c r="G3984" s="972"/>
      <c r="H3984" s="972"/>
      <c r="I3984" s="972"/>
      <c r="J3984" s="972"/>
      <c r="K3984" s="972"/>
      <c r="L3984" s="972"/>
      <c r="M3984" s="972"/>
    </row>
    <row r="3985" spans="5:13">
      <c r="E3985" s="972"/>
      <c r="F3985" s="972"/>
      <c r="G3985" s="972"/>
      <c r="H3985" s="972"/>
      <c r="I3985" s="972"/>
      <c r="J3985" s="972"/>
      <c r="K3985" s="972"/>
      <c r="L3985" s="972"/>
      <c r="M3985" s="972"/>
    </row>
    <row r="3986" spans="5:13">
      <c r="E3986" s="972"/>
      <c r="F3986" s="972"/>
      <c r="G3986" s="972"/>
      <c r="H3986" s="972"/>
      <c r="I3986" s="972"/>
      <c r="J3986" s="972"/>
      <c r="K3986" s="972"/>
      <c r="L3986" s="972"/>
      <c r="M3986" s="972"/>
    </row>
    <row r="3987" spans="5:13">
      <c r="E3987" s="972"/>
      <c r="F3987" s="972"/>
      <c r="G3987" s="972"/>
      <c r="H3987" s="972"/>
      <c r="I3987" s="972"/>
      <c r="J3987" s="972"/>
      <c r="K3987" s="972"/>
      <c r="L3987" s="972"/>
      <c r="M3987" s="972"/>
    </row>
    <row r="3988" spans="5:13">
      <c r="E3988" s="972"/>
      <c r="F3988" s="972"/>
      <c r="G3988" s="972"/>
      <c r="H3988" s="972"/>
      <c r="I3988" s="972"/>
      <c r="J3988" s="972"/>
      <c r="K3988" s="972"/>
      <c r="L3988" s="972"/>
      <c r="M3988" s="972"/>
    </row>
    <row r="3989" spans="5:13">
      <c r="E3989" s="972"/>
      <c r="F3989" s="972"/>
      <c r="G3989" s="972"/>
      <c r="H3989" s="972"/>
      <c r="I3989" s="972"/>
      <c r="J3989" s="972"/>
      <c r="K3989" s="972"/>
      <c r="L3989" s="972"/>
      <c r="M3989" s="972"/>
    </row>
    <row r="3990" spans="5:13">
      <c r="E3990" s="972"/>
      <c r="F3990" s="972"/>
      <c r="G3990" s="972"/>
      <c r="H3990" s="972"/>
      <c r="I3990" s="972"/>
      <c r="J3990" s="972"/>
      <c r="K3990" s="972"/>
      <c r="L3990" s="972"/>
      <c r="M3990" s="972"/>
    </row>
    <row r="3991" spans="5:13">
      <c r="E3991" s="972"/>
      <c r="F3991" s="972"/>
      <c r="G3991" s="972"/>
      <c r="H3991" s="972"/>
      <c r="I3991" s="972"/>
      <c r="J3991" s="972"/>
      <c r="K3991" s="972"/>
      <c r="L3991" s="972"/>
      <c r="M3991" s="972"/>
    </row>
    <row r="3992" spans="5:13">
      <c r="E3992" s="972"/>
      <c r="F3992" s="972"/>
      <c r="G3992" s="972"/>
      <c r="H3992" s="972"/>
      <c r="I3992" s="972"/>
      <c r="J3992" s="972"/>
      <c r="K3992" s="972"/>
      <c r="L3992" s="972"/>
      <c r="M3992" s="972"/>
    </row>
    <row r="3993" spans="5:13">
      <c r="E3993" s="972"/>
      <c r="F3993" s="972"/>
      <c r="G3993" s="972"/>
      <c r="H3993" s="972"/>
      <c r="I3993" s="972"/>
      <c r="J3993" s="972"/>
      <c r="K3993" s="972"/>
      <c r="L3993" s="972"/>
      <c r="M3993" s="972"/>
    </row>
    <row r="3994" spans="5:13">
      <c r="E3994" s="972"/>
      <c r="F3994" s="972"/>
      <c r="G3994" s="972"/>
      <c r="H3994" s="972"/>
      <c r="I3994" s="972"/>
      <c r="J3994" s="972"/>
      <c r="K3994" s="972"/>
      <c r="L3994" s="972"/>
      <c r="M3994" s="972"/>
    </row>
    <row r="3995" spans="5:13">
      <c r="E3995" s="972"/>
      <c r="F3995" s="972"/>
      <c r="G3995" s="972"/>
      <c r="H3995" s="972"/>
      <c r="I3995" s="972"/>
      <c r="J3995" s="972"/>
      <c r="K3995" s="972"/>
      <c r="L3995" s="972"/>
      <c r="M3995" s="972"/>
    </row>
    <row r="3996" spans="5:13">
      <c r="E3996" s="972"/>
      <c r="F3996" s="972"/>
      <c r="G3996" s="972"/>
      <c r="H3996" s="972"/>
      <c r="I3996" s="972"/>
      <c r="J3996" s="972"/>
      <c r="K3996" s="972"/>
      <c r="L3996" s="972"/>
      <c r="M3996" s="972"/>
    </row>
    <row r="3997" spans="5:13">
      <c r="E3997" s="972"/>
      <c r="F3997" s="972"/>
      <c r="G3997" s="972"/>
      <c r="H3997" s="972"/>
      <c r="I3997" s="972"/>
      <c r="J3997" s="972"/>
      <c r="K3997" s="972"/>
      <c r="L3997" s="972"/>
      <c r="M3997" s="972"/>
    </row>
    <row r="3998" spans="5:13">
      <c r="E3998" s="972"/>
      <c r="F3998" s="972"/>
      <c r="G3998" s="972"/>
      <c r="H3998" s="972"/>
      <c r="I3998" s="972"/>
      <c r="J3998" s="972"/>
      <c r="K3998" s="972"/>
      <c r="L3998" s="972"/>
      <c r="M3998" s="972"/>
    </row>
    <row r="3999" spans="5:13">
      <c r="E3999" s="972"/>
      <c r="F3999" s="972"/>
      <c r="G3999" s="972"/>
      <c r="H3999" s="972"/>
      <c r="I3999" s="972"/>
      <c r="J3999" s="972"/>
      <c r="K3999" s="972"/>
      <c r="L3999" s="972"/>
      <c r="M3999" s="972"/>
    </row>
    <row r="4000" spans="5:13">
      <c r="E4000" s="972"/>
      <c r="F4000" s="972"/>
      <c r="G4000" s="972"/>
      <c r="H4000" s="972"/>
      <c r="I4000" s="972"/>
      <c r="J4000" s="972"/>
      <c r="K4000" s="972"/>
      <c r="L4000" s="972"/>
      <c r="M4000" s="972"/>
    </row>
    <row r="4001" spans="5:13">
      <c r="E4001" s="972"/>
      <c r="F4001" s="972"/>
      <c r="G4001" s="972"/>
      <c r="H4001" s="972"/>
      <c r="I4001" s="972"/>
      <c r="J4001" s="972"/>
      <c r="K4001" s="972"/>
      <c r="L4001" s="972"/>
      <c r="M4001" s="972"/>
    </row>
    <row r="4002" spans="5:13">
      <c r="E4002" s="972"/>
      <c r="F4002" s="972"/>
      <c r="G4002" s="972"/>
      <c r="H4002" s="972"/>
      <c r="I4002" s="972"/>
      <c r="J4002" s="972"/>
      <c r="K4002" s="972"/>
      <c r="L4002" s="972"/>
      <c r="M4002" s="972"/>
    </row>
    <row r="4003" spans="5:13">
      <c r="E4003" s="972"/>
      <c r="F4003" s="972"/>
      <c r="G4003" s="972"/>
      <c r="H4003" s="972"/>
      <c r="I4003" s="972"/>
      <c r="J4003" s="972"/>
      <c r="K4003" s="972"/>
      <c r="L4003" s="972"/>
      <c r="M4003" s="972"/>
    </row>
    <row r="4004" spans="5:13">
      <c r="E4004" s="972"/>
      <c r="F4004" s="972"/>
      <c r="G4004" s="972"/>
      <c r="H4004" s="972"/>
      <c r="I4004" s="972"/>
      <c r="J4004" s="972"/>
      <c r="K4004" s="972"/>
      <c r="L4004" s="972"/>
      <c r="M4004" s="972"/>
    </row>
    <row r="4005" spans="5:13">
      <c r="E4005" s="972"/>
      <c r="F4005" s="972"/>
      <c r="G4005" s="972"/>
      <c r="H4005" s="972"/>
      <c r="I4005" s="972"/>
      <c r="J4005" s="972"/>
      <c r="K4005" s="972"/>
      <c r="L4005" s="972"/>
      <c r="M4005" s="972"/>
    </row>
    <row r="4006" spans="5:13">
      <c r="E4006" s="972"/>
      <c r="F4006" s="972"/>
      <c r="G4006" s="972"/>
      <c r="H4006" s="972"/>
      <c r="I4006" s="972"/>
      <c r="J4006" s="972"/>
      <c r="K4006" s="972"/>
      <c r="L4006" s="972"/>
      <c r="M4006" s="972"/>
    </row>
    <row r="4007" spans="5:13">
      <c r="E4007" s="972"/>
      <c r="F4007" s="972"/>
      <c r="G4007" s="972"/>
      <c r="H4007" s="972"/>
      <c r="I4007" s="972"/>
      <c r="J4007" s="972"/>
      <c r="K4007" s="972"/>
      <c r="L4007" s="972"/>
      <c r="M4007" s="972"/>
    </row>
    <row r="4008" spans="5:13">
      <c r="E4008" s="972"/>
      <c r="F4008" s="972"/>
      <c r="G4008" s="972"/>
      <c r="H4008" s="972"/>
      <c r="I4008" s="972"/>
      <c r="J4008" s="972"/>
      <c r="K4008" s="972"/>
      <c r="L4008" s="972"/>
      <c r="M4008" s="972"/>
    </row>
    <row r="4009" spans="5:13">
      <c r="E4009" s="972"/>
      <c r="F4009" s="972"/>
      <c r="G4009" s="972"/>
      <c r="H4009" s="972"/>
      <c r="I4009" s="972"/>
      <c r="J4009" s="972"/>
      <c r="K4009" s="972"/>
      <c r="L4009" s="972"/>
      <c r="M4009" s="972"/>
    </row>
    <row r="4010" spans="5:13">
      <c r="E4010" s="972"/>
      <c r="F4010" s="972"/>
      <c r="G4010" s="972"/>
      <c r="H4010" s="972"/>
      <c r="I4010" s="972"/>
      <c r="J4010" s="972"/>
      <c r="K4010" s="972"/>
      <c r="L4010" s="972"/>
      <c r="M4010" s="972"/>
    </row>
    <row r="4011" spans="5:13">
      <c r="E4011" s="972"/>
      <c r="F4011" s="972"/>
      <c r="G4011" s="972"/>
      <c r="H4011" s="972"/>
      <c r="I4011" s="972"/>
      <c r="J4011" s="972"/>
      <c r="K4011" s="972"/>
      <c r="L4011" s="972"/>
      <c r="M4011" s="972"/>
    </row>
    <row r="4012" spans="5:13">
      <c r="E4012" s="972"/>
      <c r="F4012" s="972"/>
      <c r="G4012" s="972"/>
      <c r="H4012" s="972"/>
      <c r="I4012" s="972"/>
      <c r="J4012" s="972"/>
      <c r="K4012" s="972"/>
      <c r="L4012" s="972"/>
      <c r="M4012" s="972"/>
    </row>
    <row r="4013" spans="5:13">
      <c r="E4013" s="972"/>
      <c r="F4013" s="972"/>
      <c r="G4013" s="972"/>
      <c r="H4013" s="972"/>
      <c r="I4013" s="972"/>
      <c r="J4013" s="972"/>
      <c r="K4013" s="972"/>
      <c r="L4013" s="972"/>
      <c r="M4013" s="972"/>
    </row>
    <row r="4014" spans="5:13">
      <c r="E4014" s="972"/>
      <c r="F4014" s="972"/>
      <c r="G4014" s="972"/>
      <c r="H4014" s="972"/>
      <c r="I4014" s="972"/>
      <c r="J4014" s="972"/>
      <c r="K4014" s="972"/>
      <c r="L4014" s="972"/>
      <c r="M4014" s="972"/>
    </row>
    <row r="4015" spans="5:13">
      <c r="E4015" s="972"/>
      <c r="F4015" s="972"/>
      <c r="G4015" s="972"/>
      <c r="H4015" s="972"/>
      <c r="I4015" s="972"/>
      <c r="J4015" s="972"/>
      <c r="K4015" s="972"/>
      <c r="L4015" s="972"/>
      <c r="M4015" s="972"/>
    </row>
    <row r="4016" spans="5:13">
      <c r="E4016" s="972"/>
      <c r="F4016" s="972"/>
      <c r="G4016" s="972"/>
      <c r="H4016" s="972"/>
      <c r="I4016" s="972"/>
      <c r="J4016" s="972"/>
      <c r="K4016" s="972"/>
      <c r="L4016" s="972"/>
      <c r="M4016" s="972"/>
    </row>
    <row r="4017" spans="5:13">
      <c r="E4017" s="972"/>
      <c r="F4017" s="972"/>
      <c r="G4017" s="972"/>
      <c r="H4017" s="972"/>
      <c r="I4017" s="972"/>
      <c r="J4017" s="972"/>
      <c r="K4017" s="972"/>
      <c r="L4017" s="972"/>
      <c r="M4017" s="972"/>
    </row>
    <row r="4018" spans="5:13">
      <c r="E4018" s="972"/>
      <c r="F4018" s="972"/>
      <c r="G4018" s="972"/>
      <c r="H4018" s="972"/>
      <c r="I4018" s="972"/>
      <c r="J4018" s="972"/>
      <c r="K4018" s="972"/>
      <c r="L4018" s="972"/>
      <c r="M4018" s="972"/>
    </row>
    <row r="4019" spans="5:13">
      <c r="E4019" s="972"/>
      <c r="F4019" s="972"/>
      <c r="G4019" s="972"/>
      <c r="H4019" s="972"/>
      <c r="I4019" s="972"/>
      <c r="J4019" s="972"/>
      <c r="K4019" s="972"/>
      <c r="L4019" s="972"/>
      <c r="M4019" s="972"/>
    </row>
    <row r="4020" spans="5:13">
      <c r="E4020" s="972"/>
      <c r="F4020" s="972"/>
      <c r="G4020" s="972"/>
      <c r="H4020" s="972"/>
      <c r="I4020" s="972"/>
      <c r="J4020" s="972"/>
      <c r="K4020" s="972"/>
      <c r="L4020" s="972"/>
      <c r="M4020" s="972"/>
    </row>
    <row r="4021" spans="5:13">
      <c r="E4021" s="972"/>
      <c r="F4021" s="972"/>
      <c r="G4021" s="972"/>
      <c r="H4021" s="972"/>
      <c r="I4021" s="972"/>
      <c r="J4021" s="972"/>
      <c r="K4021" s="972"/>
      <c r="L4021" s="972"/>
      <c r="M4021" s="972"/>
    </row>
    <row r="4022" spans="5:13">
      <c r="E4022" s="972"/>
      <c r="F4022" s="972"/>
      <c r="G4022" s="972"/>
      <c r="H4022" s="972"/>
      <c r="I4022" s="972"/>
      <c r="J4022" s="972"/>
      <c r="K4022" s="972"/>
      <c r="L4022" s="972"/>
      <c r="M4022" s="972"/>
    </row>
    <row r="4023" spans="5:13">
      <c r="E4023" s="972"/>
      <c r="F4023" s="972"/>
      <c r="G4023" s="972"/>
      <c r="H4023" s="972"/>
      <c r="I4023" s="972"/>
      <c r="J4023" s="972"/>
      <c r="K4023" s="972"/>
      <c r="L4023" s="972"/>
      <c r="M4023" s="972"/>
    </row>
    <row r="4024" spans="5:13">
      <c r="E4024" s="972"/>
      <c r="F4024" s="972"/>
      <c r="G4024" s="972"/>
      <c r="H4024" s="972"/>
      <c r="I4024" s="972"/>
      <c r="J4024" s="972"/>
      <c r="K4024" s="972"/>
      <c r="L4024" s="972"/>
      <c r="M4024" s="972"/>
    </row>
    <row r="4025" spans="5:13">
      <c r="E4025" s="972"/>
      <c r="F4025" s="972"/>
      <c r="G4025" s="972"/>
      <c r="H4025" s="972"/>
      <c r="I4025" s="972"/>
      <c r="J4025" s="972"/>
      <c r="K4025" s="972"/>
      <c r="L4025" s="972"/>
      <c r="M4025" s="972"/>
    </row>
    <row r="4026" spans="5:13">
      <c r="E4026" s="972"/>
      <c r="F4026" s="972"/>
      <c r="G4026" s="972"/>
      <c r="H4026" s="972"/>
      <c r="I4026" s="972"/>
      <c r="J4026" s="972"/>
      <c r="K4026" s="972"/>
      <c r="L4026" s="972"/>
      <c r="M4026" s="972"/>
    </row>
    <row r="4027" spans="5:13">
      <c r="E4027" s="972"/>
      <c r="F4027" s="972"/>
      <c r="G4027" s="972"/>
      <c r="H4027" s="972"/>
      <c r="I4027" s="972"/>
      <c r="J4027" s="972"/>
      <c r="K4027" s="972"/>
      <c r="L4027" s="972"/>
      <c r="M4027" s="972"/>
    </row>
    <row r="4028" spans="5:13">
      <c r="E4028" s="972"/>
      <c r="F4028" s="972"/>
      <c r="G4028" s="972"/>
      <c r="H4028" s="972"/>
      <c r="I4028" s="972"/>
      <c r="J4028" s="972"/>
      <c r="K4028" s="972"/>
      <c r="L4028" s="972"/>
      <c r="M4028" s="972"/>
    </row>
    <row r="4029" spans="5:13">
      <c r="E4029" s="972"/>
      <c r="F4029" s="972"/>
      <c r="G4029" s="972"/>
      <c r="H4029" s="972"/>
      <c r="I4029" s="972"/>
      <c r="J4029" s="972"/>
      <c r="K4029" s="972"/>
      <c r="L4029" s="972"/>
      <c r="M4029" s="972"/>
    </row>
    <row r="4030" spans="5:13">
      <c r="E4030" s="972"/>
      <c r="F4030" s="972"/>
      <c r="G4030" s="972"/>
      <c r="H4030" s="972"/>
      <c r="I4030" s="972"/>
      <c r="J4030" s="972"/>
      <c r="K4030" s="972"/>
      <c r="L4030" s="972"/>
      <c r="M4030" s="972"/>
    </row>
    <row r="4031" spans="5:13">
      <c r="E4031" s="972"/>
      <c r="F4031" s="972"/>
      <c r="G4031" s="972"/>
      <c r="H4031" s="972"/>
      <c r="I4031" s="972"/>
      <c r="J4031" s="972"/>
      <c r="K4031" s="972"/>
      <c r="L4031" s="972"/>
      <c r="M4031" s="972"/>
    </row>
    <row r="4032" spans="5:13">
      <c r="E4032" s="972"/>
      <c r="F4032" s="972"/>
      <c r="G4032" s="972"/>
      <c r="H4032" s="972"/>
      <c r="I4032" s="972"/>
      <c r="J4032" s="972"/>
      <c r="K4032" s="972"/>
      <c r="L4032" s="972"/>
      <c r="M4032" s="972"/>
    </row>
    <row r="4033" spans="5:13">
      <c r="E4033" s="972"/>
      <c r="F4033" s="972"/>
      <c r="G4033" s="972"/>
      <c r="H4033" s="972"/>
      <c r="I4033" s="972"/>
      <c r="J4033" s="972"/>
      <c r="K4033" s="972"/>
      <c r="L4033" s="972"/>
      <c r="M4033" s="972"/>
    </row>
    <row r="4034" spans="5:13">
      <c r="E4034" s="972"/>
      <c r="F4034" s="972"/>
      <c r="G4034" s="972"/>
      <c r="H4034" s="972"/>
      <c r="I4034" s="972"/>
      <c r="J4034" s="972"/>
      <c r="K4034" s="972"/>
      <c r="L4034" s="972"/>
      <c r="M4034" s="972"/>
    </row>
    <row r="4035" spans="5:13">
      <c r="E4035" s="972"/>
      <c r="F4035" s="972"/>
      <c r="G4035" s="972"/>
      <c r="H4035" s="972"/>
      <c r="I4035" s="972"/>
      <c r="J4035" s="972"/>
      <c r="K4035" s="972"/>
      <c r="L4035" s="972"/>
      <c r="M4035" s="972"/>
    </row>
    <row r="4036" spans="5:13">
      <c r="E4036" s="972"/>
      <c r="F4036" s="972"/>
      <c r="G4036" s="972"/>
      <c r="H4036" s="972"/>
      <c r="I4036" s="972"/>
      <c r="J4036" s="972"/>
      <c r="K4036" s="972"/>
      <c r="L4036" s="972"/>
      <c r="M4036" s="972"/>
    </row>
    <row r="4037" spans="5:13">
      <c r="E4037" s="972"/>
      <c r="F4037" s="972"/>
      <c r="G4037" s="972"/>
      <c r="H4037" s="972"/>
      <c r="I4037" s="972"/>
      <c r="J4037" s="972"/>
      <c r="K4037" s="972"/>
      <c r="L4037" s="972"/>
      <c r="M4037" s="972"/>
    </row>
    <row r="4038" spans="5:13">
      <c r="E4038" s="972"/>
      <c r="F4038" s="972"/>
      <c r="G4038" s="972"/>
      <c r="H4038" s="972"/>
      <c r="I4038" s="972"/>
      <c r="J4038" s="972"/>
      <c r="K4038" s="972"/>
      <c r="L4038" s="972"/>
      <c r="M4038" s="972"/>
    </row>
    <row r="4039" spans="5:13">
      <c r="E4039" s="972"/>
      <c r="F4039" s="972"/>
      <c r="G4039" s="972"/>
      <c r="H4039" s="972"/>
      <c r="I4039" s="972"/>
      <c r="J4039" s="972"/>
      <c r="K4039" s="972"/>
      <c r="L4039" s="972"/>
      <c r="M4039" s="972"/>
    </row>
    <row r="4040" spans="5:13">
      <c r="E4040" s="972"/>
      <c r="F4040" s="972"/>
      <c r="G4040" s="972"/>
      <c r="H4040" s="972"/>
      <c r="I4040" s="972"/>
      <c r="J4040" s="972"/>
      <c r="K4040" s="972"/>
      <c r="L4040" s="972"/>
      <c r="M4040" s="972"/>
    </row>
    <row r="4041" spans="5:13">
      <c r="E4041" s="972"/>
      <c r="F4041" s="972"/>
      <c r="G4041" s="972"/>
      <c r="H4041" s="972"/>
      <c r="I4041" s="972"/>
      <c r="J4041" s="972"/>
      <c r="K4041" s="972"/>
      <c r="L4041" s="972"/>
      <c r="M4041" s="972"/>
    </row>
    <row r="4042" spans="5:13">
      <c r="E4042" s="972"/>
      <c r="F4042" s="972"/>
      <c r="G4042" s="972"/>
      <c r="H4042" s="972"/>
      <c r="I4042" s="972"/>
      <c r="J4042" s="972"/>
      <c r="K4042" s="972"/>
      <c r="L4042" s="972"/>
      <c r="M4042" s="972"/>
    </row>
    <row r="4043" spans="5:13">
      <c r="E4043" s="972"/>
      <c r="F4043" s="972"/>
      <c r="G4043" s="972"/>
      <c r="H4043" s="972"/>
      <c r="I4043" s="972"/>
      <c r="J4043" s="972"/>
      <c r="K4043" s="972"/>
      <c r="L4043" s="972"/>
      <c r="M4043" s="972"/>
    </row>
    <row r="4044" spans="5:13">
      <c r="E4044" s="972"/>
      <c r="F4044" s="972"/>
      <c r="G4044" s="972"/>
      <c r="H4044" s="972"/>
      <c r="I4044" s="972"/>
      <c r="J4044" s="972"/>
      <c r="K4044" s="972"/>
      <c r="L4044" s="972"/>
      <c r="M4044" s="972"/>
    </row>
    <row r="4045" spans="5:13">
      <c r="E4045" s="972"/>
      <c r="F4045" s="972"/>
      <c r="G4045" s="972"/>
      <c r="H4045" s="972"/>
      <c r="I4045" s="972"/>
      <c r="J4045" s="972"/>
      <c r="K4045" s="972"/>
      <c r="L4045" s="972"/>
      <c r="M4045" s="972"/>
    </row>
    <row r="4046" spans="5:13">
      <c r="E4046" s="972"/>
      <c r="F4046" s="972"/>
      <c r="G4046" s="972"/>
      <c r="H4046" s="972"/>
      <c r="I4046" s="972"/>
      <c r="J4046" s="972"/>
      <c r="K4046" s="972"/>
      <c r="L4046" s="972"/>
      <c r="M4046" s="972"/>
    </row>
    <row r="4047" spans="5:13">
      <c r="E4047" s="972"/>
      <c r="F4047" s="972"/>
      <c r="G4047" s="972"/>
      <c r="H4047" s="972"/>
      <c r="I4047" s="972"/>
      <c r="J4047" s="972"/>
      <c r="K4047" s="972"/>
      <c r="L4047" s="972"/>
      <c r="M4047" s="972"/>
    </row>
    <row r="4048" spans="5:13">
      <c r="E4048" s="972"/>
      <c r="F4048" s="972"/>
      <c r="G4048" s="972"/>
      <c r="H4048" s="972"/>
      <c r="I4048" s="972"/>
      <c r="J4048" s="972"/>
      <c r="K4048" s="972"/>
      <c r="L4048" s="972"/>
      <c r="M4048" s="972"/>
    </row>
    <row r="4049" spans="5:13">
      <c r="E4049" s="972"/>
      <c r="F4049" s="972"/>
      <c r="G4049" s="972"/>
      <c r="H4049" s="972"/>
      <c r="I4049" s="972"/>
      <c r="J4049" s="972"/>
      <c r="K4049" s="972"/>
      <c r="L4049" s="972"/>
      <c r="M4049" s="972"/>
    </row>
    <row r="4050" spans="5:13">
      <c r="E4050" s="972"/>
      <c r="F4050" s="972"/>
      <c r="G4050" s="972"/>
      <c r="H4050" s="972"/>
      <c r="I4050" s="972"/>
      <c r="J4050" s="972"/>
      <c r="K4050" s="972"/>
      <c r="L4050" s="972"/>
      <c r="M4050" s="972"/>
    </row>
    <row r="4051" spans="5:13">
      <c r="E4051" s="972"/>
      <c r="F4051" s="972"/>
      <c r="G4051" s="972"/>
      <c r="H4051" s="972"/>
      <c r="I4051" s="972"/>
      <c r="J4051" s="972"/>
      <c r="K4051" s="972"/>
      <c r="L4051" s="972"/>
      <c r="M4051" s="972"/>
    </row>
    <row r="4052" spans="5:13">
      <c r="E4052" s="972"/>
      <c r="F4052" s="972"/>
      <c r="G4052" s="972"/>
      <c r="H4052" s="972"/>
      <c r="I4052" s="972"/>
      <c r="J4052" s="972"/>
      <c r="K4052" s="972"/>
      <c r="L4052" s="972"/>
      <c r="M4052" s="972"/>
    </row>
    <row r="4053" spans="5:13">
      <c r="E4053" s="972"/>
      <c r="F4053" s="972"/>
      <c r="G4053" s="972"/>
      <c r="H4053" s="972"/>
      <c r="I4053" s="972"/>
      <c r="J4053" s="972"/>
      <c r="K4053" s="972"/>
      <c r="L4053" s="972"/>
      <c r="M4053" s="972"/>
    </row>
    <row r="4054" spans="5:13">
      <c r="E4054" s="972"/>
      <c r="F4054" s="972"/>
      <c r="G4054" s="972"/>
      <c r="H4054" s="972"/>
      <c r="I4054" s="972"/>
      <c r="J4054" s="972"/>
      <c r="K4054" s="972"/>
      <c r="L4054" s="972"/>
      <c r="M4054" s="972"/>
    </row>
    <row r="4055" spans="5:13">
      <c r="E4055" s="972"/>
      <c r="F4055" s="972"/>
      <c r="G4055" s="972"/>
      <c r="H4055" s="972"/>
      <c r="I4055" s="972"/>
      <c r="J4055" s="972"/>
      <c r="K4055" s="972"/>
      <c r="L4055" s="972"/>
      <c r="M4055" s="972"/>
    </row>
    <row r="4056" spans="5:13">
      <c r="E4056" s="972"/>
      <c r="F4056" s="972"/>
      <c r="G4056" s="972"/>
      <c r="H4056" s="972"/>
      <c r="I4056" s="972"/>
      <c r="J4056" s="972"/>
      <c r="K4056" s="972"/>
      <c r="L4056" s="972"/>
      <c r="M4056" s="972"/>
    </row>
    <row r="4057" spans="5:13">
      <c r="E4057" s="972"/>
      <c r="F4057" s="972"/>
      <c r="G4057" s="972"/>
      <c r="H4057" s="972"/>
      <c r="I4057" s="972"/>
      <c r="J4057" s="972"/>
      <c r="K4057" s="972"/>
      <c r="L4057" s="972"/>
      <c r="M4057" s="972"/>
    </row>
    <row r="4058" spans="5:13">
      <c r="E4058" s="972"/>
      <c r="F4058" s="972"/>
      <c r="G4058" s="972"/>
      <c r="H4058" s="972"/>
      <c r="I4058" s="972"/>
      <c r="J4058" s="972"/>
      <c r="K4058" s="972"/>
      <c r="L4058" s="972"/>
      <c r="M4058" s="972"/>
    </row>
    <row r="4059" spans="5:13">
      <c r="E4059" s="972"/>
      <c r="F4059" s="972"/>
      <c r="G4059" s="972"/>
      <c r="H4059" s="972"/>
      <c r="I4059" s="972"/>
      <c r="J4059" s="972"/>
      <c r="K4059" s="972"/>
      <c r="L4059" s="972"/>
      <c r="M4059" s="972"/>
    </row>
    <row r="4060" spans="5:13">
      <c r="E4060" s="972"/>
      <c r="F4060" s="972"/>
      <c r="G4060" s="972"/>
      <c r="H4060" s="972"/>
      <c r="I4060" s="972"/>
      <c r="J4060" s="972"/>
      <c r="K4060" s="972"/>
      <c r="L4060" s="972"/>
      <c r="M4060" s="972"/>
    </row>
    <row r="4061" spans="5:13">
      <c r="E4061" s="972"/>
      <c r="F4061" s="972"/>
      <c r="G4061" s="972"/>
      <c r="H4061" s="972"/>
      <c r="I4061" s="972"/>
      <c r="J4061" s="972"/>
      <c r="K4061" s="972"/>
      <c r="L4061" s="972"/>
      <c r="M4061" s="972"/>
    </row>
    <row r="4062" spans="5:13">
      <c r="E4062" s="972"/>
      <c r="F4062" s="972"/>
      <c r="G4062" s="972"/>
      <c r="H4062" s="972"/>
      <c r="I4062" s="972"/>
      <c r="J4062" s="972"/>
      <c r="K4062" s="972"/>
      <c r="L4062" s="972"/>
      <c r="M4062" s="972"/>
    </row>
    <row r="4063" spans="5:13">
      <c r="E4063" s="972"/>
      <c r="F4063" s="972"/>
      <c r="G4063" s="972"/>
      <c r="H4063" s="972"/>
      <c r="I4063" s="972"/>
      <c r="J4063" s="972"/>
      <c r="K4063" s="972"/>
      <c r="L4063" s="972"/>
      <c r="M4063" s="972"/>
    </row>
    <row r="4064" spans="5:13">
      <c r="E4064" s="972"/>
      <c r="F4064" s="972"/>
      <c r="G4064" s="972"/>
      <c r="H4064" s="972"/>
      <c r="I4064" s="972"/>
      <c r="J4064" s="972"/>
      <c r="K4064" s="972"/>
      <c r="L4064" s="972"/>
      <c r="M4064" s="972"/>
    </row>
    <row r="4065" spans="5:13">
      <c r="E4065" s="972"/>
      <c r="F4065" s="972"/>
      <c r="G4065" s="972"/>
      <c r="H4065" s="972"/>
      <c r="I4065" s="972"/>
      <c r="J4065" s="972"/>
      <c r="K4065" s="972"/>
      <c r="L4065" s="972"/>
      <c r="M4065" s="972"/>
    </row>
    <row r="4066" spans="5:13">
      <c r="E4066" s="972"/>
      <c r="F4066" s="972"/>
      <c r="G4066" s="972"/>
      <c r="H4066" s="972"/>
      <c r="I4066" s="972"/>
      <c r="J4066" s="972"/>
      <c r="K4066" s="972"/>
      <c r="L4066" s="972"/>
      <c r="M4066" s="972"/>
    </row>
    <row r="4067" spans="5:13">
      <c r="E4067" s="972"/>
      <c r="F4067" s="972"/>
      <c r="G4067" s="972"/>
      <c r="H4067" s="972"/>
      <c r="I4067" s="972"/>
      <c r="J4067" s="972"/>
      <c r="K4067" s="972"/>
      <c r="L4067" s="972"/>
      <c r="M4067" s="972"/>
    </row>
    <row r="4068" spans="5:13">
      <c r="E4068" s="972"/>
      <c r="F4068" s="972"/>
      <c r="G4068" s="972"/>
      <c r="H4068" s="972"/>
      <c r="I4068" s="972"/>
      <c r="J4068" s="972"/>
      <c r="K4068" s="972"/>
      <c r="L4068" s="972"/>
      <c r="M4068" s="972"/>
    </row>
    <row r="4069" spans="5:13">
      <c r="E4069" s="972"/>
      <c r="F4069" s="972"/>
      <c r="G4069" s="972"/>
      <c r="H4069" s="972"/>
      <c r="I4069" s="972"/>
      <c r="J4069" s="972"/>
      <c r="K4069" s="972"/>
      <c r="L4069" s="972"/>
      <c r="M4069" s="972"/>
    </row>
    <row r="4070" spans="5:13">
      <c r="E4070" s="972"/>
      <c r="F4070" s="972"/>
      <c r="G4070" s="972"/>
      <c r="H4070" s="972"/>
      <c r="I4070" s="972"/>
      <c r="J4070" s="972"/>
      <c r="K4070" s="972"/>
      <c r="L4070" s="972"/>
      <c r="M4070" s="972"/>
    </row>
    <row r="4071" spans="5:13">
      <c r="E4071" s="972"/>
      <c r="F4071" s="972"/>
      <c r="G4071" s="972"/>
      <c r="H4071" s="972"/>
      <c r="I4071" s="972"/>
      <c r="J4071" s="972"/>
      <c r="K4071" s="972"/>
      <c r="L4071" s="972"/>
      <c r="M4071" s="972"/>
    </row>
    <row r="4072" spans="5:13">
      <c r="E4072" s="972"/>
      <c r="F4072" s="972"/>
      <c r="G4072" s="972"/>
      <c r="H4072" s="972"/>
      <c r="I4072" s="972"/>
      <c r="J4072" s="972"/>
      <c r="K4072" s="972"/>
      <c r="L4072" s="972"/>
      <c r="M4072" s="972"/>
    </row>
    <row r="4073" spans="5:13">
      <c r="E4073" s="972"/>
      <c r="F4073" s="972"/>
      <c r="G4073" s="972"/>
      <c r="H4073" s="972"/>
      <c r="I4073" s="972"/>
      <c r="J4073" s="972"/>
      <c r="K4073" s="972"/>
      <c r="L4073" s="972"/>
      <c r="M4073" s="972"/>
    </row>
    <row r="4074" spans="5:13">
      <c r="E4074" s="972"/>
      <c r="F4074" s="972"/>
      <c r="G4074" s="972"/>
      <c r="H4074" s="972"/>
      <c r="I4074" s="972"/>
      <c r="J4074" s="972"/>
      <c r="K4074" s="972"/>
      <c r="L4074" s="972"/>
      <c r="M4074" s="972"/>
    </row>
    <row r="4075" spans="5:13">
      <c r="E4075" s="972"/>
      <c r="F4075" s="972"/>
      <c r="G4075" s="972"/>
      <c r="H4075" s="972"/>
      <c r="I4075" s="972"/>
      <c r="J4075" s="972"/>
      <c r="K4075" s="972"/>
      <c r="L4075" s="972"/>
      <c r="M4075" s="972"/>
    </row>
    <row r="4076" spans="5:13">
      <c r="E4076" s="972"/>
      <c r="F4076" s="972"/>
      <c r="G4076" s="972"/>
      <c r="H4076" s="972"/>
      <c r="I4076" s="972"/>
      <c r="J4076" s="972"/>
      <c r="K4076" s="972"/>
      <c r="L4076" s="972"/>
      <c r="M4076" s="972"/>
    </row>
    <row r="4077" spans="5:13">
      <c r="E4077" s="972"/>
      <c r="F4077" s="972"/>
      <c r="G4077" s="972"/>
      <c r="H4077" s="972"/>
      <c r="I4077" s="972"/>
      <c r="J4077" s="972"/>
      <c r="K4077" s="972"/>
      <c r="L4077" s="972"/>
      <c r="M4077" s="972"/>
    </row>
    <row r="4078" spans="5:13">
      <c r="E4078" s="972"/>
      <c r="F4078" s="972"/>
      <c r="G4078" s="972"/>
      <c r="H4078" s="972"/>
      <c r="I4078" s="972"/>
      <c r="J4078" s="972"/>
      <c r="K4078" s="972"/>
      <c r="L4078" s="972"/>
      <c r="M4078" s="972"/>
    </row>
    <row r="4079" spans="5:13">
      <c r="E4079" s="972"/>
      <c r="F4079" s="972"/>
      <c r="G4079" s="972"/>
      <c r="H4079" s="972"/>
      <c r="I4079" s="972"/>
      <c r="J4079" s="972"/>
      <c r="K4079" s="972"/>
      <c r="L4079" s="972"/>
      <c r="M4079" s="972"/>
    </row>
    <row r="4080" spans="5:13">
      <c r="E4080" s="972"/>
      <c r="F4080" s="972"/>
      <c r="G4080" s="972"/>
      <c r="H4080" s="972"/>
      <c r="I4080" s="972"/>
      <c r="J4080" s="972"/>
      <c r="K4080" s="972"/>
      <c r="L4080" s="972"/>
      <c r="M4080" s="972"/>
    </row>
    <row r="4081" spans="5:13">
      <c r="E4081" s="972"/>
      <c r="F4081" s="972"/>
      <c r="G4081" s="972"/>
      <c r="H4081" s="972"/>
      <c r="I4081" s="972"/>
      <c r="J4081" s="972"/>
      <c r="K4081" s="972"/>
      <c r="L4081" s="972"/>
      <c r="M4081" s="972"/>
    </row>
    <row r="4082" spans="5:13">
      <c r="E4082" s="972"/>
      <c r="F4082" s="972"/>
      <c r="G4082" s="972"/>
      <c r="H4082" s="972"/>
      <c r="I4082" s="972"/>
      <c r="J4082" s="972"/>
      <c r="K4082" s="972"/>
      <c r="L4082" s="972"/>
      <c r="M4082" s="972"/>
    </row>
    <row r="4083" spans="5:13">
      <c r="E4083" s="972"/>
      <c r="F4083" s="972"/>
      <c r="G4083" s="972"/>
      <c r="H4083" s="972"/>
      <c r="I4083" s="972"/>
      <c r="J4083" s="972"/>
      <c r="K4083" s="972"/>
      <c r="L4083" s="972"/>
      <c r="M4083" s="972"/>
    </row>
    <row r="4084" spans="5:13">
      <c r="E4084" s="972"/>
      <c r="F4084" s="972"/>
      <c r="G4084" s="972"/>
      <c r="H4084" s="972"/>
      <c r="I4084" s="972"/>
      <c r="J4084" s="972"/>
      <c r="K4084" s="972"/>
      <c r="L4084" s="972"/>
      <c r="M4084" s="972"/>
    </row>
    <row r="4085" spans="5:13">
      <c r="E4085" s="972"/>
      <c r="F4085" s="972"/>
      <c r="G4085" s="972"/>
      <c r="H4085" s="972"/>
      <c r="I4085" s="972"/>
      <c r="J4085" s="972"/>
      <c r="K4085" s="972"/>
      <c r="L4085" s="972"/>
      <c r="M4085" s="972"/>
    </row>
    <row r="4086" spans="5:13">
      <c r="E4086" s="972"/>
      <c r="F4086" s="972"/>
      <c r="G4086" s="972"/>
      <c r="H4086" s="972"/>
      <c r="I4086" s="972"/>
      <c r="J4086" s="972"/>
      <c r="K4086" s="972"/>
      <c r="L4086" s="972"/>
      <c r="M4086" s="972"/>
    </row>
    <row r="4087" spans="5:13">
      <c r="E4087" s="972"/>
      <c r="F4087" s="972"/>
      <c r="G4087" s="972"/>
      <c r="H4087" s="972"/>
      <c r="I4087" s="972"/>
      <c r="J4087" s="972"/>
      <c r="K4087" s="972"/>
      <c r="L4087" s="972"/>
      <c r="M4087" s="972"/>
    </row>
    <row r="4088" spans="5:13">
      <c r="E4088" s="972"/>
      <c r="F4088" s="972"/>
      <c r="G4088" s="972"/>
      <c r="H4088" s="972"/>
      <c r="I4088" s="972"/>
      <c r="J4088" s="972"/>
      <c r="K4088" s="972"/>
      <c r="L4088" s="972"/>
      <c r="M4088" s="972"/>
    </row>
    <row r="4089" spans="5:13">
      <c r="E4089" s="972"/>
      <c r="F4089" s="972"/>
      <c r="G4089" s="972"/>
      <c r="H4089" s="972"/>
      <c r="I4089" s="972"/>
      <c r="J4089" s="972"/>
      <c r="K4089" s="972"/>
      <c r="L4089" s="972"/>
      <c r="M4089" s="972"/>
    </row>
    <row r="4090" spans="5:13">
      <c r="E4090" s="972"/>
      <c r="F4090" s="972"/>
      <c r="G4090" s="972"/>
      <c r="H4090" s="972"/>
      <c r="I4090" s="972"/>
      <c r="J4090" s="972"/>
      <c r="K4090" s="972"/>
      <c r="L4090" s="972"/>
      <c r="M4090" s="972"/>
    </row>
    <row r="4091" spans="5:13">
      <c r="E4091" s="972"/>
      <c r="F4091" s="972"/>
      <c r="G4091" s="972"/>
      <c r="H4091" s="972"/>
      <c r="I4091" s="972"/>
      <c r="J4091" s="972"/>
      <c r="K4091" s="972"/>
      <c r="L4091" s="972"/>
      <c r="M4091" s="972"/>
    </row>
    <row r="4092" spans="5:13">
      <c r="E4092" s="972"/>
      <c r="F4092" s="972"/>
      <c r="G4092" s="972"/>
      <c r="H4092" s="972"/>
      <c r="I4092" s="972"/>
      <c r="J4092" s="972"/>
      <c r="K4092" s="972"/>
      <c r="L4092" s="972"/>
      <c r="M4092" s="972"/>
    </row>
    <row r="4093" spans="5:13">
      <c r="E4093" s="972"/>
      <c r="F4093" s="972"/>
      <c r="G4093" s="972"/>
      <c r="H4093" s="972"/>
      <c r="I4093" s="972"/>
      <c r="J4093" s="972"/>
      <c r="K4093" s="972"/>
      <c r="L4093" s="972"/>
      <c r="M4093" s="972"/>
    </row>
    <row r="4094" spans="5:13">
      <c r="E4094" s="972"/>
      <c r="F4094" s="972"/>
      <c r="G4094" s="972"/>
      <c r="H4094" s="972"/>
      <c r="I4094" s="972"/>
      <c r="J4094" s="972"/>
      <c r="K4094" s="972"/>
      <c r="L4094" s="972"/>
      <c r="M4094" s="972"/>
    </row>
    <row r="4095" spans="5:13">
      <c r="E4095" s="972"/>
      <c r="F4095" s="972"/>
      <c r="G4095" s="972"/>
      <c r="H4095" s="972"/>
      <c r="I4095" s="972"/>
      <c r="J4095" s="972"/>
      <c r="K4095" s="972"/>
      <c r="L4095" s="972"/>
      <c r="M4095" s="972"/>
    </row>
    <row r="4096" spans="5:13">
      <c r="E4096" s="972"/>
      <c r="F4096" s="972"/>
      <c r="G4096" s="972"/>
      <c r="H4096" s="972"/>
      <c r="I4096" s="972"/>
      <c r="J4096" s="972"/>
      <c r="K4096" s="972"/>
      <c r="L4096" s="972"/>
      <c r="M4096" s="972"/>
    </row>
    <row r="4097" spans="5:13">
      <c r="E4097" s="972"/>
      <c r="F4097" s="972"/>
      <c r="G4097" s="972"/>
      <c r="H4097" s="972"/>
      <c r="I4097" s="972"/>
      <c r="J4097" s="972"/>
      <c r="K4097" s="972"/>
      <c r="L4097" s="972"/>
      <c r="M4097" s="972"/>
    </row>
    <row r="4098" spans="5:13">
      <c r="E4098" s="972"/>
      <c r="F4098" s="972"/>
      <c r="G4098" s="972"/>
      <c r="H4098" s="972"/>
      <c r="I4098" s="972"/>
      <c r="J4098" s="972"/>
      <c r="K4098" s="972"/>
      <c r="L4098" s="972"/>
      <c r="M4098" s="972"/>
    </row>
    <row r="4099" spans="5:13">
      <c r="E4099" s="972"/>
      <c r="F4099" s="972"/>
      <c r="G4099" s="972"/>
      <c r="H4099" s="972"/>
      <c r="I4099" s="972"/>
      <c r="J4099" s="972"/>
      <c r="K4099" s="972"/>
      <c r="L4099" s="972"/>
      <c r="M4099" s="972"/>
    </row>
    <row r="4100" spans="5:13">
      <c r="E4100" s="972"/>
      <c r="F4100" s="972"/>
      <c r="G4100" s="972"/>
      <c r="H4100" s="972"/>
      <c r="I4100" s="972"/>
      <c r="J4100" s="972"/>
      <c r="K4100" s="972"/>
      <c r="L4100" s="972"/>
      <c r="M4100" s="972"/>
    </row>
    <row r="4101" spans="5:13">
      <c r="E4101" s="972"/>
      <c r="F4101" s="972"/>
      <c r="G4101" s="972"/>
      <c r="H4101" s="972"/>
      <c r="I4101" s="972"/>
      <c r="J4101" s="972"/>
      <c r="K4101" s="972"/>
      <c r="L4101" s="972"/>
      <c r="M4101" s="972"/>
    </row>
    <row r="4102" spans="5:13">
      <c r="E4102" s="972"/>
      <c r="F4102" s="972"/>
      <c r="G4102" s="972"/>
      <c r="H4102" s="972"/>
      <c r="I4102" s="972"/>
      <c r="J4102" s="972"/>
      <c r="K4102" s="972"/>
      <c r="L4102" s="972"/>
      <c r="M4102" s="972"/>
    </row>
    <row r="4103" spans="5:13">
      <c r="E4103" s="972"/>
      <c r="F4103" s="972"/>
      <c r="G4103" s="972"/>
      <c r="H4103" s="972"/>
      <c r="I4103" s="972"/>
      <c r="J4103" s="972"/>
      <c r="K4103" s="972"/>
      <c r="L4103" s="972"/>
      <c r="M4103" s="972"/>
    </row>
    <row r="4104" spans="5:13">
      <c r="E4104" s="972"/>
      <c r="F4104" s="972"/>
      <c r="G4104" s="972"/>
      <c r="H4104" s="972"/>
      <c r="I4104" s="972"/>
      <c r="J4104" s="972"/>
      <c r="K4104" s="972"/>
      <c r="L4104" s="972"/>
      <c r="M4104" s="972"/>
    </row>
    <row r="4105" spans="5:13">
      <c r="E4105" s="972"/>
      <c r="F4105" s="972"/>
      <c r="G4105" s="972"/>
      <c r="H4105" s="972"/>
      <c r="I4105" s="972"/>
      <c r="J4105" s="972"/>
      <c r="K4105" s="972"/>
      <c r="L4105" s="972"/>
      <c r="M4105" s="972"/>
    </row>
    <row r="4106" spans="5:13">
      <c r="E4106" s="972"/>
      <c r="F4106" s="972"/>
      <c r="G4106" s="972"/>
      <c r="H4106" s="972"/>
      <c r="I4106" s="972"/>
      <c r="J4106" s="972"/>
      <c r="K4106" s="972"/>
      <c r="L4106" s="972"/>
      <c r="M4106" s="972"/>
    </row>
    <row r="4107" spans="5:13">
      <c r="E4107" s="972"/>
      <c r="F4107" s="972"/>
      <c r="G4107" s="972"/>
      <c r="H4107" s="972"/>
      <c r="I4107" s="972"/>
      <c r="J4107" s="972"/>
      <c r="K4107" s="972"/>
      <c r="L4107" s="972"/>
      <c r="M4107" s="972"/>
    </row>
    <row r="4108" spans="5:13">
      <c r="E4108" s="972"/>
      <c r="F4108" s="972"/>
      <c r="G4108" s="972"/>
      <c r="H4108" s="972"/>
      <c r="I4108" s="972"/>
      <c r="J4108" s="972"/>
      <c r="K4108" s="972"/>
      <c r="L4108" s="972"/>
      <c r="M4108" s="972"/>
    </row>
    <row r="4109" spans="5:13">
      <c r="E4109" s="972"/>
      <c r="F4109" s="972"/>
      <c r="G4109" s="972"/>
      <c r="H4109" s="972"/>
      <c r="I4109" s="972"/>
      <c r="J4109" s="972"/>
      <c r="K4109" s="972"/>
      <c r="L4109" s="972"/>
      <c r="M4109" s="972"/>
    </row>
    <row r="4110" spans="5:13">
      <c r="E4110" s="972"/>
      <c r="F4110" s="972"/>
      <c r="G4110" s="972"/>
      <c r="H4110" s="972"/>
      <c r="I4110" s="972"/>
      <c r="J4110" s="972"/>
      <c r="K4110" s="972"/>
      <c r="L4110" s="972"/>
      <c r="M4110" s="972"/>
    </row>
    <row r="4111" spans="5:13">
      <c r="E4111" s="972"/>
      <c r="F4111" s="972"/>
      <c r="G4111" s="972"/>
      <c r="H4111" s="972"/>
      <c r="I4111" s="972"/>
      <c r="J4111" s="972"/>
      <c r="K4111" s="972"/>
      <c r="L4111" s="972"/>
      <c r="M4111" s="972"/>
    </row>
    <row r="4112" spans="5:13">
      <c r="E4112" s="972"/>
      <c r="F4112" s="972"/>
      <c r="G4112" s="972"/>
      <c r="H4112" s="972"/>
      <c r="I4112" s="972"/>
      <c r="J4112" s="972"/>
      <c r="K4112" s="972"/>
      <c r="L4112" s="972"/>
      <c r="M4112" s="972"/>
    </row>
    <row r="4113" spans="5:13">
      <c r="E4113" s="972"/>
      <c r="F4113" s="972"/>
      <c r="G4113" s="972"/>
      <c r="H4113" s="972"/>
      <c r="I4113" s="972"/>
      <c r="J4113" s="972"/>
      <c r="K4113" s="972"/>
      <c r="L4113" s="972"/>
      <c r="M4113" s="972"/>
    </row>
    <row r="4114" spans="5:13">
      <c r="E4114" s="972"/>
      <c r="F4114" s="972"/>
      <c r="G4114" s="972"/>
      <c r="H4114" s="972"/>
      <c r="I4114" s="972"/>
      <c r="J4114" s="972"/>
      <c r="K4114" s="972"/>
      <c r="L4114" s="972"/>
      <c r="M4114" s="972"/>
    </row>
    <row r="4115" spans="5:13">
      <c r="E4115" s="972"/>
      <c r="F4115" s="972"/>
      <c r="G4115" s="972"/>
      <c r="H4115" s="972"/>
      <c r="I4115" s="972"/>
      <c r="J4115" s="972"/>
      <c r="K4115" s="972"/>
      <c r="L4115" s="972"/>
      <c r="M4115" s="972"/>
    </row>
    <row r="4116" spans="5:13">
      <c r="E4116" s="972"/>
      <c r="F4116" s="972"/>
      <c r="G4116" s="972"/>
      <c r="H4116" s="972"/>
      <c r="I4116" s="972"/>
      <c r="J4116" s="972"/>
      <c r="K4116" s="972"/>
      <c r="L4116" s="972"/>
      <c r="M4116" s="972"/>
    </row>
    <row r="4117" spans="5:13">
      <c r="E4117" s="972"/>
      <c r="F4117" s="972"/>
      <c r="G4117" s="972"/>
      <c r="H4117" s="972"/>
      <c r="I4117" s="972"/>
      <c r="J4117" s="972"/>
      <c r="K4117" s="972"/>
      <c r="L4117" s="972"/>
      <c r="M4117" s="972"/>
    </row>
    <row r="4118" spans="5:13">
      <c r="E4118" s="972"/>
      <c r="F4118" s="972"/>
      <c r="G4118" s="972"/>
      <c r="H4118" s="972"/>
      <c r="I4118" s="972"/>
      <c r="J4118" s="972"/>
      <c r="K4118" s="972"/>
      <c r="L4118" s="972"/>
      <c r="M4118" s="972"/>
    </row>
    <row r="4119" spans="5:13">
      <c r="E4119" s="972"/>
      <c r="F4119" s="972"/>
      <c r="G4119" s="972"/>
      <c r="H4119" s="972"/>
      <c r="I4119" s="972"/>
      <c r="J4119" s="972"/>
      <c r="K4119" s="972"/>
      <c r="L4119" s="972"/>
      <c r="M4119" s="972"/>
    </row>
    <row r="4120" spans="5:13">
      <c r="E4120" s="972"/>
      <c r="F4120" s="972"/>
      <c r="G4120" s="972"/>
      <c r="H4120" s="972"/>
      <c r="I4120" s="972"/>
      <c r="J4120" s="972"/>
      <c r="K4120" s="972"/>
      <c r="L4120" s="972"/>
      <c r="M4120" s="972"/>
    </row>
    <row r="4121" spans="5:13">
      <c r="E4121" s="972"/>
      <c r="F4121" s="972"/>
      <c r="G4121" s="972"/>
      <c r="H4121" s="972"/>
      <c r="I4121" s="972"/>
      <c r="J4121" s="972"/>
      <c r="K4121" s="972"/>
      <c r="L4121" s="972"/>
      <c r="M4121" s="972"/>
    </row>
    <row r="4122" spans="5:13">
      <c r="E4122" s="972"/>
      <c r="F4122" s="972"/>
      <c r="G4122" s="972"/>
      <c r="H4122" s="972"/>
      <c r="I4122" s="972"/>
      <c r="J4122" s="972"/>
      <c r="K4122" s="972"/>
      <c r="L4122" s="972"/>
      <c r="M4122" s="972"/>
    </row>
    <row r="4123" spans="5:13">
      <c r="E4123" s="972"/>
      <c r="F4123" s="972"/>
      <c r="G4123" s="972"/>
      <c r="H4123" s="972"/>
      <c r="I4123" s="972"/>
      <c r="J4123" s="972"/>
      <c r="K4123" s="972"/>
      <c r="L4123" s="972"/>
      <c r="M4123" s="972"/>
    </row>
    <row r="4124" spans="5:13">
      <c r="E4124" s="972"/>
      <c r="F4124" s="972"/>
      <c r="G4124" s="972"/>
      <c r="H4124" s="972"/>
      <c r="I4124" s="972"/>
      <c r="J4124" s="972"/>
      <c r="K4124" s="972"/>
      <c r="L4124" s="972"/>
      <c r="M4124" s="972"/>
    </row>
    <row r="4125" spans="5:13">
      <c r="E4125" s="972"/>
      <c r="F4125" s="972"/>
      <c r="G4125" s="972"/>
      <c r="H4125" s="972"/>
      <c r="I4125" s="972"/>
      <c r="J4125" s="972"/>
      <c r="K4125" s="972"/>
      <c r="L4125" s="972"/>
      <c r="M4125" s="972"/>
    </row>
    <row r="4126" spans="5:13">
      <c r="E4126" s="972"/>
      <c r="F4126" s="972"/>
      <c r="G4126" s="972"/>
      <c r="H4126" s="972"/>
      <c r="I4126" s="972"/>
      <c r="J4126" s="972"/>
      <c r="K4126" s="972"/>
      <c r="L4126" s="972"/>
      <c r="M4126" s="972"/>
    </row>
    <row r="4127" spans="5:13">
      <c r="E4127" s="972"/>
      <c r="F4127" s="972"/>
      <c r="G4127" s="972"/>
      <c r="H4127" s="972"/>
      <c r="I4127" s="972"/>
      <c r="J4127" s="972"/>
      <c r="K4127" s="972"/>
      <c r="L4127" s="972"/>
      <c r="M4127" s="972"/>
    </row>
    <row r="4128" spans="5:13">
      <c r="E4128" s="972"/>
      <c r="F4128" s="972"/>
      <c r="G4128" s="972"/>
      <c r="H4128" s="972"/>
      <c r="I4128" s="972"/>
      <c r="J4128" s="972"/>
      <c r="K4128" s="972"/>
      <c r="L4128" s="972"/>
      <c r="M4128" s="972"/>
    </row>
    <row r="4129" spans="5:13">
      <c r="E4129" s="972"/>
      <c r="F4129" s="972"/>
      <c r="G4129" s="972"/>
      <c r="H4129" s="972"/>
      <c r="I4129" s="972"/>
      <c r="J4129" s="972"/>
      <c r="K4129" s="972"/>
      <c r="L4129" s="972"/>
      <c r="M4129" s="972"/>
    </row>
    <row r="4130" spans="5:13">
      <c r="E4130" s="972"/>
      <c r="F4130" s="972"/>
      <c r="G4130" s="972"/>
      <c r="H4130" s="972"/>
      <c r="I4130" s="972"/>
      <c r="J4130" s="972"/>
      <c r="K4130" s="972"/>
      <c r="L4130" s="972"/>
      <c r="M4130" s="972"/>
    </row>
    <row r="4131" spans="5:13">
      <c r="E4131" s="972"/>
      <c r="F4131" s="972"/>
      <c r="G4131" s="972"/>
      <c r="H4131" s="972"/>
      <c r="I4131" s="972"/>
      <c r="J4131" s="972"/>
      <c r="K4131" s="972"/>
      <c r="L4131" s="972"/>
      <c r="M4131" s="972"/>
    </row>
    <row r="4132" spans="5:13">
      <c r="E4132" s="972"/>
      <c r="F4132" s="972"/>
      <c r="G4132" s="972"/>
      <c r="H4132" s="972"/>
      <c r="I4132" s="972"/>
      <c r="J4132" s="972"/>
      <c r="K4132" s="972"/>
      <c r="L4132" s="972"/>
      <c r="M4132" s="972"/>
    </row>
    <row r="4133" spans="5:13">
      <c r="E4133" s="972"/>
      <c r="F4133" s="972"/>
      <c r="G4133" s="972"/>
      <c r="H4133" s="972"/>
      <c r="I4133" s="972"/>
      <c r="J4133" s="972"/>
      <c r="K4133" s="972"/>
      <c r="L4133" s="972"/>
      <c r="M4133" s="972"/>
    </row>
    <row r="4134" spans="5:13">
      <c r="E4134" s="972"/>
      <c r="F4134" s="972"/>
      <c r="G4134" s="972"/>
      <c r="H4134" s="972"/>
      <c r="I4134" s="972"/>
      <c r="J4134" s="972"/>
      <c r="K4134" s="972"/>
      <c r="L4134" s="972"/>
      <c r="M4134" s="972"/>
    </row>
    <row r="4135" spans="5:13">
      <c r="E4135" s="972"/>
      <c r="F4135" s="972"/>
      <c r="G4135" s="972"/>
      <c r="H4135" s="972"/>
      <c r="I4135" s="972"/>
      <c r="J4135" s="972"/>
      <c r="K4135" s="972"/>
      <c r="L4135" s="972"/>
      <c r="M4135" s="972"/>
    </row>
    <row r="4136" spans="5:13">
      <c r="E4136" s="972"/>
      <c r="F4136" s="972"/>
      <c r="G4136" s="972"/>
      <c r="H4136" s="972"/>
      <c r="I4136" s="972"/>
      <c r="J4136" s="972"/>
      <c r="K4136" s="972"/>
      <c r="L4136" s="972"/>
      <c r="M4136" s="972"/>
    </row>
    <row r="4137" spans="5:13">
      <c r="E4137" s="972"/>
      <c r="F4137" s="972"/>
      <c r="G4137" s="972"/>
      <c r="H4137" s="972"/>
      <c r="I4137" s="972"/>
      <c r="J4137" s="972"/>
      <c r="K4137" s="972"/>
      <c r="L4137" s="972"/>
      <c r="M4137" s="972"/>
    </row>
    <row r="4138" spans="5:13">
      <c r="E4138" s="972"/>
      <c r="F4138" s="972"/>
      <c r="G4138" s="972"/>
      <c r="H4138" s="972"/>
      <c r="I4138" s="972"/>
      <c r="J4138" s="972"/>
      <c r="K4138" s="972"/>
      <c r="L4138" s="972"/>
      <c r="M4138" s="972"/>
    </row>
    <row r="4139" spans="5:13">
      <c r="E4139" s="972"/>
      <c r="F4139" s="972"/>
      <c r="G4139" s="972"/>
      <c r="H4139" s="972"/>
      <c r="I4139" s="972"/>
      <c r="J4139" s="972"/>
      <c r="K4139" s="972"/>
      <c r="L4139" s="972"/>
      <c r="M4139" s="972"/>
    </row>
    <row r="4140" spans="5:13">
      <c r="E4140" s="972"/>
      <c r="F4140" s="972"/>
      <c r="G4140" s="972"/>
      <c r="H4140" s="972"/>
      <c r="I4140" s="972"/>
      <c r="J4140" s="972"/>
      <c r="K4140" s="972"/>
      <c r="L4140" s="972"/>
      <c r="M4140" s="972"/>
    </row>
    <row r="4141" spans="5:13">
      <c r="E4141" s="972"/>
      <c r="F4141" s="972"/>
      <c r="G4141" s="972"/>
      <c r="H4141" s="972"/>
      <c r="I4141" s="972"/>
      <c r="J4141" s="972"/>
      <c r="K4141" s="972"/>
      <c r="L4141" s="972"/>
      <c r="M4141" s="972"/>
    </row>
    <row r="4142" spans="5:13">
      <c r="E4142" s="972"/>
      <c r="F4142" s="972"/>
      <c r="G4142" s="972"/>
      <c r="H4142" s="972"/>
      <c r="I4142" s="972"/>
      <c r="J4142" s="972"/>
      <c r="K4142" s="972"/>
      <c r="L4142" s="972"/>
      <c r="M4142" s="972"/>
    </row>
    <row r="4143" spans="5:13">
      <c r="E4143" s="972"/>
      <c r="F4143" s="972"/>
      <c r="G4143" s="972"/>
      <c r="H4143" s="972"/>
      <c r="I4143" s="972"/>
      <c r="J4143" s="972"/>
      <c r="K4143" s="972"/>
      <c r="L4143" s="972"/>
      <c r="M4143" s="972"/>
    </row>
    <row r="4144" spans="5:13">
      <c r="E4144" s="972"/>
      <c r="F4144" s="972"/>
      <c r="G4144" s="972"/>
      <c r="H4144" s="972"/>
      <c r="I4144" s="972"/>
      <c r="J4144" s="972"/>
      <c r="K4144" s="972"/>
      <c r="L4144" s="972"/>
      <c r="M4144" s="972"/>
    </row>
    <row r="4145" spans="5:13">
      <c r="E4145" s="972"/>
      <c r="F4145" s="972"/>
      <c r="G4145" s="972"/>
      <c r="H4145" s="972"/>
      <c r="I4145" s="972"/>
      <c r="J4145" s="972"/>
      <c r="K4145" s="972"/>
      <c r="L4145" s="972"/>
      <c r="M4145" s="972"/>
    </row>
    <row r="4146" spans="5:13">
      <c r="E4146" s="972"/>
      <c r="F4146" s="972"/>
      <c r="G4146" s="972"/>
      <c r="H4146" s="972"/>
      <c r="I4146" s="972"/>
      <c r="J4146" s="972"/>
      <c r="K4146" s="972"/>
      <c r="L4146" s="972"/>
      <c r="M4146" s="972"/>
    </row>
    <row r="4147" spans="5:13">
      <c r="E4147" s="972"/>
      <c r="F4147" s="972"/>
      <c r="G4147" s="972"/>
      <c r="H4147" s="972"/>
      <c r="I4147" s="972"/>
      <c r="J4147" s="972"/>
      <c r="K4147" s="972"/>
      <c r="L4147" s="972"/>
      <c r="M4147" s="972"/>
    </row>
    <row r="4148" spans="5:13">
      <c r="E4148" s="972"/>
      <c r="F4148" s="972"/>
      <c r="G4148" s="972"/>
      <c r="H4148" s="972"/>
      <c r="I4148" s="972"/>
      <c r="J4148" s="972"/>
      <c r="K4148" s="972"/>
      <c r="L4148" s="972"/>
      <c r="M4148" s="972"/>
    </row>
    <row r="4149" spans="5:13">
      <c r="E4149" s="972"/>
      <c r="F4149" s="972"/>
      <c r="G4149" s="972"/>
      <c r="H4149" s="972"/>
      <c r="I4149" s="972"/>
      <c r="J4149" s="972"/>
      <c r="K4149" s="972"/>
      <c r="L4149" s="972"/>
      <c r="M4149" s="972"/>
    </row>
    <row r="4150" spans="5:13">
      <c r="E4150" s="972"/>
      <c r="F4150" s="972"/>
      <c r="G4150" s="972"/>
      <c r="H4150" s="972"/>
      <c r="I4150" s="972"/>
      <c r="J4150" s="972"/>
      <c r="K4150" s="972"/>
      <c r="L4150" s="972"/>
      <c r="M4150" s="972"/>
    </row>
    <row r="4151" spans="5:13">
      <c r="E4151" s="972"/>
      <c r="F4151" s="972"/>
      <c r="G4151" s="972"/>
      <c r="H4151" s="972"/>
      <c r="I4151" s="972"/>
      <c r="J4151" s="972"/>
      <c r="K4151" s="972"/>
      <c r="L4151" s="972"/>
      <c r="M4151" s="972"/>
    </row>
    <row r="4152" spans="5:13">
      <c r="E4152" s="972"/>
      <c r="F4152" s="972"/>
      <c r="G4152" s="972"/>
      <c r="H4152" s="972"/>
      <c r="I4152" s="972"/>
      <c r="J4152" s="972"/>
      <c r="K4152" s="972"/>
      <c r="L4152" s="972"/>
      <c r="M4152" s="972"/>
    </row>
    <row r="4153" spans="5:13">
      <c r="E4153" s="972"/>
      <c r="F4153" s="972"/>
      <c r="G4153" s="972"/>
      <c r="H4153" s="972"/>
      <c r="I4153" s="972"/>
      <c r="J4153" s="972"/>
      <c r="K4153" s="972"/>
      <c r="L4153" s="972"/>
      <c r="M4153" s="972"/>
    </row>
    <row r="4154" spans="5:13">
      <c r="E4154" s="972"/>
      <c r="F4154" s="972"/>
      <c r="G4154" s="972"/>
      <c r="H4154" s="972"/>
      <c r="I4154" s="972"/>
      <c r="J4154" s="972"/>
      <c r="K4154" s="972"/>
      <c r="L4154" s="972"/>
      <c r="M4154" s="972"/>
    </row>
    <row r="4155" spans="5:13">
      <c r="E4155" s="972"/>
      <c r="F4155" s="972"/>
      <c r="G4155" s="972"/>
      <c r="H4155" s="972"/>
      <c r="I4155" s="972"/>
      <c r="J4155" s="972"/>
      <c r="K4155" s="972"/>
      <c r="L4155" s="972"/>
      <c r="M4155" s="972"/>
    </row>
    <row r="4156" spans="5:13">
      <c r="E4156" s="972"/>
      <c r="F4156" s="972"/>
      <c r="G4156" s="972"/>
      <c r="H4156" s="972"/>
      <c r="I4156" s="972"/>
      <c r="J4156" s="972"/>
      <c r="K4156" s="972"/>
      <c r="L4156" s="972"/>
      <c r="M4156" s="972"/>
    </row>
    <row r="4157" spans="5:13">
      <c r="E4157" s="972"/>
      <c r="F4157" s="972"/>
      <c r="G4157" s="972"/>
      <c r="H4157" s="972"/>
      <c r="I4157" s="972"/>
      <c r="J4157" s="972"/>
      <c r="K4157" s="972"/>
      <c r="L4157" s="972"/>
      <c r="M4157" s="972"/>
    </row>
    <row r="4158" spans="5:13">
      <c r="E4158" s="972"/>
      <c r="F4158" s="972"/>
      <c r="G4158" s="972"/>
      <c r="H4158" s="972"/>
      <c r="I4158" s="972"/>
      <c r="J4158" s="972"/>
      <c r="K4158" s="972"/>
      <c r="L4158" s="972"/>
      <c r="M4158" s="972"/>
    </row>
    <row r="4159" spans="5:13">
      <c r="E4159" s="972"/>
      <c r="F4159" s="972"/>
      <c r="G4159" s="972"/>
      <c r="H4159" s="972"/>
      <c r="I4159" s="972"/>
      <c r="J4159" s="972"/>
      <c r="K4159" s="972"/>
      <c r="L4159" s="972"/>
      <c r="M4159" s="972"/>
    </row>
    <row r="4160" spans="5:13">
      <c r="E4160" s="972"/>
      <c r="F4160" s="972"/>
      <c r="G4160" s="972"/>
      <c r="H4160" s="972"/>
      <c r="I4160" s="972"/>
      <c r="J4160" s="972"/>
      <c r="K4160" s="972"/>
      <c r="L4160" s="972"/>
      <c r="M4160" s="972"/>
    </row>
    <row r="4161" spans="5:13">
      <c r="E4161" s="972"/>
      <c r="F4161" s="972"/>
      <c r="G4161" s="972"/>
      <c r="H4161" s="972"/>
      <c r="I4161" s="972"/>
      <c r="J4161" s="972"/>
      <c r="K4161" s="972"/>
      <c r="L4161" s="972"/>
      <c r="M4161" s="972"/>
    </row>
    <row r="4162" spans="5:13">
      <c r="E4162" s="972"/>
      <c r="F4162" s="972"/>
      <c r="G4162" s="972"/>
      <c r="H4162" s="972"/>
      <c r="I4162" s="972"/>
      <c r="J4162" s="972"/>
      <c r="K4162" s="972"/>
      <c r="L4162" s="972"/>
      <c r="M4162" s="972"/>
    </row>
    <row r="4163" spans="5:13">
      <c r="E4163" s="972"/>
      <c r="F4163" s="972"/>
      <c r="G4163" s="972"/>
      <c r="H4163" s="972"/>
      <c r="I4163" s="972"/>
      <c r="J4163" s="972"/>
      <c r="K4163" s="972"/>
      <c r="L4163" s="972"/>
      <c r="M4163" s="972"/>
    </row>
    <row r="4164" spans="5:13">
      <c r="E4164" s="972"/>
      <c r="F4164" s="972"/>
      <c r="G4164" s="972"/>
      <c r="H4164" s="972"/>
      <c r="I4164" s="972"/>
      <c r="J4164" s="972"/>
      <c r="K4164" s="972"/>
      <c r="L4164" s="972"/>
      <c r="M4164" s="972"/>
    </row>
    <row r="4165" spans="5:13">
      <c r="E4165" s="972"/>
      <c r="F4165" s="972"/>
      <c r="G4165" s="972"/>
      <c r="H4165" s="972"/>
      <c r="I4165" s="972"/>
      <c r="J4165" s="972"/>
      <c r="K4165" s="972"/>
      <c r="L4165" s="972"/>
      <c r="M4165" s="972"/>
    </row>
    <row r="4166" spans="5:13">
      <c r="E4166" s="972"/>
      <c r="F4166" s="972"/>
      <c r="G4166" s="972"/>
      <c r="H4166" s="972"/>
      <c r="I4166" s="972"/>
      <c r="J4166" s="972"/>
      <c r="K4166" s="972"/>
      <c r="L4166" s="972"/>
      <c r="M4166" s="972"/>
    </row>
    <row r="4167" spans="5:13">
      <c r="E4167" s="972"/>
      <c r="F4167" s="972"/>
      <c r="G4167" s="972"/>
      <c r="H4167" s="972"/>
      <c r="I4167" s="972"/>
      <c r="J4167" s="972"/>
      <c r="K4167" s="972"/>
      <c r="L4167" s="972"/>
      <c r="M4167" s="972"/>
    </row>
    <row r="4168" spans="5:13">
      <c r="E4168" s="972"/>
      <c r="F4168" s="972"/>
      <c r="G4168" s="972"/>
      <c r="H4168" s="972"/>
      <c r="I4168" s="972"/>
      <c r="J4168" s="972"/>
      <c r="K4168" s="972"/>
      <c r="L4168" s="972"/>
      <c r="M4168" s="972"/>
    </row>
    <row r="4169" spans="5:13">
      <c r="E4169" s="972"/>
      <c r="F4169" s="972"/>
      <c r="G4169" s="972"/>
      <c r="H4169" s="972"/>
      <c r="I4169" s="972"/>
      <c r="J4169" s="972"/>
      <c r="K4169" s="972"/>
      <c r="L4169" s="972"/>
      <c r="M4169" s="972"/>
    </row>
    <row r="4170" spans="5:13">
      <c r="E4170" s="972"/>
      <c r="F4170" s="972"/>
      <c r="G4170" s="972"/>
      <c r="H4170" s="972"/>
      <c r="I4170" s="972"/>
      <c r="J4170" s="972"/>
      <c r="K4170" s="972"/>
      <c r="L4170" s="972"/>
      <c r="M4170" s="972"/>
    </row>
    <row r="4171" spans="5:13">
      <c r="E4171" s="972"/>
      <c r="F4171" s="972"/>
      <c r="G4171" s="972"/>
      <c r="H4171" s="972"/>
      <c r="I4171" s="972"/>
      <c r="J4171" s="972"/>
      <c r="K4171" s="972"/>
      <c r="L4171" s="972"/>
      <c r="M4171" s="972"/>
    </row>
    <row r="4172" spans="5:13">
      <c r="E4172" s="972"/>
      <c r="F4172" s="972"/>
      <c r="G4172" s="972"/>
      <c r="H4172" s="972"/>
      <c r="I4172" s="972"/>
      <c r="J4172" s="972"/>
      <c r="K4172" s="972"/>
      <c r="L4172" s="972"/>
      <c r="M4172" s="972"/>
    </row>
    <row r="4173" spans="5:13">
      <c r="E4173" s="972"/>
      <c r="F4173" s="972"/>
      <c r="G4173" s="972"/>
      <c r="H4173" s="972"/>
      <c r="I4173" s="972"/>
      <c r="J4173" s="972"/>
      <c r="K4173" s="972"/>
      <c r="L4173" s="972"/>
      <c r="M4173" s="972"/>
    </row>
    <row r="4174" spans="5:13">
      <c r="E4174" s="972"/>
      <c r="F4174" s="972"/>
      <c r="G4174" s="972"/>
      <c r="H4174" s="972"/>
      <c r="I4174" s="972"/>
      <c r="J4174" s="972"/>
      <c r="K4174" s="972"/>
      <c r="L4174" s="972"/>
      <c r="M4174" s="972"/>
    </row>
    <row r="4175" spans="5:13">
      <c r="E4175" s="972"/>
      <c r="F4175" s="972"/>
      <c r="G4175" s="972"/>
      <c r="H4175" s="972"/>
      <c r="I4175" s="972"/>
      <c r="J4175" s="972"/>
      <c r="K4175" s="972"/>
      <c r="L4175" s="972"/>
      <c r="M4175" s="972"/>
    </row>
    <row r="4176" spans="5:13">
      <c r="E4176" s="972"/>
      <c r="F4176" s="972"/>
      <c r="G4176" s="972"/>
      <c r="H4176" s="972"/>
      <c r="I4176" s="972"/>
      <c r="J4176" s="972"/>
      <c r="K4176" s="972"/>
      <c r="L4176" s="972"/>
      <c r="M4176" s="972"/>
    </row>
    <row r="4177" spans="5:13">
      <c r="E4177" s="972"/>
      <c r="F4177" s="972"/>
      <c r="G4177" s="972"/>
      <c r="H4177" s="972"/>
      <c r="I4177" s="972"/>
      <c r="J4177" s="972"/>
      <c r="K4177" s="972"/>
      <c r="L4177" s="972"/>
      <c r="M4177" s="972"/>
    </row>
    <row r="4178" spans="5:13">
      <c r="E4178" s="972"/>
      <c r="F4178" s="972"/>
      <c r="G4178" s="972"/>
      <c r="H4178" s="972"/>
      <c r="I4178" s="972"/>
      <c r="J4178" s="972"/>
      <c r="K4178" s="972"/>
      <c r="L4178" s="972"/>
      <c r="M4178" s="972"/>
    </row>
    <row r="4179" spans="5:13">
      <c r="E4179" s="972"/>
      <c r="F4179" s="972"/>
      <c r="G4179" s="972"/>
      <c r="H4179" s="972"/>
      <c r="I4179" s="972"/>
      <c r="J4179" s="972"/>
      <c r="K4179" s="972"/>
      <c r="L4179" s="972"/>
      <c r="M4179" s="972"/>
    </row>
    <row r="4180" spans="5:13">
      <c r="E4180" s="972"/>
      <c r="F4180" s="972"/>
      <c r="G4180" s="972"/>
      <c r="H4180" s="972"/>
      <c r="I4180" s="972"/>
      <c r="J4180" s="972"/>
      <c r="K4180" s="972"/>
      <c r="L4180" s="972"/>
      <c r="M4180" s="972"/>
    </row>
    <row r="4181" spans="5:13">
      <c r="E4181" s="972"/>
      <c r="F4181" s="972"/>
      <c r="G4181" s="972"/>
      <c r="H4181" s="972"/>
      <c r="I4181" s="972"/>
      <c r="J4181" s="972"/>
      <c r="K4181" s="972"/>
      <c r="L4181" s="972"/>
      <c r="M4181" s="972"/>
    </row>
    <row r="4182" spans="5:13">
      <c r="E4182" s="972"/>
      <c r="F4182" s="972"/>
      <c r="G4182" s="972"/>
      <c r="H4182" s="972"/>
      <c r="I4182" s="972"/>
      <c r="J4182" s="972"/>
      <c r="K4182" s="972"/>
      <c r="L4182" s="972"/>
      <c r="M4182" s="972"/>
    </row>
    <row r="4183" spans="5:13">
      <c r="E4183" s="972"/>
      <c r="F4183" s="972"/>
      <c r="G4183" s="972"/>
      <c r="H4183" s="972"/>
      <c r="I4183" s="972"/>
      <c r="J4183" s="972"/>
      <c r="K4183" s="972"/>
      <c r="L4183" s="972"/>
      <c r="M4183" s="972"/>
    </row>
    <row r="4184" spans="5:13">
      <c r="E4184" s="972"/>
      <c r="F4184" s="972"/>
      <c r="G4184" s="972"/>
      <c r="H4184" s="972"/>
      <c r="I4184" s="972"/>
      <c r="J4184" s="972"/>
      <c r="K4184" s="972"/>
      <c r="L4184" s="972"/>
      <c r="M4184" s="972"/>
    </row>
    <row r="4185" spans="5:13">
      <c r="E4185" s="972"/>
      <c r="F4185" s="972"/>
      <c r="G4185" s="972"/>
      <c r="H4185" s="972"/>
      <c r="I4185" s="972"/>
      <c r="J4185" s="972"/>
      <c r="K4185" s="972"/>
      <c r="L4185" s="972"/>
      <c r="M4185" s="972"/>
    </row>
    <row r="4186" spans="5:13">
      <c r="E4186" s="972"/>
      <c r="F4186" s="972"/>
      <c r="G4186" s="972"/>
      <c r="H4186" s="972"/>
      <c r="I4186" s="972"/>
      <c r="J4186" s="972"/>
      <c r="K4186" s="972"/>
      <c r="L4186" s="972"/>
      <c r="M4186" s="972"/>
    </row>
    <row r="4187" spans="5:13">
      <c r="E4187" s="972"/>
      <c r="F4187" s="972"/>
      <c r="G4187" s="972"/>
      <c r="H4187" s="972"/>
      <c r="I4187" s="972"/>
      <c r="J4187" s="972"/>
      <c r="K4187" s="972"/>
      <c r="L4187" s="972"/>
      <c r="M4187" s="972"/>
    </row>
    <row r="4188" spans="5:13">
      <c r="E4188" s="972"/>
      <c r="F4188" s="972"/>
      <c r="G4188" s="972"/>
      <c r="H4188" s="972"/>
      <c r="I4188" s="972"/>
      <c r="J4188" s="972"/>
      <c r="K4188" s="972"/>
      <c r="L4188" s="972"/>
      <c r="M4188" s="972"/>
    </row>
    <row r="4189" spans="5:13">
      <c r="E4189" s="972"/>
      <c r="F4189" s="972"/>
      <c r="G4189" s="972"/>
      <c r="H4189" s="972"/>
      <c r="I4189" s="972"/>
      <c r="J4189" s="972"/>
      <c r="K4189" s="972"/>
      <c r="L4189" s="972"/>
      <c r="M4189" s="972"/>
    </row>
    <row r="4190" spans="5:13">
      <c r="E4190" s="972"/>
      <c r="F4190" s="972"/>
      <c r="G4190" s="972"/>
      <c r="H4190" s="972"/>
      <c r="I4190" s="972"/>
      <c r="J4190" s="972"/>
      <c r="K4190" s="972"/>
      <c r="L4190" s="972"/>
      <c r="M4190" s="972"/>
    </row>
    <row r="4191" spans="5:13">
      <c r="E4191" s="972"/>
      <c r="F4191" s="972"/>
      <c r="G4191" s="972"/>
      <c r="H4191" s="972"/>
      <c r="I4191" s="972"/>
      <c r="J4191" s="972"/>
      <c r="K4191" s="972"/>
      <c r="L4191" s="972"/>
      <c r="M4191" s="972"/>
    </row>
    <row r="4192" spans="5:13">
      <c r="E4192" s="972"/>
      <c r="F4192" s="972"/>
      <c r="G4192" s="972"/>
      <c r="H4192" s="972"/>
      <c r="I4192" s="972"/>
      <c r="J4192" s="972"/>
      <c r="K4192" s="972"/>
      <c r="L4192" s="972"/>
      <c r="M4192" s="972"/>
    </row>
    <row r="4193" spans="5:13">
      <c r="E4193" s="972"/>
      <c r="F4193" s="972"/>
      <c r="G4193" s="972"/>
      <c r="H4193" s="972"/>
      <c r="I4193" s="972"/>
      <c r="J4193" s="972"/>
      <c r="K4193" s="972"/>
      <c r="L4193" s="972"/>
      <c r="M4193" s="972"/>
    </row>
    <row r="4194" spans="5:13">
      <c r="E4194" s="972"/>
      <c r="F4194" s="972"/>
      <c r="G4194" s="972"/>
      <c r="H4194" s="972"/>
      <c r="I4194" s="972"/>
      <c r="J4194" s="972"/>
      <c r="K4194" s="972"/>
      <c r="L4194" s="972"/>
      <c r="M4194" s="972"/>
    </row>
    <row r="4195" spans="5:13">
      <c r="E4195" s="972"/>
      <c r="F4195" s="972"/>
      <c r="G4195" s="972"/>
      <c r="H4195" s="972"/>
      <c r="I4195" s="972"/>
      <c r="J4195" s="972"/>
      <c r="K4195" s="972"/>
      <c r="L4195" s="972"/>
      <c r="M4195" s="972"/>
    </row>
    <row r="4196" spans="5:13">
      <c r="E4196" s="972"/>
      <c r="F4196" s="972"/>
      <c r="G4196" s="972"/>
      <c r="H4196" s="972"/>
      <c r="I4196" s="972"/>
      <c r="J4196" s="972"/>
      <c r="K4196" s="972"/>
      <c r="L4196" s="972"/>
      <c r="M4196" s="972"/>
    </row>
    <row r="4197" spans="5:13">
      <c r="E4197" s="972"/>
      <c r="F4197" s="972"/>
      <c r="G4197" s="972"/>
      <c r="H4197" s="972"/>
      <c r="I4197" s="972"/>
      <c r="J4197" s="972"/>
      <c r="K4197" s="972"/>
      <c r="L4197" s="972"/>
      <c r="M4197" s="972"/>
    </row>
    <row r="4198" spans="5:13">
      <c r="E4198" s="972"/>
      <c r="F4198" s="972"/>
      <c r="G4198" s="972"/>
      <c r="H4198" s="972"/>
      <c r="I4198" s="972"/>
      <c r="J4198" s="972"/>
      <c r="K4198" s="972"/>
      <c r="L4198" s="972"/>
      <c r="M4198" s="972"/>
    </row>
    <row r="4199" spans="5:13">
      <c r="E4199" s="972"/>
      <c r="F4199" s="972"/>
      <c r="G4199" s="972"/>
      <c r="H4199" s="972"/>
      <c r="I4199" s="972"/>
      <c r="J4199" s="972"/>
      <c r="K4199" s="972"/>
      <c r="L4199" s="972"/>
      <c r="M4199" s="972"/>
    </row>
    <row r="4200" spans="5:13">
      <c r="E4200" s="972"/>
      <c r="F4200" s="972"/>
      <c r="G4200" s="972"/>
      <c r="H4200" s="972"/>
      <c r="I4200" s="972"/>
      <c r="J4200" s="972"/>
      <c r="K4200" s="972"/>
      <c r="L4200" s="972"/>
      <c r="M4200" s="972"/>
    </row>
    <row r="4201" spans="5:13">
      <c r="E4201" s="972"/>
      <c r="F4201" s="972"/>
      <c r="G4201" s="972"/>
      <c r="H4201" s="972"/>
      <c r="I4201" s="972"/>
      <c r="J4201" s="972"/>
      <c r="K4201" s="972"/>
      <c r="L4201" s="972"/>
      <c r="M4201" s="972"/>
    </row>
    <row r="4202" spans="5:13">
      <c r="E4202" s="972"/>
      <c r="F4202" s="972"/>
      <c r="G4202" s="972"/>
      <c r="H4202" s="972"/>
      <c r="I4202" s="972"/>
      <c r="J4202" s="972"/>
      <c r="K4202" s="972"/>
      <c r="L4202" s="972"/>
      <c r="M4202" s="972"/>
    </row>
    <row r="4203" spans="5:13">
      <c r="E4203" s="972"/>
      <c r="F4203" s="972"/>
      <c r="G4203" s="972"/>
      <c r="H4203" s="972"/>
      <c r="I4203" s="972"/>
      <c r="J4203" s="972"/>
      <c r="K4203" s="972"/>
      <c r="L4203" s="972"/>
      <c r="M4203" s="972"/>
    </row>
    <row r="4204" spans="5:13">
      <c r="E4204" s="972"/>
      <c r="F4204" s="972"/>
      <c r="G4204" s="972"/>
      <c r="H4204" s="972"/>
      <c r="I4204" s="972"/>
      <c r="J4204" s="972"/>
      <c r="K4204" s="972"/>
      <c r="L4204" s="972"/>
      <c r="M4204" s="972"/>
    </row>
    <row r="4205" spans="5:13">
      <c r="E4205" s="972"/>
      <c r="F4205" s="972"/>
      <c r="G4205" s="972"/>
      <c r="H4205" s="972"/>
      <c r="I4205" s="972"/>
      <c r="J4205" s="972"/>
      <c r="K4205" s="972"/>
      <c r="L4205" s="972"/>
      <c r="M4205" s="972"/>
    </row>
    <row r="4206" spans="5:13">
      <c r="E4206" s="972"/>
      <c r="F4206" s="972"/>
      <c r="G4206" s="972"/>
      <c r="H4206" s="972"/>
      <c r="I4206" s="972"/>
      <c r="J4206" s="972"/>
      <c r="K4206" s="972"/>
      <c r="L4206" s="972"/>
      <c r="M4206" s="972"/>
    </row>
    <row r="4207" spans="5:13">
      <c r="E4207" s="972"/>
      <c r="F4207" s="972"/>
      <c r="G4207" s="972"/>
      <c r="H4207" s="972"/>
      <c r="I4207" s="972"/>
      <c r="J4207" s="972"/>
      <c r="K4207" s="972"/>
      <c r="L4207" s="972"/>
      <c r="M4207" s="972"/>
    </row>
    <row r="4208" spans="5:13">
      <c r="E4208" s="972"/>
      <c r="F4208" s="972"/>
      <c r="G4208" s="972"/>
      <c r="H4208" s="972"/>
      <c r="I4208" s="972"/>
      <c r="J4208" s="972"/>
      <c r="K4208" s="972"/>
      <c r="L4208" s="972"/>
      <c r="M4208" s="972"/>
    </row>
    <row r="4209" spans="5:13">
      <c r="E4209" s="972"/>
      <c r="F4209" s="972"/>
      <c r="G4209" s="972"/>
      <c r="H4209" s="972"/>
      <c r="I4209" s="972"/>
      <c r="J4209" s="972"/>
      <c r="K4209" s="972"/>
      <c r="L4209" s="972"/>
      <c r="M4209" s="972"/>
    </row>
    <row r="4210" spans="5:13">
      <c r="E4210" s="972"/>
      <c r="F4210" s="972"/>
      <c r="G4210" s="972"/>
      <c r="H4210" s="972"/>
      <c r="I4210" s="972"/>
      <c r="J4210" s="972"/>
      <c r="K4210" s="972"/>
      <c r="L4210" s="972"/>
      <c r="M4210" s="972"/>
    </row>
    <row r="4211" spans="5:13">
      <c r="E4211" s="972"/>
      <c r="F4211" s="972"/>
      <c r="G4211" s="972"/>
      <c r="H4211" s="972"/>
      <c r="I4211" s="972"/>
      <c r="J4211" s="972"/>
      <c r="K4211" s="972"/>
      <c r="L4211" s="972"/>
      <c r="M4211" s="972"/>
    </row>
    <row r="4212" spans="5:13">
      <c r="E4212" s="972"/>
      <c r="F4212" s="972"/>
      <c r="G4212" s="972"/>
      <c r="H4212" s="972"/>
      <c r="I4212" s="972"/>
      <c r="J4212" s="972"/>
      <c r="K4212" s="972"/>
      <c r="L4212" s="972"/>
      <c r="M4212" s="972"/>
    </row>
    <row r="4213" spans="5:13">
      <c r="E4213" s="972"/>
      <c r="F4213" s="972"/>
      <c r="G4213" s="972"/>
      <c r="H4213" s="972"/>
      <c r="I4213" s="972"/>
      <c r="J4213" s="972"/>
      <c r="K4213" s="972"/>
      <c r="L4213" s="972"/>
      <c r="M4213" s="972"/>
    </row>
    <row r="4214" spans="5:13">
      <c r="E4214" s="972"/>
      <c r="F4214" s="972"/>
      <c r="G4214" s="972"/>
      <c r="H4214" s="972"/>
      <c r="I4214" s="972"/>
      <c r="J4214" s="972"/>
      <c r="K4214" s="972"/>
      <c r="L4214" s="972"/>
      <c r="M4214" s="972"/>
    </row>
    <row r="4215" spans="5:13">
      <c r="E4215" s="972"/>
      <c r="F4215" s="972"/>
      <c r="G4215" s="972"/>
      <c r="H4215" s="972"/>
      <c r="I4215" s="972"/>
      <c r="J4215" s="972"/>
      <c r="K4215" s="972"/>
      <c r="L4215" s="972"/>
      <c r="M4215" s="972"/>
    </row>
    <row r="4216" spans="5:13">
      <c r="E4216" s="972"/>
      <c r="F4216" s="972"/>
      <c r="G4216" s="972"/>
      <c r="H4216" s="972"/>
      <c r="I4216" s="972"/>
      <c r="J4216" s="972"/>
      <c r="K4216" s="972"/>
      <c r="L4216" s="972"/>
      <c r="M4216" s="972"/>
    </row>
    <row r="4217" spans="5:13">
      <c r="E4217" s="972"/>
      <c r="F4217" s="972"/>
      <c r="G4217" s="972"/>
      <c r="H4217" s="972"/>
      <c r="I4217" s="972"/>
      <c r="J4217" s="972"/>
      <c r="K4217" s="972"/>
      <c r="L4217" s="972"/>
      <c r="M4217" s="972"/>
    </row>
    <row r="4218" spans="5:13">
      <c r="E4218" s="972"/>
      <c r="F4218" s="972"/>
      <c r="G4218" s="972"/>
      <c r="H4218" s="972"/>
      <c r="I4218" s="972"/>
      <c r="J4218" s="972"/>
      <c r="K4218" s="972"/>
      <c r="L4218" s="972"/>
      <c r="M4218" s="972"/>
    </row>
    <row r="4219" spans="5:13">
      <c r="E4219" s="972"/>
      <c r="F4219" s="972"/>
      <c r="G4219" s="972"/>
      <c r="H4219" s="972"/>
      <c r="I4219" s="972"/>
      <c r="J4219" s="972"/>
      <c r="K4219" s="972"/>
      <c r="L4219" s="972"/>
      <c r="M4219" s="972"/>
    </row>
    <row r="4220" spans="5:13">
      <c r="E4220" s="972"/>
      <c r="F4220" s="972"/>
      <c r="G4220" s="972"/>
      <c r="H4220" s="972"/>
      <c r="I4220" s="972"/>
      <c r="J4220" s="972"/>
      <c r="K4220" s="972"/>
      <c r="L4220" s="972"/>
      <c r="M4220" s="972"/>
    </row>
    <row r="4221" spans="5:13">
      <c r="E4221" s="972"/>
      <c r="F4221" s="972"/>
      <c r="G4221" s="972"/>
      <c r="H4221" s="972"/>
      <c r="I4221" s="972"/>
      <c r="J4221" s="972"/>
      <c r="K4221" s="972"/>
      <c r="L4221" s="972"/>
      <c r="M4221" s="972"/>
    </row>
    <row r="4222" spans="5:13">
      <c r="E4222" s="972"/>
      <c r="F4222" s="972"/>
      <c r="G4222" s="972"/>
      <c r="H4222" s="972"/>
      <c r="I4222" s="972"/>
      <c r="J4222" s="972"/>
      <c r="K4222" s="972"/>
      <c r="L4222" s="972"/>
      <c r="M4222" s="972"/>
    </row>
    <row r="4223" spans="5:13">
      <c r="E4223" s="972"/>
      <c r="F4223" s="972"/>
      <c r="G4223" s="972"/>
      <c r="H4223" s="972"/>
      <c r="I4223" s="972"/>
      <c r="J4223" s="972"/>
      <c r="K4223" s="972"/>
      <c r="L4223" s="972"/>
      <c r="M4223" s="972"/>
    </row>
    <row r="4224" spans="5:13">
      <c r="E4224" s="972"/>
      <c r="F4224" s="972"/>
      <c r="G4224" s="972"/>
      <c r="H4224" s="972"/>
      <c r="I4224" s="972"/>
      <c r="J4224" s="972"/>
      <c r="K4224" s="972"/>
      <c r="L4224" s="972"/>
      <c r="M4224" s="972"/>
    </row>
    <row r="4225" spans="5:13">
      <c r="E4225" s="972"/>
      <c r="F4225" s="972"/>
      <c r="G4225" s="972"/>
      <c r="H4225" s="972"/>
      <c r="I4225" s="972"/>
      <c r="J4225" s="972"/>
      <c r="K4225" s="972"/>
      <c r="L4225" s="972"/>
      <c r="M4225" s="972"/>
    </row>
    <row r="4226" spans="5:13">
      <c r="E4226" s="972"/>
      <c r="F4226" s="972"/>
      <c r="G4226" s="972"/>
      <c r="H4226" s="972"/>
      <c r="I4226" s="972"/>
      <c r="J4226" s="972"/>
      <c r="K4226" s="972"/>
      <c r="L4226" s="972"/>
      <c r="M4226" s="972"/>
    </row>
    <row r="4227" spans="5:13">
      <c r="E4227" s="972"/>
      <c r="F4227" s="972"/>
      <c r="G4227" s="972"/>
      <c r="H4227" s="972"/>
      <c r="I4227" s="972"/>
      <c r="J4227" s="972"/>
      <c r="K4227" s="972"/>
      <c r="L4227" s="972"/>
      <c r="M4227" s="972"/>
    </row>
    <row r="4228" spans="5:13">
      <c r="E4228" s="972"/>
      <c r="F4228" s="972"/>
      <c r="G4228" s="972"/>
      <c r="H4228" s="972"/>
      <c r="I4228" s="972"/>
      <c r="J4228" s="972"/>
      <c r="K4228" s="972"/>
      <c r="L4228" s="972"/>
      <c r="M4228" s="972"/>
    </row>
    <row r="4229" spans="5:13">
      <c r="E4229" s="972"/>
      <c r="F4229" s="972"/>
      <c r="G4229" s="972"/>
      <c r="H4229" s="972"/>
      <c r="I4229" s="972"/>
      <c r="J4229" s="972"/>
      <c r="K4229" s="972"/>
      <c r="L4229" s="972"/>
      <c r="M4229" s="972"/>
    </row>
    <row r="4230" spans="5:13">
      <c r="E4230" s="972"/>
      <c r="F4230" s="972"/>
      <c r="G4230" s="972"/>
      <c r="H4230" s="972"/>
      <c r="I4230" s="972"/>
      <c r="J4230" s="972"/>
      <c r="K4230" s="972"/>
      <c r="L4230" s="972"/>
      <c r="M4230" s="972"/>
    </row>
    <row r="4231" spans="5:13">
      <c r="E4231" s="972"/>
      <c r="F4231" s="972"/>
      <c r="G4231" s="972"/>
      <c r="H4231" s="972"/>
      <c r="I4231" s="972"/>
      <c r="J4231" s="972"/>
      <c r="K4231" s="972"/>
      <c r="L4231" s="972"/>
      <c r="M4231" s="972"/>
    </row>
    <row r="4232" spans="5:13">
      <c r="E4232" s="972"/>
      <c r="F4232" s="972"/>
      <c r="G4232" s="972"/>
      <c r="H4232" s="972"/>
      <c r="I4232" s="972"/>
      <c r="J4232" s="972"/>
      <c r="K4232" s="972"/>
      <c r="L4232" s="972"/>
      <c r="M4232" s="972"/>
    </row>
    <row r="4233" spans="5:13">
      <c r="E4233" s="972"/>
      <c r="F4233" s="972"/>
      <c r="G4233" s="972"/>
      <c r="H4233" s="972"/>
      <c r="I4233" s="972"/>
      <c r="J4233" s="972"/>
      <c r="K4233" s="972"/>
      <c r="L4233" s="972"/>
      <c r="M4233" s="972"/>
    </row>
    <row r="4234" spans="5:13">
      <c r="E4234" s="972"/>
      <c r="F4234" s="972"/>
      <c r="G4234" s="972"/>
      <c r="H4234" s="972"/>
      <c r="I4234" s="972"/>
      <c r="J4234" s="972"/>
      <c r="K4234" s="972"/>
      <c r="L4234" s="972"/>
      <c r="M4234" s="972"/>
    </row>
    <row r="4235" spans="5:13">
      <c r="E4235" s="972"/>
      <c r="F4235" s="972"/>
      <c r="G4235" s="972"/>
      <c r="H4235" s="972"/>
      <c r="I4235" s="972"/>
      <c r="J4235" s="972"/>
      <c r="K4235" s="972"/>
      <c r="L4235" s="972"/>
      <c r="M4235" s="972"/>
    </row>
    <row r="4236" spans="5:13">
      <c r="E4236" s="972"/>
      <c r="F4236" s="972"/>
      <c r="G4236" s="972"/>
      <c r="H4236" s="972"/>
      <c r="I4236" s="972"/>
      <c r="J4236" s="972"/>
      <c r="K4236" s="972"/>
      <c r="L4236" s="972"/>
      <c r="M4236" s="972"/>
    </row>
    <row r="4237" spans="5:13">
      <c r="E4237" s="972"/>
      <c r="F4237" s="972"/>
      <c r="G4237" s="972"/>
      <c r="H4237" s="972"/>
      <c r="I4237" s="972"/>
      <c r="J4237" s="972"/>
      <c r="K4237" s="972"/>
      <c r="L4237" s="972"/>
      <c r="M4237" s="972"/>
    </row>
    <row r="4238" spans="5:13">
      <c r="E4238" s="972"/>
      <c r="F4238" s="972"/>
      <c r="G4238" s="972"/>
      <c r="H4238" s="972"/>
      <c r="I4238" s="972"/>
      <c r="J4238" s="972"/>
      <c r="K4238" s="972"/>
      <c r="L4238" s="972"/>
      <c r="M4238" s="972"/>
    </row>
    <row r="4239" spans="5:13">
      <c r="E4239" s="972"/>
      <c r="F4239" s="972"/>
      <c r="G4239" s="972"/>
      <c r="H4239" s="972"/>
      <c r="I4239" s="972"/>
      <c r="J4239" s="972"/>
      <c r="K4239" s="972"/>
      <c r="L4239" s="972"/>
      <c r="M4239" s="972"/>
    </row>
    <row r="4240" spans="5:13">
      <c r="E4240" s="972"/>
      <c r="F4240" s="972"/>
      <c r="G4240" s="972"/>
      <c r="H4240" s="972"/>
      <c r="I4240" s="972"/>
      <c r="J4240" s="972"/>
      <c r="K4240" s="972"/>
      <c r="L4240" s="972"/>
      <c r="M4240" s="972"/>
    </row>
    <row r="4241" spans="5:13">
      <c r="E4241" s="972"/>
      <c r="F4241" s="972"/>
      <c r="G4241" s="972"/>
      <c r="H4241" s="972"/>
      <c r="I4241" s="972"/>
      <c r="J4241" s="972"/>
      <c r="K4241" s="972"/>
      <c r="L4241" s="972"/>
      <c r="M4241" s="972"/>
    </row>
    <row r="4242" spans="5:13">
      <c r="E4242" s="972"/>
      <c r="F4242" s="972"/>
      <c r="G4242" s="972"/>
      <c r="H4242" s="972"/>
      <c r="I4242" s="972"/>
      <c r="J4242" s="972"/>
      <c r="K4242" s="972"/>
      <c r="L4242" s="972"/>
      <c r="M4242" s="972"/>
    </row>
    <row r="4243" spans="5:13">
      <c r="E4243" s="972"/>
      <c r="F4243" s="972"/>
      <c r="G4243" s="972"/>
      <c r="H4243" s="972"/>
      <c r="I4243" s="972"/>
      <c r="J4243" s="972"/>
      <c r="K4243" s="972"/>
      <c r="L4243" s="972"/>
      <c r="M4243" s="972"/>
    </row>
    <row r="4244" spans="5:13">
      <c r="E4244" s="972"/>
      <c r="F4244" s="972"/>
      <c r="G4244" s="972"/>
      <c r="H4244" s="972"/>
      <c r="I4244" s="972"/>
      <c r="J4244" s="972"/>
      <c r="K4244" s="972"/>
      <c r="L4244" s="972"/>
      <c r="M4244" s="972"/>
    </row>
    <row r="4245" spans="5:13">
      <c r="E4245" s="972"/>
      <c r="F4245" s="972"/>
      <c r="G4245" s="972"/>
      <c r="H4245" s="972"/>
      <c r="I4245" s="972"/>
      <c r="J4245" s="972"/>
      <c r="K4245" s="972"/>
      <c r="L4245" s="972"/>
      <c r="M4245" s="972"/>
    </row>
    <row r="4246" spans="5:13">
      <c r="E4246" s="972"/>
      <c r="F4246" s="972"/>
      <c r="G4246" s="972"/>
      <c r="H4246" s="972"/>
      <c r="I4246" s="972"/>
      <c r="J4246" s="972"/>
      <c r="K4246" s="972"/>
      <c r="L4246" s="972"/>
      <c r="M4246" s="972"/>
    </row>
    <row r="4247" spans="5:13">
      <c r="E4247" s="972"/>
      <c r="F4247" s="972"/>
      <c r="G4247" s="972"/>
      <c r="H4247" s="972"/>
      <c r="I4247" s="972"/>
      <c r="J4247" s="972"/>
      <c r="K4247" s="972"/>
      <c r="L4247" s="972"/>
      <c r="M4247" s="972"/>
    </row>
    <row r="4248" spans="5:13">
      <c r="E4248" s="972"/>
      <c r="F4248" s="972"/>
      <c r="G4248" s="972"/>
      <c r="H4248" s="972"/>
      <c r="I4248" s="972"/>
      <c r="J4248" s="972"/>
      <c r="K4248" s="972"/>
      <c r="L4248" s="972"/>
      <c r="M4248" s="972"/>
    </row>
    <row r="4249" spans="5:13">
      <c r="E4249" s="972"/>
      <c r="F4249" s="972"/>
      <c r="G4249" s="972"/>
      <c r="H4249" s="972"/>
      <c r="I4249" s="972"/>
      <c r="J4249" s="972"/>
      <c r="K4249" s="972"/>
      <c r="L4249" s="972"/>
      <c r="M4249" s="972"/>
    </row>
    <row r="4250" spans="5:13">
      <c r="E4250" s="972"/>
      <c r="F4250" s="972"/>
      <c r="G4250" s="972"/>
      <c r="H4250" s="972"/>
      <c r="I4250" s="972"/>
      <c r="J4250" s="972"/>
      <c r="K4250" s="972"/>
      <c r="L4250" s="972"/>
      <c r="M4250" s="972"/>
    </row>
    <row r="4251" spans="5:13">
      <c r="E4251" s="972"/>
      <c r="F4251" s="972"/>
      <c r="G4251" s="972"/>
      <c r="H4251" s="972"/>
      <c r="I4251" s="972"/>
      <c r="J4251" s="972"/>
      <c r="K4251" s="972"/>
      <c r="L4251" s="972"/>
      <c r="M4251" s="972"/>
    </row>
    <row r="4252" spans="5:13">
      <c r="E4252" s="972"/>
      <c r="F4252" s="972"/>
      <c r="G4252" s="972"/>
      <c r="H4252" s="972"/>
      <c r="I4252" s="972"/>
      <c r="J4252" s="972"/>
      <c r="K4252" s="972"/>
      <c r="L4252" s="972"/>
      <c r="M4252" s="972"/>
    </row>
    <row r="4253" spans="5:13">
      <c r="E4253" s="972"/>
      <c r="F4253" s="972"/>
      <c r="G4253" s="972"/>
      <c r="H4253" s="972"/>
      <c r="I4253" s="972"/>
      <c r="J4253" s="972"/>
      <c r="K4253" s="972"/>
      <c r="L4253" s="972"/>
      <c r="M4253" s="972"/>
    </row>
    <row r="4254" spans="5:13">
      <c r="E4254" s="972"/>
      <c r="F4254" s="972"/>
      <c r="G4254" s="972"/>
      <c r="H4254" s="972"/>
      <c r="I4254" s="972"/>
      <c r="J4254" s="972"/>
      <c r="K4254" s="972"/>
      <c r="L4254" s="972"/>
      <c r="M4254" s="972"/>
    </row>
    <row r="4255" spans="5:13">
      <c r="E4255" s="972"/>
      <c r="F4255" s="972"/>
      <c r="G4255" s="972"/>
      <c r="H4255" s="972"/>
      <c r="I4255" s="972"/>
      <c r="J4255" s="972"/>
      <c r="K4255" s="972"/>
      <c r="L4255" s="972"/>
      <c r="M4255" s="972"/>
    </row>
    <row r="4256" spans="5:13">
      <c r="E4256" s="972"/>
      <c r="F4256" s="972"/>
      <c r="G4256" s="972"/>
      <c r="H4256" s="972"/>
      <c r="I4256" s="972"/>
      <c r="J4256" s="972"/>
      <c r="K4256" s="972"/>
      <c r="L4256" s="972"/>
      <c r="M4256" s="972"/>
    </row>
    <row r="4257" spans="5:13">
      <c r="E4257" s="972"/>
      <c r="F4257" s="972"/>
      <c r="G4257" s="972"/>
      <c r="H4257" s="972"/>
      <c r="I4257" s="972"/>
      <c r="J4257" s="972"/>
      <c r="K4257" s="972"/>
      <c r="L4257" s="972"/>
      <c r="M4257" s="972"/>
    </row>
    <row r="4258" spans="5:13">
      <c r="E4258" s="972"/>
      <c r="F4258" s="972"/>
      <c r="G4258" s="972"/>
      <c r="H4258" s="972"/>
      <c r="I4258" s="972"/>
      <c r="J4258" s="972"/>
      <c r="K4258" s="972"/>
      <c r="L4258" s="972"/>
      <c r="M4258" s="972"/>
    </row>
    <row r="4259" spans="5:13">
      <c r="E4259" s="972"/>
      <c r="F4259" s="972"/>
      <c r="G4259" s="972"/>
      <c r="H4259" s="972"/>
      <c r="I4259" s="972"/>
      <c r="J4259" s="972"/>
      <c r="K4259" s="972"/>
      <c r="L4259" s="972"/>
      <c r="M4259" s="972"/>
    </row>
    <row r="4260" spans="5:13">
      <c r="E4260" s="972"/>
      <c r="F4260" s="972"/>
      <c r="G4260" s="972"/>
      <c r="H4260" s="972"/>
      <c r="I4260" s="972"/>
      <c r="J4260" s="972"/>
      <c r="K4260" s="972"/>
      <c r="L4260" s="972"/>
      <c r="M4260" s="972"/>
    </row>
    <row r="4261" spans="5:13">
      <c r="E4261" s="972"/>
      <c r="F4261" s="972"/>
      <c r="G4261" s="972"/>
      <c r="H4261" s="972"/>
      <c r="I4261" s="972"/>
      <c r="J4261" s="972"/>
      <c r="K4261" s="972"/>
      <c r="L4261" s="972"/>
      <c r="M4261" s="972"/>
    </row>
    <row r="4262" spans="5:13">
      <c r="E4262" s="972"/>
      <c r="F4262" s="972"/>
      <c r="G4262" s="972"/>
      <c r="H4262" s="972"/>
      <c r="I4262" s="972"/>
      <c r="J4262" s="972"/>
      <c r="K4262" s="972"/>
      <c r="L4262" s="972"/>
      <c r="M4262" s="972"/>
    </row>
    <row r="4263" spans="5:13">
      <c r="E4263" s="972"/>
      <c r="F4263" s="972"/>
      <c r="G4263" s="972"/>
      <c r="H4263" s="972"/>
      <c r="I4263" s="972"/>
      <c r="J4263" s="972"/>
      <c r="K4263" s="972"/>
      <c r="L4263" s="972"/>
      <c r="M4263" s="972"/>
    </row>
    <row r="4264" spans="5:13">
      <c r="E4264" s="972"/>
      <c r="F4264" s="972"/>
      <c r="G4264" s="972"/>
      <c r="H4264" s="972"/>
      <c r="I4264" s="972"/>
      <c r="J4264" s="972"/>
      <c r="K4264" s="972"/>
      <c r="L4264" s="972"/>
      <c r="M4264" s="972"/>
    </row>
    <row r="4265" spans="5:13">
      <c r="E4265" s="972"/>
      <c r="F4265" s="972"/>
      <c r="G4265" s="972"/>
      <c r="H4265" s="972"/>
      <c r="I4265" s="972"/>
      <c r="J4265" s="972"/>
      <c r="K4265" s="972"/>
      <c r="L4265" s="972"/>
      <c r="M4265" s="972"/>
    </row>
    <row r="4266" spans="5:13">
      <c r="E4266" s="972"/>
      <c r="F4266" s="972"/>
      <c r="G4266" s="972"/>
      <c r="H4266" s="972"/>
      <c r="I4266" s="972"/>
      <c r="J4266" s="972"/>
      <c r="K4266" s="972"/>
      <c r="L4266" s="972"/>
      <c r="M4266" s="972"/>
    </row>
    <row r="4267" spans="5:13">
      <c r="E4267" s="972"/>
      <c r="F4267" s="972"/>
      <c r="G4267" s="972"/>
      <c r="H4267" s="972"/>
      <c r="I4267" s="972"/>
      <c r="J4267" s="972"/>
      <c r="K4267" s="972"/>
      <c r="L4267" s="972"/>
      <c r="M4267" s="972"/>
    </row>
    <row r="4268" spans="5:13">
      <c r="E4268" s="972"/>
      <c r="F4268" s="972"/>
      <c r="G4268" s="972"/>
      <c r="H4268" s="972"/>
      <c r="I4268" s="972"/>
      <c r="J4268" s="972"/>
      <c r="K4268" s="972"/>
      <c r="L4268" s="972"/>
      <c r="M4268" s="972"/>
    </row>
    <row r="4269" spans="5:13">
      <c r="E4269" s="972"/>
      <c r="F4269" s="972"/>
      <c r="G4269" s="972"/>
      <c r="H4269" s="972"/>
      <c r="I4269" s="972"/>
      <c r="J4269" s="972"/>
      <c r="K4269" s="972"/>
      <c r="L4269" s="972"/>
      <c r="M4269" s="972"/>
    </row>
    <row r="4270" spans="5:13">
      <c r="E4270" s="972"/>
      <c r="F4270" s="972"/>
      <c r="G4270" s="972"/>
      <c r="H4270" s="972"/>
      <c r="I4270" s="972"/>
      <c r="J4270" s="972"/>
      <c r="K4270" s="972"/>
      <c r="L4270" s="972"/>
      <c r="M4270" s="972"/>
    </row>
    <row r="4271" spans="5:13">
      <c r="E4271" s="972"/>
      <c r="F4271" s="972"/>
      <c r="G4271" s="972"/>
      <c r="H4271" s="972"/>
      <c r="I4271" s="972"/>
      <c r="J4271" s="972"/>
      <c r="K4271" s="972"/>
      <c r="L4271" s="972"/>
      <c r="M4271" s="972"/>
    </row>
    <row r="4272" spans="5:13">
      <c r="E4272" s="972"/>
      <c r="F4272" s="972"/>
      <c r="G4272" s="972"/>
      <c r="H4272" s="972"/>
      <c r="I4272" s="972"/>
      <c r="J4272" s="972"/>
      <c r="K4272" s="972"/>
      <c r="L4272" s="972"/>
      <c r="M4272" s="972"/>
    </row>
    <row r="4273" spans="5:13">
      <c r="E4273" s="972"/>
      <c r="F4273" s="972"/>
      <c r="G4273" s="972"/>
      <c r="H4273" s="972"/>
      <c r="I4273" s="972"/>
      <c r="J4273" s="972"/>
      <c r="K4273" s="972"/>
      <c r="L4273" s="972"/>
      <c r="M4273" s="972"/>
    </row>
    <row r="4274" spans="5:13">
      <c r="E4274" s="972"/>
      <c r="F4274" s="972"/>
      <c r="G4274" s="972"/>
      <c r="H4274" s="972"/>
      <c r="I4274" s="972"/>
      <c r="J4274" s="972"/>
      <c r="K4274" s="972"/>
      <c r="L4274" s="972"/>
      <c r="M4274" s="972"/>
    </row>
    <row r="4275" spans="5:13">
      <c r="E4275" s="972"/>
      <c r="F4275" s="972"/>
      <c r="G4275" s="972"/>
      <c r="H4275" s="972"/>
      <c r="I4275" s="972"/>
      <c r="J4275" s="972"/>
      <c r="K4275" s="972"/>
      <c r="L4275" s="972"/>
      <c r="M4275" s="972"/>
    </row>
    <row r="4276" spans="5:13">
      <c r="E4276" s="972"/>
      <c r="F4276" s="972"/>
      <c r="G4276" s="972"/>
      <c r="H4276" s="972"/>
      <c r="I4276" s="972"/>
      <c r="J4276" s="972"/>
      <c r="K4276" s="972"/>
      <c r="L4276" s="972"/>
      <c r="M4276" s="972"/>
    </row>
    <row r="4277" spans="5:13">
      <c r="E4277" s="972"/>
      <c r="F4277" s="972"/>
      <c r="G4277" s="972"/>
      <c r="H4277" s="972"/>
      <c r="I4277" s="972"/>
      <c r="J4277" s="972"/>
      <c r="K4277" s="972"/>
      <c r="L4277" s="972"/>
      <c r="M4277" s="972"/>
    </row>
    <row r="4278" spans="5:13">
      <c r="E4278" s="972"/>
      <c r="F4278" s="972"/>
      <c r="G4278" s="972"/>
      <c r="H4278" s="972"/>
      <c r="I4278" s="972"/>
      <c r="J4278" s="972"/>
      <c r="K4278" s="972"/>
      <c r="L4278" s="972"/>
      <c r="M4278" s="972"/>
    </row>
    <row r="4279" spans="5:13">
      <c r="E4279" s="972"/>
      <c r="F4279" s="972"/>
      <c r="G4279" s="972"/>
      <c r="H4279" s="972"/>
      <c r="I4279" s="972"/>
      <c r="J4279" s="972"/>
      <c r="K4279" s="972"/>
      <c r="L4279" s="972"/>
      <c r="M4279" s="972"/>
    </row>
    <row r="4280" spans="5:13">
      <c r="E4280" s="972"/>
      <c r="F4280" s="972"/>
      <c r="G4280" s="972"/>
      <c r="H4280" s="972"/>
      <c r="I4280" s="972"/>
      <c r="J4280" s="972"/>
      <c r="K4280" s="972"/>
      <c r="L4280" s="972"/>
      <c r="M4280" s="972"/>
    </row>
    <row r="4281" spans="5:13">
      <c r="E4281" s="972"/>
      <c r="F4281" s="972"/>
      <c r="G4281" s="972"/>
      <c r="H4281" s="972"/>
      <c r="I4281" s="972"/>
      <c r="J4281" s="972"/>
      <c r="K4281" s="972"/>
      <c r="L4281" s="972"/>
      <c r="M4281" s="972"/>
    </row>
    <row r="4282" spans="5:13">
      <c r="E4282" s="972"/>
      <c r="F4282" s="972"/>
      <c r="G4282" s="972"/>
      <c r="H4282" s="972"/>
      <c r="I4282" s="972"/>
      <c r="J4282" s="972"/>
      <c r="K4282" s="972"/>
      <c r="L4282" s="972"/>
      <c r="M4282" s="972"/>
    </row>
    <row r="4283" spans="5:13">
      <c r="E4283" s="972"/>
      <c r="F4283" s="972"/>
      <c r="G4283" s="972"/>
      <c r="H4283" s="972"/>
      <c r="I4283" s="972"/>
      <c r="J4283" s="972"/>
      <c r="K4283" s="972"/>
      <c r="L4283" s="972"/>
      <c r="M4283" s="972"/>
    </row>
    <row r="4284" spans="5:13">
      <c r="E4284" s="972"/>
      <c r="F4284" s="972"/>
      <c r="G4284" s="972"/>
      <c r="H4284" s="972"/>
      <c r="I4284" s="972"/>
      <c r="J4284" s="972"/>
      <c r="K4284" s="972"/>
      <c r="L4284" s="972"/>
      <c r="M4284" s="972"/>
    </row>
    <row r="4285" spans="5:13">
      <c r="E4285" s="972"/>
      <c r="F4285" s="972"/>
      <c r="G4285" s="972"/>
      <c r="H4285" s="972"/>
      <c r="I4285" s="972"/>
      <c r="J4285" s="972"/>
      <c r="K4285" s="972"/>
      <c r="L4285" s="972"/>
      <c r="M4285" s="972"/>
    </row>
    <row r="4286" spans="5:13">
      <c r="E4286" s="972"/>
      <c r="F4286" s="972"/>
      <c r="G4286" s="972"/>
      <c r="H4286" s="972"/>
      <c r="I4286" s="972"/>
      <c r="J4286" s="972"/>
      <c r="K4286" s="972"/>
      <c r="L4286" s="972"/>
      <c r="M4286" s="972"/>
    </row>
    <row r="4287" spans="5:13">
      <c r="E4287" s="972"/>
      <c r="F4287" s="972"/>
      <c r="G4287" s="972"/>
      <c r="H4287" s="972"/>
      <c r="I4287" s="972"/>
      <c r="J4287" s="972"/>
      <c r="K4287" s="972"/>
      <c r="L4287" s="972"/>
      <c r="M4287" s="972"/>
    </row>
    <row r="4288" spans="5:13">
      <c r="E4288" s="972"/>
      <c r="F4288" s="972"/>
      <c r="G4288" s="972"/>
      <c r="H4288" s="972"/>
      <c r="I4288" s="972"/>
      <c r="J4288" s="972"/>
      <c r="K4288" s="972"/>
      <c r="L4288" s="972"/>
      <c r="M4288" s="972"/>
    </row>
    <row r="4289" spans="5:13">
      <c r="E4289" s="972"/>
      <c r="F4289" s="972"/>
      <c r="G4289" s="972"/>
      <c r="H4289" s="972"/>
      <c r="I4289" s="972"/>
      <c r="J4289" s="972"/>
      <c r="K4289" s="972"/>
      <c r="L4289" s="972"/>
      <c r="M4289" s="972"/>
    </row>
    <row r="4290" spans="5:13">
      <c r="E4290" s="972"/>
      <c r="F4290" s="972"/>
      <c r="G4290" s="972"/>
      <c r="H4290" s="972"/>
      <c r="I4290" s="972"/>
      <c r="J4290" s="972"/>
      <c r="K4290" s="972"/>
      <c r="L4290" s="972"/>
      <c r="M4290" s="972"/>
    </row>
    <row r="4291" spans="5:13">
      <c r="E4291" s="972"/>
      <c r="F4291" s="972"/>
      <c r="G4291" s="972"/>
      <c r="H4291" s="972"/>
      <c r="I4291" s="972"/>
      <c r="J4291" s="972"/>
      <c r="K4291" s="972"/>
      <c r="L4291" s="972"/>
      <c r="M4291" s="972"/>
    </row>
    <row r="4292" spans="5:13">
      <c r="E4292" s="972"/>
      <c r="F4292" s="972"/>
      <c r="G4292" s="972"/>
      <c r="H4292" s="972"/>
      <c r="I4292" s="972"/>
      <c r="J4292" s="972"/>
      <c r="K4292" s="972"/>
      <c r="L4292" s="972"/>
      <c r="M4292" s="972"/>
    </row>
    <row r="4293" spans="5:13">
      <c r="E4293" s="972"/>
      <c r="F4293" s="972"/>
      <c r="G4293" s="972"/>
      <c r="H4293" s="972"/>
      <c r="I4293" s="972"/>
      <c r="J4293" s="972"/>
      <c r="K4293" s="972"/>
      <c r="L4293" s="972"/>
      <c r="M4293" s="972"/>
    </row>
    <row r="4294" spans="5:13">
      <c r="E4294" s="972"/>
      <c r="F4294" s="972"/>
      <c r="G4294" s="972"/>
      <c r="H4294" s="972"/>
      <c r="I4294" s="972"/>
      <c r="J4294" s="972"/>
      <c r="K4294" s="972"/>
      <c r="L4294" s="972"/>
      <c r="M4294" s="972"/>
    </row>
    <row r="4295" spans="5:13">
      <c r="E4295" s="972"/>
      <c r="F4295" s="972"/>
      <c r="G4295" s="972"/>
      <c r="H4295" s="972"/>
      <c r="I4295" s="972"/>
      <c r="J4295" s="972"/>
      <c r="K4295" s="972"/>
      <c r="L4295" s="972"/>
      <c r="M4295" s="972"/>
    </row>
    <row r="4296" spans="5:13">
      <c r="E4296" s="972"/>
      <c r="F4296" s="972"/>
      <c r="G4296" s="972"/>
      <c r="H4296" s="972"/>
      <c r="I4296" s="972"/>
      <c r="J4296" s="972"/>
      <c r="K4296" s="972"/>
      <c r="L4296" s="972"/>
      <c r="M4296" s="972"/>
    </row>
    <row r="4297" spans="5:13">
      <c r="E4297" s="972"/>
      <c r="F4297" s="972"/>
      <c r="G4297" s="972"/>
      <c r="H4297" s="972"/>
      <c r="I4297" s="972"/>
      <c r="J4297" s="972"/>
      <c r="K4297" s="972"/>
      <c r="L4297" s="972"/>
      <c r="M4297" s="972"/>
    </row>
    <row r="4298" spans="5:13">
      <c r="E4298" s="972"/>
      <c r="F4298" s="972"/>
      <c r="G4298" s="972"/>
      <c r="H4298" s="972"/>
      <c r="I4298" s="972"/>
      <c r="J4298" s="972"/>
      <c r="K4298" s="972"/>
      <c r="L4298" s="972"/>
      <c r="M4298" s="972"/>
    </row>
    <row r="4299" spans="5:13">
      <c r="E4299" s="972"/>
      <c r="F4299" s="972"/>
      <c r="G4299" s="972"/>
      <c r="H4299" s="972"/>
      <c r="I4299" s="972"/>
      <c r="J4299" s="972"/>
      <c r="K4299" s="972"/>
      <c r="L4299" s="972"/>
      <c r="M4299" s="972"/>
    </row>
    <row r="4300" spans="5:13">
      <c r="E4300" s="972"/>
      <c r="F4300" s="972"/>
      <c r="G4300" s="972"/>
      <c r="H4300" s="972"/>
      <c r="I4300" s="972"/>
      <c r="J4300" s="972"/>
      <c r="K4300" s="972"/>
      <c r="L4300" s="972"/>
      <c r="M4300" s="972"/>
    </row>
    <row r="4301" spans="5:13">
      <c r="E4301" s="972"/>
      <c r="F4301" s="972"/>
      <c r="G4301" s="972"/>
      <c r="H4301" s="972"/>
      <c r="I4301" s="972"/>
      <c r="J4301" s="972"/>
      <c r="K4301" s="972"/>
      <c r="L4301" s="972"/>
      <c r="M4301" s="972"/>
    </row>
    <row r="4302" spans="5:13">
      <c r="E4302" s="972"/>
      <c r="F4302" s="972"/>
      <c r="G4302" s="972"/>
      <c r="H4302" s="972"/>
      <c r="I4302" s="972"/>
      <c r="J4302" s="972"/>
      <c r="K4302" s="972"/>
      <c r="L4302" s="972"/>
      <c r="M4302" s="972"/>
    </row>
    <row r="4303" spans="5:13">
      <c r="E4303" s="972"/>
      <c r="F4303" s="972"/>
      <c r="G4303" s="972"/>
      <c r="H4303" s="972"/>
      <c r="I4303" s="972"/>
      <c r="J4303" s="972"/>
      <c r="K4303" s="972"/>
      <c r="L4303" s="972"/>
      <c r="M4303" s="972"/>
    </row>
    <row r="4304" spans="5:13">
      <c r="E4304" s="972"/>
      <c r="F4304" s="972"/>
      <c r="G4304" s="972"/>
      <c r="H4304" s="972"/>
      <c r="I4304" s="972"/>
      <c r="J4304" s="972"/>
      <c r="K4304" s="972"/>
      <c r="L4304" s="972"/>
      <c r="M4304" s="972"/>
    </row>
    <row r="4305" spans="5:13">
      <c r="E4305" s="972"/>
      <c r="F4305" s="972"/>
      <c r="G4305" s="972"/>
      <c r="H4305" s="972"/>
      <c r="I4305" s="972"/>
      <c r="J4305" s="972"/>
      <c r="K4305" s="972"/>
      <c r="L4305" s="972"/>
      <c r="M4305" s="972"/>
    </row>
    <row r="4306" spans="5:13">
      <c r="E4306" s="972"/>
      <c r="F4306" s="972"/>
      <c r="G4306" s="972"/>
      <c r="H4306" s="972"/>
      <c r="I4306" s="972"/>
      <c r="J4306" s="972"/>
      <c r="K4306" s="972"/>
      <c r="L4306" s="972"/>
      <c r="M4306" s="972"/>
    </row>
    <row r="4307" spans="5:13">
      <c r="E4307" s="972"/>
      <c r="F4307" s="972"/>
      <c r="G4307" s="972"/>
      <c r="H4307" s="972"/>
      <c r="I4307" s="972"/>
      <c r="J4307" s="972"/>
      <c r="K4307" s="972"/>
      <c r="L4307" s="972"/>
      <c r="M4307" s="972"/>
    </row>
    <row r="4308" spans="5:13">
      <c r="E4308" s="972"/>
      <c r="F4308" s="972"/>
      <c r="G4308" s="972"/>
      <c r="H4308" s="972"/>
      <c r="I4308" s="972"/>
      <c r="J4308" s="972"/>
      <c r="K4308" s="972"/>
      <c r="L4308" s="972"/>
      <c r="M4308" s="972"/>
    </row>
    <row r="4309" spans="5:13">
      <c r="E4309" s="972"/>
      <c r="F4309" s="972"/>
      <c r="G4309" s="972"/>
      <c r="H4309" s="972"/>
      <c r="I4309" s="972"/>
      <c r="J4309" s="972"/>
      <c r="K4309" s="972"/>
      <c r="L4309" s="972"/>
      <c r="M4309" s="972"/>
    </row>
    <row r="4310" spans="5:13">
      <c r="E4310" s="972"/>
      <c r="F4310" s="972"/>
      <c r="G4310" s="972"/>
      <c r="H4310" s="972"/>
      <c r="I4310" s="972"/>
      <c r="J4310" s="972"/>
      <c r="K4310" s="972"/>
      <c r="L4310" s="972"/>
      <c r="M4310" s="972"/>
    </row>
    <row r="4311" spans="5:13">
      <c r="E4311" s="972"/>
      <c r="F4311" s="972"/>
      <c r="G4311" s="972"/>
      <c r="H4311" s="972"/>
      <c r="I4311" s="972"/>
      <c r="J4311" s="972"/>
      <c r="K4311" s="972"/>
      <c r="L4311" s="972"/>
      <c r="M4311" s="972"/>
    </row>
    <row r="4312" spans="5:13">
      <c r="E4312" s="972"/>
      <c r="F4312" s="972"/>
      <c r="G4312" s="972"/>
      <c r="H4312" s="972"/>
      <c r="I4312" s="972"/>
      <c r="J4312" s="972"/>
      <c r="K4312" s="972"/>
      <c r="L4312" s="972"/>
      <c r="M4312" s="972"/>
    </row>
    <row r="4313" spans="5:13">
      <c r="E4313" s="972"/>
      <c r="F4313" s="972"/>
      <c r="G4313" s="972"/>
      <c r="H4313" s="972"/>
      <c r="I4313" s="972"/>
      <c r="J4313" s="972"/>
      <c r="K4313" s="972"/>
      <c r="L4313" s="972"/>
      <c r="M4313" s="972"/>
    </row>
    <row r="4314" spans="5:13">
      <c r="E4314" s="972"/>
      <c r="F4314" s="972"/>
      <c r="G4314" s="972"/>
      <c r="H4314" s="972"/>
      <c r="I4314" s="972"/>
      <c r="J4314" s="972"/>
      <c r="K4314" s="972"/>
      <c r="L4314" s="972"/>
      <c r="M4314" s="972"/>
    </row>
    <row r="4315" spans="5:13">
      <c r="E4315" s="972"/>
      <c r="F4315" s="972"/>
      <c r="G4315" s="972"/>
      <c r="H4315" s="972"/>
      <c r="I4315" s="972"/>
      <c r="J4315" s="972"/>
      <c r="K4315" s="972"/>
      <c r="L4315" s="972"/>
      <c r="M4315" s="972"/>
    </row>
    <row r="4316" spans="5:13">
      <c r="E4316" s="972"/>
      <c r="F4316" s="972"/>
      <c r="G4316" s="972"/>
      <c r="H4316" s="972"/>
      <c r="I4316" s="972"/>
      <c r="J4316" s="972"/>
      <c r="K4316" s="972"/>
      <c r="L4316" s="972"/>
      <c r="M4316" s="972"/>
    </row>
    <row r="4317" spans="5:13">
      <c r="E4317" s="972"/>
      <c r="F4317" s="972"/>
      <c r="G4317" s="972"/>
      <c r="H4317" s="972"/>
      <c r="I4317" s="972"/>
      <c r="J4317" s="972"/>
      <c r="K4317" s="972"/>
      <c r="L4317" s="972"/>
      <c r="M4317" s="972"/>
    </row>
    <row r="4318" spans="5:13">
      <c r="E4318" s="972"/>
      <c r="F4318" s="972"/>
      <c r="G4318" s="972"/>
      <c r="H4318" s="972"/>
      <c r="I4318" s="972"/>
      <c r="J4318" s="972"/>
      <c r="K4318" s="972"/>
      <c r="L4318" s="972"/>
      <c r="M4318" s="972"/>
    </row>
    <row r="4319" spans="5:13">
      <c r="E4319" s="972"/>
      <c r="F4319" s="972"/>
      <c r="G4319" s="972"/>
      <c r="H4319" s="972"/>
      <c r="I4319" s="972"/>
      <c r="J4319" s="972"/>
      <c r="K4319" s="972"/>
      <c r="L4319" s="972"/>
      <c r="M4319" s="972"/>
    </row>
    <row r="4320" spans="5:13">
      <c r="E4320" s="972"/>
      <c r="F4320" s="972"/>
      <c r="G4320" s="972"/>
      <c r="H4320" s="972"/>
      <c r="I4320" s="972"/>
      <c r="J4320" s="972"/>
      <c r="K4320" s="972"/>
      <c r="L4320" s="972"/>
      <c r="M4320" s="972"/>
    </row>
    <row r="4321" spans="5:13">
      <c r="E4321" s="972"/>
      <c r="F4321" s="972"/>
      <c r="G4321" s="972"/>
      <c r="H4321" s="972"/>
      <c r="I4321" s="972"/>
      <c r="J4321" s="972"/>
      <c r="K4321" s="972"/>
      <c r="L4321" s="972"/>
      <c r="M4321" s="972"/>
    </row>
    <row r="4322" spans="5:13">
      <c r="E4322" s="972"/>
      <c r="F4322" s="972"/>
      <c r="G4322" s="972"/>
      <c r="H4322" s="972"/>
      <c r="I4322" s="972"/>
      <c r="J4322" s="972"/>
      <c r="K4322" s="972"/>
      <c r="L4322" s="972"/>
      <c r="M4322" s="972"/>
    </row>
    <row r="4323" spans="5:13">
      <c r="E4323" s="972"/>
      <c r="F4323" s="972"/>
      <c r="G4323" s="972"/>
      <c r="H4323" s="972"/>
      <c r="I4323" s="972"/>
      <c r="J4323" s="972"/>
      <c r="K4323" s="972"/>
      <c r="L4323" s="972"/>
      <c r="M4323" s="972"/>
    </row>
    <row r="4324" spans="5:13">
      <c r="E4324" s="972"/>
      <c r="F4324" s="972"/>
      <c r="G4324" s="972"/>
      <c r="H4324" s="972"/>
      <c r="I4324" s="972"/>
      <c r="J4324" s="972"/>
      <c r="K4324" s="972"/>
      <c r="L4324" s="972"/>
      <c r="M4324" s="972"/>
    </row>
    <row r="4325" spans="5:13">
      <c r="E4325" s="972"/>
      <c r="F4325" s="972"/>
      <c r="G4325" s="972"/>
      <c r="H4325" s="972"/>
      <c r="I4325" s="972"/>
      <c r="J4325" s="972"/>
      <c r="K4325" s="972"/>
      <c r="L4325" s="972"/>
      <c r="M4325" s="972"/>
    </row>
    <row r="4326" spans="5:13">
      <c r="E4326" s="972"/>
      <c r="F4326" s="972"/>
      <c r="G4326" s="972"/>
      <c r="H4326" s="972"/>
      <c r="I4326" s="972"/>
      <c r="J4326" s="972"/>
      <c r="K4326" s="972"/>
      <c r="L4326" s="972"/>
      <c r="M4326" s="972"/>
    </row>
    <row r="4327" spans="5:13">
      <c r="E4327" s="972"/>
      <c r="F4327" s="972"/>
      <c r="G4327" s="972"/>
      <c r="H4327" s="972"/>
      <c r="I4327" s="972"/>
      <c r="J4327" s="972"/>
      <c r="K4327" s="972"/>
      <c r="L4327" s="972"/>
      <c r="M4327" s="972"/>
    </row>
    <row r="4328" spans="5:13">
      <c r="E4328" s="972"/>
      <c r="F4328" s="972"/>
      <c r="G4328" s="972"/>
      <c r="H4328" s="972"/>
      <c r="I4328" s="972"/>
      <c r="J4328" s="972"/>
      <c r="K4328" s="972"/>
      <c r="L4328" s="972"/>
      <c r="M4328" s="972"/>
    </row>
    <row r="4329" spans="5:13">
      <c r="E4329" s="972"/>
      <c r="F4329" s="972"/>
      <c r="G4329" s="972"/>
      <c r="H4329" s="972"/>
      <c r="I4329" s="972"/>
      <c r="J4329" s="972"/>
      <c r="K4329" s="972"/>
      <c r="L4329" s="972"/>
      <c r="M4329" s="972"/>
    </row>
    <row r="4330" spans="5:13">
      <c r="E4330" s="972"/>
      <c r="F4330" s="972"/>
      <c r="G4330" s="972"/>
      <c r="H4330" s="972"/>
      <c r="I4330" s="972"/>
      <c r="J4330" s="972"/>
      <c r="K4330" s="972"/>
      <c r="L4330" s="972"/>
      <c r="M4330" s="972"/>
    </row>
    <row r="4331" spans="5:13">
      <c r="E4331" s="972"/>
      <c r="F4331" s="972"/>
      <c r="G4331" s="972"/>
      <c r="H4331" s="972"/>
      <c r="I4331" s="972"/>
      <c r="J4331" s="972"/>
      <c r="K4331" s="972"/>
      <c r="L4331" s="972"/>
      <c r="M4331" s="972"/>
    </row>
    <row r="4332" spans="5:13">
      <c r="E4332" s="972"/>
      <c r="F4332" s="972"/>
      <c r="G4332" s="972"/>
      <c r="H4332" s="972"/>
      <c r="I4332" s="972"/>
      <c r="J4332" s="972"/>
      <c r="K4332" s="972"/>
      <c r="L4332" s="972"/>
      <c r="M4332" s="972"/>
    </row>
    <row r="4333" spans="5:13">
      <c r="E4333" s="972"/>
      <c r="F4333" s="972"/>
      <c r="G4333" s="972"/>
      <c r="H4333" s="972"/>
      <c r="I4333" s="972"/>
      <c r="J4333" s="972"/>
      <c r="K4333" s="972"/>
      <c r="L4333" s="972"/>
      <c r="M4333" s="972"/>
    </row>
    <row r="4334" spans="5:13">
      <c r="E4334" s="972"/>
      <c r="F4334" s="972"/>
      <c r="G4334" s="972"/>
      <c r="H4334" s="972"/>
      <c r="I4334" s="972"/>
      <c r="J4334" s="972"/>
      <c r="K4334" s="972"/>
      <c r="L4334" s="972"/>
      <c r="M4334" s="972"/>
    </row>
    <row r="4335" spans="5:13">
      <c r="E4335" s="972"/>
      <c r="F4335" s="972"/>
      <c r="G4335" s="972"/>
      <c r="H4335" s="972"/>
      <c r="I4335" s="972"/>
      <c r="J4335" s="972"/>
      <c r="K4335" s="972"/>
      <c r="L4335" s="972"/>
      <c r="M4335" s="972"/>
    </row>
    <row r="4336" spans="5:13">
      <c r="E4336" s="972"/>
      <c r="F4336" s="972"/>
      <c r="G4336" s="972"/>
      <c r="H4336" s="972"/>
      <c r="I4336" s="972"/>
      <c r="J4336" s="972"/>
      <c r="K4336" s="972"/>
      <c r="L4336" s="972"/>
      <c r="M4336" s="972"/>
    </row>
    <row r="4337" spans="5:13">
      <c r="E4337" s="972"/>
      <c r="F4337" s="972"/>
      <c r="G4337" s="972"/>
      <c r="H4337" s="972"/>
      <c r="I4337" s="972"/>
      <c r="J4337" s="972"/>
      <c r="K4337" s="972"/>
      <c r="L4337" s="972"/>
      <c r="M4337" s="972"/>
    </row>
    <row r="4338" spans="5:13">
      <c r="E4338" s="972"/>
      <c r="F4338" s="972"/>
      <c r="G4338" s="972"/>
      <c r="H4338" s="972"/>
      <c r="I4338" s="972"/>
      <c r="J4338" s="972"/>
      <c r="K4338" s="972"/>
      <c r="L4338" s="972"/>
      <c r="M4338" s="972"/>
    </row>
    <row r="4339" spans="5:13">
      <c r="E4339" s="972"/>
      <c r="F4339" s="972"/>
      <c r="G4339" s="972"/>
      <c r="H4339" s="972"/>
      <c r="I4339" s="972"/>
      <c r="J4339" s="972"/>
      <c r="K4339" s="972"/>
      <c r="L4339" s="972"/>
      <c r="M4339" s="972"/>
    </row>
    <row r="4340" spans="5:13">
      <c r="E4340" s="972"/>
      <c r="F4340" s="972"/>
      <c r="G4340" s="972"/>
      <c r="H4340" s="972"/>
      <c r="I4340" s="972"/>
      <c r="J4340" s="972"/>
      <c r="K4340" s="972"/>
      <c r="L4340" s="972"/>
      <c r="M4340" s="972"/>
    </row>
    <row r="4341" spans="5:13">
      <c r="E4341" s="972"/>
      <c r="F4341" s="972"/>
      <c r="G4341" s="972"/>
      <c r="H4341" s="972"/>
      <c r="I4341" s="972"/>
      <c r="J4341" s="972"/>
      <c r="K4341" s="972"/>
      <c r="L4341" s="972"/>
      <c r="M4341" s="972"/>
    </row>
    <row r="4342" spans="5:13">
      <c r="E4342" s="972"/>
      <c r="F4342" s="972"/>
      <c r="G4342" s="972"/>
      <c r="H4342" s="972"/>
      <c r="I4342" s="972"/>
      <c r="J4342" s="972"/>
      <c r="K4342" s="972"/>
      <c r="L4342" s="972"/>
      <c r="M4342" s="972"/>
    </row>
    <row r="4343" spans="5:13">
      <c r="E4343" s="972"/>
      <c r="F4343" s="972"/>
      <c r="G4343" s="972"/>
      <c r="H4343" s="972"/>
      <c r="I4343" s="972"/>
      <c r="J4343" s="972"/>
      <c r="K4343" s="972"/>
      <c r="L4343" s="972"/>
      <c r="M4343" s="972"/>
    </row>
    <row r="4344" spans="5:13">
      <c r="E4344" s="972"/>
      <c r="F4344" s="972"/>
      <c r="G4344" s="972"/>
      <c r="H4344" s="972"/>
      <c r="I4344" s="972"/>
      <c r="J4344" s="972"/>
      <c r="K4344" s="972"/>
      <c r="L4344" s="972"/>
      <c r="M4344" s="972"/>
    </row>
    <row r="4345" spans="5:13">
      <c r="E4345" s="972"/>
      <c r="F4345" s="972"/>
      <c r="G4345" s="972"/>
      <c r="H4345" s="972"/>
      <c r="I4345" s="972"/>
      <c r="J4345" s="972"/>
      <c r="K4345" s="972"/>
      <c r="L4345" s="972"/>
      <c r="M4345" s="972"/>
    </row>
    <row r="4346" spans="5:13">
      <c r="E4346" s="972"/>
      <c r="F4346" s="972"/>
      <c r="G4346" s="972"/>
      <c r="H4346" s="972"/>
      <c r="I4346" s="972"/>
      <c r="J4346" s="972"/>
      <c r="K4346" s="972"/>
      <c r="L4346" s="972"/>
      <c r="M4346" s="972"/>
    </row>
    <row r="4347" spans="5:13">
      <c r="E4347" s="972"/>
      <c r="F4347" s="972"/>
      <c r="G4347" s="972"/>
      <c r="H4347" s="972"/>
      <c r="I4347" s="972"/>
      <c r="J4347" s="972"/>
      <c r="K4347" s="972"/>
      <c r="L4347" s="972"/>
      <c r="M4347" s="972"/>
    </row>
    <row r="4348" spans="5:13">
      <c r="E4348" s="972"/>
      <c r="F4348" s="972"/>
      <c r="G4348" s="972"/>
      <c r="H4348" s="972"/>
      <c r="I4348" s="972"/>
      <c r="J4348" s="972"/>
      <c r="K4348" s="972"/>
      <c r="L4348" s="972"/>
      <c r="M4348" s="972"/>
    </row>
    <row r="4349" spans="5:13">
      <c r="E4349" s="972"/>
      <c r="F4349" s="972"/>
      <c r="G4349" s="972"/>
      <c r="H4349" s="972"/>
      <c r="I4349" s="972"/>
      <c r="J4349" s="972"/>
      <c r="K4349" s="972"/>
      <c r="L4349" s="972"/>
      <c r="M4349" s="972"/>
    </row>
    <row r="4350" spans="5:13">
      <c r="E4350" s="972"/>
      <c r="F4350" s="972"/>
      <c r="G4350" s="972"/>
      <c r="H4350" s="972"/>
      <c r="I4350" s="972"/>
      <c r="J4350" s="972"/>
      <c r="K4350" s="972"/>
      <c r="L4350" s="972"/>
      <c r="M4350" s="972"/>
    </row>
    <row r="4351" spans="5:13">
      <c r="E4351" s="972"/>
      <c r="F4351" s="972"/>
      <c r="G4351" s="972"/>
      <c r="H4351" s="972"/>
      <c r="I4351" s="972"/>
      <c r="J4351" s="972"/>
      <c r="K4351" s="972"/>
      <c r="L4351" s="972"/>
      <c r="M4351" s="972"/>
    </row>
    <row r="4352" spans="5:13">
      <c r="E4352" s="972"/>
      <c r="F4352" s="972"/>
      <c r="G4352" s="972"/>
      <c r="H4352" s="972"/>
      <c r="I4352" s="972"/>
      <c r="J4352" s="972"/>
      <c r="K4352" s="972"/>
      <c r="L4352" s="972"/>
      <c r="M4352" s="972"/>
    </row>
    <row r="4353" spans="5:13">
      <c r="E4353" s="972"/>
      <c r="F4353" s="972"/>
      <c r="G4353" s="972"/>
      <c r="H4353" s="972"/>
      <c r="I4353" s="972"/>
      <c r="J4353" s="972"/>
      <c r="K4353" s="972"/>
      <c r="L4353" s="972"/>
      <c r="M4353" s="972"/>
    </row>
    <row r="4354" spans="5:13">
      <c r="E4354" s="972"/>
      <c r="F4354" s="972"/>
      <c r="G4354" s="972"/>
      <c r="H4354" s="972"/>
      <c r="I4354" s="972"/>
      <c r="J4354" s="972"/>
      <c r="K4354" s="972"/>
      <c r="L4354" s="972"/>
      <c r="M4354" s="972"/>
    </row>
    <row r="4355" spans="5:13">
      <c r="E4355" s="972"/>
      <c r="F4355" s="972"/>
      <c r="G4355" s="972"/>
      <c r="H4355" s="972"/>
      <c r="I4355" s="972"/>
      <c r="J4355" s="972"/>
      <c r="K4355" s="972"/>
      <c r="L4355" s="972"/>
      <c r="M4355" s="972"/>
    </row>
    <row r="4356" spans="5:13">
      <c r="E4356" s="972"/>
      <c r="F4356" s="972"/>
      <c r="G4356" s="972"/>
      <c r="H4356" s="972"/>
      <c r="I4356" s="972"/>
      <c r="J4356" s="972"/>
      <c r="K4356" s="972"/>
      <c r="L4356" s="972"/>
      <c r="M4356" s="972"/>
    </row>
    <row r="4357" spans="5:13">
      <c r="E4357" s="972"/>
      <c r="F4357" s="972"/>
      <c r="G4357" s="972"/>
      <c r="H4357" s="972"/>
      <c r="I4357" s="972"/>
      <c r="J4357" s="972"/>
      <c r="K4357" s="972"/>
      <c r="L4357" s="972"/>
      <c r="M4357" s="972"/>
    </row>
    <row r="4358" spans="5:13">
      <c r="E4358" s="972"/>
      <c r="F4358" s="972"/>
      <c r="G4358" s="972"/>
      <c r="H4358" s="972"/>
      <c r="I4358" s="972"/>
      <c r="J4358" s="972"/>
      <c r="K4358" s="972"/>
      <c r="L4358" s="972"/>
      <c r="M4358" s="972"/>
    </row>
    <row r="4359" spans="5:13">
      <c r="E4359" s="972"/>
      <c r="F4359" s="972"/>
      <c r="G4359" s="972"/>
      <c r="H4359" s="972"/>
      <c r="I4359" s="972"/>
      <c r="J4359" s="972"/>
      <c r="K4359" s="972"/>
      <c r="L4359" s="972"/>
      <c r="M4359" s="972"/>
    </row>
    <row r="4360" spans="5:13">
      <c r="E4360" s="972"/>
      <c r="F4360" s="972"/>
      <c r="G4360" s="972"/>
      <c r="H4360" s="972"/>
      <c r="I4360" s="972"/>
      <c r="J4360" s="972"/>
      <c r="K4360" s="972"/>
      <c r="L4360" s="972"/>
      <c r="M4360" s="972"/>
    </row>
    <row r="4361" spans="5:13">
      <c r="E4361" s="972"/>
      <c r="F4361" s="972"/>
      <c r="G4361" s="972"/>
      <c r="H4361" s="972"/>
      <c r="I4361" s="972"/>
      <c r="J4361" s="972"/>
      <c r="K4361" s="972"/>
      <c r="L4361" s="972"/>
      <c r="M4361" s="972"/>
    </row>
    <row r="4362" spans="5:13">
      <c r="E4362" s="972"/>
      <c r="F4362" s="972"/>
      <c r="G4362" s="972"/>
      <c r="H4362" s="972"/>
      <c r="I4362" s="972"/>
      <c r="J4362" s="972"/>
      <c r="K4362" s="972"/>
      <c r="L4362" s="972"/>
      <c r="M4362" s="972"/>
    </row>
    <row r="4363" spans="5:13">
      <c r="E4363" s="972"/>
      <c r="F4363" s="972"/>
      <c r="G4363" s="972"/>
      <c r="H4363" s="972"/>
      <c r="I4363" s="972"/>
      <c r="J4363" s="972"/>
      <c r="K4363" s="972"/>
      <c r="L4363" s="972"/>
      <c r="M4363" s="972"/>
    </row>
    <row r="4364" spans="5:13">
      <c r="E4364" s="972"/>
      <c r="F4364" s="972"/>
      <c r="G4364" s="972"/>
      <c r="H4364" s="972"/>
      <c r="I4364" s="972"/>
      <c r="J4364" s="972"/>
      <c r="K4364" s="972"/>
      <c r="L4364" s="972"/>
      <c r="M4364" s="972"/>
    </row>
    <row r="4365" spans="5:13">
      <c r="E4365" s="972"/>
      <c r="F4365" s="972"/>
      <c r="G4365" s="972"/>
      <c r="H4365" s="972"/>
      <c r="I4365" s="972"/>
      <c r="J4365" s="972"/>
      <c r="K4365" s="972"/>
      <c r="L4365" s="972"/>
      <c r="M4365" s="972"/>
    </row>
    <row r="4366" spans="5:13">
      <c r="E4366" s="972"/>
      <c r="F4366" s="972"/>
      <c r="G4366" s="972"/>
      <c r="H4366" s="972"/>
      <c r="I4366" s="972"/>
      <c r="J4366" s="972"/>
      <c r="K4366" s="972"/>
      <c r="L4366" s="972"/>
      <c r="M4366" s="972"/>
    </row>
    <row r="4367" spans="5:13">
      <c r="E4367" s="972"/>
      <c r="F4367" s="972"/>
      <c r="G4367" s="972"/>
      <c r="H4367" s="972"/>
      <c r="I4367" s="972"/>
      <c r="J4367" s="972"/>
      <c r="K4367" s="972"/>
      <c r="L4367" s="972"/>
      <c r="M4367" s="972"/>
    </row>
    <row r="4368" spans="5:13">
      <c r="E4368" s="972"/>
      <c r="F4368" s="972"/>
      <c r="G4368" s="972"/>
      <c r="H4368" s="972"/>
      <c r="I4368" s="972"/>
      <c r="J4368" s="972"/>
      <c r="K4368" s="972"/>
      <c r="L4368" s="972"/>
      <c r="M4368" s="972"/>
    </row>
    <row r="4369" spans="5:13">
      <c r="E4369" s="972"/>
      <c r="F4369" s="972"/>
      <c r="G4369" s="972"/>
      <c r="H4369" s="972"/>
      <c r="I4369" s="972"/>
      <c r="J4369" s="972"/>
      <c r="K4369" s="972"/>
      <c r="L4369" s="972"/>
      <c r="M4369" s="972"/>
    </row>
    <row r="4370" spans="5:13">
      <c r="E4370" s="972"/>
      <c r="F4370" s="972"/>
      <c r="G4370" s="972"/>
      <c r="H4370" s="972"/>
      <c r="I4370" s="972"/>
      <c r="J4370" s="972"/>
      <c r="K4370" s="972"/>
      <c r="L4370" s="972"/>
      <c r="M4370" s="972"/>
    </row>
    <row r="4371" spans="5:13">
      <c r="E4371" s="972"/>
      <c r="F4371" s="972"/>
      <c r="G4371" s="972"/>
      <c r="H4371" s="972"/>
      <c r="I4371" s="972"/>
      <c r="J4371" s="972"/>
      <c r="K4371" s="972"/>
      <c r="L4371" s="972"/>
      <c r="M4371" s="972"/>
    </row>
    <row r="4372" spans="5:13">
      <c r="E4372" s="972"/>
      <c r="F4372" s="972"/>
      <c r="G4372" s="972"/>
      <c r="H4372" s="972"/>
      <c r="I4372" s="972"/>
      <c r="J4372" s="972"/>
      <c r="K4372" s="972"/>
      <c r="L4372" s="972"/>
      <c r="M4372" s="972"/>
    </row>
    <row r="4373" spans="5:13">
      <c r="E4373" s="972"/>
      <c r="F4373" s="972"/>
      <c r="G4373" s="972"/>
      <c r="H4373" s="972"/>
      <c r="I4373" s="972"/>
      <c r="J4373" s="972"/>
      <c r="K4373" s="972"/>
      <c r="L4373" s="972"/>
      <c r="M4373" s="972"/>
    </row>
    <row r="4374" spans="5:13">
      <c r="E4374" s="972"/>
      <c r="F4374" s="972"/>
      <c r="G4374" s="972"/>
      <c r="H4374" s="972"/>
      <c r="I4374" s="972"/>
      <c r="J4374" s="972"/>
      <c r="K4374" s="972"/>
      <c r="L4374" s="972"/>
      <c r="M4374" s="972"/>
    </row>
    <row r="4375" spans="5:13">
      <c r="E4375" s="972"/>
      <c r="F4375" s="972"/>
      <c r="G4375" s="972"/>
      <c r="H4375" s="972"/>
      <c r="I4375" s="972"/>
      <c r="J4375" s="972"/>
      <c r="K4375" s="972"/>
      <c r="L4375" s="972"/>
      <c r="M4375" s="972"/>
    </row>
    <row r="4376" spans="5:13">
      <c r="E4376" s="972"/>
      <c r="F4376" s="972"/>
      <c r="G4376" s="972"/>
      <c r="H4376" s="972"/>
      <c r="I4376" s="972"/>
      <c r="J4376" s="972"/>
      <c r="K4376" s="972"/>
      <c r="L4376" s="972"/>
      <c r="M4376" s="972"/>
    </row>
    <row r="4377" spans="5:13">
      <c r="E4377" s="972"/>
      <c r="F4377" s="972"/>
      <c r="G4377" s="972"/>
      <c r="H4377" s="972"/>
      <c r="I4377" s="972"/>
      <c r="J4377" s="972"/>
      <c r="K4377" s="972"/>
      <c r="L4377" s="972"/>
      <c r="M4377" s="972"/>
    </row>
    <row r="4378" spans="5:13">
      <c r="E4378" s="972"/>
      <c r="F4378" s="972"/>
      <c r="G4378" s="972"/>
      <c r="H4378" s="972"/>
      <c r="I4378" s="972"/>
      <c r="J4378" s="972"/>
      <c r="K4378" s="972"/>
      <c r="L4378" s="972"/>
      <c r="M4378" s="972"/>
    </row>
    <row r="4379" spans="5:13">
      <c r="E4379" s="972"/>
      <c r="F4379" s="972"/>
      <c r="G4379" s="972"/>
      <c r="H4379" s="972"/>
      <c r="I4379" s="972"/>
      <c r="J4379" s="972"/>
      <c r="K4379" s="972"/>
      <c r="L4379" s="972"/>
      <c r="M4379" s="972"/>
    </row>
    <row r="4380" spans="5:13">
      <c r="E4380" s="972"/>
      <c r="F4380" s="972"/>
      <c r="G4380" s="972"/>
      <c r="H4380" s="972"/>
      <c r="I4380" s="972"/>
      <c r="J4380" s="972"/>
      <c r="K4380" s="972"/>
      <c r="L4380" s="972"/>
      <c r="M4380" s="972"/>
    </row>
    <row r="4381" spans="5:13">
      <c r="E4381" s="972"/>
      <c r="F4381" s="972"/>
      <c r="G4381" s="972"/>
      <c r="H4381" s="972"/>
      <c r="I4381" s="972"/>
      <c r="J4381" s="972"/>
      <c r="K4381" s="972"/>
      <c r="L4381" s="972"/>
      <c r="M4381" s="972"/>
    </row>
    <row r="4382" spans="5:13">
      <c r="E4382" s="972"/>
      <c r="F4382" s="972"/>
      <c r="G4382" s="972"/>
      <c r="H4382" s="972"/>
      <c r="I4382" s="972"/>
      <c r="J4382" s="972"/>
      <c r="K4382" s="972"/>
      <c r="L4382" s="972"/>
      <c r="M4382" s="972"/>
    </row>
    <row r="4383" spans="5:13">
      <c r="E4383" s="972"/>
      <c r="F4383" s="972"/>
      <c r="G4383" s="972"/>
      <c r="H4383" s="972"/>
      <c r="I4383" s="972"/>
      <c r="J4383" s="972"/>
      <c r="K4383" s="972"/>
      <c r="L4383" s="972"/>
      <c r="M4383" s="972"/>
    </row>
    <row r="4384" spans="5:13">
      <c r="E4384" s="972"/>
      <c r="F4384" s="972"/>
      <c r="G4384" s="972"/>
      <c r="H4384" s="972"/>
      <c r="I4384" s="972"/>
      <c r="J4384" s="972"/>
      <c r="K4384" s="972"/>
      <c r="L4384" s="972"/>
      <c r="M4384" s="972"/>
    </row>
    <row r="4385" spans="5:13">
      <c r="E4385" s="972"/>
      <c r="F4385" s="972"/>
      <c r="G4385" s="972"/>
      <c r="H4385" s="972"/>
      <c r="I4385" s="972"/>
      <c r="J4385" s="972"/>
      <c r="K4385" s="972"/>
      <c r="L4385" s="972"/>
      <c r="M4385" s="972"/>
    </row>
    <row r="4386" spans="5:13">
      <c r="E4386" s="972"/>
      <c r="F4386" s="972"/>
      <c r="G4386" s="972"/>
      <c r="H4386" s="972"/>
      <c r="I4386" s="972"/>
      <c r="J4386" s="972"/>
      <c r="K4386" s="972"/>
      <c r="L4386" s="972"/>
      <c r="M4386" s="972"/>
    </row>
    <row r="4387" spans="5:13">
      <c r="E4387" s="972"/>
      <c r="F4387" s="972"/>
      <c r="G4387" s="972"/>
      <c r="H4387" s="972"/>
      <c r="I4387" s="972"/>
      <c r="J4387" s="972"/>
      <c r="K4387" s="972"/>
      <c r="L4387" s="972"/>
      <c r="M4387" s="972"/>
    </row>
    <row r="4388" spans="5:13">
      <c r="E4388" s="972"/>
      <c r="F4388" s="972"/>
      <c r="G4388" s="972"/>
      <c r="H4388" s="972"/>
      <c r="I4388" s="972"/>
      <c r="J4388" s="972"/>
      <c r="K4388" s="972"/>
      <c r="L4388" s="972"/>
      <c r="M4388" s="972"/>
    </row>
    <row r="4389" spans="5:13">
      <c r="E4389" s="972"/>
      <c r="F4389" s="972"/>
      <c r="G4389" s="972"/>
      <c r="H4389" s="972"/>
      <c r="I4389" s="972"/>
      <c r="J4389" s="972"/>
      <c r="K4389" s="972"/>
      <c r="L4389" s="972"/>
      <c r="M4389" s="972"/>
    </row>
    <row r="4390" spans="5:13">
      <c r="E4390" s="972"/>
      <c r="F4390" s="972"/>
      <c r="G4390" s="972"/>
      <c r="H4390" s="972"/>
      <c r="I4390" s="972"/>
      <c r="J4390" s="972"/>
      <c r="K4390" s="972"/>
      <c r="L4390" s="972"/>
      <c r="M4390" s="972"/>
    </row>
    <row r="4391" spans="5:13">
      <c r="E4391" s="972"/>
      <c r="F4391" s="972"/>
      <c r="G4391" s="972"/>
      <c r="H4391" s="972"/>
      <c r="I4391" s="972"/>
      <c r="J4391" s="972"/>
      <c r="K4391" s="972"/>
      <c r="L4391" s="972"/>
      <c r="M4391" s="972"/>
    </row>
    <row r="4392" spans="5:13">
      <c r="E4392" s="972"/>
      <c r="F4392" s="972"/>
      <c r="G4392" s="972"/>
      <c r="H4392" s="972"/>
      <c r="I4392" s="972"/>
      <c r="J4392" s="972"/>
      <c r="K4392" s="972"/>
      <c r="L4392" s="972"/>
      <c r="M4392" s="972"/>
    </row>
    <row r="4393" spans="5:13">
      <c r="E4393" s="972"/>
      <c r="F4393" s="972"/>
      <c r="G4393" s="972"/>
      <c r="H4393" s="972"/>
      <c r="I4393" s="972"/>
      <c r="J4393" s="972"/>
      <c r="K4393" s="972"/>
      <c r="L4393" s="972"/>
      <c r="M4393" s="972"/>
    </row>
    <row r="4394" spans="5:13">
      <c r="E4394" s="972"/>
      <c r="F4394" s="972"/>
      <c r="G4394" s="972"/>
      <c r="H4394" s="972"/>
      <c r="I4394" s="972"/>
      <c r="J4394" s="972"/>
      <c r="K4394" s="972"/>
      <c r="L4394" s="972"/>
      <c r="M4394" s="972"/>
    </row>
    <row r="4395" spans="5:13">
      <c r="E4395" s="972"/>
      <c r="F4395" s="972"/>
      <c r="G4395" s="972"/>
      <c r="H4395" s="972"/>
      <c r="I4395" s="972"/>
      <c r="J4395" s="972"/>
      <c r="K4395" s="972"/>
      <c r="L4395" s="972"/>
      <c r="M4395" s="972"/>
    </row>
    <row r="4396" spans="5:13">
      <c r="E4396" s="972"/>
      <c r="F4396" s="972"/>
      <c r="G4396" s="972"/>
      <c r="H4396" s="972"/>
      <c r="I4396" s="972"/>
      <c r="J4396" s="972"/>
      <c r="K4396" s="972"/>
      <c r="L4396" s="972"/>
      <c r="M4396" s="972"/>
    </row>
    <row r="4397" spans="5:13">
      <c r="E4397" s="972"/>
      <c r="F4397" s="972"/>
      <c r="G4397" s="972"/>
      <c r="H4397" s="972"/>
      <c r="I4397" s="972"/>
      <c r="J4397" s="972"/>
      <c r="K4397" s="972"/>
      <c r="L4397" s="972"/>
      <c r="M4397" s="972"/>
    </row>
    <row r="4398" spans="5:13">
      <c r="E4398" s="972"/>
      <c r="F4398" s="972"/>
      <c r="G4398" s="972"/>
      <c r="H4398" s="972"/>
      <c r="I4398" s="972"/>
      <c r="J4398" s="972"/>
      <c r="K4398" s="972"/>
      <c r="L4398" s="972"/>
      <c r="M4398" s="972"/>
    </row>
    <row r="4399" spans="5:13">
      <c r="E4399" s="972"/>
      <c r="F4399" s="972"/>
      <c r="G4399" s="972"/>
      <c r="H4399" s="972"/>
      <c r="I4399" s="972"/>
      <c r="J4399" s="972"/>
      <c r="K4399" s="972"/>
      <c r="L4399" s="972"/>
      <c r="M4399" s="972"/>
    </row>
    <row r="4400" spans="5:13">
      <c r="E4400" s="972"/>
      <c r="F4400" s="972"/>
      <c r="G4400" s="972"/>
      <c r="H4400" s="972"/>
      <c r="I4400" s="972"/>
      <c r="J4400" s="972"/>
      <c r="K4400" s="972"/>
      <c r="L4400" s="972"/>
      <c r="M4400" s="972"/>
    </row>
    <row r="4401" spans="5:13">
      <c r="E4401" s="972"/>
      <c r="F4401" s="972"/>
      <c r="G4401" s="972"/>
      <c r="H4401" s="972"/>
      <c r="I4401" s="972"/>
      <c r="J4401" s="972"/>
      <c r="K4401" s="972"/>
      <c r="L4401" s="972"/>
      <c r="M4401" s="972"/>
    </row>
    <row r="4402" spans="5:13">
      <c r="E4402" s="972"/>
      <c r="F4402" s="972"/>
      <c r="G4402" s="972"/>
      <c r="H4402" s="972"/>
      <c r="I4402" s="972"/>
      <c r="J4402" s="972"/>
      <c r="K4402" s="972"/>
      <c r="L4402" s="972"/>
      <c r="M4402" s="972"/>
    </row>
    <row r="4403" spans="5:13">
      <c r="E4403" s="972"/>
      <c r="F4403" s="972"/>
      <c r="G4403" s="972"/>
      <c r="H4403" s="972"/>
      <c r="I4403" s="972"/>
      <c r="J4403" s="972"/>
      <c r="K4403" s="972"/>
      <c r="L4403" s="972"/>
      <c r="M4403" s="972"/>
    </row>
    <row r="4404" spans="5:13">
      <c r="E4404" s="972"/>
      <c r="F4404" s="972"/>
      <c r="G4404" s="972"/>
      <c r="H4404" s="972"/>
      <c r="I4404" s="972"/>
      <c r="J4404" s="972"/>
      <c r="K4404" s="972"/>
      <c r="L4404" s="972"/>
      <c r="M4404" s="972"/>
    </row>
    <row r="4405" spans="5:13">
      <c r="E4405" s="972"/>
      <c r="F4405" s="972"/>
      <c r="G4405" s="972"/>
      <c r="H4405" s="972"/>
      <c r="I4405" s="972"/>
      <c r="J4405" s="972"/>
      <c r="K4405" s="972"/>
      <c r="L4405" s="972"/>
      <c r="M4405" s="972"/>
    </row>
    <row r="4406" spans="5:13">
      <c r="E4406" s="972"/>
      <c r="F4406" s="972"/>
      <c r="G4406" s="972"/>
      <c r="H4406" s="972"/>
      <c r="I4406" s="972"/>
      <c r="J4406" s="972"/>
      <c r="K4406" s="972"/>
      <c r="L4406" s="972"/>
      <c r="M4406" s="972"/>
    </row>
    <row r="4407" spans="5:13">
      <c r="E4407" s="972"/>
      <c r="F4407" s="972"/>
      <c r="G4407" s="972"/>
      <c r="H4407" s="972"/>
      <c r="I4407" s="972"/>
      <c r="J4407" s="972"/>
      <c r="K4407" s="972"/>
      <c r="L4407" s="972"/>
      <c r="M4407" s="972"/>
    </row>
    <row r="4408" spans="5:13">
      <c r="E4408" s="972"/>
      <c r="F4408" s="972"/>
      <c r="G4408" s="972"/>
      <c r="H4408" s="972"/>
      <c r="I4408" s="972"/>
      <c r="J4408" s="972"/>
      <c r="K4408" s="972"/>
      <c r="L4408" s="972"/>
      <c r="M4408" s="972"/>
    </row>
    <row r="4409" spans="5:13">
      <c r="E4409" s="972"/>
      <c r="F4409" s="972"/>
      <c r="G4409" s="972"/>
      <c r="H4409" s="972"/>
      <c r="I4409" s="972"/>
      <c r="J4409" s="972"/>
      <c r="K4409" s="972"/>
      <c r="L4409" s="972"/>
      <c r="M4409" s="972"/>
    </row>
    <row r="4410" spans="5:13">
      <c r="E4410" s="972"/>
      <c r="F4410" s="972"/>
      <c r="G4410" s="972"/>
      <c r="H4410" s="972"/>
      <c r="I4410" s="972"/>
      <c r="J4410" s="972"/>
      <c r="K4410" s="972"/>
      <c r="L4410" s="972"/>
      <c r="M4410" s="972"/>
    </row>
    <row r="4411" spans="5:13">
      <c r="E4411" s="972"/>
      <c r="F4411" s="972"/>
      <c r="G4411" s="972"/>
      <c r="H4411" s="972"/>
      <c r="I4411" s="972"/>
      <c r="J4411" s="972"/>
      <c r="K4411" s="972"/>
      <c r="L4411" s="972"/>
      <c r="M4411" s="972"/>
    </row>
    <row r="4412" spans="5:13">
      <c r="E4412" s="972"/>
      <c r="F4412" s="972"/>
      <c r="G4412" s="972"/>
      <c r="H4412" s="972"/>
      <c r="I4412" s="972"/>
      <c r="J4412" s="972"/>
      <c r="K4412" s="972"/>
      <c r="L4412" s="972"/>
      <c r="M4412" s="972"/>
    </row>
    <row r="4413" spans="5:13">
      <c r="E4413" s="972"/>
      <c r="F4413" s="972"/>
      <c r="G4413" s="972"/>
      <c r="H4413" s="972"/>
      <c r="I4413" s="972"/>
      <c r="J4413" s="972"/>
      <c r="K4413" s="972"/>
      <c r="L4413" s="972"/>
      <c r="M4413" s="972"/>
    </row>
    <row r="4414" spans="5:13">
      <c r="E4414" s="972"/>
      <c r="F4414" s="972"/>
      <c r="G4414" s="972"/>
      <c r="H4414" s="972"/>
      <c r="I4414" s="972"/>
      <c r="J4414" s="972"/>
      <c r="K4414" s="972"/>
      <c r="L4414" s="972"/>
      <c r="M4414" s="972"/>
    </row>
    <row r="4415" spans="5:13">
      <c r="E4415" s="972"/>
      <c r="F4415" s="972"/>
      <c r="G4415" s="972"/>
      <c r="H4415" s="972"/>
      <c r="I4415" s="972"/>
      <c r="J4415" s="972"/>
      <c r="K4415" s="972"/>
      <c r="L4415" s="972"/>
      <c r="M4415" s="972"/>
    </row>
    <row r="4416" spans="5:13">
      <c r="E4416" s="972"/>
      <c r="F4416" s="972"/>
      <c r="G4416" s="972"/>
      <c r="H4416" s="972"/>
      <c r="I4416" s="972"/>
      <c r="J4416" s="972"/>
      <c r="K4416" s="972"/>
      <c r="L4416" s="972"/>
      <c r="M4416" s="972"/>
    </row>
    <row r="4417" spans="5:13">
      <c r="E4417" s="972"/>
      <c r="F4417" s="972"/>
      <c r="G4417" s="972"/>
      <c r="H4417" s="972"/>
      <c r="I4417" s="972"/>
      <c r="J4417" s="972"/>
      <c r="K4417" s="972"/>
      <c r="L4417" s="972"/>
      <c r="M4417" s="972"/>
    </row>
    <row r="4418" spans="5:13">
      <c r="E4418" s="972"/>
      <c r="F4418" s="972"/>
      <c r="G4418" s="972"/>
      <c r="H4418" s="972"/>
      <c r="I4418" s="972"/>
      <c r="J4418" s="972"/>
      <c r="K4418" s="972"/>
      <c r="L4418" s="972"/>
      <c r="M4418" s="972"/>
    </row>
    <row r="4419" spans="5:13">
      <c r="E4419" s="972"/>
      <c r="F4419" s="972"/>
      <c r="G4419" s="972"/>
      <c r="H4419" s="972"/>
      <c r="I4419" s="972"/>
      <c r="J4419" s="972"/>
      <c r="K4419" s="972"/>
      <c r="L4419" s="972"/>
      <c r="M4419" s="972"/>
    </row>
    <row r="4420" spans="5:13">
      <c r="E4420" s="972"/>
      <c r="F4420" s="972"/>
      <c r="G4420" s="972"/>
      <c r="H4420" s="972"/>
      <c r="I4420" s="972"/>
      <c r="J4420" s="972"/>
      <c r="K4420" s="972"/>
      <c r="L4420" s="972"/>
      <c r="M4420" s="972"/>
    </row>
    <row r="4421" spans="5:13">
      <c r="E4421" s="972"/>
      <c r="F4421" s="972"/>
      <c r="G4421" s="972"/>
      <c r="H4421" s="972"/>
      <c r="I4421" s="972"/>
      <c r="J4421" s="972"/>
      <c r="K4421" s="972"/>
      <c r="L4421" s="972"/>
      <c r="M4421" s="972"/>
    </row>
    <row r="4422" spans="5:13">
      <c r="E4422" s="972"/>
      <c r="F4422" s="972"/>
      <c r="G4422" s="972"/>
      <c r="H4422" s="972"/>
      <c r="I4422" s="972"/>
      <c r="J4422" s="972"/>
      <c r="K4422" s="972"/>
      <c r="L4422" s="972"/>
      <c r="M4422" s="972"/>
    </row>
    <row r="4423" spans="5:13">
      <c r="E4423" s="972"/>
      <c r="F4423" s="972"/>
      <c r="G4423" s="972"/>
      <c r="H4423" s="972"/>
      <c r="I4423" s="972"/>
      <c r="J4423" s="972"/>
      <c r="K4423" s="972"/>
      <c r="L4423" s="972"/>
      <c r="M4423" s="972"/>
    </row>
    <row r="4424" spans="5:13">
      <c r="E4424" s="972"/>
      <c r="F4424" s="972"/>
      <c r="G4424" s="972"/>
      <c r="H4424" s="972"/>
      <c r="I4424" s="972"/>
      <c r="J4424" s="972"/>
      <c r="K4424" s="972"/>
      <c r="L4424" s="972"/>
      <c r="M4424" s="972"/>
    </row>
    <row r="4425" spans="5:13">
      <c r="E4425" s="972"/>
      <c r="F4425" s="972"/>
      <c r="G4425" s="972"/>
      <c r="H4425" s="972"/>
      <c r="I4425" s="972"/>
      <c r="J4425" s="972"/>
      <c r="K4425" s="972"/>
      <c r="L4425" s="972"/>
      <c r="M4425" s="972"/>
    </row>
    <row r="4426" spans="5:13">
      <c r="E4426" s="972"/>
      <c r="F4426" s="972"/>
      <c r="G4426" s="972"/>
      <c r="H4426" s="972"/>
      <c r="I4426" s="972"/>
      <c r="J4426" s="972"/>
      <c r="K4426" s="972"/>
      <c r="L4426" s="972"/>
      <c r="M4426" s="972"/>
    </row>
    <row r="4427" spans="5:13">
      <c r="E4427" s="972"/>
      <c r="F4427" s="972"/>
      <c r="G4427" s="972"/>
      <c r="H4427" s="972"/>
      <c r="I4427" s="972"/>
      <c r="J4427" s="972"/>
      <c r="K4427" s="972"/>
      <c r="L4427" s="972"/>
      <c r="M4427" s="972"/>
    </row>
    <row r="4428" spans="5:13">
      <c r="E4428" s="972"/>
      <c r="F4428" s="972"/>
      <c r="G4428" s="972"/>
      <c r="H4428" s="972"/>
      <c r="I4428" s="972"/>
      <c r="J4428" s="972"/>
      <c r="K4428" s="972"/>
      <c r="L4428" s="972"/>
      <c r="M4428" s="972"/>
    </row>
    <row r="4429" spans="5:13">
      <c r="E4429" s="972"/>
      <c r="F4429" s="972"/>
      <c r="G4429" s="972"/>
      <c r="H4429" s="972"/>
      <c r="I4429" s="972"/>
      <c r="J4429" s="972"/>
      <c r="K4429" s="972"/>
      <c r="L4429" s="972"/>
      <c r="M4429" s="972"/>
    </row>
    <row r="4430" spans="5:13">
      <c r="E4430" s="972"/>
      <c r="F4430" s="972"/>
      <c r="G4430" s="972"/>
      <c r="H4430" s="972"/>
      <c r="I4430" s="972"/>
      <c r="J4430" s="972"/>
      <c r="K4430" s="972"/>
      <c r="L4430" s="972"/>
      <c r="M4430" s="972"/>
    </row>
    <row r="4431" spans="5:13">
      <c r="E4431" s="972"/>
      <c r="F4431" s="972"/>
      <c r="G4431" s="972"/>
      <c r="H4431" s="972"/>
      <c r="I4431" s="972"/>
      <c r="J4431" s="972"/>
      <c r="K4431" s="972"/>
      <c r="L4431" s="972"/>
      <c r="M4431" s="972"/>
    </row>
    <row r="4432" spans="5:13">
      <c r="E4432" s="972"/>
      <c r="F4432" s="972"/>
      <c r="G4432" s="972"/>
      <c r="H4432" s="972"/>
      <c r="I4432" s="972"/>
      <c r="J4432" s="972"/>
      <c r="K4432" s="972"/>
      <c r="L4432" s="972"/>
      <c r="M4432" s="972"/>
    </row>
    <row r="4433" spans="5:13">
      <c r="E4433" s="972"/>
      <c r="F4433" s="972"/>
      <c r="G4433" s="972"/>
      <c r="H4433" s="972"/>
      <c r="I4433" s="972"/>
      <c r="J4433" s="972"/>
      <c r="K4433" s="972"/>
      <c r="L4433" s="972"/>
      <c r="M4433" s="972"/>
    </row>
    <row r="4434" spans="5:13">
      <c r="E4434" s="972"/>
      <c r="F4434" s="972"/>
      <c r="G4434" s="972"/>
      <c r="H4434" s="972"/>
      <c r="I4434" s="972"/>
      <c r="J4434" s="972"/>
      <c r="K4434" s="972"/>
      <c r="L4434" s="972"/>
      <c r="M4434" s="972"/>
    </row>
    <row r="4435" spans="5:13">
      <c r="E4435" s="972"/>
      <c r="F4435" s="972"/>
      <c r="G4435" s="972"/>
      <c r="H4435" s="972"/>
      <c r="I4435" s="972"/>
      <c r="J4435" s="972"/>
      <c r="K4435" s="972"/>
      <c r="L4435" s="972"/>
      <c r="M4435" s="972"/>
    </row>
    <row r="4436" spans="5:13">
      <c r="E4436" s="972"/>
      <c r="F4436" s="972"/>
      <c r="G4436" s="972"/>
      <c r="H4436" s="972"/>
      <c r="I4436" s="972"/>
      <c r="J4436" s="972"/>
      <c r="K4436" s="972"/>
      <c r="L4436" s="972"/>
      <c r="M4436" s="972"/>
    </row>
    <row r="4437" spans="5:13">
      <c r="E4437" s="972"/>
      <c r="F4437" s="972"/>
      <c r="G4437" s="972"/>
      <c r="H4437" s="972"/>
      <c r="I4437" s="972"/>
      <c r="J4437" s="972"/>
      <c r="K4437" s="972"/>
      <c r="L4437" s="972"/>
      <c r="M4437" s="972"/>
    </row>
    <row r="4438" spans="5:13">
      <c r="E4438" s="972"/>
      <c r="F4438" s="972"/>
      <c r="G4438" s="972"/>
      <c r="H4438" s="972"/>
      <c r="I4438" s="972"/>
      <c r="J4438" s="972"/>
      <c r="K4438" s="972"/>
      <c r="L4438" s="972"/>
      <c r="M4438" s="972"/>
    </row>
    <row r="4439" spans="5:13">
      <c r="E4439" s="972"/>
      <c r="F4439" s="972"/>
      <c r="G4439" s="972"/>
      <c r="H4439" s="972"/>
      <c r="I4439" s="972"/>
      <c r="J4439" s="972"/>
      <c r="K4439" s="972"/>
      <c r="L4439" s="972"/>
      <c r="M4439" s="972"/>
    </row>
    <row r="4440" spans="5:13">
      <c r="E4440" s="972"/>
      <c r="F4440" s="972"/>
      <c r="G4440" s="972"/>
      <c r="H4440" s="972"/>
      <c r="I4440" s="972"/>
      <c r="J4440" s="972"/>
      <c r="K4440" s="972"/>
      <c r="L4440" s="972"/>
      <c r="M4440" s="972"/>
    </row>
    <row r="4441" spans="5:13">
      <c r="E4441" s="972"/>
      <c r="F4441" s="972"/>
      <c r="G4441" s="972"/>
      <c r="H4441" s="972"/>
      <c r="I4441" s="972"/>
      <c r="J4441" s="972"/>
      <c r="K4441" s="972"/>
      <c r="L4441" s="972"/>
      <c r="M4441" s="972"/>
    </row>
    <row r="4442" spans="5:13">
      <c r="E4442" s="972"/>
      <c r="F4442" s="972"/>
      <c r="G4442" s="972"/>
      <c r="H4442" s="972"/>
      <c r="I4442" s="972"/>
      <c r="J4442" s="972"/>
      <c r="K4442" s="972"/>
      <c r="L4442" s="972"/>
      <c r="M4442" s="972"/>
    </row>
    <row r="4443" spans="5:13">
      <c r="E4443" s="972"/>
      <c r="F4443" s="972"/>
      <c r="G4443" s="972"/>
      <c r="H4443" s="972"/>
      <c r="I4443" s="972"/>
      <c r="J4443" s="972"/>
      <c r="K4443" s="972"/>
      <c r="L4443" s="972"/>
      <c r="M4443" s="972"/>
    </row>
    <row r="4444" spans="5:13">
      <c r="E4444" s="972"/>
      <c r="F4444" s="972"/>
      <c r="G4444" s="972"/>
      <c r="H4444" s="972"/>
      <c r="I4444" s="972"/>
      <c r="J4444" s="972"/>
      <c r="K4444" s="972"/>
      <c r="L4444" s="972"/>
      <c r="M4444" s="972"/>
    </row>
    <row r="4445" spans="5:13">
      <c r="E4445" s="972"/>
      <c r="F4445" s="972"/>
      <c r="G4445" s="972"/>
      <c r="H4445" s="972"/>
      <c r="I4445" s="972"/>
      <c r="J4445" s="972"/>
      <c r="K4445" s="972"/>
      <c r="L4445" s="972"/>
      <c r="M4445" s="972"/>
    </row>
    <row r="4446" spans="5:13">
      <c r="E4446" s="972"/>
      <c r="F4446" s="972"/>
      <c r="G4446" s="972"/>
      <c r="H4446" s="972"/>
      <c r="I4446" s="972"/>
      <c r="J4446" s="972"/>
      <c r="K4446" s="972"/>
      <c r="L4446" s="972"/>
      <c r="M4446" s="972"/>
    </row>
    <row r="4447" spans="5:13">
      <c r="E4447" s="972"/>
      <c r="F4447" s="972"/>
      <c r="G4447" s="972"/>
      <c r="H4447" s="972"/>
      <c r="I4447" s="972"/>
      <c r="J4447" s="972"/>
      <c r="K4447" s="972"/>
      <c r="L4447" s="972"/>
      <c r="M4447" s="972"/>
    </row>
    <row r="4448" spans="5:13">
      <c r="E4448" s="972"/>
      <c r="F4448" s="972"/>
      <c r="G4448" s="972"/>
      <c r="H4448" s="972"/>
      <c r="I4448" s="972"/>
      <c r="J4448" s="972"/>
      <c r="K4448" s="972"/>
      <c r="L4448" s="972"/>
      <c r="M4448" s="972"/>
    </row>
    <row r="4449" spans="5:13">
      <c r="E4449" s="972"/>
      <c r="F4449" s="972"/>
      <c r="G4449" s="972"/>
      <c r="H4449" s="972"/>
      <c r="I4449" s="972"/>
      <c r="J4449" s="972"/>
      <c r="K4449" s="972"/>
      <c r="L4449" s="972"/>
      <c r="M4449" s="972"/>
    </row>
    <row r="4450" spans="5:13">
      <c r="E4450" s="972"/>
      <c r="F4450" s="972"/>
      <c r="G4450" s="972"/>
      <c r="H4450" s="972"/>
      <c r="I4450" s="972"/>
      <c r="J4450" s="972"/>
      <c r="K4450" s="972"/>
      <c r="L4450" s="972"/>
      <c r="M4450" s="972"/>
    </row>
    <row r="4451" spans="5:13">
      <c r="E4451" s="972"/>
      <c r="F4451" s="972"/>
      <c r="G4451" s="972"/>
      <c r="H4451" s="972"/>
      <c r="I4451" s="972"/>
      <c r="J4451" s="972"/>
      <c r="K4451" s="972"/>
      <c r="L4451" s="972"/>
      <c r="M4451" s="972"/>
    </row>
    <row r="4452" spans="5:13">
      <c r="E4452" s="972"/>
      <c r="F4452" s="972"/>
      <c r="G4452" s="972"/>
      <c r="H4452" s="972"/>
      <c r="I4452" s="972"/>
      <c r="J4452" s="972"/>
      <c r="K4452" s="972"/>
      <c r="L4452" s="972"/>
      <c r="M4452" s="972"/>
    </row>
    <row r="4453" spans="5:13">
      <c r="E4453" s="972"/>
      <c r="F4453" s="972"/>
      <c r="G4453" s="972"/>
      <c r="H4453" s="972"/>
      <c r="I4453" s="972"/>
      <c r="J4453" s="972"/>
      <c r="K4453" s="972"/>
      <c r="L4453" s="972"/>
      <c r="M4453" s="972"/>
    </row>
    <row r="4454" spans="5:13">
      <c r="E4454" s="972"/>
      <c r="F4454" s="972"/>
      <c r="G4454" s="972"/>
      <c r="H4454" s="972"/>
      <c r="I4454" s="972"/>
      <c r="J4454" s="972"/>
      <c r="K4454" s="972"/>
      <c r="L4454" s="972"/>
      <c r="M4454" s="972"/>
    </row>
    <row r="4455" spans="5:13">
      <c r="E4455" s="972"/>
      <c r="F4455" s="972"/>
      <c r="G4455" s="972"/>
      <c r="H4455" s="972"/>
      <c r="I4455" s="972"/>
      <c r="J4455" s="972"/>
      <c r="K4455" s="972"/>
      <c r="L4455" s="972"/>
      <c r="M4455" s="972"/>
    </row>
    <row r="4456" spans="5:13">
      <c r="E4456" s="972"/>
      <c r="F4456" s="972"/>
      <c r="G4456" s="972"/>
      <c r="H4456" s="972"/>
      <c r="I4456" s="972"/>
      <c r="J4456" s="972"/>
      <c r="K4456" s="972"/>
      <c r="L4456" s="972"/>
      <c r="M4456" s="972"/>
    </row>
    <row r="4457" spans="5:13">
      <c r="E4457" s="972"/>
      <c r="F4457" s="972"/>
      <c r="G4457" s="972"/>
      <c r="H4457" s="972"/>
      <c r="I4457" s="972"/>
      <c r="J4457" s="972"/>
      <c r="K4457" s="972"/>
      <c r="L4457" s="972"/>
      <c r="M4457" s="972"/>
    </row>
    <row r="4458" spans="5:13">
      <c r="E4458" s="972"/>
      <c r="F4458" s="972"/>
      <c r="G4458" s="972"/>
      <c r="H4458" s="972"/>
      <c r="I4458" s="972"/>
      <c r="J4458" s="972"/>
      <c r="K4458" s="972"/>
      <c r="L4458" s="972"/>
      <c r="M4458" s="972"/>
    </row>
    <row r="4459" spans="5:13">
      <c r="E4459" s="972"/>
      <c r="F4459" s="972"/>
      <c r="G4459" s="972"/>
      <c r="H4459" s="972"/>
      <c r="I4459" s="972"/>
      <c r="J4459" s="972"/>
      <c r="K4459" s="972"/>
      <c r="L4459" s="972"/>
      <c r="M4459" s="972"/>
    </row>
    <row r="4460" spans="5:13">
      <c r="E4460" s="972"/>
      <c r="F4460" s="972"/>
      <c r="G4460" s="972"/>
      <c r="H4460" s="972"/>
      <c r="I4460" s="972"/>
      <c r="J4460" s="972"/>
      <c r="K4460" s="972"/>
      <c r="L4460" s="972"/>
      <c r="M4460" s="972"/>
    </row>
    <row r="4461" spans="5:13">
      <c r="E4461" s="972"/>
      <c r="F4461" s="972"/>
      <c r="G4461" s="972"/>
      <c r="H4461" s="972"/>
      <c r="I4461" s="972"/>
      <c r="J4461" s="972"/>
      <c r="K4461" s="972"/>
      <c r="L4461" s="972"/>
      <c r="M4461" s="972"/>
    </row>
    <row r="4462" spans="5:13">
      <c r="E4462" s="972"/>
      <c r="F4462" s="972"/>
      <c r="G4462" s="972"/>
      <c r="H4462" s="972"/>
      <c r="I4462" s="972"/>
      <c r="J4462" s="972"/>
      <c r="K4462" s="972"/>
      <c r="L4462" s="972"/>
      <c r="M4462" s="972"/>
    </row>
    <row r="4463" spans="5:13">
      <c r="E4463" s="972"/>
      <c r="F4463" s="972"/>
      <c r="G4463" s="972"/>
      <c r="H4463" s="972"/>
      <c r="I4463" s="972"/>
      <c r="J4463" s="972"/>
      <c r="K4463" s="972"/>
      <c r="L4463" s="972"/>
      <c r="M4463" s="972"/>
    </row>
    <row r="4464" spans="5:13">
      <c r="E4464" s="972"/>
      <c r="F4464" s="972"/>
      <c r="G4464" s="972"/>
      <c r="H4464" s="972"/>
      <c r="I4464" s="972"/>
      <c r="J4464" s="972"/>
      <c r="K4464" s="972"/>
      <c r="L4464" s="972"/>
      <c r="M4464" s="972"/>
    </row>
    <row r="4465" spans="5:13">
      <c r="E4465" s="972"/>
      <c r="F4465" s="972"/>
      <c r="G4465" s="972"/>
      <c r="H4465" s="972"/>
      <c r="I4465" s="972"/>
      <c r="J4465" s="972"/>
      <c r="K4465" s="972"/>
      <c r="L4465" s="972"/>
      <c r="M4465" s="972"/>
    </row>
    <row r="4466" spans="5:13">
      <c r="E4466" s="972"/>
      <c r="F4466" s="972"/>
      <c r="G4466" s="972"/>
      <c r="H4466" s="972"/>
      <c r="I4466" s="972"/>
      <c r="J4466" s="972"/>
      <c r="K4466" s="972"/>
      <c r="L4466" s="972"/>
      <c r="M4466" s="972"/>
    </row>
    <row r="4467" spans="5:13">
      <c r="E4467" s="972"/>
      <c r="F4467" s="972"/>
      <c r="G4467" s="972"/>
      <c r="H4467" s="972"/>
      <c r="I4467" s="972"/>
      <c r="J4467" s="972"/>
      <c r="K4467" s="972"/>
      <c r="L4467" s="972"/>
      <c r="M4467" s="972"/>
    </row>
    <row r="4468" spans="5:13">
      <c r="E4468" s="972"/>
      <c r="F4468" s="972"/>
      <c r="G4468" s="972"/>
      <c r="H4468" s="972"/>
      <c r="I4468" s="972"/>
      <c r="J4468" s="972"/>
      <c r="K4468" s="972"/>
      <c r="L4468" s="972"/>
      <c r="M4468" s="972"/>
    </row>
    <row r="4469" spans="5:13">
      <c r="E4469" s="972"/>
      <c r="F4469" s="972"/>
      <c r="G4469" s="972"/>
      <c r="H4469" s="972"/>
      <c r="I4469" s="972"/>
      <c r="J4469" s="972"/>
      <c r="K4469" s="972"/>
      <c r="L4469" s="972"/>
      <c r="M4469" s="972"/>
    </row>
    <row r="4470" spans="5:13">
      <c r="E4470" s="972"/>
      <c r="F4470" s="972"/>
      <c r="G4470" s="972"/>
      <c r="H4470" s="972"/>
      <c r="I4470" s="972"/>
      <c r="J4470" s="972"/>
      <c r="K4470" s="972"/>
      <c r="L4470" s="972"/>
      <c r="M4470" s="972"/>
    </row>
    <row r="4471" spans="5:13">
      <c r="E4471" s="972"/>
      <c r="F4471" s="972"/>
      <c r="G4471" s="972"/>
      <c r="H4471" s="972"/>
      <c r="I4471" s="972"/>
      <c r="J4471" s="972"/>
      <c r="K4471" s="972"/>
      <c r="L4471" s="972"/>
      <c r="M4471" s="972"/>
    </row>
    <row r="4472" spans="5:13">
      <c r="E4472" s="972"/>
      <c r="F4472" s="972"/>
      <c r="G4472" s="972"/>
      <c r="H4472" s="972"/>
      <c r="I4472" s="972"/>
      <c r="J4472" s="972"/>
      <c r="K4472" s="972"/>
      <c r="L4472" s="972"/>
      <c r="M4472" s="972"/>
    </row>
    <row r="4473" spans="5:13">
      <c r="E4473" s="972"/>
      <c r="F4473" s="972"/>
      <c r="G4473" s="972"/>
      <c r="H4473" s="972"/>
      <c r="I4473" s="972"/>
      <c r="J4473" s="972"/>
      <c r="K4473" s="972"/>
      <c r="L4473" s="972"/>
      <c r="M4473" s="972"/>
    </row>
    <row r="4474" spans="5:13">
      <c r="E4474" s="972"/>
      <c r="F4474" s="972"/>
      <c r="G4474" s="972"/>
      <c r="H4474" s="972"/>
      <c r="I4474" s="972"/>
      <c r="J4474" s="972"/>
      <c r="K4474" s="972"/>
      <c r="L4474" s="972"/>
      <c r="M4474" s="972"/>
    </row>
    <row r="4475" spans="5:13">
      <c r="E4475" s="972"/>
      <c r="F4475" s="972"/>
      <c r="G4475" s="972"/>
      <c r="H4475" s="972"/>
      <c r="I4475" s="972"/>
      <c r="J4475" s="972"/>
      <c r="K4475" s="972"/>
      <c r="L4475" s="972"/>
      <c r="M4475" s="972"/>
    </row>
    <row r="4476" spans="5:13">
      <c r="E4476" s="972"/>
      <c r="F4476" s="972"/>
      <c r="G4476" s="972"/>
      <c r="H4476" s="972"/>
      <c r="I4476" s="972"/>
      <c r="J4476" s="972"/>
      <c r="K4476" s="972"/>
      <c r="L4476" s="972"/>
      <c r="M4476" s="972"/>
    </row>
    <row r="4477" spans="5:13">
      <c r="E4477" s="972"/>
      <c r="F4477" s="972"/>
      <c r="G4477" s="972"/>
      <c r="H4477" s="972"/>
      <c r="I4477" s="972"/>
      <c r="J4477" s="972"/>
      <c r="K4477" s="972"/>
      <c r="L4477" s="972"/>
      <c r="M4477" s="972"/>
    </row>
    <row r="4478" spans="5:13">
      <c r="E4478" s="972"/>
      <c r="F4478" s="972"/>
      <c r="G4478" s="972"/>
      <c r="H4478" s="972"/>
      <c r="I4478" s="972"/>
      <c r="J4478" s="972"/>
      <c r="K4478" s="972"/>
      <c r="L4478" s="972"/>
      <c r="M4478" s="972"/>
    </row>
    <row r="4479" spans="5:13">
      <c r="E4479" s="972"/>
      <c r="F4479" s="972"/>
      <c r="G4479" s="972"/>
      <c r="H4479" s="972"/>
      <c r="I4479" s="972"/>
      <c r="J4479" s="972"/>
      <c r="K4479" s="972"/>
      <c r="L4479" s="972"/>
      <c r="M4479" s="972"/>
    </row>
    <row r="4480" spans="5:13">
      <c r="E4480" s="972"/>
      <c r="F4480" s="972"/>
      <c r="G4480" s="972"/>
      <c r="H4480" s="972"/>
      <c r="I4480" s="972"/>
      <c r="J4480" s="972"/>
      <c r="K4480" s="972"/>
      <c r="L4480" s="972"/>
      <c r="M4480" s="972"/>
    </row>
    <row r="4481" spans="5:13">
      <c r="E4481" s="972"/>
      <c r="F4481" s="972"/>
      <c r="G4481" s="972"/>
      <c r="H4481" s="972"/>
      <c r="I4481" s="972"/>
      <c r="J4481" s="972"/>
      <c r="K4481" s="972"/>
      <c r="L4481" s="972"/>
      <c r="M4481" s="972"/>
    </row>
    <row r="4482" spans="5:13">
      <c r="E4482" s="972"/>
      <c r="F4482" s="972"/>
      <c r="G4482" s="972"/>
      <c r="H4482" s="972"/>
      <c r="I4482" s="972"/>
      <c r="J4482" s="972"/>
      <c r="K4482" s="972"/>
      <c r="L4482" s="972"/>
      <c r="M4482" s="972"/>
    </row>
    <row r="4483" spans="5:13">
      <c r="E4483" s="972"/>
      <c r="F4483" s="972"/>
      <c r="G4483" s="972"/>
      <c r="H4483" s="972"/>
      <c r="I4483" s="972"/>
      <c r="J4483" s="972"/>
      <c r="K4483" s="972"/>
      <c r="L4483" s="972"/>
      <c r="M4483" s="972"/>
    </row>
    <row r="4484" spans="5:13">
      <c r="E4484" s="972"/>
      <c r="F4484" s="972"/>
      <c r="G4484" s="972"/>
      <c r="H4484" s="972"/>
      <c r="I4484" s="972"/>
      <c r="J4484" s="972"/>
      <c r="K4484" s="972"/>
      <c r="L4484" s="972"/>
      <c r="M4484" s="972"/>
    </row>
    <row r="4485" spans="5:13">
      <c r="E4485" s="972"/>
      <c r="F4485" s="972"/>
      <c r="G4485" s="972"/>
      <c r="H4485" s="972"/>
      <c r="I4485" s="972"/>
      <c r="J4485" s="972"/>
      <c r="K4485" s="972"/>
      <c r="L4485" s="972"/>
      <c r="M4485" s="972"/>
    </row>
    <row r="4486" spans="5:13">
      <c r="E4486" s="972"/>
      <c r="F4486" s="972"/>
      <c r="G4486" s="972"/>
      <c r="H4486" s="972"/>
      <c r="I4486" s="972"/>
      <c r="J4486" s="972"/>
      <c r="K4486" s="972"/>
      <c r="L4486" s="972"/>
      <c r="M4486" s="972"/>
    </row>
    <row r="4487" spans="5:13">
      <c r="E4487" s="972"/>
      <c r="F4487" s="972"/>
      <c r="G4487" s="972"/>
      <c r="H4487" s="972"/>
      <c r="I4487" s="972"/>
      <c r="J4487" s="972"/>
      <c r="K4487" s="972"/>
      <c r="L4487" s="972"/>
      <c r="M4487" s="972"/>
    </row>
    <row r="4488" spans="5:13">
      <c r="E4488" s="972"/>
      <c r="F4488" s="972"/>
      <c r="G4488" s="972"/>
      <c r="H4488" s="972"/>
      <c r="I4488" s="972"/>
      <c r="J4488" s="972"/>
      <c r="K4488" s="972"/>
      <c r="L4488" s="972"/>
      <c r="M4488" s="972"/>
    </row>
    <row r="4489" spans="5:13">
      <c r="E4489" s="972"/>
      <c r="F4489" s="972"/>
      <c r="G4489" s="972"/>
      <c r="H4489" s="972"/>
      <c r="I4489" s="972"/>
      <c r="J4489" s="972"/>
      <c r="K4489" s="972"/>
      <c r="L4489" s="972"/>
      <c r="M4489" s="972"/>
    </row>
    <row r="4490" spans="5:13">
      <c r="E4490" s="972"/>
      <c r="F4490" s="972"/>
      <c r="G4490" s="972"/>
      <c r="H4490" s="972"/>
      <c r="I4490" s="972"/>
      <c r="J4490" s="972"/>
      <c r="K4490" s="972"/>
      <c r="L4490" s="972"/>
      <c r="M4490" s="972"/>
    </row>
    <row r="4491" spans="5:13">
      <c r="E4491" s="972"/>
      <c r="F4491" s="972"/>
      <c r="G4491" s="972"/>
      <c r="H4491" s="972"/>
      <c r="I4491" s="972"/>
      <c r="J4491" s="972"/>
      <c r="K4491" s="972"/>
      <c r="L4491" s="972"/>
      <c r="M4491" s="972"/>
    </row>
    <row r="4492" spans="5:13">
      <c r="E4492" s="972"/>
      <c r="F4492" s="972"/>
      <c r="G4492" s="972"/>
      <c r="H4492" s="972"/>
      <c r="I4492" s="972"/>
      <c r="J4492" s="972"/>
      <c r="K4492" s="972"/>
      <c r="L4492" s="972"/>
      <c r="M4492" s="972"/>
    </row>
    <row r="4493" spans="5:13">
      <c r="E4493" s="972"/>
      <c r="F4493" s="972"/>
      <c r="G4493" s="972"/>
      <c r="H4493" s="972"/>
      <c r="I4493" s="972"/>
      <c r="J4493" s="972"/>
      <c r="K4493" s="972"/>
      <c r="L4493" s="972"/>
      <c r="M4493" s="972"/>
    </row>
    <row r="4494" spans="5:13">
      <c r="E4494" s="972"/>
      <c r="F4494" s="972"/>
      <c r="G4494" s="972"/>
      <c r="H4494" s="972"/>
      <c r="I4494" s="972"/>
      <c r="J4494" s="972"/>
      <c r="K4494" s="972"/>
      <c r="L4494" s="972"/>
      <c r="M4494" s="972"/>
    </row>
    <row r="4495" spans="5:13">
      <c r="E4495" s="972"/>
      <c r="F4495" s="972"/>
      <c r="G4495" s="972"/>
      <c r="H4495" s="972"/>
      <c r="I4495" s="972"/>
      <c r="J4495" s="972"/>
      <c r="K4495" s="972"/>
      <c r="L4495" s="972"/>
      <c r="M4495" s="972"/>
    </row>
    <row r="4496" spans="5:13">
      <c r="E4496" s="972"/>
      <c r="F4496" s="972"/>
      <c r="G4496" s="972"/>
      <c r="H4496" s="972"/>
      <c r="I4496" s="972"/>
      <c r="J4496" s="972"/>
      <c r="K4496" s="972"/>
      <c r="L4496" s="972"/>
      <c r="M4496" s="972"/>
    </row>
    <row r="4497" spans="5:13">
      <c r="E4497" s="972"/>
      <c r="F4497" s="972"/>
      <c r="G4497" s="972"/>
      <c r="H4497" s="972"/>
      <c r="I4497" s="972"/>
      <c r="J4497" s="972"/>
      <c r="K4497" s="972"/>
      <c r="L4497" s="972"/>
      <c r="M4497" s="972"/>
    </row>
    <row r="4498" spans="5:13">
      <c r="E4498" s="972"/>
      <c r="F4498" s="972"/>
      <c r="G4498" s="972"/>
      <c r="H4498" s="972"/>
      <c r="I4498" s="972"/>
      <c r="J4498" s="972"/>
      <c r="K4498" s="972"/>
      <c r="L4498" s="972"/>
      <c r="M4498" s="972"/>
    </row>
    <row r="4499" spans="5:13">
      <c r="E4499" s="972"/>
      <c r="F4499" s="972"/>
      <c r="G4499" s="972"/>
      <c r="H4499" s="972"/>
      <c r="I4499" s="972"/>
      <c r="J4499" s="972"/>
      <c r="K4499" s="972"/>
      <c r="L4499" s="972"/>
      <c r="M4499" s="972"/>
    </row>
    <row r="4500" spans="5:13">
      <c r="E4500" s="972"/>
      <c r="F4500" s="972"/>
      <c r="G4500" s="972"/>
      <c r="H4500" s="972"/>
      <c r="I4500" s="972"/>
      <c r="J4500" s="972"/>
      <c r="K4500" s="972"/>
      <c r="L4500" s="972"/>
      <c r="M4500" s="972"/>
    </row>
    <row r="4501" spans="5:13">
      <c r="E4501" s="972"/>
      <c r="F4501" s="972"/>
      <c r="G4501" s="972"/>
      <c r="H4501" s="972"/>
      <c r="I4501" s="972"/>
      <c r="J4501" s="972"/>
      <c r="K4501" s="972"/>
      <c r="L4501" s="972"/>
      <c r="M4501" s="972"/>
    </row>
    <row r="4502" spans="5:13">
      <c r="E4502" s="972"/>
      <c r="F4502" s="972"/>
      <c r="G4502" s="972"/>
      <c r="H4502" s="972"/>
      <c r="I4502" s="972"/>
      <c r="J4502" s="972"/>
      <c r="K4502" s="972"/>
      <c r="L4502" s="972"/>
      <c r="M4502" s="972"/>
    </row>
    <row r="4503" spans="5:13">
      <c r="E4503" s="972"/>
      <c r="F4503" s="972"/>
      <c r="G4503" s="972"/>
      <c r="H4503" s="972"/>
      <c r="I4503" s="972"/>
      <c r="J4503" s="972"/>
      <c r="K4503" s="972"/>
      <c r="L4503" s="972"/>
      <c r="M4503" s="972"/>
    </row>
    <row r="4504" spans="5:13">
      <c r="E4504" s="972"/>
      <c r="F4504" s="972"/>
      <c r="G4504" s="972"/>
      <c r="H4504" s="972"/>
      <c r="I4504" s="972"/>
      <c r="J4504" s="972"/>
      <c r="K4504" s="972"/>
      <c r="L4504" s="972"/>
      <c r="M4504" s="972"/>
    </row>
    <row r="4505" spans="5:13">
      <c r="E4505" s="972"/>
      <c r="F4505" s="972"/>
      <c r="G4505" s="972"/>
      <c r="H4505" s="972"/>
      <c r="I4505" s="972"/>
      <c r="J4505" s="972"/>
      <c r="K4505" s="972"/>
      <c r="L4505" s="972"/>
      <c r="M4505" s="972"/>
    </row>
    <row r="4506" spans="5:13">
      <c r="E4506" s="972"/>
      <c r="F4506" s="972"/>
      <c r="G4506" s="972"/>
      <c r="H4506" s="972"/>
      <c r="I4506" s="972"/>
      <c r="J4506" s="972"/>
      <c r="K4506" s="972"/>
      <c r="L4506" s="972"/>
      <c r="M4506" s="972"/>
    </row>
    <row r="4507" spans="5:13">
      <c r="E4507" s="972"/>
      <c r="F4507" s="972"/>
      <c r="G4507" s="972"/>
      <c r="H4507" s="972"/>
      <c r="I4507" s="972"/>
      <c r="J4507" s="972"/>
      <c r="K4507" s="972"/>
      <c r="L4507" s="972"/>
      <c r="M4507" s="972"/>
    </row>
    <row r="4508" spans="5:13">
      <c r="E4508" s="972"/>
      <c r="F4508" s="972"/>
      <c r="G4508" s="972"/>
      <c r="H4508" s="972"/>
      <c r="I4508" s="972"/>
      <c r="J4508" s="972"/>
      <c r="K4508" s="972"/>
      <c r="L4508" s="972"/>
      <c r="M4508" s="972"/>
    </row>
    <row r="4509" spans="5:13">
      <c r="E4509" s="972"/>
      <c r="F4509" s="972"/>
      <c r="G4509" s="972"/>
      <c r="H4509" s="972"/>
      <c r="I4509" s="972"/>
      <c r="J4509" s="972"/>
      <c r="K4509" s="972"/>
      <c r="L4509" s="972"/>
      <c r="M4509" s="972"/>
    </row>
    <row r="4510" spans="5:13">
      <c r="E4510" s="972"/>
      <c r="F4510" s="972"/>
      <c r="G4510" s="972"/>
      <c r="H4510" s="972"/>
      <c r="I4510" s="972"/>
      <c r="J4510" s="972"/>
      <c r="K4510" s="972"/>
      <c r="L4510" s="972"/>
      <c r="M4510" s="972"/>
    </row>
    <row r="4511" spans="5:13">
      <c r="E4511" s="972"/>
      <c r="F4511" s="972"/>
      <c r="G4511" s="972"/>
      <c r="H4511" s="972"/>
      <c r="I4511" s="972"/>
      <c r="J4511" s="972"/>
      <c r="K4511" s="972"/>
      <c r="L4511" s="972"/>
      <c r="M4511" s="972"/>
    </row>
    <row r="4512" spans="5:13">
      <c r="E4512" s="972"/>
      <c r="F4512" s="972"/>
      <c r="G4512" s="972"/>
      <c r="H4512" s="972"/>
      <c r="I4512" s="972"/>
      <c r="J4512" s="972"/>
      <c r="K4512" s="972"/>
      <c r="L4512" s="972"/>
      <c r="M4512" s="972"/>
    </row>
    <row r="4513" spans="5:13">
      <c r="E4513" s="972"/>
      <c r="F4513" s="972"/>
      <c r="G4513" s="972"/>
      <c r="H4513" s="972"/>
      <c r="I4513" s="972"/>
      <c r="J4513" s="972"/>
      <c r="K4513" s="972"/>
      <c r="L4513" s="972"/>
      <c r="M4513" s="972"/>
    </row>
    <row r="4514" spans="5:13">
      <c r="E4514" s="972"/>
      <c r="F4514" s="972"/>
      <c r="G4514" s="972"/>
      <c r="H4514" s="972"/>
      <c r="I4514" s="972"/>
      <c r="J4514" s="972"/>
      <c r="K4514" s="972"/>
      <c r="L4514" s="972"/>
      <c r="M4514" s="972"/>
    </row>
    <row r="4515" spans="5:13">
      <c r="E4515" s="972"/>
      <c r="F4515" s="972"/>
      <c r="G4515" s="972"/>
      <c r="H4515" s="972"/>
      <c r="I4515" s="972"/>
      <c r="J4515" s="972"/>
      <c r="K4515" s="972"/>
      <c r="L4515" s="972"/>
      <c r="M4515" s="972"/>
    </row>
    <row r="4516" spans="5:13">
      <c r="E4516" s="972"/>
      <c r="F4516" s="972"/>
      <c r="G4516" s="972"/>
      <c r="H4516" s="972"/>
      <c r="I4516" s="972"/>
      <c r="J4516" s="972"/>
      <c r="K4516" s="972"/>
      <c r="L4516" s="972"/>
      <c r="M4516" s="972"/>
    </row>
    <row r="4517" spans="5:13">
      <c r="E4517" s="972"/>
      <c r="F4517" s="972"/>
      <c r="G4517" s="972"/>
      <c r="H4517" s="972"/>
      <c r="I4517" s="972"/>
      <c r="J4517" s="972"/>
      <c r="K4517" s="972"/>
      <c r="L4517" s="972"/>
      <c r="M4517" s="972"/>
    </row>
    <row r="4518" spans="5:13">
      <c r="E4518" s="972"/>
      <c r="F4518" s="972"/>
      <c r="G4518" s="972"/>
      <c r="H4518" s="972"/>
      <c r="I4518" s="972"/>
      <c r="J4518" s="972"/>
      <c r="K4518" s="972"/>
      <c r="L4518" s="972"/>
      <c r="M4518" s="972"/>
    </row>
    <row r="4519" spans="5:13">
      <c r="E4519" s="972"/>
      <c r="F4519" s="972"/>
      <c r="G4519" s="972"/>
      <c r="H4519" s="972"/>
      <c r="I4519" s="972"/>
      <c r="J4519" s="972"/>
      <c r="K4519" s="972"/>
      <c r="L4519" s="972"/>
      <c r="M4519" s="972"/>
    </row>
    <row r="4520" spans="5:13">
      <c r="E4520" s="972"/>
      <c r="F4520" s="972"/>
      <c r="G4520" s="972"/>
      <c r="H4520" s="972"/>
      <c r="I4520" s="972"/>
      <c r="J4520" s="972"/>
      <c r="K4520" s="972"/>
      <c r="L4520" s="972"/>
      <c r="M4520" s="972"/>
    </row>
    <row r="4521" spans="5:13">
      <c r="E4521" s="972"/>
      <c r="F4521" s="972"/>
      <c r="G4521" s="972"/>
      <c r="H4521" s="972"/>
      <c r="I4521" s="972"/>
      <c r="J4521" s="972"/>
      <c r="K4521" s="972"/>
      <c r="L4521" s="972"/>
      <c r="M4521" s="972"/>
    </row>
    <row r="4522" spans="5:13">
      <c r="E4522" s="972"/>
      <c r="F4522" s="972"/>
      <c r="G4522" s="972"/>
      <c r="H4522" s="972"/>
      <c r="I4522" s="972"/>
      <c r="J4522" s="972"/>
      <c r="K4522" s="972"/>
      <c r="L4522" s="972"/>
      <c r="M4522" s="972"/>
    </row>
    <row r="4523" spans="5:13">
      <c r="E4523" s="972"/>
      <c r="F4523" s="972"/>
      <c r="G4523" s="972"/>
      <c r="H4523" s="972"/>
      <c r="I4523" s="972"/>
      <c r="J4523" s="972"/>
      <c r="K4523" s="972"/>
      <c r="L4523" s="972"/>
      <c r="M4523" s="972"/>
    </row>
    <row r="4524" spans="5:13">
      <c r="E4524" s="972"/>
      <c r="F4524" s="972"/>
      <c r="G4524" s="972"/>
      <c r="H4524" s="972"/>
      <c r="I4524" s="972"/>
      <c r="J4524" s="972"/>
      <c r="K4524" s="972"/>
      <c r="L4524" s="972"/>
      <c r="M4524" s="972"/>
    </row>
    <row r="4525" spans="5:13">
      <c r="E4525" s="972"/>
      <c r="F4525" s="972"/>
      <c r="G4525" s="972"/>
      <c r="H4525" s="972"/>
      <c r="I4525" s="972"/>
      <c r="J4525" s="972"/>
      <c r="K4525" s="972"/>
      <c r="L4525" s="972"/>
      <c r="M4525" s="972"/>
    </row>
    <row r="4526" spans="5:13">
      <c r="E4526" s="972"/>
      <c r="F4526" s="972"/>
      <c r="G4526" s="972"/>
      <c r="H4526" s="972"/>
      <c r="I4526" s="972"/>
      <c r="J4526" s="972"/>
      <c r="K4526" s="972"/>
      <c r="L4526" s="972"/>
      <c r="M4526" s="972"/>
    </row>
    <row r="4527" spans="5:13">
      <c r="E4527" s="972"/>
      <c r="F4527" s="972"/>
      <c r="G4527" s="972"/>
      <c r="H4527" s="972"/>
      <c r="I4527" s="972"/>
      <c r="J4527" s="972"/>
      <c r="K4527" s="972"/>
      <c r="L4527" s="972"/>
      <c r="M4527" s="972"/>
    </row>
    <row r="4528" spans="5:13">
      <c r="E4528" s="972"/>
      <c r="F4528" s="972"/>
      <c r="G4528" s="972"/>
      <c r="H4528" s="972"/>
      <c r="I4528" s="972"/>
      <c r="J4528" s="972"/>
      <c r="K4528" s="972"/>
      <c r="L4528" s="972"/>
      <c r="M4528" s="972"/>
    </row>
    <row r="4529" spans="5:13">
      <c r="E4529" s="972"/>
      <c r="F4529" s="972"/>
      <c r="G4529" s="972"/>
      <c r="H4529" s="972"/>
      <c r="I4529" s="972"/>
      <c r="J4529" s="972"/>
      <c r="K4529" s="972"/>
      <c r="L4529" s="972"/>
      <c r="M4529" s="972"/>
    </row>
    <row r="4530" spans="5:13">
      <c r="E4530" s="972"/>
      <c r="F4530" s="972"/>
      <c r="G4530" s="972"/>
      <c r="H4530" s="972"/>
      <c r="I4530" s="972"/>
      <c r="J4530" s="972"/>
      <c r="K4530" s="972"/>
      <c r="L4530" s="972"/>
      <c r="M4530" s="972"/>
    </row>
    <row r="4531" spans="5:13">
      <c r="E4531" s="972"/>
      <c r="F4531" s="972"/>
      <c r="G4531" s="972"/>
      <c r="H4531" s="972"/>
      <c r="I4531" s="972"/>
      <c r="J4531" s="972"/>
      <c r="K4531" s="972"/>
      <c r="L4531" s="972"/>
      <c r="M4531" s="972"/>
    </row>
    <row r="4532" spans="5:13">
      <c r="E4532" s="972"/>
      <c r="F4532" s="972"/>
      <c r="G4532" s="972"/>
      <c r="H4532" s="972"/>
      <c r="I4532" s="972"/>
      <c r="J4532" s="972"/>
      <c r="K4532" s="972"/>
      <c r="L4532" s="972"/>
      <c r="M4532" s="972"/>
    </row>
    <row r="4533" spans="5:13">
      <c r="E4533" s="972"/>
      <c r="F4533" s="972"/>
      <c r="G4533" s="972"/>
      <c r="H4533" s="972"/>
      <c r="I4533" s="972"/>
      <c r="J4533" s="972"/>
      <c r="K4533" s="972"/>
      <c r="L4533" s="972"/>
      <c r="M4533" s="972"/>
    </row>
    <row r="4534" spans="5:13">
      <c r="E4534" s="972"/>
      <c r="F4534" s="972"/>
      <c r="G4534" s="972"/>
      <c r="H4534" s="972"/>
      <c r="I4534" s="972"/>
      <c r="J4534" s="972"/>
      <c r="K4534" s="972"/>
      <c r="L4534" s="972"/>
      <c r="M4534" s="972"/>
    </row>
    <row r="4535" spans="5:13">
      <c r="E4535" s="972"/>
      <c r="F4535" s="972"/>
      <c r="G4535" s="972"/>
      <c r="H4535" s="972"/>
      <c r="I4535" s="972"/>
      <c r="J4535" s="972"/>
      <c r="K4535" s="972"/>
      <c r="L4535" s="972"/>
      <c r="M4535" s="972"/>
    </row>
    <row r="4536" spans="5:13">
      <c r="E4536" s="972"/>
      <c r="F4536" s="972"/>
      <c r="G4536" s="972"/>
      <c r="H4536" s="972"/>
      <c r="I4536" s="972"/>
      <c r="J4536" s="972"/>
      <c r="K4536" s="972"/>
      <c r="L4536" s="972"/>
      <c r="M4536" s="972"/>
    </row>
    <row r="4537" spans="5:13">
      <c r="E4537" s="972"/>
      <c r="F4537" s="972"/>
      <c r="G4537" s="972"/>
      <c r="H4537" s="972"/>
      <c r="I4537" s="972"/>
      <c r="J4537" s="972"/>
      <c r="K4537" s="972"/>
      <c r="L4537" s="972"/>
      <c r="M4537" s="972"/>
    </row>
    <row r="4538" spans="5:13">
      <c r="E4538" s="972"/>
      <c r="F4538" s="972"/>
      <c r="G4538" s="972"/>
      <c r="H4538" s="972"/>
      <c r="I4538" s="972"/>
      <c r="J4538" s="972"/>
      <c r="K4538" s="972"/>
      <c r="L4538" s="972"/>
      <c r="M4538" s="972"/>
    </row>
    <row r="4539" spans="5:13">
      <c r="E4539" s="972"/>
      <c r="F4539" s="972"/>
      <c r="G4539" s="972"/>
      <c r="H4539" s="972"/>
      <c r="I4539" s="972"/>
      <c r="J4539" s="972"/>
      <c r="K4539" s="972"/>
      <c r="L4539" s="972"/>
      <c r="M4539" s="972"/>
    </row>
    <row r="4540" spans="5:13">
      <c r="E4540" s="972"/>
      <c r="F4540" s="972"/>
      <c r="G4540" s="972"/>
      <c r="H4540" s="972"/>
      <c r="I4540" s="972"/>
      <c r="J4540" s="972"/>
      <c r="K4540" s="972"/>
      <c r="L4540" s="972"/>
      <c r="M4540" s="972"/>
    </row>
    <row r="4541" spans="5:13">
      <c r="E4541" s="972"/>
      <c r="F4541" s="972"/>
      <c r="G4541" s="972"/>
      <c r="H4541" s="972"/>
      <c r="I4541" s="972"/>
      <c r="J4541" s="972"/>
      <c r="K4541" s="972"/>
      <c r="L4541" s="972"/>
      <c r="M4541" s="972"/>
    </row>
    <row r="4542" spans="5:13">
      <c r="E4542" s="972"/>
      <c r="F4542" s="972"/>
      <c r="G4542" s="972"/>
      <c r="H4542" s="972"/>
      <c r="I4542" s="972"/>
      <c r="J4542" s="972"/>
      <c r="K4542" s="972"/>
      <c r="L4542" s="972"/>
      <c r="M4542" s="972"/>
    </row>
    <row r="4543" spans="5:13">
      <c r="E4543" s="972"/>
      <c r="F4543" s="972"/>
      <c r="G4543" s="972"/>
      <c r="H4543" s="972"/>
      <c r="I4543" s="972"/>
      <c r="J4543" s="972"/>
      <c r="K4543" s="972"/>
      <c r="L4543" s="972"/>
      <c r="M4543" s="972"/>
    </row>
    <row r="4544" spans="5:13">
      <c r="E4544" s="972"/>
      <c r="F4544" s="972"/>
      <c r="G4544" s="972"/>
      <c r="H4544" s="972"/>
      <c r="I4544" s="972"/>
      <c r="J4544" s="972"/>
      <c r="K4544" s="972"/>
      <c r="L4544" s="972"/>
      <c r="M4544" s="972"/>
    </row>
    <row r="4545" spans="5:13">
      <c r="E4545" s="972"/>
      <c r="F4545" s="972"/>
      <c r="G4545" s="972"/>
      <c r="H4545" s="972"/>
      <c r="I4545" s="972"/>
      <c r="J4545" s="972"/>
      <c r="K4545" s="972"/>
      <c r="L4545" s="972"/>
      <c r="M4545" s="972"/>
    </row>
    <row r="4546" spans="5:13">
      <c r="E4546" s="972"/>
      <c r="F4546" s="972"/>
      <c r="G4546" s="972"/>
      <c r="H4546" s="972"/>
      <c r="I4546" s="972"/>
      <c r="J4546" s="972"/>
      <c r="K4546" s="972"/>
      <c r="L4546" s="972"/>
      <c r="M4546" s="972"/>
    </row>
    <row r="4547" spans="5:13">
      <c r="E4547" s="972"/>
      <c r="F4547" s="972"/>
      <c r="G4547" s="972"/>
      <c r="H4547" s="972"/>
      <c r="I4547" s="972"/>
      <c r="J4547" s="972"/>
      <c r="K4547" s="972"/>
      <c r="L4547" s="972"/>
      <c r="M4547" s="972"/>
    </row>
    <row r="4548" spans="5:13">
      <c r="E4548" s="972"/>
      <c r="F4548" s="972"/>
      <c r="G4548" s="972"/>
      <c r="H4548" s="972"/>
      <c r="I4548" s="972"/>
      <c r="J4548" s="972"/>
      <c r="K4548" s="972"/>
      <c r="L4548" s="972"/>
      <c r="M4548" s="972"/>
    </row>
    <row r="4549" spans="5:13">
      <c r="E4549" s="972"/>
      <c r="F4549" s="972"/>
      <c r="G4549" s="972"/>
      <c r="H4549" s="972"/>
      <c r="I4549" s="972"/>
      <c r="J4549" s="972"/>
      <c r="K4549" s="972"/>
      <c r="L4549" s="972"/>
      <c r="M4549" s="972"/>
    </row>
    <row r="4550" spans="5:13">
      <c r="E4550" s="972"/>
      <c r="F4550" s="972"/>
      <c r="G4550" s="972"/>
      <c r="H4550" s="972"/>
      <c r="I4550" s="972"/>
      <c r="J4550" s="972"/>
      <c r="K4550" s="972"/>
      <c r="L4550" s="972"/>
      <c r="M4550" s="972"/>
    </row>
    <row r="4551" spans="5:13">
      <c r="E4551" s="972"/>
      <c r="F4551" s="972"/>
      <c r="G4551" s="972"/>
      <c r="H4551" s="972"/>
      <c r="I4551" s="972"/>
      <c r="J4551" s="972"/>
      <c r="K4551" s="972"/>
      <c r="L4551" s="972"/>
      <c r="M4551" s="972"/>
    </row>
    <row r="4552" spans="5:13">
      <c r="E4552" s="972"/>
      <c r="F4552" s="972"/>
      <c r="G4552" s="972"/>
      <c r="H4552" s="972"/>
      <c r="I4552" s="972"/>
      <c r="J4552" s="972"/>
      <c r="K4552" s="972"/>
      <c r="L4552" s="972"/>
      <c r="M4552" s="972"/>
    </row>
    <row r="4553" spans="5:13">
      <c r="E4553" s="972"/>
      <c r="F4553" s="972"/>
      <c r="G4553" s="972"/>
      <c r="H4553" s="972"/>
      <c r="I4553" s="972"/>
      <c r="J4553" s="972"/>
      <c r="K4553" s="972"/>
      <c r="L4553" s="972"/>
      <c r="M4553" s="972"/>
    </row>
    <row r="4554" spans="5:13">
      <c r="E4554" s="972"/>
      <c r="F4554" s="972"/>
      <c r="G4554" s="972"/>
      <c r="H4554" s="972"/>
      <c r="I4554" s="972"/>
      <c r="J4554" s="972"/>
      <c r="K4554" s="972"/>
      <c r="L4554" s="972"/>
      <c r="M4554" s="972"/>
    </row>
    <row r="4555" spans="5:13">
      <c r="E4555" s="972"/>
      <c r="F4555" s="972"/>
      <c r="G4555" s="972"/>
      <c r="H4555" s="972"/>
      <c r="I4555" s="972"/>
      <c r="J4555" s="972"/>
      <c r="K4555" s="972"/>
      <c r="L4555" s="972"/>
      <c r="M4555" s="972"/>
    </row>
    <row r="4556" spans="5:13">
      <c r="E4556" s="972"/>
      <c r="F4556" s="972"/>
      <c r="G4556" s="972"/>
      <c r="H4556" s="972"/>
      <c r="I4556" s="972"/>
      <c r="J4556" s="972"/>
      <c r="K4556" s="972"/>
      <c r="L4556" s="972"/>
      <c r="M4556" s="972"/>
    </row>
    <row r="4557" spans="5:13">
      <c r="E4557" s="972"/>
      <c r="F4557" s="972"/>
      <c r="G4557" s="972"/>
      <c r="H4557" s="972"/>
      <c r="I4557" s="972"/>
      <c r="J4557" s="972"/>
      <c r="K4557" s="972"/>
      <c r="L4557" s="972"/>
      <c r="M4557" s="972"/>
    </row>
    <row r="4558" spans="5:13">
      <c r="E4558" s="972"/>
      <c r="F4558" s="972"/>
      <c r="G4558" s="972"/>
      <c r="H4558" s="972"/>
      <c r="I4558" s="972"/>
      <c r="J4558" s="972"/>
      <c r="K4558" s="972"/>
      <c r="L4558" s="972"/>
      <c r="M4558" s="972"/>
    </row>
    <row r="4559" spans="5:13">
      <c r="E4559" s="972"/>
      <c r="F4559" s="972"/>
      <c r="G4559" s="972"/>
      <c r="H4559" s="972"/>
      <c r="I4559" s="972"/>
      <c r="J4559" s="972"/>
      <c r="K4559" s="972"/>
      <c r="L4559" s="972"/>
      <c r="M4559" s="972"/>
    </row>
    <row r="4560" spans="5:13">
      <c r="E4560" s="972"/>
      <c r="F4560" s="972"/>
      <c r="G4560" s="972"/>
      <c r="H4560" s="972"/>
      <c r="I4560" s="972"/>
      <c r="J4560" s="972"/>
      <c r="K4560" s="972"/>
      <c r="L4560" s="972"/>
      <c r="M4560" s="972"/>
    </row>
    <row r="4561" spans="5:13">
      <c r="E4561" s="972"/>
      <c r="F4561" s="972"/>
      <c r="G4561" s="972"/>
      <c r="H4561" s="972"/>
      <c r="I4561" s="972"/>
      <c r="J4561" s="972"/>
      <c r="K4561" s="972"/>
      <c r="L4561" s="972"/>
      <c r="M4561" s="972"/>
    </row>
    <row r="4562" spans="5:13">
      <c r="E4562" s="972"/>
      <c r="F4562" s="972"/>
      <c r="G4562" s="972"/>
      <c r="H4562" s="972"/>
      <c r="I4562" s="972"/>
      <c r="J4562" s="972"/>
      <c r="K4562" s="972"/>
      <c r="L4562" s="972"/>
      <c r="M4562" s="972"/>
    </row>
    <row r="4563" spans="5:13">
      <c r="E4563" s="972"/>
      <c r="F4563" s="972"/>
      <c r="G4563" s="972"/>
      <c r="H4563" s="972"/>
      <c r="I4563" s="972"/>
      <c r="J4563" s="972"/>
      <c r="K4563" s="972"/>
      <c r="L4563" s="972"/>
      <c r="M4563" s="972"/>
    </row>
    <row r="4564" spans="5:13">
      <c r="E4564" s="972"/>
      <c r="F4564" s="972"/>
      <c r="G4564" s="972"/>
      <c r="H4564" s="972"/>
      <c r="I4564" s="972"/>
      <c r="J4564" s="972"/>
      <c r="K4564" s="972"/>
      <c r="L4564" s="972"/>
      <c r="M4564" s="972"/>
    </row>
    <row r="4565" spans="5:13">
      <c r="E4565" s="972"/>
      <c r="F4565" s="972"/>
      <c r="G4565" s="972"/>
      <c r="H4565" s="972"/>
      <c r="I4565" s="972"/>
      <c r="J4565" s="972"/>
      <c r="K4565" s="972"/>
      <c r="L4565" s="972"/>
      <c r="M4565" s="972"/>
    </row>
    <row r="4566" spans="5:13">
      <c r="E4566" s="972"/>
      <c r="F4566" s="972"/>
      <c r="G4566" s="972"/>
      <c r="H4566" s="972"/>
      <c r="I4566" s="972"/>
      <c r="J4566" s="972"/>
      <c r="K4566" s="972"/>
      <c r="L4566" s="972"/>
      <c r="M4566" s="972"/>
    </row>
    <row r="4567" spans="5:13">
      <c r="E4567" s="972"/>
      <c r="F4567" s="972"/>
      <c r="G4567" s="972"/>
      <c r="H4567" s="972"/>
      <c r="I4567" s="972"/>
      <c r="J4567" s="972"/>
      <c r="K4567" s="972"/>
      <c r="L4567" s="972"/>
      <c r="M4567" s="972"/>
    </row>
    <row r="4568" spans="5:13">
      <c r="E4568" s="972"/>
      <c r="F4568" s="972"/>
      <c r="G4568" s="972"/>
      <c r="H4568" s="972"/>
      <c r="I4568" s="972"/>
      <c r="J4568" s="972"/>
      <c r="K4568" s="972"/>
      <c r="L4568" s="972"/>
      <c r="M4568" s="972"/>
    </row>
    <row r="4569" spans="5:13">
      <c r="E4569" s="972"/>
      <c r="F4569" s="972"/>
      <c r="G4569" s="972"/>
      <c r="H4569" s="972"/>
      <c r="I4569" s="972"/>
      <c r="J4569" s="972"/>
      <c r="K4569" s="972"/>
      <c r="L4569" s="972"/>
      <c r="M4569" s="972"/>
    </row>
    <row r="4570" spans="5:13">
      <c r="E4570" s="972"/>
      <c r="F4570" s="972"/>
      <c r="G4570" s="972"/>
      <c r="H4570" s="972"/>
      <c r="I4570" s="972"/>
      <c r="J4570" s="972"/>
      <c r="K4570" s="972"/>
      <c r="L4570" s="972"/>
      <c r="M4570" s="972"/>
    </row>
    <row r="4571" spans="5:13">
      <c r="E4571" s="972"/>
      <c r="F4571" s="972"/>
      <c r="G4571" s="972"/>
      <c r="H4571" s="972"/>
      <c r="I4571" s="972"/>
      <c r="J4571" s="972"/>
      <c r="K4571" s="972"/>
      <c r="L4571" s="972"/>
      <c r="M4571" s="972"/>
    </row>
    <row r="4572" spans="5:13">
      <c r="E4572" s="972"/>
      <c r="F4572" s="972"/>
      <c r="G4572" s="972"/>
      <c r="H4572" s="972"/>
      <c r="I4572" s="972"/>
      <c r="J4572" s="972"/>
      <c r="K4572" s="972"/>
      <c r="L4572" s="972"/>
      <c r="M4572" s="972"/>
    </row>
    <row r="4573" spans="5:13">
      <c r="E4573" s="972"/>
      <c r="F4573" s="972"/>
      <c r="G4573" s="972"/>
      <c r="H4573" s="972"/>
      <c r="I4573" s="972"/>
      <c r="J4573" s="972"/>
      <c r="K4573" s="972"/>
      <c r="L4573" s="972"/>
      <c r="M4573" s="972"/>
    </row>
    <row r="4574" spans="5:13">
      <c r="E4574" s="972"/>
      <c r="F4574" s="972"/>
      <c r="G4574" s="972"/>
      <c r="H4574" s="972"/>
      <c r="I4574" s="972"/>
      <c r="J4574" s="972"/>
      <c r="K4574" s="972"/>
      <c r="L4574" s="972"/>
      <c r="M4574" s="972"/>
    </row>
    <row r="4575" spans="5:13">
      <c r="E4575" s="972"/>
      <c r="F4575" s="972"/>
      <c r="G4575" s="972"/>
      <c r="H4575" s="972"/>
      <c r="I4575" s="972"/>
      <c r="J4575" s="972"/>
      <c r="K4575" s="972"/>
      <c r="L4575" s="972"/>
      <c r="M4575" s="972"/>
    </row>
    <row r="4576" spans="5:13">
      <c r="E4576" s="972"/>
      <c r="F4576" s="972"/>
      <c r="G4576" s="972"/>
      <c r="H4576" s="972"/>
      <c r="I4576" s="972"/>
      <c r="J4576" s="972"/>
      <c r="K4576" s="972"/>
      <c r="L4576" s="972"/>
      <c r="M4576" s="972"/>
    </row>
    <row r="4577" spans="5:13">
      <c r="E4577" s="972"/>
      <c r="F4577" s="972"/>
      <c r="G4577" s="972"/>
      <c r="H4577" s="972"/>
      <c r="I4577" s="972"/>
      <c r="J4577" s="972"/>
      <c r="K4577" s="972"/>
      <c r="L4577" s="972"/>
      <c r="M4577" s="972"/>
    </row>
    <row r="4578" spans="5:13">
      <c r="E4578" s="972"/>
      <c r="F4578" s="972"/>
      <c r="G4578" s="972"/>
      <c r="H4578" s="972"/>
      <c r="I4578" s="972"/>
      <c r="J4578" s="972"/>
      <c r="K4578" s="972"/>
      <c r="L4578" s="972"/>
      <c r="M4578" s="972"/>
    </row>
    <row r="4579" spans="5:13">
      <c r="E4579" s="972"/>
      <c r="F4579" s="972"/>
      <c r="G4579" s="972"/>
      <c r="H4579" s="972"/>
      <c r="I4579" s="972"/>
      <c r="J4579" s="972"/>
      <c r="K4579" s="972"/>
      <c r="L4579" s="972"/>
      <c r="M4579" s="972"/>
    </row>
    <row r="4580" spans="5:13">
      <c r="E4580" s="972"/>
      <c r="F4580" s="972"/>
      <c r="G4580" s="972"/>
      <c r="H4580" s="972"/>
      <c r="I4580" s="972"/>
      <c r="J4580" s="972"/>
      <c r="K4580" s="972"/>
      <c r="L4580" s="972"/>
      <c r="M4580" s="972"/>
    </row>
    <row r="4581" spans="5:13">
      <c r="E4581" s="972"/>
      <c r="F4581" s="972"/>
      <c r="G4581" s="972"/>
      <c r="H4581" s="972"/>
      <c r="I4581" s="972"/>
      <c r="J4581" s="972"/>
      <c r="K4581" s="972"/>
      <c r="L4581" s="972"/>
      <c r="M4581" s="972"/>
    </row>
    <row r="4582" spans="5:13">
      <c r="E4582" s="972"/>
      <c r="F4582" s="972"/>
      <c r="G4582" s="972"/>
      <c r="H4582" s="972"/>
      <c r="I4582" s="972"/>
      <c r="J4582" s="972"/>
      <c r="K4582" s="972"/>
      <c r="L4582" s="972"/>
      <c r="M4582" s="972"/>
    </row>
    <row r="4583" spans="5:13">
      <c r="E4583" s="972"/>
      <c r="F4583" s="972"/>
      <c r="G4583" s="972"/>
      <c r="H4583" s="972"/>
      <c r="I4583" s="972"/>
      <c r="J4583" s="972"/>
      <c r="K4583" s="972"/>
      <c r="L4583" s="972"/>
      <c r="M4583" s="972"/>
    </row>
    <row r="4584" spans="5:13">
      <c r="E4584" s="972"/>
      <c r="F4584" s="972"/>
      <c r="G4584" s="972"/>
      <c r="H4584" s="972"/>
      <c r="I4584" s="972"/>
      <c r="J4584" s="972"/>
      <c r="K4584" s="972"/>
      <c r="L4584" s="972"/>
      <c r="M4584" s="972"/>
    </row>
    <row r="4585" spans="5:13">
      <c r="E4585" s="972"/>
      <c r="F4585" s="972"/>
      <c r="G4585" s="972"/>
      <c r="H4585" s="972"/>
      <c r="I4585" s="972"/>
      <c r="J4585" s="972"/>
      <c r="K4585" s="972"/>
      <c r="L4585" s="972"/>
      <c r="M4585" s="972"/>
    </row>
    <row r="4586" spans="5:13">
      <c r="E4586" s="972"/>
      <c r="F4586" s="972"/>
      <c r="G4586" s="972"/>
      <c r="H4586" s="972"/>
      <c r="I4586" s="972"/>
      <c r="J4586" s="972"/>
      <c r="K4586" s="972"/>
      <c r="L4586" s="972"/>
      <c r="M4586" s="972"/>
    </row>
    <row r="4587" spans="5:13">
      <c r="E4587" s="972"/>
      <c r="F4587" s="972"/>
      <c r="G4587" s="972"/>
      <c r="H4587" s="972"/>
      <c r="I4587" s="972"/>
      <c r="J4587" s="972"/>
      <c r="K4587" s="972"/>
      <c r="L4587" s="972"/>
      <c r="M4587" s="972"/>
    </row>
    <row r="4588" spans="5:13">
      <c r="E4588" s="972"/>
      <c r="F4588" s="972"/>
      <c r="G4588" s="972"/>
      <c r="H4588" s="972"/>
      <c r="I4588" s="972"/>
      <c r="J4588" s="972"/>
      <c r="K4588" s="972"/>
      <c r="L4588" s="972"/>
      <c r="M4588" s="972"/>
    </row>
    <row r="4589" spans="5:13">
      <c r="E4589" s="972"/>
      <c r="F4589" s="972"/>
      <c r="G4589" s="972"/>
      <c r="H4589" s="972"/>
      <c r="I4589" s="972"/>
      <c r="J4589" s="972"/>
      <c r="K4589" s="972"/>
      <c r="L4589" s="972"/>
      <c r="M4589" s="972"/>
    </row>
    <row r="4590" spans="5:13">
      <c r="E4590" s="972"/>
      <c r="F4590" s="972"/>
      <c r="G4590" s="972"/>
      <c r="H4590" s="972"/>
      <c r="I4590" s="972"/>
      <c r="J4590" s="972"/>
      <c r="K4590" s="972"/>
      <c r="L4590" s="972"/>
      <c r="M4590" s="972"/>
    </row>
    <row r="4591" spans="5:13">
      <c r="E4591" s="972"/>
      <c r="F4591" s="972"/>
      <c r="G4591" s="972"/>
      <c r="H4591" s="972"/>
      <c r="I4591" s="972"/>
      <c r="J4591" s="972"/>
      <c r="K4591" s="972"/>
      <c r="L4591" s="972"/>
      <c r="M4591" s="972"/>
    </row>
    <row r="4592" spans="5:13">
      <c r="E4592" s="972"/>
      <c r="F4592" s="972"/>
      <c r="G4592" s="972"/>
      <c r="H4592" s="972"/>
      <c r="I4592" s="972"/>
      <c r="J4592" s="972"/>
      <c r="K4592" s="972"/>
      <c r="L4592" s="972"/>
      <c r="M4592" s="972"/>
    </row>
    <row r="4593" spans="5:13">
      <c r="E4593" s="972"/>
      <c r="F4593" s="972"/>
      <c r="G4593" s="972"/>
      <c r="H4593" s="972"/>
      <c r="I4593" s="972"/>
      <c r="J4593" s="972"/>
      <c r="K4593" s="972"/>
      <c r="L4593" s="972"/>
      <c r="M4593" s="972"/>
    </row>
    <row r="4594" spans="5:13">
      <c r="E4594" s="972"/>
      <c r="F4594" s="972"/>
      <c r="G4594" s="972"/>
      <c r="H4594" s="972"/>
      <c r="I4594" s="972"/>
      <c r="J4594" s="972"/>
      <c r="K4594" s="972"/>
      <c r="L4594" s="972"/>
      <c r="M4594" s="972"/>
    </row>
    <row r="4595" spans="5:13">
      <c r="E4595" s="972"/>
      <c r="F4595" s="972"/>
      <c r="G4595" s="972"/>
      <c r="H4595" s="972"/>
      <c r="I4595" s="972"/>
      <c r="J4595" s="972"/>
      <c r="K4595" s="972"/>
      <c r="L4595" s="972"/>
      <c r="M4595" s="972"/>
    </row>
    <row r="4596" spans="5:13">
      <c r="E4596" s="972"/>
      <c r="F4596" s="972"/>
      <c r="G4596" s="972"/>
      <c r="H4596" s="972"/>
      <c r="I4596" s="972"/>
      <c r="J4596" s="972"/>
      <c r="K4596" s="972"/>
      <c r="L4596" s="972"/>
      <c r="M4596" s="972"/>
    </row>
    <row r="4597" spans="5:13">
      <c r="E4597" s="972"/>
      <c r="F4597" s="972"/>
      <c r="G4597" s="972"/>
      <c r="H4597" s="972"/>
      <c r="I4597" s="972"/>
      <c r="J4597" s="972"/>
      <c r="K4597" s="972"/>
      <c r="L4597" s="972"/>
      <c r="M4597" s="972"/>
    </row>
    <row r="4598" spans="5:13">
      <c r="E4598" s="972"/>
      <c r="F4598" s="972"/>
      <c r="G4598" s="972"/>
      <c r="H4598" s="972"/>
      <c r="I4598" s="972"/>
      <c r="J4598" s="972"/>
      <c r="K4598" s="972"/>
      <c r="L4598" s="972"/>
      <c r="M4598" s="972"/>
    </row>
    <row r="4599" spans="5:13">
      <c r="E4599" s="972"/>
      <c r="F4599" s="972"/>
      <c r="G4599" s="972"/>
      <c r="H4599" s="972"/>
      <c r="I4599" s="972"/>
      <c r="J4599" s="972"/>
      <c r="K4599" s="972"/>
      <c r="L4599" s="972"/>
      <c r="M4599" s="972"/>
    </row>
    <row r="4600" spans="5:13">
      <c r="E4600" s="972"/>
      <c r="F4600" s="972"/>
      <c r="G4600" s="972"/>
      <c r="H4600" s="972"/>
      <c r="I4600" s="972"/>
      <c r="J4600" s="972"/>
      <c r="K4600" s="972"/>
      <c r="L4600" s="972"/>
      <c r="M4600" s="972"/>
    </row>
    <row r="4601" spans="5:13">
      <c r="E4601" s="972"/>
      <c r="F4601" s="972"/>
      <c r="G4601" s="972"/>
      <c r="H4601" s="972"/>
      <c r="I4601" s="972"/>
      <c r="J4601" s="972"/>
      <c r="K4601" s="972"/>
      <c r="L4601" s="972"/>
      <c r="M4601" s="972"/>
    </row>
    <row r="4602" spans="5:13">
      <c r="E4602" s="972"/>
      <c r="F4602" s="972"/>
      <c r="G4602" s="972"/>
      <c r="H4602" s="972"/>
      <c r="I4602" s="972"/>
      <c r="J4602" s="972"/>
      <c r="K4602" s="972"/>
      <c r="L4602" s="972"/>
      <c r="M4602" s="972"/>
    </row>
    <row r="4603" spans="5:13">
      <c r="E4603" s="972"/>
      <c r="F4603" s="972"/>
      <c r="G4603" s="972"/>
      <c r="H4603" s="972"/>
      <c r="I4603" s="972"/>
      <c r="J4603" s="972"/>
      <c r="K4603" s="972"/>
      <c r="L4603" s="972"/>
      <c r="M4603" s="972"/>
    </row>
    <row r="4604" spans="5:13">
      <c r="E4604" s="972"/>
      <c r="F4604" s="972"/>
      <c r="G4604" s="972"/>
      <c r="H4604" s="972"/>
      <c r="I4604" s="972"/>
      <c r="J4604" s="972"/>
      <c r="K4604" s="972"/>
      <c r="L4604" s="972"/>
      <c r="M4604" s="972"/>
    </row>
    <row r="4605" spans="5:13">
      <c r="E4605" s="972"/>
      <c r="F4605" s="972"/>
      <c r="G4605" s="972"/>
      <c r="H4605" s="972"/>
      <c r="I4605" s="972"/>
      <c r="J4605" s="972"/>
      <c r="K4605" s="972"/>
      <c r="L4605" s="972"/>
      <c r="M4605" s="972"/>
    </row>
    <row r="4606" spans="5:13">
      <c r="E4606" s="972"/>
      <c r="F4606" s="972"/>
      <c r="G4606" s="972"/>
      <c r="H4606" s="972"/>
      <c r="I4606" s="972"/>
      <c r="J4606" s="972"/>
      <c r="K4606" s="972"/>
      <c r="L4606" s="972"/>
      <c r="M4606" s="972"/>
    </row>
    <row r="4607" spans="5:13">
      <c r="E4607" s="972"/>
      <c r="F4607" s="972"/>
      <c r="G4607" s="972"/>
      <c r="H4607" s="972"/>
      <c r="I4607" s="972"/>
      <c r="J4607" s="972"/>
      <c r="K4607" s="972"/>
      <c r="L4607" s="972"/>
      <c r="M4607" s="972"/>
    </row>
    <row r="4608" spans="5:13">
      <c r="E4608" s="972"/>
      <c r="F4608" s="972"/>
      <c r="G4608" s="972"/>
      <c r="H4608" s="972"/>
      <c r="I4608" s="972"/>
      <c r="J4608" s="972"/>
      <c r="K4608" s="972"/>
      <c r="L4608" s="972"/>
      <c r="M4608" s="972"/>
    </row>
    <row r="4609" spans="5:13">
      <c r="E4609" s="972"/>
      <c r="F4609" s="972"/>
      <c r="G4609" s="972"/>
      <c r="H4609" s="972"/>
      <c r="I4609" s="972"/>
      <c r="J4609" s="972"/>
      <c r="K4609" s="972"/>
      <c r="L4609" s="972"/>
      <c r="M4609" s="972"/>
    </row>
    <row r="4610" spans="5:13">
      <c r="E4610" s="972"/>
      <c r="F4610" s="972"/>
      <c r="G4610" s="972"/>
      <c r="H4610" s="972"/>
      <c r="I4610" s="972"/>
      <c r="J4610" s="972"/>
      <c r="K4610" s="972"/>
      <c r="L4610" s="972"/>
      <c r="M4610" s="972"/>
    </row>
    <row r="4611" spans="5:13">
      <c r="E4611" s="972"/>
      <c r="F4611" s="972"/>
      <c r="G4611" s="972"/>
      <c r="H4611" s="972"/>
      <c r="I4611" s="972"/>
      <c r="J4611" s="972"/>
      <c r="K4611" s="972"/>
      <c r="L4611" s="972"/>
      <c r="M4611" s="972"/>
    </row>
    <row r="4612" spans="5:13">
      <c r="E4612" s="972"/>
      <c r="F4612" s="972"/>
      <c r="G4612" s="972"/>
      <c r="H4612" s="972"/>
      <c r="I4612" s="972"/>
      <c r="J4612" s="972"/>
      <c r="K4612" s="972"/>
      <c r="L4612" s="972"/>
      <c r="M4612" s="972"/>
    </row>
    <row r="4613" spans="5:13">
      <c r="E4613" s="972"/>
      <c r="F4613" s="972"/>
      <c r="G4613" s="972"/>
      <c r="H4613" s="972"/>
      <c r="I4613" s="972"/>
      <c r="J4613" s="972"/>
      <c r="K4613" s="972"/>
      <c r="L4613" s="972"/>
      <c r="M4613" s="972"/>
    </row>
    <row r="4614" spans="5:13">
      <c r="E4614" s="972"/>
      <c r="F4614" s="972"/>
      <c r="G4614" s="972"/>
      <c r="H4614" s="972"/>
      <c r="I4614" s="972"/>
      <c r="J4614" s="972"/>
      <c r="K4614" s="972"/>
      <c r="L4614" s="972"/>
      <c r="M4614" s="972"/>
    </row>
    <row r="4615" spans="5:13">
      <c r="E4615" s="972"/>
      <c r="F4615" s="972"/>
      <c r="G4615" s="972"/>
      <c r="H4615" s="972"/>
      <c r="I4615" s="972"/>
      <c r="J4615" s="972"/>
      <c r="K4615" s="972"/>
      <c r="L4615" s="972"/>
      <c r="M4615" s="972"/>
    </row>
    <row r="4616" spans="5:13">
      <c r="E4616" s="972"/>
      <c r="F4616" s="972"/>
      <c r="G4616" s="972"/>
      <c r="H4616" s="972"/>
      <c r="I4616" s="972"/>
      <c r="J4616" s="972"/>
      <c r="K4616" s="972"/>
      <c r="L4616" s="972"/>
      <c r="M4616" s="972"/>
    </row>
    <row r="4617" spans="5:13">
      <c r="E4617" s="972"/>
      <c r="F4617" s="972"/>
      <c r="G4617" s="972"/>
      <c r="H4617" s="972"/>
      <c r="I4617" s="972"/>
      <c r="J4617" s="972"/>
      <c r="K4617" s="972"/>
      <c r="L4617" s="972"/>
      <c r="M4617" s="972"/>
    </row>
    <row r="4618" spans="5:13">
      <c r="E4618" s="972"/>
      <c r="F4618" s="972"/>
      <c r="G4618" s="972"/>
      <c r="H4618" s="972"/>
      <c r="I4618" s="972"/>
      <c r="J4618" s="972"/>
      <c r="K4618" s="972"/>
      <c r="L4618" s="972"/>
      <c r="M4618" s="972"/>
    </row>
    <row r="4619" spans="5:13">
      <c r="E4619" s="972"/>
      <c r="F4619" s="972"/>
      <c r="G4619" s="972"/>
      <c r="H4619" s="972"/>
      <c r="I4619" s="972"/>
      <c r="J4619" s="972"/>
      <c r="K4619" s="972"/>
      <c r="L4619" s="972"/>
      <c r="M4619" s="972"/>
    </row>
    <row r="4620" spans="5:13">
      <c r="E4620" s="972"/>
      <c r="F4620" s="972"/>
      <c r="G4620" s="972"/>
      <c r="H4620" s="972"/>
      <c r="I4620" s="972"/>
      <c r="J4620" s="972"/>
      <c r="K4620" s="972"/>
      <c r="L4620" s="972"/>
      <c r="M4620" s="972"/>
    </row>
    <row r="4621" spans="5:13">
      <c r="E4621" s="972"/>
      <c r="F4621" s="972"/>
      <c r="G4621" s="972"/>
      <c r="H4621" s="972"/>
      <c r="I4621" s="972"/>
      <c r="J4621" s="972"/>
      <c r="K4621" s="972"/>
      <c r="L4621" s="972"/>
      <c r="M4621" s="972"/>
    </row>
    <row r="4622" spans="5:13">
      <c r="E4622" s="972"/>
      <c r="F4622" s="972"/>
      <c r="G4622" s="972"/>
      <c r="H4622" s="972"/>
      <c r="I4622" s="972"/>
      <c r="J4622" s="972"/>
      <c r="K4622" s="972"/>
      <c r="L4622" s="972"/>
      <c r="M4622" s="972"/>
    </row>
    <row r="4623" spans="5:13">
      <c r="E4623" s="972"/>
      <c r="F4623" s="972"/>
      <c r="G4623" s="972"/>
      <c r="H4623" s="972"/>
      <c r="I4623" s="972"/>
      <c r="J4623" s="972"/>
      <c r="K4623" s="972"/>
      <c r="L4623" s="972"/>
      <c r="M4623" s="972"/>
    </row>
    <row r="4624" spans="5:13">
      <c r="E4624" s="972"/>
      <c r="F4624" s="972"/>
      <c r="G4624" s="972"/>
      <c r="H4624" s="972"/>
      <c r="I4624" s="972"/>
      <c r="J4624" s="972"/>
      <c r="K4624" s="972"/>
      <c r="L4624" s="972"/>
      <c r="M4624" s="972"/>
    </row>
    <row r="4625" spans="5:13">
      <c r="E4625" s="972"/>
      <c r="F4625" s="972"/>
      <c r="G4625" s="972"/>
      <c r="H4625" s="972"/>
      <c r="I4625" s="972"/>
      <c r="J4625" s="972"/>
      <c r="K4625" s="972"/>
      <c r="L4625" s="972"/>
      <c r="M4625" s="972"/>
    </row>
    <row r="4626" spans="5:13">
      <c r="E4626" s="972"/>
      <c r="F4626" s="972"/>
      <c r="G4626" s="972"/>
      <c r="H4626" s="972"/>
      <c r="I4626" s="972"/>
      <c r="J4626" s="972"/>
      <c r="K4626" s="972"/>
      <c r="L4626" s="972"/>
      <c r="M4626" s="972"/>
    </row>
    <row r="4627" spans="5:13">
      <c r="E4627" s="972"/>
      <c r="F4627" s="972"/>
      <c r="G4627" s="972"/>
      <c r="H4627" s="972"/>
      <c r="I4627" s="972"/>
      <c r="J4627" s="972"/>
      <c r="K4627" s="972"/>
      <c r="L4627" s="972"/>
      <c r="M4627" s="972"/>
    </row>
    <row r="4628" spans="5:13">
      <c r="E4628" s="972"/>
      <c r="F4628" s="972"/>
      <c r="G4628" s="972"/>
      <c r="H4628" s="972"/>
      <c r="I4628" s="972"/>
      <c r="J4628" s="972"/>
      <c r="K4628" s="972"/>
      <c r="L4628" s="972"/>
      <c r="M4628" s="972"/>
    </row>
    <row r="4629" spans="5:13">
      <c r="E4629" s="972"/>
      <c r="F4629" s="972"/>
      <c r="G4629" s="972"/>
      <c r="H4629" s="972"/>
      <c r="I4629" s="972"/>
      <c r="J4629" s="972"/>
      <c r="K4629" s="972"/>
      <c r="L4629" s="972"/>
      <c r="M4629" s="972"/>
    </row>
    <row r="4630" spans="5:13">
      <c r="E4630" s="972"/>
      <c r="F4630" s="972"/>
      <c r="G4630" s="972"/>
      <c r="H4630" s="972"/>
      <c r="I4630" s="972"/>
      <c r="J4630" s="972"/>
      <c r="K4630" s="972"/>
      <c r="L4630" s="972"/>
      <c r="M4630" s="972"/>
    </row>
    <row r="4631" spans="5:13">
      <c r="E4631" s="972"/>
      <c r="F4631" s="972"/>
      <c r="G4631" s="972"/>
      <c r="H4631" s="972"/>
      <c r="I4631" s="972"/>
      <c r="J4631" s="972"/>
      <c r="K4631" s="972"/>
      <c r="L4631" s="972"/>
      <c r="M4631" s="972"/>
    </row>
    <row r="4632" spans="5:13">
      <c r="E4632" s="972"/>
      <c r="F4632" s="972"/>
      <c r="G4632" s="972"/>
      <c r="H4632" s="972"/>
      <c r="I4632" s="972"/>
      <c r="J4632" s="972"/>
      <c r="K4632" s="972"/>
      <c r="L4632" s="972"/>
      <c r="M4632" s="972"/>
    </row>
    <row r="4633" spans="5:13">
      <c r="E4633" s="972"/>
      <c r="F4633" s="972"/>
      <c r="G4633" s="972"/>
      <c r="H4633" s="972"/>
      <c r="I4633" s="972"/>
      <c r="J4633" s="972"/>
      <c r="K4633" s="972"/>
      <c r="L4633" s="972"/>
      <c r="M4633" s="972"/>
    </row>
    <row r="4634" spans="5:13">
      <c r="E4634" s="972"/>
      <c r="F4634" s="972"/>
      <c r="G4634" s="972"/>
      <c r="H4634" s="972"/>
      <c r="I4634" s="972"/>
      <c r="J4634" s="972"/>
      <c r="K4634" s="972"/>
      <c r="L4634" s="972"/>
      <c r="M4634" s="972"/>
    </row>
    <row r="4635" spans="5:13">
      <c r="E4635" s="972"/>
      <c r="F4635" s="972"/>
      <c r="G4635" s="972"/>
      <c r="H4635" s="972"/>
      <c r="I4635" s="972"/>
      <c r="J4635" s="972"/>
      <c r="K4635" s="972"/>
      <c r="L4635" s="972"/>
      <c r="M4635" s="972"/>
    </row>
    <row r="4636" spans="5:13">
      <c r="E4636" s="972"/>
      <c r="F4636" s="972"/>
      <c r="G4636" s="972"/>
      <c r="H4636" s="972"/>
      <c r="I4636" s="972"/>
      <c r="J4636" s="972"/>
      <c r="K4636" s="972"/>
      <c r="L4636" s="972"/>
      <c r="M4636" s="972"/>
    </row>
    <row r="4637" spans="5:13">
      <c r="E4637" s="972"/>
      <c r="F4637" s="972"/>
      <c r="G4637" s="972"/>
      <c r="H4637" s="972"/>
      <c r="I4637" s="972"/>
      <c r="J4637" s="972"/>
      <c r="K4637" s="972"/>
      <c r="L4637" s="972"/>
      <c r="M4637" s="972"/>
    </row>
    <row r="4638" spans="5:13">
      <c r="E4638" s="972"/>
      <c r="F4638" s="972"/>
      <c r="G4638" s="972"/>
      <c r="H4638" s="972"/>
      <c r="I4638" s="972"/>
      <c r="J4638" s="972"/>
      <c r="K4638" s="972"/>
      <c r="L4638" s="972"/>
      <c r="M4638" s="972"/>
    </row>
    <row r="4639" spans="5:13">
      <c r="E4639" s="972"/>
      <c r="F4639" s="972"/>
      <c r="G4639" s="972"/>
      <c r="H4639" s="972"/>
      <c r="I4639" s="972"/>
      <c r="J4639" s="972"/>
      <c r="K4639" s="972"/>
      <c r="L4639" s="972"/>
      <c r="M4639" s="972"/>
    </row>
    <row r="4640" spans="5:13">
      <c r="E4640" s="972"/>
      <c r="F4640" s="972"/>
      <c r="G4640" s="972"/>
      <c r="H4640" s="972"/>
      <c r="I4640" s="972"/>
      <c r="J4640" s="972"/>
      <c r="K4640" s="972"/>
      <c r="L4640" s="972"/>
      <c r="M4640" s="972"/>
    </row>
    <row r="4641" spans="5:13">
      <c r="E4641" s="972"/>
      <c r="F4641" s="972"/>
      <c r="G4641" s="972"/>
      <c r="H4641" s="972"/>
      <c r="I4641" s="972"/>
      <c r="J4641" s="972"/>
      <c r="K4641" s="972"/>
      <c r="L4641" s="972"/>
      <c r="M4641" s="972"/>
    </row>
    <row r="4642" spans="5:13">
      <c r="E4642" s="972"/>
      <c r="F4642" s="972"/>
      <c r="G4642" s="972"/>
      <c r="H4642" s="972"/>
      <c r="I4642" s="972"/>
      <c r="J4642" s="972"/>
      <c r="K4642" s="972"/>
      <c r="L4642" s="972"/>
      <c r="M4642" s="972"/>
    </row>
    <row r="4643" spans="5:13">
      <c r="E4643" s="972"/>
      <c r="F4643" s="972"/>
      <c r="G4643" s="972"/>
      <c r="H4643" s="972"/>
      <c r="I4643" s="972"/>
      <c r="J4643" s="972"/>
      <c r="K4643" s="972"/>
      <c r="L4643" s="972"/>
      <c r="M4643" s="972"/>
    </row>
    <row r="4644" spans="5:13">
      <c r="E4644" s="972"/>
      <c r="F4644" s="972"/>
      <c r="G4644" s="972"/>
      <c r="H4644" s="972"/>
      <c r="I4644" s="972"/>
      <c r="J4644" s="972"/>
      <c r="K4644" s="972"/>
      <c r="L4644" s="972"/>
      <c r="M4644" s="972"/>
    </row>
    <row r="4645" spans="5:13">
      <c r="E4645" s="972"/>
      <c r="F4645" s="972"/>
      <c r="G4645" s="972"/>
      <c r="H4645" s="972"/>
      <c r="I4645" s="972"/>
      <c r="J4645" s="972"/>
      <c r="K4645" s="972"/>
      <c r="L4645" s="972"/>
      <c r="M4645" s="972"/>
    </row>
    <row r="4646" spans="5:13">
      <c r="E4646" s="972"/>
      <c r="F4646" s="972"/>
      <c r="G4646" s="972"/>
      <c r="H4646" s="972"/>
      <c r="I4646" s="972"/>
      <c r="J4646" s="972"/>
      <c r="K4646" s="972"/>
      <c r="L4646" s="972"/>
      <c r="M4646" s="972"/>
    </row>
    <row r="4647" spans="5:13">
      <c r="E4647" s="972"/>
      <c r="F4647" s="972"/>
      <c r="G4647" s="972"/>
      <c r="H4647" s="972"/>
      <c r="I4647" s="972"/>
      <c r="J4647" s="972"/>
      <c r="K4647" s="972"/>
      <c r="L4647" s="972"/>
      <c r="M4647" s="972"/>
    </row>
    <row r="4648" spans="5:13">
      <c r="E4648" s="972"/>
      <c r="F4648" s="972"/>
      <c r="G4648" s="972"/>
      <c r="H4648" s="972"/>
      <c r="I4648" s="972"/>
      <c r="J4648" s="972"/>
      <c r="K4648" s="972"/>
      <c r="L4648" s="972"/>
      <c r="M4648" s="972"/>
    </row>
    <row r="4649" spans="5:13">
      <c r="E4649" s="972"/>
      <c r="F4649" s="972"/>
      <c r="G4649" s="972"/>
      <c r="H4649" s="972"/>
      <c r="I4649" s="972"/>
      <c r="J4649" s="972"/>
      <c r="K4649" s="972"/>
      <c r="L4649" s="972"/>
      <c r="M4649" s="972"/>
    </row>
    <row r="4650" spans="5:13">
      <c r="E4650" s="972"/>
      <c r="F4650" s="972"/>
      <c r="G4650" s="972"/>
      <c r="H4650" s="972"/>
      <c r="I4650" s="972"/>
      <c r="J4650" s="972"/>
      <c r="K4650" s="972"/>
      <c r="L4650" s="972"/>
      <c r="M4650" s="972"/>
    </row>
    <row r="4651" spans="5:13">
      <c r="E4651" s="972"/>
      <c r="F4651" s="972"/>
      <c r="G4651" s="972"/>
      <c r="H4651" s="972"/>
      <c r="I4651" s="972"/>
      <c r="J4651" s="972"/>
      <c r="K4651" s="972"/>
      <c r="L4651" s="972"/>
      <c r="M4651" s="972"/>
    </row>
    <row r="4652" spans="5:13">
      <c r="E4652" s="972"/>
      <c r="F4652" s="972"/>
      <c r="G4652" s="972"/>
      <c r="H4652" s="972"/>
      <c r="I4652" s="972"/>
      <c r="J4652" s="972"/>
      <c r="K4652" s="972"/>
      <c r="L4652" s="972"/>
      <c r="M4652" s="972"/>
    </row>
    <row r="4653" spans="5:13">
      <c r="E4653" s="972"/>
      <c r="F4653" s="972"/>
      <c r="G4653" s="972"/>
      <c r="H4653" s="972"/>
      <c r="I4653" s="972"/>
      <c r="J4653" s="972"/>
      <c r="K4653" s="972"/>
      <c r="L4653" s="972"/>
      <c r="M4653" s="972"/>
    </row>
    <row r="4654" spans="5:13">
      <c r="E4654" s="972"/>
      <c r="F4654" s="972"/>
      <c r="G4654" s="972"/>
      <c r="H4654" s="972"/>
      <c r="I4654" s="972"/>
      <c r="J4654" s="972"/>
      <c r="K4654" s="972"/>
      <c r="L4654" s="972"/>
      <c r="M4654" s="972"/>
    </row>
    <row r="4655" spans="5:13">
      <c r="E4655" s="972"/>
      <c r="F4655" s="972"/>
      <c r="G4655" s="972"/>
      <c r="H4655" s="972"/>
      <c r="I4655" s="972"/>
      <c r="J4655" s="972"/>
      <c r="K4655" s="972"/>
      <c r="L4655" s="972"/>
      <c r="M4655" s="972"/>
    </row>
    <row r="4656" spans="5:13">
      <c r="E4656" s="972"/>
      <c r="F4656" s="972"/>
      <c r="G4656" s="972"/>
      <c r="H4656" s="972"/>
      <c r="I4656" s="972"/>
      <c r="J4656" s="972"/>
      <c r="K4656" s="972"/>
      <c r="L4656" s="972"/>
      <c r="M4656" s="972"/>
    </row>
    <row r="4657" spans="5:13">
      <c r="E4657" s="972"/>
      <c r="F4657" s="972"/>
      <c r="G4657" s="972"/>
      <c r="H4657" s="972"/>
      <c r="I4657" s="972"/>
      <c r="J4657" s="972"/>
      <c r="K4657" s="972"/>
      <c r="L4657" s="972"/>
      <c r="M4657" s="972"/>
    </row>
    <row r="4658" spans="5:13">
      <c r="E4658" s="972"/>
      <c r="F4658" s="972"/>
      <c r="G4658" s="972"/>
      <c r="H4658" s="972"/>
      <c r="I4658" s="972"/>
      <c r="J4658" s="972"/>
      <c r="K4658" s="972"/>
      <c r="L4658" s="972"/>
      <c r="M4658" s="972"/>
    </row>
    <row r="4659" spans="5:13">
      <c r="E4659" s="972"/>
      <c r="F4659" s="972"/>
      <c r="G4659" s="972"/>
      <c r="H4659" s="972"/>
      <c r="I4659" s="972"/>
      <c r="J4659" s="972"/>
      <c r="K4659" s="972"/>
      <c r="L4659" s="972"/>
      <c r="M4659" s="972"/>
    </row>
    <row r="4660" spans="5:13">
      <c r="E4660" s="972"/>
      <c r="F4660" s="972"/>
      <c r="G4660" s="972"/>
      <c r="H4660" s="972"/>
      <c r="I4660" s="972"/>
      <c r="J4660" s="972"/>
      <c r="K4660" s="972"/>
      <c r="L4660" s="972"/>
      <c r="M4660" s="972"/>
    </row>
    <row r="4661" spans="5:13">
      <c r="E4661" s="972"/>
      <c r="F4661" s="972"/>
      <c r="G4661" s="972"/>
      <c r="H4661" s="972"/>
      <c r="I4661" s="972"/>
      <c r="J4661" s="972"/>
      <c r="K4661" s="972"/>
      <c r="L4661" s="972"/>
      <c r="M4661" s="972"/>
    </row>
    <row r="4662" spans="5:13">
      <c r="E4662" s="972"/>
      <c r="F4662" s="972"/>
      <c r="G4662" s="972"/>
      <c r="H4662" s="972"/>
      <c r="I4662" s="972"/>
      <c r="J4662" s="972"/>
      <c r="K4662" s="972"/>
      <c r="L4662" s="972"/>
      <c r="M4662" s="972"/>
    </row>
    <row r="4663" spans="5:13">
      <c r="E4663" s="972"/>
      <c r="F4663" s="972"/>
      <c r="G4663" s="972"/>
      <c r="H4663" s="972"/>
      <c r="I4663" s="972"/>
      <c r="J4663" s="972"/>
      <c r="K4663" s="972"/>
      <c r="L4663" s="972"/>
      <c r="M4663" s="972"/>
    </row>
    <row r="4664" spans="5:13">
      <c r="E4664" s="972"/>
      <c r="F4664" s="972"/>
      <c r="G4664" s="972"/>
      <c r="H4664" s="972"/>
      <c r="I4664" s="972"/>
      <c r="J4664" s="972"/>
      <c r="K4664" s="972"/>
      <c r="L4664" s="972"/>
      <c r="M4664" s="972"/>
    </row>
    <row r="4665" spans="5:13">
      <c r="E4665" s="972"/>
      <c r="F4665" s="972"/>
      <c r="G4665" s="972"/>
      <c r="H4665" s="972"/>
      <c r="I4665" s="972"/>
      <c r="J4665" s="972"/>
      <c r="K4665" s="972"/>
      <c r="L4665" s="972"/>
      <c r="M4665" s="972"/>
    </row>
    <row r="4666" spans="5:13">
      <c r="E4666" s="972"/>
      <c r="F4666" s="972"/>
      <c r="G4666" s="972"/>
      <c r="H4666" s="972"/>
      <c r="I4666" s="972"/>
      <c r="J4666" s="972"/>
      <c r="K4666" s="972"/>
      <c r="L4666" s="972"/>
      <c r="M4666" s="972"/>
    </row>
    <row r="4667" spans="5:13">
      <c r="E4667" s="972"/>
      <c r="F4667" s="972"/>
      <c r="G4667" s="972"/>
      <c r="H4667" s="972"/>
      <c r="I4667" s="972"/>
      <c r="J4667" s="972"/>
      <c r="K4667" s="972"/>
      <c r="L4667" s="972"/>
      <c r="M4667" s="972"/>
    </row>
    <row r="4668" spans="5:13">
      <c r="E4668" s="972"/>
      <c r="F4668" s="972"/>
      <c r="G4668" s="972"/>
      <c r="H4668" s="972"/>
      <c r="I4668" s="972"/>
      <c r="J4668" s="972"/>
      <c r="K4668" s="972"/>
      <c r="L4668" s="972"/>
      <c r="M4668" s="972"/>
    </row>
    <row r="4669" spans="5:13">
      <c r="E4669" s="972"/>
      <c r="F4669" s="972"/>
      <c r="G4669" s="972"/>
      <c r="H4669" s="972"/>
      <c r="I4669" s="972"/>
      <c r="J4669" s="972"/>
      <c r="K4669" s="972"/>
      <c r="L4669" s="972"/>
      <c r="M4669" s="972"/>
    </row>
    <row r="4670" spans="5:13">
      <c r="E4670" s="972"/>
      <c r="F4670" s="972"/>
      <c r="G4670" s="972"/>
      <c r="H4670" s="972"/>
      <c r="I4670" s="972"/>
      <c r="J4670" s="972"/>
      <c r="K4670" s="972"/>
      <c r="L4670" s="972"/>
      <c r="M4670" s="972"/>
    </row>
    <row r="4671" spans="5:13">
      <c r="E4671" s="972"/>
      <c r="F4671" s="972"/>
      <c r="G4671" s="972"/>
      <c r="H4671" s="972"/>
      <c r="I4671" s="972"/>
      <c r="J4671" s="972"/>
      <c r="K4671" s="972"/>
      <c r="L4671" s="972"/>
      <c r="M4671" s="972"/>
    </row>
    <row r="4672" spans="5:13">
      <c r="E4672" s="972"/>
      <c r="F4672" s="972"/>
      <c r="G4672" s="972"/>
      <c r="H4672" s="972"/>
      <c r="I4672" s="972"/>
      <c r="J4672" s="972"/>
      <c r="K4672" s="972"/>
      <c r="L4672" s="972"/>
      <c r="M4672" s="972"/>
    </row>
    <row r="4673" spans="5:13">
      <c r="E4673" s="972"/>
      <c r="F4673" s="972"/>
      <c r="G4673" s="972"/>
      <c r="H4673" s="972"/>
      <c r="I4673" s="972"/>
      <c r="J4673" s="972"/>
      <c r="K4673" s="972"/>
      <c r="L4673" s="972"/>
      <c r="M4673" s="972"/>
    </row>
    <row r="4674" spans="5:13">
      <c r="E4674" s="972"/>
      <c r="F4674" s="972"/>
      <c r="G4674" s="972"/>
      <c r="H4674" s="972"/>
      <c r="I4674" s="972"/>
      <c r="J4674" s="972"/>
      <c r="K4674" s="972"/>
      <c r="L4674" s="972"/>
      <c r="M4674" s="972"/>
    </row>
    <row r="4675" spans="5:13">
      <c r="E4675" s="972"/>
      <c r="F4675" s="972"/>
      <c r="G4675" s="972"/>
      <c r="H4675" s="972"/>
      <c r="I4675" s="972"/>
      <c r="J4675" s="972"/>
      <c r="K4675" s="972"/>
      <c r="L4675" s="972"/>
      <c r="M4675" s="972"/>
    </row>
    <row r="4676" spans="5:13">
      <c r="E4676" s="972"/>
      <c r="F4676" s="972"/>
      <c r="G4676" s="972"/>
      <c r="H4676" s="972"/>
      <c r="I4676" s="972"/>
      <c r="J4676" s="972"/>
      <c r="K4676" s="972"/>
      <c r="L4676" s="972"/>
      <c r="M4676" s="972"/>
    </row>
    <row r="4677" spans="5:13">
      <c r="E4677" s="972"/>
      <c r="F4677" s="972"/>
      <c r="G4677" s="972"/>
      <c r="H4677" s="972"/>
      <c r="I4677" s="972"/>
      <c r="J4677" s="972"/>
      <c r="K4677" s="972"/>
      <c r="L4677" s="972"/>
      <c r="M4677" s="972"/>
    </row>
    <row r="4678" spans="5:13">
      <c r="E4678" s="972"/>
      <c r="F4678" s="972"/>
      <c r="G4678" s="972"/>
      <c r="H4678" s="972"/>
      <c r="I4678" s="972"/>
      <c r="J4678" s="972"/>
      <c r="K4678" s="972"/>
      <c r="L4678" s="972"/>
      <c r="M4678" s="972"/>
    </row>
    <row r="4679" spans="5:13">
      <c r="E4679" s="972"/>
      <c r="F4679" s="972"/>
      <c r="G4679" s="972"/>
      <c r="H4679" s="972"/>
      <c r="I4679" s="972"/>
      <c r="J4679" s="972"/>
      <c r="K4679" s="972"/>
      <c r="L4679" s="972"/>
      <c r="M4679" s="972"/>
    </row>
    <row r="4680" spans="5:13">
      <c r="E4680" s="972"/>
      <c r="F4680" s="972"/>
      <c r="G4680" s="972"/>
      <c r="H4680" s="972"/>
      <c r="I4680" s="972"/>
      <c r="J4680" s="972"/>
      <c r="K4680" s="972"/>
      <c r="L4680" s="972"/>
      <c r="M4680" s="972"/>
    </row>
    <row r="4681" spans="5:13">
      <c r="E4681" s="972"/>
      <c r="F4681" s="972"/>
      <c r="G4681" s="972"/>
      <c r="H4681" s="972"/>
      <c r="I4681" s="972"/>
      <c r="J4681" s="972"/>
      <c r="K4681" s="972"/>
      <c r="L4681" s="972"/>
      <c r="M4681" s="972"/>
    </row>
    <row r="4682" spans="5:13">
      <c r="E4682" s="972"/>
      <c r="F4682" s="972"/>
      <c r="G4682" s="972"/>
      <c r="H4682" s="972"/>
      <c r="I4682" s="972"/>
      <c r="J4682" s="972"/>
      <c r="K4682" s="972"/>
      <c r="L4682" s="972"/>
      <c r="M4682" s="972"/>
    </row>
    <row r="4683" spans="5:13">
      <c r="E4683" s="972"/>
      <c r="F4683" s="972"/>
      <c r="G4683" s="972"/>
      <c r="H4683" s="972"/>
      <c r="I4683" s="972"/>
      <c r="J4683" s="972"/>
      <c r="K4683" s="972"/>
      <c r="L4683" s="972"/>
      <c r="M4683" s="972"/>
    </row>
    <row r="4684" spans="5:13">
      <c r="E4684" s="972"/>
      <c r="F4684" s="972"/>
      <c r="G4684" s="972"/>
      <c r="H4684" s="972"/>
      <c r="I4684" s="972"/>
      <c r="J4684" s="972"/>
      <c r="K4684" s="972"/>
      <c r="L4684" s="972"/>
      <c r="M4684" s="972"/>
    </row>
    <row r="4685" spans="5:13">
      <c r="E4685" s="972"/>
      <c r="F4685" s="972"/>
      <c r="G4685" s="972"/>
      <c r="H4685" s="972"/>
      <c r="I4685" s="972"/>
      <c r="J4685" s="972"/>
      <c r="K4685" s="972"/>
      <c r="L4685" s="972"/>
      <c r="M4685" s="972"/>
    </row>
    <row r="4686" spans="5:13">
      <c r="E4686" s="972"/>
      <c r="F4686" s="972"/>
      <c r="G4686" s="972"/>
      <c r="H4686" s="972"/>
      <c r="I4686" s="972"/>
      <c r="J4686" s="972"/>
      <c r="K4686" s="972"/>
      <c r="L4686" s="972"/>
      <c r="M4686" s="972"/>
    </row>
    <row r="4687" spans="5:13">
      <c r="E4687" s="972"/>
      <c r="F4687" s="972"/>
      <c r="G4687" s="972"/>
      <c r="H4687" s="972"/>
      <c r="I4687" s="972"/>
      <c r="J4687" s="972"/>
      <c r="K4687" s="972"/>
      <c r="L4687" s="972"/>
      <c r="M4687" s="972"/>
    </row>
    <row r="4688" spans="5:13">
      <c r="E4688" s="972"/>
      <c r="F4688" s="972"/>
      <c r="G4688" s="972"/>
      <c r="H4688" s="972"/>
      <c r="I4688" s="972"/>
      <c r="J4688" s="972"/>
      <c r="K4688" s="972"/>
      <c r="L4688" s="972"/>
      <c r="M4688" s="972"/>
    </row>
    <row r="4689" spans="5:13">
      <c r="E4689" s="972"/>
      <c r="F4689" s="972"/>
      <c r="G4689" s="972"/>
      <c r="H4689" s="972"/>
      <c r="I4689" s="972"/>
      <c r="J4689" s="972"/>
      <c r="K4689" s="972"/>
      <c r="L4689" s="972"/>
      <c r="M4689" s="972"/>
    </row>
    <row r="4690" spans="5:13">
      <c r="E4690" s="972"/>
      <c r="F4690" s="972"/>
      <c r="G4690" s="972"/>
      <c r="H4690" s="972"/>
      <c r="I4690" s="972"/>
      <c r="J4690" s="972"/>
      <c r="K4690" s="972"/>
      <c r="L4690" s="972"/>
      <c r="M4690" s="972"/>
    </row>
    <row r="4691" spans="5:13">
      <c r="E4691" s="972"/>
      <c r="F4691" s="972"/>
      <c r="G4691" s="972"/>
      <c r="H4691" s="972"/>
      <c r="I4691" s="972"/>
      <c r="J4691" s="972"/>
      <c r="K4691" s="972"/>
      <c r="L4691" s="972"/>
      <c r="M4691" s="972"/>
    </row>
    <row r="4692" spans="5:13">
      <c r="E4692" s="972"/>
      <c r="F4692" s="972"/>
      <c r="G4692" s="972"/>
      <c r="H4692" s="972"/>
      <c r="I4692" s="972"/>
      <c r="J4692" s="972"/>
      <c r="K4692" s="972"/>
      <c r="L4692" s="972"/>
      <c r="M4692" s="972"/>
    </row>
    <row r="4693" spans="5:13">
      <c r="E4693" s="972"/>
      <c r="F4693" s="972"/>
      <c r="G4693" s="972"/>
      <c r="H4693" s="972"/>
      <c r="I4693" s="972"/>
      <c r="J4693" s="972"/>
      <c r="K4693" s="972"/>
      <c r="L4693" s="972"/>
      <c r="M4693" s="972"/>
    </row>
    <row r="4694" spans="5:13">
      <c r="E4694" s="972"/>
      <c r="F4694" s="972"/>
      <c r="G4694" s="972"/>
      <c r="H4694" s="972"/>
      <c r="I4694" s="972"/>
      <c r="J4694" s="972"/>
      <c r="K4694" s="972"/>
      <c r="L4694" s="972"/>
      <c r="M4694" s="972"/>
    </row>
    <row r="4695" spans="5:13">
      <c r="E4695" s="972"/>
      <c r="F4695" s="972"/>
      <c r="G4695" s="972"/>
      <c r="H4695" s="972"/>
      <c r="I4695" s="972"/>
      <c r="J4695" s="972"/>
      <c r="K4695" s="972"/>
      <c r="L4695" s="972"/>
      <c r="M4695" s="972"/>
    </row>
    <row r="4696" spans="5:13">
      <c r="E4696" s="972"/>
      <c r="F4696" s="972"/>
      <c r="G4696" s="972"/>
      <c r="H4696" s="972"/>
      <c r="I4696" s="972"/>
      <c r="J4696" s="972"/>
      <c r="K4696" s="972"/>
      <c r="L4696" s="972"/>
      <c r="M4696" s="972"/>
    </row>
    <row r="4697" spans="5:13">
      <c r="E4697" s="972"/>
      <c r="F4697" s="972"/>
      <c r="G4697" s="972"/>
      <c r="H4697" s="972"/>
      <c r="I4697" s="972"/>
      <c r="J4697" s="972"/>
      <c r="K4697" s="972"/>
      <c r="L4697" s="972"/>
      <c r="M4697" s="972"/>
    </row>
    <row r="4698" spans="5:13">
      <c r="E4698" s="972"/>
      <c r="F4698" s="972"/>
      <c r="G4698" s="972"/>
      <c r="H4698" s="972"/>
      <c r="I4698" s="972"/>
      <c r="J4698" s="972"/>
      <c r="K4698" s="972"/>
      <c r="L4698" s="972"/>
      <c r="M4698" s="972"/>
    </row>
    <row r="4699" spans="5:13">
      <c r="E4699" s="972"/>
      <c r="F4699" s="972"/>
      <c r="G4699" s="972"/>
      <c r="H4699" s="972"/>
      <c r="I4699" s="972"/>
      <c r="J4699" s="972"/>
      <c r="K4699" s="972"/>
      <c r="L4699" s="972"/>
      <c r="M4699" s="972"/>
    </row>
    <row r="4700" spans="5:13">
      <c r="E4700" s="972"/>
      <c r="F4700" s="972"/>
      <c r="G4700" s="972"/>
      <c r="H4700" s="972"/>
      <c r="I4700" s="972"/>
      <c r="J4700" s="972"/>
      <c r="K4700" s="972"/>
      <c r="L4700" s="972"/>
      <c r="M4700" s="972"/>
    </row>
    <row r="4701" spans="5:13">
      <c r="E4701" s="972"/>
      <c r="F4701" s="972"/>
      <c r="G4701" s="972"/>
      <c r="H4701" s="972"/>
      <c r="I4701" s="972"/>
      <c r="J4701" s="972"/>
      <c r="K4701" s="972"/>
      <c r="L4701" s="972"/>
      <c r="M4701" s="972"/>
    </row>
    <row r="4702" spans="5:13">
      <c r="E4702" s="972"/>
      <c r="F4702" s="972"/>
      <c r="G4702" s="972"/>
      <c r="H4702" s="972"/>
      <c r="I4702" s="972"/>
      <c r="J4702" s="972"/>
      <c r="K4702" s="972"/>
      <c r="L4702" s="972"/>
      <c r="M4702" s="972"/>
    </row>
    <row r="4703" spans="5:13">
      <c r="E4703" s="972"/>
      <c r="F4703" s="972"/>
      <c r="G4703" s="972"/>
      <c r="H4703" s="972"/>
      <c r="I4703" s="972"/>
      <c r="J4703" s="972"/>
      <c r="K4703" s="972"/>
      <c r="L4703" s="972"/>
      <c r="M4703" s="972"/>
    </row>
    <row r="4704" spans="5:13">
      <c r="E4704" s="972"/>
      <c r="F4704" s="972"/>
      <c r="G4704" s="972"/>
      <c r="H4704" s="972"/>
      <c r="I4704" s="972"/>
      <c r="J4704" s="972"/>
      <c r="K4704" s="972"/>
      <c r="L4704" s="972"/>
      <c r="M4704" s="972"/>
    </row>
    <row r="4705" spans="5:13">
      <c r="E4705" s="972"/>
      <c r="F4705" s="972"/>
      <c r="G4705" s="972"/>
      <c r="H4705" s="972"/>
      <c r="I4705" s="972"/>
      <c r="J4705" s="972"/>
      <c r="K4705" s="972"/>
      <c r="L4705" s="972"/>
      <c r="M4705" s="972"/>
    </row>
    <row r="4706" spans="5:13">
      <c r="E4706" s="972"/>
      <c r="F4706" s="972"/>
      <c r="G4706" s="972"/>
      <c r="H4706" s="972"/>
      <c r="I4706" s="972"/>
      <c r="J4706" s="972"/>
      <c r="K4706" s="972"/>
      <c r="L4706" s="972"/>
      <c r="M4706" s="972"/>
    </row>
    <row r="4707" spans="5:13">
      <c r="E4707" s="972"/>
      <c r="F4707" s="972"/>
      <c r="G4707" s="972"/>
      <c r="H4707" s="972"/>
      <c r="I4707" s="972"/>
      <c r="J4707" s="972"/>
      <c r="K4707" s="972"/>
      <c r="L4707" s="972"/>
      <c r="M4707" s="972"/>
    </row>
    <row r="4708" spans="5:13">
      <c r="E4708" s="972"/>
      <c r="F4708" s="972"/>
      <c r="G4708" s="972"/>
      <c r="H4708" s="972"/>
      <c r="I4708" s="972"/>
      <c r="J4708" s="972"/>
      <c r="K4708" s="972"/>
      <c r="L4708" s="972"/>
      <c r="M4708" s="972"/>
    </row>
    <row r="4709" spans="5:13">
      <c r="E4709" s="972"/>
      <c r="F4709" s="972"/>
      <c r="G4709" s="972"/>
      <c r="H4709" s="972"/>
      <c r="I4709" s="972"/>
      <c r="J4709" s="972"/>
      <c r="K4709" s="972"/>
      <c r="L4709" s="972"/>
      <c r="M4709" s="972"/>
    </row>
    <row r="4710" spans="5:13">
      <c r="E4710" s="972"/>
      <c r="F4710" s="972"/>
      <c r="G4710" s="972"/>
      <c r="H4710" s="972"/>
      <c r="I4710" s="972"/>
      <c r="J4710" s="972"/>
      <c r="K4710" s="972"/>
      <c r="L4710" s="972"/>
      <c r="M4710" s="972"/>
    </row>
    <row r="4711" spans="5:13">
      <c r="E4711" s="972"/>
      <c r="F4711" s="972"/>
      <c r="G4711" s="972"/>
      <c r="H4711" s="972"/>
      <c r="I4711" s="972"/>
      <c r="J4711" s="972"/>
      <c r="K4711" s="972"/>
      <c r="L4711" s="972"/>
      <c r="M4711" s="972"/>
    </row>
    <row r="4712" spans="5:13">
      <c r="E4712" s="972"/>
      <c r="F4712" s="972"/>
      <c r="G4712" s="972"/>
      <c r="H4712" s="972"/>
      <c r="I4712" s="972"/>
      <c r="J4712" s="972"/>
      <c r="K4712" s="972"/>
      <c r="L4712" s="972"/>
      <c r="M4712" s="972"/>
    </row>
    <row r="4713" spans="5:13">
      <c r="E4713" s="972"/>
      <c r="F4713" s="972"/>
      <c r="G4713" s="972"/>
      <c r="H4713" s="972"/>
      <c r="I4713" s="972"/>
      <c r="J4713" s="972"/>
      <c r="K4713" s="972"/>
      <c r="L4713" s="972"/>
      <c r="M4713" s="972"/>
    </row>
    <row r="4714" spans="5:13">
      <c r="E4714" s="972"/>
      <c r="F4714" s="972"/>
      <c r="G4714" s="972"/>
      <c r="H4714" s="972"/>
      <c r="I4714" s="972"/>
      <c r="J4714" s="972"/>
      <c r="K4714" s="972"/>
      <c r="L4714" s="972"/>
      <c r="M4714" s="972"/>
    </row>
    <row r="4715" spans="5:13">
      <c r="E4715" s="972"/>
      <c r="F4715" s="972"/>
      <c r="G4715" s="972"/>
      <c r="H4715" s="972"/>
      <c r="I4715" s="972"/>
      <c r="J4715" s="972"/>
      <c r="K4715" s="972"/>
      <c r="L4715" s="972"/>
      <c r="M4715" s="972"/>
    </row>
    <row r="4716" spans="5:13">
      <c r="E4716" s="972"/>
      <c r="F4716" s="972"/>
      <c r="G4716" s="972"/>
      <c r="H4716" s="972"/>
      <c r="I4716" s="972"/>
      <c r="J4716" s="972"/>
      <c r="K4716" s="972"/>
      <c r="L4716" s="972"/>
      <c r="M4716" s="972"/>
    </row>
    <row r="4717" spans="5:13">
      <c r="E4717" s="972"/>
      <c r="F4717" s="972"/>
      <c r="G4717" s="972"/>
      <c r="H4717" s="972"/>
      <c r="I4717" s="972"/>
      <c r="J4717" s="972"/>
      <c r="K4717" s="972"/>
      <c r="L4717" s="972"/>
      <c r="M4717" s="972"/>
    </row>
    <row r="4718" spans="5:13">
      <c r="E4718" s="972"/>
      <c r="F4718" s="972"/>
      <c r="G4718" s="972"/>
      <c r="H4718" s="972"/>
      <c r="I4718" s="972"/>
      <c r="J4718" s="972"/>
      <c r="K4718" s="972"/>
      <c r="L4718" s="972"/>
      <c r="M4718" s="972"/>
    </row>
    <row r="4719" spans="5:13">
      <c r="E4719" s="972"/>
      <c r="F4719" s="972"/>
      <c r="G4719" s="972"/>
      <c r="H4719" s="972"/>
      <c r="I4719" s="972"/>
      <c r="J4719" s="972"/>
      <c r="K4719" s="972"/>
      <c r="L4719" s="972"/>
      <c r="M4719" s="972"/>
    </row>
    <row r="4720" spans="5:13">
      <c r="E4720" s="972"/>
      <c r="F4720" s="972"/>
      <c r="G4720" s="972"/>
      <c r="H4720" s="972"/>
      <c r="I4720" s="972"/>
      <c r="J4720" s="972"/>
      <c r="K4720" s="972"/>
      <c r="L4720" s="972"/>
      <c r="M4720" s="972"/>
    </row>
    <row r="4721" spans="5:13">
      <c r="E4721" s="972"/>
      <c r="F4721" s="972"/>
      <c r="G4721" s="972"/>
      <c r="H4721" s="972"/>
      <c r="I4721" s="972"/>
      <c r="J4721" s="972"/>
      <c r="K4721" s="972"/>
      <c r="L4721" s="972"/>
      <c r="M4721" s="972"/>
    </row>
    <row r="4722" spans="5:13">
      <c r="E4722" s="972"/>
      <c r="F4722" s="972"/>
      <c r="G4722" s="972"/>
      <c r="H4722" s="972"/>
      <c r="I4722" s="972"/>
      <c r="J4722" s="972"/>
      <c r="K4722" s="972"/>
      <c r="L4722" s="972"/>
      <c r="M4722" s="972"/>
    </row>
    <row r="4723" spans="5:13">
      <c r="E4723" s="972"/>
      <c r="F4723" s="972"/>
      <c r="G4723" s="972"/>
      <c r="H4723" s="972"/>
      <c r="I4723" s="972"/>
      <c r="J4723" s="972"/>
      <c r="K4723" s="972"/>
      <c r="L4723" s="972"/>
      <c r="M4723" s="972"/>
    </row>
    <row r="4724" spans="5:13">
      <c r="E4724" s="972"/>
      <c r="F4724" s="972"/>
      <c r="G4724" s="972"/>
      <c r="H4724" s="972"/>
      <c r="I4724" s="972"/>
      <c r="J4724" s="972"/>
      <c r="K4724" s="972"/>
      <c r="L4724" s="972"/>
      <c r="M4724" s="972"/>
    </row>
    <row r="4725" spans="5:13">
      <c r="E4725" s="972"/>
      <c r="F4725" s="972"/>
      <c r="G4725" s="972"/>
      <c r="H4725" s="972"/>
      <c r="I4725" s="972"/>
      <c r="J4725" s="972"/>
      <c r="K4725" s="972"/>
      <c r="L4725" s="972"/>
      <c r="M4725" s="972"/>
    </row>
    <row r="4726" spans="5:13">
      <c r="E4726" s="972"/>
      <c r="F4726" s="972"/>
      <c r="G4726" s="972"/>
      <c r="H4726" s="972"/>
      <c r="I4726" s="972"/>
      <c r="J4726" s="972"/>
      <c r="K4726" s="972"/>
      <c r="L4726" s="972"/>
      <c r="M4726" s="972"/>
    </row>
    <row r="4727" spans="5:13">
      <c r="E4727" s="972"/>
      <c r="F4727" s="972"/>
      <c r="G4727" s="972"/>
      <c r="H4727" s="972"/>
      <c r="I4727" s="972"/>
      <c r="J4727" s="972"/>
      <c r="K4727" s="972"/>
      <c r="L4727" s="972"/>
      <c r="M4727" s="972"/>
    </row>
    <row r="4728" spans="5:13">
      <c r="E4728" s="972"/>
      <c r="F4728" s="972"/>
      <c r="G4728" s="972"/>
      <c r="H4728" s="972"/>
      <c r="I4728" s="972"/>
      <c r="J4728" s="972"/>
      <c r="K4728" s="972"/>
      <c r="L4728" s="972"/>
      <c r="M4728" s="972"/>
    </row>
    <row r="4729" spans="5:13">
      <c r="E4729" s="972"/>
      <c r="F4729" s="972"/>
      <c r="G4729" s="972"/>
      <c r="H4729" s="972"/>
      <c r="I4729" s="972"/>
      <c r="J4729" s="972"/>
      <c r="K4729" s="972"/>
      <c r="L4729" s="972"/>
      <c r="M4729" s="972"/>
    </row>
    <row r="4730" spans="5:13">
      <c r="E4730" s="972"/>
      <c r="F4730" s="972"/>
      <c r="G4730" s="972"/>
      <c r="H4730" s="972"/>
      <c r="I4730" s="972"/>
      <c r="J4730" s="972"/>
      <c r="K4730" s="972"/>
      <c r="L4730" s="972"/>
      <c r="M4730" s="972"/>
    </row>
    <row r="4731" spans="5:13">
      <c r="E4731" s="972"/>
      <c r="F4731" s="972"/>
      <c r="G4731" s="972"/>
      <c r="H4731" s="972"/>
      <c r="I4731" s="972"/>
      <c r="J4731" s="972"/>
      <c r="K4731" s="972"/>
      <c r="L4731" s="972"/>
      <c r="M4731" s="972"/>
    </row>
    <row r="4732" spans="5:13">
      <c r="E4732" s="972"/>
      <c r="F4732" s="972"/>
      <c r="G4732" s="972"/>
      <c r="H4732" s="972"/>
      <c r="I4732" s="972"/>
      <c r="J4732" s="972"/>
      <c r="K4732" s="972"/>
      <c r="L4732" s="972"/>
      <c r="M4732" s="972"/>
    </row>
    <row r="4733" spans="5:13">
      <c r="E4733" s="972"/>
      <c r="F4733" s="972"/>
      <c r="G4733" s="972"/>
      <c r="H4733" s="972"/>
      <c r="I4733" s="972"/>
      <c r="J4733" s="972"/>
      <c r="K4733" s="972"/>
      <c r="L4733" s="972"/>
      <c r="M4733" s="972"/>
    </row>
    <row r="4734" spans="5:13">
      <c r="E4734" s="972"/>
      <c r="F4734" s="972"/>
      <c r="G4734" s="972"/>
      <c r="H4734" s="972"/>
      <c r="I4734" s="972"/>
      <c r="J4734" s="972"/>
      <c r="K4734" s="972"/>
      <c r="L4734" s="972"/>
      <c r="M4734" s="972"/>
    </row>
    <row r="4735" spans="5:13">
      <c r="E4735" s="972"/>
      <c r="F4735" s="972"/>
      <c r="G4735" s="972"/>
      <c r="H4735" s="972"/>
      <c r="I4735" s="972"/>
      <c r="J4735" s="972"/>
      <c r="K4735" s="972"/>
      <c r="L4735" s="972"/>
      <c r="M4735" s="972"/>
    </row>
    <row r="4736" spans="5:13">
      <c r="E4736" s="972"/>
      <c r="F4736" s="972"/>
      <c r="G4736" s="972"/>
      <c r="H4736" s="972"/>
      <c r="I4736" s="972"/>
      <c r="J4736" s="972"/>
      <c r="K4736" s="972"/>
      <c r="L4736" s="972"/>
      <c r="M4736" s="972"/>
    </row>
    <row r="4737" spans="5:13">
      <c r="E4737" s="972"/>
      <c r="F4737" s="972"/>
      <c r="G4737" s="972"/>
      <c r="H4737" s="972"/>
      <c r="I4737" s="972"/>
      <c r="J4737" s="972"/>
      <c r="K4737" s="972"/>
      <c r="L4737" s="972"/>
      <c r="M4737" s="972"/>
    </row>
    <row r="4738" spans="5:13">
      <c r="E4738" s="972"/>
      <c r="F4738" s="972"/>
      <c r="G4738" s="972"/>
      <c r="H4738" s="972"/>
      <c r="I4738" s="972"/>
      <c r="J4738" s="972"/>
      <c r="K4738" s="972"/>
      <c r="L4738" s="972"/>
      <c r="M4738" s="972"/>
    </row>
    <row r="4739" spans="5:13">
      <c r="E4739" s="972"/>
      <c r="F4739" s="972"/>
      <c r="G4739" s="972"/>
      <c r="H4739" s="972"/>
      <c r="I4739" s="972"/>
      <c r="J4739" s="972"/>
      <c r="K4739" s="972"/>
      <c r="L4739" s="972"/>
      <c r="M4739" s="972"/>
    </row>
    <row r="4740" spans="5:13">
      <c r="E4740" s="972"/>
      <c r="F4740" s="972"/>
      <c r="G4740" s="972"/>
      <c r="H4740" s="972"/>
      <c r="I4740" s="972"/>
      <c r="J4740" s="972"/>
      <c r="K4740" s="972"/>
      <c r="L4740" s="972"/>
      <c r="M4740" s="972"/>
    </row>
    <row r="4741" spans="5:13">
      <c r="E4741" s="972"/>
      <c r="F4741" s="972"/>
      <c r="G4741" s="972"/>
      <c r="H4741" s="972"/>
      <c r="I4741" s="972"/>
      <c r="J4741" s="972"/>
      <c r="K4741" s="972"/>
      <c r="L4741" s="972"/>
      <c r="M4741" s="972"/>
    </row>
    <row r="4742" spans="5:13">
      <c r="E4742" s="972"/>
      <c r="F4742" s="972"/>
      <c r="G4742" s="972"/>
      <c r="H4742" s="972"/>
      <c r="I4742" s="972"/>
      <c r="J4742" s="972"/>
      <c r="K4742" s="972"/>
      <c r="L4742" s="972"/>
      <c r="M4742" s="972"/>
    </row>
    <row r="4743" spans="5:13">
      <c r="E4743" s="972"/>
      <c r="F4743" s="972"/>
      <c r="G4743" s="972"/>
      <c r="H4743" s="972"/>
      <c r="I4743" s="972"/>
      <c r="J4743" s="972"/>
      <c r="K4743" s="972"/>
      <c r="L4743" s="972"/>
      <c r="M4743" s="972"/>
    </row>
    <row r="4744" spans="5:13">
      <c r="E4744" s="972"/>
      <c r="F4744" s="972"/>
      <c r="G4744" s="972"/>
      <c r="H4744" s="972"/>
      <c r="I4744" s="972"/>
      <c r="J4744" s="972"/>
      <c r="K4744" s="972"/>
      <c r="L4744" s="972"/>
      <c r="M4744" s="972"/>
    </row>
    <row r="4745" spans="5:13">
      <c r="E4745" s="972"/>
      <c r="F4745" s="972"/>
      <c r="G4745" s="972"/>
      <c r="H4745" s="972"/>
      <c r="I4745" s="972"/>
      <c r="J4745" s="972"/>
      <c r="K4745" s="972"/>
      <c r="L4745" s="972"/>
      <c r="M4745" s="972"/>
    </row>
    <row r="4746" spans="5:13">
      <c r="E4746" s="972"/>
      <c r="F4746" s="972"/>
      <c r="G4746" s="972"/>
      <c r="H4746" s="972"/>
      <c r="I4746" s="972"/>
      <c r="J4746" s="972"/>
      <c r="K4746" s="972"/>
      <c r="L4746" s="972"/>
      <c r="M4746" s="972"/>
    </row>
    <row r="4747" spans="5:13">
      <c r="E4747" s="972"/>
      <c r="F4747" s="972"/>
      <c r="G4747" s="972"/>
      <c r="H4747" s="972"/>
      <c r="I4747" s="972"/>
      <c r="J4747" s="972"/>
      <c r="K4747" s="972"/>
      <c r="L4747" s="972"/>
      <c r="M4747" s="972"/>
    </row>
    <row r="4748" spans="5:13">
      <c r="E4748" s="972"/>
      <c r="F4748" s="972"/>
      <c r="G4748" s="972"/>
      <c r="H4748" s="972"/>
      <c r="I4748" s="972"/>
      <c r="J4748" s="972"/>
      <c r="K4748" s="972"/>
      <c r="L4748" s="972"/>
      <c r="M4748" s="972"/>
    </row>
    <row r="4749" spans="5:13">
      <c r="E4749" s="972"/>
      <c r="F4749" s="972"/>
      <c r="G4749" s="972"/>
      <c r="H4749" s="972"/>
      <c r="I4749" s="972"/>
      <c r="J4749" s="972"/>
      <c r="K4749" s="972"/>
      <c r="L4749" s="972"/>
      <c r="M4749" s="972"/>
    </row>
    <row r="4750" spans="5:13">
      <c r="E4750" s="972"/>
      <c r="F4750" s="972"/>
      <c r="G4750" s="972"/>
      <c r="H4750" s="972"/>
      <c r="I4750" s="972"/>
      <c r="J4750" s="972"/>
      <c r="K4750" s="972"/>
      <c r="L4750" s="972"/>
      <c r="M4750" s="972"/>
    </row>
    <row r="4751" spans="5:13">
      <c r="E4751" s="972"/>
      <c r="F4751" s="972"/>
      <c r="G4751" s="972"/>
      <c r="H4751" s="972"/>
      <c r="I4751" s="972"/>
      <c r="J4751" s="972"/>
      <c r="K4751" s="972"/>
      <c r="L4751" s="972"/>
      <c r="M4751" s="972"/>
    </row>
    <row r="4752" spans="5:13">
      <c r="E4752" s="972"/>
      <c r="F4752" s="972"/>
      <c r="G4752" s="972"/>
      <c r="H4752" s="972"/>
      <c r="I4752" s="972"/>
      <c r="J4752" s="972"/>
      <c r="K4752" s="972"/>
      <c r="L4752" s="972"/>
      <c r="M4752" s="972"/>
    </row>
    <row r="4753" spans="5:13">
      <c r="E4753" s="972"/>
      <c r="F4753" s="972"/>
      <c r="G4753" s="972"/>
      <c r="H4753" s="972"/>
      <c r="I4753" s="972"/>
      <c r="J4753" s="972"/>
      <c r="K4753" s="972"/>
      <c r="L4753" s="972"/>
      <c r="M4753" s="972"/>
    </row>
    <row r="4754" spans="5:13">
      <c r="E4754" s="972"/>
      <c r="F4754" s="972"/>
      <c r="G4754" s="972"/>
      <c r="H4754" s="972"/>
      <c r="I4754" s="972"/>
      <c r="J4754" s="972"/>
      <c r="K4754" s="972"/>
      <c r="L4754" s="972"/>
      <c r="M4754" s="972"/>
    </row>
    <row r="4755" spans="5:13">
      <c r="E4755" s="972"/>
      <c r="F4755" s="972"/>
      <c r="G4755" s="972"/>
      <c r="H4755" s="972"/>
      <c r="I4755" s="972"/>
      <c r="J4755" s="972"/>
      <c r="K4755" s="972"/>
      <c r="L4755" s="972"/>
      <c r="M4755" s="972"/>
    </row>
    <row r="4756" spans="5:13">
      <c r="E4756" s="972"/>
      <c r="F4756" s="972"/>
      <c r="G4756" s="972"/>
      <c r="H4756" s="972"/>
      <c r="I4756" s="972"/>
      <c r="J4756" s="972"/>
      <c r="K4756" s="972"/>
      <c r="L4756" s="972"/>
      <c r="M4756" s="972"/>
    </row>
    <row r="4757" spans="5:13">
      <c r="E4757" s="972"/>
      <c r="F4757" s="972"/>
      <c r="G4757" s="972"/>
      <c r="H4757" s="972"/>
      <c r="I4757" s="972"/>
      <c r="J4757" s="972"/>
      <c r="K4757" s="972"/>
      <c r="L4757" s="972"/>
      <c r="M4757" s="972"/>
    </row>
    <row r="4758" spans="5:13">
      <c r="E4758" s="972"/>
      <c r="F4758" s="972"/>
      <c r="G4758" s="972"/>
      <c r="H4758" s="972"/>
      <c r="I4758" s="972"/>
      <c r="J4758" s="972"/>
      <c r="K4758" s="972"/>
      <c r="L4758" s="972"/>
      <c r="M4758" s="972"/>
    </row>
    <row r="4759" spans="5:13">
      <c r="E4759" s="972"/>
      <c r="F4759" s="972"/>
      <c r="G4759" s="972"/>
      <c r="H4759" s="972"/>
      <c r="I4759" s="972"/>
      <c r="J4759" s="972"/>
      <c r="K4759" s="972"/>
      <c r="L4759" s="972"/>
      <c r="M4759" s="972"/>
    </row>
    <row r="4760" spans="5:13">
      <c r="E4760" s="972"/>
      <c r="F4760" s="972"/>
      <c r="G4760" s="972"/>
      <c r="H4760" s="972"/>
      <c r="I4760" s="972"/>
      <c r="J4760" s="972"/>
      <c r="K4760" s="972"/>
      <c r="L4760" s="972"/>
      <c r="M4760" s="972"/>
    </row>
    <row r="4761" spans="5:13">
      <c r="E4761" s="972"/>
      <c r="F4761" s="972"/>
      <c r="G4761" s="972"/>
      <c r="H4761" s="972"/>
      <c r="I4761" s="972"/>
      <c r="J4761" s="972"/>
      <c r="K4761" s="972"/>
      <c r="L4761" s="972"/>
      <c r="M4761" s="972"/>
    </row>
    <row r="4762" spans="5:13">
      <c r="E4762" s="972"/>
      <c r="F4762" s="972"/>
      <c r="G4762" s="972"/>
      <c r="H4762" s="972"/>
      <c r="I4762" s="972"/>
      <c r="J4762" s="972"/>
      <c r="K4762" s="972"/>
      <c r="L4762" s="972"/>
      <c r="M4762" s="972"/>
    </row>
    <row r="4763" spans="5:13">
      <c r="E4763" s="972"/>
      <c r="F4763" s="972"/>
      <c r="G4763" s="972"/>
      <c r="H4763" s="972"/>
      <c r="I4763" s="972"/>
      <c r="J4763" s="972"/>
      <c r="K4763" s="972"/>
      <c r="L4763" s="972"/>
      <c r="M4763" s="972"/>
    </row>
    <row r="4764" spans="5:13">
      <c r="E4764" s="972"/>
      <c r="F4764" s="972"/>
      <c r="G4764" s="972"/>
      <c r="H4764" s="972"/>
      <c r="I4764" s="972"/>
      <c r="J4764" s="972"/>
      <c r="K4764" s="972"/>
      <c r="L4764" s="972"/>
      <c r="M4764" s="972"/>
    </row>
    <row r="4765" spans="5:13">
      <c r="E4765" s="972"/>
      <c r="F4765" s="972"/>
      <c r="G4765" s="972"/>
      <c r="H4765" s="972"/>
      <c r="I4765" s="972"/>
      <c r="J4765" s="972"/>
      <c r="K4765" s="972"/>
      <c r="L4765" s="972"/>
      <c r="M4765" s="972"/>
    </row>
    <row r="4766" spans="5:13">
      <c r="E4766" s="972"/>
      <c r="F4766" s="972"/>
      <c r="G4766" s="972"/>
      <c r="H4766" s="972"/>
      <c r="I4766" s="972"/>
      <c r="J4766" s="972"/>
      <c r="K4766" s="972"/>
      <c r="L4766" s="972"/>
      <c r="M4766" s="972"/>
    </row>
    <row r="4767" spans="5:13">
      <c r="E4767" s="972"/>
      <c r="F4767" s="972"/>
      <c r="G4767" s="972"/>
      <c r="H4767" s="972"/>
      <c r="I4767" s="972"/>
      <c r="J4767" s="972"/>
      <c r="K4767" s="972"/>
      <c r="L4767" s="972"/>
      <c r="M4767" s="972"/>
    </row>
    <row r="4768" spans="5:13">
      <c r="E4768" s="972"/>
      <c r="F4768" s="972"/>
      <c r="G4768" s="972"/>
      <c r="H4768" s="972"/>
      <c r="I4768" s="972"/>
      <c r="J4768" s="972"/>
      <c r="K4768" s="972"/>
      <c r="L4768" s="972"/>
      <c r="M4768" s="972"/>
    </row>
    <row r="4769" spans="5:13">
      <c r="E4769" s="972"/>
      <c r="F4769" s="972"/>
      <c r="G4769" s="972"/>
      <c r="H4769" s="972"/>
      <c r="I4769" s="972"/>
      <c r="J4769" s="972"/>
      <c r="K4769" s="972"/>
      <c r="L4769" s="972"/>
      <c r="M4769" s="972"/>
    </row>
    <row r="4770" spans="5:13">
      <c r="E4770" s="972"/>
      <c r="F4770" s="972"/>
      <c r="G4770" s="972"/>
      <c r="H4770" s="972"/>
      <c r="I4770" s="972"/>
      <c r="J4770" s="972"/>
      <c r="K4770" s="972"/>
      <c r="L4770" s="972"/>
      <c r="M4770" s="972"/>
    </row>
    <row r="4771" spans="5:13">
      <c r="E4771" s="972"/>
      <c r="F4771" s="972"/>
      <c r="G4771" s="972"/>
      <c r="H4771" s="972"/>
      <c r="I4771" s="972"/>
      <c r="J4771" s="972"/>
      <c r="K4771" s="972"/>
      <c r="L4771" s="972"/>
      <c r="M4771" s="972"/>
    </row>
    <row r="4772" spans="5:13">
      <c r="E4772" s="972"/>
      <c r="F4772" s="972"/>
      <c r="G4772" s="972"/>
      <c r="H4772" s="972"/>
      <c r="I4772" s="972"/>
      <c r="J4772" s="972"/>
      <c r="K4772" s="972"/>
      <c r="L4772" s="972"/>
      <c r="M4772" s="972"/>
    </row>
    <row r="4773" spans="5:13">
      <c r="E4773" s="972"/>
      <c r="F4773" s="972"/>
      <c r="G4773" s="972"/>
      <c r="H4773" s="972"/>
      <c r="I4773" s="972"/>
      <c r="J4773" s="972"/>
      <c r="K4773" s="972"/>
      <c r="L4773" s="972"/>
      <c r="M4773" s="972"/>
    </row>
    <row r="4774" spans="5:13">
      <c r="E4774" s="972"/>
      <c r="F4774" s="972"/>
      <c r="G4774" s="972"/>
      <c r="H4774" s="972"/>
      <c r="I4774" s="972"/>
      <c r="J4774" s="972"/>
      <c r="K4774" s="972"/>
      <c r="L4774" s="972"/>
      <c r="M4774" s="972"/>
    </row>
    <row r="4775" spans="5:13">
      <c r="E4775" s="972"/>
      <c r="F4775" s="972"/>
      <c r="G4775" s="972"/>
      <c r="H4775" s="972"/>
      <c r="I4775" s="972"/>
      <c r="J4775" s="972"/>
      <c r="K4775" s="972"/>
      <c r="L4775" s="972"/>
      <c r="M4775" s="972"/>
    </row>
    <row r="4776" spans="5:13">
      <c r="E4776" s="972"/>
      <c r="F4776" s="972"/>
      <c r="G4776" s="972"/>
      <c r="H4776" s="972"/>
      <c r="I4776" s="972"/>
      <c r="J4776" s="972"/>
      <c r="K4776" s="972"/>
      <c r="L4776" s="972"/>
      <c r="M4776" s="972"/>
    </row>
    <row r="4777" spans="5:13">
      <c r="E4777" s="972"/>
      <c r="F4777" s="972"/>
      <c r="G4777" s="972"/>
      <c r="H4777" s="972"/>
      <c r="I4777" s="972"/>
      <c r="J4777" s="972"/>
      <c r="K4777" s="972"/>
      <c r="L4777" s="972"/>
      <c r="M4777" s="972"/>
    </row>
    <row r="4778" spans="5:13">
      <c r="E4778" s="972"/>
      <c r="F4778" s="972"/>
      <c r="G4778" s="972"/>
      <c r="H4778" s="972"/>
      <c r="I4778" s="972"/>
      <c r="J4778" s="972"/>
      <c r="K4778" s="972"/>
      <c r="L4778" s="972"/>
      <c r="M4778" s="972"/>
    </row>
    <row r="4779" spans="5:13">
      <c r="E4779" s="972"/>
      <c r="F4779" s="972"/>
      <c r="G4779" s="972"/>
      <c r="H4779" s="972"/>
      <c r="I4779" s="972"/>
      <c r="J4779" s="972"/>
      <c r="K4779" s="972"/>
      <c r="L4779" s="972"/>
      <c r="M4779" s="972"/>
    </row>
    <row r="4780" spans="5:13">
      <c r="E4780" s="972"/>
      <c r="F4780" s="972"/>
      <c r="G4780" s="972"/>
      <c r="H4780" s="972"/>
      <c r="I4780" s="972"/>
      <c r="J4780" s="972"/>
      <c r="K4780" s="972"/>
      <c r="L4780" s="972"/>
      <c r="M4780" s="972"/>
    </row>
    <row r="4781" spans="5:13">
      <c r="E4781" s="972"/>
      <c r="F4781" s="972"/>
      <c r="G4781" s="972"/>
      <c r="H4781" s="972"/>
      <c r="I4781" s="972"/>
      <c r="J4781" s="972"/>
      <c r="K4781" s="972"/>
      <c r="L4781" s="972"/>
      <c r="M4781" s="972"/>
    </row>
    <row r="4782" spans="5:13">
      <c r="E4782" s="972"/>
      <c r="F4782" s="972"/>
      <c r="G4782" s="972"/>
      <c r="H4782" s="972"/>
      <c r="I4782" s="972"/>
      <c r="J4782" s="972"/>
      <c r="K4782" s="972"/>
      <c r="L4782" s="972"/>
      <c r="M4782" s="972"/>
    </row>
    <row r="4783" spans="5:13">
      <c r="E4783" s="972"/>
      <c r="F4783" s="972"/>
      <c r="G4783" s="972"/>
      <c r="H4783" s="972"/>
      <c r="I4783" s="972"/>
      <c r="J4783" s="972"/>
      <c r="K4783" s="972"/>
      <c r="L4783" s="972"/>
      <c r="M4783" s="972"/>
    </row>
    <row r="4784" spans="5:13">
      <c r="E4784" s="972"/>
      <c r="F4784" s="972"/>
      <c r="G4784" s="972"/>
      <c r="H4784" s="972"/>
      <c r="I4784" s="972"/>
      <c r="J4784" s="972"/>
      <c r="K4784" s="972"/>
      <c r="L4784" s="972"/>
      <c r="M4784" s="972"/>
    </row>
    <row r="4785" spans="5:13">
      <c r="E4785" s="972"/>
      <c r="F4785" s="972"/>
      <c r="G4785" s="972"/>
      <c r="H4785" s="972"/>
      <c r="I4785" s="972"/>
      <c r="J4785" s="972"/>
      <c r="K4785" s="972"/>
      <c r="L4785" s="972"/>
      <c r="M4785" s="972"/>
    </row>
    <row r="4786" spans="5:13">
      <c r="E4786" s="972"/>
      <c r="F4786" s="972"/>
      <c r="G4786" s="972"/>
      <c r="H4786" s="972"/>
      <c r="I4786" s="972"/>
      <c r="J4786" s="972"/>
      <c r="K4786" s="972"/>
      <c r="L4786" s="972"/>
      <c r="M4786" s="972"/>
    </row>
    <row r="4787" spans="5:13">
      <c r="E4787" s="972"/>
      <c r="F4787" s="972"/>
      <c r="G4787" s="972"/>
      <c r="H4787" s="972"/>
      <c r="I4787" s="972"/>
      <c r="J4787" s="972"/>
      <c r="K4787" s="972"/>
      <c r="L4787" s="972"/>
      <c r="M4787" s="972"/>
    </row>
    <row r="4788" spans="5:13">
      <c r="E4788" s="972"/>
      <c r="F4788" s="972"/>
      <c r="G4788" s="972"/>
      <c r="H4788" s="972"/>
      <c r="I4788" s="972"/>
      <c r="J4788" s="972"/>
      <c r="K4788" s="972"/>
      <c r="L4788" s="972"/>
      <c r="M4788" s="972"/>
    </row>
    <row r="4789" spans="5:13">
      <c r="E4789" s="972"/>
      <c r="F4789" s="972"/>
      <c r="G4789" s="972"/>
      <c r="H4789" s="972"/>
      <c r="I4789" s="972"/>
      <c r="J4789" s="972"/>
      <c r="K4789" s="972"/>
      <c r="L4789" s="972"/>
      <c r="M4789" s="972"/>
    </row>
    <row r="4790" spans="5:13">
      <c r="E4790" s="972"/>
      <c r="F4790" s="972"/>
      <c r="G4790" s="972"/>
      <c r="H4790" s="972"/>
      <c r="I4790" s="972"/>
      <c r="J4790" s="972"/>
      <c r="K4790" s="972"/>
      <c r="L4790" s="972"/>
      <c r="M4790" s="972"/>
    </row>
    <row r="4791" spans="5:13">
      <c r="E4791" s="972"/>
      <c r="F4791" s="972"/>
      <c r="G4791" s="972"/>
      <c r="H4791" s="972"/>
      <c r="I4791" s="972"/>
      <c r="J4791" s="972"/>
      <c r="K4791" s="972"/>
      <c r="L4791" s="972"/>
      <c r="M4791" s="972"/>
    </row>
    <row r="4792" spans="5:13">
      <c r="E4792" s="972"/>
      <c r="F4792" s="972"/>
      <c r="G4792" s="972"/>
      <c r="H4792" s="972"/>
      <c r="I4792" s="972"/>
      <c r="J4792" s="972"/>
      <c r="K4792" s="972"/>
      <c r="L4792" s="972"/>
      <c r="M4792" s="972"/>
    </row>
    <row r="4793" spans="5:13">
      <c r="E4793" s="972"/>
      <c r="F4793" s="972"/>
      <c r="G4793" s="972"/>
      <c r="H4793" s="972"/>
      <c r="I4793" s="972"/>
      <c r="J4793" s="972"/>
      <c r="K4793" s="972"/>
      <c r="L4793" s="972"/>
      <c r="M4793" s="972"/>
    </row>
    <row r="4794" spans="5:13">
      <c r="E4794" s="972"/>
      <c r="F4794" s="972"/>
      <c r="G4794" s="972"/>
      <c r="H4794" s="972"/>
      <c r="I4794" s="972"/>
      <c r="J4794" s="972"/>
      <c r="K4794" s="972"/>
      <c r="L4794" s="972"/>
      <c r="M4794" s="972"/>
    </row>
    <row r="4795" spans="5:13">
      <c r="E4795" s="972"/>
      <c r="F4795" s="972"/>
      <c r="G4795" s="972"/>
      <c r="H4795" s="972"/>
      <c r="I4795" s="972"/>
      <c r="J4795" s="972"/>
      <c r="K4795" s="972"/>
      <c r="L4795" s="972"/>
      <c r="M4795" s="972"/>
    </row>
    <row r="4796" spans="5:13">
      <c r="E4796" s="972"/>
      <c r="F4796" s="972"/>
      <c r="G4796" s="972"/>
      <c r="H4796" s="972"/>
      <c r="I4796" s="972"/>
      <c r="J4796" s="972"/>
      <c r="K4796" s="972"/>
      <c r="L4796" s="972"/>
      <c r="M4796" s="972"/>
    </row>
    <row r="4797" spans="5:13">
      <c r="E4797" s="972"/>
      <c r="F4797" s="972"/>
      <c r="G4797" s="972"/>
      <c r="H4797" s="972"/>
      <c r="I4797" s="972"/>
      <c r="J4797" s="972"/>
      <c r="K4797" s="972"/>
      <c r="L4797" s="972"/>
      <c r="M4797" s="972"/>
    </row>
    <row r="4798" spans="5:13">
      <c r="E4798" s="972"/>
      <c r="F4798" s="972"/>
      <c r="G4798" s="972"/>
      <c r="H4798" s="972"/>
      <c r="I4798" s="972"/>
      <c r="J4798" s="972"/>
      <c r="K4798" s="972"/>
      <c r="L4798" s="972"/>
      <c r="M4798" s="972"/>
    </row>
    <row r="4799" spans="5:13">
      <c r="E4799" s="972"/>
      <c r="F4799" s="972"/>
      <c r="G4799" s="972"/>
      <c r="H4799" s="972"/>
      <c r="I4799" s="972"/>
      <c r="J4799" s="972"/>
      <c r="K4799" s="972"/>
      <c r="L4799" s="972"/>
      <c r="M4799" s="972"/>
    </row>
    <row r="4800" spans="5:13">
      <c r="E4800" s="972"/>
      <c r="F4800" s="972"/>
      <c r="G4800" s="972"/>
      <c r="H4800" s="972"/>
      <c r="I4800" s="972"/>
      <c r="J4800" s="972"/>
      <c r="K4800" s="972"/>
      <c r="L4800" s="972"/>
      <c r="M4800" s="972"/>
    </row>
    <row r="4801" spans="5:13">
      <c r="E4801" s="972"/>
      <c r="F4801" s="972"/>
      <c r="G4801" s="972"/>
      <c r="H4801" s="972"/>
      <c r="I4801" s="972"/>
      <c r="J4801" s="972"/>
      <c r="K4801" s="972"/>
      <c r="L4801" s="972"/>
      <c r="M4801" s="972"/>
    </row>
    <row r="4802" spans="5:13">
      <c r="E4802" s="972"/>
      <c r="F4802" s="972"/>
      <c r="G4802" s="972"/>
      <c r="H4802" s="972"/>
      <c r="I4802" s="972"/>
      <c r="J4802" s="972"/>
      <c r="K4802" s="972"/>
      <c r="L4802" s="972"/>
      <c r="M4802" s="972"/>
    </row>
    <row r="4803" spans="5:13">
      <c r="E4803" s="972"/>
      <c r="F4803" s="972"/>
      <c r="G4803" s="972"/>
      <c r="H4803" s="972"/>
      <c r="I4803" s="972"/>
      <c r="J4803" s="972"/>
      <c r="K4803" s="972"/>
      <c r="L4803" s="972"/>
      <c r="M4803" s="972"/>
    </row>
    <row r="4804" spans="5:13">
      <c r="E4804" s="972"/>
      <c r="F4804" s="972"/>
      <c r="G4804" s="972"/>
      <c r="H4804" s="972"/>
      <c r="I4804" s="972"/>
      <c r="J4804" s="972"/>
      <c r="K4804" s="972"/>
      <c r="L4804" s="972"/>
      <c r="M4804" s="972"/>
    </row>
    <row r="4805" spans="5:13">
      <c r="E4805" s="972"/>
      <c r="F4805" s="972"/>
      <c r="G4805" s="972"/>
      <c r="H4805" s="972"/>
      <c r="I4805" s="972"/>
      <c r="J4805" s="972"/>
      <c r="K4805" s="972"/>
      <c r="L4805" s="972"/>
      <c r="M4805" s="972"/>
    </row>
    <row r="4806" spans="5:13">
      <c r="E4806" s="972"/>
      <c r="F4806" s="972"/>
      <c r="G4806" s="972"/>
      <c r="H4806" s="972"/>
      <c r="I4806" s="972"/>
      <c r="J4806" s="972"/>
      <c r="K4806" s="972"/>
      <c r="L4806" s="972"/>
      <c r="M4806" s="972"/>
    </row>
    <row r="4807" spans="5:13">
      <c r="E4807" s="972"/>
      <c r="F4807" s="972"/>
      <c r="G4807" s="972"/>
      <c r="H4807" s="972"/>
      <c r="I4807" s="972"/>
      <c r="J4807" s="972"/>
      <c r="K4807" s="972"/>
      <c r="L4807" s="972"/>
      <c r="M4807" s="972"/>
    </row>
    <row r="4808" spans="5:13">
      <c r="E4808" s="972"/>
      <c r="F4808" s="972"/>
      <c r="G4808" s="972"/>
      <c r="H4808" s="972"/>
      <c r="I4808" s="972"/>
      <c r="J4808" s="972"/>
      <c r="K4808" s="972"/>
      <c r="L4808" s="972"/>
      <c r="M4808" s="972"/>
    </row>
    <row r="4809" spans="5:13">
      <c r="E4809" s="972"/>
      <c r="F4809" s="972"/>
      <c r="G4809" s="972"/>
      <c r="H4809" s="972"/>
      <c r="I4809" s="972"/>
      <c r="J4809" s="972"/>
      <c r="K4809" s="972"/>
      <c r="L4809" s="972"/>
      <c r="M4809" s="972"/>
    </row>
    <row r="4810" spans="5:13">
      <c r="E4810" s="972"/>
      <c r="F4810" s="972"/>
      <c r="G4810" s="972"/>
      <c r="H4810" s="972"/>
      <c r="I4810" s="972"/>
      <c r="J4810" s="972"/>
      <c r="K4810" s="972"/>
      <c r="L4810" s="972"/>
      <c r="M4810" s="972"/>
    </row>
    <row r="4811" spans="5:13">
      <c r="E4811" s="972"/>
      <c r="F4811" s="972"/>
      <c r="G4811" s="972"/>
      <c r="H4811" s="972"/>
      <c r="I4811" s="972"/>
      <c r="J4811" s="972"/>
      <c r="K4811" s="972"/>
      <c r="L4811" s="972"/>
      <c r="M4811" s="972"/>
    </row>
    <row r="4812" spans="5:13">
      <c r="E4812" s="972"/>
      <c r="F4812" s="972"/>
      <c r="G4812" s="972"/>
      <c r="H4812" s="972"/>
      <c r="I4812" s="972"/>
      <c r="J4812" s="972"/>
      <c r="K4812" s="972"/>
      <c r="L4812" s="972"/>
      <c r="M4812" s="972"/>
    </row>
    <row r="4813" spans="5:13">
      <c r="E4813" s="972"/>
      <c r="F4813" s="972"/>
      <c r="G4813" s="972"/>
      <c r="H4813" s="972"/>
      <c r="I4813" s="972"/>
      <c r="J4813" s="972"/>
      <c r="K4813" s="972"/>
      <c r="L4813" s="972"/>
      <c r="M4813" s="972"/>
    </row>
    <row r="4814" spans="5:13">
      <c r="E4814" s="972"/>
      <c r="F4814" s="972"/>
      <c r="G4814" s="972"/>
      <c r="H4814" s="972"/>
      <c r="I4814" s="972"/>
      <c r="J4814" s="972"/>
      <c r="K4814" s="972"/>
      <c r="L4814" s="972"/>
      <c r="M4814" s="972"/>
    </row>
    <row r="4815" spans="5:13">
      <c r="E4815" s="972"/>
      <c r="F4815" s="972"/>
      <c r="G4815" s="972"/>
      <c r="H4815" s="972"/>
      <c r="I4815" s="972"/>
      <c r="J4815" s="972"/>
      <c r="K4815" s="972"/>
      <c r="L4815" s="972"/>
      <c r="M4815" s="972"/>
    </row>
    <row r="4816" spans="5:13">
      <c r="E4816" s="972"/>
      <c r="F4816" s="972"/>
      <c r="G4816" s="972"/>
      <c r="H4816" s="972"/>
      <c r="I4816" s="972"/>
      <c r="J4816" s="972"/>
      <c r="K4816" s="972"/>
      <c r="L4816" s="972"/>
      <c r="M4816" s="972"/>
    </row>
    <row r="4817" spans="5:13">
      <c r="E4817" s="972"/>
      <c r="F4817" s="972"/>
      <c r="G4817" s="972"/>
      <c r="H4817" s="972"/>
      <c r="I4817" s="972"/>
      <c r="J4817" s="972"/>
      <c r="K4817" s="972"/>
      <c r="L4817" s="972"/>
      <c r="M4817" s="972"/>
    </row>
    <row r="4818" spans="5:13">
      <c r="E4818" s="972"/>
      <c r="F4818" s="972"/>
      <c r="G4818" s="972"/>
      <c r="H4818" s="972"/>
      <c r="I4818" s="972"/>
      <c r="J4818" s="972"/>
      <c r="K4818" s="972"/>
      <c r="L4818" s="972"/>
      <c r="M4818" s="972"/>
    </row>
    <row r="4819" spans="5:13">
      <c r="E4819" s="972"/>
      <c r="F4819" s="972"/>
      <c r="G4819" s="972"/>
      <c r="H4819" s="972"/>
      <c r="I4819" s="972"/>
      <c r="J4819" s="972"/>
      <c r="K4819" s="972"/>
      <c r="L4819" s="972"/>
      <c r="M4819" s="972"/>
    </row>
    <row r="4820" spans="5:13">
      <c r="E4820" s="972"/>
      <c r="F4820" s="972"/>
      <c r="G4820" s="972"/>
      <c r="H4820" s="972"/>
      <c r="I4820" s="972"/>
      <c r="J4820" s="972"/>
      <c r="K4820" s="972"/>
      <c r="L4820" s="972"/>
      <c r="M4820" s="972"/>
    </row>
    <row r="4821" spans="5:13">
      <c r="E4821" s="972"/>
      <c r="F4821" s="972"/>
      <c r="G4821" s="972"/>
      <c r="H4821" s="972"/>
      <c r="I4821" s="972"/>
      <c r="J4821" s="972"/>
      <c r="K4821" s="972"/>
      <c r="L4821" s="972"/>
      <c r="M4821" s="972"/>
    </row>
    <row r="4822" spans="5:13">
      <c r="E4822" s="972"/>
      <c r="F4822" s="972"/>
      <c r="G4822" s="972"/>
      <c r="H4822" s="972"/>
      <c r="I4822" s="972"/>
      <c r="J4822" s="972"/>
      <c r="K4822" s="972"/>
      <c r="L4822" s="972"/>
      <c r="M4822" s="972"/>
    </row>
    <row r="4823" spans="5:13">
      <c r="E4823" s="972"/>
      <c r="F4823" s="972"/>
      <c r="G4823" s="972"/>
      <c r="H4823" s="972"/>
      <c r="I4823" s="972"/>
      <c r="J4823" s="972"/>
      <c r="K4823" s="972"/>
      <c r="L4823" s="972"/>
      <c r="M4823" s="972"/>
    </row>
    <row r="4824" spans="5:13">
      <c r="E4824" s="972"/>
      <c r="F4824" s="972"/>
      <c r="G4824" s="972"/>
      <c r="H4824" s="972"/>
      <c r="I4824" s="972"/>
      <c r="J4824" s="972"/>
      <c r="K4824" s="972"/>
      <c r="L4824" s="972"/>
      <c r="M4824" s="972"/>
    </row>
    <row r="4825" spans="5:13">
      <c r="E4825" s="972"/>
      <c r="F4825" s="972"/>
      <c r="G4825" s="972"/>
      <c r="H4825" s="972"/>
      <c r="I4825" s="972"/>
      <c r="J4825" s="972"/>
      <c r="K4825" s="972"/>
      <c r="L4825" s="972"/>
      <c r="M4825" s="972"/>
    </row>
    <row r="4826" spans="5:13">
      <c r="E4826" s="972"/>
      <c r="F4826" s="972"/>
      <c r="G4826" s="972"/>
      <c r="H4826" s="972"/>
      <c r="I4826" s="972"/>
      <c r="J4826" s="972"/>
      <c r="K4826" s="972"/>
      <c r="L4826" s="972"/>
      <c r="M4826" s="972"/>
    </row>
    <row r="4827" spans="5:13">
      <c r="E4827" s="972"/>
      <c r="F4827" s="972"/>
      <c r="G4827" s="972"/>
      <c r="H4827" s="972"/>
      <c r="I4827" s="972"/>
      <c r="J4827" s="972"/>
      <c r="K4827" s="972"/>
      <c r="L4827" s="972"/>
      <c r="M4827" s="972"/>
    </row>
    <row r="4828" spans="5:13">
      <c r="E4828" s="972"/>
      <c r="F4828" s="972"/>
      <c r="G4828" s="972"/>
      <c r="H4828" s="972"/>
      <c r="I4828" s="972"/>
      <c r="J4828" s="972"/>
      <c r="K4828" s="972"/>
      <c r="L4828" s="972"/>
      <c r="M4828" s="972"/>
    </row>
    <row r="4829" spans="5:13">
      <c r="E4829" s="972"/>
      <c r="F4829" s="972"/>
      <c r="G4829" s="972"/>
      <c r="H4829" s="972"/>
      <c r="I4829" s="972"/>
      <c r="J4829" s="972"/>
      <c r="K4829" s="972"/>
      <c r="L4829" s="972"/>
      <c r="M4829" s="972"/>
    </row>
    <row r="4830" spans="5:13">
      <c r="E4830" s="972"/>
      <c r="F4830" s="972"/>
      <c r="G4830" s="972"/>
      <c r="H4830" s="972"/>
      <c r="I4830" s="972"/>
      <c r="J4830" s="972"/>
      <c r="K4830" s="972"/>
      <c r="L4830" s="972"/>
      <c r="M4830" s="972"/>
    </row>
    <row r="4831" spans="5:13">
      <c r="E4831" s="972"/>
      <c r="F4831" s="972"/>
      <c r="G4831" s="972"/>
      <c r="H4831" s="972"/>
      <c r="I4831" s="972"/>
      <c r="J4831" s="972"/>
      <c r="K4831" s="972"/>
      <c r="L4831" s="972"/>
      <c r="M4831" s="972"/>
    </row>
    <row r="4832" spans="5:13">
      <c r="E4832" s="972"/>
      <c r="F4832" s="972"/>
      <c r="G4832" s="972"/>
      <c r="H4832" s="972"/>
      <c r="I4832" s="972"/>
      <c r="J4832" s="972"/>
      <c r="K4832" s="972"/>
      <c r="L4832" s="972"/>
      <c r="M4832" s="972"/>
    </row>
    <row r="4833" spans="5:13">
      <c r="E4833" s="972"/>
      <c r="F4833" s="972"/>
      <c r="G4833" s="972"/>
      <c r="H4833" s="972"/>
      <c r="I4833" s="972"/>
      <c r="J4833" s="972"/>
      <c r="K4833" s="972"/>
      <c r="L4833" s="972"/>
      <c r="M4833" s="972"/>
    </row>
    <row r="4834" spans="5:13">
      <c r="E4834" s="972"/>
      <c r="F4834" s="972"/>
      <c r="G4834" s="972"/>
      <c r="H4834" s="972"/>
      <c r="I4834" s="972"/>
      <c r="J4834" s="972"/>
      <c r="K4834" s="972"/>
      <c r="L4834" s="972"/>
      <c r="M4834" s="972"/>
    </row>
    <row r="4835" spans="5:13">
      <c r="E4835" s="972"/>
      <c r="F4835" s="972"/>
      <c r="G4835" s="972"/>
      <c r="H4835" s="972"/>
      <c r="I4835" s="972"/>
      <c r="J4835" s="972"/>
      <c r="K4835" s="972"/>
      <c r="L4835" s="972"/>
      <c r="M4835" s="972"/>
    </row>
    <row r="4836" spans="5:13">
      <c r="E4836" s="972"/>
      <c r="F4836" s="972"/>
      <c r="G4836" s="972"/>
      <c r="H4836" s="972"/>
      <c r="I4836" s="972"/>
      <c r="J4836" s="972"/>
      <c r="K4836" s="972"/>
      <c r="L4836" s="972"/>
      <c r="M4836" s="972"/>
    </row>
    <row r="4837" spans="5:13">
      <c r="E4837" s="972"/>
      <c r="F4837" s="972"/>
      <c r="G4837" s="972"/>
      <c r="H4837" s="972"/>
      <c r="I4837" s="972"/>
      <c r="J4837" s="972"/>
      <c r="K4837" s="972"/>
      <c r="L4837" s="972"/>
      <c r="M4837" s="972"/>
    </row>
    <row r="4838" spans="5:13">
      <c r="E4838" s="972"/>
      <c r="F4838" s="972"/>
      <c r="G4838" s="972"/>
      <c r="H4838" s="972"/>
      <c r="I4838" s="972"/>
      <c r="J4838" s="972"/>
      <c r="K4838" s="972"/>
      <c r="L4838" s="972"/>
      <c r="M4838" s="972"/>
    </row>
    <row r="4839" spans="5:13">
      <c r="E4839" s="972"/>
      <c r="F4839" s="972"/>
      <c r="G4839" s="972"/>
      <c r="H4839" s="972"/>
      <c r="I4839" s="972"/>
      <c r="J4839" s="972"/>
      <c r="K4839" s="972"/>
      <c r="L4839" s="972"/>
      <c r="M4839" s="972"/>
    </row>
    <row r="4840" spans="5:13">
      <c r="E4840" s="972"/>
      <c r="F4840" s="972"/>
      <c r="G4840" s="972"/>
      <c r="H4840" s="972"/>
      <c r="I4840" s="972"/>
      <c r="J4840" s="972"/>
      <c r="K4840" s="972"/>
      <c r="L4840" s="972"/>
      <c r="M4840" s="972"/>
    </row>
    <row r="4841" spans="5:13">
      <c r="E4841" s="972"/>
      <c r="F4841" s="972"/>
      <c r="G4841" s="972"/>
      <c r="H4841" s="972"/>
      <c r="I4841" s="972"/>
      <c r="J4841" s="972"/>
      <c r="K4841" s="972"/>
      <c r="L4841" s="972"/>
      <c r="M4841" s="972"/>
    </row>
    <row r="4842" spans="5:13">
      <c r="E4842" s="972"/>
      <c r="F4842" s="972"/>
      <c r="G4842" s="972"/>
      <c r="H4842" s="972"/>
      <c r="I4842" s="972"/>
      <c r="J4842" s="972"/>
      <c r="K4842" s="972"/>
      <c r="L4842" s="972"/>
      <c r="M4842" s="972"/>
    </row>
    <row r="4843" spans="5:13">
      <c r="E4843" s="972"/>
      <c r="F4843" s="972"/>
      <c r="G4843" s="972"/>
      <c r="H4843" s="972"/>
      <c r="I4843" s="972"/>
      <c r="J4843" s="972"/>
      <c r="K4843" s="972"/>
      <c r="L4843" s="972"/>
      <c r="M4843" s="972"/>
    </row>
    <row r="4844" spans="5:13">
      <c r="E4844" s="972"/>
      <c r="F4844" s="972"/>
      <c r="G4844" s="972"/>
      <c r="H4844" s="972"/>
      <c r="I4844" s="972"/>
      <c r="J4844" s="972"/>
      <c r="K4844" s="972"/>
      <c r="L4844" s="972"/>
      <c r="M4844" s="972"/>
    </row>
    <row r="4845" spans="5:13">
      <c r="E4845" s="972"/>
      <c r="F4845" s="972"/>
      <c r="G4845" s="972"/>
      <c r="H4845" s="972"/>
      <c r="I4845" s="972"/>
      <c r="J4845" s="972"/>
      <c r="K4845" s="972"/>
      <c r="L4845" s="972"/>
      <c r="M4845" s="972"/>
    </row>
    <row r="4846" spans="5:13">
      <c r="E4846" s="972"/>
      <c r="F4846" s="972"/>
      <c r="G4846" s="972"/>
      <c r="H4846" s="972"/>
      <c r="I4846" s="972"/>
      <c r="J4846" s="972"/>
      <c r="K4846" s="972"/>
      <c r="L4846" s="972"/>
      <c r="M4846" s="972"/>
    </row>
    <row r="4847" spans="5:13">
      <c r="E4847" s="972"/>
      <c r="F4847" s="972"/>
      <c r="G4847" s="972"/>
      <c r="H4847" s="972"/>
      <c r="I4847" s="972"/>
      <c r="J4847" s="972"/>
      <c r="K4847" s="972"/>
      <c r="L4847" s="972"/>
      <c r="M4847" s="972"/>
    </row>
    <row r="4848" spans="5:13">
      <c r="E4848" s="972"/>
      <c r="F4848" s="972"/>
      <c r="G4848" s="972"/>
      <c r="H4848" s="972"/>
      <c r="I4848" s="972"/>
      <c r="J4848" s="972"/>
      <c r="K4848" s="972"/>
      <c r="L4848" s="972"/>
      <c r="M4848" s="972"/>
    </row>
    <row r="4849" spans="5:13">
      <c r="E4849" s="972"/>
      <c r="F4849" s="972"/>
      <c r="G4849" s="972"/>
      <c r="H4849" s="972"/>
      <c r="I4849" s="972"/>
      <c r="J4849" s="972"/>
      <c r="K4849" s="972"/>
      <c r="L4849" s="972"/>
      <c r="M4849" s="972"/>
    </row>
    <row r="4850" spans="5:13">
      <c r="E4850" s="972"/>
      <c r="F4850" s="972"/>
      <c r="G4850" s="972"/>
      <c r="H4850" s="972"/>
      <c r="I4850" s="972"/>
      <c r="J4850" s="972"/>
      <c r="K4850" s="972"/>
      <c r="L4850" s="972"/>
      <c r="M4850" s="972"/>
    </row>
    <row r="4851" spans="5:13">
      <c r="E4851" s="972"/>
      <c r="F4851" s="972"/>
      <c r="G4851" s="972"/>
      <c r="H4851" s="972"/>
      <c r="I4851" s="972"/>
      <c r="J4851" s="972"/>
      <c r="K4851" s="972"/>
      <c r="L4851" s="972"/>
      <c r="M4851" s="972"/>
    </row>
    <row r="4852" spans="5:13">
      <c r="E4852" s="972"/>
      <c r="F4852" s="972"/>
      <c r="G4852" s="972"/>
      <c r="H4852" s="972"/>
      <c r="I4852" s="972"/>
      <c r="J4852" s="972"/>
      <c r="K4852" s="972"/>
      <c r="L4852" s="972"/>
      <c r="M4852" s="972"/>
    </row>
    <row r="4853" spans="5:13">
      <c r="E4853" s="972"/>
      <c r="F4853" s="972"/>
      <c r="G4853" s="972"/>
      <c r="H4853" s="972"/>
      <c r="I4853" s="972"/>
      <c r="J4853" s="972"/>
      <c r="K4853" s="972"/>
      <c r="L4853" s="972"/>
      <c r="M4853" s="972"/>
    </row>
    <row r="4854" spans="5:13">
      <c r="E4854" s="972"/>
      <c r="F4854" s="972"/>
      <c r="G4854" s="972"/>
      <c r="H4854" s="972"/>
      <c r="I4854" s="972"/>
      <c r="J4854" s="972"/>
      <c r="K4854" s="972"/>
      <c r="L4854" s="972"/>
      <c r="M4854" s="972"/>
    </row>
    <row r="4855" spans="5:13">
      <c r="E4855" s="972"/>
      <c r="F4855" s="972"/>
      <c r="G4855" s="972"/>
      <c r="H4855" s="972"/>
      <c r="I4855" s="972"/>
      <c r="J4855" s="972"/>
      <c r="K4855" s="972"/>
      <c r="L4855" s="972"/>
      <c r="M4855" s="972"/>
    </row>
    <row r="4856" spans="5:13">
      <c r="E4856" s="972"/>
      <c r="F4856" s="972"/>
      <c r="G4856" s="972"/>
      <c r="H4856" s="972"/>
      <c r="I4856" s="972"/>
      <c r="J4856" s="972"/>
      <c r="K4856" s="972"/>
      <c r="L4856" s="972"/>
      <c r="M4856" s="972"/>
    </row>
    <row r="4857" spans="5:13">
      <c r="E4857" s="972"/>
      <c r="F4857" s="972"/>
      <c r="G4857" s="972"/>
      <c r="H4857" s="972"/>
      <c r="I4857" s="972"/>
      <c r="J4857" s="972"/>
      <c r="K4857" s="972"/>
      <c r="L4857" s="972"/>
      <c r="M4857" s="972"/>
    </row>
    <row r="4858" spans="5:13">
      <c r="E4858" s="972"/>
      <c r="F4858" s="972"/>
      <c r="G4858" s="972"/>
      <c r="H4858" s="972"/>
      <c r="I4858" s="972"/>
      <c r="J4858" s="972"/>
      <c r="K4858" s="972"/>
      <c r="L4858" s="972"/>
      <c r="M4858" s="972"/>
    </row>
    <row r="4859" spans="5:13">
      <c r="E4859" s="972"/>
      <c r="F4859" s="972"/>
      <c r="G4859" s="972"/>
      <c r="H4859" s="972"/>
      <c r="I4859" s="972"/>
      <c r="J4859" s="972"/>
      <c r="K4859" s="972"/>
      <c r="L4859" s="972"/>
      <c r="M4859" s="972"/>
    </row>
    <row r="4860" spans="5:13">
      <c r="E4860" s="972"/>
      <c r="F4860" s="972"/>
      <c r="G4860" s="972"/>
      <c r="H4860" s="972"/>
      <c r="I4860" s="972"/>
      <c r="J4860" s="972"/>
      <c r="K4860" s="972"/>
      <c r="L4860" s="972"/>
      <c r="M4860" s="972"/>
    </row>
    <row r="4861" spans="5:13">
      <c r="E4861" s="972"/>
      <c r="F4861" s="972"/>
      <c r="G4861" s="972"/>
      <c r="H4861" s="972"/>
      <c r="I4861" s="972"/>
      <c r="J4861" s="972"/>
      <c r="K4861" s="972"/>
      <c r="L4861" s="972"/>
      <c r="M4861" s="972"/>
    </row>
    <row r="4862" spans="5:13">
      <c r="E4862" s="972"/>
      <c r="F4862" s="972"/>
      <c r="G4862" s="972"/>
      <c r="H4862" s="972"/>
      <c r="I4862" s="972"/>
      <c r="J4862" s="972"/>
      <c r="K4862" s="972"/>
      <c r="L4862" s="972"/>
      <c r="M4862" s="972"/>
    </row>
    <row r="4863" spans="5:13">
      <c r="E4863" s="972"/>
      <c r="F4863" s="972"/>
      <c r="G4863" s="972"/>
      <c r="H4863" s="972"/>
      <c r="I4863" s="972"/>
      <c r="J4863" s="972"/>
      <c r="K4863" s="972"/>
      <c r="L4863" s="972"/>
      <c r="M4863" s="972"/>
    </row>
    <row r="4864" spans="5:13">
      <c r="E4864" s="972"/>
      <c r="F4864" s="972"/>
      <c r="G4864" s="972"/>
      <c r="H4864" s="972"/>
      <c r="I4864" s="972"/>
      <c r="J4864" s="972"/>
      <c r="K4864" s="972"/>
      <c r="L4864" s="972"/>
      <c r="M4864" s="972"/>
    </row>
    <row r="4865" spans="5:13">
      <c r="E4865" s="972"/>
      <c r="F4865" s="972"/>
      <c r="G4865" s="972"/>
      <c r="H4865" s="972"/>
      <c r="I4865" s="972"/>
      <c r="J4865" s="972"/>
      <c r="K4865" s="972"/>
      <c r="L4865" s="972"/>
      <c r="M4865" s="972"/>
    </row>
    <row r="4866" spans="5:13">
      <c r="E4866" s="972"/>
      <c r="F4866" s="972"/>
      <c r="G4866" s="972"/>
      <c r="H4866" s="972"/>
      <c r="I4866" s="972"/>
      <c r="J4866" s="972"/>
      <c r="K4866" s="972"/>
      <c r="L4866" s="972"/>
      <c r="M4866" s="972"/>
    </row>
    <row r="4867" spans="5:13">
      <c r="E4867" s="972"/>
      <c r="F4867" s="972"/>
      <c r="G4867" s="972"/>
      <c r="H4867" s="972"/>
      <c r="I4867" s="972"/>
      <c r="J4867" s="972"/>
      <c r="K4867" s="972"/>
      <c r="L4867" s="972"/>
      <c r="M4867" s="972"/>
    </row>
    <row r="4868" spans="5:13">
      <c r="E4868" s="972"/>
      <c r="F4868" s="972"/>
      <c r="G4868" s="972"/>
      <c r="H4868" s="972"/>
      <c r="I4868" s="972"/>
      <c r="J4868" s="972"/>
      <c r="K4868" s="972"/>
      <c r="L4868" s="972"/>
      <c r="M4868" s="972"/>
    </row>
    <row r="4869" spans="5:13">
      <c r="E4869" s="972"/>
      <c r="F4869" s="972"/>
      <c r="G4869" s="972"/>
      <c r="H4869" s="972"/>
      <c r="I4869" s="972"/>
      <c r="J4869" s="972"/>
      <c r="K4869" s="972"/>
      <c r="L4869" s="972"/>
      <c r="M4869" s="972"/>
    </row>
    <row r="4870" spans="5:13">
      <c r="E4870" s="972"/>
      <c r="F4870" s="972"/>
      <c r="G4870" s="972"/>
      <c r="H4870" s="972"/>
      <c r="I4870" s="972"/>
      <c r="J4870" s="972"/>
      <c r="K4870" s="972"/>
      <c r="L4870" s="972"/>
      <c r="M4870" s="972"/>
    </row>
    <row r="4871" spans="5:13">
      <c r="E4871" s="972"/>
      <c r="F4871" s="972"/>
      <c r="G4871" s="972"/>
      <c r="H4871" s="972"/>
      <c r="I4871" s="972"/>
      <c r="J4871" s="972"/>
      <c r="K4871" s="972"/>
      <c r="L4871" s="972"/>
      <c r="M4871" s="972"/>
    </row>
    <row r="4872" spans="5:13">
      <c r="E4872" s="972"/>
      <c r="F4872" s="972"/>
      <c r="G4872" s="972"/>
      <c r="H4872" s="972"/>
      <c r="I4872" s="972"/>
      <c r="J4872" s="972"/>
      <c r="K4872" s="972"/>
      <c r="L4872" s="972"/>
      <c r="M4872" s="972"/>
    </row>
    <row r="4873" spans="5:13">
      <c r="E4873" s="972"/>
      <c r="F4873" s="972"/>
      <c r="G4873" s="972"/>
      <c r="H4873" s="972"/>
      <c r="I4873" s="972"/>
      <c r="J4873" s="972"/>
      <c r="K4873" s="972"/>
      <c r="L4873" s="972"/>
      <c r="M4873" s="972"/>
    </row>
    <row r="4874" spans="5:13">
      <c r="E4874" s="972"/>
      <c r="F4874" s="972"/>
      <c r="G4874" s="972"/>
      <c r="H4874" s="972"/>
      <c r="I4874" s="972"/>
      <c r="J4874" s="972"/>
      <c r="K4874" s="972"/>
      <c r="L4874" s="972"/>
      <c r="M4874" s="972"/>
    </row>
    <row r="4875" spans="5:13">
      <c r="E4875" s="972"/>
      <c r="F4875" s="972"/>
      <c r="G4875" s="972"/>
      <c r="H4875" s="972"/>
      <c r="I4875" s="972"/>
      <c r="J4875" s="972"/>
      <c r="K4875" s="972"/>
      <c r="L4875" s="972"/>
      <c r="M4875" s="972"/>
    </row>
    <row r="4876" spans="5:13">
      <c r="E4876" s="972"/>
      <c r="F4876" s="972"/>
      <c r="G4876" s="972"/>
      <c r="H4876" s="972"/>
      <c r="I4876" s="972"/>
      <c r="J4876" s="972"/>
      <c r="K4876" s="972"/>
      <c r="L4876" s="972"/>
      <c r="M4876" s="972"/>
    </row>
    <row r="4877" spans="5:13">
      <c r="E4877" s="972"/>
      <c r="F4877" s="972"/>
      <c r="G4877" s="972"/>
      <c r="H4877" s="972"/>
      <c r="I4877" s="972"/>
      <c r="J4877" s="972"/>
      <c r="K4877" s="972"/>
      <c r="L4877" s="972"/>
      <c r="M4877" s="972"/>
    </row>
    <row r="4878" spans="5:13">
      <c r="E4878" s="972"/>
      <c r="F4878" s="972"/>
      <c r="G4878" s="972"/>
      <c r="H4878" s="972"/>
      <c r="I4878" s="972"/>
      <c r="J4878" s="972"/>
      <c r="K4878" s="972"/>
      <c r="L4878" s="972"/>
      <c r="M4878" s="972"/>
    </row>
    <row r="4879" spans="5:13">
      <c r="E4879" s="972"/>
      <c r="F4879" s="972"/>
      <c r="G4879" s="972"/>
      <c r="H4879" s="972"/>
      <c r="I4879" s="972"/>
      <c r="J4879" s="972"/>
      <c r="K4879" s="972"/>
      <c r="L4879" s="972"/>
      <c r="M4879" s="972"/>
    </row>
    <row r="4880" spans="5:13">
      <c r="E4880" s="972"/>
      <c r="F4880" s="972"/>
      <c r="G4880" s="972"/>
      <c r="H4880" s="972"/>
      <c r="I4880" s="972"/>
      <c r="J4880" s="972"/>
      <c r="K4880" s="972"/>
      <c r="L4880" s="972"/>
      <c r="M4880" s="972"/>
    </row>
    <row r="4881" spans="5:13">
      <c r="E4881" s="972"/>
      <c r="F4881" s="972"/>
      <c r="G4881" s="972"/>
      <c r="H4881" s="972"/>
      <c r="I4881" s="972"/>
      <c r="J4881" s="972"/>
      <c r="K4881" s="972"/>
      <c r="L4881" s="972"/>
      <c r="M4881" s="972"/>
    </row>
    <row r="4882" spans="5:13">
      <c r="E4882" s="972"/>
      <c r="F4882" s="972"/>
      <c r="G4882" s="972"/>
      <c r="H4882" s="972"/>
      <c r="I4882" s="972"/>
      <c r="J4882" s="972"/>
      <c r="K4882" s="972"/>
      <c r="L4882" s="972"/>
      <c r="M4882" s="972"/>
    </row>
    <row r="4883" spans="5:13">
      <c r="E4883" s="972"/>
      <c r="F4883" s="972"/>
      <c r="G4883" s="972"/>
      <c r="H4883" s="972"/>
      <c r="I4883" s="972"/>
      <c r="J4883" s="972"/>
      <c r="K4883" s="972"/>
      <c r="L4883" s="972"/>
      <c r="M4883" s="972"/>
    </row>
    <row r="4884" spans="5:13">
      <c r="E4884" s="972"/>
      <c r="F4884" s="972"/>
      <c r="G4884" s="972"/>
      <c r="H4884" s="972"/>
      <c r="I4884" s="972"/>
      <c r="J4884" s="972"/>
      <c r="K4884" s="972"/>
      <c r="L4884" s="972"/>
      <c r="M4884" s="972"/>
    </row>
    <row r="4885" spans="5:13">
      <c r="E4885" s="972"/>
      <c r="F4885" s="972"/>
      <c r="G4885" s="972"/>
      <c r="H4885" s="972"/>
      <c r="I4885" s="972"/>
      <c r="J4885" s="972"/>
      <c r="K4885" s="972"/>
      <c r="L4885" s="972"/>
      <c r="M4885" s="972"/>
    </row>
    <row r="4886" spans="5:13">
      <c r="E4886" s="972"/>
      <c r="F4886" s="972"/>
      <c r="G4886" s="972"/>
      <c r="H4886" s="972"/>
      <c r="I4886" s="972"/>
      <c r="J4886" s="972"/>
      <c r="K4886" s="972"/>
      <c r="L4886" s="972"/>
      <c r="M4886" s="972"/>
    </row>
    <row r="4887" spans="5:13">
      <c r="E4887" s="972"/>
      <c r="F4887" s="972"/>
      <c r="G4887" s="972"/>
      <c r="H4887" s="972"/>
      <c r="I4887" s="972"/>
      <c r="J4887" s="972"/>
      <c r="K4887" s="972"/>
      <c r="L4887" s="972"/>
      <c r="M4887" s="972"/>
    </row>
    <row r="4888" spans="5:13">
      <c r="E4888" s="972"/>
      <c r="F4888" s="972"/>
      <c r="G4888" s="972"/>
      <c r="H4888" s="972"/>
      <c r="I4888" s="972"/>
      <c r="J4888" s="972"/>
      <c r="K4888" s="972"/>
      <c r="L4888" s="972"/>
      <c r="M4888" s="972"/>
    </row>
    <row r="4889" spans="5:13">
      <c r="E4889" s="972"/>
      <c r="F4889" s="972"/>
      <c r="G4889" s="972"/>
      <c r="H4889" s="972"/>
      <c r="I4889" s="972"/>
      <c r="J4889" s="972"/>
      <c r="K4889" s="972"/>
      <c r="L4889" s="972"/>
      <c r="M4889" s="972"/>
    </row>
    <row r="4890" spans="5:13">
      <c r="E4890" s="972"/>
      <c r="F4890" s="972"/>
      <c r="G4890" s="972"/>
      <c r="H4890" s="972"/>
      <c r="I4890" s="972"/>
      <c r="J4890" s="972"/>
      <c r="K4890" s="972"/>
      <c r="L4890" s="972"/>
      <c r="M4890" s="972"/>
    </row>
    <row r="4891" spans="5:13">
      <c r="E4891" s="972"/>
      <c r="F4891" s="972"/>
      <c r="G4891" s="972"/>
      <c r="H4891" s="972"/>
      <c r="I4891" s="972"/>
      <c r="J4891" s="972"/>
      <c r="K4891" s="972"/>
      <c r="L4891" s="972"/>
      <c r="M4891" s="972"/>
    </row>
    <row r="4892" spans="5:13">
      <c r="E4892" s="972"/>
      <c r="F4892" s="972"/>
      <c r="G4892" s="972"/>
      <c r="H4892" s="972"/>
      <c r="I4892" s="972"/>
      <c r="J4892" s="972"/>
      <c r="K4892" s="972"/>
      <c r="L4892" s="972"/>
      <c r="M4892" s="972"/>
    </row>
    <row r="4893" spans="5:13">
      <c r="E4893" s="972"/>
      <c r="F4893" s="972"/>
      <c r="G4893" s="972"/>
      <c r="H4893" s="972"/>
      <c r="I4893" s="972"/>
      <c r="J4893" s="972"/>
      <c r="K4893" s="972"/>
      <c r="L4893" s="972"/>
      <c r="M4893" s="972"/>
    </row>
    <row r="4894" spans="5:13">
      <c r="E4894" s="972"/>
      <c r="F4894" s="972"/>
      <c r="G4894" s="972"/>
      <c r="H4894" s="972"/>
      <c r="I4894" s="972"/>
      <c r="J4894" s="972"/>
      <c r="K4894" s="972"/>
      <c r="L4894" s="972"/>
      <c r="M4894" s="972"/>
    </row>
    <row r="4895" spans="5:13">
      <c r="E4895" s="972"/>
      <c r="F4895" s="972"/>
      <c r="G4895" s="972"/>
      <c r="H4895" s="972"/>
      <c r="I4895" s="972"/>
      <c r="J4895" s="972"/>
      <c r="K4895" s="972"/>
      <c r="L4895" s="972"/>
      <c r="M4895" s="972"/>
    </row>
    <row r="4896" spans="5:13">
      <c r="E4896" s="972"/>
      <c r="F4896" s="972"/>
      <c r="G4896" s="972"/>
      <c r="H4896" s="972"/>
      <c r="I4896" s="972"/>
      <c r="J4896" s="972"/>
      <c r="K4896" s="972"/>
      <c r="L4896" s="972"/>
      <c r="M4896" s="972"/>
    </row>
    <row r="4897" spans="5:13">
      <c r="E4897" s="972"/>
      <c r="F4897" s="972"/>
      <c r="G4897" s="972"/>
      <c r="H4897" s="972"/>
      <c r="I4897" s="972"/>
      <c r="J4897" s="972"/>
      <c r="K4897" s="972"/>
      <c r="L4897" s="972"/>
      <c r="M4897" s="972"/>
    </row>
    <row r="4898" spans="5:13">
      <c r="E4898" s="972"/>
      <c r="F4898" s="972"/>
      <c r="G4898" s="972"/>
      <c r="H4898" s="972"/>
      <c r="I4898" s="972"/>
      <c r="J4898" s="972"/>
      <c r="K4898" s="972"/>
      <c r="L4898" s="972"/>
      <c r="M4898" s="972"/>
    </row>
    <row r="4899" spans="5:13">
      <c r="E4899" s="972"/>
      <c r="F4899" s="972"/>
      <c r="G4899" s="972"/>
      <c r="H4899" s="972"/>
      <c r="I4899" s="972"/>
      <c r="J4899" s="972"/>
      <c r="K4899" s="972"/>
      <c r="L4899" s="972"/>
      <c r="M4899" s="972"/>
    </row>
    <row r="4900" spans="5:13">
      <c r="E4900" s="972"/>
      <c r="F4900" s="972"/>
      <c r="G4900" s="972"/>
      <c r="H4900" s="972"/>
      <c r="I4900" s="972"/>
      <c r="J4900" s="972"/>
      <c r="K4900" s="972"/>
      <c r="L4900" s="972"/>
      <c r="M4900" s="972"/>
    </row>
    <row r="4901" spans="5:13">
      <c r="E4901" s="972"/>
      <c r="F4901" s="972"/>
      <c r="G4901" s="972"/>
      <c r="H4901" s="972"/>
      <c r="I4901" s="972"/>
      <c r="J4901" s="972"/>
      <c r="K4901" s="972"/>
      <c r="L4901" s="972"/>
      <c r="M4901" s="972"/>
    </row>
    <row r="4902" spans="5:13">
      <c r="E4902" s="972"/>
      <c r="F4902" s="972"/>
      <c r="G4902" s="972"/>
      <c r="H4902" s="972"/>
      <c r="I4902" s="972"/>
      <c r="J4902" s="972"/>
      <c r="K4902" s="972"/>
      <c r="L4902" s="972"/>
      <c r="M4902" s="972"/>
    </row>
    <row r="4903" spans="5:13">
      <c r="E4903" s="972"/>
      <c r="F4903" s="972"/>
      <c r="G4903" s="972"/>
      <c r="H4903" s="972"/>
      <c r="I4903" s="972"/>
      <c r="J4903" s="972"/>
      <c r="K4903" s="972"/>
      <c r="L4903" s="972"/>
      <c r="M4903" s="972"/>
    </row>
    <row r="4904" spans="5:13">
      <c r="E4904" s="972"/>
      <c r="F4904" s="972"/>
      <c r="G4904" s="972"/>
      <c r="H4904" s="972"/>
      <c r="I4904" s="972"/>
      <c r="J4904" s="972"/>
      <c r="K4904" s="972"/>
      <c r="L4904" s="972"/>
      <c r="M4904" s="972"/>
    </row>
    <row r="4905" spans="5:13">
      <c r="E4905" s="972"/>
      <c r="F4905" s="972"/>
      <c r="G4905" s="972"/>
      <c r="H4905" s="972"/>
      <c r="I4905" s="972"/>
      <c r="J4905" s="972"/>
      <c r="K4905" s="972"/>
      <c r="L4905" s="972"/>
      <c r="M4905" s="972"/>
    </row>
    <row r="4906" spans="5:13">
      <c r="E4906" s="972"/>
      <c r="F4906" s="972"/>
      <c r="G4906" s="972"/>
      <c r="H4906" s="972"/>
      <c r="I4906" s="972"/>
      <c r="J4906" s="972"/>
      <c r="K4906" s="972"/>
      <c r="L4906" s="972"/>
      <c r="M4906" s="972"/>
    </row>
    <row r="4907" spans="5:13">
      <c r="E4907" s="972"/>
      <c r="F4907" s="972"/>
      <c r="G4907" s="972"/>
      <c r="H4907" s="972"/>
      <c r="I4907" s="972"/>
      <c r="J4907" s="972"/>
      <c r="K4907" s="972"/>
      <c r="L4907" s="972"/>
      <c r="M4907" s="972"/>
    </row>
    <row r="4908" spans="5:13">
      <c r="E4908" s="972"/>
      <c r="F4908" s="972"/>
      <c r="G4908" s="972"/>
      <c r="H4908" s="972"/>
      <c r="I4908" s="972"/>
      <c r="J4908" s="972"/>
      <c r="K4908" s="972"/>
      <c r="L4908" s="972"/>
      <c r="M4908" s="972"/>
    </row>
    <row r="4909" spans="5:13">
      <c r="E4909" s="972"/>
      <c r="F4909" s="972"/>
      <c r="G4909" s="972"/>
      <c r="H4909" s="972"/>
      <c r="I4909" s="972"/>
      <c r="J4909" s="972"/>
      <c r="K4909" s="972"/>
      <c r="L4909" s="972"/>
      <c r="M4909" s="972"/>
    </row>
    <row r="4910" spans="5:13">
      <c r="E4910" s="972"/>
      <c r="F4910" s="972"/>
      <c r="G4910" s="972"/>
      <c r="H4910" s="972"/>
      <c r="I4910" s="972"/>
      <c r="J4910" s="972"/>
      <c r="K4910" s="972"/>
      <c r="L4910" s="972"/>
      <c r="M4910" s="972"/>
    </row>
    <row r="4911" spans="5:13">
      <c r="E4911" s="972"/>
      <c r="F4911" s="972"/>
      <c r="G4911" s="972"/>
      <c r="H4911" s="972"/>
      <c r="I4911" s="972"/>
      <c r="J4911" s="972"/>
      <c r="K4911" s="972"/>
      <c r="L4911" s="972"/>
      <c r="M4911" s="972"/>
    </row>
    <row r="4912" spans="5:13">
      <c r="E4912" s="972"/>
      <c r="F4912" s="972"/>
      <c r="G4912" s="972"/>
      <c r="H4912" s="972"/>
      <c r="I4912" s="972"/>
      <c r="J4912" s="972"/>
      <c r="K4912" s="972"/>
      <c r="L4912" s="972"/>
      <c r="M4912" s="972"/>
    </row>
    <row r="4913" spans="5:13">
      <c r="E4913" s="972"/>
      <c r="F4913" s="972"/>
      <c r="G4913" s="972"/>
      <c r="H4913" s="972"/>
      <c r="I4913" s="972"/>
      <c r="J4913" s="972"/>
      <c r="K4913" s="972"/>
      <c r="L4913" s="972"/>
      <c r="M4913" s="972"/>
    </row>
    <row r="4914" spans="5:13">
      <c r="E4914" s="972"/>
      <c r="F4914" s="972"/>
      <c r="G4914" s="972"/>
      <c r="H4914" s="972"/>
      <c r="I4914" s="972"/>
      <c r="J4914" s="972"/>
      <c r="K4914" s="972"/>
      <c r="L4914" s="972"/>
      <c r="M4914" s="972"/>
    </row>
    <row r="4915" spans="5:13">
      <c r="E4915" s="972"/>
      <c r="F4915" s="972"/>
      <c r="G4915" s="972"/>
      <c r="H4915" s="972"/>
      <c r="I4915" s="972"/>
      <c r="J4915" s="972"/>
      <c r="K4915" s="972"/>
      <c r="L4915" s="972"/>
      <c r="M4915" s="972"/>
    </row>
    <row r="4916" spans="5:13">
      <c r="E4916" s="972"/>
      <c r="F4916" s="972"/>
      <c r="G4916" s="972"/>
      <c r="H4916" s="972"/>
      <c r="I4916" s="972"/>
      <c r="J4916" s="972"/>
      <c r="K4916" s="972"/>
      <c r="L4916" s="972"/>
      <c r="M4916" s="972"/>
    </row>
    <row r="4917" spans="5:13">
      <c r="E4917" s="972"/>
      <c r="F4917" s="972"/>
      <c r="G4917" s="972"/>
      <c r="H4917" s="972"/>
      <c r="I4917" s="972"/>
      <c r="J4917" s="972"/>
      <c r="K4917" s="972"/>
      <c r="L4917" s="972"/>
      <c r="M4917" s="972"/>
    </row>
    <row r="4918" spans="5:13">
      <c r="E4918" s="972"/>
      <c r="F4918" s="972"/>
      <c r="G4918" s="972"/>
      <c r="H4918" s="972"/>
      <c r="I4918" s="972"/>
      <c r="J4918" s="972"/>
      <c r="K4918" s="972"/>
      <c r="L4918" s="972"/>
      <c r="M4918" s="972"/>
    </row>
    <row r="4919" spans="5:13">
      <c r="E4919" s="972"/>
      <c r="F4919" s="972"/>
      <c r="G4919" s="972"/>
      <c r="H4919" s="972"/>
      <c r="I4919" s="972"/>
      <c r="J4919" s="972"/>
      <c r="K4919" s="972"/>
      <c r="L4919" s="972"/>
      <c r="M4919" s="972"/>
    </row>
    <row r="4920" spans="5:13">
      <c r="E4920" s="972"/>
      <c r="F4920" s="972"/>
      <c r="G4920" s="972"/>
      <c r="H4920" s="972"/>
      <c r="I4920" s="972"/>
      <c r="J4920" s="972"/>
      <c r="K4920" s="972"/>
      <c r="L4920" s="972"/>
      <c r="M4920" s="972"/>
    </row>
    <row r="4921" spans="5:13">
      <c r="E4921" s="972"/>
      <c r="F4921" s="972"/>
      <c r="G4921" s="972"/>
      <c r="H4921" s="972"/>
      <c r="I4921" s="972"/>
      <c r="J4921" s="972"/>
      <c r="K4921" s="972"/>
      <c r="L4921" s="972"/>
      <c r="M4921" s="972"/>
    </row>
    <row r="4922" spans="5:13">
      <c r="E4922" s="972"/>
      <c r="F4922" s="972"/>
      <c r="G4922" s="972"/>
      <c r="H4922" s="972"/>
      <c r="I4922" s="972"/>
      <c r="J4922" s="972"/>
      <c r="K4922" s="972"/>
      <c r="L4922" s="972"/>
      <c r="M4922" s="972"/>
    </row>
    <row r="4923" spans="5:13">
      <c r="E4923" s="972"/>
      <c r="F4923" s="972"/>
      <c r="G4923" s="972"/>
      <c r="H4923" s="972"/>
      <c r="I4923" s="972"/>
      <c r="J4923" s="972"/>
      <c r="K4923" s="972"/>
      <c r="L4923" s="972"/>
      <c r="M4923" s="972"/>
    </row>
    <row r="4924" spans="5:13">
      <c r="E4924" s="972"/>
      <c r="F4924" s="972"/>
      <c r="G4924" s="972"/>
      <c r="H4924" s="972"/>
      <c r="I4924" s="972"/>
      <c r="J4924" s="972"/>
      <c r="K4924" s="972"/>
      <c r="L4924" s="972"/>
      <c r="M4924" s="972"/>
    </row>
    <row r="4925" spans="5:13">
      <c r="E4925" s="972"/>
      <c r="F4925" s="972"/>
      <c r="G4925" s="972"/>
      <c r="H4925" s="972"/>
      <c r="I4925" s="972"/>
      <c r="J4925" s="972"/>
      <c r="K4925" s="972"/>
      <c r="L4925" s="972"/>
      <c r="M4925" s="972"/>
    </row>
    <row r="4926" spans="5:13">
      <c r="E4926" s="972"/>
      <c r="F4926" s="972"/>
      <c r="G4926" s="972"/>
      <c r="H4926" s="972"/>
      <c r="I4926" s="972"/>
      <c r="J4926" s="972"/>
      <c r="K4926" s="972"/>
      <c r="L4926" s="972"/>
      <c r="M4926" s="972"/>
    </row>
    <row r="4927" spans="5:13">
      <c r="E4927" s="972"/>
      <c r="F4927" s="972"/>
      <c r="G4927" s="972"/>
      <c r="H4927" s="972"/>
      <c r="I4927" s="972"/>
      <c r="J4927" s="972"/>
      <c r="K4927" s="972"/>
      <c r="L4927" s="972"/>
      <c r="M4927" s="972"/>
    </row>
    <row r="4928" spans="5:13">
      <c r="E4928" s="972"/>
      <c r="F4928" s="972"/>
      <c r="G4928" s="972"/>
      <c r="H4928" s="972"/>
      <c r="I4928" s="972"/>
      <c r="J4928" s="972"/>
      <c r="K4928" s="972"/>
      <c r="L4928" s="972"/>
      <c r="M4928" s="972"/>
    </row>
    <row r="4929" spans="5:13">
      <c r="E4929" s="972"/>
      <c r="F4929" s="972"/>
      <c r="G4929" s="972"/>
      <c r="H4929" s="972"/>
      <c r="I4929" s="972"/>
      <c r="J4929" s="972"/>
      <c r="K4929" s="972"/>
      <c r="L4929" s="972"/>
      <c r="M4929" s="972"/>
    </row>
    <row r="4930" spans="5:13">
      <c r="E4930" s="972"/>
      <c r="F4930" s="972"/>
      <c r="G4930" s="972"/>
      <c r="H4930" s="972"/>
      <c r="I4930" s="972"/>
      <c r="J4930" s="972"/>
      <c r="K4930" s="972"/>
      <c r="L4930" s="972"/>
      <c r="M4930" s="972"/>
    </row>
    <row r="4931" spans="5:13">
      <c r="E4931" s="972"/>
      <c r="F4931" s="972"/>
      <c r="G4931" s="972"/>
      <c r="H4931" s="972"/>
      <c r="I4931" s="972"/>
      <c r="J4931" s="972"/>
      <c r="K4931" s="972"/>
      <c r="L4931" s="972"/>
      <c r="M4931" s="972"/>
    </row>
    <row r="4932" spans="5:13">
      <c r="E4932" s="972"/>
      <c r="F4932" s="972"/>
      <c r="G4932" s="972"/>
      <c r="H4932" s="972"/>
      <c r="I4932" s="972"/>
      <c r="J4932" s="972"/>
      <c r="K4932" s="972"/>
      <c r="L4932" s="972"/>
      <c r="M4932" s="972"/>
    </row>
    <row r="4933" spans="5:13">
      <c r="E4933" s="972"/>
      <c r="F4933" s="972"/>
      <c r="G4933" s="972"/>
      <c r="H4933" s="972"/>
      <c r="I4933" s="972"/>
      <c r="J4933" s="972"/>
      <c r="K4933" s="972"/>
      <c r="L4933" s="972"/>
      <c r="M4933" s="972"/>
    </row>
    <row r="4934" spans="5:13">
      <c r="E4934" s="972"/>
      <c r="F4934" s="972"/>
      <c r="G4934" s="972"/>
      <c r="H4934" s="972"/>
      <c r="I4934" s="972"/>
      <c r="J4934" s="972"/>
      <c r="K4934" s="972"/>
      <c r="L4934" s="972"/>
      <c r="M4934" s="972"/>
    </row>
    <row r="4935" spans="5:13">
      <c r="E4935" s="972"/>
      <c r="F4935" s="972"/>
      <c r="G4935" s="972"/>
      <c r="H4935" s="972"/>
      <c r="I4935" s="972"/>
      <c r="J4935" s="972"/>
      <c r="K4935" s="972"/>
      <c r="L4935" s="972"/>
      <c r="M4935" s="972"/>
    </row>
    <row r="4936" spans="5:13">
      <c r="E4936" s="972"/>
      <c r="F4936" s="972"/>
      <c r="G4936" s="972"/>
      <c r="H4936" s="972"/>
      <c r="I4936" s="972"/>
      <c r="J4936" s="972"/>
      <c r="K4936" s="972"/>
      <c r="L4936" s="972"/>
      <c r="M4936" s="972"/>
    </row>
    <row r="4937" spans="5:13">
      <c r="E4937" s="972"/>
      <c r="F4937" s="972"/>
      <c r="G4937" s="972"/>
      <c r="H4937" s="972"/>
      <c r="I4937" s="972"/>
      <c r="J4937" s="972"/>
      <c r="K4937" s="972"/>
      <c r="L4937" s="972"/>
      <c r="M4937" s="972"/>
    </row>
    <row r="4938" spans="5:13">
      <c r="E4938" s="972"/>
      <c r="F4938" s="972"/>
      <c r="G4938" s="972"/>
      <c r="H4938" s="972"/>
      <c r="I4938" s="972"/>
      <c r="J4938" s="972"/>
      <c r="K4938" s="972"/>
      <c r="L4938" s="972"/>
      <c r="M4938" s="972"/>
    </row>
    <row r="4939" spans="5:13">
      <c r="E4939" s="972"/>
      <c r="F4939" s="972"/>
      <c r="G4939" s="972"/>
      <c r="H4939" s="972"/>
      <c r="I4939" s="972"/>
      <c r="J4939" s="972"/>
      <c r="K4939" s="972"/>
      <c r="L4939" s="972"/>
      <c r="M4939" s="972"/>
    </row>
    <row r="4940" spans="5:13">
      <c r="E4940" s="972"/>
      <c r="F4940" s="972"/>
      <c r="G4940" s="972"/>
      <c r="H4940" s="972"/>
      <c r="I4940" s="972"/>
      <c r="J4940" s="972"/>
      <c r="K4940" s="972"/>
      <c r="L4940" s="972"/>
      <c r="M4940" s="972"/>
    </row>
    <row r="4941" spans="5:13">
      <c r="E4941" s="972"/>
      <c r="F4941" s="972"/>
      <c r="G4941" s="972"/>
      <c r="H4941" s="972"/>
      <c r="I4941" s="972"/>
      <c r="J4941" s="972"/>
      <c r="K4941" s="972"/>
      <c r="L4941" s="972"/>
      <c r="M4941" s="972"/>
    </row>
    <row r="4942" spans="5:13">
      <c r="E4942" s="972"/>
      <c r="F4942" s="972"/>
      <c r="G4942" s="972"/>
      <c r="H4942" s="972"/>
      <c r="I4942" s="972"/>
      <c r="J4942" s="972"/>
      <c r="K4942" s="972"/>
      <c r="L4942" s="972"/>
      <c r="M4942" s="972"/>
    </row>
    <row r="4943" spans="5:13">
      <c r="E4943" s="972"/>
      <c r="F4943" s="972"/>
      <c r="G4943" s="972"/>
      <c r="H4943" s="972"/>
      <c r="I4943" s="972"/>
      <c r="J4943" s="972"/>
      <c r="K4943" s="972"/>
      <c r="L4943" s="972"/>
      <c r="M4943" s="972"/>
    </row>
    <row r="4944" spans="5:13">
      <c r="E4944" s="972"/>
      <c r="F4944" s="972"/>
      <c r="G4944" s="972"/>
      <c r="H4944" s="972"/>
      <c r="I4944" s="972"/>
      <c r="J4944" s="972"/>
      <c r="K4944" s="972"/>
      <c r="L4944" s="972"/>
      <c r="M4944" s="972"/>
    </row>
    <row r="4945" spans="5:13">
      <c r="E4945" s="972"/>
      <c r="F4945" s="972"/>
      <c r="G4945" s="972"/>
      <c r="H4945" s="972"/>
      <c r="I4945" s="972"/>
      <c r="J4945" s="972"/>
      <c r="K4945" s="972"/>
      <c r="L4945" s="972"/>
      <c r="M4945" s="972"/>
    </row>
    <row r="4946" spans="5:13">
      <c r="E4946" s="972"/>
      <c r="F4946" s="972"/>
      <c r="G4946" s="972"/>
      <c r="H4946" s="972"/>
      <c r="I4946" s="972"/>
      <c r="J4946" s="972"/>
      <c r="K4946" s="972"/>
      <c r="L4946" s="972"/>
      <c r="M4946" s="972"/>
    </row>
    <row r="4947" spans="5:13">
      <c r="E4947" s="972"/>
      <c r="F4947" s="972"/>
      <c r="G4947" s="972"/>
      <c r="H4947" s="972"/>
      <c r="I4947" s="972"/>
      <c r="J4947" s="972"/>
      <c r="K4947" s="972"/>
      <c r="L4947" s="972"/>
      <c r="M4947" s="972"/>
    </row>
    <row r="4948" spans="5:13">
      <c r="E4948" s="972"/>
      <c r="F4948" s="972"/>
      <c r="G4948" s="972"/>
      <c r="H4948" s="972"/>
      <c r="I4948" s="972"/>
      <c r="J4948" s="972"/>
      <c r="K4948" s="972"/>
      <c r="L4948" s="972"/>
      <c r="M4948" s="972"/>
    </row>
    <row r="4949" spans="5:13">
      <c r="E4949" s="972"/>
      <c r="F4949" s="972"/>
      <c r="G4949" s="972"/>
      <c r="H4949" s="972"/>
      <c r="I4949" s="972"/>
      <c r="J4949" s="972"/>
      <c r="K4949" s="972"/>
      <c r="L4949" s="972"/>
      <c r="M4949" s="972"/>
    </row>
    <row r="4950" spans="5:13">
      <c r="E4950" s="972"/>
      <c r="F4950" s="972"/>
      <c r="G4950" s="972"/>
      <c r="H4950" s="972"/>
      <c r="I4950" s="972"/>
      <c r="J4950" s="972"/>
      <c r="K4950" s="972"/>
      <c r="L4950" s="972"/>
      <c r="M4950" s="972"/>
    </row>
    <row r="4951" spans="5:13">
      <c r="E4951" s="972"/>
      <c r="F4951" s="972"/>
      <c r="G4951" s="972"/>
      <c r="H4951" s="972"/>
      <c r="I4951" s="972"/>
      <c r="J4951" s="972"/>
      <c r="K4951" s="972"/>
      <c r="L4951" s="972"/>
      <c r="M4951" s="972"/>
    </row>
    <row r="4952" spans="5:13">
      <c r="E4952" s="972"/>
      <c r="F4952" s="972"/>
      <c r="G4952" s="972"/>
      <c r="H4952" s="972"/>
      <c r="I4952" s="972"/>
      <c r="J4952" s="972"/>
      <c r="K4952" s="972"/>
      <c r="L4952" s="972"/>
      <c r="M4952" s="972"/>
    </row>
    <row r="4953" spans="5:13">
      <c r="E4953" s="972"/>
      <c r="F4953" s="972"/>
      <c r="G4953" s="972"/>
      <c r="H4953" s="972"/>
      <c r="I4953" s="972"/>
      <c r="J4953" s="972"/>
      <c r="K4953" s="972"/>
      <c r="L4953" s="972"/>
      <c r="M4953" s="972"/>
    </row>
    <row r="4954" spans="5:13">
      <c r="E4954" s="972"/>
      <c r="F4954" s="972"/>
      <c r="G4954" s="972"/>
      <c r="H4954" s="972"/>
      <c r="I4954" s="972"/>
      <c r="J4954" s="972"/>
      <c r="K4954" s="972"/>
      <c r="L4954" s="972"/>
      <c r="M4954" s="972"/>
    </row>
    <row r="4955" spans="5:13">
      <c r="E4955" s="972"/>
      <c r="F4955" s="972"/>
      <c r="G4955" s="972"/>
      <c r="H4955" s="972"/>
      <c r="I4955" s="972"/>
      <c r="J4955" s="972"/>
      <c r="K4955" s="972"/>
      <c r="L4955" s="972"/>
      <c r="M4955" s="972"/>
    </row>
    <row r="4956" spans="5:13">
      <c r="E4956" s="972"/>
      <c r="F4956" s="972"/>
      <c r="G4956" s="972"/>
      <c r="H4956" s="972"/>
      <c r="I4956" s="972"/>
      <c r="J4956" s="972"/>
      <c r="K4956" s="972"/>
      <c r="L4956" s="972"/>
      <c r="M4956" s="972"/>
    </row>
    <row r="4957" spans="5:13">
      <c r="E4957" s="972"/>
      <c r="F4957" s="972"/>
      <c r="G4957" s="972"/>
      <c r="H4957" s="972"/>
      <c r="I4957" s="972"/>
      <c r="J4957" s="972"/>
      <c r="K4957" s="972"/>
      <c r="L4957" s="972"/>
      <c r="M4957" s="972"/>
    </row>
    <row r="4958" spans="5:13">
      <c r="E4958" s="972"/>
      <c r="F4958" s="972"/>
      <c r="G4958" s="972"/>
      <c r="H4958" s="972"/>
      <c r="I4958" s="972"/>
      <c r="J4958" s="972"/>
      <c r="K4958" s="972"/>
      <c r="L4958" s="972"/>
      <c r="M4958" s="972"/>
    </row>
    <row r="4959" spans="5:13">
      <c r="E4959" s="972"/>
      <c r="F4959" s="972"/>
      <c r="G4959" s="972"/>
      <c r="H4959" s="972"/>
      <c r="I4959" s="972"/>
      <c r="J4959" s="972"/>
      <c r="K4959" s="972"/>
      <c r="L4959" s="972"/>
      <c r="M4959" s="972"/>
    </row>
    <row r="4960" spans="5:13">
      <c r="E4960" s="972"/>
      <c r="F4960" s="972"/>
      <c r="G4960" s="972"/>
      <c r="H4960" s="972"/>
      <c r="I4960" s="972"/>
      <c r="J4960" s="972"/>
      <c r="K4960" s="972"/>
      <c r="L4960" s="972"/>
      <c r="M4960" s="972"/>
    </row>
    <row r="4961" spans="5:13">
      <c r="E4961" s="972"/>
      <c r="F4961" s="972"/>
      <c r="G4961" s="972"/>
      <c r="H4961" s="972"/>
      <c r="I4961" s="972"/>
      <c r="J4961" s="972"/>
      <c r="K4961" s="972"/>
      <c r="L4961" s="972"/>
      <c r="M4961" s="972"/>
    </row>
    <row r="4962" spans="5:13">
      <c r="E4962" s="972"/>
      <c r="F4962" s="972"/>
      <c r="G4962" s="972"/>
      <c r="H4962" s="972"/>
      <c r="I4962" s="972"/>
      <c r="J4962" s="972"/>
      <c r="K4962" s="972"/>
      <c r="L4962" s="972"/>
      <c r="M4962" s="972"/>
    </row>
    <row r="4963" spans="5:13">
      <c r="E4963" s="972"/>
      <c r="F4963" s="972"/>
      <c r="G4963" s="972"/>
      <c r="H4963" s="972"/>
      <c r="I4963" s="972"/>
      <c r="J4963" s="972"/>
      <c r="K4963" s="972"/>
      <c r="L4963" s="972"/>
      <c r="M4963" s="972"/>
    </row>
    <row r="4964" spans="5:13">
      <c r="E4964" s="972"/>
      <c r="F4964" s="972"/>
      <c r="G4964" s="972"/>
      <c r="H4964" s="972"/>
      <c r="I4964" s="972"/>
      <c r="J4964" s="972"/>
      <c r="K4964" s="972"/>
      <c r="L4964" s="972"/>
      <c r="M4964" s="972"/>
    </row>
    <row r="4965" spans="5:13">
      <c r="E4965" s="972"/>
      <c r="F4965" s="972"/>
      <c r="G4965" s="972"/>
      <c r="H4965" s="972"/>
      <c r="I4965" s="972"/>
      <c r="J4965" s="972"/>
      <c r="K4965" s="972"/>
      <c r="L4965" s="972"/>
      <c r="M4965" s="972"/>
    </row>
    <row r="4966" spans="5:13">
      <c r="E4966" s="972"/>
      <c r="F4966" s="972"/>
      <c r="G4966" s="972"/>
      <c r="H4966" s="972"/>
      <c r="I4966" s="972"/>
      <c r="J4966" s="972"/>
      <c r="K4966" s="972"/>
      <c r="L4966" s="972"/>
      <c r="M4966" s="972"/>
    </row>
    <row r="4967" spans="5:13">
      <c r="E4967" s="972"/>
      <c r="F4967" s="972"/>
      <c r="G4967" s="972"/>
      <c r="H4967" s="972"/>
      <c r="I4967" s="972"/>
      <c r="J4967" s="972"/>
      <c r="K4967" s="972"/>
      <c r="L4967" s="972"/>
      <c r="M4967" s="972"/>
    </row>
    <row r="4968" spans="5:13">
      <c r="E4968" s="972"/>
      <c r="F4968" s="972"/>
      <c r="G4968" s="972"/>
      <c r="H4968" s="972"/>
      <c r="I4968" s="972"/>
      <c r="J4968" s="972"/>
      <c r="K4968" s="972"/>
      <c r="L4968" s="972"/>
      <c r="M4968" s="972"/>
    </row>
    <row r="4969" spans="5:13">
      <c r="E4969" s="972"/>
      <c r="F4969" s="972"/>
      <c r="G4969" s="972"/>
      <c r="H4969" s="972"/>
      <c r="I4969" s="972"/>
      <c r="J4969" s="972"/>
      <c r="K4969" s="972"/>
      <c r="L4969" s="972"/>
      <c r="M4969" s="972"/>
    </row>
    <row r="4970" spans="5:13">
      <c r="E4970" s="972"/>
      <c r="F4970" s="972"/>
      <c r="G4970" s="972"/>
      <c r="H4970" s="972"/>
      <c r="I4970" s="972"/>
      <c r="J4970" s="972"/>
      <c r="K4970" s="972"/>
      <c r="L4970" s="972"/>
      <c r="M4970" s="972"/>
    </row>
    <row r="4971" spans="5:13">
      <c r="E4971" s="972"/>
      <c r="F4971" s="972"/>
      <c r="G4971" s="972"/>
      <c r="H4971" s="972"/>
      <c r="I4971" s="972"/>
      <c r="J4971" s="972"/>
      <c r="K4971" s="972"/>
      <c r="L4971" s="972"/>
      <c r="M4971" s="972"/>
    </row>
    <row r="4972" spans="5:13">
      <c r="E4972" s="972"/>
      <c r="F4972" s="972"/>
      <c r="G4972" s="972"/>
      <c r="H4972" s="972"/>
      <c r="I4972" s="972"/>
      <c r="J4972" s="972"/>
      <c r="K4972" s="972"/>
      <c r="L4972" s="972"/>
      <c r="M4972" s="972"/>
    </row>
    <row r="4973" spans="5:13">
      <c r="E4973" s="972"/>
      <c r="F4973" s="972"/>
      <c r="G4973" s="972"/>
      <c r="H4973" s="972"/>
      <c r="I4973" s="972"/>
      <c r="J4973" s="972"/>
      <c r="K4973" s="972"/>
      <c r="L4973" s="972"/>
      <c r="M4973" s="972"/>
    </row>
    <row r="4974" spans="5:13">
      <c r="E4974" s="972"/>
      <c r="F4974" s="972"/>
      <c r="G4974" s="972"/>
      <c r="H4974" s="972"/>
      <c r="I4974" s="972"/>
      <c r="J4974" s="972"/>
      <c r="K4974" s="972"/>
      <c r="L4974" s="972"/>
      <c r="M4974" s="972"/>
    </row>
    <row r="4975" spans="5:13">
      <c r="E4975" s="972"/>
      <c r="F4975" s="972"/>
      <c r="G4975" s="972"/>
      <c r="H4975" s="972"/>
      <c r="I4975" s="972"/>
      <c r="J4975" s="972"/>
      <c r="K4975" s="972"/>
      <c r="L4975" s="972"/>
      <c r="M4975" s="972"/>
    </row>
    <row r="4976" spans="5:13">
      <c r="E4976" s="972"/>
      <c r="F4976" s="972"/>
      <c r="G4976" s="972"/>
      <c r="H4976" s="972"/>
      <c r="I4976" s="972"/>
      <c r="J4976" s="972"/>
      <c r="K4976" s="972"/>
      <c r="L4976" s="972"/>
      <c r="M4976" s="972"/>
    </row>
    <row r="4977" spans="5:13">
      <c r="E4977" s="972"/>
      <c r="F4977" s="972"/>
      <c r="G4977" s="972"/>
      <c r="H4977" s="972"/>
      <c r="I4977" s="972"/>
      <c r="J4977" s="972"/>
      <c r="K4977" s="972"/>
      <c r="L4977" s="972"/>
      <c r="M4977" s="972"/>
    </row>
    <row r="4978" spans="5:13">
      <c r="E4978" s="972"/>
      <c r="F4978" s="972"/>
      <c r="G4978" s="972"/>
      <c r="H4978" s="972"/>
      <c r="I4978" s="972"/>
      <c r="J4978" s="972"/>
      <c r="K4978" s="972"/>
      <c r="L4978" s="972"/>
      <c r="M4978" s="972"/>
    </row>
    <row r="4979" spans="5:13">
      <c r="E4979" s="972"/>
      <c r="F4979" s="972"/>
      <c r="G4979" s="972"/>
      <c r="H4979" s="972"/>
      <c r="I4979" s="972"/>
      <c r="J4979" s="972"/>
      <c r="K4979" s="972"/>
      <c r="L4979" s="972"/>
      <c r="M4979" s="972"/>
    </row>
    <row r="4980" spans="5:13">
      <c r="E4980" s="972"/>
      <c r="F4980" s="972"/>
      <c r="G4980" s="972"/>
      <c r="H4980" s="972"/>
      <c r="I4980" s="972"/>
      <c r="J4980" s="972"/>
      <c r="K4980" s="972"/>
      <c r="L4980" s="972"/>
      <c r="M4980" s="972"/>
    </row>
    <row r="4981" spans="5:13">
      <c r="E4981" s="972"/>
      <c r="F4981" s="972"/>
      <c r="G4981" s="972"/>
      <c r="H4981" s="972"/>
      <c r="I4981" s="972"/>
      <c r="J4981" s="972"/>
      <c r="K4981" s="972"/>
      <c r="L4981" s="972"/>
      <c r="M4981" s="972"/>
    </row>
    <row r="4982" spans="5:13">
      <c r="E4982" s="972"/>
      <c r="F4982" s="972"/>
      <c r="G4982" s="972"/>
      <c r="H4982" s="972"/>
      <c r="I4982" s="972"/>
      <c r="J4982" s="972"/>
      <c r="K4982" s="972"/>
      <c r="L4982" s="972"/>
      <c r="M4982" s="972"/>
    </row>
    <row r="4983" spans="5:13">
      <c r="E4983" s="972"/>
      <c r="F4983" s="972"/>
      <c r="G4983" s="972"/>
      <c r="H4983" s="972"/>
      <c r="I4983" s="972"/>
      <c r="J4983" s="972"/>
      <c r="K4983" s="972"/>
      <c r="L4983" s="972"/>
      <c r="M4983" s="972"/>
    </row>
    <row r="4984" spans="5:13">
      <c r="E4984" s="972"/>
      <c r="F4984" s="972"/>
      <c r="G4984" s="972"/>
      <c r="H4984" s="972"/>
      <c r="I4984" s="972"/>
      <c r="J4984" s="972"/>
      <c r="K4984" s="972"/>
      <c r="L4984" s="972"/>
      <c r="M4984" s="972"/>
    </row>
    <row r="4985" spans="5:13">
      <c r="E4985" s="972"/>
      <c r="F4985" s="972"/>
      <c r="G4985" s="972"/>
      <c r="H4985" s="972"/>
      <c r="I4985" s="972"/>
      <c r="J4985" s="972"/>
      <c r="K4985" s="972"/>
      <c r="L4985" s="972"/>
      <c r="M4985" s="972"/>
    </row>
    <row r="4986" spans="5:13">
      <c r="E4986" s="972"/>
      <c r="F4986" s="972"/>
      <c r="G4986" s="972"/>
      <c r="H4986" s="972"/>
      <c r="I4986" s="972"/>
      <c r="J4986" s="972"/>
      <c r="K4986" s="972"/>
      <c r="L4986" s="972"/>
      <c r="M4986" s="972"/>
    </row>
    <row r="4987" spans="5:13">
      <c r="E4987" s="972"/>
      <c r="F4987" s="972"/>
      <c r="G4987" s="972"/>
      <c r="H4987" s="972"/>
      <c r="I4987" s="972"/>
      <c r="J4987" s="972"/>
      <c r="K4987" s="972"/>
      <c r="L4987" s="972"/>
      <c r="M4987" s="972"/>
    </row>
    <row r="4988" spans="5:13">
      <c r="E4988" s="972"/>
      <c r="F4988" s="972"/>
      <c r="G4988" s="972"/>
      <c r="H4988" s="972"/>
      <c r="I4988" s="972"/>
      <c r="J4988" s="972"/>
      <c r="K4988" s="972"/>
      <c r="L4988" s="972"/>
      <c r="M4988" s="972"/>
    </row>
    <row r="4989" spans="5:13">
      <c r="E4989" s="972"/>
      <c r="F4989" s="972"/>
      <c r="G4989" s="972"/>
      <c r="H4989" s="972"/>
      <c r="I4989" s="972"/>
      <c r="J4989" s="972"/>
      <c r="K4989" s="972"/>
      <c r="L4989" s="972"/>
      <c r="M4989" s="972"/>
    </row>
    <row r="4990" spans="5:13">
      <c r="E4990" s="972"/>
      <c r="F4990" s="972"/>
      <c r="G4990" s="972"/>
      <c r="H4990" s="972"/>
      <c r="I4990" s="972"/>
      <c r="J4990" s="972"/>
      <c r="K4990" s="972"/>
      <c r="L4990" s="972"/>
      <c r="M4990" s="972"/>
    </row>
    <row r="4991" spans="5:13">
      <c r="E4991" s="972"/>
      <c r="F4991" s="972"/>
      <c r="G4991" s="972"/>
      <c r="H4991" s="972"/>
      <c r="I4991" s="972"/>
      <c r="J4991" s="972"/>
      <c r="K4991" s="972"/>
      <c r="L4991" s="972"/>
      <c r="M4991" s="972"/>
    </row>
    <row r="4992" spans="5:13">
      <c r="E4992" s="972"/>
      <c r="F4992" s="972"/>
      <c r="G4992" s="972"/>
      <c r="H4992" s="972"/>
      <c r="I4992" s="972"/>
      <c r="J4992" s="972"/>
      <c r="K4992" s="972"/>
      <c r="L4992" s="972"/>
      <c r="M4992" s="972"/>
    </row>
    <row r="4993" spans="5:13">
      <c r="E4993" s="972"/>
      <c r="F4993" s="972"/>
      <c r="G4993" s="972"/>
      <c r="H4993" s="972"/>
      <c r="I4993" s="972"/>
      <c r="J4993" s="972"/>
      <c r="K4993" s="972"/>
      <c r="L4993" s="972"/>
      <c r="M4993" s="972"/>
    </row>
    <row r="4994" spans="5:13">
      <c r="E4994" s="972"/>
      <c r="F4994" s="972"/>
      <c r="G4994" s="972"/>
      <c r="H4994" s="972"/>
      <c r="I4994" s="972"/>
      <c r="J4994" s="972"/>
      <c r="K4994" s="972"/>
      <c r="L4994" s="972"/>
      <c r="M4994" s="972"/>
    </row>
    <row r="4995" spans="5:13">
      <c r="E4995" s="972"/>
      <c r="F4995" s="972"/>
      <c r="G4995" s="972"/>
      <c r="H4995" s="972"/>
      <c r="I4995" s="972"/>
      <c r="J4995" s="972"/>
      <c r="K4995" s="972"/>
      <c r="L4995" s="972"/>
      <c r="M4995" s="972"/>
    </row>
    <row r="4996" spans="5:13">
      <c r="E4996" s="972"/>
      <c r="F4996" s="972"/>
      <c r="G4996" s="972"/>
      <c r="H4996" s="972"/>
      <c r="I4996" s="972"/>
      <c r="J4996" s="972"/>
      <c r="K4996" s="972"/>
      <c r="L4996" s="972"/>
      <c r="M4996" s="972"/>
    </row>
    <row r="4997" spans="5:13">
      <c r="E4997" s="972"/>
      <c r="F4997" s="972"/>
      <c r="G4997" s="972"/>
      <c r="H4997" s="972"/>
      <c r="I4997" s="972"/>
      <c r="J4997" s="972"/>
      <c r="K4997" s="972"/>
      <c r="L4997" s="972"/>
      <c r="M4997" s="972"/>
    </row>
    <row r="4998" spans="5:13">
      <c r="E4998" s="972"/>
      <c r="F4998" s="972"/>
      <c r="G4998" s="972"/>
      <c r="H4998" s="972"/>
      <c r="I4998" s="972"/>
      <c r="J4998" s="972"/>
      <c r="K4998" s="972"/>
      <c r="L4998" s="972"/>
      <c r="M4998" s="972"/>
    </row>
    <row r="4999" spans="5:13">
      <c r="E4999" s="972"/>
      <c r="F4999" s="972"/>
      <c r="G4999" s="972"/>
      <c r="H4999" s="972"/>
      <c r="I4999" s="972"/>
      <c r="J4999" s="972"/>
      <c r="K4999" s="972"/>
      <c r="L4999" s="972"/>
      <c r="M4999" s="972"/>
    </row>
    <row r="5000" spans="5:13">
      <c r="E5000" s="972"/>
      <c r="F5000" s="972"/>
      <c r="G5000" s="972"/>
      <c r="H5000" s="972"/>
      <c r="I5000" s="972"/>
      <c r="J5000" s="972"/>
      <c r="K5000" s="972"/>
      <c r="L5000" s="972"/>
      <c r="M5000" s="972"/>
    </row>
    <row r="5001" spans="5:13">
      <c r="E5001" s="972"/>
      <c r="F5001" s="972"/>
      <c r="G5001" s="972"/>
      <c r="H5001" s="972"/>
      <c r="I5001" s="972"/>
      <c r="J5001" s="972"/>
      <c r="K5001" s="972"/>
      <c r="L5001" s="972"/>
      <c r="M5001" s="972"/>
    </row>
    <row r="5002" spans="5:13">
      <c r="E5002" s="972"/>
      <c r="F5002" s="972"/>
      <c r="G5002" s="972"/>
      <c r="H5002" s="972"/>
      <c r="I5002" s="972"/>
      <c r="J5002" s="972"/>
      <c r="K5002" s="972"/>
      <c r="L5002" s="972"/>
      <c r="M5002" s="972"/>
    </row>
    <row r="5003" spans="5:13">
      <c r="E5003" s="972"/>
      <c r="F5003" s="972"/>
      <c r="G5003" s="972"/>
      <c r="H5003" s="972"/>
      <c r="I5003" s="972"/>
      <c r="J5003" s="972"/>
      <c r="K5003" s="972"/>
      <c r="L5003" s="972"/>
      <c r="M5003" s="972"/>
    </row>
    <row r="5004" spans="5:13">
      <c r="E5004" s="972"/>
      <c r="F5004" s="972"/>
      <c r="G5004" s="972"/>
      <c r="H5004" s="972"/>
      <c r="I5004" s="972"/>
      <c r="J5004" s="972"/>
      <c r="K5004" s="972"/>
      <c r="L5004" s="972"/>
      <c r="M5004" s="972"/>
    </row>
    <row r="5005" spans="5:13">
      <c r="E5005" s="972"/>
      <c r="F5005" s="972"/>
      <c r="G5005" s="972"/>
      <c r="H5005" s="972"/>
      <c r="I5005" s="972"/>
      <c r="J5005" s="972"/>
      <c r="K5005" s="972"/>
      <c r="L5005" s="972"/>
      <c r="M5005" s="972"/>
    </row>
    <row r="5006" spans="5:13">
      <c r="E5006" s="972"/>
      <c r="F5006" s="972"/>
      <c r="G5006" s="972"/>
      <c r="H5006" s="972"/>
      <c r="I5006" s="972"/>
      <c r="J5006" s="972"/>
      <c r="K5006" s="972"/>
      <c r="L5006" s="972"/>
      <c r="M5006" s="972"/>
    </row>
    <row r="5007" spans="5:13">
      <c r="E5007" s="972"/>
      <c r="F5007" s="972"/>
      <c r="G5007" s="972"/>
      <c r="H5007" s="972"/>
      <c r="I5007" s="972"/>
      <c r="J5007" s="972"/>
      <c r="K5007" s="972"/>
      <c r="L5007" s="972"/>
      <c r="M5007" s="972"/>
    </row>
    <row r="5008" spans="5:13">
      <c r="E5008" s="972"/>
      <c r="F5008" s="972"/>
      <c r="G5008" s="972"/>
      <c r="H5008" s="972"/>
      <c r="I5008" s="972"/>
      <c r="J5008" s="972"/>
      <c r="K5008" s="972"/>
      <c r="L5008" s="972"/>
      <c r="M5008" s="972"/>
    </row>
    <row r="5009" spans="5:13">
      <c r="E5009" s="972"/>
      <c r="F5009" s="972"/>
      <c r="G5009" s="972"/>
      <c r="H5009" s="972"/>
      <c r="I5009" s="972"/>
      <c r="J5009" s="972"/>
      <c r="K5009" s="972"/>
      <c r="L5009" s="972"/>
      <c r="M5009" s="972"/>
    </row>
    <row r="5010" spans="5:13">
      <c r="E5010" s="972"/>
      <c r="F5010" s="972"/>
      <c r="G5010" s="972"/>
      <c r="H5010" s="972"/>
      <c r="I5010" s="972"/>
      <c r="J5010" s="972"/>
      <c r="K5010" s="972"/>
      <c r="L5010" s="972"/>
      <c r="M5010" s="972"/>
    </row>
    <row r="5011" spans="5:13">
      <c r="E5011" s="972"/>
      <c r="F5011" s="972"/>
      <c r="G5011" s="972"/>
      <c r="H5011" s="972"/>
      <c r="I5011" s="972"/>
      <c r="J5011" s="972"/>
      <c r="K5011" s="972"/>
      <c r="L5011" s="972"/>
      <c r="M5011" s="972"/>
    </row>
    <row r="5012" spans="5:13">
      <c r="E5012" s="972"/>
      <c r="F5012" s="972"/>
      <c r="G5012" s="972"/>
      <c r="H5012" s="972"/>
      <c r="I5012" s="972"/>
      <c r="J5012" s="972"/>
      <c r="K5012" s="972"/>
      <c r="L5012" s="972"/>
      <c r="M5012" s="972"/>
    </row>
    <row r="5013" spans="5:13">
      <c r="E5013" s="972"/>
      <c r="F5013" s="972"/>
      <c r="G5013" s="972"/>
      <c r="H5013" s="972"/>
      <c r="I5013" s="972"/>
      <c r="J5013" s="972"/>
      <c r="K5013" s="972"/>
      <c r="L5013" s="972"/>
      <c r="M5013" s="972"/>
    </row>
    <row r="5014" spans="5:13">
      <c r="E5014" s="972"/>
      <c r="F5014" s="972"/>
      <c r="G5014" s="972"/>
      <c r="H5014" s="972"/>
      <c r="I5014" s="972"/>
      <c r="J5014" s="972"/>
      <c r="K5014" s="972"/>
      <c r="L5014" s="972"/>
      <c r="M5014" s="972"/>
    </row>
    <row r="5015" spans="5:13">
      <c r="E5015" s="972"/>
      <c r="F5015" s="972"/>
      <c r="G5015" s="972"/>
      <c r="H5015" s="972"/>
      <c r="I5015" s="972"/>
      <c r="J5015" s="972"/>
      <c r="K5015" s="972"/>
      <c r="L5015" s="972"/>
      <c r="M5015" s="972"/>
    </row>
    <row r="5016" spans="5:13">
      <c r="E5016" s="972"/>
      <c r="F5016" s="972"/>
      <c r="G5016" s="972"/>
      <c r="H5016" s="972"/>
      <c r="I5016" s="972"/>
      <c r="J5016" s="972"/>
      <c r="K5016" s="972"/>
      <c r="L5016" s="972"/>
      <c r="M5016" s="972"/>
    </row>
    <row r="5017" spans="5:13">
      <c r="E5017" s="972"/>
      <c r="F5017" s="972"/>
      <c r="G5017" s="972"/>
      <c r="H5017" s="972"/>
      <c r="I5017" s="972"/>
      <c r="J5017" s="972"/>
      <c r="K5017" s="972"/>
      <c r="L5017" s="972"/>
      <c r="M5017" s="972"/>
    </row>
    <row r="5018" spans="5:13">
      <c r="E5018" s="972"/>
      <c r="F5018" s="972"/>
      <c r="G5018" s="972"/>
      <c r="H5018" s="972"/>
      <c r="I5018" s="972"/>
      <c r="J5018" s="972"/>
      <c r="K5018" s="972"/>
      <c r="L5018" s="972"/>
      <c r="M5018" s="972"/>
    </row>
    <row r="5019" spans="5:13">
      <c r="E5019" s="972"/>
      <c r="F5019" s="972"/>
      <c r="G5019" s="972"/>
      <c r="H5019" s="972"/>
      <c r="I5019" s="972"/>
      <c r="J5019" s="972"/>
      <c r="K5019" s="972"/>
      <c r="L5019" s="972"/>
      <c r="M5019" s="972"/>
    </row>
    <row r="5020" spans="5:13">
      <c r="E5020" s="972"/>
      <c r="F5020" s="972"/>
      <c r="G5020" s="972"/>
      <c r="H5020" s="972"/>
      <c r="I5020" s="972"/>
      <c r="J5020" s="972"/>
      <c r="K5020" s="972"/>
      <c r="L5020" s="972"/>
      <c r="M5020" s="972"/>
    </row>
    <row r="5021" spans="5:13">
      <c r="E5021" s="972"/>
      <c r="F5021" s="972"/>
      <c r="G5021" s="972"/>
      <c r="H5021" s="972"/>
      <c r="I5021" s="972"/>
      <c r="J5021" s="972"/>
      <c r="K5021" s="972"/>
      <c r="L5021" s="972"/>
      <c r="M5021" s="972"/>
    </row>
    <row r="5022" spans="5:13">
      <c r="E5022" s="972"/>
      <c r="F5022" s="972"/>
      <c r="G5022" s="972"/>
      <c r="H5022" s="972"/>
      <c r="I5022" s="972"/>
      <c r="J5022" s="972"/>
      <c r="K5022" s="972"/>
      <c r="L5022" s="972"/>
      <c r="M5022" s="972"/>
    </row>
    <row r="5023" spans="5:13">
      <c r="E5023" s="972"/>
      <c r="F5023" s="972"/>
      <c r="G5023" s="972"/>
      <c r="H5023" s="972"/>
      <c r="I5023" s="972"/>
      <c r="J5023" s="972"/>
      <c r="K5023" s="972"/>
      <c r="L5023" s="972"/>
      <c r="M5023" s="972"/>
    </row>
    <row r="5024" spans="5:13">
      <c r="E5024" s="972"/>
      <c r="F5024" s="972"/>
      <c r="G5024" s="972"/>
      <c r="H5024" s="972"/>
      <c r="I5024" s="972"/>
      <c r="J5024" s="972"/>
      <c r="K5024" s="972"/>
      <c r="L5024" s="972"/>
      <c r="M5024" s="972"/>
    </row>
    <row r="5025" spans="5:13">
      <c r="E5025" s="972"/>
      <c r="F5025" s="972"/>
      <c r="G5025" s="972"/>
      <c r="H5025" s="972"/>
      <c r="I5025" s="972"/>
      <c r="J5025" s="972"/>
      <c r="K5025" s="972"/>
      <c r="L5025" s="972"/>
      <c r="M5025" s="972"/>
    </row>
    <row r="5026" spans="5:13">
      <c r="E5026" s="972"/>
      <c r="F5026" s="972"/>
      <c r="G5026" s="972"/>
      <c r="H5026" s="972"/>
      <c r="I5026" s="972"/>
      <c r="J5026" s="972"/>
      <c r="K5026" s="972"/>
      <c r="L5026" s="972"/>
      <c r="M5026" s="972"/>
    </row>
    <row r="5027" spans="5:13">
      <c r="E5027" s="972"/>
      <c r="F5027" s="972"/>
      <c r="G5027" s="972"/>
      <c r="H5027" s="972"/>
      <c r="I5027" s="972"/>
      <c r="J5027" s="972"/>
      <c r="K5027" s="972"/>
      <c r="L5027" s="972"/>
      <c r="M5027" s="972"/>
    </row>
    <row r="5028" spans="5:13">
      <c r="E5028" s="972"/>
      <c r="F5028" s="972"/>
      <c r="G5028" s="972"/>
      <c r="H5028" s="972"/>
      <c r="I5028" s="972"/>
      <c r="J5028" s="972"/>
      <c r="K5028" s="972"/>
      <c r="L5028" s="972"/>
      <c r="M5028" s="972"/>
    </row>
    <row r="5029" spans="5:13">
      <c r="E5029" s="972"/>
      <c r="F5029" s="972"/>
      <c r="G5029" s="972"/>
      <c r="H5029" s="972"/>
      <c r="I5029" s="972"/>
      <c r="J5029" s="972"/>
      <c r="K5029" s="972"/>
      <c r="L5029" s="972"/>
      <c r="M5029" s="972"/>
    </row>
    <row r="5030" spans="5:13">
      <c r="E5030" s="972"/>
      <c r="F5030" s="972"/>
      <c r="G5030" s="972"/>
      <c r="H5030" s="972"/>
      <c r="I5030" s="972"/>
      <c r="J5030" s="972"/>
      <c r="K5030" s="972"/>
      <c r="L5030" s="972"/>
      <c r="M5030" s="972"/>
    </row>
    <row r="5031" spans="5:13">
      <c r="E5031" s="972"/>
      <c r="F5031" s="972"/>
      <c r="G5031" s="972"/>
      <c r="H5031" s="972"/>
      <c r="I5031" s="972"/>
      <c r="J5031" s="972"/>
      <c r="K5031" s="972"/>
      <c r="L5031" s="972"/>
      <c r="M5031" s="972"/>
    </row>
    <row r="5032" spans="5:13">
      <c r="E5032" s="972"/>
      <c r="F5032" s="972"/>
      <c r="G5032" s="972"/>
      <c r="H5032" s="972"/>
      <c r="I5032" s="972"/>
      <c r="J5032" s="972"/>
      <c r="K5032" s="972"/>
      <c r="L5032" s="972"/>
      <c r="M5032" s="972"/>
    </row>
    <row r="5033" spans="5:13">
      <c r="E5033" s="972"/>
      <c r="F5033" s="972"/>
      <c r="G5033" s="972"/>
      <c r="H5033" s="972"/>
      <c r="I5033" s="972"/>
      <c r="J5033" s="972"/>
      <c r="K5033" s="972"/>
      <c r="L5033" s="972"/>
      <c r="M5033" s="972"/>
    </row>
    <row r="5034" spans="5:13">
      <c r="E5034" s="972"/>
      <c r="F5034" s="972"/>
      <c r="G5034" s="972"/>
      <c r="H5034" s="972"/>
      <c r="I5034" s="972"/>
      <c r="J5034" s="972"/>
      <c r="K5034" s="972"/>
      <c r="L5034" s="972"/>
      <c r="M5034" s="972"/>
    </row>
    <row r="5035" spans="5:13">
      <c r="E5035" s="972"/>
      <c r="F5035" s="972"/>
      <c r="G5035" s="972"/>
      <c r="H5035" s="972"/>
      <c r="I5035" s="972"/>
      <c r="J5035" s="972"/>
      <c r="K5035" s="972"/>
      <c r="L5035" s="972"/>
      <c r="M5035" s="972"/>
    </row>
    <row r="5036" spans="5:13">
      <c r="E5036" s="972"/>
      <c r="F5036" s="972"/>
      <c r="G5036" s="972"/>
      <c r="H5036" s="972"/>
      <c r="I5036" s="972"/>
      <c r="J5036" s="972"/>
      <c r="K5036" s="972"/>
      <c r="L5036" s="972"/>
      <c r="M5036" s="972"/>
    </row>
    <row r="5037" spans="5:13">
      <c r="E5037" s="972"/>
      <c r="F5037" s="972"/>
      <c r="G5037" s="972"/>
      <c r="H5037" s="972"/>
      <c r="I5037" s="972"/>
      <c r="J5037" s="972"/>
      <c r="K5037" s="972"/>
      <c r="L5037" s="972"/>
      <c r="M5037" s="972"/>
    </row>
    <row r="5038" spans="5:13">
      <c r="E5038" s="972"/>
      <c r="F5038" s="972"/>
      <c r="G5038" s="972"/>
      <c r="H5038" s="972"/>
      <c r="I5038" s="972"/>
      <c r="J5038" s="972"/>
      <c r="K5038" s="972"/>
      <c r="L5038" s="972"/>
      <c r="M5038" s="972"/>
    </row>
    <row r="5039" spans="5:13">
      <c r="E5039" s="972"/>
      <c r="F5039" s="972"/>
      <c r="G5039" s="972"/>
      <c r="H5039" s="972"/>
      <c r="I5039" s="972"/>
      <c r="J5039" s="972"/>
      <c r="K5039" s="972"/>
      <c r="L5039" s="972"/>
      <c r="M5039" s="972"/>
    </row>
    <row r="5040" spans="5:13">
      <c r="E5040" s="972"/>
      <c r="F5040" s="972"/>
      <c r="G5040" s="972"/>
      <c r="H5040" s="972"/>
      <c r="I5040" s="972"/>
      <c r="J5040" s="972"/>
      <c r="K5040" s="972"/>
      <c r="L5040" s="972"/>
      <c r="M5040" s="972"/>
    </row>
    <row r="5041" spans="5:13">
      <c r="E5041" s="972"/>
      <c r="F5041" s="972"/>
      <c r="G5041" s="972"/>
      <c r="H5041" s="972"/>
      <c r="I5041" s="972"/>
      <c r="J5041" s="972"/>
      <c r="K5041" s="972"/>
      <c r="L5041" s="972"/>
      <c r="M5041" s="972"/>
    </row>
    <row r="5042" spans="5:13">
      <c r="E5042" s="972"/>
      <c r="F5042" s="972"/>
      <c r="G5042" s="972"/>
      <c r="H5042" s="972"/>
      <c r="I5042" s="972"/>
      <c r="J5042" s="972"/>
      <c r="K5042" s="972"/>
      <c r="L5042" s="972"/>
      <c r="M5042" s="972"/>
    </row>
    <row r="5043" spans="5:13">
      <c r="E5043" s="972"/>
      <c r="F5043" s="972"/>
      <c r="G5043" s="972"/>
      <c r="H5043" s="972"/>
      <c r="I5043" s="972"/>
      <c r="J5043" s="972"/>
      <c r="K5043" s="972"/>
      <c r="L5043" s="972"/>
      <c r="M5043" s="972"/>
    </row>
    <row r="5044" spans="5:13">
      <c r="E5044" s="972"/>
      <c r="F5044" s="972"/>
      <c r="G5044" s="972"/>
      <c r="H5044" s="972"/>
      <c r="I5044" s="972"/>
      <c r="J5044" s="972"/>
      <c r="K5044" s="972"/>
      <c r="L5044" s="972"/>
      <c r="M5044" s="972"/>
    </row>
    <row r="5045" spans="5:13">
      <c r="E5045" s="972"/>
      <c r="F5045" s="972"/>
      <c r="G5045" s="972"/>
      <c r="H5045" s="972"/>
      <c r="I5045" s="972"/>
      <c r="J5045" s="972"/>
      <c r="K5045" s="972"/>
      <c r="L5045" s="972"/>
      <c r="M5045" s="972"/>
    </row>
    <row r="5046" spans="5:13">
      <c r="E5046" s="972"/>
      <c r="F5046" s="972"/>
      <c r="G5046" s="972"/>
      <c r="H5046" s="972"/>
      <c r="I5046" s="972"/>
      <c r="J5046" s="972"/>
      <c r="K5046" s="972"/>
      <c r="L5046" s="972"/>
      <c r="M5046" s="972"/>
    </row>
    <row r="5047" spans="5:13">
      <c r="E5047" s="972"/>
      <c r="F5047" s="972"/>
      <c r="G5047" s="972"/>
      <c r="H5047" s="972"/>
      <c r="I5047" s="972"/>
      <c r="J5047" s="972"/>
      <c r="K5047" s="972"/>
      <c r="L5047" s="972"/>
      <c r="M5047" s="972"/>
    </row>
    <row r="5048" spans="5:13">
      <c r="E5048" s="972"/>
      <c r="F5048" s="972"/>
      <c r="G5048" s="972"/>
      <c r="H5048" s="972"/>
      <c r="I5048" s="972"/>
      <c r="J5048" s="972"/>
      <c r="K5048" s="972"/>
      <c r="L5048" s="972"/>
      <c r="M5048" s="972"/>
    </row>
    <row r="5049" spans="5:13">
      <c r="E5049" s="972"/>
      <c r="F5049" s="972"/>
      <c r="G5049" s="972"/>
      <c r="H5049" s="972"/>
      <c r="I5049" s="972"/>
      <c r="J5049" s="972"/>
      <c r="K5049" s="972"/>
      <c r="L5049" s="972"/>
      <c r="M5049" s="972"/>
    </row>
    <row r="5050" spans="5:13">
      <c r="E5050" s="972"/>
      <c r="F5050" s="972"/>
      <c r="G5050" s="972"/>
      <c r="H5050" s="972"/>
      <c r="I5050" s="972"/>
      <c r="J5050" s="972"/>
      <c r="K5050" s="972"/>
      <c r="L5050" s="972"/>
      <c r="M5050" s="972"/>
    </row>
    <row r="5051" spans="5:13">
      <c r="E5051" s="972"/>
      <c r="F5051" s="972"/>
      <c r="G5051" s="972"/>
      <c r="H5051" s="972"/>
      <c r="I5051" s="972"/>
      <c r="J5051" s="972"/>
      <c r="K5051" s="972"/>
      <c r="L5051" s="972"/>
      <c r="M5051" s="972"/>
    </row>
    <row r="5052" spans="5:13">
      <c r="E5052" s="972"/>
      <c r="F5052" s="972"/>
      <c r="G5052" s="972"/>
      <c r="H5052" s="972"/>
      <c r="I5052" s="972"/>
      <c r="J5052" s="972"/>
      <c r="K5052" s="972"/>
      <c r="L5052" s="972"/>
      <c r="M5052" s="972"/>
    </row>
    <row r="5053" spans="5:13">
      <c r="E5053" s="972"/>
      <c r="F5053" s="972"/>
      <c r="G5053" s="972"/>
      <c r="H5053" s="972"/>
      <c r="I5053" s="972"/>
      <c r="J5053" s="972"/>
      <c r="K5053" s="972"/>
      <c r="L5053" s="972"/>
      <c r="M5053" s="972"/>
    </row>
    <row r="5054" spans="5:13">
      <c r="E5054" s="972"/>
      <c r="F5054" s="972"/>
      <c r="G5054" s="972"/>
      <c r="H5054" s="972"/>
      <c r="I5054" s="972"/>
      <c r="J5054" s="972"/>
      <c r="K5054" s="972"/>
      <c r="L5054" s="972"/>
      <c r="M5054" s="972"/>
    </row>
    <row r="5055" spans="5:13">
      <c r="E5055" s="972"/>
      <c r="F5055" s="972"/>
      <c r="G5055" s="972"/>
      <c r="H5055" s="972"/>
      <c r="I5055" s="972"/>
      <c r="J5055" s="972"/>
      <c r="K5055" s="972"/>
      <c r="L5055" s="972"/>
      <c r="M5055" s="972"/>
    </row>
    <row r="5056" spans="5:13">
      <c r="E5056" s="972"/>
      <c r="F5056" s="972"/>
      <c r="G5056" s="972"/>
      <c r="H5056" s="972"/>
      <c r="I5056" s="972"/>
      <c r="J5056" s="972"/>
      <c r="K5056" s="972"/>
      <c r="L5056" s="972"/>
      <c r="M5056" s="972"/>
    </row>
    <row r="5057" spans="5:13">
      <c r="E5057" s="972"/>
      <c r="F5057" s="972"/>
      <c r="G5057" s="972"/>
      <c r="H5057" s="972"/>
      <c r="I5057" s="972"/>
      <c r="J5057" s="972"/>
      <c r="K5057" s="972"/>
      <c r="L5057" s="972"/>
      <c r="M5057" s="972"/>
    </row>
    <row r="5058" spans="5:13">
      <c r="E5058" s="972"/>
      <c r="F5058" s="972"/>
      <c r="G5058" s="972"/>
      <c r="H5058" s="972"/>
      <c r="I5058" s="972"/>
      <c r="J5058" s="972"/>
      <c r="K5058" s="972"/>
      <c r="L5058" s="972"/>
      <c r="M5058" s="972"/>
    </row>
    <row r="5059" spans="5:13">
      <c r="E5059" s="972"/>
      <c r="F5059" s="972"/>
      <c r="G5059" s="972"/>
      <c r="H5059" s="972"/>
      <c r="I5059" s="972"/>
      <c r="J5059" s="972"/>
      <c r="K5059" s="972"/>
      <c r="L5059" s="972"/>
      <c r="M5059" s="972"/>
    </row>
    <row r="5060" spans="5:13">
      <c r="E5060" s="972"/>
      <c r="F5060" s="972"/>
      <c r="G5060" s="972"/>
      <c r="H5060" s="972"/>
      <c r="I5060" s="972"/>
      <c r="J5060" s="972"/>
      <c r="K5060" s="972"/>
      <c r="L5060" s="972"/>
      <c r="M5060" s="972"/>
    </row>
    <row r="5061" spans="5:13">
      <c r="E5061" s="972"/>
      <c r="F5061" s="972"/>
      <c r="G5061" s="972"/>
      <c r="H5061" s="972"/>
      <c r="I5061" s="972"/>
      <c r="J5061" s="972"/>
      <c r="K5061" s="972"/>
      <c r="L5061" s="972"/>
      <c r="M5061" s="972"/>
    </row>
    <row r="5062" spans="5:13">
      <c r="E5062" s="972"/>
      <c r="F5062" s="972"/>
      <c r="G5062" s="972"/>
      <c r="H5062" s="972"/>
      <c r="I5062" s="972"/>
      <c r="J5062" s="972"/>
      <c r="K5062" s="972"/>
      <c r="L5062" s="972"/>
      <c r="M5062" s="972"/>
    </row>
    <row r="5063" spans="5:13">
      <c r="E5063" s="972"/>
      <c r="F5063" s="972"/>
      <c r="G5063" s="972"/>
      <c r="H5063" s="972"/>
      <c r="I5063" s="972"/>
      <c r="J5063" s="972"/>
      <c r="K5063" s="972"/>
      <c r="L5063" s="972"/>
      <c r="M5063" s="972"/>
    </row>
    <row r="5064" spans="5:13">
      <c r="E5064" s="972"/>
      <c r="F5064" s="972"/>
      <c r="G5064" s="972"/>
      <c r="H5064" s="972"/>
      <c r="I5064" s="972"/>
      <c r="J5064" s="972"/>
      <c r="K5064" s="972"/>
      <c r="L5064" s="972"/>
      <c r="M5064" s="972"/>
    </row>
    <row r="5065" spans="5:13">
      <c r="E5065" s="972"/>
      <c r="F5065" s="972"/>
      <c r="G5065" s="972"/>
      <c r="H5065" s="972"/>
      <c r="I5065" s="972"/>
      <c r="J5065" s="972"/>
      <c r="K5065" s="972"/>
      <c r="L5065" s="972"/>
      <c r="M5065" s="972"/>
    </row>
    <row r="5066" spans="5:13">
      <c r="E5066" s="972"/>
      <c r="F5066" s="972"/>
      <c r="G5066" s="972"/>
      <c r="H5066" s="972"/>
      <c r="I5066" s="972"/>
      <c r="J5066" s="972"/>
      <c r="K5066" s="972"/>
      <c r="L5066" s="972"/>
      <c r="M5066" s="972"/>
    </row>
    <row r="5067" spans="5:13">
      <c r="E5067" s="972"/>
      <c r="F5067" s="972"/>
      <c r="G5067" s="972"/>
      <c r="H5067" s="972"/>
      <c r="I5067" s="972"/>
      <c r="J5067" s="972"/>
      <c r="K5067" s="972"/>
      <c r="L5067" s="972"/>
      <c r="M5067" s="972"/>
    </row>
    <row r="5068" spans="5:13">
      <c r="E5068" s="972"/>
      <c r="F5068" s="972"/>
      <c r="G5068" s="972"/>
      <c r="H5068" s="972"/>
      <c r="I5068" s="972"/>
      <c r="J5068" s="972"/>
      <c r="K5068" s="972"/>
      <c r="L5068" s="972"/>
      <c r="M5068" s="972"/>
    </row>
    <row r="5069" spans="5:13">
      <c r="E5069" s="972"/>
      <c r="F5069" s="972"/>
      <c r="G5069" s="972"/>
      <c r="H5069" s="972"/>
      <c r="I5069" s="972"/>
      <c r="J5069" s="972"/>
      <c r="K5069" s="972"/>
      <c r="L5069" s="972"/>
      <c r="M5069" s="972"/>
    </row>
    <row r="5070" spans="5:13">
      <c r="E5070" s="972"/>
      <c r="F5070" s="972"/>
      <c r="G5070" s="972"/>
      <c r="H5070" s="972"/>
      <c r="I5070" s="972"/>
      <c r="J5070" s="972"/>
      <c r="K5070" s="972"/>
      <c r="L5070" s="972"/>
      <c r="M5070" s="972"/>
    </row>
    <row r="5071" spans="5:13">
      <c r="E5071" s="972"/>
      <c r="F5071" s="972"/>
      <c r="G5071" s="972"/>
      <c r="H5071" s="972"/>
      <c r="I5071" s="972"/>
      <c r="J5071" s="972"/>
      <c r="K5071" s="972"/>
      <c r="L5071" s="972"/>
      <c r="M5071" s="972"/>
    </row>
    <row r="5072" spans="5:13">
      <c r="E5072" s="972"/>
      <c r="F5072" s="972"/>
      <c r="G5072" s="972"/>
      <c r="H5072" s="972"/>
      <c r="I5072" s="972"/>
      <c r="J5072" s="972"/>
      <c r="K5072" s="972"/>
      <c r="L5072" s="972"/>
      <c r="M5072" s="972"/>
    </row>
    <row r="5073" spans="5:13">
      <c r="E5073" s="972"/>
      <c r="F5073" s="972"/>
      <c r="G5073" s="972"/>
      <c r="H5073" s="972"/>
      <c r="I5073" s="972"/>
      <c r="J5073" s="972"/>
      <c r="K5073" s="972"/>
      <c r="L5073" s="972"/>
      <c r="M5073" s="972"/>
    </row>
    <row r="5074" spans="5:13">
      <c r="E5074" s="972"/>
      <c r="F5074" s="972"/>
      <c r="G5074" s="972"/>
      <c r="H5074" s="972"/>
      <c r="I5074" s="972"/>
      <c r="J5074" s="972"/>
      <c r="K5074" s="972"/>
      <c r="L5074" s="972"/>
      <c r="M5074" s="972"/>
    </row>
    <row r="5075" spans="5:13">
      <c r="E5075" s="972"/>
      <c r="F5075" s="972"/>
      <c r="G5075" s="972"/>
      <c r="H5075" s="972"/>
      <c r="I5075" s="972"/>
      <c r="J5075" s="972"/>
      <c r="K5075" s="972"/>
      <c r="L5075" s="972"/>
      <c r="M5075" s="972"/>
    </row>
    <row r="5076" spans="5:13">
      <c r="E5076" s="972"/>
      <c r="F5076" s="972"/>
      <c r="G5076" s="972"/>
      <c r="H5076" s="972"/>
      <c r="I5076" s="972"/>
      <c r="J5076" s="972"/>
      <c r="K5076" s="972"/>
      <c r="L5076" s="972"/>
      <c r="M5076" s="972"/>
    </row>
    <row r="5077" spans="5:13">
      <c r="E5077" s="972"/>
      <c r="F5077" s="972"/>
      <c r="G5077" s="972"/>
      <c r="H5077" s="972"/>
      <c r="I5077" s="972"/>
      <c r="J5077" s="972"/>
      <c r="K5077" s="972"/>
      <c r="L5077" s="972"/>
      <c r="M5077" s="972"/>
    </row>
    <row r="5078" spans="5:13">
      <c r="E5078" s="972"/>
      <c r="F5078" s="972"/>
      <c r="G5078" s="972"/>
      <c r="H5078" s="972"/>
      <c r="I5078" s="972"/>
      <c r="J5078" s="972"/>
      <c r="K5078" s="972"/>
      <c r="L5078" s="972"/>
      <c r="M5078" s="972"/>
    </row>
    <row r="5079" spans="5:13">
      <c r="E5079" s="972"/>
      <c r="F5079" s="972"/>
      <c r="G5079" s="972"/>
      <c r="H5079" s="972"/>
      <c r="I5079" s="972"/>
      <c r="J5079" s="972"/>
      <c r="K5079" s="972"/>
      <c r="L5079" s="972"/>
      <c r="M5079" s="972"/>
    </row>
    <row r="5080" spans="5:13">
      <c r="E5080" s="972"/>
      <c r="F5080" s="972"/>
      <c r="G5080" s="972"/>
      <c r="H5080" s="972"/>
      <c r="I5080" s="972"/>
      <c r="J5080" s="972"/>
      <c r="K5080" s="972"/>
      <c r="L5080" s="972"/>
      <c r="M5080" s="972"/>
    </row>
    <row r="5081" spans="5:13">
      <c r="E5081" s="972"/>
      <c r="F5081" s="972"/>
      <c r="G5081" s="972"/>
      <c r="H5081" s="972"/>
      <c r="I5081" s="972"/>
      <c r="J5081" s="972"/>
      <c r="K5081" s="972"/>
      <c r="L5081" s="972"/>
      <c r="M5081" s="972"/>
    </row>
    <row r="5082" spans="5:13">
      <c r="E5082" s="972"/>
      <c r="F5082" s="972"/>
      <c r="G5082" s="972"/>
      <c r="H5082" s="972"/>
      <c r="I5082" s="972"/>
      <c r="J5082" s="972"/>
      <c r="K5082" s="972"/>
      <c r="L5082" s="972"/>
      <c r="M5082" s="972"/>
    </row>
    <row r="5083" spans="5:13">
      <c r="E5083" s="972"/>
      <c r="F5083" s="972"/>
      <c r="G5083" s="972"/>
      <c r="H5083" s="972"/>
      <c r="I5083" s="972"/>
      <c r="J5083" s="972"/>
      <c r="K5083" s="972"/>
      <c r="L5083" s="972"/>
      <c r="M5083" s="972"/>
    </row>
    <row r="5084" spans="5:13">
      <c r="H5084" s="964"/>
      <c r="M5084" s="972"/>
    </row>
    <row r="5085" spans="5:13">
      <c r="H5085" s="964"/>
      <c r="M5085" s="972"/>
    </row>
    <row r="5086" spans="5:13">
      <c r="H5086" s="964"/>
    </row>
    <row r="5087" spans="5:13">
      <c r="H5087" s="964"/>
    </row>
    <row r="5088" spans="5:13">
      <c r="H5088" s="964"/>
    </row>
    <row r="5089" spans="8:8" s="956" customFormat="1">
      <c r="H5089" s="964"/>
    </row>
    <row r="5090" spans="8:8" s="956" customFormat="1">
      <c r="H5090" s="964"/>
    </row>
    <row r="5091" spans="8:8" s="956" customFormat="1">
      <c r="H5091" s="964"/>
    </row>
    <row r="5092" spans="8:8" s="956" customFormat="1">
      <c r="H5092" s="964"/>
    </row>
    <row r="5093" spans="8:8" s="956" customFormat="1">
      <c r="H5093" s="964"/>
    </row>
    <row r="5094" spans="8:8" s="956" customFormat="1">
      <c r="H5094" s="964"/>
    </row>
    <row r="5095" spans="8:8" s="956" customFormat="1">
      <c r="H5095" s="964"/>
    </row>
    <row r="5096" spans="8:8" s="956" customFormat="1">
      <c r="H5096" s="964"/>
    </row>
    <row r="5097" spans="8:8" s="956" customFormat="1">
      <c r="H5097" s="964"/>
    </row>
    <row r="5098" spans="8:8" s="956" customFormat="1">
      <c r="H5098" s="964"/>
    </row>
    <row r="5099" spans="8:8" s="956" customFormat="1">
      <c r="H5099" s="964"/>
    </row>
    <row r="5100" spans="8:8" s="956" customFormat="1">
      <c r="H5100" s="964"/>
    </row>
    <row r="5101" spans="8:8" s="956" customFormat="1">
      <c r="H5101" s="964"/>
    </row>
    <row r="5102" spans="8:8" s="956" customFormat="1">
      <c r="H5102" s="964"/>
    </row>
    <row r="5103" spans="8:8" s="956" customFormat="1">
      <c r="H5103" s="964"/>
    </row>
    <row r="5104" spans="8:8" s="956" customFormat="1">
      <c r="H5104" s="964"/>
    </row>
    <row r="5105" spans="8:8" s="956" customFormat="1">
      <c r="H5105" s="964"/>
    </row>
    <row r="5106" spans="8:8" s="956" customFormat="1">
      <c r="H5106" s="964"/>
    </row>
    <row r="5107" spans="8:8" s="956" customFormat="1">
      <c r="H5107" s="964"/>
    </row>
    <row r="5108" spans="8:8" s="956" customFormat="1">
      <c r="H5108" s="964"/>
    </row>
    <row r="5109" spans="8:8" s="956" customFormat="1">
      <c r="H5109" s="964"/>
    </row>
    <row r="5110" spans="8:8" s="956" customFormat="1">
      <c r="H5110" s="964"/>
    </row>
    <row r="5111" spans="8:8" s="956" customFormat="1">
      <c r="H5111" s="964"/>
    </row>
    <row r="5112" spans="8:8" s="956" customFormat="1">
      <c r="H5112" s="964"/>
    </row>
    <row r="5113" spans="8:8" s="956" customFormat="1">
      <c r="H5113" s="964"/>
    </row>
    <row r="5114" spans="8:8" s="956" customFormat="1">
      <c r="H5114" s="964"/>
    </row>
    <row r="5115" spans="8:8" s="956" customFormat="1">
      <c r="H5115" s="964"/>
    </row>
    <row r="5116" spans="8:8" s="956" customFormat="1">
      <c r="H5116" s="964"/>
    </row>
    <row r="5117" spans="8:8" s="956" customFormat="1">
      <c r="H5117" s="964"/>
    </row>
    <row r="5118" spans="8:8" s="956" customFormat="1">
      <c r="H5118" s="964"/>
    </row>
    <row r="5119" spans="8:8" s="956" customFormat="1">
      <c r="H5119" s="964"/>
    </row>
    <row r="5120" spans="8:8" s="956" customFormat="1">
      <c r="H5120" s="964"/>
    </row>
    <row r="5121" spans="8:8" s="956" customFormat="1">
      <c r="H5121" s="964"/>
    </row>
    <row r="5122" spans="8:8" s="956" customFormat="1">
      <c r="H5122" s="964"/>
    </row>
    <row r="5123" spans="8:8" s="956" customFormat="1">
      <c r="H5123" s="964"/>
    </row>
    <row r="5124" spans="8:8" s="956" customFormat="1">
      <c r="H5124" s="964"/>
    </row>
    <row r="5125" spans="8:8" s="956" customFormat="1">
      <c r="H5125" s="964"/>
    </row>
    <row r="5126" spans="8:8" s="956" customFormat="1">
      <c r="H5126" s="964"/>
    </row>
    <row r="5127" spans="8:8" s="956" customFormat="1">
      <c r="H5127" s="964"/>
    </row>
    <row r="5128" spans="8:8" s="956" customFormat="1">
      <c r="H5128" s="964"/>
    </row>
    <row r="5129" spans="8:8" s="956" customFormat="1">
      <c r="H5129" s="964"/>
    </row>
    <row r="5130" spans="8:8" s="956" customFormat="1">
      <c r="H5130" s="964"/>
    </row>
    <row r="5131" spans="8:8" s="956" customFormat="1">
      <c r="H5131" s="964"/>
    </row>
    <row r="5132" spans="8:8" s="956" customFormat="1">
      <c r="H5132" s="964"/>
    </row>
    <row r="5133" spans="8:8" s="956" customFormat="1">
      <c r="H5133" s="964"/>
    </row>
    <row r="5134" spans="8:8" s="956" customFormat="1">
      <c r="H5134" s="964"/>
    </row>
    <row r="5135" spans="8:8" s="956" customFormat="1">
      <c r="H5135" s="964"/>
    </row>
    <row r="5136" spans="8:8" s="956" customFormat="1">
      <c r="H5136" s="964"/>
    </row>
    <row r="5137" spans="8:8" s="956" customFormat="1">
      <c r="H5137" s="964"/>
    </row>
    <row r="5138" spans="8:8" s="956" customFormat="1">
      <c r="H5138" s="964"/>
    </row>
    <row r="5139" spans="8:8" s="956" customFormat="1">
      <c r="H5139" s="964"/>
    </row>
    <row r="5140" spans="8:8" s="956" customFormat="1">
      <c r="H5140" s="964"/>
    </row>
    <row r="5141" spans="8:8" s="956" customFormat="1">
      <c r="H5141" s="964"/>
    </row>
    <row r="5142" spans="8:8" s="956" customFormat="1">
      <c r="H5142" s="964"/>
    </row>
    <row r="5143" spans="8:8" s="956" customFormat="1">
      <c r="H5143" s="964"/>
    </row>
    <row r="5144" spans="8:8" s="956" customFormat="1">
      <c r="H5144" s="964"/>
    </row>
    <row r="5145" spans="8:8" s="956" customFormat="1">
      <c r="H5145" s="964"/>
    </row>
    <row r="5146" spans="8:8" s="956" customFormat="1">
      <c r="H5146" s="964"/>
    </row>
    <row r="5147" spans="8:8" s="956" customFormat="1">
      <c r="H5147" s="964"/>
    </row>
    <row r="5148" spans="8:8" s="956" customFormat="1">
      <c r="H5148" s="964"/>
    </row>
    <row r="5149" spans="8:8" s="956" customFormat="1">
      <c r="H5149" s="964"/>
    </row>
    <row r="5150" spans="8:8" s="956" customFormat="1">
      <c r="H5150" s="964"/>
    </row>
    <row r="5151" spans="8:8" s="956" customFormat="1">
      <c r="H5151" s="964"/>
    </row>
    <row r="5152" spans="8:8" s="956" customFormat="1">
      <c r="H5152" s="964"/>
    </row>
    <row r="5153" spans="8:8" s="956" customFormat="1">
      <c r="H5153" s="964"/>
    </row>
    <row r="5154" spans="8:8" s="956" customFormat="1">
      <c r="H5154" s="964"/>
    </row>
    <row r="5155" spans="8:8" s="956" customFormat="1">
      <c r="H5155" s="964"/>
    </row>
    <row r="5156" spans="8:8" s="956" customFormat="1">
      <c r="H5156" s="964"/>
    </row>
    <row r="5157" spans="8:8" s="956" customFormat="1">
      <c r="H5157" s="964"/>
    </row>
    <row r="5158" spans="8:8" s="956" customFormat="1">
      <c r="H5158" s="964"/>
    </row>
    <row r="5159" spans="8:8" s="956" customFormat="1">
      <c r="H5159" s="964"/>
    </row>
    <row r="5160" spans="8:8" s="956" customFormat="1">
      <c r="H5160" s="964"/>
    </row>
    <row r="5161" spans="8:8" s="956" customFormat="1">
      <c r="H5161" s="964"/>
    </row>
    <row r="5162" spans="8:8" s="956" customFormat="1">
      <c r="H5162" s="964"/>
    </row>
    <row r="5163" spans="8:8" s="956" customFormat="1">
      <c r="H5163" s="964"/>
    </row>
    <row r="5164" spans="8:8" s="956" customFormat="1">
      <c r="H5164" s="964"/>
    </row>
    <row r="5165" spans="8:8" s="956" customFormat="1">
      <c r="H5165" s="964"/>
    </row>
    <row r="5166" spans="8:8" s="956" customFormat="1">
      <c r="H5166" s="964"/>
    </row>
    <row r="5167" spans="8:8" s="956" customFormat="1">
      <c r="H5167" s="964"/>
    </row>
    <row r="5168" spans="8:8" s="956" customFormat="1">
      <c r="H5168" s="964"/>
    </row>
    <row r="5169" spans="8:8" s="956" customFormat="1">
      <c r="H5169" s="964"/>
    </row>
    <row r="5170" spans="8:8" s="956" customFormat="1">
      <c r="H5170" s="964"/>
    </row>
    <row r="5171" spans="8:8" s="956" customFormat="1">
      <c r="H5171" s="964"/>
    </row>
    <row r="5172" spans="8:8" s="956" customFormat="1">
      <c r="H5172" s="964"/>
    </row>
    <row r="5173" spans="8:8" s="956" customFormat="1">
      <c r="H5173" s="964"/>
    </row>
    <row r="5174" spans="8:8" s="956" customFormat="1">
      <c r="H5174" s="964"/>
    </row>
    <row r="5175" spans="8:8" s="956" customFormat="1">
      <c r="H5175" s="964"/>
    </row>
    <row r="5176" spans="8:8" s="956" customFormat="1">
      <c r="H5176" s="964"/>
    </row>
    <row r="5177" spans="8:8" s="956" customFormat="1">
      <c r="H5177" s="964"/>
    </row>
    <row r="5178" spans="8:8" s="956" customFormat="1">
      <c r="H5178" s="964"/>
    </row>
    <row r="5179" spans="8:8" s="956" customFormat="1">
      <c r="H5179" s="964"/>
    </row>
    <row r="5180" spans="8:8" s="956" customFormat="1">
      <c r="H5180" s="964"/>
    </row>
    <row r="5181" spans="8:8" s="956" customFormat="1">
      <c r="H5181" s="964"/>
    </row>
    <row r="5182" spans="8:8" s="956" customFormat="1">
      <c r="H5182" s="964"/>
    </row>
    <row r="5183" spans="8:8" s="956" customFormat="1">
      <c r="H5183" s="964"/>
    </row>
    <row r="5184" spans="8:8" s="956" customFormat="1">
      <c r="H5184" s="964"/>
    </row>
    <row r="5185" spans="8:8" s="956" customFormat="1">
      <c r="H5185" s="964"/>
    </row>
    <row r="5186" spans="8:8" s="956" customFormat="1">
      <c r="H5186" s="964"/>
    </row>
    <row r="5187" spans="8:8" s="956" customFormat="1">
      <c r="H5187" s="964"/>
    </row>
    <row r="5188" spans="8:8" s="956" customFormat="1">
      <c r="H5188" s="964"/>
    </row>
    <row r="5189" spans="8:8" s="956" customFormat="1">
      <c r="H5189" s="964"/>
    </row>
    <row r="5190" spans="8:8" s="956" customFormat="1">
      <c r="H5190" s="964"/>
    </row>
    <row r="5191" spans="8:8" s="956" customFormat="1">
      <c r="H5191" s="964"/>
    </row>
    <row r="5192" spans="8:8" s="956" customFormat="1">
      <c r="H5192" s="964"/>
    </row>
    <row r="5193" spans="8:8" s="956" customFormat="1">
      <c r="H5193" s="964"/>
    </row>
    <row r="5194" spans="8:8" s="956" customFormat="1">
      <c r="H5194" s="964"/>
    </row>
    <row r="5195" spans="8:8" s="956" customFormat="1">
      <c r="H5195" s="964"/>
    </row>
    <row r="5196" spans="8:8" s="956" customFormat="1">
      <c r="H5196" s="964"/>
    </row>
    <row r="5197" spans="8:8" s="956" customFormat="1">
      <c r="H5197" s="964"/>
    </row>
    <row r="5198" spans="8:8" s="956" customFormat="1">
      <c r="H5198" s="964"/>
    </row>
    <row r="5199" spans="8:8" s="956" customFormat="1">
      <c r="H5199" s="964"/>
    </row>
    <row r="5200" spans="8:8" s="956" customFormat="1">
      <c r="H5200" s="964"/>
    </row>
    <row r="5201" spans="8:8" s="956" customFormat="1">
      <c r="H5201" s="964"/>
    </row>
    <row r="5202" spans="8:8" s="956" customFormat="1">
      <c r="H5202" s="964"/>
    </row>
    <row r="5203" spans="8:8" s="956" customFormat="1">
      <c r="H5203" s="964"/>
    </row>
    <row r="5204" spans="8:8" s="956" customFormat="1">
      <c r="H5204" s="964"/>
    </row>
    <row r="5205" spans="8:8" s="956" customFormat="1">
      <c r="H5205" s="964"/>
    </row>
    <row r="5206" spans="8:8" s="956" customFormat="1">
      <c r="H5206" s="964"/>
    </row>
    <row r="5207" spans="8:8" s="956" customFormat="1">
      <c r="H5207" s="964"/>
    </row>
    <row r="5208" spans="8:8" s="956" customFormat="1">
      <c r="H5208" s="964"/>
    </row>
    <row r="5209" spans="8:8" s="956" customFormat="1">
      <c r="H5209" s="964"/>
    </row>
    <row r="5210" spans="8:8" s="956" customFormat="1">
      <c r="H5210" s="964"/>
    </row>
    <row r="5211" spans="8:8" s="956" customFormat="1">
      <c r="H5211" s="964"/>
    </row>
    <row r="5212" spans="8:8" s="956" customFormat="1">
      <c r="H5212" s="964"/>
    </row>
    <row r="5213" spans="8:8" s="956" customFormat="1">
      <c r="H5213" s="964"/>
    </row>
    <row r="5214" spans="8:8" s="956" customFormat="1">
      <c r="H5214" s="964"/>
    </row>
    <row r="5215" spans="8:8" s="956" customFormat="1">
      <c r="H5215" s="964"/>
    </row>
    <row r="5216" spans="8:8" s="956" customFormat="1">
      <c r="H5216" s="964"/>
    </row>
    <row r="5217" spans="8:8" s="956" customFormat="1">
      <c r="H5217" s="964"/>
    </row>
    <row r="5218" spans="8:8" s="956" customFormat="1">
      <c r="H5218" s="964"/>
    </row>
    <row r="5219" spans="8:8" s="956" customFormat="1">
      <c r="H5219" s="964"/>
    </row>
    <row r="5220" spans="8:8" s="956" customFormat="1">
      <c r="H5220" s="964"/>
    </row>
    <row r="5221" spans="8:8" s="956" customFormat="1">
      <c r="H5221" s="964"/>
    </row>
    <row r="5222" spans="8:8" s="956" customFormat="1">
      <c r="H5222" s="964"/>
    </row>
    <row r="5223" spans="8:8" s="956" customFormat="1">
      <c r="H5223" s="964"/>
    </row>
    <row r="5224" spans="8:8" s="956" customFormat="1">
      <c r="H5224" s="964"/>
    </row>
    <row r="5225" spans="8:8" s="956" customFormat="1">
      <c r="H5225" s="964"/>
    </row>
    <row r="5226" spans="8:8" s="956" customFormat="1">
      <c r="H5226" s="964"/>
    </row>
    <row r="5227" spans="8:8" s="956" customFormat="1">
      <c r="H5227" s="964"/>
    </row>
    <row r="5228" spans="8:8" s="956" customFormat="1">
      <c r="H5228" s="964"/>
    </row>
    <row r="5229" spans="8:8" s="956" customFormat="1">
      <c r="H5229" s="964"/>
    </row>
    <row r="5230" spans="8:8" s="956" customFormat="1">
      <c r="H5230" s="964"/>
    </row>
    <row r="5231" spans="8:8" s="956" customFormat="1">
      <c r="H5231" s="964"/>
    </row>
    <row r="5232" spans="8:8" s="956" customFormat="1">
      <c r="H5232" s="964"/>
    </row>
    <row r="5233" spans="8:8" s="956" customFormat="1">
      <c r="H5233" s="964"/>
    </row>
    <row r="5234" spans="8:8" s="956" customFormat="1">
      <c r="H5234" s="964"/>
    </row>
    <row r="5235" spans="8:8" s="956" customFormat="1">
      <c r="H5235" s="964"/>
    </row>
    <row r="5236" spans="8:8" s="956" customFormat="1">
      <c r="H5236" s="964"/>
    </row>
    <row r="5237" spans="8:8" s="956" customFormat="1">
      <c r="H5237" s="964"/>
    </row>
    <row r="5238" spans="8:8" s="956" customFormat="1">
      <c r="H5238" s="964"/>
    </row>
    <row r="5239" spans="8:8" s="956" customFormat="1">
      <c r="H5239" s="964"/>
    </row>
    <row r="5240" spans="8:8" s="956" customFormat="1">
      <c r="H5240" s="964"/>
    </row>
    <row r="5241" spans="8:8" s="956" customFormat="1">
      <c r="H5241" s="964"/>
    </row>
    <row r="5242" spans="8:8" s="956" customFormat="1">
      <c r="H5242" s="964"/>
    </row>
    <row r="5243" spans="8:8" s="956" customFormat="1">
      <c r="H5243" s="964"/>
    </row>
    <row r="5244" spans="8:8" s="956" customFormat="1">
      <c r="H5244" s="964"/>
    </row>
    <row r="5245" spans="8:8" s="956" customFormat="1">
      <c r="H5245" s="964"/>
    </row>
    <row r="5246" spans="8:8" s="956" customFormat="1">
      <c r="H5246" s="964"/>
    </row>
    <row r="5247" spans="8:8" s="956" customFormat="1">
      <c r="H5247" s="964"/>
    </row>
    <row r="5248" spans="8:8" s="956" customFormat="1">
      <c r="H5248" s="964"/>
    </row>
    <row r="5249" spans="8:8" s="956" customFormat="1">
      <c r="H5249" s="964"/>
    </row>
    <row r="5250" spans="8:8" s="956" customFormat="1">
      <c r="H5250" s="964"/>
    </row>
    <row r="5251" spans="8:8" s="956" customFormat="1">
      <c r="H5251" s="964"/>
    </row>
    <row r="5252" spans="8:8" s="956" customFormat="1">
      <c r="H5252" s="964"/>
    </row>
    <row r="5253" spans="8:8" s="956" customFormat="1">
      <c r="H5253" s="964"/>
    </row>
    <row r="5254" spans="8:8" s="956" customFormat="1">
      <c r="H5254" s="964"/>
    </row>
    <row r="5255" spans="8:8" s="956" customFormat="1">
      <c r="H5255" s="964"/>
    </row>
    <row r="5256" spans="8:8" s="956" customFormat="1">
      <c r="H5256" s="964"/>
    </row>
    <row r="5257" spans="8:8" s="956" customFormat="1">
      <c r="H5257" s="964"/>
    </row>
    <row r="5258" spans="8:8" s="956" customFormat="1">
      <c r="H5258" s="964"/>
    </row>
    <row r="5259" spans="8:8" s="956" customFormat="1">
      <c r="H5259" s="964"/>
    </row>
    <row r="5260" spans="8:8" s="956" customFormat="1">
      <c r="H5260" s="964"/>
    </row>
    <row r="5261" spans="8:8" s="956" customFormat="1">
      <c r="H5261" s="964"/>
    </row>
    <row r="5262" spans="8:8" s="956" customFormat="1">
      <c r="H5262" s="964"/>
    </row>
    <row r="5263" spans="8:8" s="956" customFormat="1">
      <c r="H5263" s="964"/>
    </row>
    <row r="5264" spans="8:8" s="956" customFormat="1">
      <c r="H5264" s="964"/>
    </row>
    <row r="5265" spans="8:8" s="956" customFormat="1">
      <c r="H5265" s="964"/>
    </row>
    <row r="5266" spans="8:8" s="956" customFormat="1">
      <c r="H5266" s="964"/>
    </row>
    <row r="5267" spans="8:8" s="956" customFormat="1">
      <c r="H5267" s="964"/>
    </row>
    <row r="5268" spans="8:8" s="956" customFormat="1">
      <c r="H5268" s="964"/>
    </row>
    <row r="5269" spans="8:8" s="956" customFormat="1">
      <c r="H5269" s="964"/>
    </row>
    <row r="5270" spans="8:8" s="956" customFormat="1">
      <c r="H5270" s="964"/>
    </row>
    <row r="5271" spans="8:8" s="956" customFormat="1">
      <c r="H5271" s="964"/>
    </row>
    <row r="5272" spans="8:8" s="956" customFormat="1">
      <c r="H5272" s="964"/>
    </row>
    <row r="5273" spans="8:8" s="956" customFormat="1">
      <c r="H5273" s="964"/>
    </row>
    <row r="5274" spans="8:8" s="956" customFormat="1">
      <c r="H5274" s="964"/>
    </row>
    <row r="5275" spans="8:8" s="956" customFormat="1">
      <c r="H5275" s="964"/>
    </row>
    <row r="5276" spans="8:8" s="956" customFormat="1">
      <c r="H5276" s="964"/>
    </row>
    <row r="5277" spans="8:8" s="956" customFormat="1">
      <c r="H5277" s="964"/>
    </row>
    <row r="5278" spans="8:8" s="956" customFormat="1">
      <c r="H5278" s="964"/>
    </row>
    <row r="5279" spans="8:8" s="956" customFormat="1">
      <c r="H5279" s="964"/>
    </row>
    <row r="5280" spans="8:8" s="956" customFormat="1">
      <c r="H5280" s="964"/>
    </row>
    <row r="5281" spans="8:8" s="956" customFormat="1">
      <c r="H5281" s="964"/>
    </row>
    <row r="5282" spans="8:8" s="956" customFormat="1">
      <c r="H5282" s="964"/>
    </row>
    <row r="5283" spans="8:8" s="956" customFormat="1">
      <c r="H5283" s="964"/>
    </row>
    <row r="5284" spans="8:8" s="956" customFormat="1">
      <c r="H5284" s="964"/>
    </row>
    <row r="5285" spans="8:8" s="956" customFormat="1">
      <c r="H5285" s="964"/>
    </row>
    <row r="5286" spans="8:8" s="956" customFormat="1">
      <c r="H5286" s="964"/>
    </row>
    <row r="5287" spans="8:8" s="956" customFormat="1">
      <c r="H5287" s="964"/>
    </row>
    <row r="5288" spans="8:8" s="956" customFormat="1">
      <c r="H5288" s="964"/>
    </row>
    <row r="5289" spans="8:8" s="956" customFormat="1">
      <c r="H5289" s="964"/>
    </row>
    <row r="5290" spans="8:8" s="956" customFormat="1">
      <c r="H5290" s="964"/>
    </row>
    <row r="5291" spans="8:8" s="956" customFormat="1">
      <c r="H5291" s="964"/>
    </row>
    <row r="5292" spans="8:8" s="956" customFormat="1">
      <c r="H5292" s="964"/>
    </row>
    <row r="5293" spans="8:8" s="956" customFormat="1">
      <c r="H5293" s="964"/>
    </row>
    <row r="5294" spans="8:8" s="956" customFormat="1">
      <c r="H5294" s="964"/>
    </row>
    <row r="5295" spans="8:8" s="956" customFormat="1">
      <c r="H5295" s="964"/>
    </row>
    <row r="5296" spans="8:8" s="956" customFormat="1">
      <c r="H5296" s="964"/>
    </row>
    <row r="5297" spans="8:8" s="956" customFormat="1">
      <c r="H5297" s="964"/>
    </row>
    <row r="5298" spans="8:8" s="956" customFormat="1">
      <c r="H5298" s="964"/>
    </row>
    <row r="5299" spans="8:8" s="956" customFormat="1">
      <c r="H5299" s="964"/>
    </row>
    <row r="5300" spans="8:8" s="956" customFormat="1">
      <c r="H5300" s="964"/>
    </row>
    <row r="5301" spans="8:8" s="956" customFormat="1">
      <c r="H5301" s="964"/>
    </row>
    <row r="5302" spans="8:8" s="956" customFormat="1">
      <c r="H5302" s="964"/>
    </row>
    <row r="5303" spans="8:8" s="956" customFormat="1">
      <c r="H5303" s="964"/>
    </row>
    <row r="5304" spans="8:8" s="956" customFormat="1">
      <c r="H5304" s="964"/>
    </row>
    <row r="5305" spans="8:8" s="956" customFormat="1">
      <c r="H5305" s="964"/>
    </row>
    <row r="5306" spans="8:8" s="956" customFormat="1">
      <c r="H5306" s="964"/>
    </row>
    <row r="5307" spans="8:8" s="956" customFormat="1">
      <c r="H5307" s="964"/>
    </row>
    <row r="5308" spans="8:8" s="956" customFormat="1">
      <c r="H5308" s="964"/>
    </row>
    <row r="5309" spans="8:8" s="956" customFormat="1">
      <c r="H5309" s="964"/>
    </row>
    <row r="5310" spans="8:8" s="956" customFormat="1">
      <c r="H5310" s="964"/>
    </row>
    <row r="5311" spans="8:8" s="956" customFormat="1">
      <c r="H5311" s="964"/>
    </row>
    <row r="5312" spans="8:8" s="956" customFormat="1">
      <c r="H5312" s="964"/>
    </row>
    <row r="5313" spans="8:8" s="956" customFormat="1">
      <c r="H5313" s="964"/>
    </row>
    <row r="5314" spans="8:8" s="956" customFormat="1">
      <c r="H5314" s="964"/>
    </row>
    <row r="5315" spans="8:8" s="956" customFormat="1">
      <c r="H5315" s="964"/>
    </row>
    <row r="5316" spans="8:8" s="956" customFormat="1">
      <c r="H5316" s="964"/>
    </row>
    <row r="5317" spans="8:8" s="956" customFormat="1">
      <c r="H5317" s="964"/>
    </row>
    <row r="5318" spans="8:8" s="956" customFormat="1">
      <c r="H5318" s="964"/>
    </row>
    <row r="5319" spans="8:8" s="956" customFormat="1">
      <c r="H5319" s="964"/>
    </row>
    <row r="5320" spans="8:8" s="956" customFormat="1">
      <c r="H5320" s="964"/>
    </row>
    <row r="5321" spans="8:8" s="956" customFormat="1">
      <c r="H5321" s="964"/>
    </row>
    <row r="5322" spans="8:8" s="956" customFormat="1">
      <c r="H5322" s="964"/>
    </row>
    <row r="5323" spans="8:8" s="956" customFormat="1">
      <c r="H5323" s="964"/>
    </row>
    <row r="5324" spans="8:8" s="956" customFormat="1">
      <c r="H5324" s="964"/>
    </row>
    <row r="5325" spans="8:8" s="956" customFormat="1">
      <c r="H5325" s="964"/>
    </row>
    <row r="5326" spans="8:8" s="956" customFormat="1">
      <c r="H5326" s="964"/>
    </row>
    <row r="5327" spans="8:8" s="956" customFormat="1">
      <c r="H5327" s="964"/>
    </row>
    <row r="5328" spans="8:8" s="956" customFormat="1">
      <c r="H5328" s="964"/>
    </row>
    <row r="5329" spans="8:8" s="956" customFormat="1">
      <c r="H5329" s="964"/>
    </row>
    <row r="5330" spans="8:8" s="956" customFormat="1">
      <c r="H5330" s="964"/>
    </row>
    <row r="5331" spans="8:8" s="956" customFormat="1">
      <c r="H5331" s="964"/>
    </row>
    <row r="5332" spans="8:8" s="956" customFormat="1">
      <c r="H5332" s="964"/>
    </row>
    <row r="5333" spans="8:8" s="956" customFormat="1">
      <c r="H5333" s="964"/>
    </row>
    <row r="5334" spans="8:8" s="956" customFormat="1">
      <c r="H5334" s="964"/>
    </row>
    <row r="5335" spans="8:8" s="956" customFormat="1">
      <c r="H5335" s="964"/>
    </row>
    <row r="5336" spans="8:8" s="956" customFormat="1">
      <c r="H5336" s="964"/>
    </row>
    <row r="5337" spans="8:8" s="956" customFormat="1">
      <c r="H5337" s="964"/>
    </row>
    <row r="5338" spans="8:8" s="956" customFormat="1">
      <c r="H5338" s="964"/>
    </row>
    <row r="5339" spans="8:8" s="956" customFormat="1">
      <c r="H5339" s="964"/>
    </row>
    <row r="5340" spans="8:8" s="956" customFormat="1">
      <c r="H5340" s="964"/>
    </row>
    <row r="5341" spans="8:8" s="956" customFormat="1">
      <c r="H5341" s="964"/>
    </row>
    <row r="5342" spans="8:8" s="956" customFormat="1">
      <c r="H5342" s="964"/>
    </row>
    <row r="5343" spans="8:8" s="956" customFormat="1">
      <c r="H5343" s="964"/>
    </row>
    <row r="5344" spans="8:8" s="956" customFormat="1">
      <c r="H5344" s="964"/>
    </row>
    <row r="5345" spans="8:8" s="956" customFormat="1">
      <c r="H5345" s="964"/>
    </row>
    <row r="5346" spans="8:8" s="956" customFormat="1">
      <c r="H5346" s="964"/>
    </row>
    <row r="5347" spans="8:8" s="956" customFormat="1">
      <c r="H5347" s="964"/>
    </row>
    <row r="5348" spans="8:8" s="956" customFormat="1">
      <c r="H5348" s="964"/>
    </row>
    <row r="5349" spans="8:8" s="956" customFormat="1">
      <c r="H5349" s="964"/>
    </row>
    <row r="5350" spans="8:8" s="956" customFormat="1">
      <c r="H5350" s="964"/>
    </row>
    <row r="5351" spans="8:8" s="956" customFormat="1">
      <c r="H5351" s="964"/>
    </row>
    <row r="5352" spans="8:8" s="956" customFormat="1">
      <c r="H5352" s="964"/>
    </row>
    <row r="5353" spans="8:8" s="956" customFormat="1">
      <c r="H5353" s="964"/>
    </row>
    <row r="5354" spans="8:8" s="956" customFormat="1">
      <c r="H5354" s="964"/>
    </row>
    <row r="5355" spans="8:8" s="956" customFormat="1">
      <c r="H5355" s="964"/>
    </row>
    <row r="5356" spans="8:8" s="956" customFormat="1">
      <c r="H5356" s="964"/>
    </row>
    <row r="5357" spans="8:8" s="956" customFormat="1">
      <c r="H5357" s="964"/>
    </row>
    <row r="5358" spans="8:8" s="956" customFormat="1">
      <c r="H5358" s="964"/>
    </row>
    <row r="5359" spans="8:8" s="956" customFormat="1">
      <c r="H5359" s="964"/>
    </row>
    <row r="5360" spans="8:8" s="956" customFormat="1">
      <c r="H5360" s="964"/>
    </row>
    <row r="5361" spans="8:8" s="956" customFormat="1">
      <c r="H5361" s="964"/>
    </row>
    <row r="5362" spans="8:8" s="956" customFormat="1">
      <c r="H5362" s="964"/>
    </row>
    <row r="5363" spans="8:8" s="956" customFormat="1">
      <c r="H5363" s="964"/>
    </row>
    <row r="5364" spans="8:8" s="956" customFormat="1">
      <c r="H5364" s="964"/>
    </row>
    <row r="5365" spans="8:8" s="956" customFormat="1">
      <c r="H5365" s="964"/>
    </row>
    <row r="5366" spans="8:8" s="956" customFormat="1">
      <c r="H5366" s="964"/>
    </row>
    <row r="5367" spans="8:8" s="956" customFormat="1">
      <c r="H5367" s="964"/>
    </row>
    <row r="5368" spans="8:8" s="956" customFormat="1">
      <c r="H5368" s="964"/>
    </row>
    <row r="5369" spans="8:8" s="956" customFormat="1">
      <c r="H5369" s="964"/>
    </row>
    <row r="5370" spans="8:8" s="956" customFormat="1">
      <c r="H5370" s="964"/>
    </row>
    <row r="5371" spans="8:8" s="956" customFormat="1">
      <c r="H5371" s="964"/>
    </row>
    <row r="5372" spans="8:8" s="956" customFormat="1">
      <c r="H5372" s="964"/>
    </row>
    <row r="5373" spans="8:8" s="956" customFormat="1">
      <c r="H5373" s="964"/>
    </row>
    <row r="5374" spans="8:8" s="956" customFormat="1">
      <c r="H5374" s="964"/>
    </row>
    <row r="5375" spans="8:8" s="956" customFormat="1">
      <c r="H5375" s="964"/>
    </row>
    <row r="5376" spans="8:8" s="956" customFormat="1">
      <c r="H5376" s="964"/>
    </row>
    <row r="5377" spans="8:8" s="956" customFormat="1">
      <c r="H5377" s="964"/>
    </row>
    <row r="5378" spans="8:8" s="956" customFormat="1">
      <c r="H5378" s="964"/>
    </row>
    <row r="5379" spans="8:8" s="956" customFormat="1">
      <c r="H5379" s="964"/>
    </row>
    <row r="5380" spans="8:8" s="956" customFormat="1">
      <c r="H5380" s="964"/>
    </row>
    <row r="5381" spans="8:8" s="956" customFormat="1">
      <c r="H5381" s="964"/>
    </row>
    <row r="5382" spans="8:8" s="956" customFormat="1">
      <c r="H5382" s="964"/>
    </row>
    <row r="5383" spans="8:8" s="956" customFormat="1">
      <c r="H5383" s="964"/>
    </row>
    <row r="5384" spans="8:8" s="956" customFormat="1">
      <c r="H5384" s="964"/>
    </row>
    <row r="5385" spans="8:8" s="956" customFormat="1">
      <c r="H5385" s="964"/>
    </row>
    <row r="5386" spans="8:8" s="956" customFormat="1">
      <c r="H5386" s="964"/>
    </row>
    <row r="5387" spans="8:8" s="956" customFormat="1">
      <c r="H5387" s="964"/>
    </row>
    <row r="5388" spans="8:8" s="956" customFormat="1">
      <c r="H5388" s="964"/>
    </row>
    <row r="5389" spans="8:8" s="956" customFormat="1">
      <c r="H5389" s="964"/>
    </row>
    <row r="5390" spans="8:8" s="956" customFormat="1">
      <c r="H5390" s="964"/>
    </row>
    <row r="5391" spans="8:8" s="956" customFormat="1">
      <c r="H5391" s="964"/>
    </row>
    <row r="5392" spans="8:8" s="956" customFormat="1">
      <c r="H5392" s="964"/>
    </row>
    <row r="5393" spans="8:8" s="956" customFormat="1">
      <c r="H5393" s="964"/>
    </row>
    <row r="5394" spans="8:8" s="956" customFormat="1">
      <c r="H5394" s="964"/>
    </row>
    <row r="5395" spans="8:8" s="956" customFormat="1">
      <c r="H5395" s="964"/>
    </row>
    <row r="5396" spans="8:8" s="956" customFormat="1">
      <c r="H5396" s="964"/>
    </row>
    <row r="5397" spans="8:8" s="956" customFormat="1">
      <c r="H5397" s="964"/>
    </row>
    <row r="5398" spans="8:8" s="956" customFormat="1">
      <c r="H5398" s="964"/>
    </row>
    <row r="5399" spans="8:8" s="956" customFormat="1">
      <c r="H5399" s="964"/>
    </row>
    <row r="5400" spans="8:8" s="956" customFormat="1">
      <c r="H5400" s="964"/>
    </row>
    <row r="5401" spans="8:8" s="956" customFormat="1">
      <c r="H5401" s="964"/>
    </row>
    <row r="5402" spans="8:8" s="956" customFormat="1">
      <c r="H5402" s="964"/>
    </row>
    <row r="5403" spans="8:8" s="956" customFormat="1">
      <c r="H5403" s="964"/>
    </row>
    <row r="5404" spans="8:8" s="956" customFormat="1">
      <c r="H5404" s="964"/>
    </row>
    <row r="5405" spans="8:8" s="956" customFormat="1">
      <c r="H5405" s="964"/>
    </row>
    <row r="5406" spans="8:8" s="956" customFormat="1">
      <c r="H5406" s="964"/>
    </row>
    <row r="5407" spans="8:8" s="956" customFormat="1">
      <c r="H5407" s="964"/>
    </row>
    <row r="5408" spans="8:8" s="956" customFormat="1">
      <c r="H5408" s="964"/>
    </row>
    <row r="5409" spans="8:8" s="956" customFormat="1">
      <c r="H5409" s="964"/>
    </row>
    <row r="5410" spans="8:8" s="956" customFormat="1">
      <c r="H5410" s="964"/>
    </row>
    <row r="5411" spans="8:8" s="956" customFormat="1">
      <c r="H5411" s="964"/>
    </row>
    <row r="5412" spans="8:8" s="956" customFormat="1">
      <c r="H5412" s="964"/>
    </row>
    <row r="5413" spans="8:8" s="956" customFormat="1">
      <c r="H5413" s="964"/>
    </row>
    <row r="5414" spans="8:8" s="956" customFormat="1">
      <c r="H5414" s="964"/>
    </row>
    <row r="5415" spans="8:8" s="956" customFormat="1">
      <c r="H5415" s="964"/>
    </row>
    <row r="5416" spans="8:8" s="956" customFormat="1">
      <c r="H5416" s="964"/>
    </row>
    <row r="5417" spans="8:8" s="956" customFormat="1">
      <c r="H5417" s="964"/>
    </row>
    <row r="5418" spans="8:8" s="956" customFormat="1">
      <c r="H5418" s="964"/>
    </row>
    <row r="5419" spans="8:8" s="956" customFormat="1">
      <c r="H5419" s="964"/>
    </row>
    <row r="5420" spans="8:8" s="956" customFormat="1">
      <c r="H5420" s="964"/>
    </row>
    <row r="5421" spans="8:8" s="956" customFormat="1">
      <c r="H5421" s="964"/>
    </row>
    <row r="5422" spans="8:8" s="956" customFormat="1">
      <c r="H5422" s="964"/>
    </row>
    <row r="5423" spans="8:8" s="956" customFormat="1">
      <c r="H5423" s="964"/>
    </row>
    <row r="5424" spans="8:8" s="956" customFormat="1">
      <c r="H5424" s="964"/>
    </row>
    <row r="5425" spans="8:8" s="956" customFormat="1">
      <c r="H5425" s="964"/>
    </row>
    <row r="5426" spans="8:8" s="956" customFormat="1">
      <c r="H5426" s="964"/>
    </row>
    <row r="5427" spans="8:8" s="956" customFormat="1">
      <c r="H5427" s="964"/>
    </row>
    <row r="5428" spans="8:8" s="956" customFormat="1">
      <c r="H5428" s="964"/>
    </row>
    <row r="5429" spans="8:8" s="956" customFormat="1">
      <c r="H5429" s="964"/>
    </row>
    <row r="5430" spans="8:8" s="956" customFormat="1">
      <c r="H5430" s="964"/>
    </row>
    <row r="5431" spans="8:8" s="956" customFormat="1">
      <c r="H5431" s="964"/>
    </row>
    <row r="5432" spans="8:8" s="956" customFormat="1">
      <c r="H5432" s="964"/>
    </row>
    <row r="5433" spans="8:8" s="956" customFormat="1">
      <c r="H5433" s="964"/>
    </row>
    <row r="5434" spans="8:8" s="956" customFormat="1">
      <c r="H5434" s="964"/>
    </row>
    <row r="5435" spans="8:8" s="956" customFormat="1">
      <c r="H5435" s="964"/>
    </row>
    <row r="5436" spans="8:8" s="956" customFormat="1">
      <c r="H5436" s="964"/>
    </row>
    <row r="5437" spans="8:8" s="956" customFormat="1">
      <c r="H5437" s="964"/>
    </row>
    <row r="5438" spans="8:8" s="956" customFormat="1">
      <c r="H5438" s="964"/>
    </row>
    <row r="5439" spans="8:8" s="956" customFormat="1">
      <c r="H5439" s="964"/>
    </row>
    <row r="5440" spans="8:8" s="956" customFormat="1">
      <c r="H5440" s="964"/>
    </row>
    <row r="5441" spans="8:8" s="956" customFormat="1">
      <c r="H5441" s="964"/>
    </row>
    <row r="5442" spans="8:8" s="956" customFormat="1">
      <c r="H5442" s="964"/>
    </row>
    <row r="5443" spans="8:8" s="956" customFormat="1">
      <c r="H5443" s="964"/>
    </row>
    <row r="5444" spans="8:8" s="956" customFormat="1">
      <c r="H5444" s="964"/>
    </row>
    <row r="5445" spans="8:8" s="956" customFormat="1">
      <c r="H5445" s="964"/>
    </row>
    <row r="5446" spans="8:8" s="956" customFormat="1">
      <c r="H5446" s="964"/>
    </row>
    <row r="5447" spans="8:8" s="956" customFormat="1">
      <c r="H5447" s="964"/>
    </row>
    <row r="5448" spans="8:8" s="956" customFormat="1">
      <c r="H5448" s="964"/>
    </row>
    <row r="5449" spans="8:8" s="956" customFormat="1">
      <c r="H5449" s="964"/>
    </row>
    <row r="5450" spans="8:8" s="956" customFormat="1">
      <c r="H5450" s="964"/>
    </row>
    <row r="5451" spans="8:8" s="956" customFormat="1">
      <c r="H5451" s="964"/>
    </row>
    <row r="5452" spans="8:8" s="956" customFormat="1">
      <c r="H5452" s="964"/>
    </row>
    <row r="5453" spans="8:8" s="956" customFormat="1">
      <c r="H5453" s="964"/>
    </row>
    <row r="5454" spans="8:8" s="956" customFormat="1">
      <c r="H5454" s="964"/>
    </row>
    <row r="5455" spans="8:8" s="956" customFormat="1">
      <c r="H5455" s="964"/>
    </row>
    <row r="5456" spans="8:8" s="956" customFormat="1">
      <c r="H5456" s="964"/>
    </row>
    <row r="5457" spans="8:8" s="956" customFormat="1">
      <c r="H5457" s="964"/>
    </row>
    <row r="5458" spans="8:8" s="956" customFormat="1">
      <c r="H5458" s="964"/>
    </row>
    <row r="5459" spans="8:8" s="956" customFormat="1">
      <c r="H5459" s="964"/>
    </row>
    <row r="5460" spans="8:8" s="956" customFormat="1">
      <c r="H5460" s="964"/>
    </row>
    <row r="5461" spans="8:8" s="956" customFormat="1">
      <c r="H5461" s="964"/>
    </row>
    <row r="5462" spans="8:8" s="956" customFormat="1">
      <c r="H5462" s="964"/>
    </row>
    <row r="5463" spans="8:8" s="956" customFormat="1">
      <c r="H5463" s="964"/>
    </row>
    <row r="5464" spans="8:8" s="956" customFormat="1">
      <c r="H5464" s="964"/>
    </row>
    <row r="5465" spans="8:8" s="956" customFormat="1">
      <c r="H5465" s="964"/>
    </row>
    <row r="5466" spans="8:8" s="956" customFormat="1">
      <c r="H5466" s="964"/>
    </row>
    <row r="5467" spans="8:8" s="956" customFormat="1">
      <c r="H5467" s="964"/>
    </row>
    <row r="5468" spans="8:8" s="956" customFormat="1">
      <c r="H5468" s="964"/>
    </row>
    <row r="5469" spans="8:8" s="956" customFormat="1">
      <c r="H5469" s="964"/>
    </row>
    <row r="5470" spans="8:8" s="956" customFormat="1">
      <c r="H5470" s="964"/>
    </row>
    <row r="5471" spans="8:8" s="956" customFormat="1">
      <c r="H5471" s="964"/>
    </row>
    <row r="5472" spans="8:8" s="956" customFormat="1">
      <c r="H5472" s="964"/>
    </row>
    <row r="5473" spans="8:8" s="956" customFormat="1">
      <c r="H5473" s="964"/>
    </row>
    <row r="5474" spans="8:8" s="956" customFormat="1">
      <c r="H5474" s="964"/>
    </row>
    <row r="5475" spans="8:8" s="956" customFormat="1">
      <c r="H5475" s="964"/>
    </row>
    <row r="5476" spans="8:8" s="956" customFormat="1"/>
    <row r="5477" spans="8:8" s="956" customFormat="1"/>
    <row r="5478" spans="8:8" s="956" customFormat="1"/>
    <row r="5479" spans="8:8" s="956" customFormat="1"/>
    <row r="5480" spans="8:8" s="956" customFormat="1"/>
    <row r="5481" spans="8:8" s="956" customFormat="1"/>
    <row r="5482" spans="8:8" s="956" customFormat="1"/>
    <row r="5483" spans="8:8" s="956" customFormat="1"/>
    <row r="5484" spans="8:8" s="956" customFormat="1"/>
    <row r="5485" spans="8:8" s="956" customFormat="1"/>
    <row r="5486" spans="8:8" s="956" customFormat="1"/>
    <row r="5487" spans="8:8" s="956" customFormat="1"/>
    <row r="5488" spans="8:8" s="956" customFormat="1"/>
    <row r="5489" s="956" customFormat="1"/>
    <row r="5490" s="956" customFormat="1"/>
    <row r="5491" s="956" customFormat="1"/>
    <row r="5492" s="956" customFormat="1"/>
    <row r="5493" s="956" customFormat="1"/>
    <row r="5494" s="956" customFormat="1"/>
    <row r="5495" s="956" customFormat="1"/>
    <row r="5496" s="956" customFormat="1"/>
    <row r="5497" s="956" customFormat="1"/>
    <row r="5498" s="956" customFormat="1"/>
    <row r="5499" s="956" customFormat="1"/>
    <row r="5500" s="956" customFormat="1"/>
    <row r="5501" s="956" customFormat="1"/>
    <row r="5502" s="956" customFormat="1"/>
    <row r="5503" s="956" customFormat="1"/>
    <row r="5504" s="956" customFormat="1"/>
    <row r="5505" s="956" customFormat="1"/>
    <row r="5506" s="956" customFormat="1"/>
    <row r="5507" s="956" customFormat="1"/>
    <row r="5508" s="956" customFormat="1"/>
    <row r="5509" s="956" customFormat="1"/>
    <row r="5510" s="956" customFormat="1"/>
    <row r="5511" s="956" customFormat="1"/>
    <row r="5512" s="956" customFormat="1"/>
    <row r="5513" s="956" customFormat="1"/>
    <row r="5514" s="956" customFormat="1"/>
    <row r="5515" s="956" customFormat="1"/>
    <row r="5516" s="956" customFormat="1"/>
    <row r="5517" s="956" customFormat="1"/>
    <row r="5518" s="956" customFormat="1"/>
    <row r="5519" s="956" customFormat="1"/>
    <row r="5520" s="956" customFormat="1"/>
    <row r="5521" s="956" customFormat="1"/>
    <row r="5522" s="956" customFormat="1"/>
    <row r="5523" s="956" customFormat="1"/>
    <row r="5524" s="956" customFormat="1"/>
    <row r="5525" s="956" customFormat="1"/>
    <row r="5526" s="956" customFormat="1"/>
    <row r="5527" s="956" customFormat="1"/>
    <row r="5528" s="956" customFormat="1"/>
    <row r="5529" s="956" customFormat="1"/>
    <row r="5530" s="956" customFormat="1"/>
    <row r="5531" s="956" customFormat="1"/>
    <row r="5532" s="956" customFormat="1"/>
    <row r="5533" s="956" customFormat="1"/>
    <row r="5534" s="956" customFormat="1"/>
    <row r="5535" s="956" customFormat="1"/>
    <row r="5536" s="956" customFormat="1"/>
    <row r="5537" s="956" customFormat="1"/>
    <row r="5538" s="956" customFormat="1"/>
    <row r="5539" s="956" customFormat="1"/>
    <row r="5540" s="956" customFormat="1"/>
    <row r="5541" s="956" customFormat="1"/>
    <row r="5542" s="956" customFormat="1"/>
    <row r="5543" s="956" customFormat="1"/>
    <row r="5544" s="956" customFormat="1"/>
    <row r="5545" s="956" customFormat="1"/>
    <row r="5546" s="956" customFormat="1"/>
    <row r="5547" s="956" customFormat="1"/>
    <row r="5548" s="956" customFormat="1"/>
    <row r="5549" s="956" customFormat="1"/>
    <row r="5550" s="956" customFormat="1"/>
    <row r="5551" s="956" customFormat="1"/>
    <row r="5552" s="956" customFormat="1"/>
    <row r="5553" s="956" customFormat="1"/>
    <row r="5554" s="956" customFormat="1"/>
    <row r="5555" s="956" customFormat="1"/>
    <row r="5556" s="956" customFormat="1"/>
    <row r="5557" s="956" customFormat="1"/>
    <row r="5558" s="956" customFormat="1"/>
    <row r="5559" s="956" customFormat="1"/>
    <row r="5560" s="956" customFormat="1"/>
    <row r="5561" s="956" customFormat="1"/>
    <row r="5562" s="956" customFormat="1"/>
    <row r="5563" s="956" customFormat="1"/>
    <row r="5564" s="956" customFormat="1"/>
    <row r="5565" s="956" customFormat="1"/>
    <row r="5566" s="956" customFormat="1"/>
    <row r="5567" s="956" customFormat="1"/>
    <row r="5568" s="956" customFormat="1"/>
    <row r="5569" s="956" customFormat="1"/>
    <row r="5570" s="956" customFormat="1"/>
    <row r="5571" s="956" customFormat="1"/>
    <row r="5572" s="956" customFormat="1"/>
    <row r="5573" s="956" customFormat="1"/>
    <row r="5574" s="956" customFormat="1"/>
    <row r="5575" s="956" customFormat="1"/>
    <row r="5576" s="956" customFormat="1"/>
    <row r="5577" s="956" customFormat="1"/>
    <row r="5578" s="956" customFormat="1"/>
    <row r="5579" s="956" customFormat="1"/>
    <row r="5580" s="956" customFormat="1"/>
    <row r="5581" s="956" customFormat="1"/>
    <row r="5582" s="956" customFormat="1"/>
    <row r="5583" s="956" customFormat="1"/>
    <row r="5584" s="956" customFormat="1"/>
    <row r="5585" s="956" customFormat="1"/>
    <row r="5586" s="956" customFormat="1"/>
    <row r="5587" s="956" customFormat="1"/>
    <row r="5588" s="956" customFormat="1"/>
    <row r="5589" s="956" customFormat="1"/>
    <row r="5590" s="956" customFormat="1"/>
    <row r="5591" s="956" customFormat="1"/>
    <row r="5592" s="956" customFormat="1"/>
    <row r="5593" s="956" customFormat="1"/>
    <row r="5594" s="956" customFormat="1"/>
    <row r="5595" s="956" customFormat="1"/>
    <row r="5596" s="956" customFormat="1"/>
    <row r="5597" s="956" customFormat="1"/>
    <row r="5598" s="956" customFormat="1"/>
    <row r="5599" s="956" customFormat="1"/>
    <row r="5600" s="956" customFormat="1"/>
    <row r="5601" s="956" customFormat="1"/>
    <row r="5602" s="956" customFormat="1"/>
    <row r="5603" s="956" customFormat="1"/>
    <row r="5604" s="956" customFormat="1"/>
    <row r="5605" s="956" customFormat="1"/>
    <row r="5606" s="956" customFormat="1"/>
    <row r="5607" s="956" customFormat="1"/>
    <row r="5608" s="956" customFormat="1"/>
    <row r="5609" s="956" customFormat="1"/>
    <row r="5610" s="956" customFormat="1"/>
    <row r="5611" s="956" customFormat="1"/>
    <row r="5612" s="956" customFormat="1"/>
    <row r="5613" s="956" customFormat="1"/>
    <row r="5614" s="956" customFormat="1"/>
    <row r="5615" s="956" customFormat="1"/>
    <row r="5616" s="956" customFormat="1"/>
    <row r="5617" s="956" customFormat="1"/>
    <row r="5618" s="956" customFormat="1"/>
    <row r="5619" s="956" customFormat="1"/>
    <row r="5620" s="956" customFormat="1"/>
    <row r="5621" s="956" customFormat="1"/>
    <row r="5622" s="956" customFormat="1"/>
    <row r="5623" s="956" customFormat="1"/>
    <row r="5624" s="956" customFormat="1"/>
    <row r="5625" s="956" customFormat="1"/>
    <row r="5626" s="956" customFormat="1"/>
    <row r="5627" s="956" customFormat="1"/>
    <row r="5628" s="956" customFormat="1"/>
    <row r="5629" s="956" customFormat="1"/>
    <row r="5630" s="956" customFormat="1"/>
    <row r="5631" s="956" customFormat="1"/>
    <row r="5632" s="956" customFormat="1"/>
    <row r="5633" s="956" customFormat="1"/>
    <row r="5634" s="956" customFormat="1"/>
    <row r="5635" s="956" customFormat="1"/>
    <row r="5636" s="956" customFormat="1"/>
    <row r="5637" s="956" customFormat="1"/>
    <row r="5638" s="956" customFormat="1"/>
    <row r="5639" s="956" customFormat="1"/>
    <row r="5640" s="956" customFormat="1"/>
    <row r="5641" s="956" customFormat="1"/>
    <row r="5642" s="956" customFormat="1"/>
    <row r="5643" s="956" customFormat="1"/>
    <row r="5644" s="956" customFormat="1"/>
    <row r="5645" s="956" customFormat="1"/>
    <row r="5646" s="956" customFormat="1"/>
    <row r="5647" s="956" customFormat="1"/>
    <row r="5648" s="956" customFormat="1"/>
    <row r="5649" s="956" customFormat="1"/>
    <row r="5650" s="956" customFormat="1"/>
    <row r="5651" s="956" customFormat="1"/>
    <row r="5652" s="956" customFormat="1"/>
    <row r="5653" s="956" customFormat="1"/>
    <row r="5654" s="956" customFormat="1"/>
    <row r="5655" s="956" customFormat="1"/>
    <row r="5656" s="956" customFormat="1"/>
    <row r="5657" s="956" customFormat="1"/>
    <row r="5658" s="956" customFormat="1"/>
    <row r="5659" s="956" customFormat="1"/>
    <row r="5660" s="956" customFormat="1"/>
    <row r="5661" s="956" customFormat="1"/>
    <row r="5662" s="956" customFormat="1"/>
    <row r="5663" s="956" customFormat="1"/>
    <row r="5664" s="956" customFormat="1"/>
    <row r="5665" s="956" customFormat="1"/>
    <row r="5666" s="956" customFormat="1"/>
    <row r="5667" s="956" customFormat="1"/>
    <row r="5668" s="956" customFormat="1"/>
    <row r="5669" s="956" customFormat="1"/>
    <row r="5670" s="956" customFormat="1"/>
    <row r="5671" s="956" customFormat="1"/>
    <row r="5672" s="956" customFormat="1"/>
    <row r="5673" s="956" customFormat="1"/>
    <row r="5674" s="956" customFormat="1"/>
    <row r="5675" s="956" customFormat="1"/>
    <row r="5676" s="956" customFormat="1"/>
    <row r="5677" s="956" customFormat="1"/>
    <row r="5678" s="956" customFormat="1"/>
    <row r="5679" s="956" customFormat="1"/>
    <row r="5680" s="956" customFormat="1"/>
    <row r="5681" s="956" customFormat="1"/>
    <row r="5682" s="956" customFormat="1"/>
    <row r="5683" s="956" customFormat="1"/>
    <row r="5684" s="956" customFormat="1"/>
    <row r="5685" s="956" customFormat="1"/>
    <row r="5686" s="956" customFormat="1"/>
    <row r="5687" s="956" customFormat="1"/>
    <row r="5688" s="956" customFormat="1"/>
    <row r="5689" s="956" customFormat="1"/>
    <row r="5690" s="956" customFormat="1"/>
    <row r="5691" s="956" customFormat="1"/>
    <row r="5692" s="956" customFormat="1"/>
    <row r="5693" s="956" customFormat="1"/>
    <row r="5694" s="956" customFormat="1"/>
    <row r="5695" s="956" customFormat="1"/>
    <row r="5696" s="956" customFormat="1"/>
    <row r="5697" s="956" customFormat="1"/>
    <row r="5698" s="956" customFormat="1"/>
    <row r="5699" s="956" customFormat="1"/>
    <row r="5700" s="956" customFormat="1"/>
    <row r="5701" s="956" customFormat="1"/>
    <row r="5702" s="956" customFormat="1"/>
    <row r="5703" s="956" customFormat="1"/>
    <row r="5704" s="956" customFormat="1"/>
    <row r="5705" s="956" customFormat="1"/>
    <row r="5706" s="956" customFormat="1"/>
    <row r="5707" s="956" customFormat="1"/>
    <row r="5708" s="956" customFormat="1"/>
    <row r="5709" s="956" customFormat="1"/>
    <row r="5710" s="956" customFormat="1"/>
    <row r="5711" s="956" customFormat="1"/>
    <row r="5712" s="956" customFormat="1"/>
    <row r="5713" s="956" customFormat="1"/>
    <row r="5714" s="956" customFormat="1"/>
    <row r="5715" s="956" customFormat="1"/>
    <row r="5716" s="956" customFormat="1"/>
    <row r="5717" s="956" customFormat="1"/>
    <row r="5718" s="956" customFormat="1"/>
    <row r="5719" s="956" customFormat="1"/>
    <row r="5720" s="956" customFormat="1"/>
    <row r="5721" s="956" customFormat="1"/>
    <row r="5722" s="956" customFormat="1"/>
    <row r="5723" s="956" customFormat="1"/>
    <row r="5724" s="956" customFormat="1"/>
    <row r="5725" s="956" customFormat="1"/>
    <row r="5726" s="956" customFormat="1"/>
    <row r="5727" s="956" customFormat="1"/>
    <row r="5728" s="956" customFormat="1"/>
    <row r="5729" s="956" customFormat="1"/>
    <row r="5730" s="956" customFormat="1"/>
    <row r="5731" s="956" customFormat="1"/>
    <row r="5732" s="956" customFormat="1"/>
    <row r="5733" s="956" customFormat="1"/>
    <row r="5734" s="956" customFormat="1"/>
    <row r="5735" s="956" customFormat="1"/>
    <row r="5736" s="956" customFormat="1"/>
    <row r="5737" s="956" customFormat="1"/>
    <row r="5738" s="956" customFormat="1"/>
    <row r="5739" s="956" customFormat="1"/>
    <row r="5740" s="956" customFormat="1"/>
    <row r="5741" s="956" customFormat="1"/>
    <row r="5742" s="956" customFormat="1"/>
    <row r="5743" s="956" customFormat="1"/>
    <row r="5744" s="956" customFormat="1"/>
    <row r="5745" s="956" customFormat="1"/>
    <row r="5746" s="956" customFormat="1"/>
    <row r="5747" s="956" customFormat="1"/>
    <row r="5748" s="956" customFormat="1"/>
    <row r="5749" s="956" customFormat="1"/>
    <row r="5750" s="956" customFormat="1"/>
    <row r="5751" s="956" customFormat="1"/>
    <row r="5752" s="956" customFormat="1"/>
    <row r="5753" s="956" customFormat="1"/>
    <row r="5754" s="956" customFormat="1"/>
    <row r="5755" s="956" customFormat="1"/>
    <row r="5756" s="956" customFormat="1"/>
    <row r="5757" s="956" customFormat="1"/>
    <row r="5758" s="956" customFormat="1"/>
    <row r="5759" s="956" customFormat="1"/>
    <row r="5760" s="956" customFormat="1"/>
    <row r="5761" s="956" customFormat="1"/>
    <row r="5762" s="956" customFormat="1"/>
    <row r="5763" s="956" customFormat="1"/>
    <row r="5764" s="956" customFormat="1"/>
    <row r="5765" s="956" customFormat="1"/>
    <row r="5766" s="956" customFormat="1"/>
    <row r="5767" s="956" customFormat="1"/>
    <row r="5768" s="956" customFormat="1"/>
    <row r="5769" s="956" customFormat="1"/>
    <row r="5770" s="956" customFormat="1"/>
    <row r="5771" s="956" customFormat="1"/>
    <row r="5772" s="956" customFormat="1"/>
    <row r="5773" s="956" customFormat="1"/>
    <row r="5774" s="956" customFormat="1"/>
    <row r="5775" s="956" customFormat="1"/>
    <row r="5776" s="956" customFormat="1"/>
    <row r="5777" s="956" customFormat="1"/>
    <row r="5778" s="956" customFormat="1"/>
    <row r="5779" s="956" customFormat="1"/>
    <row r="5780" s="956" customFormat="1"/>
    <row r="5781" s="956" customFormat="1"/>
    <row r="5782" s="956" customFormat="1"/>
    <row r="5783" s="956" customFormat="1"/>
    <row r="5784" s="956" customFormat="1"/>
    <row r="5785" s="956" customFormat="1"/>
    <row r="5786" s="956" customFormat="1"/>
    <row r="5787" s="956" customFormat="1"/>
    <row r="5788" s="956" customFormat="1"/>
    <row r="5789" s="956" customFormat="1"/>
    <row r="5790" s="956" customFormat="1"/>
    <row r="5791" s="956" customFormat="1"/>
    <row r="5792" s="956" customFormat="1"/>
    <row r="5793" s="956" customFormat="1"/>
    <row r="5794" s="956" customFormat="1"/>
    <row r="5795" s="956" customFormat="1"/>
    <row r="5796" s="956" customFormat="1"/>
    <row r="5797" s="956" customFormat="1"/>
    <row r="5798" s="956" customFormat="1"/>
    <row r="5799" s="956" customFormat="1"/>
    <row r="5800" s="956" customFormat="1"/>
    <row r="5801" s="956" customFormat="1"/>
    <row r="5802" s="956" customFormat="1"/>
    <row r="5803" s="956" customFormat="1"/>
    <row r="5804" s="956" customFormat="1"/>
    <row r="5805" s="956" customFormat="1"/>
    <row r="5806" s="956" customFormat="1"/>
    <row r="5807" s="956" customFormat="1"/>
    <row r="5808" s="956" customFormat="1"/>
    <row r="5809" s="956" customFormat="1"/>
    <row r="5810" s="956" customFormat="1"/>
    <row r="5811" s="956" customFormat="1"/>
    <row r="5812" s="956" customFormat="1"/>
    <row r="5813" s="956" customFormat="1"/>
    <row r="5814" s="956" customFormat="1"/>
    <row r="5815" s="956" customFormat="1"/>
    <row r="5816" s="956" customFormat="1"/>
    <row r="5817" s="956" customFormat="1"/>
    <row r="5818" s="956" customFormat="1"/>
    <row r="5819" s="956" customFormat="1"/>
    <row r="5820" s="956" customFormat="1"/>
    <row r="5821" s="956" customFormat="1"/>
    <row r="5822" s="956" customFormat="1"/>
    <row r="5823" s="956" customFormat="1"/>
    <row r="5824" s="956" customFormat="1"/>
    <row r="5825" s="956" customFormat="1"/>
    <row r="5826" s="956" customFormat="1"/>
    <row r="5827" s="956" customFormat="1"/>
    <row r="5828" s="956" customFormat="1"/>
    <row r="5829" s="956" customFormat="1"/>
    <row r="5830" s="956" customFormat="1"/>
    <row r="5831" s="956" customFormat="1"/>
    <row r="5832" s="956" customFormat="1"/>
    <row r="5833" s="956" customFormat="1"/>
    <row r="5834" s="956" customFormat="1"/>
    <row r="5835" s="956" customFormat="1"/>
    <row r="5836" s="956" customFormat="1"/>
    <row r="5837" s="956" customFormat="1"/>
    <row r="5838" s="956" customFormat="1"/>
    <row r="5839" s="956" customFormat="1"/>
    <row r="5840" s="956" customFormat="1"/>
    <row r="5841" s="956" customFormat="1"/>
    <row r="5842" s="956" customFormat="1"/>
    <row r="5843" s="956" customFormat="1"/>
    <row r="5844" s="956" customFormat="1"/>
    <row r="5845" s="956" customFormat="1"/>
    <row r="5846" s="956" customFormat="1"/>
    <row r="5847" s="956" customFormat="1"/>
    <row r="5848" s="956" customFormat="1"/>
    <row r="5849" s="956" customFormat="1"/>
    <row r="5850" s="956" customFormat="1"/>
    <row r="5851" s="956" customFormat="1"/>
    <row r="5852" s="956" customFormat="1"/>
    <row r="5853" s="956" customFormat="1"/>
    <row r="5854" s="956" customFormat="1"/>
    <row r="5855" s="956" customFormat="1"/>
    <row r="5856" s="956" customFormat="1"/>
    <row r="5857" s="956" customFormat="1"/>
    <row r="5858" s="956" customFormat="1"/>
    <row r="5859" s="956" customFormat="1"/>
    <row r="5860" s="956" customFormat="1"/>
    <row r="5861" s="956" customFormat="1"/>
    <row r="5862" s="956" customFormat="1"/>
    <row r="5863" s="956" customFormat="1"/>
    <row r="5864" s="956" customFormat="1"/>
    <row r="5865" s="956" customFormat="1"/>
    <row r="5866" s="956" customFormat="1"/>
    <row r="5867" s="956" customFormat="1"/>
    <row r="5868" s="956" customFormat="1"/>
    <row r="5869" s="956" customFormat="1"/>
    <row r="5870" s="956" customFormat="1"/>
    <row r="5871" s="956" customFormat="1"/>
    <row r="5872" s="956" customFormat="1"/>
    <row r="5873" s="956" customFormat="1"/>
    <row r="5874" s="956" customFormat="1"/>
    <row r="5875" s="956" customFormat="1"/>
    <row r="5876" s="956" customFormat="1"/>
    <row r="5877" s="956" customFormat="1"/>
    <row r="5878" s="956" customFormat="1"/>
    <row r="5879" s="956" customFormat="1"/>
    <row r="5880" s="956" customFormat="1"/>
    <row r="5881" s="956" customFormat="1"/>
    <row r="5882" s="956" customFormat="1"/>
    <row r="5883" s="956" customFormat="1"/>
    <row r="5884" s="956" customFormat="1"/>
    <row r="5885" s="956" customFormat="1"/>
    <row r="5886" s="956" customFormat="1"/>
    <row r="5887" s="956" customFormat="1"/>
    <row r="5888" s="956" customFormat="1"/>
    <row r="5889" s="956" customFormat="1"/>
    <row r="5890" s="956" customFormat="1"/>
    <row r="5891" s="956" customFormat="1"/>
    <row r="5892" s="956" customFormat="1"/>
    <row r="5893" s="956" customFormat="1"/>
    <row r="5894" s="956" customFormat="1"/>
    <row r="5895" s="956" customFormat="1"/>
    <row r="5896" s="956" customFormat="1"/>
    <row r="5897" s="956" customFormat="1"/>
    <row r="5898" s="956" customFormat="1"/>
    <row r="5899" s="956" customFormat="1"/>
    <row r="5900" s="956" customFormat="1"/>
    <row r="5901" s="956" customFormat="1"/>
    <row r="5902" s="956" customFormat="1"/>
    <row r="5903" s="956" customFormat="1"/>
    <row r="5904" s="956" customFormat="1"/>
    <row r="5905" s="956" customFormat="1"/>
    <row r="5906" s="956" customFormat="1"/>
    <row r="5907" s="956" customFormat="1"/>
    <row r="5908" s="956" customFormat="1"/>
    <row r="5909" s="956" customFormat="1"/>
    <row r="5910" s="956" customFormat="1"/>
    <row r="5911" s="956" customFormat="1"/>
    <row r="5912" s="956" customFormat="1"/>
    <row r="5913" s="956" customFormat="1"/>
    <row r="5914" s="956" customFormat="1"/>
    <row r="5915" s="956" customFormat="1"/>
    <row r="5916" s="956" customFormat="1"/>
    <row r="5917" s="956" customFormat="1"/>
    <row r="5918" s="956" customFormat="1"/>
    <row r="5919" s="956" customFormat="1"/>
    <row r="5920" s="956" customFormat="1"/>
    <row r="5921" s="956" customFormat="1"/>
    <row r="5922" s="956" customFormat="1"/>
    <row r="5923" s="956" customFormat="1"/>
    <row r="5924" s="956" customFormat="1"/>
    <row r="5925" s="956" customFormat="1"/>
    <row r="5926" s="956" customFormat="1"/>
    <row r="5927" s="956" customFormat="1"/>
    <row r="5928" s="956" customFormat="1"/>
    <row r="5929" s="956" customFormat="1"/>
    <row r="5930" s="956" customFormat="1"/>
    <row r="5931" s="956" customFormat="1"/>
    <row r="5932" s="956" customFormat="1"/>
    <row r="5933" s="956" customFormat="1"/>
    <row r="5934" s="956" customFormat="1"/>
    <row r="5935" s="956" customFormat="1"/>
    <row r="5936" s="956" customFormat="1"/>
    <row r="5937" s="956" customFormat="1"/>
    <row r="5938" s="956" customFormat="1"/>
    <row r="5939" s="956" customFormat="1"/>
    <row r="5940" s="956" customFormat="1"/>
    <row r="5941" s="956" customFormat="1"/>
    <row r="5942" s="956" customFormat="1"/>
    <row r="5943" s="956" customFormat="1"/>
    <row r="5944" s="956" customFormat="1"/>
    <row r="5945" s="956" customFormat="1"/>
    <row r="5946" s="956" customFormat="1"/>
    <row r="5947" s="956" customFormat="1"/>
    <row r="5948" s="956" customFormat="1"/>
    <row r="5949" s="956" customFormat="1"/>
    <row r="5950" s="956" customFormat="1"/>
    <row r="5951" s="956" customFormat="1"/>
    <row r="5952" s="956" customFormat="1"/>
    <row r="5953" s="956" customFormat="1"/>
    <row r="5954" s="956" customFormat="1"/>
    <row r="5955" s="956" customFormat="1"/>
    <row r="5956" s="956" customFormat="1"/>
    <row r="5957" s="956" customFormat="1"/>
    <row r="5958" s="956" customFormat="1"/>
    <row r="5959" s="956" customFormat="1"/>
    <row r="5960" s="956" customFormat="1"/>
    <row r="5961" s="956" customFormat="1"/>
    <row r="5962" s="956" customFormat="1"/>
    <row r="5963" s="956" customFormat="1"/>
    <row r="5964" s="956" customFormat="1"/>
    <row r="5965" s="956" customFormat="1"/>
    <row r="5966" s="956" customFormat="1"/>
    <row r="5967" s="956" customFormat="1"/>
    <row r="5968" s="956" customFormat="1"/>
    <row r="5969" s="956" customFormat="1"/>
    <row r="5970" s="956" customFormat="1"/>
    <row r="5971" s="956" customFormat="1"/>
    <row r="5972" s="956" customFormat="1"/>
    <row r="5973" s="956" customFormat="1"/>
    <row r="5974" s="956" customFormat="1"/>
    <row r="5975" s="956" customFormat="1"/>
    <row r="5976" s="956" customFormat="1"/>
    <row r="5977" s="956" customFormat="1"/>
    <row r="5978" s="956" customFormat="1"/>
    <row r="5979" s="956" customFormat="1"/>
    <row r="5980" s="956" customFormat="1"/>
    <row r="5981" s="956" customFormat="1"/>
    <row r="5982" s="956" customFormat="1"/>
    <row r="5983" s="956" customFormat="1"/>
    <row r="5984" s="956" customFormat="1"/>
    <row r="5985" s="956" customFormat="1"/>
    <row r="5986" s="956" customFormat="1"/>
    <row r="5987" s="956" customFormat="1"/>
    <row r="5988" s="956" customFormat="1"/>
    <row r="5989" s="956" customFormat="1"/>
    <row r="5990" s="956" customFormat="1"/>
    <row r="5991" s="956" customFormat="1"/>
    <row r="5992" s="956" customFormat="1"/>
    <row r="5993" s="956" customFormat="1"/>
    <row r="5994" s="956" customFormat="1"/>
    <row r="5995" s="956" customFormat="1"/>
    <row r="5996" s="956" customFormat="1"/>
    <row r="5997" s="956" customFormat="1"/>
    <row r="5998" s="956" customFormat="1"/>
    <row r="5999" s="956" customFormat="1"/>
    <row r="6000" s="956" customFormat="1"/>
    <row r="6001" s="956" customFormat="1"/>
    <row r="6002" s="956" customFormat="1"/>
    <row r="6003" s="956" customFormat="1"/>
    <row r="6004" s="956" customFormat="1"/>
    <row r="6005" s="956" customFormat="1"/>
    <row r="6006" s="956" customFormat="1"/>
    <row r="6007" s="956" customFormat="1"/>
    <row r="6008" s="956" customFormat="1"/>
    <row r="6009" s="956" customFormat="1"/>
    <row r="6010" s="956" customFormat="1"/>
    <row r="6011" s="956" customFormat="1"/>
    <row r="6012" s="956" customFormat="1"/>
    <row r="6013" s="956" customFormat="1"/>
    <row r="6014" s="956" customFormat="1"/>
    <row r="6015" s="956" customFormat="1"/>
    <row r="6016" s="956" customFormat="1"/>
    <row r="6017" s="956" customFormat="1"/>
    <row r="6018" s="956" customFormat="1"/>
    <row r="6019" s="956" customFormat="1"/>
    <row r="6020" s="956" customFormat="1"/>
    <row r="6021" s="956" customFormat="1"/>
    <row r="6022" s="956" customFormat="1"/>
    <row r="6023" s="956" customFormat="1"/>
    <row r="6024" s="956" customFormat="1"/>
    <row r="6025" s="956" customFormat="1"/>
    <row r="6026" s="956" customFormat="1"/>
    <row r="6027" s="956" customFormat="1"/>
    <row r="6028" s="956" customFormat="1"/>
    <row r="6029" s="956" customFormat="1"/>
    <row r="6030" s="956" customFormat="1"/>
    <row r="6031" s="956" customFormat="1"/>
    <row r="6032" s="956" customFormat="1"/>
    <row r="6033" s="956" customFormat="1"/>
    <row r="6034" s="956" customFormat="1"/>
    <row r="6035" s="956" customFormat="1"/>
    <row r="6036" s="956" customFormat="1"/>
    <row r="6037" s="956" customFormat="1"/>
    <row r="6038" s="956" customFormat="1"/>
    <row r="6039" s="956" customFormat="1"/>
    <row r="6040" s="956" customFormat="1"/>
    <row r="6041" s="956" customFormat="1"/>
    <row r="6042" s="956" customFormat="1"/>
    <row r="6043" s="956" customFormat="1"/>
    <row r="6044" s="956" customFormat="1"/>
    <row r="6045" s="956" customFormat="1"/>
    <row r="6046" s="956" customFormat="1"/>
    <row r="6047" s="956" customFormat="1"/>
    <row r="6048" s="956" customFormat="1"/>
    <row r="6049" s="956" customFormat="1"/>
    <row r="6050" s="956" customFormat="1"/>
    <row r="6051" s="956" customFormat="1"/>
    <row r="6052" s="956" customFormat="1"/>
    <row r="6053" s="956" customFormat="1"/>
    <row r="6054" s="956" customFormat="1"/>
    <row r="6055" s="956" customFormat="1"/>
    <row r="6056" s="956" customFormat="1"/>
    <row r="6057" s="956" customFormat="1"/>
    <row r="6058" s="956" customFormat="1"/>
    <row r="6059" s="956" customFormat="1"/>
    <row r="6060" s="956" customFormat="1"/>
    <row r="6061" s="956" customFormat="1"/>
    <row r="6062" s="956" customFormat="1"/>
    <row r="6063" s="956" customFormat="1"/>
    <row r="6064" s="956" customFormat="1"/>
    <row r="6065" s="956" customFormat="1"/>
    <row r="6066" s="956" customFormat="1"/>
    <row r="6067" s="956" customFormat="1"/>
    <row r="6068" s="956" customFormat="1"/>
    <row r="6069" s="956" customFormat="1"/>
    <row r="6070" s="956" customFormat="1"/>
    <row r="6071" s="956" customFormat="1"/>
    <row r="6072" s="956" customFormat="1"/>
    <row r="6073" s="956" customFormat="1"/>
    <row r="6074" s="956" customFormat="1"/>
    <row r="6075" s="956" customFormat="1"/>
    <row r="6076" s="956" customFormat="1"/>
    <row r="6077" s="956" customFormat="1"/>
    <row r="6078" s="956" customFormat="1"/>
    <row r="6079" s="956" customFormat="1"/>
    <row r="6080" s="956" customFormat="1"/>
    <row r="6081" s="956" customFormat="1"/>
    <row r="6082" s="956" customFormat="1"/>
    <row r="6083" s="956" customFormat="1"/>
    <row r="6084" s="956" customFormat="1"/>
    <row r="6085" s="956" customFormat="1"/>
    <row r="6086" s="956" customFormat="1"/>
    <row r="6087" s="956" customFormat="1"/>
    <row r="6088" s="956" customFormat="1"/>
    <row r="6089" s="956" customFormat="1"/>
    <row r="6090" s="956" customFormat="1"/>
    <row r="6091" s="956" customFormat="1"/>
    <row r="6092" s="956" customFormat="1"/>
    <row r="6093" s="956" customFormat="1"/>
    <row r="6094" s="956" customFormat="1"/>
    <row r="6095" s="956" customFormat="1"/>
    <row r="6096" s="956" customFormat="1"/>
    <row r="6097" s="956" customFormat="1"/>
    <row r="6098" s="956" customFormat="1"/>
    <row r="6099" s="956" customFormat="1"/>
    <row r="6100" s="956" customFormat="1"/>
    <row r="6101" s="956" customFormat="1"/>
    <row r="6102" s="956" customFormat="1"/>
    <row r="6103" s="956" customFormat="1"/>
    <row r="6104" s="956" customFormat="1"/>
    <row r="6105" s="956" customFormat="1"/>
    <row r="6106" s="956" customFormat="1"/>
    <row r="6107" s="956" customFormat="1"/>
    <row r="6108" s="956" customFormat="1"/>
    <row r="6109" s="956" customFormat="1"/>
    <row r="6110" s="956" customFormat="1"/>
    <row r="6111" s="956" customFormat="1"/>
    <row r="6112" s="956" customFormat="1"/>
    <row r="6113" s="956" customFormat="1"/>
    <row r="6114" s="956" customFormat="1"/>
    <row r="6115" s="956" customFormat="1"/>
    <row r="6116" s="956" customFormat="1"/>
    <row r="6117" s="956" customFormat="1"/>
    <row r="6118" s="956" customFormat="1"/>
    <row r="6119" s="956" customFormat="1"/>
    <row r="6120" s="956" customFormat="1"/>
    <row r="6121" s="956" customFormat="1"/>
    <row r="6122" s="956" customFormat="1"/>
    <row r="6123" s="956" customFormat="1"/>
    <row r="6124" s="956" customFormat="1"/>
    <row r="6125" s="956" customFormat="1"/>
    <row r="6126" s="956" customFormat="1"/>
    <row r="6127" s="956" customFormat="1"/>
    <row r="6128" s="956" customFormat="1"/>
    <row r="6129" s="956" customFormat="1"/>
    <row r="6130" s="956" customFormat="1"/>
    <row r="6131" s="956" customFormat="1"/>
    <row r="6132" s="956" customFormat="1"/>
    <row r="6133" s="956" customFormat="1"/>
    <row r="6134" s="956" customFormat="1"/>
    <row r="6135" s="956" customFormat="1"/>
    <row r="6136" s="956" customFormat="1"/>
    <row r="6137" s="956" customFormat="1"/>
    <row r="6138" s="956" customFormat="1"/>
    <row r="6139" s="956" customFormat="1"/>
    <row r="6140" s="956" customFormat="1"/>
    <row r="6141" s="956" customFormat="1"/>
    <row r="6142" s="956" customFormat="1"/>
    <row r="6143" s="956" customFormat="1"/>
    <row r="6144" s="956" customFormat="1"/>
    <row r="6145" s="956" customFormat="1"/>
    <row r="6146" s="956" customFormat="1"/>
    <row r="6147" s="956" customFormat="1"/>
    <row r="6148" s="956" customFormat="1"/>
    <row r="6149" s="956" customFormat="1"/>
    <row r="6150" s="956" customFormat="1"/>
    <row r="6151" s="956" customFormat="1"/>
    <row r="6152" s="956" customFormat="1"/>
    <row r="6153" s="956" customFormat="1"/>
    <row r="6154" s="956" customFormat="1"/>
    <row r="6155" s="956" customFormat="1"/>
    <row r="6156" s="956" customFormat="1"/>
    <row r="6157" s="956" customFormat="1"/>
    <row r="6158" s="956" customFormat="1"/>
    <row r="6159" s="956" customFormat="1"/>
    <row r="6160" s="956" customFormat="1"/>
    <row r="6161" s="956" customFormat="1"/>
    <row r="6162" s="956" customFormat="1"/>
    <row r="6163" s="956" customFormat="1"/>
    <row r="6164" s="956" customFormat="1"/>
    <row r="6165" s="956" customFormat="1"/>
    <row r="6166" s="956" customFormat="1"/>
    <row r="6167" s="956" customFormat="1"/>
    <row r="6168" s="956" customFormat="1"/>
    <row r="6169" s="956" customFormat="1"/>
    <row r="6170" s="956" customFormat="1"/>
    <row r="6171" s="956" customFormat="1"/>
    <row r="6172" s="956" customFormat="1"/>
    <row r="6173" s="956" customFormat="1"/>
    <row r="6174" s="956" customFormat="1"/>
    <row r="6175" s="956" customFormat="1"/>
    <row r="6176" s="956" customFormat="1"/>
    <row r="6177" s="956" customFormat="1"/>
    <row r="6178" s="956" customFormat="1"/>
    <row r="6179" s="956" customFormat="1"/>
    <row r="6180" s="956" customFormat="1"/>
    <row r="6181" s="956" customFormat="1"/>
    <row r="6182" s="956" customFormat="1"/>
    <row r="6183" s="956" customFormat="1"/>
    <row r="6184" s="956" customFormat="1"/>
    <row r="6185" s="956" customFormat="1"/>
    <row r="6186" s="956" customFormat="1"/>
    <row r="6187" s="956" customFormat="1"/>
    <row r="6188" s="956" customFormat="1"/>
    <row r="6189" s="956" customFormat="1"/>
    <row r="6190" s="956" customFormat="1"/>
    <row r="6191" s="956" customFormat="1"/>
    <row r="6192" s="956" customFormat="1"/>
    <row r="6193" s="956" customFormat="1"/>
    <row r="6194" s="956" customFormat="1"/>
    <row r="6195" s="956" customFormat="1"/>
    <row r="6196" s="956" customFormat="1"/>
    <row r="6197" s="956" customFormat="1"/>
    <row r="6198" s="956" customFormat="1"/>
    <row r="6199" s="956" customFormat="1"/>
    <row r="6200" s="956" customFormat="1"/>
    <row r="6201" s="956" customFormat="1"/>
    <row r="6202" s="956" customFormat="1"/>
    <row r="6203" s="956" customFormat="1"/>
    <row r="6204" s="956" customFormat="1"/>
    <row r="6205" s="956" customFormat="1"/>
    <row r="6206" s="956" customFormat="1"/>
    <row r="6207" s="956" customFormat="1"/>
    <row r="6208" s="956" customFormat="1"/>
    <row r="6209" s="956" customFormat="1"/>
    <row r="6210" s="956" customFormat="1"/>
    <row r="6211" s="956" customFormat="1"/>
    <row r="6212" s="956" customFormat="1"/>
    <row r="6213" s="956" customFormat="1"/>
    <row r="6214" s="956" customFormat="1"/>
    <row r="6215" s="956" customFormat="1"/>
    <row r="6216" s="956" customFormat="1"/>
    <row r="6217" s="956" customFormat="1"/>
    <row r="6218" s="956" customFormat="1"/>
    <row r="6219" s="956" customFormat="1"/>
    <row r="6220" s="956" customFormat="1"/>
    <row r="6221" s="956" customFormat="1"/>
    <row r="6222" s="956" customFormat="1"/>
    <row r="6223" s="956" customFormat="1"/>
    <row r="6224" s="956" customFormat="1"/>
    <row r="6225" s="956" customFormat="1"/>
    <row r="6226" s="956" customFormat="1"/>
    <row r="6227" s="956" customFormat="1"/>
    <row r="6228" s="956" customFormat="1"/>
    <row r="6229" s="956" customFormat="1"/>
    <row r="6230" s="956" customFormat="1"/>
    <row r="6231" s="956" customFormat="1"/>
    <row r="6232" s="956" customFormat="1"/>
    <row r="6233" s="956" customFormat="1"/>
    <row r="6234" s="956" customFormat="1"/>
    <row r="6235" s="956" customFormat="1"/>
    <row r="6236" s="956" customFormat="1"/>
    <row r="6237" s="956" customFormat="1"/>
    <row r="6238" s="956" customFormat="1"/>
    <row r="6239" s="956" customFormat="1"/>
    <row r="6240" s="956" customFormat="1"/>
    <row r="6241" s="956" customFormat="1"/>
    <row r="6242" s="956" customFormat="1"/>
    <row r="6243" s="956" customFormat="1"/>
    <row r="6244" s="956" customFormat="1"/>
    <row r="6245" s="956" customFormat="1"/>
    <row r="6246" s="956" customFormat="1"/>
    <row r="6247" s="956" customFormat="1"/>
    <row r="6248" s="956" customFormat="1"/>
    <row r="6249" s="956" customFormat="1"/>
    <row r="6250" s="956" customFormat="1"/>
    <row r="6251" s="956" customFormat="1"/>
    <row r="6252" s="956" customFormat="1"/>
    <row r="6253" s="956" customFormat="1"/>
    <row r="6254" s="956" customFormat="1"/>
    <row r="6255" s="956" customFormat="1"/>
    <row r="6256" s="956" customFormat="1"/>
    <row r="6257" s="956" customFormat="1"/>
    <row r="6258" s="956" customFormat="1"/>
    <row r="6259" s="956" customFormat="1"/>
    <row r="6260" s="956" customFormat="1"/>
    <row r="6261" s="956" customFormat="1"/>
    <row r="6262" s="956" customFormat="1"/>
    <row r="6263" s="956" customFormat="1"/>
    <row r="6264" s="956" customFormat="1"/>
    <row r="6265" s="956" customFormat="1"/>
    <row r="6266" s="956" customFormat="1"/>
    <row r="6267" s="956" customFormat="1"/>
    <row r="6268" s="956" customFormat="1"/>
    <row r="6269" s="956" customFormat="1"/>
    <row r="6270" s="956" customFormat="1"/>
    <row r="6271" s="956" customFormat="1"/>
    <row r="6272" s="956" customFormat="1"/>
    <row r="6273" s="956" customFormat="1"/>
    <row r="6274" s="956" customFormat="1"/>
    <row r="6275" s="956" customFormat="1"/>
    <row r="6276" s="956" customFormat="1"/>
    <row r="6277" s="956" customFormat="1"/>
    <row r="6278" s="956" customFormat="1"/>
    <row r="6279" s="956" customFormat="1"/>
    <row r="6280" s="956" customFormat="1"/>
    <row r="6281" s="956" customFormat="1"/>
    <row r="6282" s="956" customFormat="1"/>
    <row r="6283" s="956" customFormat="1"/>
    <row r="6284" s="956" customFormat="1"/>
    <row r="6285" s="956" customFormat="1"/>
    <row r="6286" s="956" customFormat="1"/>
    <row r="6287" s="956" customFormat="1"/>
    <row r="6288" s="956" customFormat="1"/>
    <row r="6289" s="956" customFormat="1"/>
    <row r="6290" s="956" customFormat="1"/>
    <row r="6291" s="956" customFormat="1"/>
    <row r="6292" s="956" customFormat="1"/>
    <row r="6293" s="956" customFormat="1"/>
    <row r="6294" s="956" customFormat="1"/>
    <row r="6295" s="956" customFormat="1"/>
    <row r="6296" s="956" customFormat="1"/>
    <row r="6297" s="956" customFormat="1"/>
    <row r="6298" s="956" customFormat="1"/>
    <row r="6299" s="956" customFormat="1"/>
    <row r="6300" s="956" customFormat="1"/>
    <row r="6301" s="956" customFormat="1"/>
    <row r="6302" s="956" customFormat="1"/>
    <row r="6303" s="956" customFormat="1"/>
    <row r="6304" s="956" customFormat="1"/>
    <row r="6305" s="956" customFormat="1"/>
    <row r="6306" s="956" customFormat="1"/>
    <row r="6307" s="956" customFormat="1"/>
    <row r="6308" s="956" customFormat="1"/>
    <row r="6309" s="956" customFormat="1"/>
    <row r="6310" s="956" customFormat="1"/>
    <row r="6311" s="956" customFormat="1"/>
    <row r="6312" s="956" customFormat="1"/>
    <row r="6313" s="956" customFormat="1"/>
    <row r="6314" s="956" customFormat="1"/>
    <row r="6315" s="956" customFormat="1"/>
    <row r="6316" s="956" customFormat="1"/>
    <row r="6317" s="956" customFormat="1"/>
    <row r="6318" s="956" customFormat="1"/>
    <row r="6319" s="956" customFormat="1"/>
    <row r="6320" s="956" customFormat="1"/>
    <row r="6321" s="956" customFormat="1"/>
    <row r="6322" s="956" customFormat="1"/>
    <row r="6323" s="956" customFormat="1"/>
    <row r="6324" s="956" customFormat="1"/>
    <row r="6325" s="956" customFormat="1"/>
    <row r="6326" s="956" customFormat="1"/>
    <row r="6327" s="956" customFormat="1"/>
    <row r="6328" s="956" customFormat="1"/>
    <row r="6329" s="956" customFormat="1"/>
    <row r="6330" s="956" customFormat="1"/>
    <row r="6331" s="956" customFormat="1"/>
    <row r="6332" s="956" customFormat="1"/>
    <row r="6333" s="956" customFormat="1"/>
    <row r="6334" s="956" customFormat="1"/>
    <row r="6335" s="956" customFormat="1"/>
    <row r="6336" s="956" customFormat="1"/>
    <row r="6337" s="956" customFormat="1"/>
    <row r="6338" s="956" customFormat="1"/>
    <row r="6339" s="956" customFormat="1"/>
    <row r="6340" s="956" customFormat="1"/>
    <row r="6341" s="956" customFormat="1"/>
    <row r="6342" s="956" customFormat="1"/>
    <row r="6343" s="956" customFormat="1"/>
    <row r="6344" s="956" customFormat="1"/>
    <row r="6345" s="956" customFormat="1"/>
    <row r="6346" s="956" customFormat="1"/>
    <row r="6347" s="956" customFormat="1"/>
    <row r="6348" s="956" customFormat="1"/>
    <row r="6349" s="956" customFormat="1"/>
    <row r="6350" s="956" customFormat="1"/>
    <row r="6351" s="956" customFormat="1"/>
    <row r="6352" s="956" customFormat="1"/>
    <row r="6353" s="956" customFormat="1"/>
    <row r="6354" s="956" customFormat="1"/>
    <row r="6355" s="956" customFormat="1"/>
    <row r="6356" s="956" customFormat="1"/>
    <row r="6357" s="956" customFormat="1"/>
    <row r="6358" s="956" customFormat="1"/>
    <row r="6359" s="956" customFormat="1"/>
    <row r="6360" s="956" customFormat="1"/>
    <row r="6361" s="956" customFormat="1"/>
    <row r="6362" s="956" customFormat="1"/>
    <row r="6363" s="956" customFormat="1"/>
    <row r="6364" s="956" customFormat="1"/>
    <row r="6365" s="956" customFormat="1"/>
    <row r="6366" s="956" customFormat="1"/>
    <row r="6367" s="956" customFormat="1"/>
    <row r="6368" s="956" customFormat="1"/>
    <row r="6369" s="956" customFormat="1"/>
    <row r="6370" s="956" customFormat="1"/>
    <row r="6371" s="956" customFormat="1"/>
    <row r="6372" s="956" customFormat="1"/>
    <row r="6373" s="956" customFormat="1"/>
    <row r="6374" s="956" customFormat="1"/>
    <row r="6375" s="956" customFormat="1"/>
    <row r="6376" s="956" customFormat="1"/>
    <row r="6377" s="956" customFormat="1"/>
    <row r="6378" s="956" customFormat="1"/>
    <row r="6379" s="956" customFormat="1"/>
    <row r="6380" s="956" customFormat="1"/>
    <row r="6381" s="956" customFormat="1"/>
    <row r="6382" s="956" customFormat="1"/>
    <row r="6383" s="956" customFormat="1"/>
    <row r="6384" s="956" customFormat="1"/>
    <row r="6385" s="956" customFormat="1"/>
    <row r="6386" s="956" customFormat="1"/>
    <row r="6387" s="956" customFormat="1"/>
    <row r="6388" s="956" customFormat="1"/>
    <row r="6389" s="956" customFormat="1"/>
    <row r="6390" s="956" customFormat="1"/>
    <row r="6391" s="956" customFormat="1"/>
    <row r="6392" s="956" customFormat="1"/>
    <row r="6393" s="956" customFormat="1"/>
    <row r="6394" s="956" customFormat="1"/>
    <row r="6395" s="956" customFormat="1"/>
    <row r="6396" s="956" customFormat="1"/>
    <row r="6397" s="956" customFormat="1"/>
    <row r="6398" s="956" customFormat="1"/>
    <row r="6399" s="956" customFormat="1"/>
    <row r="6400" s="956" customFormat="1"/>
    <row r="6401" s="956" customFormat="1"/>
    <row r="6402" s="956" customFormat="1"/>
    <row r="6403" s="956" customFormat="1"/>
    <row r="6404" s="956" customFormat="1"/>
    <row r="6405" s="956" customFormat="1"/>
    <row r="6406" s="956" customFormat="1"/>
    <row r="6407" s="956" customFormat="1"/>
    <row r="6408" s="956" customFormat="1"/>
    <row r="6409" s="956" customFormat="1"/>
    <row r="6410" s="956" customFormat="1"/>
    <row r="6411" s="956" customFormat="1"/>
    <row r="6412" s="956" customFormat="1"/>
    <row r="6413" s="956" customFormat="1"/>
    <row r="6414" s="956" customFormat="1"/>
    <row r="6415" s="956" customFormat="1"/>
    <row r="6416" s="956" customFormat="1"/>
    <row r="6417" s="956" customFormat="1"/>
    <row r="6418" s="956" customFormat="1"/>
    <row r="6419" s="956" customFormat="1"/>
    <row r="6420" s="956" customFormat="1"/>
    <row r="6421" s="956" customFormat="1"/>
    <row r="6422" s="956" customFormat="1"/>
    <row r="6423" s="956" customFormat="1"/>
    <row r="6424" s="956" customFormat="1"/>
    <row r="6425" s="956" customFormat="1"/>
    <row r="6426" s="956" customFormat="1"/>
    <row r="6427" s="956" customFormat="1"/>
    <row r="6428" s="956" customFormat="1"/>
    <row r="6429" s="956" customFormat="1"/>
    <row r="6430" s="956" customFormat="1"/>
    <row r="6431" s="956" customFormat="1"/>
    <row r="6432" s="956" customFormat="1"/>
    <row r="6433" s="956" customFormat="1"/>
    <row r="6434" s="956" customFormat="1"/>
    <row r="6435" s="956" customFormat="1"/>
    <row r="6436" s="956" customFormat="1"/>
    <row r="6437" s="956" customFormat="1"/>
    <row r="6438" s="956" customFormat="1"/>
    <row r="6439" s="956" customFormat="1"/>
    <row r="6440" s="956" customFormat="1"/>
    <row r="6441" s="956" customFormat="1"/>
    <row r="6442" s="956" customFormat="1"/>
    <row r="6443" s="956" customFormat="1"/>
    <row r="6444" s="956" customFormat="1"/>
    <row r="6445" s="956" customFormat="1"/>
    <row r="6446" s="956" customFormat="1"/>
    <row r="6447" s="956" customFormat="1"/>
    <row r="6448" s="956" customFormat="1"/>
    <row r="6449" s="956" customFormat="1"/>
    <row r="6450" s="956" customFormat="1"/>
    <row r="6451" s="956" customFormat="1"/>
    <row r="6452" s="956" customFormat="1"/>
    <row r="6453" s="956" customFormat="1"/>
    <row r="6454" s="956" customFormat="1"/>
    <row r="6455" s="956" customFormat="1"/>
    <row r="6456" s="956" customFormat="1"/>
    <row r="6457" s="956" customFormat="1"/>
    <row r="6458" s="956" customFormat="1"/>
    <row r="6459" s="956" customFormat="1"/>
    <row r="6460" s="956" customFormat="1"/>
    <row r="6461" s="956" customFormat="1"/>
    <row r="6462" s="956" customFormat="1"/>
    <row r="6463" s="956" customFormat="1"/>
    <row r="6464" s="956" customFormat="1"/>
    <row r="6465" s="956" customFormat="1"/>
    <row r="6466" s="956" customFormat="1"/>
    <row r="6467" s="956" customFormat="1"/>
    <row r="6468" s="956" customFormat="1"/>
    <row r="6469" s="956" customFormat="1"/>
    <row r="6470" s="956" customFormat="1"/>
    <row r="6471" s="956" customFormat="1"/>
    <row r="6472" s="956" customFormat="1"/>
    <row r="6473" s="956" customFormat="1"/>
    <row r="6474" s="956" customFormat="1"/>
    <row r="6475" s="956" customFormat="1"/>
    <row r="6476" s="956" customFormat="1"/>
    <row r="6477" s="956" customFormat="1"/>
    <row r="6478" s="956" customFormat="1"/>
    <row r="6479" s="956" customFormat="1"/>
    <row r="6480" s="956" customFormat="1"/>
    <row r="6481" s="956" customFormat="1"/>
    <row r="6482" s="956" customFormat="1"/>
    <row r="6483" s="956" customFormat="1"/>
    <row r="6484" s="956" customFormat="1"/>
    <row r="6485" s="956" customFormat="1"/>
    <row r="6486" s="956" customFormat="1"/>
    <row r="6487" s="956" customFormat="1"/>
    <row r="6488" s="956" customFormat="1"/>
    <row r="6489" s="956" customFormat="1"/>
    <row r="6490" s="956" customFormat="1"/>
    <row r="6491" s="956" customFormat="1"/>
    <row r="6492" s="956" customFormat="1"/>
    <row r="6493" s="956" customFormat="1"/>
    <row r="6494" s="956" customFormat="1"/>
    <row r="6495" s="956" customFormat="1"/>
    <row r="6496" s="956" customFormat="1"/>
    <row r="6497" s="956" customFormat="1"/>
    <row r="6498" s="956" customFormat="1"/>
    <row r="6499" s="956" customFormat="1"/>
    <row r="6500" s="956" customFormat="1"/>
    <row r="6501" s="956" customFormat="1"/>
    <row r="6502" s="956" customFormat="1"/>
    <row r="6503" s="956" customFormat="1"/>
    <row r="6504" s="956" customFormat="1"/>
    <row r="6505" s="956" customFormat="1"/>
    <row r="6506" s="956" customFormat="1"/>
    <row r="6507" s="956" customFormat="1"/>
    <row r="6508" s="956" customFormat="1"/>
    <row r="6509" s="956" customFormat="1"/>
    <row r="6510" s="956" customFormat="1"/>
    <row r="6511" s="956" customFormat="1"/>
    <row r="6512" s="956" customFormat="1"/>
    <row r="6513" s="956" customFormat="1"/>
    <row r="6514" s="956" customFormat="1"/>
    <row r="6515" s="956" customFormat="1"/>
    <row r="6516" s="956" customFormat="1"/>
    <row r="6517" s="956" customFormat="1"/>
    <row r="6518" s="956" customFormat="1"/>
    <row r="6519" s="956" customFormat="1"/>
    <row r="6520" s="956" customFormat="1"/>
    <row r="6521" s="956" customFormat="1"/>
    <row r="6522" s="956" customFormat="1"/>
    <row r="6523" s="956" customFormat="1"/>
    <row r="6524" s="956" customFormat="1"/>
    <row r="6525" s="956" customFormat="1"/>
    <row r="6526" s="956" customFormat="1"/>
    <row r="6527" s="956" customFormat="1"/>
    <row r="6528" s="956" customFormat="1"/>
    <row r="6529" s="956" customFormat="1"/>
    <row r="6530" s="956" customFormat="1"/>
    <row r="6531" s="956" customFormat="1"/>
    <row r="6532" s="956" customFormat="1"/>
    <row r="6533" s="956" customFormat="1"/>
    <row r="6534" s="956" customFormat="1"/>
    <row r="6535" s="956" customFormat="1"/>
    <row r="6536" s="956" customFormat="1"/>
    <row r="6537" s="956" customFormat="1"/>
    <row r="6538" s="956" customFormat="1"/>
    <row r="6539" s="956" customFormat="1"/>
    <row r="6540" s="956" customFormat="1"/>
    <row r="6541" s="956" customFormat="1"/>
    <row r="6542" s="956" customFormat="1"/>
    <row r="6543" s="956" customFormat="1"/>
    <row r="6544" s="956" customFormat="1"/>
    <row r="6545" s="956" customFormat="1"/>
    <row r="6546" s="956" customFormat="1"/>
    <row r="6547" s="956" customFormat="1"/>
    <row r="6548" s="956" customFormat="1"/>
    <row r="6549" s="956" customFormat="1"/>
    <row r="6550" s="956" customFormat="1"/>
    <row r="6551" s="956" customFormat="1"/>
    <row r="6552" s="956" customFormat="1"/>
    <row r="6553" s="956" customFormat="1"/>
    <row r="6554" s="956" customFormat="1"/>
    <row r="6555" s="956" customFormat="1"/>
    <row r="6556" s="956" customFormat="1"/>
    <row r="6557" s="956" customFormat="1"/>
    <row r="6558" s="956" customFormat="1"/>
    <row r="6559" s="956" customFormat="1"/>
    <row r="6560" s="956" customFormat="1"/>
    <row r="6561" s="956" customFormat="1"/>
    <row r="6562" s="956" customFormat="1"/>
    <row r="6563" s="956" customFormat="1"/>
    <row r="6564" s="956" customFormat="1"/>
    <row r="6565" s="956" customFormat="1"/>
    <row r="6566" s="956" customFormat="1"/>
    <row r="6567" s="956" customFormat="1"/>
    <row r="6568" s="956" customFormat="1"/>
    <row r="6569" s="956" customFormat="1"/>
    <row r="6570" s="956" customFormat="1"/>
    <row r="6571" s="956" customFormat="1"/>
    <row r="6572" s="956" customFormat="1"/>
    <row r="6573" s="956" customFormat="1"/>
    <row r="6574" s="956" customFormat="1"/>
    <row r="6575" s="956" customFormat="1"/>
    <row r="6576" s="956" customFormat="1"/>
    <row r="6577" s="956" customFormat="1"/>
    <row r="6578" s="956" customFormat="1"/>
    <row r="6579" s="956" customFormat="1"/>
    <row r="6580" s="956" customFormat="1"/>
    <row r="6581" s="956" customFormat="1"/>
    <row r="6582" s="956" customFormat="1"/>
    <row r="6583" s="956" customFormat="1"/>
    <row r="6584" s="956" customFormat="1"/>
    <row r="6585" s="956" customFormat="1"/>
    <row r="6586" s="956" customFormat="1"/>
    <row r="6587" s="956" customFormat="1"/>
    <row r="6588" s="956" customFormat="1"/>
    <row r="6589" s="956" customFormat="1"/>
    <row r="6590" s="956" customFormat="1"/>
    <row r="6591" s="956" customFormat="1"/>
    <row r="6592" s="956" customFormat="1"/>
    <row r="6593" s="956" customFormat="1"/>
    <row r="6594" s="956" customFormat="1"/>
    <row r="6595" s="956" customFormat="1"/>
    <row r="6596" s="956" customFormat="1"/>
    <row r="6597" s="956" customFormat="1"/>
    <row r="6598" s="956" customFormat="1"/>
    <row r="6599" s="956" customFormat="1"/>
    <row r="6600" s="956" customFormat="1"/>
    <row r="6601" s="956" customFormat="1"/>
    <row r="6602" s="956" customFormat="1"/>
    <row r="6603" s="956" customFormat="1"/>
    <row r="6604" s="956" customFormat="1"/>
    <row r="6605" s="956" customFormat="1"/>
    <row r="6606" s="956" customFormat="1"/>
    <row r="6607" s="956" customFormat="1"/>
    <row r="6608" s="956" customFormat="1"/>
    <row r="6609" s="956" customFormat="1"/>
    <row r="6610" s="956" customFormat="1"/>
    <row r="6611" s="956" customFormat="1"/>
    <row r="6612" s="956" customFormat="1"/>
    <row r="6613" s="956" customFormat="1"/>
    <row r="6614" s="956" customFormat="1"/>
    <row r="6615" s="956" customFormat="1"/>
    <row r="6616" s="956" customFormat="1"/>
    <row r="6617" s="956" customFormat="1"/>
    <row r="6618" s="956" customFormat="1"/>
    <row r="6619" s="956" customFormat="1"/>
    <row r="6620" s="956" customFormat="1"/>
    <row r="6621" s="956" customFormat="1"/>
    <row r="6622" s="956" customFormat="1"/>
    <row r="6623" s="956" customFormat="1"/>
    <row r="6624" s="956" customFormat="1"/>
    <row r="6625" s="956" customFormat="1"/>
    <row r="6626" s="956" customFormat="1"/>
    <row r="6627" s="956" customFormat="1"/>
    <row r="6628" s="956" customFormat="1"/>
    <row r="6629" s="956" customFormat="1"/>
    <row r="6630" s="956" customFormat="1"/>
    <row r="6631" s="956" customFormat="1"/>
    <row r="6632" s="956" customFormat="1"/>
    <row r="6633" s="956" customFormat="1"/>
    <row r="6634" s="956" customFormat="1"/>
    <row r="6635" s="956" customFormat="1"/>
    <row r="6636" s="956" customFormat="1"/>
    <row r="6637" s="956" customFormat="1"/>
    <row r="6638" s="956" customFormat="1"/>
    <row r="6639" s="956" customFormat="1"/>
    <row r="6640" s="956" customFormat="1"/>
    <row r="6641" s="956" customFormat="1"/>
    <row r="6642" s="956" customFormat="1"/>
    <row r="6643" s="956" customFormat="1"/>
    <row r="6644" s="956" customFormat="1"/>
    <row r="6645" s="956" customFormat="1"/>
    <row r="6646" s="956" customFormat="1"/>
    <row r="6647" s="956" customFormat="1"/>
    <row r="6648" s="956" customFormat="1"/>
    <row r="6649" s="956" customFormat="1"/>
    <row r="6650" s="956" customFormat="1"/>
    <row r="6651" s="956" customFormat="1"/>
    <row r="6652" s="956" customFormat="1"/>
    <row r="6653" s="956" customFormat="1"/>
    <row r="6654" s="956" customFormat="1"/>
    <row r="6655" s="956" customFormat="1"/>
    <row r="6656" s="956" customFormat="1"/>
    <row r="6657" s="956" customFormat="1"/>
    <row r="6658" s="956" customFormat="1"/>
    <row r="6659" s="956" customFormat="1"/>
    <row r="6660" s="956" customFormat="1"/>
    <row r="6661" s="956" customFormat="1"/>
    <row r="6662" s="956" customFormat="1"/>
    <row r="6663" s="956" customFormat="1"/>
    <row r="6664" s="956" customFormat="1"/>
    <row r="6665" s="956" customFormat="1"/>
    <row r="6666" s="956" customFormat="1"/>
    <row r="6667" s="956" customFormat="1"/>
    <row r="6668" s="956" customFormat="1"/>
    <row r="6669" s="956" customFormat="1"/>
    <row r="6670" s="956" customFormat="1"/>
    <row r="6671" s="956" customFormat="1"/>
    <row r="6672" s="956" customFormat="1"/>
    <row r="6673" s="956" customFormat="1"/>
    <row r="6674" s="956" customFormat="1"/>
    <row r="6675" s="956" customFormat="1"/>
    <row r="6676" s="956" customFormat="1"/>
    <row r="6677" s="956" customFormat="1"/>
    <row r="6678" s="956" customFormat="1"/>
    <row r="6679" s="956" customFormat="1"/>
    <row r="6680" s="956" customFormat="1"/>
    <row r="6681" s="956" customFormat="1"/>
    <row r="6682" s="956" customFormat="1"/>
    <row r="6683" s="956" customFormat="1"/>
    <row r="6684" s="956" customFormat="1"/>
    <row r="6685" s="956" customFormat="1"/>
    <row r="6686" s="956" customFormat="1"/>
    <row r="6687" s="956" customFormat="1"/>
    <row r="6688" s="956" customFormat="1"/>
    <row r="6689" s="956" customFormat="1"/>
    <row r="6690" s="956" customFormat="1"/>
    <row r="6691" s="956" customFormat="1"/>
    <row r="6692" s="956" customFormat="1"/>
    <row r="6693" s="956" customFormat="1"/>
    <row r="6694" s="956" customFormat="1"/>
    <row r="6695" s="956" customFormat="1"/>
    <row r="6696" s="956" customFormat="1"/>
    <row r="6697" s="956" customFormat="1"/>
    <row r="6698" s="956" customFormat="1"/>
    <row r="6699" s="956" customFormat="1"/>
    <row r="6700" s="956" customFormat="1"/>
    <row r="6701" s="956" customFormat="1"/>
    <row r="6702" s="956" customFormat="1"/>
    <row r="6703" s="956" customFormat="1"/>
    <row r="6704" s="956" customFormat="1"/>
    <row r="6705" s="956" customFormat="1"/>
    <row r="6706" s="956" customFormat="1"/>
    <row r="6707" s="956" customFormat="1"/>
    <row r="6708" s="956" customFormat="1"/>
    <row r="6709" s="956" customFormat="1"/>
    <row r="6710" s="956" customFormat="1"/>
    <row r="6711" s="956" customFormat="1"/>
    <row r="6712" s="956" customFormat="1"/>
    <row r="6713" s="956" customFormat="1"/>
    <row r="6714" s="956" customFormat="1"/>
    <row r="6715" s="956" customFormat="1"/>
    <row r="6716" s="956" customFormat="1"/>
    <row r="6717" s="956" customFormat="1"/>
    <row r="6718" s="956" customFormat="1"/>
    <row r="6719" s="956" customFormat="1"/>
    <row r="6720" s="956" customFormat="1"/>
    <row r="6721" s="956" customFormat="1"/>
    <row r="6722" s="956" customFormat="1"/>
    <row r="6723" s="956" customFormat="1"/>
    <row r="6724" s="956" customFormat="1"/>
    <row r="6725" s="956" customFormat="1"/>
    <row r="6726" s="956" customFormat="1"/>
    <row r="6727" s="956" customFormat="1"/>
    <row r="6728" s="956" customFormat="1"/>
    <row r="6729" s="956" customFormat="1"/>
    <row r="6730" s="956" customFormat="1"/>
    <row r="6731" s="956" customFormat="1"/>
    <row r="6732" s="956" customFormat="1"/>
    <row r="6733" s="956" customFormat="1"/>
    <row r="6734" s="956" customFormat="1"/>
    <row r="6735" s="956" customFormat="1"/>
    <row r="6736" s="956" customFormat="1"/>
    <row r="6737" s="956" customFormat="1"/>
    <row r="6738" s="956" customFormat="1"/>
    <row r="6739" s="956" customFormat="1"/>
    <row r="6740" s="956" customFormat="1"/>
    <row r="6741" s="956" customFormat="1"/>
    <row r="6742" s="956" customFormat="1"/>
    <row r="6743" s="956" customFormat="1"/>
    <row r="6744" s="956" customFormat="1"/>
    <row r="6745" s="956" customFormat="1"/>
    <row r="6746" s="956" customFormat="1"/>
    <row r="6747" s="956" customFormat="1"/>
    <row r="6748" s="956" customFormat="1"/>
    <row r="6749" s="956" customFormat="1"/>
    <row r="6750" s="956" customFormat="1"/>
    <row r="6751" s="956" customFormat="1"/>
    <row r="6752" s="956" customFormat="1"/>
    <row r="6753" s="956" customFormat="1"/>
    <row r="6754" s="956" customFormat="1"/>
    <row r="6755" s="956" customFormat="1"/>
    <row r="6756" s="956" customFormat="1"/>
    <row r="6757" s="956" customFormat="1"/>
    <row r="6758" s="956" customFormat="1"/>
    <row r="6759" s="956" customFormat="1"/>
    <row r="6760" s="956" customFormat="1"/>
    <row r="6761" s="956" customFormat="1"/>
    <row r="6762" s="956" customFormat="1"/>
    <row r="6763" s="956" customFormat="1"/>
    <row r="6764" s="956" customFormat="1"/>
    <row r="6765" s="956" customFormat="1"/>
    <row r="6766" s="956" customFormat="1"/>
    <row r="6767" s="956" customFormat="1"/>
    <row r="6768" s="956" customFormat="1"/>
    <row r="6769" s="956" customFormat="1"/>
    <row r="6770" s="956" customFormat="1"/>
    <row r="6771" s="956" customFormat="1"/>
    <row r="6772" s="956" customFormat="1"/>
    <row r="6773" s="956" customFormat="1"/>
    <row r="6774" s="956" customFormat="1"/>
    <row r="6775" s="956" customFormat="1"/>
    <row r="6776" s="956" customFormat="1"/>
    <row r="6777" s="956" customFormat="1"/>
    <row r="6778" s="956" customFormat="1"/>
    <row r="6779" s="956" customFormat="1"/>
    <row r="6780" s="956" customFormat="1"/>
    <row r="6781" s="956" customFormat="1"/>
    <row r="6782" s="956" customFormat="1"/>
    <row r="6783" s="956" customFormat="1"/>
    <row r="6784" s="956" customFormat="1"/>
    <row r="6785" s="956" customFormat="1"/>
    <row r="6786" s="956" customFormat="1"/>
    <row r="6787" s="956" customFormat="1"/>
    <row r="6788" s="956" customFormat="1"/>
    <row r="6789" s="956" customFormat="1"/>
    <row r="6790" s="956" customFormat="1"/>
    <row r="6791" s="956" customFormat="1"/>
    <row r="6792" s="956" customFormat="1"/>
    <row r="6793" s="956" customFormat="1"/>
    <row r="6794" s="956" customFormat="1"/>
    <row r="6795" s="956" customFormat="1"/>
    <row r="6796" s="956" customFormat="1"/>
    <row r="6797" s="956" customFormat="1"/>
    <row r="6798" s="956" customFormat="1"/>
    <row r="6799" s="956" customFormat="1"/>
    <row r="6800" s="956" customFormat="1"/>
    <row r="6801" s="956" customFormat="1"/>
    <row r="6802" s="956" customFormat="1"/>
    <row r="6803" s="956" customFormat="1"/>
    <row r="6804" s="956" customFormat="1"/>
    <row r="6805" s="956" customFormat="1"/>
    <row r="6806" s="956" customFormat="1"/>
    <row r="6807" s="956" customFormat="1"/>
    <row r="6808" s="956" customFormat="1"/>
    <row r="6809" s="956" customFormat="1"/>
    <row r="6810" s="956" customFormat="1"/>
    <row r="6811" s="956" customFormat="1"/>
    <row r="6812" s="956" customFormat="1"/>
    <row r="6813" s="956" customFormat="1"/>
    <row r="6814" s="956" customFormat="1"/>
    <row r="6815" s="956" customFormat="1"/>
    <row r="6816" s="956" customFormat="1"/>
    <row r="6817" s="956" customFormat="1"/>
    <row r="6818" s="956" customFormat="1"/>
    <row r="6819" s="956" customFormat="1"/>
    <row r="6820" s="956" customFormat="1"/>
    <row r="6821" s="956" customFormat="1"/>
    <row r="6822" s="956" customFormat="1"/>
    <row r="6823" s="956" customFormat="1"/>
    <row r="6824" s="956" customFormat="1"/>
    <row r="6825" s="956" customFormat="1"/>
    <row r="6826" s="956" customFormat="1"/>
    <row r="6827" s="956" customFormat="1"/>
    <row r="6828" s="956" customFormat="1"/>
    <row r="6829" s="956" customFormat="1"/>
    <row r="6830" s="956" customFormat="1"/>
    <row r="6831" s="956" customFormat="1"/>
    <row r="6832" s="956" customFormat="1"/>
    <row r="6833" s="956" customFormat="1"/>
    <row r="6834" s="956" customFormat="1"/>
    <row r="6835" s="956" customFormat="1"/>
    <row r="6836" s="956" customFormat="1"/>
    <row r="6837" s="956" customFormat="1"/>
    <row r="6838" s="956" customFormat="1"/>
    <row r="6839" s="956" customFormat="1"/>
    <row r="6840" s="956" customFormat="1"/>
    <row r="6841" s="956" customFormat="1"/>
    <row r="6842" s="956" customFormat="1"/>
    <row r="6843" s="956" customFormat="1"/>
    <row r="6844" s="956" customFormat="1"/>
    <row r="6845" s="956" customFormat="1"/>
    <row r="6846" s="956" customFormat="1"/>
    <row r="6847" s="956" customFormat="1"/>
    <row r="6848" s="956" customFormat="1"/>
    <row r="6849" s="956" customFormat="1"/>
    <row r="6850" s="956" customFormat="1"/>
    <row r="6851" s="956" customFormat="1"/>
    <row r="6852" s="956" customFormat="1"/>
    <row r="6853" s="956" customFormat="1"/>
    <row r="6854" s="956" customFormat="1"/>
    <row r="6855" s="956" customFormat="1"/>
    <row r="6856" s="956" customFormat="1"/>
    <row r="6857" s="956" customFormat="1"/>
    <row r="6858" s="956" customFormat="1"/>
    <row r="6859" s="956" customFormat="1"/>
    <row r="6860" s="956" customFormat="1"/>
    <row r="6861" s="956" customFormat="1"/>
    <row r="6862" s="956" customFormat="1"/>
    <row r="6863" s="956" customFormat="1"/>
    <row r="6864" s="956" customFormat="1"/>
    <row r="6865" s="956" customFormat="1"/>
    <row r="6866" s="956" customFormat="1"/>
    <row r="6867" s="956" customFormat="1"/>
    <row r="6868" s="956" customFormat="1"/>
    <row r="6869" s="956" customFormat="1"/>
    <row r="6870" s="956" customFormat="1"/>
    <row r="6871" s="956" customFormat="1"/>
    <row r="6872" s="956" customFormat="1"/>
    <row r="6873" s="956" customFormat="1"/>
    <row r="6874" s="956" customFormat="1"/>
    <row r="6875" s="956" customFormat="1"/>
    <row r="6876" s="956" customFormat="1"/>
    <row r="6877" s="956" customFormat="1"/>
    <row r="6878" s="956" customFormat="1"/>
    <row r="6879" s="956" customFormat="1"/>
    <row r="6880" s="956" customFormat="1"/>
    <row r="6881" s="956" customFormat="1"/>
    <row r="6882" s="956" customFormat="1"/>
    <row r="6883" s="956" customFormat="1"/>
    <row r="6884" s="956" customFormat="1"/>
    <row r="6885" s="956" customFormat="1"/>
    <row r="6886" s="956" customFormat="1"/>
    <row r="6887" s="956" customFormat="1"/>
    <row r="6888" s="956" customFormat="1"/>
    <row r="6889" s="956" customFormat="1"/>
    <row r="6890" s="956" customFormat="1"/>
    <row r="6891" s="956" customFormat="1"/>
    <row r="6892" s="956" customFormat="1"/>
    <row r="6893" s="956" customFormat="1"/>
    <row r="6894" s="956" customFormat="1"/>
    <row r="6895" s="956" customFormat="1"/>
    <row r="6896" s="956" customFormat="1"/>
    <row r="6897" s="956" customFormat="1"/>
    <row r="6898" s="956" customFormat="1"/>
    <row r="6899" s="956" customFormat="1"/>
    <row r="6900" s="956" customFormat="1"/>
    <row r="6901" s="956" customFormat="1"/>
    <row r="6902" s="956" customFormat="1"/>
    <row r="6903" s="956" customFormat="1"/>
    <row r="6904" s="956" customFormat="1"/>
    <row r="6905" s="956" customFormat="1"/>
    <row r="6906" s="956" customFormat="1"/>
    <row r="6907" s="956" customFormat="1"/>
    <row r="6908" s="956" customFormat="1"/>
    <row r="6909" s="956" customFormat="1"/>
    <row r="6910" s="956" customFormat="1"/>
    <row r="6911" s="956" customFormat="1"/>
    <row r="6912" s="956" customFormat="1"/>
    <row r="6913" s="956" customFormat="1"/>
    <row r="6914" s="956" customFormat="1"/>
    <row r="6915" s="956" customFormat="1"/>
    <row r="6916" s="956" customFormat="1"/>
    <row r="6917" s="956" customFormat="1"/>
    <row r="6918" s="956" customFormat="1"/>
    <row r="6919" s="956" customFormat="1"/>
    <row r="6920" s="956" customFormat="1"/>
    <row r="6921" s="956" customFormat="1"/>
    <row r="6922" s="956" customFormat="1"/>
    <row r="6923" s="956" customFormat="1"/>
    <row r="6924" s="956" customFormat="1"/>
    <row r="6925" s="956" customFormat="1"/>
    <row r="6926" s="956" customFormat="1"/>
    <row r="6927" s="956" customFormat="1"/>
    <row r="6928" s="956" customFormat="1"/>
    <row r="6929" s="956" customFormat="1"/>
    <row r="6930" s="956" customFormat="1"/>
    <row r="6931" s="956" customFormat="1"/>
    <row r="6932" s="956" customFormat="1"/>
    <row r="6933" s="956" customFormat="1"/>
    <row r="6934" s="956" customFormat="1"/>
    <row r="6935" s="956" customFormat="1"/>
    <row r="6936" s="956" customFormat="1"/>
    <row r="6937" s="956" customFormat="1"/>
    <row r="6938" s="956" customFormat="1"/>
    <row r="6939" s="956" customFormat="1"/>
    <row r="6940" s="956" customFormat="1"/>
    <row r="6941" s="956" customFormat="1"/>
    <row r="6942" s="956" customFormat="1"/>
    <row r="6943" s="956" customFormat="1"/>
    <row r="6944" s="956" customFormat="1"/>
    <row r="6945" s="956" customFormat="1"/>
    <row r="6946" s="956" customFormat="1"/>
    <row r="6947" s="956" customFormat="1"/>
    <row r="6948" s="956" customFormat="1"/>
    <row r="6949" s="956" customFormat="1"/>
    <row r="6950" s="956" customFormat="1"/>
    <row r="6951" s="956" customFormat="1"/>
    <row r="6952" s="956" customFormat="1"/>
    <row r="6953" s="956" customFormat="1"/>
    <row r="6954" s="956" customFormat="1"/>
    <row r="6955" s="956" customFormat="1"/>
    <row r="6956" s="956" customFormat="1"/>
    <row r="6957" s="956" customFormat="1"/>
    <row r="6958" s="956" customFormat="1"/>
    <row r="6959" s="956" customFormat="1"/>
    <row r="6960" s="956" customFormat="1"/>
    <row r="6961" s="956" customFormat="1"/>
    <row r="6962" s="956" customFormat="1"/>
    <row r="6963" s="956" customFormat="1"/>
    <row r="6964" s="956" customFormat="1"/>
    <row r="6965" s="956" customFormat="1"/>
    <row r="6966" s="956" customFormat="1"/>
    <row r="6967" s="956" customFormat="1"/>
    <row r="6968" s="956" customFormat="1"/>
    <row r="6969" s="956" customFormat="1"/>
    <row r="6970" s="956" customFormat="1"/>
    <row r="6971" s="956" customFormat="1"/>
    <row r="6972" s="956" customFormat="1"/>
    <row r="6973" s="956" customFormat="1"/>
    <row r="6974" s="956" customFormat="1"/>
    <row r="6975" s="956" customFormat="1"/>
    <row r="6976" s="956" customFormat="1"/>
    <row r="6977" s="956" customFormat="1"/>
    <row r="6978" s="956" customFormat="1"/>
    <row r="6979" s="956" customFormat="1"/>
    <row r="6980" s="956" customFormat="1"/>
    <row r="6981" s="956" customFormat="1"/>
    <row r="6982" s="956" customFormat="1"/>
    <row r="6983" s="956" customFormat="1"/>
    <row r="6984" s="956" customFormat="1"/>
    <row r="6985" s="956" customFormat="1"/>
    <row r="6986" s="956" customFormat="1"/>
    <row r="6987" s="956" customFormat="1"/>
    <row r="6988" s="956" customFormat="1"/>
    <row r="6989" s="956" customFormat="1"/>
    <row r="6990" s="956" customFormat="1"/>
    <row r="6991" s="956" customFormat="1"/>
    <row r="6992" s="956" customFormat="1"/>
    <row r="6993" s="956" customFormat="1"/>
    <row r="6994" s="956" customFormat="1"/>
    <row r="6995" s="956" customFormat="1"/>
    <row r="6996" s="956" customFormat="1"/>
    <row r="6997" s="956" customFormat="1"/>
    <row r="6998" s="956" customFormat="1"/>
    <row r="6999" s="956" customFormat="1"/>
    <row r="7000" s="956" customFormat="1"/>
    <row r="7001" s="956" customFormat="1"/>
    <row r="7002" s="956" customFormat="1"/>
    <row r="7003" s="956" customFormat="1"/>
    <row r="7004" s="956" customFormat="1"/>
    <row r="7005" s="956" customFormat="1"/>
    <row r="7006" s="956" customFormat="1"/>
    <row r="7007" s="956" customFormat="1"/>
    <row r="7008" s="956" customFormat="1"/>
    <row r="7009" s="956" customFormat="1"/>
    <row r="7010" s="956" customFormat="1"/>
    <row r="7011" s="956" customFormat="1"/>
    <row r="7012" s="956" customFormat="1"/>
    <row r="7013" s="956" customFormat="1"/>
    <row r="7014" s="956" customFormat="1"/>
    <row r="7015" s="956" customFormat="1"/>
    <row r="7016" s="956" customFormat="1"/>
    <row r="7017" s="956" customFormat="1"/>
    <row r="7018" s="956" customFormat="1"/>
    <row r="7019" s="956" customFormat="1"/>
    <row r="7020" s="956" customFormat="1"/>
    <row r="7021" s="956" customFormat="1"/>
    <row r="7022" s="956" customFormat="1"/>
    <row r="7023" s="956" customFormat="1"/>
    <row r="7024" s="956" customFormat="1"/>
    <row r="7025" s="956" customFormat="1"/>
    <row r="7026" s="956" customFormat="1"/>
    <row r="7027" s="956" customFormat="1"/>
    <row r="7028" s="956" customFormat="1"/>
    <row r="7029" s="956" customFormat="1"/>
    <row r="7030" s="956" customFormat="1"/>
    <row r="7031" s="956" customFormat="1"/>
    <row r="7032" s="956" customFormat="1"/>
    <row r="7033" s="956" customFormat="1"/>
    <row r="7034" s="956" customFormat="1"/>
    <row r="7035" s="956" customFormat="1"/>
    <row r="7036" s="956" customFormat="1"/>
    <row r="7037" s="956" customFormat="1"/>
    <row r="7038" s="956" customFormat="1"/>
    <row r="7039" s="956" customFormat="1"/>
    <row r="7040" s="956" customFormat="1"/>
    <row r="7041" s="956" customFormat="1"/>
    <row r="7042" s="956" customFormat="1"/>
    <row r="7043" s="956" customFormat="1"/>
    <row r="7044" s="956" customFormat="1"/>
    <row r="7045" s="956" customFormat="1"/>
    <row r="7046" s="956" customFormat="1"/>
    <row r="7047" s="956" customFormat="1"/>
    <row r="7048" s="956" customFormat="1"/>
    <row r="7049" s="956" customFormat="1"/>
    <row r="7050" s="956" customFormat="1"/>
    <row r="7051" s="956" customFormat="1"/>
    <row r="7052" s="956" customFormat="1"/>
    <row r="7053" s="956" customFormat="1"/>
    <row r="7054" s="956" customFormat="1"/>
    <row r="7055" s="956" customFormat="1"/>
    <row r="7056" s="956" customFormat="1"/>
    <row r="7057" s="956" customFormat="1"/>
    <row r="7058" s="956" customFormat="1"/>
    <row r="7059" s="956" customFormat="1"/>
    <row r="7060" s="956" customFormat="1"/>
    <row r="7061" s="956" customFormat="1"/>
    <row r="7062" s="956" customFormat="1"/>
    <row r="7063" s="956" customFormat="1"/>
    <row r="7064" s="956" customFormat="1"/>
    <row r="7065" s="956" customFormat="1"/>
    <row r="7066" s="956" customFormat="1"/>
    <row r="7067" s="956" customFormat="1"/>
    <row r="7068" s="956" customFormat="1"/>
    <row r="7069" s="956" customFormat="1"/>
    <row r="7070" s="956" customFormat="1"/>
    <row r="7071" s="956" customFormat="1"/>
    <row r="7072" s="956" customFormat="1"/>
    <row r="7073" s="956" customFormat="1"/>
    <row r="7074" s="956" customFormat="1"/>
    <row r="7075" s="956" customFormat="1"/>
    <row r="7076" s="956" customFormat="1"/>
    <row r="7077" s="956" customFormat="1"/>
    <row r="7078" s="956" customFormat="1"/>
    <row r="7079" s="956" customFormat="1"/>
    <row r="7080" s="956" customFormat="1"/>
    <row r="7081" s="956" customFormat="1"/>
    <row r="7082" s="956" customFormat="1"/>
    <row r="7083" s="956" customFormat="1"/>
    <row r="7084" s="956" customFormat="1"/>
    <row r="7085" s="956" customFormat="1"/>
    <row r="7086" s="956" customFormat="1"/>
    <row r="7087" s="956" customFormat="1"/>
    <row r="7088" s="956" customFormat="1"/>
    <row r="7089" s="956" customFormat="1"/>
    <row r="7090" s="956" customFormat="1"/>
    <row r="7091" s="956" customFormat="1"/>
    <row r="7092" s="956" customFormat="1"/>
    <row r="7093" s="956" customFormat="1"/>
    <row r="7094" s="956" customFormat="1"/>
    <row r="7095" s="956" customFormat="1"/>
    <row r="7096" s="956" customFormat="1"/>
    <row r="7097" s="956" customFormat="1"/>
    <row r="7098" s="956" customFormat="1"/>
    <row r="7099" s="956" customFormat="1"/>
    <row r="7100" s="956" customFormat="1"/>
    <row r="7101" s="956" customFormat="1"/>
    <row r="7102" s="956" customFormat="1"/>
    <row r="7103" s="956" customFormat="1"/>
    <row r="7104" s="956" customFormat="1"/>
    <row r="7105" s="956" customFormat="1"/>
    <row r="7106" s="956" customFormat="1"/>
    <row r="7107" s="956" customFormat="1"/>
    <row r="7108" s="956" customFormat="1"/>
    <row r="7109" s="956" customFormat="1"/>
    <row r="7110" s="956" customFormat="1"/>
    <row r="7111" s="956" customFormat="1"/>
    <row r="7112" s="956" customFormat="1"/>
    <row r="7113" s="956" customFormat="1"/>
    <row r="7114" s="956" customFormat="1"/>
    <row r="7115" s="956" customFormat="1"/>
    <row r="7116" s="956" customFormat="1"/>
    <row r="7117" s="956" customFormat="1"/>
    <row r="7118" s="956" customFormat="1"/>
    <row r="7119" s="956" customFormat="1"/>
    <row r="7120" s="956" customFormat="1"/>
    <row r="7121" s="956" customFormat="1"/>
    <row r="7122" s="956" customFormat="1"/>
    <row r="7123" s="956" customFormat="1"/>
    <row r="7124" s="956" customFormat="1"/>
    <row r="7125" s="956" customFormat="1"/>
    <row r="7126" s="956" customFormat="1"/>
    <row r="7127" s="956" customFormat="1"/>
    <row r="7128" s="956" customFormat="1"/>
    <row r="7129" s="956" customFormat="1"/>
    <row r="7130" s="956" customFormat="1"/>
    <row r="7131" s="956" customFormat="1"/>
    <row r="7132" s="956" customFormat="1"/>
    <row r="7133" s="956" customFormat="1"/>
    <row r="7134" s="956" customFormat="1"/>
    <row r="7135" s="956" customFormat="1"/>
    <row r="7136" s="956" customFormat="1"/>
    <row r="7137" s="956" customFormat="1"/>
    <row r="7138" s="956" customFormat="1"/>
    <row r="7139" s="956" customFormat="1"/>
    <row r="7140" s="956" customFormat="1"/>
    <row r="7141" s="956" customFormat="1"/>
    <row r="7142" s="956" customFormat="1"/>
    <row r="7143" s="956" customFormat="1"/>
    <row r="7144" s="956" customFormat="1"/>
    <row r="7145" s="956" customFormat="1"/>
    <row r="7146" s="956" customFormat="1"/>
    <row r="7147" s="956" customFormat="1"/>
    <row r="7148" s="956" customFormat="1"/>
    <row r="7149" s="956" customFormat="1"/>
    <row r="7150" s="956" customFormat="1"/>
    <row r="7151" s="956" customFormat="1"/>
    <row r="7152" s="956" customFormat="1"/>
    <row r="7153" s="956" customFormat="1"/>
    <row r="7154" s="956" customFormat="1"/>
    <row r="7155" s="956" customFormat="1"/>
    <row r="7156" s="956" customFormat="1"/>
    <row r="7157" s="956" customFormat="1"/>
    <row r="7158" s="956" customFormat="1"/>
    <row r="7159" s="956" customFormat="1"/>
    <row r="7160" s="956" customFormat="1"/>
    <row r="7161" s="956" customFormat="1"/>
    <row r="7162" s="956" customFormat="1"/>
    <row r="7163" s="956" customFormat="1"/>
    <row r="7164" s="956" customFormat="1"/>
    <row r="7165" s="956" customFormat="1"/>
    <row r="7166" s="956" customFormat="1"/>
    <row r="7167" s="956" customFormat="1"/>
    <row r="7168" s="956" customFormat="1"/>
    <row r="7169" s="956" customFormat="1"/>
    <row r="7170" s="956" customFormat="1"/>
    <row r="7171" s="956" customFormat="1"/>
    <row r="7172" s="956" customFormat="1"/>
    <row r="7173" s="956" customFormat="1"/>
    <row r="7174" s="956" customFormat="1"/>
    <row r="7175" s="956" customFormat="1"/>
    <row r="7176" s="956" customFormat="1"/>
    <row r="7177" s="956" customFormat="1"/>
    <row r="7178" s="956" customFormat="1"/>
    <row r="7179" s="956" customFormat="1"/>
    <row r="7180" s="956" customFormat="1"/>
    <row r="7181" s="956" customFormat="1"/>
    <row r="7182" s="956" customFormat="1"/>
    <row r="7183" s="956" customFormat="1"/>
    <row r="7184" s="956" customFormat="1"/>
    <row r="7185" s="956" customFormat="1"/>
    <row r="7186" s="956" customFormat="1"/>
    <row r="7187" s="956" customFormat="1"/>
    <row r="7188" s="956" customFormat="1"/>
    <row r="7189" s="956" customFormat="1"/>
    <row r="7190" s="956" customFormat="1"/>
    <row r="7191" s="956" customFormat="1"/>
    <row r="7192" s="956" customFormat="1"/>
    <row r="7193" s="956" customFormat="1"/>
    <row r="7194" s="956" customFormat="1"/>
    <row r="7195" s="956" customFormat="1"/>
    <row r="7196" s="956" customFormat="1"/>
    <row r="7197" s="956" customFormat="1"/>
    <row r="7198" s="956" customFormat="1"/>
    <row r="7199" s="956" customFormat="1"/>
    <row r="7200" s="956" customFormat="1"/>
    <row r="7201" s="956" customFormat="1"/>
    <row r="7202" s="956" customFormat="1"/>
    <row r="7203" s="956" customFormat="1"/>
    <row r="7204" s="956" customFormat="1"/>
    <row r="7205" s="956" customFormat="1"/>
    <row r="7206" s="956" customFormat="1"/>
    <row r="7207" s="956" customFormat="1"/>
    <row r="7208" s="956" customFormat="1"/>
    <row r="7209" s="956" customFormat="1"/>
    <row r="7210" s="956" customFormat="1"/>
    <row r="7211" s="956" customFormat="1"/>
    <row r="7212" s="956" customFormat="1"/>
    <row r="7213" s="956" customFormat="1"/>
    <row r="7214" s="956" customFormat="1"/>
    <row r="7215" s="956" customFormat="1"/>
    <row r="7216" s="956" customFormat="1"/>
    <row r="7217" s="956" customFormat="1"/>
    <row r="7218" s="956" customFormat="1"/>
    <row r="7219" s="956" customFormat="1"/>
    <row r="7220" s="956" customFormat="1"/>
    <row r="7221" s="956" customFormat="1"/>
    <row r="7222" s="956" customFormat="1"/>
    <row r="7223" s="956" customFormat="1"/>
    <row r="7224" s="956" customFormat="1"/>
    <row r="7225" s="956" customFormat="1"/>
    <row r="7226" s="956" customFormat="1"/>
    <row r="7227" s="956" customFormat="1"/>
    <row r="7228" s="956" customFormat="1"/>
    <row r="7229" s="956" customFormat="1"/>
    <row r="7230" s="956" customFormat="1"/>
    <row r="7231" s="956" customFormat="1"/>
    <row r="7232" s="956" customFormat="1"/>
    <row r="7233" s="956" customFormat="1"/>
    <row r="7234" s="956" customFormat="1"/>
    <row r="7235" s="956" customFormat="1"/>
    <row r="7236" s="956" customFormat="1"/>
    <row r="7237" s="956" customFormat="1"/>
    <row r="7238" s="956" customFormat="1"/>
    <row r="7239" s="956" customFormat="1"/>
    <row r="7240" s="956" customFormat="1"/>
    <row r="7241" s="956" customFormat="1"/>
    <row r="7242" s="956" customFormat="1"/>
    <row r="7243" s="956" customFormat="1"/>
    <row r="7244" s="956" customFormat="1"/>
    <row r="7245" s="956" customFormat="1"/>
    <row r="7246" s="956" customFormat="1"/>
    <row r="7247" s="956" customFormat="1"/>
    <row r="7248" s="956" customFormat="1"/>
    <row r="7249" s="956" customFormat="1"/>
    <row r="7250" s="956" customFormat="1"/>
    <row r="7251" s="956" customFormat="1"/>
    <row r="7252" s="956" customFormat="1"/>
    <row r="7253" s="956" customFormat="1"/>
    <row r="7254" s="956" customFormat="1"/>
    <row r="7255" s="956" customFormat="1"/>
    <row r="7256" s="956" customFormat="1"/>
    <row r="7257" s="956" customFormat="1"/>
    <row r="7258" s="956" customFormat="1"/>
    <row r="7259" s="956" customFormat="1"/>
    <row r="7260" s="956" customFormat="1"/>
    <row r="7261" s="956" customFormat="1"/>
    <row r="7262" s="956" customFormat="1"/>
    <row r="7263" s="956" customFormat="1"/>
    <row r="7264" s="956" customFormat="1"/>
    <row r="7265" s="956" customFormat="1"/>
    <row r="7266" s="956" customFormat="1"/>
    <row r="7267" s="956" customFormat="1"/>
    <row r="7268" s="956" customFormat="1"/>
    <row r="7269" s="956" customFormat="1"/>
    <row r="7270" s="956" customFormat="1"/>
    <row r="7271" s="956" customFormat="1"/>
    <row r="7272" s="956" customFormat="1"/>
    <row r="7273" s="956" customFormat="1"/>
    <row r="7274" s="956" customFormat="1"/>
    <row r="7275" s="956" customFormat="1"/>
    <row r="7276" s="956" customFormat="1"/>
    <row r="7277" s="956" customFormat="1"/>
    <row r="7278" s="956" customFormat="1"/>
    <row r="7279" s="956" customFormat="1"/>
    <row r="7280" s="956" customFormat="1"/>
    <row r="7281" s="956" customFormat="1"/>
    <row r="7282" s="956" customFormat="1"/>
    <row r="7283" s="956" customFormat="1"/>
    <row r="7284" s="956" customFormat="1"/>
    <row r="7285" s="956" customFormat="1"/>
    <row r="7286" s="956" customFormat="1"/>
    <row r="7287" s="956" customFormat="1"/>
    <row r="7288" s="956" customFormat="1"/>
    <row r="7289" s="956" customFormat="1"/>
    <row r="7290" s="956" customFormat="1"/>
    <row r="7291" s="956" customFormat="1"/>
    <row r="7292" s="956" customFormat="1"/>
    <row r="7293" s="956" customFormat="1"/>
    <row r="7294" s="956" customFormat="1"/>
    <row r="7295" s="956" customFormat="1"/>
    <row r="7296" s="956" customFormat="1"/>
    <row r="7297" s="956" customFormat="1"/>
    <row r="7298" s="956" customFormat="1"/>
    <row r="7299" s="956" customFormat="1"/>
    <row r="7300" s="956" customFormat="1"/>
    <row r="7301" s="956" customFormat="1"/>
    <row r="7302" s="956" customFormat="1"/>
    <row r="7303" s="956" customFormat="1"/>
    <row r="7304" s="956" customFormat="1"/>
    <row r="7305" s="956" customFormat="1"/>
    <row r="7306" s="956" customFormat="1"/>
    <row r="7307" s="956" customFormat="1"/>
    <row r="7308" s="956" customFormat="1"/>
    <row r="7309" s="956" customFormat="1"/>
    <row r="7310" s="956" customFormat="1"/>
    <row r="7311" s="956" customFormat="1"/>
    <row r="7312" s="956" customFormat="1"/>
    <row r="7313" s="956" customFormat="1"/>
    <row r="7314" s="956" customFormat="1"/>
    <row r="7315" s="956" customFormat="1"/>
    <row r="7316" s="956" customFormat="1"/>
    <row r="7317" s="956" customFormat="1"/>
    <row r="7318" s="956" customFormat="1"/>
    <row r="7319" s="956" customFormat="1"/>
    <row r="7320" s="956" customFormat="1"/>
    <row r="7321" s="956" customFormat="1"/>
    <row r="7322" s="956" customFormat="1"/>
    <row r="7323" s="956" customFormat="1"/>
    <row r="7324" s="956" customFormat="1"/>
    <row r="7325" s="956" customFormat="1"/>
    <row r="7326" s="956" customFormat="1"/>
    <row r="7327" s="956" customFormat="1"/>
    <row r="7328" s="956" customFormat="1"/>
    <row r="7329" s="956" customFormat="1"/>
    <row r="7330" s="956" customFormat="1"/>
    <row r="7331" s="956" customFormat="1"/>
    <row r="7332" s="956" customFormat="1"/>
    <row r="7333" s="956" customFormat="1"/>
    <row r="7334" s="956" customFormat="1"/>
    <row r="7335" s="956" customFormat="1"/>
    <row r="7336" s="956" customFormat="1"/>
    <row r="7337" s="956" customFormat="1"/>
    <row r="7338" s="956" customFormat="1"/>
    <row r="7339" s="956" customFormat="1"/>
    <row r="7340" s="956" customFormat="1"/>
    <row r="7341" s="956" customFormat="1"/>
    <row r="7342" s="956" customFormat="1"/>
    <row r="7343" s="956" customFormat="1"/>
    <row r="7344" s="956" customFormat="1"/>
    <row r="7345" s="956" customFormat="1"/>
    <row r="7346" s="956" customFormat="1"/>
    <row r="7347" s="956" customFormat="1"/>
    <row r="7348" s="956" customFormat="1"/>
    <row r="7349" s="956" customFormat="1"/>
    <row r="7350" s="956" customFormat="1"/>
    <row r="7351" s="956" customFormat="1"/>
    <row r="7352" s="956" customFormat="1"/>
    <row r="7353" s="956" customFormat="1"/>
    <row r="7354" s="956" customFormat="1"/>
    <row r="7355" s="956" customFormat="1"/>
    <row r="7356" s="956" customFormat="1"/>
    <row r="7357" s="956" customFormat="1"/>
    <row r="7358" s="956" customFormat="1"/>
    <row r="7359" s="956" customFormat="1"/>
    <row r="7360" s="956" customFormat="1"/>
    <row r="7361" s="956" customFormat="1"/>
    <row r="7362" s="956" customFormat="1"/>
    <row r="7363" s="956" customFormat="1"/>
    <row r="7364" s="956" customFormat="1"/>
    <row r="7365" s="956" customFormat="1"/>
    <row r="7366" s="956" customFormat="1"/>
    <row r="7367" s="956" customFormat="1"/>
    <row r="7368" s="956" customFormat="1"/>
    <row r="7369" s="956" customFormat="1"/>
    <row r="7370" s="956" customFormat="1"/>
    <row r="7371" s="956" customFormat="1"/>
    <row r="7372" s="956" customFormat="1"/>
    <row r="7373" s="956" customFormat="1"/>
    <row r="7374" s="956" customFormat="1"/>
    <row r="7375" s="956" customFormat="1"/>
    <row r="7376" s="956" customFormat="1"/>
    <row r="7377" s="956" customFormat="1"/>
    <row r="7378" s="956" customFormat="1"/>
    <row r="7379" s="956" customFormat="1"/>
    <row r="7380" s="956" customFormat="1"/>
    <row r="7381" s="956" customFormat="1"/>
    <row r="7382" s="956" customFormat="1"/>
    <row r="7383" s="956" customFormat="1"/>
    <row r="7384" s="956" customFormat="1"/>
    <row r="7385" s="956" customFormat="1"/>
    <row r="7386" s="956" customFormat="1"/>
    <row r="7387" s="956" customFormat="1"/>
    <row r="7388" s="956" customFormat="1"/>
    <row r="7389" s="956" customFormat="1"/>
    <row r="7390" s="956" customFormat="1"/>
    <row r="7391" s="956" customFormat="1"/>
    <row r="7392" s="956" customFormat="1"/>
    <row r="7393" s="956" customFormat="1"/>
    <row r="7394" s="956" customFormat="1"/>
    <row r="7395" s="956" customFormat="1"/>
    <row r="7396" s="956" customFormat="1"/>
    <row r="7397" s="956" customFormat="1"/>
    <row r="7398" s="956" customFormat="1"/>
    <row r="7399" s="956" customFormat="1"/>
    <row r="7400" s="956" customFormat="1"/>
    <row r="7401" s="956" customFormat="1"/>
    <row r="7402" s="956" customFormat="1"/>
    <row r="7403" s="956" customFormat="1"/>
    <row r="7404" s="956" customFormat="1"/>
    <row r="7405" s="956" customFormat="1"/>
    <row r="7406" s="956" customFormat="1"/>
    <row r="7407" s="956" customFormat="1"/>
    <row r="7408" s="956" customFormat="1"/>
    <row r="7409" s="956" customFormat="1"/>
    <row r="7410" s="956" customFormat="1"/>
    <row r="7411" s="956" customFormat="1"/>
    <row r="7412" s="956" customFormat="1"/>
    <row r="7413" s="956" customFormat="1"/>
    <row r="7414" s="956" customFormat="1"/>
    <row r="7415" s="956" customFormat="1"/>
    <row r="7416" s="956" customFormat="1"/>
    <row r="7417" s="956" customFormat="1"/>
    <row r="7418" s="956" customFormat="1"/>
    <row r="7419" s="956" customFormat="1"/>
    <row r="7420" s="956" customFormat="1"/>
    <row r="7421" s="956" customFormat="1"/>
    <row r="7422" s="956" customFormat="1"/>
    <row r="7423" s="956" customFormat="1"/>
    <row r="7424" s="956" customFormat="1"/>
    <row r="7425" s="956" customFormat="1"/>
    <row r="7426" s="956" customFormat="1"/>
    <row r="7427" s="956" customFormat="1"/>
    <row r="7428" s="956" customFormat="1"/>
    <row r="7429" s="956" customFormat="1"/>
    <row r="7430" s="956" customFormat="1"/>
    <row r="7431" s="956" customFormat="1"/>
    <row r="7432" s="956" customFormat="1"/>
    <row r="7433" s="956" customFormat="1"/>
    <row r="7434" s="956" customFormat="1"/>
    <row r="7435" s="956" customFormat="1"/>
    <row r="7436" s="956" customFormat="1"/>
    <row r="7437" s="956" customFormat="1"/>
    <row r="7438" s="956" customFormat="1"/>
    <row r="7439" s="956" customFormat="1"/>
    <row r="7440" s="956" customFormat="1"/>
    <row r="7441" s="956" customFormat="1"/>
    <row r="7442" s="956" customFormat="1"/>
    <row r="7443" s="956" customFormat="1"/>
    <row r="7444" s="956" customFormat="1"/>
    <row r="7445" s="956" customFormat="1"/>
    <row r="7446" s="956" customFormat="1"/>
    <row r="7447" s="956" customFormat="1"/>
    <row r="7448" s="956" customFormat="1"/>
    <row r="7449" s="956" customFormat="1"/>
    <row r="7450" s="956" customFormat="1"/>
    <row r="7451" s="956" customFormat="1"/>
    <row r="7452" s="956" customFormat="1"/>
    <row r="7453" s="956" customFormat="1"/>
    <row r="7454" s="956" customFormat="1"/>
    <row r="7455" s="956" customFormat="1"/>
    <row r="7456" s="956" customFormat="1"/>
    <row r="7457" s="956" customFormat="1"/>
    <row r="7458" s="956" customFormat="1"/>
    <row r="7459" s="956" customFormat="1"/>
    <row r="7460" s="956" customFormat="1"/>
    <row r="7461" s="956" customFormat="1"/>
    <row r="7462" s="956" customFormat="1"/>
    <row r="7463" s="956" customFormat="1"/>
    <row r="7464" s="956" customFormat="1"/>
    <row r="7465" s="956" customFormat="1"/>
    <row r="7466" s="956" customFormat="1"/>
    <row r="7467" s="956" customFormat="1"/>
    <row r="7468" s="956" customFormat="1"/>
    <row r="7469" s="956" customFormat="1"/>
    <row r="7470" s="956" customFormat="1"/>
    <row r="7471" s="956" customFormat="1"/>
    <row r="7472" s="956" customFormat="1"/>
    <row r="7473" s="956" customFormat="1"/>
    <row r="7474" s="956" customFormat="1"/>
    <row r="7475" s="956" customFormat="1"/>
    <row r="7476" s="956" customFormat="1"/>
    <row r="7477" s="956" customFormat="1"/>
    <row r="7478" s="956" customFormat="1"/>
    <row r="7479" s="956" customFormat="1"/>
    <row r="7480" s="956" customFormat="1"/>
    <row r="7481" s="956" customFormat="1"/>
    <row r="7482" s="956" customFormat="1"/>
    <row r="7483" s="956" customFormat="1"/>
    <row r="7484" s="956" customFormat="1"/>
    <row r="7485" s="956" customFormat="1"/>
    <row r="7486" s="956" customFormat="1"/>
    <row r="7487" s="956" customFormat="1"/>
    <row r="7488" s="956" customFormat="1"/>
    <row r="7489" s="956" customFormat="1"/>
    <row r="7490" s="956" customFormat="1"/>
    <row r="7491" s="956" customFormat="1"/>
    <row r="7492" s="956" customFormat="1"/>
    <row r="7493" s="956" customFormat="1"/>
    <row r="7494" s="956" customFormat="1"/>
    <row r="7495" s="956" customFormat="1"/>
    <row r="7496" s="956" customFormat="1"/>
    <row r="7497" s="956" customFormat="1"/>
    <row r="7498" s="956" customFormat="1"/>
    <row r="7499" s="956" customFormat="1"/>
    <row r="7500" s="956" customFormat="1"/>
    <row r="7501" s="956" customFormat="1"/>
    <row r="7502" s="956" customFormat="1"/>
    <row r="7503" s="956" customFormat="1"/>
    <row r="7504" s="956" customFormat="1"/>
    <row r="7505" s="956" customFormat="1"/>
    <row r="7506" s="956" customFormat="1"/>
    <row r="7507" s="956" customFormat="1"/>
    <row r="7508" s="956" customFormat="1"/>
    <row r="7509" s="956" customFormat="1"/>
    <row r="7510" s="956" customFormat="1"/>
    <row r="7511" s="956" customFormat="1"/>
    <row r="7512" s="956" customFormat="1"/>
    <row r="7513" s="956" customFormat="1"/>
    <row r="7514" s="956" customFormat="1"/>
    <row r="7515" s="956" customFormat="1"/>
    <row r="7516" s="956" customFormat="1"/>
    <row r="7517" s="956" customFormat="1"/>
    <row r="7518" s="956" customFormat="1"/>
    <row r="7519" s="956" customFormat="1"/>
    <row r="7520" s="956" customFormat="1"/>
    <row r="7521" s="956" customFormat="1"/>
    <row r="7522" s="956" customFormat="1"/>
    <row r="7523" s="956" customFormat="1"/>
    <row r="7524" s="956" customFormat="1"/>
    <row r="7525" s="956" customFormat="1"/>
    <row r="7526" s="956" customFormat="1"/>
    <row r="7527" s="956" customFormat="1"/>
    <row r="7528" s="956" customFormat="1"/>
    <row r="7529" s="956" customFormat="1"/>
    <row r="7530" s="956" customFormat="1"/>
    <row r="7531" s="956" customFormat="1"/>
    <row r="7532" s="956" customFormat="1"/>
    <row r="7533" s="956" customFormat="1"/>
    <row r="7534" s="956" customFormat="1"/>
    <row r="7535" s="956" customFormat="1"/>
    <row r="7536" s="956" customFormat="1"/>
    <row r="7537" s="956" customFormat="1"/>
    <row r="7538" s="956" customFormat="1"/>
    <row r="7539" s="956" customFormat="1"/>
    <row r="7540" s="956" customFormat="1"/>
    <row r="7541" s="956" customFormat="1"/>
    <row r="7542" s="956" customFormat="1"/>
    <row r="7543" s="956" customFormat="1"/>
    <row r="7544" s="956" customFormat="1"/>
    <row r="7545" s="956" customFormat="1"/>
    <row r="7546" s="956" customFormat="1"/>
    <row r="7547" s="956" customFormat="1"/>
    <row r="7548" s="956" customFormat="1"/>
    <row r="7549" s="956" customFormat="1"/>
    <row r="7550" s="956" customFormat="1"/>
    <row r="7551" s="956" customFormat="1"/>
    <row r="7552" s="956" customFormat="1"/>
    <row r="7553" s="956" customFormat="1"/>
    <row r="7554" s="956" customFormat="1"/>
    <row r="7555" s="956" customFormat="1"/>
    <row r="7556" s="956" customFormat="1"/>
    <row r="7557" s="956" customFormat="1"/>
    <row r="7558" s="956" customFormat="1"/>
    <row r="7559" s="956" customFormat="1"/>
    <row r="7560" s="956" customFormat="1"/>
    <row r="7561" s="956" customFormat="1"/>
    <row r="7562" s="956" customFormat="1"/>
    <row r="7563" s="956" customFormat="1"/>
    <row r="7564" s="956" customFormat="1"/>
    <row r="7565" s="956" customFormat="1"/>
    <row r="7566" s="956" customFormat="1"/>
    <row r="7567" s="956" customFormat="1"/>
    <row r="7568" s="956" customFormat="1"/>
    <row r="7569" s="956" customFormat="1"/>
    <row r="7570" s="956" customFormat="1"/>
    <row r="7571" s="956" customFormat="1"/>
    <row r="7572" s="956" customFormat="1"/>
    <row r="7573" s="956" customFormat="1"/>
    <row r="7574" s="956" customFormat="1"/>
    <row r="7575" s="956" customFormat="1"/>
    <row r="7576" s="956" customFormat="1"/>
    <row r="7577" s="956" customFormat="1"/>
    <row r="7578" s="956" customFormat="1"/>
    <row r="7579" s="956" customFormat="1"/>
    <row r="7580" s="956" customFormat="1"/>
    <row r="7581" s="956" customFormat="1"/>
    <row r="7582" s="956" customFormat="1"/>
    <row r="7583" s="956" customFormat="1"/>
    <row r="7584" s="956" customFormat="1"/>
    <row r="7585" s="956" customFormat="1"/>
    <row r="7586" s="956" customFormat="1"/>
    <row r="7587" s="956" customFormat="1"/>
    <row r="7588" s="956" customFormat="1"/>
    <row r="7589" s="956" customFormat="1"/>
    <row r="7590" s="956" customFormat="1"/>
    <row r="7591" s="956" customFormat="1"/>
    <row r="7592" s="956" customFormat="1"/>
    <row r="7593" s="956" customFormat="1"/>
    <row r="7594" s="956" customFormat="1"/>
    <row r="7595" s="956" customFormat="1"/>
    <row r="7596" s="956" customFormat="1"/>
    <row r="7597" s="956" customFormat="1"/>
    <row r="7598" s="956" customFormat="1"/>
    <row r="7599" s="956" customFormat="1"/>
    <row r="7600" s="956" customFormat="1"/>
    <row r="7601" s="956" customFormat="1"/>
    <row r="7602" s="956" customFormat="1"/>
    <row r="7603" s="956" customFormat="1"/>
    <row r="7604" s="956" customFormat="1"/>
    <row r="7605" s="956" customFormat="1"/>
    <row r="7606" s="956" customFormat="1"/>
    <row r="7607" s="956" customFormat="1"/>
    <row r="7608" s="956" customFormat="1"/>
    <row r="7609" s="956" customFormat="1"/>
    <row r="7610" s="956" customFormat="1"/>
    <row r="7611" s="956" customFormat="1"/>
    <row r="7612" s="956" customFormat="1"/>
    <row r="7613" s="956" customFormat="1"/>
    <row r="7614" s="956" customFormat="1"/>
    <row r="7615" s="956" customFormat="1"/>
    <row r="7616" s="956" customFormat="1"/>
    <row r="7617" s="956" customFormat="1"/>
    <row r="7618" s="956" customFormat="1"/>
    <row r="7619" s="956" customFormat="1"/>
    <row r="7620" s="956" customFormat="1"/>
    <row r="7621" s="956" customFormat="1"/>
    <row r="7622" s="956" customFormat="1"/>
    <row r="7623" s="956" customFormat="1"/>
    <row r="7624" s="956" customFormat="1"/>
    <row r="7625" s="956" customFormat="1"/>
    <row r="7626" s="956" customFormat="1"/>
    <row r="7627" s="956" customFormat="1"/>
    <row r="7628" s="956" customFormat="1"/>
    <row r="7629" s="956" customFormat="1"/>
    <row r="7630" s="956" customFormat="1"/>
    <row r="7631" s="956" customFormat="1"/>
    <row r="7632" s="956" customFormat="1"/>
    <row r="7633" s="956" customFormat="1"/>
    <row r="7634" s="956" customFormat="1"/>
    <row r="7635" s="956" customFormat="1"/>
    <row r="7636" s="956" customFormat="1"/>
    <row r="7637" s="956" customFormat="1"/>
    <row r="7638" s="956" customFormat="1"/>
    <row r="7639" s="956" customFormat="1"/>
    <row r="7640" s="956" customFormat="1"/>
    <row r="7641" s="956" customFormat="1"/>
    <row r="7642" s="956" customFormat="1"/>
    <row r="7643" s="956" customFormat="1"/>
    <row r="7644" s="956" customFormat="1"/>
    <row r="7645" s="956" customFormat="1"/>
    <row r="7646" s="956" customFormat="1"/>
    <row r="7647" s="956" customFormat="1"/>
    <row r="7648" s="956" customFormat="1"/>
    <row r="7649" s="956" customFormat="1"/>
    <row r="7650" s="956" customFormat="1"/>
    <row r="7651" s="956" customFormat="1"/>
    <row r="7652" s="956" customFormat="1"/>
    <row r="7653" s="956" customFormat="1"/>
    <row r="7654" s="956" customFormat="1"/>
    <row r="7655" s="956" customFormat="1"/>
    <row r="7656" s="956" customFormat="1"/>
    <row r="7657" s="956" customFormat="1"/>
    <row r="7658" s="956" customFormat="1"/>
    <row r="7659" s="956" customFormat="1"/>
    <row r="7660" s="956" customFormat="1"/>
    <row r="7661" s="956" customFormat="1"/>
    <row r="7662" s="956" customFormat="1"/>
    <row r="7663" s="956" customFormat="1"/>
    <row r="7664" s="956" customFormat="1"/>
    <row r="7665" s="956" customFormat="1"/>
    <row r="7666" s="956" customFormat="1"/>
    <row r="7667" s="956" customFormat="1"/>
    <row r="7668" s="956" customFormat="1"/>
    <row r="7669" s="956" customFormat="1"/>
    <row r="7670" s="956" customFormat="1"/>
    <row r="7671" s="956" customFormat="1"/>
    <row r="7672" s="956" customFormat="1"/>
    <row r="7673" s="956" customFormat="1"/>
    <row r="7674" s="956" customFormat="1"/>
    <row r="7675" s="956" customFormat="1"/>
    <row r="7676" s="956" customFormat="1"/>
    <row r="7677" s="956" customFormat="1"/>
    <row r="7678" s="956" customFormat="1"/>
    <row r="7679" s="956" customFormat="1"/>
    <row r="7680" s="956" customFormat="1"/>
    <row r="7681" s="956" customFormat="1"/>
    <row r="7682" s="956" customFormat="1"/>
    <row r="7683" s="956" customFormat="1"/>
    <row r="7684" s="956" customFormat="1"/>
    <row r="7685" s="956" customFormat="1"/>
    <row r="7686" s="956" customFormat="1"/>
    <row r="7687" s="956" customFormat="1"/>
    <row r="7688" s="956" customFormat="1"/>
    <row r="7689" s="956" customFormat="1"/>
    <row r="7690" s="956" customFormat="1"/>
    <row r="7691" s="956" customFormat="1"/>
    <row r="7692" s="956" customFormat="1"/>
    <row r="7693" s="956" customFormat="1"/>
    <row r="7694" s="956" customFormat="1"/>
    <row r="7695" s="956" customFormat="1"/>
    <row r="7696" s="956" customFormat="1"/>
    <row r="7697" s="956" customFormat="1"/>
    <row r="7698" s="956" customFormat="1"/>
    <row r="7699" s="956" customFormat="1"/>
    <row r="7700" s="956" customFormat="1"/>
    <row r="7701" s="956" customFormat="1"/>
    <row r="7702" s="956" customFormat="1"/>
    <row r="7703" s="956" customFormat="1"/>
    <row r="7704" s="956" customFormat="1"/>
    <row r="7705" s="956" customFormat="1"/>
    <row r="7706" s="956" customFormat="1"/>
    <row r="7707" s="956" customFormat="1"/>
    <row r="7708" s="956" customFormat="1"/>
    <row r="7709" s="956" customFormat="1"/>
    <row r="7710" s="956" customFormat="1"/>
    <row r="7711" s="956" customFormat="1"/>
    <row r="7712" s="956" customFormat="1"/>
    <row r="7713" s="956" customFormat="1"/>
    <row r="7714" s="956" customFormat="1"/>
    <row r="7715" s="956" customFormat="1"/>
    <row r="7716" s="956" customFormat="1"/>
    <row r="7717" s="956" customFormat="1"/>
    <row r="7718" s="956" customFormat="1"/>
    <row r="7719" s="956" customFormat="1"/>
    <row r="7720" s="956" customFormat="1"/>
    <row r="7721" s="956" customFormat="1"/>
    <row r="7722" s="956" customFormat="1"/>
    <row r="7723" s="956" customFormat="1"/>
    <row r="7724" s="956" customFormat="1"/>
    <row r="7725" s="956" customFormat="1"/>
    <row r="7726" s="956" customFormat="1"/>
    <row r="7727" s="956" customFormat="1"/>
    <row r="7728" s="956" customFormat="1"/>
    <row r="7729" s="956" customFormat="1"/>
    <row r="7730" s="956" customFormat="1"/>
    <row r="7731" s="956" customFormat="1"/>
    <row r="7732" s="956" customFormat="1"/>
    <row r="7733" s="956" customFormat="1"/>
    <row r="7734" s="956" customFormat="1"/>
    <row r="7735" s="956" customFormat="1"/>
    <row r="7736" s="956" customFormat="1"/>
    <row r="7737" s="956" customFormat="1"/>
    <row r="7738" s="956" customFormat="1"/>
    <row r="7739" s="956" customFormat="1"/>
    <row r="7740" s="956" customFormat="1"/>
    <row r="7741" s="956" customFormat="1"/>
    <row r="7742" s="956" customFormat="1"/>
    <row r="7743" s="956" customFormat="1"/>
    <row r="7744" s="956" customFormat="1"/>
    <row r="7745" s="956" customFormat="1"/>
    <row r="7746" s="956" customFormat="1"/>
    <row r="7747" s="956" customFormat="1"/>
    <row r="7748" s="956" customFormat="1"/>
    <row r="7749" s="956" customFormat="1"/>
    <row r="7750" s="956" customFormat="1"/>
    <row r="7751" s="956" customFormat="1"/>
    <row r="7752" s="956" customFormat="1"/>
    <row r="7753" s="956" customFormat="1"/>
    <row r="7754" s="956" customFormat="1"/>
    <row r="7755" s="956" customFormat="1"/>
    <row r="7756" s="956" customFormat="1"/>
    <row r="7757" s="956" customFormat="1"/>
    <row r="7758" s="956" customFormat="1"/>
    <row r="7759" s="956" customFormat="1"/>
    <row r="7760" s="956" customFormat="1"/>
    <row r="7761" s="956" customFormat="1"/>
    <row r="7762" s="956" customFormat="1"/>
    <row r="7763" s="956" customFormat="1"/>
    <row r="7764" s="956" customFormat="1"/>
    <row r="7765" s="956" customFormat="1"/>
    <row r="7766" s="956" customFormat="1"/>
    <row r="7767" s="956" customFormat="1"/>
    <row r="7768" s="956" customFormat="1"/>
    <row r="7769" s="956" customFormat="1"/>
    <row r="7770" s="956" customFormat="1"/>
    <row r="7771" s="956" customFormat="1"/>
    <row r="7772" s="956" customFormat="1"/>
    <row r="7773" s="956" customFormat="1"/>
    <row r="7774" s="956" customFormat="1"/>
    <row r="7775" s="956" customFormat="1"/>
    <row r="7776" s="956" customFormat="1"/>
    <row r="7777" s="956" customFormat="1"/>
    <row r="7778" s="956" customFormat="1"/>
    <row r="7779" s="956" customFormat="1"/>
    <row r="7780" s="956" customFormat="1"/>
    <row r="7781" s="956" customFormat="1"/>
    <row r="7782" s="956" customFormat="1"/>
    <row r="7783" s="956" customFormat="1"/>
    <row r="7784" s="956" customFormat="1"/>
    <row r="7785" s="956" customFormat="1"/>
    <row r="7786" s="956" customFormat="1"/>
    <row r="7787" s="956" customFormat="1"/>
    <row r="7788" s="956" customFormat="1"/>
    <row r="7789" s="956" customFormat="1"/>
    <row r="7790" s="956" customFormat="1"/>
    <row r="7791" s="956" customFormat="1"/>
    <row r="7792" s="956" customFormat="1"/>
    <row r="7793" s="956" customFormat="1"/>
    <row r="7794" s="956" customFormat="1"/>
    <row r="7795" s="956" customFormat="1"/>
    <row r="7796" s="956" customFormat="1"/>
    <row r="7797" s="956" customFormat="1"/>
    <row r="7798" s="956" customFormat="1"/>
    <row r="7799" s="956" customFormat="1"/>
    <row r="7800" s="956" customFormat="1"/>
    <row r="7801" s="956" customFormat="1"/>
    <row r="7802" s="956" customFormat="1"/>
    <row r="7803" s="956" customFormat="1"/>
    <row r="7804" s="956" customFormat="1"/>
    <row r="7805" s="956" customFormat="1"/>
    <row r="7806" s="956" customFormat="1"/>
    <row r="7807" s="956" customFormat="1"/>
    <row r="7808" s="956" customFormat="1"/>
    <row r="7809" s="956" customFormat="1"/>
    <row r="7810" s="956" customFormat="1"/>
    <row r="7811" s="956" customFormat="1"/>
    <row r="7812" s="956" customFormat="1"/>
    <row r="7813" s="956" customFormat="1"/>
    <row r="7814" s="956" customFormat="1"/>
    <row r="7815" s="956" customFormat="1"/>
    <row r="7816" s="956" customFormat="1"/>
    <row r="7817" s="956" customFormat="1"/>
    <row r="7818" s="956" customFormat="1"/>
    <row r="7819" s="956" customFormat="1"/>
    <row r="7820" s="956" customFormat="1"/>
    <row r="7821" s="956" customFormat="1"/>
    <row r="7822" s="956" customFormat="1"/>
    <row r="7823" s="956" customFormat="1"/>
    <row r="7824" s="956" customFormat="1"/>
    <row r="7825" s="956" customFormat="1"/>
    <row r="7826" s="956" customFormat="1"/>
    <row r="7827" s="956" customFormat="1"/>
    <row r="7828" s="956" customFormat="1"/>
    <row r="7829" s="956" customFormat="1"/>
    <row r="7830" s="956" customFormat="1"/>
    <row r="7831" s="956" customFormat="1"/>
    <row r="7832" s="956" customFormat="1"/>
    <row r="7833" s="956" customFormat="1"/>
    <row r="7834" s="956" customFormat="1"/>
    <row r="7835" s="956" customFormat="1"/>
    <row r="7836" s="956" customFormat="1"/>
    <row r="7837" s="956" customFormat="1"/>
    <row r="7838" s="956" customFormat="1"/>
    <row r="7839" s="956" customFormat="1"/>
    <row r="7840" s="956" customFormat="1"/>
    <row r="7841" s="956" customFormat="1"/>
    <row r="7842" s="956" customFormat="1"/>
    <row r="7843" s="956" customFormat="1"/>
    <row r="7844" s="956" customFormat="1"/>
    <row r="7845" s="956" customFormat="1"/>
    <row r="7846" s="956" customFormat="1"/>
    <row r="7847" s="956" customFormat="1"/>
    <row r="7848" s="956" customFormat="1"/>
    <row r="7849" s="956" customFormat="1"/>
    <row r="7850" s="956" customFormat="1"/>
    <row r="7851" s="956" customFormat="1"/>
    <row r="7852" s="956" customFormat="1"/>
    <row r="7853" s="956" customFormat="1"/>
    <row r="7854" s="956" customFormat="1"/>
    <row r="7855" s="956" customFormat="1"/>
    <row r="7856" s="956" customFormat="1"/>
    <row r="7857" s="956" customFormat="1"/>
    <row r="7858" s="956" customFormat="1"/>
    <row r="7859" s="956" customFormat="1"/>
    <row r="7860" s="956" customFormat="1"/>
    <row r="7861" s="956" customFormat="1"/>
    <row r="7862" s="956" customFormat="1"/>
    <row r="7863" s="956" customFormat="1"/>
    <row r="7864" s="956" customFormat="1"/>
    <row r="7865" s="956" customFormat="1"/>
    <row r="7866" s="956" customFormat="1"/>
    <row r="7867" s="956" customFormat="1"/>
    <row r="7868" s="956" customFormat="1"/>
    <row r="7869" s="956" customFormat="1"/>
    <row r="7870" s="956" customFormat="1"/>
    <row r="7871" s="956" customFormat="1"/>
    <row r="7872" s="956" customFormat="1"/>
    <row r="7873" s="956" customFormat="1"/>
    <row r="7874" s="956" customFormat="1"/>
    <row r="7875" s="956" customFormat="1"/>
    <row r="7876" s="956" customFormat="1"/>
    <row r="7877" s="956" customFormat="1"/>
    <row r="7878" s="956" customFormat="1"/>
    <row r="7879" s="956" customFormat="1"/>
    <row r="7880" s="956" customFormat="1"/>
    <row r="7881" s="956" customFormat="1"/>
    <row r="7882" s="956" customFormat="1"/>
    <row r="7883" s="956" customFormat="1"/>
    <row r="7884" s="956" customFormat="1"/>
    <row r="7885" s="956" customFormat="1"/>
    <row r="7886" s="956" customFormat="1"/>
    <row r="7887" s="956" customFormat="1"/>
    <row r="7888" s="956" customFormat="1"/>
    <row r="7889" s="956" customFormat="1"/>
    <row r="7890" s="956" customFormat="1"/>
    <row r="7891" s="956" customFormat="1"/>
    <row r="7892" s="956" customFormat="1"/>
    <row r="7893" s="956" customFormat="1"/>
    <row r="7894" s="956" customFormat="1"/>
    <row r="7895" s="956" customFormat="1"/>
    <row r="7896" s="956" customFormat="1"/>
    <row r="7897" s="956" customFormat="1"/>
    <row r="7898" s="956" customFormat="1"/>
    <row r="7899" s="956" customFormat="1"/>
    <row r="7900" s="956" customFormat="1"/>
    <row r="7901" s="956" customFormat="1"/>
    <row r="7902" s="956" customFormat="1"/>
    <row r="7903" s="956" customFormat="1"/>
    <row r="7904" s="956" customFormat="1"/>
    <row r="7905" s="956" customFormat="1"/>
    <row r="7906" s="956" customFormat="1"/>
    <row r="7907" s="956" customFormat="1"/>
    <row r="7908" s="956" customFormat="1"/>
    <row r="7909" s="956" customFormat="1"/>
    <row r="7910" s="956" customFormat="1"/>
    <row r="7911" s="956" customFormat="1"/>
    <row r="7912" s="956" customFormat="1"/>
    <row r="7913" s="956" customFormat="1"/>
    <row r="7914" s="956" customFormat="1"/>
    <row r="7915" s="956" customFormat="1"/>
    <row r="7916" s="956" customFormat="1"/>
    <row r="7917" s="956" customFormat="1"/>
    <row r="7918" s="956" customFormat="1"/>
    <row r="7919" s="956" customFormat="1"/>
    <row r="7920" s="956" customFormat="1"/>
    <row r="7921" s="956" customFormat="1"/>
    <row r="7922" s="956" customFormat="1"/>
    <row r="7923" s="956" customFormat="1"/>
    <row r="7924" s="956" customFormat="1"/>
    <row r="7925" s="956" customFormat="1"/>
    <row r="7926" s="956" customFormat="1"/>
    <row r="7927" s="956" customFormat="1"/>
    <row r="7928" s="956" customFormat="1"/>
    <row r="7929" s="956" customFormat="1"/>
    <row r="7930" s="956" customFormat="1"/>
    <row r="7931" s="956" customFormat="1"/>
    <row r="7932" s="956" customFormat="1"/>
    <row r="7933" s="956" customFormat="1"/>
    <row r="7934" s="956" customFormat="1"/>
    <row r="7935" s="956" customFormat="1"/>
    <row r="7936" s="956" customFormat="1"/>
    <row r="7937" s="956" customFormat="1"/>
    <row r="7938" s="956" customFormat="1"/>
    <row r="7939" s="956" customFormat="1"/>
    <row r="7940" s="956" customFormat="1"/>
    <row r="7941" s="956" customFormat="1"/>
    <row r="7942" s="956" customFormat="1"/>
    <row r="7943" s="956" customFormat="1"/>
    <row r="7944" s="956" customFormat="1"/>
    <row r="7945" s="956" customFormat="1"/>
    <row r="7946" s="956" customFormat="1"/>
    <row r="7947" s="956" customFormat="1"/>
    <row r="7948" s="956" customFormat="1"/>
    <row r="7949" s="956" customFormat="1"/>
    <row r="7950" s="956" customFormat="1"/>
    <row r="7951" s="956" customFormat="1"/>
    <row r="7952" s="956" customFormat="1"/>
    <row r="7953" s="956" customFormat="1"/>
    <row r="7954" s="956" customFormat="1"/>
    <row r="7955" s="956" customFormat="1"/>
    <row r="7956" s="956" customFormat="1"/>
    <row r="7957" s="956" customFormat="1"/>
    <row r="7958" s="956" customFormat="1"/>
    <row r="7959" s="956" customFormat="1"/>
    <row r="7960" s="956" customFormat="1"/>
    <row r="7961" s="956" customFormat="1"/>
    <row r="7962" s="956" customFormat="1"/>
    <row r="7963" s="956" customFormat="1"/>
    <row r="7964" s="956" customFormat="1"/>
    <row r="7965" s="956" customFormat="1"/>
    <row r="7966" s="956" customFormat="1"/>
    <row r="7967" s="956" customFormat="1"/>
    <row r="7968" s="956" customFormat="1"/>
    <row r="7969" s="956" customFormat="1"/>
    <row r="7970" s="956" customFormat="1"/>
    <row r="7971" s="956" customFormat="1"/>
    <row r="7972" s="956" customFormat="1"/>
    <row r="7973" s="956" customFormat="1"/>
    <row r="7974" s="956" customFormat="1"/>
    <row r="7975" s="956" customFormat="1"/>
    <row r="7976" s="956" customFormat="1"/>
    <row r="7977" s="956" customFormat="1"/>
    <row r="7978" s="956" customFormat="1"/>
    <row r="7979" s="956" customFormat="1"/>
    <row r="7980" s="956" customFormat="1"/>
    <row r="7981" s="956" customFormat="1"/>
    <row r="7982" s="956" customFormat="1"/>
    <row r="7983" s="956" customFormat="1"/>
    <row r="7984" s="956" customFormat="1"/>
    <row r="7985" s="956" customFormat="1"/>
    <row r="7986" s="956" customFormat="1"/>
    <row r="7987" s="956" customFormat="1"/>
    <row r="7988" s="956" customFormat="1"/>
    <row r="7989" s="956" customFormat="1"/>
    <row r="7990" s="956" customFormat="1"/>
    <row r="7991" s="956" customFormat="1"/>
    <row r="7992" s="956" customFormat="1"/>
    <row r="7993" s="956" customFormat="1"/>
    <row r="7994" s="956" customFormat="1"/>
    <row r="7995" s="956" customFormat="1"/>
    <row r="7996" s="956" customFormat="1"/>
    <row r="7997" s="956" customFormat="1"/>
    <row r="7998" s="956" customFormat="1"/>
    <row r="7999" s="956" customFormat="1"/>
    <row r="8000" s="956" customFormat="1"/>
    <row r="8001" s="956" customFormat="1"/>
    <row r="8002" s="956" customFormat="1"/>
    <row r="8003" s="956" customFormat="1"/>
    <row r="8004" s="956" customFormat="1"/>
    <row r="8005" s="956" customFormat="1"/>
    <row r="8006" s="956" customFormat="1"/>
    <row r="8007" s="956" customFormat="1"/>
    <row r="8008" s="956" customFormat="1"/>
    <row r="8009" s="956" customFormat="1"/>
    <row r="8010" s="956" customFormat="1"/>
    <row r="8011" s="956" customFormat="1"/>
    <row r="8012" s="956" customFormat="1"/>
    <row r="8013" s="956" customFormat="1"/>
    <row r="8014" s="956" customFormat="1"/>
    <row r="8015" s="956" customFormat="1"/>
    <row r="8016" s="956" customFormat="1"/>
    <row r="8017" s="956" customFormat="1"/>
    <row r="8018" s="956" customFormat="1"/>
    <row r="8019" s="956" customFormat="1"/>
    <row r="8020" s="956" customFormat="1"/>
    <row r="8021" s="956" customFormat="1"/>
    <row r="8022" s="956" customFormat="1"/>
    <row r="8023" s="956" customFormat="1"/>
    <row r="8024" s="956" customFormat="1"/>
    <row r="8025" s="956" customFormat="1"/>
    <row r="8026" s="956" customFormat="1"/>
    <row r="8027" s="956" customFormat="1"/>
    <row r="8028" s="956" customFormat="1"/>
    <row r="8029" s="956" customFormat="1"/>
    <row r="8030" s="956" customFormat="1"/>
    <row r="8031" s="956" customFormat="1"/>
    <row r="8032" s="956" customFormat="1"/>
    <row r="8033" s="956" customFormat="1"/>
    <row r="8034" s="956" customFormat="1"/>
    <row r="8035" s="956" customFormat="1"/>
    <row r="8036" s="956" customFormat="1"/>
    <row r="8037" s="956" customFormat="1"/>
    <row r="8038" s="956" customFormat="1"/>
    <row r="8039" s="956" customFormat="1"/>
    <row r="8040" s="956" customFormat="1"/>
    <row r="8041" s="956" customFormat="1"/>
    <row r="8042" s="956" customFormat="1"/>
    <row r="8043" s="956" customFormat="1"/>
    <row r="8044" s="956" customFormat="1"/>
    <row r="8045" s="956" customFormat="1"/>
    <row r="8046" s="956" customFormat="1"/>
    <row r="8047" s="956" customFormat="1"/>
    <row r="8048" s="956" customFormat="1"/>
    <row r="8049" s="956" customFormat="1"/>
    <row r="8050" s="956" customFormat="1"/>
    <row r="8051" s="956" customFormat="1"/>
    <row r="8052" s="956" customFormat="1"/>
    <row r="8053" s="956" customFormat="1"/>
    <row r="8054" s="956" customFormat="1"/>
    <row r="8055" s="956" customFormat="1"/>
    <row r="8056" s="956" customFormat="1"/>
    <row r="8057" s="956" customFormat="1"/>
    <row r="8058" s="956" customFormat="1"/>
    <row r="8059" s="956" customFormat="1"/>
    <row r="8060" s="956" customFormat="1"/>
    <row r="8061" s="956" customFormat="1"/>
    <row r="8062" s="956" customFormat="1"/>
    <row r="8063" s="956" customFormat="1"/>
    <row r="8064" s="956" customFormat="1"/>
    <row r="8065" s="956" customFormat="1"/>
    <row r="8066" s="956" customFormat="1"/>
    <row r="8067" s="956" customFormat="1"/>
    <row r="8068" s="956" customFormat="1"/>
    <row r="8069" s="956" customFormat="1"/>
    <row r="8070" s="956" customFormat="1"/>
    <row r="8071" s="956" customFormat="1"/>
    <row r="8072" s="956" customFormat="1"/>
    <row r="8073" s="956" customFormat="1"/>
    <row r="8074" s="956" customFormat="1"/>
    <row r="8075" s="956" customFormat="1"/>
    <row r="8076" s="956" customFormat="1"/>
    <row r="8077" s="956" customFormat="1"/>
    <row r="8078" s="956" customFormat="1"/>
    <row r="8079" s="956" customFormat="1"/>
    <row r="8080" s="956" customFormat="1"/>
    <row r="8081" s="956" customFormat="1"/>
    <row r="8082" s="956" customFormat="1"/>
    <row r="8083" s="956" customFormat="1"/>
    <row r="8084" s="956" customFormat="1"/>
    <row r="8085" s="956" customFormat="1"/>
    <row r="8086" s="956" customFormat="1"/>
    <row r="8087" s="956" customFormat="1"/>
    <row r="8088" s="956" customFormat="1"/>
    <row r="8089" s="956" customFormat="1"/>
    <row r="8090" s="956" customFormat="1"/>
    <row r="8091" s="956" customFormat="1"/>
    <row r="8092" s="956" customFormat="1"/>
    <row r="8093" s="956" customFormat="1"/>
    <row r="8094" s="956" customFormat="1"/>
    <row r="8095" s="956" customFormat="1"/>
    <row r="8096" s="956" customFormat="1"/>
    <row r="8097" s="956" customFormat="1"/>
    <row r="8098" s="956" customFormat="1"/>
    <row r="8099" s="956" customFormat="1"/>
    <row r="8100" s="956" customFormat="1"/>
    <row r="8101" s="956" customFormat="1"/>
    <row r="8102" s="956" customFormat="1"/>
    <row r="8103" s="956" customFormat="1"/>
    <row r="8104" s="956" customFormat="1"/>
    <row r="8105" s="956" customFormat="1"/>
    <row r="8106" s="956" customFormat="1"/>
    <row r="8107" s="956" customFormat="1"/>
    <row r="8108" s="956" customFormat="1"/>
    <row r="8109" s="956" customFormat="1"/>
    <row r="8110" s="956" customFormat="1"/>
    <row r="8111" s="956" customFormat="1"/>
    <row r="8112" s="956" customFormat="1"/>
    <row r="8113" s="956" customFormat="1"/>
    <row r="8114" s="956" customFormat="1"/>
    <row r="8115" s="956" customFormat="1"/>
    <row r="8116" s="956" customFormat="1"/>
    <row r="8117" s="956" customFormat="1"/>
    <row r="8118" s="956" customFormat="1"/>
    <row r="8119" s="956" customFormat="1"/>
    <row r="8120" s="956" customFormat="1"/>
    <row r="8121" s="956" customFormat="1"/>
    <row r="8122" s="956" customFormat="1"/>
    <row r="8123" s="956" customFormat="1"/>
    <row r="8124" s="956" customFormat="1"/>
    <row r="8125" s="956" customFormat="1"/>
    <row r="8126" s="956" customFormat="1"/>
    <row r="8127" s="956" customFormat="1"/>
    <row r="8128" s="956" customFormat="1"/>
    <row r="8129" s="956" customFormat="1"/>
    <row r="8130" s="956" customFormat="1"/>
    <row r="8131" s="956" customFormat="1"/>
    <row r="8132" s="956" customFormat="1"/>
    <row r="8133" s="956" customFormat="1"/>
    <row r="8134" s="956" customFormat="1"/>
    <row r="8135" s="956" customFormat="1"/>
    <row r="8136" s="956" customFormat="1"/>
    <row r="8137" s="956" customFormat="1"/>
    <row r="8138" s="956" customFormat="1"/>
    <row r="8139" s="956" customFormat="1"/>
    <row r="8140" s="956" customFormat="1"/>
    <row r="8141" s="956" customFormat="1"/>
    <row r="8142" s="956" customFormat="1"/>
    <row r="8143" s="956" customFormat="1"/>
    <row r="8144" s="956" customFormat="1"/>
    <row r="8145" s="956" customFormat="1"/>
    <row r="8146" s="956" customFormat="1"/>
    <row r="8147" s="956" customFormat="1"/>
    <row r="8148" s="956" customFormat="1"/>
    <row r="8149" s="956" customFormat="1"/>
    <row r="8150" s="956" customFormat="1"/>
    <row r="8151" s="956" customFormat="1"/>
    <row r="8152" s="956" customFormat="1"/>
    <row r="8153" s="956" customFormat="1"/>
    <row r="8154" s="956" customFormat="1"/>
    <row r="8155" s="956" customFormat="1"/>
    <row r="8156" s="956" customFormat="1"/>
    <row r="8157" s="956" customFormat="1"/>
    <row r="8158" s="956" customFormat="1"/>
    <row r="8159" s="956" customFormat="1"/>
    <row r="8160" s="956" customFormat="1"/>
    <row r="8161" s="956" customFormat="1"/>
    <row r="8162" s="956" customFormat="1"/>
    <row r="8163" s="956" customFormat="1"/>
    <row r="8164" s="956" customFormat="1"/>
    <row r="8165" s="956" customFormat="1"/>
    <row r="8166" s="956" customFormat="1"/>
    <row r="8167" s="956" customFormat="1"/>
    <row r="8168" s="956" customFormat="1"/>
    <row r="8169" s="956" customFormat="1"/>
    <row r="8170" s="956" customFormat="1"/>
    <row r="8171" s="956" customFormat="1"/>
    <row r="8172" s="956" customFormat="1"/>
    <row r="8173" s="956" customFormat="1"/>
    <row r="8174" s="956" customFormat="1"/>
    <row r="8175" s="956" customFormat="1"/>
    <row r="8176" s="956" customFormat="1"/>
    <row r="8177" s="956" customFormat="1"/>
    <row r="8178" s="956" customFormat="1"/>
    <row r="8179" s="956" customFormat="1"/>
    <row r="8180" s="956" customFormat="1"/>
    <row r="8181" s="956" customFormat="1"/>
    <row r="8182" s="956" customFormat="1"/>
    <row r="8183" s="956" customFormat="1"/>
    <row r="8184" s="956" customFormat="1"/>
    <row r="8185" s="956" customFormat="1"/>
    <row r="8186" s="956" customFormat="1"/>
    <row r="8187" s="956" customFormat="1"/>
    <row r="8188" s="956" customFormat="1"/>
    <row r="8189" s="956" customFormat="1"/>
    <row r="8190" s="956" customFormat="1"/>
    <row r="8191" s="956" customFormat="1"/>
    <row r="8192" s="956" customFormat="1"/>
    <row r="8193" s="956" customFormat="1"/>
    <row r="8194" s="956" customFormat="1"/>
    <row r="8195" s="956" customFormat="1"/>
    <row r="8196" s="956" customFormat="1"/>
    <row r="8197" s="956" customFormat="1"/>
    <row r="8198" s="956" customFormat="1"/>
    <row r="8199" s="956" customFormat="1"/>
    <row r="8200" s="956" customFormat="1"/>
    <row r="8201" s="956" customFormat="1"/>
    <row r="8202" s="956" customFormat="1"/>
    <row r="8203" s="956" customFormat="1"/>
    <row r="8204" s="956" customFormat="1"/>
    <row r="8205" s="956" customFormat="1"/>
    <row r="8206" s="956" customFormat="1"/>
    <row r="8207" s="956" customFormat="1"/>
    <row r="8208" s="956" customFormat="1"/>
    <row r="8209" s="956" customFormat="1"/>
    <row r="8210" s="956" customFormat="1"/>
    <row r="8211" s="956" customFormat="1"/>
    <row r="8212" s="956" customFormat="1"/>
    <row r="8213" s="956" customFormat="1"/>
    <row r="8214" s="956" customFormat="1"/>
    <row r="8215" s="956" customFormat="1"/>
    <row r="8216" s="956" customFormat="1"/>
    <row r="8217" s="956" customFormat="1"/>
    <row r="8218" s="956" customFormat="1"/>
    <row r="8219" s="956" customFormat="1"/>
    <row r="8220" s="956" customFormat="1"/>
    <row r="8221" s="956" customFormat="1"/>
    <row r="8222" s="956" customFormat="1"/>
    <row r="8223" s="956" customFormat="1"/>
    <row r="8224" s="956" customFormat="1"/>
    <row r="8225" s="956" customFormat="1"/>
    <row r="8226" s="956" customFormat="1"/>
    <row r="8227" s="956" customFormat="1"/>
    <row r="8228" s="956" customFormat="1"/>
    <row r="8229" s="956" customFormat="1"/>
    <row r="8230" s="956" customFormat="1"/>
    <row r="8231" s="956" customFormat="1"/>
    <row r="8232" s="956" customFormat="1"/>
    <row r="8233" s="956" customFormat="1"/>
    <row r="8234" s="956" customFormat="1"/>
    <row r="8235" s="956" customFormat="1"/>
    <row r="8236" s="956" customFormat="1"/>
    <row r="8237" s="956" customFormat="1"/>
    <row r="8238" s="956" customFormat="1"/>
    <row r="8239" s="956" customFormat="1"/>
    <row r="8240" s="956" customFormat="1"/>
    <row r="8241" s="956" customFormat="1"/>
    <row r="8242" s="956" customFormat="1"/>
    <row r="8243" s="956" customFormat="1"/>
    <row r="8244" s="956" customFormat="1"/>
    <row r="8245" s="956" customFormat="1"/>
    <row r="8246" s="956" customFormat="1"/>
    <row r="8247" s="956" customFormat="1"/>
    <row r="8248" s="956" customFormat="1"/>
    <row r="8249" s="956" customFormat="1"/>
    <row r="8250" s="956" customFormat="1"/>
    <row r="8251" s="956" customFormat="1"/>
    <row r="8252" s="956" customFormat="1"/>
    <row r="8253" s="956" customFormat="1"/>
    <row r="8254" s="956" customFormat="1"/>
    <row r="8255" s="956" customFormat="1"/>
    <row r="8256" s="956" customFormat="1"/>
    <row r="8257" s="956" customFormat="1"/>
    <row r="8258" s="956" customFormat="1"/>
    <row r="8259" s="956" customFormat="1"/>
    <row r="8260" s="956" customFormat="1"/>
    <row r="8261" s="956" customFormat="1"/>
    <row r="8262" s="956" customFormat="1"/>
    <row r="8263" s="956" customFormat="1"/>
    <row r="8264" s="956" customFormat="1"/>
    <row r="8265" s="956" customFormat="1"/>
    <row r="8266" s="956" customFormat="1"/>
    <row r="8267" s="956" customFormat="1"/>
    <row r="8268" s="956" customFormat="1"/>
    <row r="8269" s="956" customFormat="1"/>
    <row r="8270" s="956" customFormat="1"/>
    <row r="8271" s="956" customFormat="1"/>
    <row r="8272" s="956" customFormat="1"/>
    <row r="8273" s="956" customFormat="1"/>
    <row r="8274" s="956" customFormat="1"/>
    <row r="8275" s="956" customFormat="1"/>
    <row r="8276" s="956" customFormat="1"/>
    <row r="8277" s="956" customFormat="1"/>
    <row r="8278" s="956" customFormat="1"/>
    <row r="8279" s="956" customFormat="1"/>
    <row r="8280" s="956" customFormat="1"/>
    <row r="8281" s="956" customFormat="1"/>
    <row r="8282" s="956" customFormat="1"/>
    <row r="8283" s="956" customFormat="1"/>
    <row r="8284" s="956" customFormat="1"/>
    <row r="8285" s="956" customFormat="1"/>
    <row r="8286" s="956" customFormat="1"/>
    <row r="8287" s="956" customFormat="1"/>
    <row r="8288" s="956" customFormat="1"/>
    <row r="8289" s="956" customFormat="1"/>
    <row r="8290" s="956" customFormat="1"/>
    <row r="8291" s="956" customFormat="1"/>
    <row r="8292" s="956" customFormat="1"/>
    <row r="8293" s="956" customFormat="1"/>
    <row r="8294" s="956" customFormat="1"/>
    <row r="8295" s="956" customFormat="1"/>
    <row r="8296" s="956" customFormat="1"/>
    <row r="8297" s="956" customFormat="1"/>
    <row r="8298" s="956" customFormat="1"/>
    <row r="8299" s="956" customFormat="1"/>
    <row r="8300" s="956" customFormat="1"/>
    <row r="8301" s="956" customFormat="1"/>
    <row r="8302" s="956" customFormat="1"/>
    <row r="8303" s="956" customFormat="1"/>
    <row r="8304" s="956" customFormat="1"/>
    <row r="8305" s="956" customFormat="1"/>
  </sheetData>
  <mergeCells count="10">
    <mergeCell ref="M828:R828"/>
    <mergeCell ref="P836:Q836"/>
    <mergeCell ref="P851:Q851"/>
    <mergeCell ref="P868:Q868"/>
    <mergeCell ref="O280:P280"/>
    <mergeCell ref="M779:R779"/>
    <mergeCell ref="M780:R780"/>
    <mergeCell ref="P788:Q788"/>
    <mergeCell ref="M810:R810"/>
    <mergeCell ref="P814:Q814"/>
  </mergeCells>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12.xml><?xml version="1.0" encoding="utf-8"?>
<worksheet xmlns="http://schemas.openxmlformats.org/spreadsheetml/2006/main" xmlns:r="http://schemas.openxmlformats.org/officeDocument/2006/relationships">
  <sheetPr syncVertical="1" syncRef="K1127" transitionEvaluation="1"/>
  <dimension ref="A1:IU8558"/>
  <sheetViews>
    <sheetView view="pageBreakPreview" topLeftCell="K1127" zoomScale="94" zoomScaleNormal="75" zoomScaleSheetLayoutView="94" workbookViewId="0">
      <selection activeCell="K1141" sqref="K1141"/>
    </sheetView>
  </sheetViews>
  <sheetFormatPr defaultColWidth="11.5703125" defaultRowHeight="24" customHeight="1"/>
  <cols>
    <col min="1" max="1" width="11.5703125" style="1629"/>
    <col min="2" max="2" width="31.5703125" style="1629" customWidth="1"/>
    <col min="3" max="6" width="11.5703125" style="1629"/>
    <col min="7" max="7" width="11.5703125" style="1630"/>
    <col min="8" max="8" width="35.5703125" style="1629" customWidth="1"/>
    <col min="9" max="9" width="11.5703125" style="1629"/>
    <col min="10" max="10" width="11.5703125" style="1632"/>
    <col min="11" max="14" width="11.5703125" style="1629"/>
    <col min="15" max="15" width="55.5703125" style="1629" customWidth="1"/>
    <col min="16" max="18" width="11.5703125" style="1629"/>
    <col min="19" max="19" width="11.5703125" style="1633"/>
    <col min="20" max="20" width="11.5703125" style="1629"/>
    <col min="21" max="21" width="62.7109375" style="1629" customWidth="1"/>
    <col min="22" max="22" width="11.5703125" style="1629"/>
    <col min="23" max="23" width="14.28515625" style="1629" customWidth="1"/>
    <col min="24" max="25" width="11.5703125" style="1629"/>
    <col min="26" max="26" width="14" style="1629" customWidth="1"/>
    <col min="27" max="27" width="17.85546875" style="1629" customWidth="1"/>
    <col min="28" max="28" width="19.140625" style="1629" customWidth="1"/>
    <col min="29" max="31" width="11.5703125" style="1629"/>
    <col min="32" max="32" width="56.140625" style="1629" customWidth="1"/>
    <col min="33" max="16384" width="11.5703125" style="1629"/>
  </cols>
  <sheetData>
    <row r="1" spans="1:42" ht="24" customHeight="1">
      <c r="A1" s="1627"/>
      <c r="B1" s="1628" t="s">
        <v>5490</v>
      </c>
      <c r="E1" s="1627" t="s">
        <v>150</v>
      </c>
      <c r="H1" s="1631" t="s">
        <v>241</v>
      </c>
      <c r="O1" s="1627" t="s">
        <v>241</v>
      </c>
      <c r="T1" s="1634"/>
      <c r="U1" s="1635" t="s">
        <v>402</v>
      </c>
      <c r="V1" s="1635"/>
      <c r="W1" s="1628" t="s">
        <v>150</v>
      </c>
      <c r="X1" s="1634"/>
      <c r="Y1" s="1634"/>
      <c r="Z1" s="1634"/>
      <c r="AA1" s="1634"/>
      <c r="AB1" s="1634"/>
      <c r="AC1" s="1634"/>
      <c r="AD1" s="1634"/>
      <c r="AE1" s="1634"/>
      <c r="AF1" s="1634"/>
      <c r="AG1" s="1634"/>
    </row>
    <row r="2" spans="1:42" ht="24" customHeight="1">
      <c r="B2" s="1636" t="s">
        <v>156</v>
      </c>
      <c r="E2" s="1627" t="s">
        <v>150</v>
      </c>
      <c r="H2" s="1628" t="s">
        <v>642</v>
      </c>
      <c r="O2" s="1628" t="s">
        <v>642</v>
      </c>
      <c r="U2" s="2024" t="s">
        <v>643</v>
      </c>
      <c r="V2" s="2025"/>
      <c r="W2" s="2025"/>
      <c r="X2" s="2025"/>
      <c r="Y2" s="1628"/>
    </row>
    <row r="3" spans="1:42" ht="24" customHeight="1">
      <c r="A3" s="1627" t="s">
        <v>242</v>
      </c>
      <c r="B3" s="1631" t="s">
        <v>5491</v>
      </c>
      <c r="C3" s="1627" t="s">
        <v>5492</v>
      </c>
      <c r="E3" s="1627" t="s">
        <v>150</v>
      </c>
      <c r="F3" s="1637" t="s">
        <v>242</v>
      </c>
      <c r="G3" s="1638" t="s">
        <v>150</v>
      </c>
      <c r="H3" s="1639" t="str">
        <f>B3</f>
        <v>CHURCH HILL, OOTY</v>
      </c>
      <c r="J3" s="1631" t="str">
        <f>C3</f>
        <v>2022-2023</v>
      </c>
      <c r="M3" s="1627" t="s">
        <v>242</v>
      </c>
      <c r="N3" s="1627" t="s">
        <v>150</v>
      </c>
      <c r="O3" s="1640" t="str">
        <f>B3</f>
        <v>CHURCH HILL, OOTY</v>
      </c>
      <c r="Q3" s="1640" t="str">
        <f>C3</f>
        <v>2022-2023</v>
      </c>
      <c r="T3" s="1627" t="s">
        <v>242</v>
      </c>
      <c r="U3" s="1640" t="str">
        <f>O3</f>
        <v>CHURCH HILL, OOTY</v>
      </c>
      <c r="W3" s="1641" t="str">
        <f>C3</f>
        <v>2022-2023</v>
      </c>
      <c r="AC3" s="1627"/>
    </row>
    <row r="4" spans="1:42" ht="24" customHeight="1">
      <c r="F4" s="1636" t="s">
        <v>21</v>
      </c>
      <c r="G4" s="1636" t="s">
        <v>21</v>
      </c>
      <c r="H4" s="1636" t="s">
        <v>21</v>
      </c>
      <c r="I4" s="1636" t="s">
        <v>21</v>
      </c>
      <c r="J4" s="1636" t="s">
        <v>21</v>
      </c>
      <c r="K4" s="1636" t="s">
        <v>21</v>
      </c>
      <c r="M4" s="1636" t="s">
        <v>21</v>
      </c>
      <c r="N4" s="1636" t="s">
        <v>21</v>
      </c>
      <c r="O4" s="1636" t="s">
        <v>21</v>
      </c>
      <c r="P4" s="1636" t="s">
        <v>21</v>
      </c>
      <c r="Q4" s="1636" t="s">
        <v>21</v>
      </c>
      <c r="R4" s="1636" t="s">
        <v>21</v>
      </c>
      <c r="U4" s="1627" t="s">
        <v>150</v>
      </c>
      <c r="W4" s="1628" t="s">
        <v>150</v>
      </c>
      <c r="X4" s="1627" t="s">
        <v>646</v>
      </c>
      <c r="Y4" s="1627"/>
      <c r="Z4" s="1627"/>
      <c r="AE4" s="1627" t="s">
        <v>150</v>
      </c>
      <c r="AI4" s="1627" t="s">
        <v>647</v>
      </c>
    </row>
    <row r="5" spans="1:42" ht="24" customHeight="1">
      <c r="A5" s="1636" t="s">
        <v>21</v>
      </c>
      <c r="B5" s="1636" t="s">
        <v>21</v>
      </c>
      <c r="C5" s="1636" t="s">
        <v>21</v>
      </c>
      <c r="D5" s="1636" t="s">
        <v>21</v>
      </c>
      <c r="E5" s="1627" t="s">
        <v>150</v>
      </c>
      <c r="F5" s="1637" t="s">
        <v>244</v>
      </c>
      <c r="G5" s="1638" t="s">
        <v>150</v>
      </c>
      <c r="H5" s="1641" t="s">
        <v>245</v>
      </c>
      <c r="I5" s="1641" t="s">
        <v>246</v>
      </c>
      <c r="J5" s="1641" t="s">
        <v>247</v>
      </c>
      <c r="K5" s="1641" t="s">
        <v>248</v>
      </c>
      <c r="M5" s="1628" t="s">
        <v>244</v>
      </c>
      <c r="N5" s="1627" t="s">
        <v>150</v>
      </c>
      <c r="O5" s="1628" t="s">
        <v>245</v>
      </c>
      <c r="P5" s="1628" t="s">
        <v>246</v>
      </c>
      <c r="Q5" s="1628" t="s">
        <v>247</v>
      </c>
      <c r="R5" s="1628" t="s">
        <v>248</v>
      </c>
      <c r="T5" s="1636"/>
      <c r="U5" s="1636" t="s">
        <v>21</v>
      </c>
      <c r="V5" s="1636" t="s">
        <v>21</v>
      </c>
      <c r="W5" s="1628" t="s">
        <v>21</v>
      </c>
      <c r="X5" s="1636" t="s">
        <v>21</v>
      </c>
      <c r="Y5" s="1636"/>
      <c r="Z5" s="1636" t="s">
        <v>21</v>
      </c>
      <c r="AA5" s="1636" t="s">
        <v>21</v>
      </c>
      <c r="AB5" s="1636"/>
      <c r="AC5" s="1636" t="s">
        <v>21</v>
      </c>
      <c r="AD5" s="1636" t="s">
        <v>21</v>
      </c>
      <c r="AE5" s="1636" t="s">
        <v>21</v>
      </c>
      <c r="AF5" s="1636" t="s">
        <v>21</v>
      </c>
      <c r="AG5" s="1636" t="s">
        <v>21</v>
      </c>
    </row>
    <row r="6" spans="1:42" ht="24" customHeight="1">
      <c r="A6" s="1627" t="s">
        <v>648</v>
      </c>
      <c r="B6" s="1627" t="s">
        <v>245</v>
      </c>
      <c r="C6" s="1627" t="s">
        <v>246</v>
      </c>
      <c r="D6" s="1627" t="s">
        <v>247</v>
      </c>
      <c r="F6" s="1636" t="s">
        <v>21</v>
      </c>
      <c r="G6" s="1636" t="s">
        <v>21</v>
      </c>
      <c r="H6" s="1636" t="s">
        <v>21</v>
      </c>
      <c r="I6" s="1636" t="s">
        <v>21</v>
      </c>
      <c r="J6" s="1636" t="s">
        <v>21</v>
      </c>
      <c r="K6" s="1636" t="s">
        <v>21</v>
      </c>
      <c r="M6" s="1636" t="s">
        <v>21</v>
      </c>
      <c r="N6" s="1636" t="s">
        <v>21</v>
      </c>
      <c r="O6" s="1636" t="s">
        <v>21</v>
      </c>
      <c r="P6" s="1636" t="s">
        <v>21</v>
      </c>
      <c r="Q6" s="1636" t="s">
        <v>21</v>
      </c>
      <c r="R6" s="1636" t="s">
        <v>21</v>
      </c>
      <c r="T6" s="1628" t="s">
        <v>648</v>
      </c>
      <c r="U6" s="1628" t="s">
        <v>403</v>
      </c>
      <c r="V6" s="1628" t="s">
        <v>404</v>
      </c>
      <c r="W6" s="1628" t="s">
        <v>405</v>
      </c>
      <c r="X6" s="2025" t="s">
        <v>5102</v>
      </c>
      <c r="Y6" s="2025"/>
      <c r="Z6" s="1628" t="s">
        <v>650</v>
      </c>
      <c r="AA6" s="2025" t="s">
        <v>5493</v>
      </c>
      <c r="AB6" s="2025"/>
      <c r="AC6" s="1627" t="s">
        <v>652</v>
      </c>
      <c r="AD6" s="1627" t="s">
        <v>653</v>
      </c>
      <c r="AE6" s="1627" t="s">
        <v>654</v>
      </c>
      <c r="AF6" s="1628" t="s">
        <v>406</v>
      </c>
    </row>
    <row r="7" spans="1:42" ht="24" customHeight="1">
      <c r="A7" s="1636" t="s">
        <v>21</v>
      </c>
      <c r="B7" s="1636" t="s">
        <v>21</v>
      </c>
      <c r="C7" s="1636" t="s">
        <v>21</v>
      </c>
      <c r="D7" s="1636" t="s">
        <v>21</v>
      </c>
      <c r="G7" s="1638" t="s">
        <v>249</v>
      </c>
      <c r="H7" s="1627" t="s">
        <v>250</v>
      </c>
      <c r="O7" s="1627" t="s">
        <v>655</v>
      </c>
      <c r="W7" s="1634"/>
      <c r="X7" s="1628" t="s">
        <v>5103</v>
      </c>
      <c r="Y7" s="1628" t="s">
        <v>5104</v>
      </c>
      <c r="Z7" s="1628" t="s">
        <v>654</v>
      </c>
      <c r="AA7" s="1628" t="s">
        <v>5103</v>
      </c>
      <c r="AB7" s="1628" t="s">
        <v>5104</v>
      </c>
      <c r="AC7" s="1627" t="s">
        <v>658</v>
      </c>
      <c r="AD7" s="1627" t="s">
        <v>659</v>
      </c>
      <c r="AE7" s="1627" t="s">
        <v>660</v>
      </c>
      <c r="AG7" s="1642" t="str">
        <f>AN8</f>
        <v>40%</v>
      </c>
    </row>
    <row r="8" spans="1:42" ht="24" customHeight="1">
      <c r="B8" s="1627" t="s">
        <v>661</v>
      </c>
      <c r="H8" s="1636" t="s">
        <v>21</v>
      </c>
      <c r="O8" s="1636" t="s">
        <v>21</v>
      </c>
      <c r="T8" s="1636" t="s">
        <v>21</v>
      </c>
      <c r="U8" s="1636" t="s">
        <v>21</v>
      </c>
      <c r="V8" s="1636" t="s">
        <v>21</v>
      </c>
      <c r="W8" s="1628" t="s">
        <v>21</v>
      </c>
      <c r="X8" s="1636" t="s">
        <v>21</v>
      </c>
      <c r="Y8" s="1636"/>
      <c r="Z8" s="1636" t="s">
        <v>21</v>
      </c>
      <c r="AA8" s="1636" t="s">
        <v>21</v>
      </c>
      <c r="AB8" s="1636"/>
      <c r="AC8" s="1636" t="s">
        <v>662</v>
      </c>
      <c r="AD8" s="1636" t="s">
        <v>21</v>
      </c>
      <c r="AE8" s="1636" t="s">
        <v>21</v>
      </c>
      <c r="AF8" s="1636" t="s">
        <v>21</v>
      </c>
      <c r="AG8" s="1636" t="s">
        <v>21</v>
      </c>
      <c r="AI8" s="1643" t="s">
        <v>663</v>
      </c>
      <c r="AJ8" s="1643" t="s">
        <v>664</v>
      </c>
      <c r="AK8" s="1644" t="s">
        <v>665</v>
      </c>
      <c r="AL8" s="1644" t="s">
        <v>666</v>
      </c>
      <c r="AM8" s="1644" t="s">
        <v>667</v>
      </c>
      <c r="AN8" s="1644" t="s">
        <v>668</v>
      </c>
    </row>
    <row r="9" spans="1:42" ht="24" customHeight="1">
      <c r="B9" s="1627" t="s">
        <v>669</v>
      </c>
      <c r="F9" s="1640">
        <v>0.96</v>
      </c>
      <c r="G9" s="1638" t="s">
        <v>251</v>
      </c>
      <c r="H9" s="1627" t="s">
        <v>252</v>
      </c>
      <c r="I9" s="1640">
        <f>(C67)</f>
        <v>6040</v>
      </c>
      <c r="J9" s="1627" t="s">
        <v>251</v>
      </c>
      <c r="K9" s="1640">
        <f>(F9*I9)</f>
        <v>5798.4</v>
      </c>
      <c r="M9" s="1640">
        <v>0.5</v>
      </c>
      <c r="N9" s="1627" t="s">
        <v>251</v>
      </c>
      <c r="O9" s="1627" t="s">
        <v>670</v>
      </c>
      <c r="P9" s="1640">
        <f>(C85)</f>
        <v>993</v>
      </c>
      <c r="Q9" s="1627" t="s">
        <v>251</v>
      </c>
      <c r="R9" s="1640">
        <f>(M9*P9)</f>
        <v>496.5</v>
      </c>
      <c r="T9" s="1628" t="s">
        <v>407</v>
      </c>
      <c r="U9" s="1627" t="s">
        <v>5494</v>
      </c>
      <c r="V9" s="1627" t="s">
        <v>408</v>
      </c>
      <c r="W9" s="1645" t="s">
        <v>409</v>
      </c>
      <c r="X9" s="1640">
        <f>'[6]lead  charge'!D12</f>
        <v>10</v>
      </c>
      <c r="Y9" s="1640">
        <f>'[6]lead  charge'!C36</f>
        <v>51</v>
      </c>
      <c r="Z9" s="1640">
        <v>449.4</v>
      </c>
      <c r="AA9" s="1646">
        <f>'[6]lead  charge'!E12</f>
        <v>114.5</v>
      </c>
      <c r="AB9" s="1646">
        <f>'[6]lead  charge'!D36</f>
        <v>865.22</v>
      </c>
      <c r="AC9" s="1628"/>
      <c r="AD9" s="1627">
        <v>0</v>
      </c>
      <c r="AE9" s="1627">
        <f>AB9+AA9+Z9</f>
        <v>1429.12</v>
      </c>
      <c r="AF9" s="1627" t="s">
        <v>5495</v>
      </c>
      <c r="AG9" s="1640">
        <f>AN9</f>
        <v>1325.8</v>
      </c>
      <c r="AH9" s="1640">
        <v>947</v>
      </c>
      <c r="AI9" s="1640">
        <f>AH9*1.1</f>
        <v>1041.7</v>
      </c>
      <c r="AJ9" s="1629">
        <f>AH9*1.2</f>
        <v>1136.3999999999999</v>
      </c>
      <c r="AK9" s="1629">
        <f>AH9*1.5</f>
        <v>1420.5</v>
      </c>
      <c r="AL9" s="1629">
        <f>AH9*1.05</f>
        <v>994.35</v>
      </c>
      <c r="AM9" s="1629">
        <f>AH9*1.25</f>
        <v>1183.75</v>
      </c>
      <c r="AN9" s="1629">
        <f>AH9*1.4</f>
        <v>1325.8</v>
      </c>
      <c r="AO9" s="1629">
        <f>AH9*40%</f>
        <v>378.8</v>
      </c>
      <c r="AP9" s="1629">
        <f>AO9+AH9</f>
        <v>1325.8</v>
      </c>
    </row>
    <row r="10" spans="1:42" ht="24" customHeight="1">
      <c r="A10" s="1647">
        <v>1</v>
      </c>
      <c r="B10" s="1627" t="s">
        <v>671</v>
      </c>
      <c r="C10" s="1640">
        <f>AG9</f>
        <v>1325.8</v>
      </c>
      <c r="D10" s="1627" t="s">
        <v>153</v>
      </c>
      <c r="F10" s="1640">
        <v>1</v>
      </c>
      <c r="G10" s="1638" t="s">
        <v>151</v>
      </c>
      <c r="H10" s="1627" t="s">
        <v>253</v>
      </c>
      <c r="I10" s="1640">
        <f>(C78)</f>
        <v>2265.5</v>
      </c>
      <c r="J10" s="1627" t="s">
        <v>151</v>
      </c>
      <c r="K10" s="1640">
        <f>(F10*I10)</f>
        <v>2265.5</v>
      </c>
      <c r="M10" s="1640">
        <v>1</v>
      </c>
      <c r="N10" s="1627" t="s">
        <v>151</v>
      </c>
      <c r="O10" s="1627" t="s">
        <v>253</v>
      </c>
      <c r="P10" s="1640">
        <f>(C78)</f>
        <v>2265.5</v>
      </c>
      <c r="Q10" s="1627" t="s">
        <v>151</v>
      </c>
      <c r="R10" s="1640">
        <f>(M10*P10)</f>
        <v>2265.5</v>
      </c>
      <c r="T10" s="1628" t="s">
        <v>411</v>
      </c>
      <c r="U10" s="1627" t="s">
        <v>5496</v>
      </c>
      <c r="V10" s="1627" t="s">
        <v>408</v>
      </c>
      <c r="W10" s="1645" t="str">
        <f t="shared" ref="W10:W15" si="0">+W9</f>
        <v>Kurunthamalai</v>
      </c>
      <c r="X10" s="1640">
        <f>'[6]lead  charge'!D12</f>
        <v>10</v>
      </c>
      <c r="Y10" s="1640">
        <f>Y9</f>
        <v>51</v>
      </c>
      <c r="Z10" s="1640">
        <v>648.4</v>
      </c>
      <c r="AA10" s="1646">
        <f>AA9</f>
        <v>114.5</v>
      </c>
      <c r="AB10" s="1646">
        <f>AB9</f>
        <v>865.22</v>
      </c>
      <c r="AC10" s="1628"/>
      <c r="AD10" s="1632">
        <v>0</v>
      </c>
      <c r="AE10" s="1627">
        <f t="shared" ref="AE10:AE47" si="1">AB10+AA10+Z10</f>
        <v>1628.12</v>
      </c>
      <c r="AF10" s="1627" t="s">
        <v>5497</v>
      </c>
      <c r="AG10" s="1640">
        <f t="shared" ref="AG10:AG67" si="2">AN10</f>
        <v>1237.5999999999999</v>
      </c>
      <c r="AH10" s="1640">
        <v>884</v>
      </c>
      <c r="AI10" s="1640">
        <f t="shared" ref="AI10:AI67" si="3">AH10*1.1</f>
        <v>972.40000000000009</v>
      </c>
      <c r="AJ10" s="1629">
        <f t="shared" ref="AJ10:AJ67" si="4">AH10*1.2</f>
        <v>1060.8</v>
      </c>
      <c r="AK10" s="1629">
        <f t="shared" ref="AK10:AK67" si="5">AH10*1.5</f>
        <v>1326</v>
      </c>
      <c r="AL10" s="1629">
        <f t="shared" ref="AL10:AL67" si="6">AH10*1.05</f>
        <v>928.2</v>
      </c>
      <c r="AM10" s="1629">
        <f t="shared" ref="AM10:AM67" si="7">AH10*1.25</f>
        <v>1105</v>
      </c>
      <c r="AN10" s="1629">
        <f t="shared" ref="AN10:AN67" si="8">AH10*1.4</f>
        <v>1237.5999999999999</v>
      </c>
    </row>
    <row r="11" spans="1:42" ht="24" customHeight="1">
      <c r="A11" s="1647">
        <f t="shared" ref="A11:A35" si="9">(A10+1)</f>
        <v>2</v>
      </c>
      <c r="B11" s="1627" t="s">
        <v>672</v>
      </c>
      <c r="C11" s="1640">
        <f>AG10</f>
        <v>1237.5999999999999</v>
      </c>
      <c r="D11" s="1627">
        <f>AG9</f>
        <v>1325.8</v>
      </c>
      <c r="F11" s="1640">
        <v>1</v>
      </c>
      <c r="G11" s="1638" t="s">
        <v>151</v>
      </c>
      <c r="H11" s="1627" t="s">
        <v>254</v>
      </c>
      <c r="I11" s="1640">
        <f>(C18)</f>
        <v>154</v>
      </c>
      <c r="J11" s="1627" t="s">
        <v>151</v>
      </c>
      <c r="K11" s="1640">
        <f>(F11*I11)</f>
        <v>154</v>
      </c>
      <c r="M11" s="1640">
        <v>1</v>
      </c>
      <c r="N11" s="1627" t="s">
        <v>151</v>
      </c>
      <c r="O11" s="1627" t="s">
        <v>673</v>
      </c>
      <c r="P11" s="1640">
        <f>(C64)</f>
        <v>266</v>
      </c>
      <c r="Q11" s="1627" t="s">
        <v>151</v>
      </c>
      <c r="R11" s="1640">
        <f>(M11*P11)</f>
        <v>266</v>
      </c>
      <c r="T11" s="1628" t="s">
        <v>413</v>
      </c>
      <c r="U11" s="1627" t="s">
        <v>5498</v>
      </c>
      <c r="V11" s="1627" t="s">
        <v>408</v>
      </c>
      <c r="W11" s="1645" t="str">
        <f t="shared" si="0"/>
        <v>Kurunthamalai</v>
      </c>
      <c r="X11" s="1640">
        <f>'[6]lead  charge'!D10:D10</f>
        <v>10</v>
      </c>
      <c r="Y11" s="1640">
        <f>Y9</f>
        <v>51</v>
      </c>
      <c r="Z11" s="1640">
        <f>ROUND((609+677+1001)/3,2)</f>
        <v>762.33</v>
      </c>
      <c r="AA11" s="1646">
        <f>'[6]lead  charge'!E10</f>
        <v>114.5</v>
      </c>
      <c r="AB11" s="1646">
        <f>AB9</f>
        <v>865.22</v>
      </c>
      <c r="AC11" s="1628"/>
      <c r="AD11" s="1632">
        <v>0</v>
      </c>
      <c r="AE11" s="1627">
        <f t="shared" si="1"/>
        <v>1742.0500000000002</v>
      </c>
      <c r="AF11" s="1627" t="s">
        <v>5499</v>
      </c>
      <c r="AG11" s="1640">
        <f t="shared" si="2"/>
        <v>865.19999999999993</v>
      </c>
      <c r="AH11" s="1640">
        <v>618</v>
      </c>
      <c r="AI11" s="1640">
        <f t="shared" si="3"/>
        <v>679.80000000000007</v>
      </c>
      <c r="AJ11" s="1629">
        <f t="shared" si="4"/>
        <v>741.6</v>
      </c>
      <c r="AK11" s="1629">
        <f t="shared" si="5"/>
        <v>927</v>
      </c>
      <c r="AL11" s="1629">
        <f t="shared" si="6"/>
        <v>648.9</v>
      </c>
      <c r="AM11" s="1629">
        <f t="shared" si="7"/>
        <v>772.5</v>
      </c>
      <c r="AN11" s="1629">
        <f t="shared" si="8"/>
        <v>865.19999999999993</v>
      </c>
    </row>
    <row r="12" spans="1:42" ht="24" customHeight="1">
      <c r="A12" s="1647">
        <f t="shared" si="9"/>
        <v>3</v>
      </c>
      <c r="B12" s="1627" t="s">
        <v>674</v>
      </c>
      <c r="C12" s="1640">
        <f>AG11</f>
        <v>865.19999999999993</v>
      </c>
      <c r="D12" s="1627" t="s">
        <v>153</v>
      </c>
      <c r="G12" s="1638" t="s">
        <v>226</v>
      </c>
      <c r="H12" s="1627" t="s">
        <v>237</v>
      </c>
      <c r="I12" s="1627" t="s">
        <v>150</v>
      </c>
      <c r="J12" s="1627" t="s">
        <v>226</v>
      </c>
      <c r="K12" s="1640">
        <v>0</v>
      </c>
      <c r="N12" s="1627" t="s">
        <v>226</v>
      </c>
      <c r="O12" s="1627" t="s">
        <v>237</v>
      </c>
      <c r="P12" s="1627" t="s">
        <v>150</v>
      </c>
      <c r="Q12" s="1627" t="s">
        <v>226</v>
      </c>
      <c r="R12" s="1640">
        <v>0</v>
      </c>
      <c r="T12" s="1628" t="s">
        <v>416</v>
      </c>
      <c r="U12" s="1627" t="s">
        <v>417</v>
      </c>
      <c r="V12" s="1627" t="s">
        <v>408</v>
      </c>
      <c r="W12" s="1645" t="str">
        <f t="shared" si="0"/>
        <v>Kurunthamalai</v>
      </c>
      <c r="X12" s="1640">
        <f>X11</f>
        <v>10</v>
      </c>
      <c r="Y12" s="1640">
        <f>Y9</f>
        <v>51</v>
      </c>
      <c r="Z12" s="1640">
        <v>1001</v>
      </c>
      <c r="AA12" s="1646">
        <f>AA11</f>
        <v>114.5</v>
      </c>
      <c r="AB12" s="1646">
        <f>AB9</f>
        <v>865.22</v>
      </c>
      <c r="AC12" s="1628"/>
      <c r="AD12" s="1632">
        <v>0</v>
      </c>
      <c r="AE12" s="1627">
        <f t="shared" si="1"/>
        <v>1980.72</v>
      </c>
      <c r="AF12" s="1627" t="s">
        <v>5500</v>
      </c>
      <c r="AG12" s="1640">
        <f t="shared" si="2"/>
        <v>709.8</v>
      </c>
      <c r="AH12" s="1640">
        <v>507</v>
      </c>
      <c r="AI12" s="1640">
        <f t="shared" si="3"/>
        <v>557.70000000000005</v>
      </c>
      <c r="AJ12" s="1629">
        <f t="shared" si="4"/>
        <v>608.4</v>
      </c>
      <c r="AK12" s="1629">
        <f t="shared" si="5"/>
        <v>760.5</v>
      </c>
      <c r="AL12" s="1629">
        <f t="shared" si="6"/>
        <v>532.35</v>
      </c>
      <c r="AM12" s="1629">
        <f t="shared" si="7"/>
        <v>633.75</v>
      </c>
      <c r="AN12" s="1629">
        <f t="shared" si="8"/>
        <v>709.8</v>
      </c>
    </row>
    <row r="13" spans="1:42" ht="24" customHeight="1">
      <c r="A13" s="1647">
        <f t="shared" si="9"/>
        <v>4</v>
      </c>
      <c r="B13" s="1627" t="s">
        <v>675</v>
      </c>
      <c r="C13" s="1640">
        <f>AG12</f>
        <v>709.8</v>
      </c>
      <c r="D13" s="1627" t="s">
        <v>153</v>
      </c>
      <c r="K13" s="1636" t="s">
        <v>21</v>
      </c>
      <c r="R13" s="1636" t="s">
        <v>21</v>
      </c>
      <c r="T13" s="1628" t="s">
        <v>419</v>
      </c>
      <c r="U13" s="1627" t="s">
        <v>420</v>
      </c>
      <c r="V13" s="1627" t="s">
        <v>408</v>
      </c>
      <c r="W13" s="1645" t="str">
        <f t="shared" si="0"/>
        <v>Kurunthamalai</v>
      </c>
      <c r="X13" s="1640">
        <f>X11</f>
        <v>10</v>
      </c>
      <c r="Y13" s="1640">
        <f>Y9</f>
        <v>51</v>
      </c>
      <c r="Z13" s="1640">
        <v>1362</v>
      </c>
      <c r="AA13" s="1646">
        <f>AA12</f>
        <v>114.5</v>
      </c>
      <c r="AB13" s="1646">
        <f>AB9</f>
        <v>865.22</v>
      </c>
      <c r="AC13" s="1628"/>
      <c r="AD13" s="1632">
        <v>0</v>
      </c>
      <c r="AE13" s="1627">
        <f t="shared" si="1"/>
        <v>2341.7200000000003</v>
      </c>
      <c r="AF13" s="1627" t="s">
        <v>5501</v>
      </c>
      <c r="AG13" s="1640">
        <f t="shared" si="2"/>
        <v>1058.3999999999999</v>
      </c>
      <c r="AH13" s="1640">
        <v>756</v>
      </c>
      <c r="AI13" s="1640">
        <f t="shared" si="3"/>
        <v>831.6</v>
      </c>
      <c r="AJ13" s="1629">
        <f t="shared" si="4"/>
        <v>907.19999999999993</v>
      </c>
      <c r="AK13" s="1629">
        <f t="shared" si="5"/>
        <v>1134</v>
      </c>
      <c r="AL13" s="1629">
        <f t="shared" si="6"/>
        <v>793.80000000000007</v>
      </c>
      <c r="AM13" s="1629">
        <f t="shared" si="7"/>
        <v>945</v>
      </c>
      <c r="AN13" s="1629">
        <f t="shared" si="8"/>
        <v>1058.3999999999999</v>
      </c>
    </row>
    <row r="14" spans="1:42" ht="24" customHeight="1">
      <c r="A14" s="1647">
        <f t="shared" si="9"/>
        <v>5</v>
      </c>
      <c r="B14" s="1627" t="s">
        <v>676</v>
      </c>
      <c r="C14" s="1640">
        <f>AG13</f>
        <v>1058.3999999999999</v>
      </c>
      <c r="D14" s="1640">
        <f>AG14</f>
        <v>1024.8</v>
      </c>
      <c r="H14" s="1627" t="s">
        <v>255</v>
      </c>
      <c r="K14" s="1639">
        <f>SUM(K9:K12)</f>
        <v>8217.9</v>
      </c>
      <c r="N14" s="1640">
        <f>SUM(K9:K12)</f>
        <v>8217.9</v>
      </c>
      <c r="O14" s="1627" t="s">
        <v>255</v>
      </c>
      <c r="R14" s="1640">
        <f>SUM(R9:R12)</f>
        <v>3028</v>
      </c>
      <c r="T14" s="1628" t="s">
        <v>422</v>
      </c>
      <c r="U14" s="1627" t="s">
        <v>423</v>
      </c>
      <c r="V14" s="1627" t="s">
        <v>408</v>
      </c>
      <c r="W14" s="1645" t="str">
        <f t="shared" si="0"/>
        <v>Kurunthamalai</v>
      </c>
      <c r="X14" s="1640">
        <f>X11</f>
        <v>10</v>
      </c>
      <c r="Y14" s="1640">
        <f>Y9</f>
        <v>51</v>
      </c>
      <c r="Z14" s="1640">
        <v>1467</v>
      </c>
      <c r="AA14" s="1646">
        <f>AA13</f>
        <v>114.5</v>
      </c>
      <c r="AB14" s="1646">
        <f>AB9</f>
        <v>865.22</v>
      </c>
      <c r="AC14" s="1628"/>
      <c r="AD14" s="1632">
        <v>0</v>
      </c>
      <c r="AE14" s="1627">
        <f t="shared" si="1"/>
        <v>2446.7200000000003</v>
      </c>
      <c r="AF14" s="1627" t="s">
        <v>5502</v>
      </c>
      <c r="AG14" s="1640">
        <f t="shared" si="2"/>
        <v>1024.8</v>
      </c>
      <c r="AH14" s="1640">
        <v>732</v>
      </c>
      <c r="AI14" s="1640">
        <f t="shared" si="3"/>
        <v>805.2</v>
      </c>
      <c r="AJ14" s="1629">
        <f t="shared" si="4"/>
        <v>878.4</v>
      </c>
      <c r="AK14" s="1629">
        <f t="shared" si="5"/>
        <v>1098</v>
      </c>
      <c r="AL14" s="1629">
        <f t="shared" si="6"/>
        <v>768.6</v>
      </c>
      <c r="AM14" s="1629">
        <f t="shared" si="7"/>
        <v>915</v>
      </c>
      <c r="AN14" s="1629">
        <f t="shared" si="8"/>
        <v>1024.8</v>
      </c>
    </row>
    <row r="15" spans="1:42" ht="24" customHeight="1">
      <c r="A15" s="1647">
        <f t="shared" si="9"/>
        <v>6</v>
      </c>
      <c r="B15" s="1627" t="s">
        <v>677</v>
      </c>
      <c r="C15" s="1640">
        <f>AG15</f>
        <v>1149.3999999999999</v>
      </c>
      <c r="D15" s="1627" t="s">
        <v>153</v>
      </c>
      <c r="K15" s="1636" t="s">
        <v>21</v>
      </c>
      <c r="R15" s="1636" t="s">
        <v>21</v>
      </c>
      <c r="T15" s="1628" t="s">
        <v>425</v>
      </c>
      <c r="U15" s="1627" t="s">
        <v>426</v>
      </c>
      <c r="V15" s="1627" t="s">
        <v>408</v>
      </c>
      <c r="W15" s="1645" t="str">
        <f t="shared" si="0"/>
        <v>Kurunthamalai</v>
      </c>
      <c r="X15" s="1640">
        <f>X11</f>
        <v>10</v>
      </c>
      <c r="Y15" s="1640">
        <f>Y9</f>
        <v>51</v>
      </c>
      <c r="Z15" s="1640">
        <v>1054</v>
      </c>
      <c r="AA15" s="1646">
        <f>AA14</f>
        <v>114.5</v>
      </c>
      <c r="AB15" s="1646">
        <f>AB9</f>
        <v>865.22</v>
      </c>
      <c r="AC15" s="1628"/>
      <c r="AD15" s="1632">
        <v>0</v>
      </c>
      <c r="AE15" s="1627">
        <f t="shared" si="1"/>
        <v>2033.72</v>
      </c>
      <c r="AF15" s="1627" t="s">
        <v>5503</v>
      </c>
      <c r="AG15" s="1640">
        <f t="shared" si="2"/>
        <v>1149.3999999999999</v>
      </c>
      <c r="AH15" s="1640">
        <v>821</v>
      </c>
      <c r="AI15" s="1640">
        <f t="shared" si="3"/>
        <v>903.1</v>
      </c>
      <c r="AJ15" s="1629">
        <f t="shared" si="4"/>
        <v>985.19999999999993</v>
      </c>
      <c r="AK15" s="1629">
        <f t="shared" si="5"/>
        <v>1231.5</v>
      </c>
      <c r="AL15" s="1629">
        <f t="shared" si="6"/>
        <v>862.05000000000007</v>
      </c>
      <c r="AM15" s="1629">
        <f t="shared" si="7"/>
        <v>1026.25</v>
      </c>
      <c r="AN15" s="1629">
        <f t="shared" si="8"/>
        <v>1149.3999999999999</v>
      </c>
    </row>
    <row r="16" spans="1:42" ht="29.25" customHeight="1">
      <c r="A16" s="1647">
        <f t="shared" si="9"/>
        <v>7</v>
      </c>
      <c r="B16" s="1627" t="s">
        <v>678</v>
      </c>
      <c r="C16" s="1640">
        <f>AG19</f>
        <v>1296.3999999999999</v>
      </c>
      <c r="D16" s="1640">
        <f>AG20</f>
        <v>1237.5999999999999</v>
      </c>
      <c r="G16" s="1638" t="s">
        <v>249</v>
      </c>
      <c r="H16" s="1627" t="s">
        <v>256</v>
      </c>
      <c r="N16" s="1627" t="s">
        <v>249</v>
      </c>
      <c r="O16" s="1627" t="s">
        <v>679</v>
      </c>
      <c r="T16" s="1628" t="s">
        <v>428</v>
      </c>
      <c r="U16" s="1627" t="s">
        <v>5105</v>
      </c>
      <c r="V16" s="1627" t="s">
        <v>408</v>
      </c>
      <c r="W16" s="1648" t="s">
        <v>429</v>
      </c>
      <c r="X16" s="1640">
        <f>'[6]lead  charge'!D11</f>
        <v>4</v>
      </c>
      <c r="Y16" s="1640">
        <f>'[6]lead  charge'!C50</f>
        <v>51</v>
      </c>
      <c r="Z16" s="1639">
        <v>1312</v>
      </c>
      <c r="AA16" s="1646">
        <f>'[6]lead  charge'!E11</f>
        <v>45.8</v>
      </c>
      <c r="AB16" s="1646">
        <f>'[6]lead  charge'!D50</f>
        <v>907.7</v>
      </c>
      <c r="AC16" s="1628"/>
      <c r="AD16" s="1632">
        <v>0</v>
      </c>
      <c r="AE16" s="1627">
        <f t="shared" si="1"/>
        <v>2265.5</v>
      </c>
      <c r="AF16" s="1627" t="s">
        <v>5504</v>
      </c>
      <c r="AG16" s="1640">
        <f t="shared" si="2"/>
        <v>1114.3999999999999</v>
      </c>
      <c r="AH16" s="1640">
        <v>796</v>
      </c>
      <c r="AI16" s="1640">
        <f t="shared" si="3"/>
        <v>875.6</v>
      </c>
      <c r="AJ16" s="1629">
        <f t="shared" si="4"/>
        <v>955.19999999999993</v>
      </c>
      <c r="AK16" s="1629">
        <f t="shared" si="5"/>
        <v>1194</v>
      </c>
      <c r="AL16" s="1629">
        <f t="shared" si="6"/>
        <v>835.80000000000007</v>
      </c>
      <c r="AM16" s="1629">
        <f t="shared" si="7"/>
        <v>995</v>
      </c>
      <c r="AN16" s="1629">
        <f t="shared" si="8"/>
        <v>1114.3999999999999</v>
      </c>
    </row>
    <row r="17" spans="1:40" ht="29.25" customHeight="1">
      <c r="A17" s="1647">
        <f t="shared" si="9"/>
        <v>8</v>
      </c>
      <c r="B17" s="1627" t="s">
        <v>681</v>
      </c>
      <c r="C17" s="1640">
        <f>AG17</f>
        <v>1170.3999999999999</v>
      </c>
      <c r="D17" s="1640">
        <f>AG18</f>
        <v>1136.8</v>
      </c>
      <c r="H17" s="1636" t="s">
        <v>21</v>
      </c>
      <c r="O17" s="1627" t="s">
        <v>682</v>
      </c>
      <c r="T17" s="1628" t="s">
        <v>431</v>
      </c>
      <c r="U17" s="1627" t="s">
        <v>5505</v>
      </c>
      <c r="V17" s="1627" t="s">
        <v>408</v>
      </c>
      <c r="W17" s="1648" t="str">
        <f>+W16</f>
        <v>Karamadai [Kannarpalayam]</v>
      </c>
      <c r="X17" s="1640">
        <f>X16</f>
        <v>4</v>
      </c>
      <c r="Y17" s="1640">
        <f>Y16</f>
        <v>51</v>
      </c>
      <c r="Z17" s="1639">
        <f>Z16</f>
        <v>1312</v>
      </c>
      <c r="AA17" s="1646">
        <f>AA16</f>
        <v>45.8</v>
      </c>
      <c r="AB17" s="1646">
        <f>AB16</f>
        <v>907.7</v>
      </c>
      <c r="AC17" s="1628"/>
      <c r="AD17" s="1632">
        <v>0</v>
      </c>
      <c r="AE17" s="1627">
        <f t="shared" si="1"/>
        <v>2265.5</v>
      </c>
      <c r="AF17" s="1627" t="s">
        <v>5506</v>
      </c>
      <c r="AG17" s="1640">
        <f t="shared" si="2"/>
        <v>1170.3999999999999</v>
      </c>
      <c r="AH17" s="1640">
        <v>836</v>
      </c>
      <c r="AI17" s="1640">
        <f t="shared" si="3"/>
        <v>919.6</v>
      </c>
      <c r="AJ17" s="1629">
        <f t="shared" si="4"/>
        <v>1003.1999999999999</v>
      </c>
      <c r="AK17" s="1629">
        <f t="shared" si="5"/>
        <v>1254</v>
      </c>
      <c r="AL17" s="1629">
        <f t="shared" si="6"/>
        <v>877.80000000000007</v>
      </c>
      <c r="AM17" s="1629">
        <f t="shared" si="7"/>
        <v>1045</v>
      </c>
      <c r="AN17" s="1629">
        <f t="shared" si="8"/>
        <v>1170.3999999999999</v>
      </c>
    </row>
    <row r="18" spans="1:40" ht="24" customHeight="1">
      <c r="A18" s="1647">
        <f t="shared" si="9"/>
        <v>9</v>
      </c>
      <c r="B18" s="1627" t="s">
        <v>684</v>
      </c>
      <c r="C18" s="1640">
        <f>AG24</f>
        <v>154</v>
      </c>
      <c r="D18" s="1627" t="s">
        <v>685</v>
      </c>
      <c r="F18" s="1640">
        <v>0.72</v>
      </c>
      <c r="G18" s="1638" t="s">
        <v>251</v>
      </c>
      <c r="H18" s="1627" t="s">
        <v>252</v>
      </c>
      <c r="I18" s="1640">
        <f>(C67)</f>
        <v>6040</v>
      </c>
      <c r="J18" s="1627" t="s">
        <v>251</v>
      </c>
      <c r="K18" s="1640">
        <f>(F18*I18)</f>
        <v>4348.8</v>
      </c>
      <c r="O18" s="1627" t="s">
        <v>686</v>
      </c>
      <c r="T18" s="1628" t="s">
        <v>433</v>
      </c>
      <c r="U18" s="1627" t="s">
        <v>5507</v>
      </c>
      <c r="V18" s="1627" t="s">
        <v>434</v>
      </c>
      <c r="W18" s="1645" t="s">
        <v>435</v>
      </c>
      <c r="X18" s="1640">
        <f>'[6]lead  charge'!G10</f>
        <v>35</v>
      </c>
      <c r="Y18" s="1640">
        <f>'[6]lead  charge'!F36</f>
        <v>51</v>
      </c>
      <c r="Z18" s="1640">
        <v>5709</v>
      </c>
      <c r="AA18" s="1646">
        <f>'[6]lead  charge'!H10</f>
        <v>285.8</v>
      </c>
      <c r="AB18" s="1646">
        <f>'[6]lead  charge'!G36</f>
        <v>628.72</v>
      </c>
      <c r="AC18" s="1628"/>
      <c r="AD18" s="1632">
        <v>0</v>
      </c>
      <c r="AE18" s="1627">
        <f t="shared" si="1"/>
        <v>6623.52</v>
      </c>
      <c r="AF18" s="1627" t="s">
        <v>5508</v>
      </c>
      <c r="AG18" s="1640">
        <f t="shared" si="2"/>
        <v>1136.8</v>
      </c>
      <c r="AH18" s="1640">
        <v>812</v>
      </c>
      <c r="AI18" s="1640">
        <f t="shared" si="3"/>
        <v>893.2</v>
      </c>
      <c r="AJ18" s="1629">
        <f t="shared" si="4"/>
        <v>974.4</v>
      </c>
      <c r="AK18" s="1629">
        <f t="shared" si="5"/>
        <v>1218</v>
      </c>
      <c r="AL18" s="1629">
        <f t="shared" si="6"/>
        <v>852.6</v>
      </c>
      <c r="AM18" s="1629">
        <f t="shared" si="7"/>
        <v>1015</v>
      </c>
      <c r="AN18" s="1629">
        <f t="shared" si="8"/>
        <v>1136.8</v>
      </c>
    </row>
    <row r="19" spans="1:40" ht="24" customHeight="1">
      <c r="A19" s="1647">
        <f t="shared" si="9"/>
        <v>10</v>
      </c>
      <c r="B19" s="1627" t="s">
        <v>687</v>
      </c>
      <c r="C19" s="1640">
        <f t="shared" ref="C19:C24" si="10">AG41</f>
        <v>104.71999999999998</v>
      </c>
      <c r="D19" s="1627" t="s">
        <v>151</v>
      </c>
      <c r="F19" s="1640">
        <v>1</v>
      </c>
      <c r="G19" s="1638" t="s">
        <v>151</v>
      </c>
      <c r="H19" s="1627" t="s">
        <v>253</v>
      </c>
      <c r="I19" s="1640">
        <f>I36</f>
        <v>2265.5</v>
      </c>
      <c r="J19" s="1627" t="s">
        <v>151</v>
      </c>
      <c r="K19" s="1640">
        <f>(F19*I19)</f>
        <v>2265.5</v>
      </c>
      <c r="O19" s="1627" t="s">
        <v>688</v>
      </c>
      <c r="T19" s="1628" t="s">
        <v>437</v>
      </c>
      <c r="U19" s="1627" t="s">
        <v>5509</v>
      </c>
      <c r="V19" s="1627" t="s">
        <v>151</v>
      </c>
      <c r="W19" s="1645" t="str">
        <f>W18</f>
        <v>Thadagam</v>
      </c>
      <c r="X19" s="1640">
        <f>'[6]lead  charge'!P10</f>
        <v>35</v>
      </c>
      <c r="Y19" s="1640">
        <f>'[6]lead  charge'!O36</f>
        <v>51</v>
      </c>
      <c r="Z19" s="1640">
        <v>705</v>
      </c>
      <c r="AA19" s="1649">
        <f>'[6]lead  charge'!Q10</f>
        <v>232.9</v>
      </c>
      <c r="AB19" s="1649">
        <f>'[6]lead  charge'!P36</f>
        <v>513.52</v>
      </c>
      <c r="AC19" s="1628"/>
      <c r="AD19" s="1632">
        <v>0</v>
      </c>
      <c r="AE19" s="1627">
        <f t="shared" si="1"/>
        <v>1451.42</v>
      </c>
      <c r="AF19" s="1627" t="s">
        <v>5510</v>
      </c>
      <c r="AG19" s="1640">
        <f t="shared" si="2"/>
        <v>1296.3999999999999</v>
      </c>
      <c r="AH19" s="1640">
        <v>926</v>
      </c>
      <c r="AI19" s="1640">
        <f t="shared" si="3"/>
        <v>1018.6000000000001</v>
      </c>
      <c r="AJ19" s="1629">
        <f t="shared" si="4"/>
        <v>1111.2</v>
      </c>
      <c r="AK19" s="1629">
        <f t="shared" si="5"/>
        <v>1389</v>
      </c>
      <c r="AL19" s="1629">
        <f t="shared" si="6"/>
        <v>972.30000000000007</v>
      </c>
      <c r="AM19" s="1629">
        <f t="shared" si="7"/>
        <v>1157.5</v>
      </c>
      <c r="AN19" s="1629">
        <f t="shared" si="8"/>
        <v>1296.3999999999999</v>
      </c>
    </row>
    <row r="20" spans="1:40" ht="24" customHeight="1">
      <c r="A20" s="1647">
        <f t="shared" si="9"/>
        <v>11</v>
      </c>
      <c r="B20" s="1627" t="s">
        <v>689</v>
      </c>
      <c r="C20" s="1640">
        <f t="shared" si="10"/>
        <v>211.26</v>
      </c>
      <c r="D20" s="1627" t="s">
        <v>151</v>
      </c>
      <c r="F20" s="1640">
        <v>1</v>
      </c>
      <c r="G20" s="1638" t="s">
        <v>151</v>
      </c>
      <c r="H20" s="1627" t="s">
        <v>254</v>
      </c>
      <c r="I20" s="1640">
        <f>(C18)</f>
        <v>154</v>
      </c>
      <c r="J20" s="1627" t="s">
        <v>151</v>
      </c>
      <c r="K20" s="1640">
        <f>(F20*I20)</f>
        <v>154</v>
      </c>
      <c r="O20" s="1627" t="s">
        <v>690</v>
      </c>
      <c r="T20" s="1628" t="s">
        <v>439</v>
      </c>
      <c r="U20" s="1627" t="s">
        <v>440</v>
      </c>
      <c r="V20" s="1627" t="s">
        <v>151</v>
      </c>
      <c r="W20" s="1645" t="str">
        <f>W18</f>
        <v>Thadagam</v>
      </c>
      <c r="X20" s="1640">
        <f>X19</f>
        <v>35</v>
      </c>
      <c r="Y20" s="1640">
        <f>Y19</f>
        <v>51</v>
      </c>
      <c r="Z20" s="1640">
        <v>786</v>
      </c>
      <c r="AA20" s="1646">
        <f>AA19</f>
        <v>232.9</v>
      </c>
      <c r="AB20" s="1646">
        <f>AB19</f>
        <v>513.52</v>
      </c>
      <c r="AC20" s="1628"/>
      <c r="AD20" s="1632">
        <v>0</v>
      </c>
      <c r="AE20" s="1627">
        <f t="shared" si="1"/>
        <v>1532.42</v>
      </c>
      <c r="AF20" s="1627" t="s">
        <v>5511</v>
      </c>
      <c r="AG20" s="1640">
        <f t="shared" si="2"/>
        <v>1237.5999999999999</v>
      </c>
      <c r="AH20" s="1640">
        <v>884</v>
      </c>
      <c r="AI20" s="1640">
        <f t="shared" si="3"/>
        <v>972.40000000000009</v>
      </c>
      <c r="AJ20" s="1629">
        <f t="shared" si="4"/>
        <v>1060.8</v>
      </c>
      <c r="AK20" s="1629">
        <f t="shared" si="5"/>
        <v>1326</v>
      </c>
      <c r="AL20" s="1629">
        <f t="shared" si="6"/>
        <v>928.2</v>
      </c>
      <c r="AM20" s="1629">
        <f t="shared" si="7"/>
        <v>1105</v>
      </c>
      <c r="AN20" s="1629">
        <f t="shared" si="8"/>
        <v>1237.5999999999999</v>
      </c>
    </row>
    <row r="21" spans="1:40" ht="24" customHeight="1">
      <c r="A21" s="1647">
        <f t="shared" si="9"/>
        <v>12</v>
      </c>
      <c r="B21" s="1627" t="s">
        <v>691</v>
      </c>
      <c r="C21" s="1640">
        <f t="shared" si="10"/>
        <v>211.26</v>
      </c>
      <c r="D21" s="1627" t="s">
        <v>151</v>
      </c>
      <c r="G21" s="1638" t="s">
        <v>226</v>
      </c>
      <c r="H21" s="1627" t="s">
        <v>237</v>
      </c>
      <c r="I21" s="1627" t="s">
        <v>150</v>
      </c>
      <c r="J21" s="1627" t="s">
        <v>226</v>
      </c>
      <c r="K21" s="1640">
        <v>0</v>
      </c>
      <c r="O21" s="1636" t="s">
        <v>21</v>
      </c>
      <c r="T21" s="1628" t="s">
        <v>442</v>
      </c>
      <c r="U21" s="1627" t="s">
        <v>5512</v>
      </c>
      <c r="V21" s="1627" t="s">
        <v>434</v>
      </c>
      <c r="W21" s="1645" t="s">
        <v>443</v>
      </c>
      <c r="X21" s="1640">
        <f>'[6]lead  charge'!J12</f>
        <v>0</v>
      </c>
      <c r="Y21" s="1640"/>
      <c r="Z21" s="1640">
        <v>16106</v>
      </c>
      <c r="AA21" s="1646">
        <f>'[6]lead  charge'!K11</f>
        <v>0</v>
      </c>
      <c r="AB21" s="1646"/>
      <c r="AC21" s="1628"/>
      <c r="AD21" s="1632">
        <v>0</v>
      </c>
      <c r="AE21" s="1627">
        <f t="shared" si="1"/>
        <v>16106</v>
      </c>
      <c r="AF21" s="1627" t="s">
        <v>5513</v>
      </c>
      <c r="AG21" s="1640">
        <f t="shared" si="2"/>
        <v>1017.8</v>
      </c>
      <c r="AH21" s="1640">
        <v>727</v>
      </c>
      <c r="AI21" s="1640">
        <f t="shared" si="3"/>
        <v>799.7</v>
      </c>
      <c r="AJ21" s="1629">
        <f t="shared" si="4"/>
        <v>872.4</v>
      </c>
      <c r="AK21" s="1629">
        <f t="shared" si="5"/>
        <v>1090.5</v>
      </c>
      <c r="AL21" s="1629">
        <f t="shared" si="6"/>
        <v>763.35</v>
      </c>
      <c r="AM21" s="1629">
        <f t="shared" si="7"/>
        <v>908.75</v>
      </c>
      <c r="AN21" s="1629">
        <f t="shared" si="8"/>
        <v>1017.8</v>
      </c>
    </row>
    <row r="22" spans="1:40" ht="24" customHeight="1">
      <c r="A22" s="1647">
        <f t="shared" si="9"/>
        <v>13</v>
      </c>
      <c r="B22" s="1627" t="s">
        <v>692</v>
      </c>
      <c r="C22" s="1640">
        <f t="shared" si="10"/>
        <v>159.04</v>
      </c>
      <c r="D22" s="1627" t="s">
        <v>151</v>
      </c>
      <c r="K22" s="1636" t="s">
        <v>21</v>
      </c>
      <c r="M22" s="1640">
        <v>1</v>
      </c>
      <c r="N22" s="1627" t="s">
        <v>151</v>
      </c>
      <c r="O22" s="1627" t="s">
        <v>693</v>
      </c>
      <c r="P22" s="1640">
        <f>C79</f>
        <v>2265.5</v>
      </c>
      <c r="Q22" s="1627" t="s">
        <v>151</v>
      </c>
      <c r="R22" s="1640">
        <f>(M22*P22)</f>
        <v>2265.5</v>
      </c>
      <c r="T22" s="1628" t="s">
        <v>445</v>
      </c>
      <c r="U22" s="1627" t="s">
        <v>5514</v>
      </c>
      <c r="V22" s="1627" t="s">
        <v>408</v>
      </c>
      <c r="W22" s="1645" t="s">
        <v>443</v>
      </c>
      <c r="X22" s="1640">
        <f>'[6]lead  charge'!J13</f>
        <v>0</v>
      </c>
      <c r="Y22" s="1640"/>
      <c r="Z22" s="1640">
        <v>1348</v>
      </c>
      <c r="AA22" s="1646"/>
      <c r="AB22" s="1646"/>
      <c r="AC22" s="1628"/>
      <c r="AD22" s="1632">
        <v>0</v>
      </c>
      <c r="AE22" s="1627">
        <f t="shared" si="1"/>
        <v>1348</v>
      </c>
      <c r="AF22" s="1627" t="s">
        <v>446</v>
      </c>
      <c r="AG22" s="1640">
        <f t="shared" si="2"/>
        <v>979.99999999999989</v>
      </c>
      <c r="AH22" s="1640">
        <v>700</v>
      </c>
      <c r="AI22" s="1640">
        <f t="shared" si="3"/>
        <v>770.00000000000011</v>
      </c>
      <c r="AJ22" s="1629">
        <f t="shared" si="4"/>
        <v>840</v>
      </c>
      <c r="AK22" s="1629">
        <f t="shared" si="5"/>
        <v>1050</v>
      </c>
      <c r="AL22" s="1629">
        <f t="shared" si="6"/>
        <v>735</v>
      </c>
      <c r="AM22" s="1629">
        <f t="shared" si="7"/>
        <v>875</v>
      </c>
      <c r="AN22" s="1629">
        <f t="shared" si="8"/>
        <v>979.99999999999989</v>
      </c>
    </row>
    <row r="23" spans="1:40" ht="24" customHeight="1">
      <c r="A23" s="1647">
        <f t="shared" si="9"/>
        <v>14</v>
      </c>
      <c r="B23" s="1627" t="s">
        <v>694</v>
      </c>
      <c r="C23" s="1640">
        <f t="shared" si="10"/>
        <v>313.32</v>
      </c>
      <c r="D23" s="1627" t="s">
        <v>151</v>
      </c>
      <c r="H23" s="1627" t="s">
        <v>255</v>
      </c>
      <c r="K23" s="1639">
        <f>SUM(K18:K21)</f>
        <v>6768.3</v>
      </c>
      <c r="M23" s="1640">
        <v>1</v>
      </c>
      <c r="N23" s="1627" t="s">
        <v>151</v>
      </c>
      <c r="O23" s="1627" t="s">
        <v>695</v>
      </c>
      <c r="P23" s="1640">
        <f>C85</f>
        <v>993</v>
      </c>
      <c r="Q23" s="1627" t="s">
        <v>151</v>
      </c>
      <c r="R23" s="1640">
        <f>(M23*P23)</f>
        <v>993</v>
      </c>
      <c r="T23" s="1628" t="s">
        <v>447</v>
      </c>
      <c r="U23" s="1627" t="s">
        <v>610</v>
      </c>
      <c r="V23" s="1627" t="s">
        <v>408</v>
      </c>
      <c r="W23" s="1645" t="s">
        <v>443</v>
      </c>
      <c r="X23" s="1640">
        <f>'[6]lead  charge'!P11</f>
        <v>0</v>
      </c>
      <c r="Y23" s="1640"/>
      <c r="Z23" s="1640">
        <v>993</v>
      </c>
      <c r="AA23" s="1646">
        <f>'[6]lead  charge'!Q11</f>
        <v>0</v>
      </c>
      <c r="AB23" s="1646"/>
      <c r="AC23" s="1628"/>
      <c r="AD23" s="1632">
        <v>0</v>
      </c>
      <c r="AE23" s="1627">
        <f t="shared" si="1"/>
        <v>993</v>
      </c>
      <c r="AF23" s="1627" t="s">
        <v>448</v>
      </c>
      <c r="AG23" s="1640">
        <f t="shared" si="2"/>
        <v>1020.5999999999999</v>
      </c>
      <c r="AH23" s="1640">
        <v>729</v>
      </c>
      <c r="AI23" s="1640">
        <f t="shared" si="3"/>
        <v>801.90000000000009</v>
      </c>
      <c r="AJ23" s="1629">
        <f t="shared" si="4"/>
        <v>874.8</v>
      </c>
      <c r="AK23" s="1629">
        <f t="shared" si="5"/>
        <v>1093.5</v>
      </c>
      <c r="AL23" s="1629">
        <f t="shared" si="6"/>
        <v>765.45</v>
      </c>
      <c r="AM23" s="1629">
        <f t="shared" si="7"/>
        <v>911.25</v>
      </c>
      <c r="AN23" s="1629">
        <f t="shared" si="8"/>
        <v>1020.5999999999999</v>
      </c>
    </row>
    <row r="24" spans="1:40" ht="24" customHeight="1">
      <c r="A24" s="1647">
        <f t="shared" si="9"/>
        <v>15</v>
      </c>
      <c r="B24" s="1627" t="s">
        <v>696</v>
      </c>
      <c r="C24" s="1640">
        <f t="shared" si="10"/>
        <v>313.32</v>
      </c>
      <c r="D24" s="1627" t="s">
        <v>151</v>
      </c>
      <c r="K24" s="1636" t="s">
        <v>21</v>
      </c>
      <c r="M24" s="1640">
        <v>1.5</v>
      </c>
      <c r="N24" s="1627" t="s">
        <v>151</v>
      </c>
      <c r="O24" s="1627" t="s">
        <v>697</v>
      </c>
      <c r="P24" s="1640">
        <f>C18</f>
        <v>154</v>
      </c>
      <c r="Q24" s="1627" t="s">
        <v>151</v>
      </c>
      <c r="R24" s="1640">
        <f>(M24*P24)</f>
        <v>231</v>
      </c>
      <c r="T24" s="1628" t="s">
        <v>449</v>
      </c>
      <c r="U24" s="1627" t="s">
        <v>611</v>
      </c>
      <c r="V24" s="1627" t="s">
        <v>408</v>
      </c>
      <c r="W24" s="1645" t="s">
        <v>450</v>
      </c>
      <c r="X24" s="1629">
        <f>X25</f>
        <v>0</v>
      </c>
      <c r="Z24" s="1640">
        <v>34300</v>
      </c>
      <c r="AA24" s="1650">
        <f>AA25</f>
        <v>0</v>
      </c>
      <c r="AB24" s="1650"/>
      <c r="AC24" s="1634"/>
      <c r="AD24" s="1632">
        <v>0</v>
      </c>
      <c r="AE24" s="1627">
        <f t="shared" si="1"/>
        <v>34300</v>
      </c>
      <c r="AF24" s="1627" t="s">
        <v>5515</v>
      </c>
      <c r="AG24" s="1640">
        <f t="shared" si="2"/>
        <v>154</v>
      </c>
      <c r="AH24" s="1640">
        <v>110</v>
      </c>
      <c r="AI24" s="1640">
        <f t="shared" si="3"/>
        <v>121.00000000000001</v>
      </c>
      <c r="AJ24" s="1629">
        <f t="shared" si="4"/>
        <v>132</v>
      </c>
      <c r="AK24" s="1629">
        <f t="shared" si="5"/>
        <v>165</v>
      </c>
      <c r="AL24" s="1629">
        <f t="shared" si="6"/>
        <v>115.5</v>
      </c>
      <c r="AM24" s="1629">
        <f t="shared" si="7"/>
        <v>137.5</v>
      </c>
      <c r="AN24" s="1629">
        <f t="shared" si="8"/>
        <v>154</v>
      </c>
    </row>
    <row r="25" spans="1:40" ht="24" customHeight="1">
      <c r="A25" s="1647">
        <f t="shared" si="9"/>
        <v>16</v>
      </c>
      <c r="B25" s="1627" t="s">
        <v>698</v>
      </c>
      <c r="C25" s="1640">
        <f>AG25</f>
        <v>125.16</v>
      </c>
      <c r="D25" s="1627" t="s">
        <v>151</v>
      </c>
      <c r="G25" s="1638" t="s">
        <v>249</v>
      </c>
      <c r="H25" s="1627" t="s">
        <v>257</v>
      </c>
      <c r="M25" s="1640">
        <v>1.5</v>
      </c>
      <c r="N25" s="1627" t="s">
        <v>151</v>
      </c>
      <c r="O25" s="1627" t="s">
        <v>377</v>
      </c>
      <c r="P25" s="1640">
        <f>C27</f>
        <v>45.43</v>
      </c>
      <c r="Q25" s="1627" t="s">
        <v>151</v>
      </c>
      <c r="R25" s="1640">
        <f>(M25*P25)</f>
        <v>68.144999999999996</v>
      </c>
      <c r="T25" s="1628" t="s">
        <v>451</v>
      </c>
      <c r="U25" s="1627" t="s">
        <v>452</v>
      </c>
      <c r="V25" s="1627" t="s">
        <v>408</v>
      </c>
      <c r="W25" s="1645" t="s">
        <v>450</v>
      </c>
      <c r="X25" s="1629">
        <f>'[6]lead  charge'!P12</f>
        <v>0</v>
      </c>
      <c r="Z25" s="1640">
        <v>39400</v>
      </c>
      <c r="AA25" s="1650">
        <f>'[6]lead  charge'!Q12</f>
        <v>0</v>
      </c>
      <c r="AB25" s="1650"/>
      <c r="AC25" s="1634"/>
      <c r="AD25" s="1632">
        <v>0</v>
      </c>
      <c r="AE25" s="1627">
        <f t="shared" si="1"/>
        <v>39400</v>
      </c>
      <c r="AF25" s="1627" t="s">
        <v>5516</v>
      </c>
      <c r="AG25" s="1640">
        <f t="shared" si="2"/>
        <v>125.16</v>
      </c>
      <c r="AH25" s="1640">
        <v>89.4</v>
      </c>
      <c r="AI25" s="1640">
        <f t="shared" si="3"/>
        <v>98.340000000000018</v>
      </c>
      <c r="AJ25" s="1629">
        <f t="shared" si="4"/>
        <v>107.28</v>
      </c>
      <c r="AK25" s="1629">
        <f t="shared" si="5"/>
        <v>134.10000000000002</v>
      </c>
      <c r="AL25" s="1629">
        <f t="shared" si="6"/>
        <v>93.87</v>
      </c>
      <c r="AM25" s="1629">
        <f t="shared" si="7"/>
        <v>111.75</v>
      </c>
      <c r="AN25" s="1629">
        <f t="shared" si="8"/>
        <v>125.16</v>
      </c>
    </row>
    <row r="26" spans="1:40" ht="24" customHeight="1">
      <c r="A26" s="1647">
        <f t="shared" si="9"/>
        <v>17</v>
      </c>
      <c r="B26" s="1627" t="s">
        <v>699</v>
      </c>
      <c r="C26" s="1640">
        <f>AG28</f>
        <v>51.730000000000004</v>
      </c>
      <c r="D26" s="1627" t="s">
        <v>700</v>
      </c>
      <c r="H26" s="1636" t="s">
        <v>21</v>
      </c>
      <c r="N26" s="1627" t="s">
        <v>226</v>
      </c>
      <c r="O26" s="1627" t="s">
        <v>237</v>
      </c>
      <c r="P26" s="1627" t="s">
        <v>150</v>
      </c>
      <c r="Q26" s="1627" t="s">
        <v>226</v>
      </c>
      <c r="R26" s="1640">
        <v>0</v>
      </c>
      <c r="T26" s="1628" t="s">
        <v>453</v>
      </c>
      <c r="U26" s="1627" t="s">
        <v>614</v>
      </c>
      <c r="V26" s="1627" t="s">
        <v>408</v>
      </c>
      <c r="W26" s="1645" t="s">
        <v>450</v>
      </c>
      <c r="X26" s="1629">
        <f>X25</f>
        <v>0</v>
      </c>
      <c r="Z26" s="1640">
        <v>111600</v>
      </c>
      <c r="AA26" s="1650">
        <f>'[6]lead  charge'!Q12</f>
        <v>0</v>
      </c>
      <c r="AB26" s="1650"/>
      <c r="AC26" s="1634"/>
      <c r="AD26" s="1632">
        <v>0</v>
      </c>
      <c r="AE26" s="1627">
        <f t="shared" si="1"/>
        <v>111600</v>
      </c>
      <c r="AF26" s="1627" t="s">
        <v>5106</v>
      </c>
      <c r="AG26" s="1640">
        <f t="shared" si="2"/>
        <v>92.679999999999993</v>
      </c>
      <c r="AH26" s="1640">
        <v>66.2</v>
      </c>
      <c r="AI26" s="1640">
        <f t="shared" si="3"/>
        <v>72.820000000000007</v>
      </c>
      <c r="AJ26" s="1629">
        <f t="shared" si="4"/>
        <v>79.44</v>
      </c>
      <c r="AK26" s="1629">
        <f t="shared" si="5"/>
        <v>99.300000000000011</v>
      </c>
      <c r="AL26" s="1629">
        <f t="shared" si="6"/>
        <v>69.510000000000005</v>
      </c>
      <c r="AM26" s="1629">
        <f t="shared" si="7"/>
        <v>82.75</v>
      </c>
      <c r="AN26" s="1629">
        <f t="shared" si="8"/>
        <v>92.679999999999993</v>
      </c>
    </row>
    <row r="27" spans="1:40" ht="24" customHeight="1">
      <c r="A27" s="1647">
        <f t="shared" si="9"/>
        <v>18</v>
      </c>
      <c r="B27" s="1627" t="s">
        <v>701</v>
      </c>
      <c r="C27" s="1640">
        <f>AG27</f>
        <v>45.43</v>
      </c>
      <c r="D27" s="1627" t="s">
        <v>700</v>
      </c>
      <c r="E27" s="1639">
        <f>(67+89.5+102.7)/3</f>
        <v>86.399999999999991</v>
      </c>
      <c r="F27" s="1640">
        <v>0.48</v>
      </c>
      <c r="G27" s="1638" t="s">
        <v>251</v>
      </c>
      <c r="H27" s="1627" t="s">
        <v>252</v>
      </c>
      <c r="I27" s="1640">
        <f>(C67)</f>
        <v>6040</v>
      </c>
      <c r="J27" s="1627" t="s">
        <v>251</v>
      </c>
      <c r="K27" s="1640">
        <f>(F27*I27)</f>
        <v>2899.2</v>
      </c>
      <c r="R27" s="1636" t="s">
        <v>21</v>
      </c>
      <c r="T27" s="1628" t="s">
        <v>455</v>
      </c>
      <c r="U27" s="1627" t="s">
        <v>615</v>
      </c>
      <c r="V27" s="1627" t="s">
        <v>408</v>
      </c>
      <c r="W27" s="1645" t="s">
        <v>450</v>
      </c>
      <c r="X27" s="1629">
        <f>X26</f>
        <v>0</v>
      </c>
      <c r="Z27" s="1640">
        <v>99400</v>
      </c>
      <c r="AA27" s="1650">
        <f>AA26</f>
        <v>0</v>
      </c>
      <c r="AB27" s="1650"/>
      <c r="AC27" s="1634"/>
      <c r="AD27" s="1632">
        <v>0</v>
      </c>
      <c r="AE27" s="1627">
        <f t="shared" si="1"/>
        <v>99400</v>
      </c>
      <c r="AF27" s="1627" t="s">
        <v>5517</v>
      </c>
      <c r="AG27" s="1640">
        <f t="shared" si="2"/>
        <v>45.43</v>
      </c>
      <c r="AH27" s="1640">
        <v>32.450000000000003</v>
      </c>
      <c r="AI27" s="1640">
        <f t="shared" si="3"/>
        <v>35.695000000000007</v>
      </c>
      <c r="AJ27" s="1629">
        <f t="shared" si="4"/>
        <v>38.940000000000005</v>
      </c>
      <c r="AK27" s="1629">
        <f t="shared" si="5"/>
        <v>48.675000000000004</v>
      </c>
      <c r="AL27" s="1629">
        <f t="shared" si="6"/>
        <v>34.072500000000005</v>
      </c>
      <c r="AM27" s="1629">
        <f t="shared" si="7"/>
        <v>40.5625</v>
      </c>
      <c r="AN27" s="1629">
        <f t="shared" si="8"/>
        <v>45.43</v>
      </c>
    </row>
    <row r="28" spans="1:40" ht="24" customHeight="1">
      <c r="A28" s="1647">
        <f t="shared" si="9"/>
        <v>19</v>
      </c>
      <c r="B28" s="1627" t="s">
        <v>5107</v>
      </c>
      <c r="C28" s="1639">
        <f>E27</f>
        <v>86.399999999999991</v>
      </c>
      <c r="D28" s="1627" t="s">
        <v>226</v>
      </c>
      <c r="E28" s="1629">
        <v>254.4</v>
      </c>
      <c r="F28" s="1640">
        <v>1</v>
      </c>
      <c r="G28" s="1638" t="s">
        <v>151</v>
      </c>
      <c r="H28" s="1627" t="s">
        <v>253</v>
      </c>
      <c r="I28" s="1640">
        <f>(C78)</f>
        <v>2265.5</v>
      </c>
      <c r="J28" s="1627" t="s">
        <v>151</v>
      </c>
      <c r="K28" s="1640">
        <f>(F28*I28)</f>
        <v>2265.5</v>
      </c>
      <c r="O28" s="1627" t="s">
        <v>703</v>
      </c>
      <c r="R28" s="1640">
        <f>SUM(R22:R26)</f>
        <v>3557.645</v>
      </c>
      <c r="T28" s="1628" t="s">
        <v>456</v>
      </c>
      <c r="U28" s="1627" t="s">
        <v>617</v>
      </c>
      <c r="V28" s="1627" t="s">
        <v>408</v>
      </c>
      <c r="W28" s="1645" t="s">
        <v>450</v>
      </c>
      <c r="X28" s="1629">
        <f>X27</f>
        <v>0</v>
      </c>
      <c r="Z28" s="1640">
        <v>95000</v>
      </c>
      <c r="AA28" s="1650">
        <f>AA27</f>
        <v>0</v>
      </c>
      <c r="AB28" s="1650"/>
      <c r="AC28" s="1634"/>
      <c r="AD28" s="1632">
        <v>0</v>
      </c>
      <c r="AE28" s="1627">
        <f t="shared" si="1"/>
        <v>95000</v>
      </c>
      <c r="AF28" s="1627" t="s">
        <v>5108</v>
      </c>
      <c r="AG28" s="1640">
        <f t="shared" si="2"/>
        <v>51.730000000000004</v>
      </c>
      <c r="AH28" s="1640">
        <v>36.950000000000003</v>
      </c>
      <c r="AI28" s="1640">
        <f t="shared" si="3"/>
        <v>40.645000000000003</v>
      </c>
      <c r="AJ28" s="1629">
        <f t="shared" si="4"/>
        <v>44.34</v>
      </c>
      <c r="AK28" s="1629">
        <f t="shared" si="5"/>
        <v>55.425000000000004</v>
      </c>
      <c r="AL28" s="1629">
        <f t="shared" si="6"/>
        <v>38.797500000000007</v>
      </c>
      <c r="AM28" s="1629">
        <f t="shared" si="7"/>
        <v>46.1875</v>
      </c>
      <c r="AN28" s="1629">
        <f t="shared" si="8"/>
        <v>51.730000000000004</v>
      </c>
    </row>
    <row r="29" spans="1:40" ht="24" customHeight="1">
      <c r="A29" s="1647">
        <f t="shared" si="9"/>
        <v>20</v>
      </c>
      <c r="B29" s="1627" t="s">
        <v>704</v>
      </c>
      <c r="C29" s="1640">
        <f>AG23</f>
        <v>1020.5999999999999</v>
      </c>
      <c r="D29" s="1627" t="s">
        <v>4</v>
      </c>
      <c r="E29" s="1629">
        <f>E28/3</f>
        <v>84.8</v>
      </c>
      <c r="F29" s="1640">
        <v>1</v>
      </c>
      <c r="G29" s="1638" t="s">
        <v>151</v>
      </c>
      <c r="H29" s="1627" t="s">
        <v>254</v>
      </c>
      <c r="I29" s="1640">
        <f>(C18)</f>
        <v>154</v>
      </c>
      <c r="J29" s="1627" t="s">
        <v>151</v>
      </c>
      <c r="K29" s="1640">
        <f>(F29*I29)</f>
        <v>154</v>
      </c>
      <c r="R29" s="1636" t="s">
        <v>21</v>
      </c>
      <c r="T29" s="1628" t="s">
        <v>457</v>
      </c>
      <c r="U29" s="1627" t="s">
        <v>5518</v>
      </c>
      <c r="V29" s="1627" t="s">
        <v>434</v>
      </c>
      <c r="W29" s="1645" t="str">
        <f>W18</f>
        <v>Thadagam</v>
      </c>
      <c r="X29" s="1640">
        <f>X18</f>
        <v>35</v>
      </c>
      <c r="Y29" s="1640">
        <f>Y18</f>
        <v>51</v>
      </c>
      <c r="Z29" s="1640">
        <v>4299</v>
      </c>
      <c r="AA29" s="1646">
        <f>'[6]lead  charge'!H10</f>
        <v>285.8</v>
      </c>
      <c r="AB29" s="1646">
        <f>AB18</f>
        <v>628.72</v>
      </c>
      <c r="AC29" s="1634"/>
      <c r="AD29" s="1632">
        <v>0</v>
      </c>
      <c r="AE29" s="1627">
        <f t="shared" si="1"/>
        <v>5213.5200000000004</v>
      </c>
      <c r="AF29" s="1627" t="s">
        <v>5109</v>
      </c>
      <c r="AG29" s="1640">
        <f t="shared" si="2"/>
        <v>148.75</v>
      </c>
      <c r="AH29" s="1640">
        <v>106.25</v>
      </c>
      <c r="AI29" s="1640">
        <f t="shared" si="3"/>
        <v>116.87500000000001</v>
      </c>
      <c r="AJ29" s="1629">
        <f t="shared" si="4"/>
        <v>127.5</v>
      </c>
      <c r="AK29" s="1629">
        <f t="shared" si="5"/>
        <v>159.375</v>
      </c>
      <c r="AL29" s="1629">
        <f t="shared" si="6"/>
        <v>111.5625</v>
      </c>
      <c r="AM29" s="1629">
        <f t="shared" si="7"/>
        <v>132.8125</v>
      </c>
      <c r="AN29" s="1629">
        <f t="shared" si="8"/>
        <v>148.75</v>
      </c>
    </row>
    <row r="30" spans="1:40" ht="24" customHeight="1">
      <c r="A30" s="1647">
        <f t="shared" si="9"/>
        <v>21</v>
      </c>
      <c r="B30" s="1627" t="s">
        <v>705</v>
      </c>
      <c r="C30" s="1640">
        <f>AG33</f>
        <v>18172</v>
      </c>
      <c r="D30" s="1651">
        <f>AG31</f>
        <v>1701</v>
      </c>
      <c r="G30" s="1638" t="s">
        <v>226</v>
      </c>
      <c r="H30" s="1627" t="s">
        <v>237</v>
      </c>
      <c r="I30" s="1627" t="s">
        <v>150</v>
      </c>
      <c r="J30" s="1627" t="s">
        <v>226</v>
      </c>
      <c r="K30" s="1640">
        <v>0</v>
      </c>
      <c r="O30" s="1627" t="s">
        <v>270</v>
      </c>
      <c r="R30" s="1640">
        <f>(R28/1.5)</f>
        <v>2371.7633333333333</v>
      </c>
      <c r="T30" s="1628" t="s">
        <v>458</v>
      </c>
      <c r="U30" s="1627" t="s">
        <v>621</v>
      </c>
      <c r="V30" s="1627" t="s">
        <v>434</v>
      </c>
      <c r="W30" s="1645" t="s">
        <v>450</v>
      </c>
      <c r="X30" s="1640"/>
      <c r="Y30" s="1640"/>
      <c r="Z30" s="1640">
        <v>11907</v>
      </c>
      <c r="AA30" s="1646"/>
      <c r="AB30" s="1646"/>
      <c r="AC30" s="1628"/>
      <c r="AD30" s="1632">
        <v>0</v>
      </c>
      <c r="AE30" s="1627">
        <f t="shared" si="1"/>
        <v>11907</v>
      </c>
      <c r="AF30" s="1627" t="s">
        <v>5519</v>
      </c>
      <c r="AG30" s="1640">
        <f t="shared" si="2"/>
        <v>2039.8</v>
      </c>
      <c r="AH30" s="1640">
        <v>1457</v>
      </c>
      <c r="AI30" s="1640">
        <f t="shared" si="3"/>
        <v>1602.7</v>
      </c>
      <c r="AJ30" s="1629">
        <f t="shared" si="4"/>
        <v>1748.3999999999999</v>
      </c>
      <c r="AK30" s="1629">
        <f t="shared" si="5"/>
        <v>2185.5</v>
      </c>
      <c r="AL30" s="1629">
        <f t="shared" si="6"/>
        <v>1529.8500000000001</v>
      </c>
      <c r="AM30" s="1629">
        <f t="shared" si="7"/>
        <v>1821.25</v>
      </c>
      <c r="AN30" s="1629">
        <f t="shared" si="8"/>
        <v>2039.8</v>
      </c>
    </row>
    <row r="31" spans="1:40" ht="24" customHeight="1">
      <c r="A31" s="1647">
        <f t="shared" si="9"/>
        <v>22</v>
      </c>
      <c r="B31" s="1627" t="s">
        <v>706</v>
      </c>
      <c r="C31" s="1640">
        <f>AG30</f>
        <v>2039.8</v>
      </c>
      <c r="D31" s="1651">
        <f>AG32</f>
        <v>1906.8</v>
      </c>
      <c r="K31" s="1636" t="s">
        <v>21</v>
      </c>
      <c r="O31" s="1627" t="s">
        <v>646</v>
      </c>
      <c r="R31" s="1636" t="s">
        <v>156</v>
      </c>
      <c r="T31" s="1628" t="s">
        <v>459</v>
      </c>
      <c r="U31" s="1627" t="s">
        <v>460</v>
      </c>
      <c r="V31" s="1627" t="s">
        <v>251</v>
      </c>
      <c r="W31" s="1645" t="s">
        <v>450</v>
      </c>
      <c r="X31" s="1640">
        <f>'[6]lead  charge'!D14</f>
        <v>0</v>
      </c>
      <c r="Y31" s="1640"/>
      <c r="Z31" s="1640">
        <v>6040</v>
      </c>
      <c r="AA31" s="1646">
        <f>'[6]lead  charge'!E14</f>
        <v>0</v>
      </c>
      <c r="AB31" s="1646"/>
      <c r="AC31" s="1628"/>
      <c r="AD31" s="1632"/>
      <c r="AE31" s="1627">
        <f t="shared" si="1"/>
        <v>6040</v>
      </c>
      <c r="AF31" s="1627" t="s">
        <v>5520</v>
      </c>
      <c r="AG31" s="1640">
        <f t="shared" si="2"/>
        <v>1701</v>
      </c>
      <c r="AH31" s="1640">
        <v>1215</v>
      </c>
      <c r="AI31" s="1640">
        <f t="shared" si="3"/>
        <v>1336.5</v>
      </c>
      <c r="AJ31" s="1629">
        <f t="shared" si="4"/>
        <v>1458</v>
      </c>
      <c r="AK31" s="1629">
        <f t="shared" si="5"/>
        <v>1822.5</v>
      </c>
      <c r="AL31" s="1629">
        <f t="shared" si="6"/>
        <v>1275.75</v>
      </c>
      <c r="AM31" s="1629">
        <f t="shared" si="7"/>
        <v>1518.75</v>
      </c>
      <c r="AN31" s="1629">
        <f t="shared" si="8"/>
        <v>1701</v>
      </c>
    </row>
    <row r="32" spans="1:40" ht="24" customHeight="1">
      <c r="A32" s="1647">
        <f t="shared" si="9"/>
        <v>23</v>
      </c>
      <c r="B32" s="1627" t="s">
        <v>707</v>
      </c>
      <c r="C32" s="1651">
        <v>2.5</v>
      </c>
      <c r="D32" s="1640">
        <f>AG34</f>
        <v>1589</v>
      </c>
      <c r="H32" s="1627" t="s">
        <v>255</v>
      </c>
      <c r="K32" s="1639">
        <f>SUM(K27:K30)</f>
        <v>5318.7</v>
      </c>
      <c r="T32" s="1628" t="s">
        <v>461</v>
      </c>
      <c r="U32" s="1627" t="s">
        <v>462</v>
      </c>
      <c r="V32" s="1627" t="s">
        <v>251</v>
      </c>
      <c r="W32" s="1645" t="s">
        <v>443</v>
      </c>
      <c r="X32" s="1640">
        <f>'[6]lead  charge'!D15</f>
        <v>0</v>
      </c>
      <c r="Y32" s="1640"/>
      <c r="Z32" s="1640">
        <v>58000</v>
      </c>
      <c r="AA32" s="1646">
        <f>AA31</f>
        <v>0</v>
      </c>
      <c r="AB32" s="1646"/>
      <c r="AC32" s="1628"/>
      <c r="AD32" s="1632">
        <v>0</v>
      </c>
      <c r="AE32" s="1627">
        <f t="shared" si="1"/>
        <v>58000</v>
      </c>
      <c r="AF32" s="1627" t="s">
        <v>5521</v>
      </c>
      <c r="AG32" s="1640">
        <f t="shared" si="2"/>
        <v>1906.8</v>
      </c>
      <c r="AH32" s="1640">
        <v>1362</v>
      </c>
      <c r="AI32" s="1640">
        <f t="shared" si="3"/>
        <v>1498.2</v>
      </c>
      <c r="AJ32" s="1629">
        <f t="shared" si="4"/>
        <v>1634.3999999999999</v>
      </c>
      <c r="AK32" s="1629">
        <f t="shared" si="5"/>
        <v>2043</v>
      </c>
      <c r="AL32" s="1629">
        <f t="shared" si="6"/>
        <v>1430.1000000000001</v>
      </c>
      <c r="AM32" s="1629">
        <f t="shared" si="7"/>
        <v>1702.5</v>
      </c>
      <c r="AN32" s="1629">
        <f t="shared" si="8"/>
        <v>1906.8</v>
      </c>
    </row>
    <row r="33" spans="1:40" ht="24" customHeight="1">
      <c r="A33" s="1647">
        <f t="shared" si="9"/>
        <v>24</v>
      </c>
      <c r="B33" s="1627" t="s">
        <v>708</v>
      </c>
      <c r="C33" s="1651">
        <v>3.64</v>
      </c>
      <c r="D33" s="1640">
        <f>AG35</f>
        <v>1423.8</v>
      </c>
      <c r="K33" s="1636" t="s">
        <v>21</v>
      </c>
      <c r="T33" s="1652" t="s">
        <v>463</v>
      </c>
      <c r="U33" s="1627" t="s">
        <v>464</v>
      </c>
      <c r="V33" s="1627" t="s">
        <v>251</v>
      </c>
      <c r="W33" s="1645" t="s">
        <v>443</v>
      </c>
      <c r="X33" s="1640">
        <f>X32</f>
        <v>0</v>
      </c>
      <c r="Y33" s="1640"/>
      <c r="Z33" s="1640">
        <v>58000</v>
      </c>
      <c r="AA33" s="1646">
        <f>AA32</f>
        <v>0</v>
      </c>
      <c r="AB33" s="1646"/>
      <c r="AC33" s="1628"/>
      <c r="AD33" s="1632">
        <v>0</v>
      </c>
      <c r="AE33" s="1627">
        <f t="shared" si="1"/>
        <v>58000</v>
      </c>
      <c r="AF33" s="1627" t="s">
        <v>5522</v>
      </c>
      <c r="AG33" s="1640">
        <f t="shared" si="2"/>
        <v>18172</v>
      </c>
      <c r="AH33" s="1640">
        <v>12980</v>
      </c>
      <c r="AI33" s="1640">
        <f t="shared" si="3"/>
        <v>14278.000000000002</v>
      </c>
      <c r="AJ33" s="1629">
        <f t="shared" si="4"/>
        <v>15576</v>
      </c>
      <c r="AK33" s="1629">
        <f t="shared" si="5"/>
        <v>19470</v>
      </c>
      <c r="AL33" s="1629">
        <f t="shared" si="6"/>
        <v>13629</v>
      </c>
      <c r="AM33" s="1629">
        <f t="shared" si="7"/>
        <v>16225</v>
      </c>
      <c r="AN33" s="1629">
        <f t="shared" si="8"/>
        <v>18172</v>
      </c>
    </row>
    <row r="34" spans="1:40" ht="24" customHeight="1">
      <c r="A34" s="1647">
        <f t="shared" si="9"/>
        <v>25</v>
      </c>
      <c r="B34" s="1627" t="s">
        <v>5523</v>
      </c>
      <c r="C34" s="1640">
        <f>53*1000</f>
        <v>53000</v>
      </c>
      <c r="D34" s="1640">
        <f>C34</f>
        <v>53000</v>
      </c>
      <c r="G34" s="1638" t="s">
        <v>249</v>
      </c>
      <c r="H34" s="1627" t="s">
        <v>258</v>
      </c>
      <c r="T34" s="1652" t="s">
        <v>465</v>
      </c>
      <c r="U34" s="1627" t="s">
        <v>466</v>
      </c>
      <c r="V34" s="1627" t="s">
        <v>434</v>
      </c>
      <c r="W34" s="1645" t="str">
        <f>W18</f>
        <v>Thadagam</v>
      </c>
      <c r="X34" s="1640">
        <f>X29</f>
        <v>35</v>
      </c>
      <c r="Y34" s="1640">
        <f>Y29</f>
        <v>51</v>
      </c>
      <c r="Z34" s="1640">
        <f>Z29</f>
        <v>4299</v>
      </c>
      <c r="AA34" s="1646">
        <f>AA29</f>
        <v>285.8</v>
      </c>
      <c r="AB34" s="1646">
        <f>AB29</f>
        <v>628.72</v>
      </c>
      <c r="AC34" s="1628"/>
      <c r="AD34" s="1632">
        <v>0</v>
      </c>
      <c r="AE34" s="1627">
        <f t="shared" si="1"/>
        <v>5213.5200000000004</v>
      </c>
      <c r="AF34" s="1627" t="s">
        <v>5524</v>
      </c>
      <c r="AG34" s="1640">
        <f t="shared" si="2"/>
        <v>1589</v>
      </c>
      <c r="AH34" s="1640">
        <v>1135</v>
      </c>
      <c r="AI34" s="1640">
        <f t="shared" si="3"/>
        <v>1248.5</v>
      </c>
      <c r="AJ34" s="1629">
        <f t="shared" si="4"/>
        <v>1362</v>
      </c>
      <c r="AK34" s="1629">
        <f t="shared" si="5"/>
        <v>1702.5</v>
      </c>
      <c r="AL34" s="1629">
        <f t="shared" si="6"/>
        <v>1191.75</v>
      </c>
      <c r="AM34" s="1629">
        <f t="shared" si="7"/>
        <v>1418.75</v>
      </c>
      <c r="AN34" s="1629">
        <f t="shared" si="8"/>
        <v>1589</v>
      </c>
    </row>
    <row r="35" spans="1:40" ht="24" customHeight="1">
      <c r="A35" s="1647">
        <f t="shared" si="9"/>
        <v>26</v>
      </c>
      <c r="B35" s="1627" t="s">
        <v>710</v>
      </c>
      <c r="C35" s="1640">
        <f>AE38</f>
        <v>222.7</v>
      </c>
      <c r="F35" s="1640">
        <v>0.36</v>
      </c>
      <c r="G35" s="1638" t="s">
        <v>251</v>
      </c>
      <c r="H35" s="1627" t="s">
        <v>252</v>
      </c>
      <c r="I35" s="1640">
        <f>C67</f>
        <v>6040</v>
      </c>
      <c r="J35" s="1627" t="s">
        <v>251</v>
      </c>
      <c r="K35" s="1640">
        <f>(F35*I35)</f>
        <v>2174.4</v>
      </c>
      <c r="T35" s="1628" t="s">
        <v>467</v>
      </c>
      <c r="U35" s="1653" t="s">
        <v>5525</v>
      </c>
      <c r="V35" s="1653" t="s">
        <v>408</v>
      </c>
      <c r="W35" s="1645" t="str">
        <f>W11</f>
        <v>Kurunthamalai</v>
      </c>
      <c r="X35" s="1654">
        <f>X11</f>
        <v>10</v>
      </c>
      <c r="Y35" s="1654">
        <f>Y9</f>
        <v>51</v>
      </c>
      <c r="Z35" s="1655">
        <v>947</v>
      </c>
      <c r="AA35" s="1646">
        <f>AA11</f>
        <v>114.5</v>
      </c>
      <c r="AB35" s="1646">
        <f>AB9</f>
        <v>865.22</v>
      </c>
      <c r="AC35" s="1628"/>
      <c r="AD35" s="1632"/>
      <c r="AE35" s="1627">
        <f t="shared" si="1"/>
        <v>1926.72</v>
      </c>
      <c r="AF35" s="1627" t="s">
        <v>5526</v>
      </c>
      <c r="AG35" s="1640">
        <f t="shared" si="2"/>
        <v>1423.8</v>
      </c>
      <c r="AH35" s="1640">
        <v>1017</v>
      </c>
      <c r="AI35" s="1640">
        <f t="shared" si="3"/>
        <v>1118.7</v>
      </c>
      <c r="AJ35" s="1629">
        <f t="shared" si="4"/>
        <v>1220.3999999999999</v>
      </c>
      <c r="AK35" s="1629">
        <f t="shared" si="5"/>
        <v>1525.5</v>
      </c>
      <c r="AL35" s="1629">
        <f t="shared" si="6"/>
        <v>1067.8500000000001</v>
      </c>
      <c r="AM35" s="1629">
        <f t="shared" si="7"/>
        <v>1271.25</v>
      </c>
      <c r="AN35" s="1629">
        <f t="shared" si="8"/>
        <v>1423.8</v>
      </c>
    </row>
    <row r="36" spans="1:40" ht="24" customHeight="1">
      <c r="A36" s="1629" t="s">
        <v>150</v>
      </c>
      <c r="B36" s="1627" t="s">
        <v>5110</v>
      </c>
      <c r="C36" s="1640">
        <f>AG59</f>
        <v>14.279999999999998</v>
      </c>
      <c r="F36" s="1640">
        <v>1</v>
      </c>
      <c r="G36" s="1638" t="s">
        <v>151</v>
      </c>
      <c r="H36" s="1627" t="s">
        <v>253</v>
      </c>
      <c r="I36" s="1640">
        <f>AE16</f>
        <v>2265.5</v>
      </c>
      <c r="J36" s="1627" t="s">
        <v>151</v>
      </c>
      <c r="K36" s="1640">
        <f>(F36*I36)</f>
        <v>2265.5</v>
      </c>
      <c r="T36" s="1628" t="s">
        <v>469</v>
      </c>
      <c r="U36" s="1653" t="s">
        <v>470</v>
      </c>
      <c r="V36" s="1653" t="s">
        <v>408</v>
      </c>
      <c r="W36" s="1645" t="str">
        <f>W12</f>
        <v>Kurunthamalai</v>
      </c>
      <c r="X36" s="1654">
        <f>X11</f>
        <v>10</v>
      </c>
      <c r="Y36" s="1654">
        <f>Y35</f>
        <v>51</v>
      </c>
      <c r="Z36" s="1655">
        <f>ROUND((1098+1036)/2,2)</f>
        <v>1067</v>
      </c>
      <c r="AA36" s="1646">
        <f>AA11</f>
        <v>114.5</v>
      </c>
      <c r="AB36" s="1646">
        <f>AB35</f>
        <v>865.22</v>
      </c>
      <c r="AC36" s="1628"/>
      <c r="AD36" s="1632">
        <v>0</v>
      </c>
      <c r="AE36" s="1627">
        <f t="shared" si="1"/>
        <v>2046.72</v>
      </c>
      <c r="AF36" s="1627" t="s">
        <v>5111</v>
      </c>
      <c r="AG36" s="1640">
        <f t="shared" si="2"/>
        <v>221.47999999999996</v>
      </c>
      <c r="AH36" s="1640">
        <v>158.19999999999999</v>
      </c>
      <c r="AI36" s="1640">
        <f t="shared" si="3"/>
        <v>174.02</v>
      </c>
      <c r="AJ36" s="1629">
        <f t="shared" si="4"/>
        <v>189.83999999999997</v>
      </c>
      <c r="AK36" s="1629">
        <f t="shared" si="5"/>
        <v>237.29999999999998</v>
      </c>
      <c r="AL36" s="1629">
        <f t="shared" si="6"/>
        <v>166.10999999999999</v>
      </c>
      <c r="AM36" s="1629">
        <f t="shared" si="7"/>
        <v>197.75</v>
      </c>
      <c r="AN36" s="1629">
        <f t="shared" si="8"/>
        <v>221.47999999999996</v>
      </c>
    </row>
    <row r="37" spans="1:40" ht="24" customHeight="1">
      <c r="B37" s="1627" t="s">
        <v>5112</v>
      </c>
      <c r="C37" s="1640">
        <f>AG60</f>
        <v>73.5</v>
      </c>
      <c r="F37" s="1640">
        <v>1</v>
      </c>
      <c r="G37" s="1638" t="s">
        <v>151</v>
      </c>
      <c r="H37" s="1627" t="s">
        <v>254</v>
      </c>
      <c r="I37" s="1640">
        <f>C18</f>
        <v>154</v>
      </c>
      <c r="J37" s="1627" t="s">
        <v>151</v>
      </c>
      <c r="K37" s="1640">
        <f>(F37*I37)</f>
        <v>154</v>
      </c>
      <c r="T37" s="1628" t="s">
        <v>471</v>
      </c>
      <c r="U37" s="1653" t="s">
        <v>472</v>
      </c>
      <c r="V37" s="1653" t="s">
        <v>408</v>
      </c>
      <c r="W37" s="1645" t="str">
        <f>W13</f>
        <v>Kurunthamalai</v>
      </c>
      <c r="X37" s="1654">
        <f>X36</f>
        <v>10</v>
      </c>
      <c r="Y37" s="1654">
        <f>Y35</f>
        <v>51</v>
      </c>
      <c r="Z37" s="1655">
        <f>ROUND((656+800+1076+1076)/4,2)</f>
        <v>902</v>
      </c>
      <c r="AA37" s="1646">
        <f>AA11</f>
        <v>114.5</v>
      </c>
      <c r="AB37" s="1646">
        <f>AB35</f>
        <v>865.22</v>
      </c>
      <c r="AC37" s="1628"/>
      <c r="AD37" s="1632">
        <v>0</v>
      </c>
      <c r="AE37" s="1627">
        <f t="shared" si="1"/>
        <v>1881.72</v>
      </c>
      <c r="AF37" s="1627" t="s">
        <v>5527</v>
      </c>
      <c r="AG37" s="1640">
        <f t="shared" si="2"/>
        <v>1114.3999999999999</v>
      </c>
      <c r="AH37" s="1640">
        <v>796</v>
      </c>
      <c r="AI37" s="1640">
        <f t="shared" si="3"/>
        <v>875.6</v>
      </c>
      <c r="AJ37" s="1629">
        <f t="shared" si="4"/>
        <v>955.19999999999993</v>
      </c>
      <c r="AK37" s="1629">
        <f t="shared" si="5"/>
        <v>1194</v>
      </c>
      <c r="AL37" s="1629">
        <f t="shared" si="6"/>
        <v>835.80000000000007</v>
      </c>
      <c r="AM37" s="1629">
        <f t="shared" si="7"/>
        <v>995</v>
      </c>
      <c r="AN37" s="1629">
        <f t="shared" si="8"/>
        <v>1114.3999999999999</v>
      </c>
    </row>
    <row r="38" spans="1:40" ht="24" customHeight="1">
      <c r="A38" s="1647">
        <f>(A35+1)</f>
        <v>27</v>
      </c>
      <c r="B38" s="1627" t="s">
        <v>713</v>
      </c>
      <c r="C38" s="1640">
        <v>40</v>
      </c>
      <c r="D38" s="1627" t="s">
        <v>153</v>
      </c>
      <c r="G38" s="1638" t="s">
        <v>226</v>
      </c>
      <c r="H38" s="1627" t="s">
        <v>237</v>
      </c>
      <c r="I38" s="1627" t="s">
        <v>150</v>
      </c>
      <c r="J38" s="1627" t="s">
        <v>226</v>
      </c>
      <c r="K38" s="1640">
        <v>0</v>
      </c>
      <c r="T38" s="1628" t="s">
        <v>473</v>
      </c>
      <c r="U38" s="1627" t="s">
        <v>5528</v>
      </c>
      <c r="V38" s="1627" t="s">
        <v>408</v>
      </c>
      <c r="W38" s="1645"/>
      <c r="X38" s="1640">
        <f>'[6]lead  charge'!D13</f>
        <v>0</v>
      </c>
      <c r="Y38" s="1640"/>
      <c r="Z38" s="1656">
        <v>222.7</v>
      </c>
      <c r="AA38" s="1646">
        <f>'[6]lead  charge'!E13</f>
        <v>0</v>
      </c>
      <c r="AB38" s="1646"/>
      <c r="AC38" s="1628"/>
      <c r="AD38" s="1632">
        <v>0</v>
      </c>
      <c r="AE38" s="1627">
        <f t="shared" si="1"/>
        <v>222.7</v>
      </c>
      <c r="AF38" s="1627" t="s">
        <v>5529</v>
      </c>
      <c r="AG38" s="1640">
        <f t="shared" si="2"/>
        <v>1149.3999999999999</v>
      </c>
      <c r="AH38" s="1640">
        <v>821</v>
      </c>
      <c r="AI38" s="1640">
        <f t="shared" si="3"/>
        <v>903.1</v>
      </c>
      <c r="AJ38" s="1629">
        <f t="shared" si="4"/>
        <v>985.19999999999993</v>
      </c>
      <c r="AK38" s="1629">
        <f t="shared" si="5"/>
        <v>1231.5</v>
      </c>
      <c r="AL38" s="1629">
        <f t="shared" si="6"/>
        <v>862.05000000000007</v>
      </c>
      <c r="AM38" s="1629">
        <f t="shared" si="7"/>
        <v>1026.25</v>
      </c>
      <c r="AN38" s="1629">
        <f t="shared" si="8"/>
        <v>1149.3999999999999</v>
      </c>
    </row>
    <row r="39" spans="1:40" ht="24" customHeight="1">
      <c r="A39" s="1647">
        <f t="shared" ref="A39:A58" si="11">(A38+1)</f>
        <v>28</v>
      </c>
      <c r="B39" s="1627" t="s">
        <v>714</v>
      </c>
      <c r="C39" s="1640">
        <v>41</v>
      </c>
      <c r="D39" s="1640">
        <v>500</v>
      </c>
      <c r="K39" s="1636" t="s">
        <v>21</v>
      </c>
      <c r="T39" s="1628">
        <v>31</v>
      </c>
      <c r="U39" s="1627" t="s">
        <v>5530</v>
      </c>
      <c r="V39" s="1627" t="s">
        <v>408</v>
      </c>
      <c r="W39" s="1645"/>
      <c r="X39" s="1640">
        <f>'[6]lead  charge'!D16</f>
        <v>0</v>
      </c>
      <c r="Y39" s="1640"/>
      <c r="Z39" s="1656">
        <v>166.5</v>
      </c>
      <c r="AA39" s="1646">
        <f>'[6]lead  charge'!E16</f>
        <v>0</v>
      </c>
      <c r="AB39" s="1646"/>
      <c r="AC39" s="1628"/>
      <c r="AD39" s="1632">
        <v>0</v>
      </c>
      <c r="AE39" s="1627">
        <f t="shared" si="1"/>
        <v>166.5</v>
      </c>
      <c r="AF39" s="1627" t="s">
        <v>5531</v>
      </c>
      <c r="AG39" s="1640">
        <f t="shared" si="2"/>
        <v>99.33</v>
      </c>
      <c r="AH39" s="1640">
        <v>70.95</v>
      </c>
      <c r="AI39" s="1640">
        <f t="shared" si="3"/>
        <v>78.045000000000016</v>
      </c>
      <c r="AJ39" s="1629">
        <f t="shared" si="4"/>
        <v>85.14</v>
      </c>
      <c r="AK39" s="1629">
        <f t="shared" si="5"/>
        <v>106.42500000000001</v>
      </c>
      <c r="AL39" s="1629">
        <f t="shared" si="6"/>
        <v>74.497500000000002</v>
      </c>
      <c r="AM39" s="1629">
        <f t="shared" si="7"/>
        <v>88.6875</v>
      </c>
      <c r="AN39" s="1629">
        <f t="shared" si="8"/>
        <v>99.33</v>
      </c>
    </row>
    <row r="40" spans="1:40" ht="24" customHeight="1">
      <c r="A40" s="1647">
        <f t="shared" si="11"/>
        <v>29</v>
      </c>
      <c r="B40" s="1627" t="s">
        <v>715</v>
      </c>
      <c r="C40" s="1640">
        <v>28</v>
      </c>
      <c r="D40" s="1640">
        <v>116.2</v>
      </c>
      <c r="H40" s="1627" t="s">
        <v>255</v>
      </c>
      <c r="K40" s="1639">
        <f>SUM(K35:K38)</f>
        <v>4593.8999999999996</v>
      </c>
      <c r="T40" s="1636"/>
      <c r="W40" s="1645" t="s">
        <v>21</v>
      </c>
      <c r="AA40" s="1650"/>
      <c r="AB40" s="1650"/>
      <c r="AE40" s="1627"/>
      <c r="AG40" s="1640"/>
      <c r="AI40" s="1640">
        <f t="shared" si="3"/>
        <v>0</v>
      </c>
      <c r="AJ40" s="1629">
        <f t="shared" si="4"/>
        <v>0</v>
      </c>
      <c r="AK40" s="1629">
        <f t="shared" si="5"/>
        <v>0</v>
      </c>
      <c r="AL40" s="1629">
        <f t="shared" si="6"/>
        <v>0</v>
      </c>
      <c r="AM40" s="1629">
        <f t="shared" si="7"/>
        <v>0</v>
      </c>
      <c r="AN40" s="1629">
        <f t="shared" si="8"/>
        <v>0</v>
      </c>
    </row>
    <row r="41" spans="1:40" ht="24" customHeight="1">
      <c r="A41" s="1647">
        <f t="shared" si="11"/>
        <v>30</v>
      </c>
      <c r="B41" s="1627" t="s">
        <v>716</v>
      </c>
      <c r="C41" s="1640">
        <f>AG22</f>
        <v>979.99999999999989</v>
      </c>
      <c r="D41" s="1627" t="s">
        <v>4</v>
      </c>
      <c r="K41" s="1636" t="s">
        <v>21</v>
      </c>
      <c r="U41" s="1627" t="s">
        <v>5532</v>
      </c>
      <c r="V41" s="1627" t="s">
        <v>434</v>
      </c>
      <c r="W41" s="1645" t="str">
        <f>+W18</f>
        <v>Thadagam</v>
      </c>
      <c r="X41" s="1640">
        <f>'[6]lead  charge'!M10</f>
        <v>35</v>
      </c>
      <c r="Y41" s="1640">
        <f>'[6]lead  charge'!L36</f>
        <v>51</v>
      </c>
      <c r="Z41" s="1640">
        <v>6595</v>
      </c>
      <c r="AA41" s="1646">
        <f>'[6]lead  charge'!N10</f>
        <v>476.45</v>
      </c>
      <c r="AB41" s="1646">
        <f>'[6]lead  charge'!M36</f>
        <v>1048.8599999999999</v>
      </c>
      <c r="AC41" s="1628">
        <v>0</v>
      </c>
      <c r="AD41" s="1632">
        <v>0</v>
      </c>
      <c r="AE41" s="1627">
        <f t="shared" si="1"/>
        <v>8120.3099999999995</v>
      </c>
      <c r="AF41" s="1657" t="s">
        <v>5113</v>
      </c>
      <c r="AG41" s="1640">
        <f t="shared" si="2"/>
        <v>104.71999999999998</v>
      </c>
      <c r="AH41" s="1640">
        <v>74.8</v>
      </c>
      <c r="AI41" s="1640">
        <f t="shared" si="3"/>
        <v>82.28</v>
      </c>
      <c r="AJ41" s="1629">
        <f t="shared" si="4"/>
        <v>89.759999999999991</v>
      </c>
      <c r="AK41" s="1629">
        <f t="shared" si="5"/>
        <v>112.19999999999999</v>
      </c>
      <c r="AL41" s="1629">
        <f t="shared" si="6"/>
        <v>78.540000000000006</v>
      </c>
      <c r="AM41" s="1629">
        <f t="shared" si="7"/>
        <v>93.5</v>
      </c>
      <c r="AN41" s="1629">
        <f t="shared" si="8"/>
        <v>104.71999999999998</v>
      </c>
    </row>
    <row r="42" spans="1:40" ht="24" customHeight="1">
      <c r="A42" s="1647">
        <f t="shared" si="11"/>
        <v>31</v>
      </c>
      <c r="B42" s="1627" t="s">
        <v>717</v>
      </c>
      <c r="C42" s="1640">
        <v>5</v>
      </c>
      <c r="D42" s="1627" t="s">
        <v>552</v>
      </c>
      <c r="G42" s="1638" t="s">
        <v>249</v>
      </c>
      <c r="H42" s="1627" t="s">
        <v>259</v>
      </c>
      <c r="U42" s="1627" t="s">
        <v>5533</v>
      </c>
      <c r="V42" s="1627" t="s">
        <v>434</v>
      </c>
      <c r="W42" s="1645" t="str">
        <f>+W41</f>
        <v>Thadagam</v>
      </c>
      <c r="X42" s="1640">
        <f>X41</f>
        <v>35</v>
      </c>
      <c r="Y42" s="1640">
        <f>Y41</f>
        <v>51</v>
      </c>
      <c r="Z42" s="1640">
        <v>6795</v>
      </c>
      <c r="AA42" s="1646">
        <f>AA41</f>
        <v>476.45</v>
      </c>
      <c r="AB42" s="1646">
        <f>AB41</f>
        <v>1048.8599999999999</v>
      </c>
      <c r="AC42" s="1628">
        <v>0</v>
      </c>
      <c r="AD42" s="1632">
        <v>0</v>
      </c>
      <c r="AE42" s="1627">
        <f t="shared" si="1"/>
        <v>8320.31</v>
      </c>
      <c r="AF42" s="1657" t="s">
        <v>689</v>
      </c>
      <c r="AG42" s="1640">
        <f t="shared" si="2"/>
        <v>211.26</v>
      </c>
      <c r="AH42" s="1640">
        <v>150.9</v>
      </c>
      <c r="AI42" s="1640">
        <f t="shared" si="3"/>
        <v>165.99</v>
      </c>
      <c r="AJ42" s="1629">
        <f t="shared" si="4"/>
        <v>181.08</v>
      </c>
      <c r="AK42" s="1629">
        <f t="shared" si="5"/>
        <v>226.35000000000002</v>
      </c>
      <c r="AL42" s="1629">
        <f t="shared" si="6"/>
        <v>158.44500000000002</v>
      </c>
      <c r="AM42" s="1629">
        <f t="shared" si="7"/>
        <v>188.625</v>
      </c>
      <c r="AN42" s="1629">
        <f t="shared" si="8"/>
        <v>211.26</v>
      </c>
    </row>
    <row r="43" spans="1:40" ht="24" customHeight="1">
      <c r="A43" s="1647">
        <f t="shared" si="11"/>
        <v>32</v>
      </c>
      <c r="B43" s="1627" t="s">
        <v>5114</v>
      </c>
      <c r="C43" s="1640">
        <v>8.9</v>
      </c>
      <c r="D43" s="1627" t="s">
        <v>4</v>
      </c>
      <c r="H43" s="1636" t="s">
        <v>21</v>
      </c>
      <c r="U43" s="1627" t="s">
        <v>5534</v>
      </c>
      <c r="V43" s="1627" t="s">
        <v>313</v>
      </c>
      <c r="W43" s="1645"/>
      <c r="X43" s="1629">
        <f>'[6]lead  charge'!P13</f>
        <v>0</v>
      </c>
      <c r="Z43" s="1640">
        <v>123.7</v>
      </c>
      <c r="AA43" s="1646">
        <f>'[6]lead  charge'!Q13</f>
        <v>0</v>
      </c>
      <c r="AB43" s="1646"/>
      <c r="AC43" s="1628">
        <v>0</v>
      </c>
      <c r="AD43" s="1632">
        <v>0</v>
      </c>
      <c r="AE43" s="1627">
        <f t="shared" si="1"/>
        <v>123.7</v>
      </c>
      <c r="AF43" s="1657" t="s">
        <v>691</v>
      </c>
      <c r="AG43" s="1640">
        <f t="shared" si="2"/>
        <v>211.26</v>
      </c>
      <c r="AH43" s="1640">
        <f>AH42</f>
        <v>150.9</v>
      </c>
      <c r="AI43" s="1640">
        <f t="shared" si="3"/>
        <v>165.99</v>
      </c>
      <c r="AJ43" s="1629">
        <f t="shared" si="4"/>
        <v>181.08</v>
      </c>
      <c r="AK43" s="1629">
        <f t="shared" si="5"/>
        <v>226.35000000000002</v>
      </c>
      <c r="AL43" s="1629">
        <f t="shared" si="6"/>
        <v>158.44500000000002</v>
      </c>
      <c r="AM43" s="1629">
        <f t="shared" si="7"/>
        <v>188.625</v>
      </c>
      <c r="AN43" s="1629">
        <f t="shared" si="8"/>
        <v>211.26</v>
      </c>
    </row>
    <row r="44" spans="1:40" ht="24" customHeight="1">
      <c r="A44" s="1647">
        <f t="shared" si="11"/>
        <v>33</v>
      </c>
      <c r="B44" s="1627" t="s">
        <v>719</v>
      </c>
      <c r="C44" s="1640">
        <v>8.9</v>
      </c>
      <c r="D44" s="1627" t="s">
        <v>4</v>
      </c>
      <c r="F44" s="1658">
        <v>0.28799999999999998</v>
      </c>
      <c r="G44" s="1638" t="s">
        <v>251</v>
      </c>
      <c r="H44" s="1627" t="s">
        <v>252</v>
      </c>
      <c r="I44" s="1640">
        <f>(C67)</f>
        <v>6040</v>
      </c>
      <c r="J44" s="1627" t="s">
        <v>251</v>
      </c>
      <c r="K44" s="1640">
        <f>(F44*I44)</f>
        <v>1739.52</v>
      </c>
      <c r="U44" s="1627" t="s">
        <v>637</v>
      </c>
      <c r="V44" s="1627" t="s">
        <v>313</v>
      </c>
      <c r="W44" s="1645" t="str">
        <f>W20</f>
        <v>Thadagam</v>
      </c>
      <c r="X44" s="1629">
        <f>X11</f>
        <v>10</v>
      </c>
      <c r="Y44" s="1629">
        <f>Y37</f>
        <v>51</v>
      </c>
      <c r="Z44" s="1640">
        <f>ROUND((677+1001)/2,2)</f>
        <v>839</v>
      </c>
      <c r="AA44" s="1646">
        <f>AA11</f>
        <v>114.5</v>
      </c>
      <c r="AB44" s="1646">
        <f>AB37</f>
        <v>865.22</v>
      </c>
      <c r="AC44" s="1628">
        <v>0</v>
      </c>
      <c r="AD44" s="1632">
        <v>0</v>
      </c>
      <c r="AE44" s="1627">
        <f t="shared" si="1"/>
        <v>1818.72</v>
      </c>
      <c r="AF44" s="1657" t="s">
        <v>5115</v>
      </c>
      <c r="AG44" s="1640">
        <f t="shared" si="2"/>
        <v>159.04</v>
      </c>
      <c r="AH44" s="1640">
        <v>113.6</v>
      </c>
      <c r="AI44" s="1640">
        <f t="shared" si="3"/>
        <v>124.96000000000001</v>
      </c>
      <c r="AJ44" s="1629">
        <f t="shared" si="4"/>
        <v>136.32</v>
      </c>
      <c r="AK44" s="1629">
        <f t="shared" si="5"/>
        <v>170.39999999999998</v>
      </c>
      <c r="AL44" s="1629">
        <f t="shared" si="6"/>
        <v>119.28</v>
      </c>
      <c r="AM44" s="1629">
        <f t="shared" si="7"/>
        <v>142</v>
      </c>
      <c r="AN44" s="1629">
        <f t="shared" si="8"/>
        <v>159.04</v>
      </c>
    </row>
    <row r="45" spans="1:40" ht="24" customHeight="1">
      <c r="A45" s="1647">
        <f t="shared" si="11"/>
        <v>34</v>
      </c>
      <c r="B45" s="1627" t="s">
        <v>720</v>
      </c>
      <c r="C45" s="1640">
        <v>10.65</v>
      </c>
      <c r="D45" s="1627" t="s">
        <v>4</v>
      </c>
      <c r="F45" s="1640">
        <v>1</v>
      </c>
      <c r="G45" s="1638" t="s">
        <v>151</v>
      </c>
      <c r="H45" s="1627" t="s">
        <v>253</v>
      </c>
      <c r="I45" s="1640">
        <f>I36</f>
        <v>2265.5</v>
      </c>
      <c r="J45" s="1627" t="s">
        <v>151</v>
      </c>
      <c r="K45" s="1640">
        <f>(F45*I45)</f>
        <v>2265.5</v>
      </c>
      <c r="U45" s="1627" t="s">
        <v>5535</v>
      </c>
      <c r="W45" s="1645" t="str">
        <f>W42</f>
        <v>Thadagam</v>
      </c>
      <c r="X45" s="1629">
        <f>'[6]lead  charge'!M10</f>
        <v>35</v>
      </c>
      <c r="Y45" s="1629">
        <f>Y42</f>
        <v>51</v>
      </c>
      <c r="Z45" s="1640">
        <v>6595</v>
      </c>
      <c r="AA45" s="1650">
        <f>AA41</f>
        <v>476.45</v>
      </c>
      <c r="AB45" s="1650">
        <f>AB42</f>
        <v>1048.8599999999999</v>
      </c>
      <c r="AE45" s="1627">
        <f t="shared" si="1"/>
        <v>8120.3099999999995</v>
      </c>
      <c r="AF45" s="1657" t="s">
        <v>694</v>
      </c>
      <c r="AG45" s="1640">
        <f t="shared" si="2"/>
        <v>313.32</v>
      </c>
      <c r="AH45" s="1640">
        <v>223.8</v>
      </c>
      <c r="AI45" s="1640">
        <f t="shared" si="3"/>
        <v>246.18000000000004</v>
      </c>
      <c r="AJ45" s="1629">
        <f t="shared" si="4"/>
        <v>268.56</v>
      </c>
      <c r="AK45" s="1629">
        <f t="shared" si="5"/>
        <v>335.70000000000005</v>
      </c>
      <c r="AL45" s="1629">
        <f t="shared" si="6"/>
        <v>234.99</v>
      </c>
      <c r="AM45" s="1629">
        <f t="shared" si="7"/>
        <v>279.75</v>
      </c>
      <c r="AN45" s="1629">
        <f t="shared" si="8"/>
        <v>313.32</v>
      </c>
    </row>
    <row r="46" spans="1:40" ht="35.25" customHeight="1">
      <c r="A46" s="1647">
        <f t="shared" si="11"/>
        <v>35</v>
      </c>
      <c r="B46" s="1627" t="s">
        <v>721</v>
      </c>
      <c r="C46" s="1640">
        <v>12.85</v>
      </c>
      <c r="D46" s="1627" t="s">
        <v>4</v>
      </c>
      <c r="F46" s="1640">
        <v>1</v>
      </c>
      <c r="G46" s="1638" t="s">
        <v>151</v>
      </c>
      <c r="H46" s="1627" t="s">
        <v>254</v>
      </c>
      <c r="I46" s="1640">
        <f>(C18)</f>
        <v>154</v>
      </c>
      <c r="J46" s="1627" t="s">
        <v>151</v>
      </c>
      <c r="K46" s="1640">
        <f>(F46*I46)</f>
        <v>154</v>
      </c>
      <c r="U46" s="1627" t="s">
        <v>639</v>
      </c>
      <c r="V46" s="1627" t="s">
        <v>408</v>
      </c>
      <c r="W46" s="1648" t="s">
        <v>429</v>
      </c>
      <c r="X46" s="1640">
        <f>'[6]lead  charge'!D11</f>
        <v>4</v>
      </c>
      <c r="Y46" s="1640">
        <f>Y16</f>
        <v>51</v>
      </c>
      <c r="Z46" s="1639">
        <v>1312</v>
      </c>
      <c r="AA46" s="1646">
        <f>'[6]lead  charge'!E11</f>
        <v>45.8</v>
      </c>
      <c r="AB46" s="1646">
        <f>AB16</f>
        <v>907.7</v>
      </c>
      <c r="AC46" s="1628"/>
      <c r="AD46" s="1632">
        <v>0</v>
      </c>
      <c r="AE46" s="1627">
        <f t="shared" si="1"/>
        <v>2265.5</v>
      </c>
      <c r="AF46" s="1657" t="s">
        <v>696</v>
      </c>
      <c r="AG46" s="1640">
        <f t="shared" si="2"/>
        <v>313.32</v>
      </c>
      <c r="AH46" s="1640">
        <f>AH45</f>
        <v>223.8</v>
      </c>
      <c r="AI46" s="1640">
        <f t="shared" si="3"/>
        <v>246.18000000000004</v>
      </c>
      <c r="AJ46" s="1629">
        <f t="shared" si="4"/>
        <v>268.56</v>
      </c>
      <c r="AK46" s="1629">
        <f t="shared" si="5"/>
        <v>335.70000000000005</v>
      </c>
      <c r="AL46" s="1629">
        <f t="shared" si="6"/>
        <v>234.99</v>
      </c>
      <c r="AM46" s="1629">
        <f t="shared" si="7"/>
        <v>279.75</v>
      </c>
      <c r="AN46" s="1629">
        <f t="shared" si="8"/>
        <v>313.32</v>
      </c>
    </row>
    <row r="47" spans="1:40" ht="33.75" customHeight="1">
      <c r="A47" s="1647">
        <f t="shared" si="11"/>
        <v>36</v>
      </c>
      <c r="B47" s="1627" t="s">
        <v>722</v>
      </c>
      <c r="C47" s="1640">
        <v>17.350000000000001</v>
      </c>
      <c r="D47" s="1627" t="s">
        <v>4</v>
      </c>
      <c r="G47" s="1638" t="s">
        <v>226</v>
      </c>
      <c r="H47" s="1627" t="s">
        <v>237</v>
      </c>
      <c r="I47" s="1627" t="s">
        <v>150</v>
      </c>
      <c r="J47" s="1627" t="s">
        <v>226</v>
      </c>
      <c r="K47" s="1640">
        <v>0</v>
      </c>
      <c r="N47" s="1627" t="s">
        <v>249</v>
      </c>
      <c r="O47" s="1627" t="s">
        <v>723</v>
      </c>
      <c r="U47" s="1627" t="s">
        <v>640</v>
      </c>
      <c r="V47" s="1627" t="s">
        <v>408</v>
      </c>
      <c r="W47" s="1648" t="str">
        <f>+W46</f>
        <v>Karamadai [Kannarpalayam]</v>
      </c>
      <c r="X47" s="1640">
        <f>X46</f>
        <v>4</v>
      </c>
      <c r="Y47" s="1640">
        <f>Y46</f>
        <v>51</v>
      </c>
      <c r="Z47" s="1639">
        <f>Z46</f>
        <v>1312</v>
      </c>
      <c r="AA47" s="1646">
        <f>AA46</f>
        <v>45.8</v>
      </c>
      <c r="AB47" s="1646">
        <f>AB46</f>
        <v>907.7</v>
      </c>
      <c r="AC47" s="1628"/>
      <c r="AD47" s="1632">
        <v>0</v>
      </c>
      <c r="AE47" s="1627">
        <f t="shared" si="1"/>
        <v>2265.5</v>
      </c>
      <c r="AF47" s="1659"/>
      <c r="AG47" s="1640">
        <f t="shared" si="2"/>
        <v>0</v>
      </c>
      <c r="AH47" s="1640"/>
      <c r="AI47" s="1640">
        <f t="shared" si="3"/>
        <v>0</v>
      </c>
      <c r="AJ47" s="1629">
        <f t="shared" si="4"/>
        <v>0</v>
      </c>
      <c r="AK47" s="1629">
        <f t="shared" si="5"/>
        <v>0</v>
      </c>
      <c r="AL47" s="1629">
        <f t="shared" si="6"/>
        <v>0</v>
      </c>
      <c r="AM47" s="1629">
        <f t="shared" si="7"/>
        <v>0</v>
      </c>
      <c r="AN47" s="1629">
        <f t="shared" si="8"/>
        <v>0</v>
      </c>
    </row>
    <row r="48" spans="1:40" ht="24" customHeight="1">
      <c r="A48" s="1647">
        <f t="shared" si="11"/>
        <v>37</v>
      </c>
      <c r="B48" s="1627" t="s">
        <v>724</v>
      </c>
      <c r="C48" s="1640">
        <v>22.3</v>
      </c>
      <c r="D48" s="1640">
        <v>44.9</v>
      </c>
      <c r="K48" s="1636" t="s">
        <v>21</v>
      </c>
      <c r="O48" s="1627" t="s">
        <v>725</v>
      </c>
      <c r="U48" s="1636" t="s">
        <v>21</v>
      </c>
      <c r="V48" s="1636" t="s">
        <v>21</v>
      </c>
      <c r="W48" s="1660" t="s">
        <v>21</v>
      </c>
      <c r="X48" s="1636" t="s">
        <v>21</v>
      </c>
      <c r="Y48" s="1636"/>
      <c r="Z48" s="1636" t="s">
        <v>21</v>
      </c>
      <c r="AA48" s="1646" t="s">
        <v>21</v>
      </c>
      <c r="AB48" s="1646"/>
      <c r="AC48" s="1636" t="s">
        <v>21</v>
      </c>
      <c r="AD48" s="1636" t="s">
        <v>21</v>
      </c>
      <c r="AE48" s="1636" t="s">
        <v>21</v>
      </c>
      <c r="AF48" s="1636" t="s">
        <v>21</v>
      </c>
      <c r="AG48" s="1640">
        <f t="shared" si="2"/>
        <v>0</v>
      </c>
      <c r="AH48" s="1636" t="s">
        <v>21</v>
      </c>
      <c r="AI48" s="1640">
        <f t="shared" si="3"/>
        <v>0</v>
      </c>
      <c r="AJ48" s="1629">
        <f t="shared" si="4"/>
        <v>0</v>
      </c>
      <c r="AK48" s="1629">
        <f t="shared" si="5"/>
        <v>0</v>
      </c>
      <c r="AL48" s="1629">
        <f t="shared" si="6"/>
        <v>0</v>
      </c>
      <c r="AM48" s="1629">
        <f t="shared" si="7"/>
        <v>0</v>
      </c>
      <c r="AN48" s="1629">
        <f t="shared" si="8"/>
        <v>0</v>
      </c>
    </row>
    <row r="49" spans="1:47" ht="24" customHeight="1">
      <c r="A49" s="1647">
        <f t="shared" si="11"/>
        <v>38</v>
      </c>
      <c r="B49" s="1627" t="s">
        <v>726</v>
      </c>
      <c r="C49" s="1640">
        <v>24.2</v>
      </c>
      <c r="D49" s="1640">
        <v>31.5</v>
      </c>
      <c r="H49" s="1627" t="s">
        <v>255</v>
      </c>
      <c r="K49" s="1639">
        <f>SUM(K44:K47)</f>
        <v>4159.0200000000004</v>
      </c>
      <c r="O49" s="1636" t="s">
        <v>21</v>
      </c>
      <c r="W49" s="1634"/>
      <c r="AA49" s="1650"/>
      <c r="AB49" s="1650"/>
      <c r="AF49" s="1657" t="s">
        <v>5116</v>
      </c>
      <c r="AG49" s="1640">
        <f t="shared" si="2"/>
        <v>5.6</v>
      </c>
      <c r="AH49" s="1640">
        <v>4</v>
      </c>
      <c r="AI49" s="1640">
        <f t="shared" si="3"/>
        <v>4.4000000000000004</v>
      </c>
      <c r="AJ49" s="1629">
        <f t="shared" si="4"/>
        <v>4.8</v>
      </c>
      <c r="AK49" s="1629">
        <f t="shared" si="5"/>
        <v>6</v>
      </c>
      <c r="AL49" s="1629">
        <f t="shared" si="6"/>
        <v>4.2</v>
      </c>
      <c r="AM49" s="1629">
        <f t="shared" si="7"/>
        <v>5</v>
      </c>
      <c r="AN49" s="1629">
        <f t="shared" si="8"/>
        <v>5.6</v>
      </c>
    </row>
    <row r="50" spans="1:47" ht="24" customHeight="1">
      <c r="A50" s="1647">
        <f t="shared" si="11"/>
        <v>39</v>
      </c>
      <c r="B50" s="1627" t="s">
        <v>727</v>
      </c>
      <c r="C50" s="1640">
        <v>12.65</v>
      </c>
      <c r="D50" s="1627" t="s">
        <v>4</v>
      </c>
      <c r="K50" s="1636" t="s">
        <v>21</v>
      </c>
      <c r="M50" s="1640">
        <v>9</v>
      </c>
      <c r="N50" s="1627" t="s">
        <v>151</v>
      </c>
      <c r="O50" s="1627" t="s">
        <v>725</v>
      </c>
      <c r="P50" s="1640">
        <f>(C81)</f>
        <v>1451.42</v>
      </c>
      <c r="Q50" s="1627" t="s">
        <v>151</v>
      </c>
      <c r="R50" s="1640">
        <f>(M50*P50)</f>
        <v>13062.78</v>
      </c>
      <c r="U50" s="2026" t="s">
        <v>474</v>
      </c>
      <c r="V50" s="2026"/>
      <c r="W50" s="2026"/>
      <c r="X50" s="2026"/>
      <c r="Y50" s="2026"/>
      <c r="Z50" s="2026"/>
      <c r="AA50" s="2026"/>
      <c r="AB50" s="2026"/>
      <c r="AC50" s="2026"/>
      <c r="AD50" s="2026"/>
      <c r="AE50" s="2026"/>
      <c r="AF50" s="2026"/>
      <c r="AG50" s="1640">
        <f t="shared" si="2"/>
        <v>7</v>
      </c>
      <c r="AH50" s="1640">
        <v>5</v>
      </c>
      <c r="AI50" s="1640">
        <f t="shared" si="3"/>
        <v>5.5</v>
      </c>
      <c r="AJ50" s="1629">
        <f t="shared" si="4"/>
        <v>6</v>
      </c>
      <c r="AK50" s="1629">
        <f t="shared" si="5"/>
        <v>7.5</v>
      </c>
      <c r="AL50" s="1629">
        <f t="shared" si="6"/>
        <v>5.25</v>
      </c>
      <c r="AM50" s="1629">
        <f t="shared" si="7"/>
        <v>6.25</v>
      </c>
      <c r="AN50" s="1629">
        <f t="shared" si="8"/>
        <v>7</v>
      </c>
    </row>
    <row r="51" spans="1:47" ht="24" customHeight="1">
      <c r="A51" s="1647">
        <f t="shared" si="11"/>
        <v>40</v>
      </c>
      <c r="B51" s="1627" t="s">
        <v>729</v>
      </c>
      <c r="C51" s="1640">
        <v>12.85</v>
      </c>
      <c r="D51" s="1627" t="s">
        <v>4</v>
      </c>
      <c r="G51" s="1638" t="s">
        <v>249</v>
      </c>
      <c r="H51" s="1627" t="s">
        <v>260</v>
      </c>
      <c r="M51" s="1640">
        <v>4.5</v>
      </c>
      <c r="N51" s="1627" t="s">
        <v>151</v>
      </c>
      <c r="O51" s="1627" t="s">
        <v>384</v>
      </c>
      <c r="P51" s="1640">
        <f>(K77)</f>
        <v>3506.7</v>
      </c>
      <c r="Q51" s="1627" t="s">
        <v>151</v>
      </c>
      <c r="R51" s="1640">
        <f>(M51*P51)</f>
        <v>15780.15</v>
      </c>
      <c r="W51" s="1634"/>
      <c r="AA51" s="1650"/>
      <c r="AB51" s="1650"/>
      <c r="AF51" s="1657" t="s">
        <v>5117</v>
      </c>
      <c r="AG51" s="1640">
        <f t="shared" si="2"/>
        <v>0</v>
      </c>
      <c r="AH51" s="1640"/>
      <c r="AI51" s="1640">
        <f t="shared" si="3"/>
        <v>0</v>
      </c>
      <c r="AJ51" s="1629">
        <f t="shared" si="4"/>
        <v>0</v>
      </c>
      <c r="AK51" s="1629">
        <f t="shared" si="5"/>
        <v>0</v>
      </c>
      <c r="AL51" s="1629">
        <f t="shared" si="6"/>
        <v>0</v>
      </c>
      <c r="AM51" s="1629">
        <f t="shared" si="7"/>
        <v>0</v>
      </c>
      <c r="AN51" s="1629">
        <f t="shared" si="8"/>
        <v>0</v>
      </c>
    </row>
    <row r="52" spans="1:47" ht="24" customHeight="1">
      <c r="A52" s="1647">
        <f t="shared" si="11"/>
        <v>41</v>
      </c>
      <c r="B52" s="1627" t="s">
        <v>730</v>
      </c>
      <c r="C52" s="1640">
        <v>26.6</v>
      </c>
      <c r="D52" s="1627" t="s">
        <v>4</v>
      </c>
      <c r="H52" s="1636" t="s">
        <v>21</v>
      </c>
      <c r="M52" s="1640">
        <v>1.8</v>
      </c>
      <c r="N52" s="1627" t="s">
        <v>153</v>
      </c>
      <c r="O52" s="1627" t="s">
        <v>234</v>
      </c>
      <c r="P52" s="1640">
        <f>(C11)</f>
        <v>1237.5999999999999</v>
      </c>
      <c r="Q52" s="1627" t="s">
        <v>153</v>
      </c>
      <c r="R52" s="1640">
        <f>(M52*P52)</f>
        <v>2227.6799999999998</v>
      </c>
      <c r="W52" s="1634"/>
      <c r="AA52" s="1650"/>
      <c r="AB52" s="1650"/>
      <c r="AF52" s="1657" t="s">
        <v>5536</v>
      </c>
      <c r="AG52" s="1640">
        <f t="shared" si="2"/>
        <v>284.2</v>
      </c>
      <c r="AH52" s="1629">
        <v>203</v>
      </c>
      <c r="AI52" s="1640">
        <f t="shared" si="3"/>
        <v>223.3</v>
      </c>
      <c r="AJ52" s="1629">
        <f t="shared" si="4"/>
        <v>243.6</v>
      </c>
      <c r="AK52" s="1629">
        <f t="shared" si="5"/>
        <v>304.5</v>
      </c>
      <c r="AL52" s="1629">
        <f t="shared" si="6"/>
        <v>213.15</v>
      </c>
      <c r="AM52" s="1629">
        <f t="shared" si="7"/>
        <v>253.75</v>
      </c>
      <c r="AN52" s="1629">
        <f t="shared" si="8"/>
        <v>284.2</v>
      </c>
    </row>
    <row r="53" spans="1:47" ht="24" customHeight="1">
      <c r="A53" s="1647">
        <f t="shared" si="11"/>
        <v>42</v>
      </c>
      <c r="B53" s="1627" t="s">
        <v>731</v>
      </c>
      <c r="C53" s="1640">
        <v>35.9</v>
      </c>
      <c r="D53" s="1640">
        <v>90.6</v>
      </c>
      <c r="F53" s="1640">
        <v>0.24</v>
      </c>
      <c r="G53" s="1638" t="s">
        <v>251</v>
      </c>
      <c r="H53" s="1627" t="s">
        <v>252</v>
      </c>
      <c r="I53" s="1640">
        <f>(C67)</f>
        <v>6040</v>
      </c>
      <c r="J53" s="1627" t="s">
        <v>251</v>
      </c>
      <c r="K53" s="1640">
        <f>(F53*I53)</f>
        <v>1449.6</v>
      </c>
      <c r="M53" s="1640">
        <v>17.7</v>
      </c>
      <c r="N53" s="1627" t="s">
        <v>153</v>
      </c>
      <c r="O53" s="1627" t="s">
        <v>235</v>
      </c>
      <c r="P53" s="1640">
        <f>(C12)</f>
        <v>865.19999999999993</v>
      </c>
      <c r="Q53" s="1627" t="s">
        <v>153</v>
      </c>
      <c r="R53" s="1640">
        <f>(M53*P53)</f>
        <v>15314.039999999999</v>
      </c>
      <c r="W53" s="1634"/>
      <c r="AA53" s="1650"/>
      <c r="AB53" s="1650"/>
      <c r="AF53" s="1657" t="s">
        <v>5537</v>
      </c>
      <c r="AG53" s="1640">
        <f t="shared" si="2"/>
        <v>438.2</v>
      </c>
      <c r="AH53" s="1629">
        <v>313</v>
      </c>
      <c r="AI53" s="1640">
        <f t="shared" si="3"/>
        <v>344.3</v>
      </c>
      <c r="AJ53" s="1629">
        <f t="shared" si="4"/>
        <v>375.59999999999997</v>
      </c>
      <c r="AK53" s="1629">
        <f t="shared" si="5"/>
        <v>469.5</v>
      </c>
      <c r="AL53" s="1629">
        <f t="shared" si="6"/>
        <v>328.65000000000003</v>
      </c>
      <c r="AM53" s="1629">
        <f t="shared" si="7"/>
        <v>391.25</v>
      </c>
      <c r="AN53" s="1629">
        <f t="shared" si="8"/>
        <v>438.2</v>
      </c>
    </row>
    <row r="54" spans="1:47" ht="24" customHeight="1">
      <c r="A54" s="1647">
        <f t="shared" si="11"/>
        <v>43</v>
      </c>
      <c r="B54" s="1627" t="s">
        <v>735</v>
      </c>
      <c r="C54" s="1640">
        <v>40.450000000000003</v>
      </c>
      <c r="D54" s="1640">
        <v>68.400000000000006</v>
      </c>
      <c r="F54" s="1640">
        <v>1</v>
      </c>
      <c r="G54" s="1638" t="s">
        <v>151</v>
      </c>
      <c r="H54" s="1627" t="s">
        <v>253</v>
      </c>
      <c r="I54" s="1640">
        <f>(C78)</f>
        <v>2265.5</v>
      </c>
      <c r="J54" s="1627" t="s">
        <v>151</v>
      </c>
      <c r="K54" s="1640">
        <f>(F54*I54)</f>
        <v>2265.5</v>
      </c>
      <c r="M54" s="1640">
        <v>14.1</v>
      </c>
      <c r="N54" s="1627" t="s">
        <v>153</v>
      </c>
      <c r="O54" s="1627" t="s">
        <v>236</v>
      </c>
      <c r="P54" s="1640">
        <f>(C13)</f>
        <v>709.8</v>
      </c>
      <c r="Q54" s="1627" t="s">
        <v>153</v>
      </c>
      <c r="R54" s="1640">
        <f>(M54*P54)</f>
        <v>10008.179999999998</v>
      </c>
      <c r="W54" s="1634"/>
      <c r="AA54" s="1650"/>
      <c r="AB54" s="1650"/>
      <c r="AF54" s="1657" t="s">
        <v>5538</v>
      </c>
      <c r="AG54" s="1640">
        <f t="shared" si="2"/>
        <v>12.11</v>
      </c>
      <c r="AH54" s="1629">
        <v>8.65</v>
      </c>
      <c r="AI54" s="1640">
        <f t="shared" si="3"/>
        <v>9.5150000000000006</v>
      </c>
      <c r="AJ54" s="1629">
        <f t="shared" si="4"/>
        <v>10.38</v>
      </c>
      <c r="AK54" s="1629">
        <f t="shared" si="5"/>
        <v>12.975000000000001</v>
      </c>
      <c r="AL54" s="1629">
        <f t="shared" si="6"/>
        <v>9.0825000000000014</v>
      </c>
      <c r="AM54" s="1629">
        <f t="shared" si="7"/>
        <v>10.8125</v>
      </c>
      <c r="AN54" s="1629">
        <f t="shared" si="8"/>
        <v>12.11</v>
      </c>
    </row>
    <row r="55" spans="1:47" ht="24" customHeight="1">
      <c r="A55" s="1647">
        <f t="shared" si="11"/>
        <v>44</v>
      </c>
      <c r="B55" s="1627" t="s">
        <v>736</v>
      </c>
      <c r="C55" s="1640">
        <v>44.9</v>
      </c>
      <c r="D55" s="1640">
        <v>54.3</v>
      </c>
      <c r="F55" s="1640">
        <v>1</v>
      </c>
      <c r="G55" s="1638" t="s">
        <v>151</v>
      </c>
      <c r="H55" s="1627" t="s">
        <v>254</v>
      </c>
      <c r="I55" s="1640">
        <f>(C18)</f>
        <v>154</v>
      </c>
      <c r="J55" s="1627" t="s">
        <v>151</v>
      </c>
      <c r="K55" s="1640">
        <f>(F55*I55)</f>
        <v>154</v>
      </c>
      <c r="N55" s="1627" t="s">
        <v>226</v>
      </c>
      <c r="O55" s="1627" t="s">
        <v>237</v>
      </c>
      <c r="Q55" s="1627" t="s">
        <v>226</v>
      </c>
      <c r="R55" s="1640">
        <v>0</v>
      </c>
      <c r="W55" s="1634"/>
      <c r="AA55" s="1650"/>
      <c r="AB55" s="1650"/>
      <c r="AF55" s="1657" t="s">
        <v>5539</v>
      </c>
      <c r="AG55" s="1640">
        <f t="shared" si="2"/>
        <v>13.089999999999998</v>
      </c>
      <c r="AH55" s="1629">
        <v>9.35</v>
      </c>
      <c r="AI55" s="1640">
        <f t="shared" si="3"/>
        <v>10.285</v>
      </c>
      <c r="AJ55" s="1629">
        <f t="shared" si="4"/>
        <v>11.219999999999999</v>
      </c>
      <c r="AK55" s="1629">
        <f t="shared" si="5"/>
        <v>14.024999999999999</v>
      </c>
      <c r="AL55" s="1629">
        <f t="shared" si="6"/>
        <v>9.8175000000000008</v>
      </c>
      <c r="AM55" s="1629">
        <f t="shared" si="7"/>
        <v>11.6875</v>
      </c>
      <c r="AN55" s="1629">
        <f t="shared" si="8"/>
        <v>13.089999999999998</v>
      </c>
    </row>
    <row r="56" spans="1:47" ht="33.75" customHeight="1">
      <c r="A56" s="1647">
        <f t="shared" si="11"/>
        <v>45</v>
      </c>
      <c r="B56" s="1627" t="s">
        <v>737</v>
      </c>
      <c r="C56" s="1640">
        <v>12.1</v>
      </c>
      <c r="D56" s="1627" t="s">
        <v>226</v>
      </c>
      <c r="G56" s="1638" t="s">
        <v>226</v>
      </c>
      <c r="H56" s="1627" t="s">
        <v>237</v>
      </c>
      <c r="I56" s="1627" t="s">
        <v>150</v>
      </c>
      <c r="J56" s="1627" t="s">
        <v>226</v>
      </c>
      <c r="K56" s="1640">
        <v>0</v>
      </c>
      <c r="R56" s="1636" t="s">
        <v>21</v>
      </c>
      <c r="W56" s="1634"/>
      <c r="AF56" s="1657" t="s">
        <v>5540</v>
      </c>
      <c r="AG56" s="1640">
        <f t="shared" si="2"/>
        <v>13.579999999999998</v>
      </c>
      <c r="AH56" s="1629">
        <v>9.6999999999999993</v>
      </c>
      <c r="AI56" s="1640">
        <f t="shared" si="3"/>
        <v>10.67</v>
      </c>
      <c r="AJ56" s="1629">
        <f t="shared" si="4"/>
        <v>11.639999999999999</v>
      </c>
      <c r="AK56" s="1629">
        <f t="shared" si="5"/>
        <v>14.549999999999999</v>
      </c>
      <c r="AL56" s="1629">
        <f t="shared" si="6"/>
        <v>10.185</v>
      </c>
      <c r="AM56" s="1629">
        <f t="shared" si="7"/>
        <v>12.125</v>
      </c>
      <c r="AN56" s="1629">
        <f t="shared" si="8"/>
        <v>13.579999999999998</v>
      </c>
    </row>
    <row r="57" spans="1:47" ht="24" customHeight="1">
      <c r="A57" s="1647">
        <f t="shared" si="11"/>
        <v>46</v>
      </c>
      <c r="B57" s="1627" t="s">
        <v>5118</v>
      </c>
      <c r="C57" s="1640">
        <f>228.6/8</f>
        <v>28.574999999999999</v>
      </c>
      <c r="D57" s="1627" t="s">
        <v>226</v>
      </c>
      <c r="K57" s="1636" t="s">
        <v>21</v>
      </c>
      <c r="O57" s="1627" t="s">
        <v>263</v>
      </c>
      <c r="R57" s="1640">
        <f>SUM(R50:R55)</f>
        <v>56392.83</v>
      </c>
      <c r="W57" s="1634"/>
      <c r="AF57" s="1657" t="s">
        <v>5541</v>
      </c>
      <c r="AG57" s="1640">
        <f t="shared" si="2"/>
        <v>2053.7999999999997</v>
      </c>
      <c r="AH57" s="1629">
        <v>1467</v>
      </c>
      <c r="AI57" s="1640">
        <f t="shared" si="3"/>
        <v>1613.7</v>
      </c>
      <c r="AJ57" s="1629">
        <f t="shared" si="4"/>
        <v>1760.3999999999999</v>
      </c>
      <c r="AK57" s="1629">
        <f t="shared" si="5"/>
        <v>2200.5</v>
      </c>
      <c r="AL57" s="1629">
        <f t="shared" si="6"/>
        <v>1540.3500000000001</v>
      </c>
      <c r="AM57" s="1629">
        <f t="shared" si="7"/>
        <v>1833.75</v>
      </c>
      <c r="AN57" s="1629">
        <f t="shared" si="8"/>
        <v>2053.7999999999997</v>
      </c>
    </row>
    <row r="58" spans="1:47" ht="24" customHeight="1">
      <c r="A58" s="1647">
        <f t="shared" si="11"/>
        <v>47</v>
      </c>
      <c r="B58" s="1627" t="s">
        <v>5542</v>
      </c>
      <c r="C58" s="1640">
        <v>11.9</v>
      </c>
      <c r="D58" s="1627" t="s">
        <v>5543</v>
      </c>
      <c r="H58" s="1627" t="s">
        <v>255</v>
      </c>
      <c r="K58" s="1639">
        <f>SUM(K53:K56)</f>
        <v>3869.1</v>
      </c>
      <c r="R58" s="1636" t="s">
        <v>21</v>
      </c>
      <c r="W58" s="1634"/>
      <c r="AF58" s="1627" t="s">
        <v>5544</v>
      </c>
      <c r="AG58" s="1640">
        <f t="shared" si="2"/>
        <v>1906.8</v>
      </c>
      <c r="AH58" s="1640">
        <v>1362</v>
      </c>
      <c r="AI58" s="1640">
        <f t="shared" si="3"/>
        <v>1498.2</v>
      </c>
      <c r="AJ58" s="1629">
        <f t="shared" si="4"/>
        <v>1634.3999999999999</v>
      </c>
      <c r="AK58" s="1629">
        <f t="shared" si="5"/>
        <v>2043</v>
      </c>
      <c r="AL58" s="1629">
        <f t="shared" si="6"/>
        <v>1430.1000000000001</v>
      </c>
      <c r="AM58" s="1629">
        <f t="shared" si="7"/>
        <v>1702.5</v>
      </c>
      <c r="AN58" s="1629">
        <f t="shared" si="8"/>
        <v>1906.8</v>
      </c>
    </row>
    <row r="59" spans="1:47" ht="24" customHeight="1">
      <c r="F59" s="1627" t="s">
        <v>150</v>
      </c>
      <c r="W59" s="1634"/>
      <c r="AF59" s="1627" t="s">
        <v>5110</v>
      </c>
      <c r="AG59" s="1640">
        <f t="shared" si="2"/>
        <v>14.279999999999998</v>
      </c>
      <c r="AH59" s="1640">
        <v>10.199999999999999</v>
      </c>
      <c r="AI59" s="1640">
        <f t="shared" si="3"/>
        <v>11.22</v>
      </c>
      <c r="AJ59" s="1629">
        <f t="shared" si="4"/>
        <v>12.239999999999998</v>
      </c>
      <c r="AK59" s="1629">
        <f t="shared" si="5"/>
        <v>15.299999999999999</v>
      </c>
      <c r="AL59" s="1629">
        <f t="shared" si="6"/>
        <v>10.709999999999999</v>
      </c>
      <c r="AM59" s="1629">
        <f t="shared" si="7"/>
        <v>12.75</v>
      </c>
      <c r="AN59" s="1629">
        <f t="shared" si="8"/>
        <v>14.279999999999998</v>
      </c>
      <c r="AR59" s="1661" t="s">
        <v>740</v>
      </c>
    </row>
    <row r="60" spans="1:47" ht="24" customHeight="1">
      <c r="A60" s="1647">
        <f>(A58+1)</f>
        <v>48</v>
      </c>
      <c r="B60" s="1627" t="s">
        <v>5119</v>
      </c>
      <c r="C60" s="1640">
        <v>30.35</v>
      </c>
      <c r="D60" s="1627" t="s">
        <v>742</v>
      </c>
      <c r="K60" s="1636" t="s">
        <v>21</v>
      </c>
      <c r="O60" s="1627" t="s">
        <v>270</v>
      </c>
      <c r="R60" s="1640">
        <f>(R57/10)</f>
        <v>5639.2830000000004</v>
      </c>
      <c r="W60" s="1634"/>
      <c r="AF60" s="1627" t="s">
        <v>5112</v>
      </c>
      <c r="AG60" s="1640">
        <f t="shared" si="2"/>
        <v>73.5</v>
      </c>
      <c r="AH60" s="1629">
        <v>52.5</v>
      </c>
      <c r="AI60" s="1640">
        <f t="shared" si="3"/>
        <v>57.750000000000007</v>
      </c>
      <c r="AJ60" s="1629">
        <f t="shared" si="4"/>
        <v>63</v>
      </c>
      <c r="AK60" s="1629">
        <f t="shared" si="5"/>
        <v>78.75</v>
      </c>
      <c r="AL60" s="1629">
        <f t="shared" si="6"/>
        <v>55.125</v>
      </c>
      <c r="AM60" s="1629">
        <f t="shared" si="7"/>
        <v>65.625</v>
      </c>
      <c r="AN60" s="1629">
        <f t="shared" si="8"/>
        <v>73.5</v>
      </c>
      <c r="AP60" s="1662">
        <v>6.5</v>
      </c>
      <c r="AQ60" s="1638" t="s">
        <v>249</v>
      </c>
      <c r="AR60" s="1627" t="s">
        <v>743</v>
      </c>
      <c r="AT60" s="1632"/>
    </row>
    <row r="61" spans="1:47" ht="24" customHeight="1">
      <c r="A61" s="1647">
        <f t="shared" ref="A61:A91" si="12">(A60+1)</f>
        <v>49</v>
      </c>
      <c r="B61" s="1627" t="s">
        <v>5120</v>
      </c>
      <c r="C61" s="1640">
        <f>AG29</f>
        <v>148.75</v>
      </c>
      <c r="D61" s="1640">
        <f>AG36</f>
        <v>221.47999999999996</v>
      </c>
      <c r="G61" s="1638" t="s">
        <v>249</v>
      </c>
      <c r="H61" s="1627" t="s">
        <v>383</v>
      </c>
      <c r="R61" s="1636" t="s">
        <v>156</v>
      </c>
      <c r="W61" s="1634"/>
      <c r="AG61" s="1640">
        <f t="shared" si="2"/>
        <v>0</v>
      </c>
      <c r="AI61" s="1640">
        <f t="shared" si="3"/>
        <v>0</v>
      </c>
      <c r="AJ61" s="1629">
        <f t="shared" si="4"/>
        <v>0</v>
      </c>
      <c r="AK61" s="1629">
        <f t="shared" si="5"/>
        <v>0</v>
      </c>
      <c r="AL61" s="1629">
        <f t="shared" si="6"/>
        <v>0</v>
      </c>
      <c r="AM61" s="1629">
        <f t="shared" si="7"/>
        <v>0</v>
      </c>
      <c r="AN61" s="1629">
        <f t="shared" si="8"/>
        <v>0</v>
      </c>
      <c r="AQ61" s="1630"/>
      <c r="AR61" s="1627" t="s">
        <v>745</v>
      </c>
      <c r="AT61" s="1632"/>
    </row>
    <row r="62" spans="1:47" ht="24" customHeight="1">
      <c r="A62" s="1647">
        <f t="shared" si="12"/>
        <v>50</v>
      </c>
      <c r="B62" s="1627" t="s">
        <v>5121</v>
      </c>
      <c r="C62" s="1640">
        <v>672</v>
      </c>
      <c r="D62" s="1627" t="s">
        <v>153</v>
      </c>
      <c r="H62" s="1636" t="s">
        <v>21</v>
      </c>
      <c r="N62" s="1627" t="s">
        <v>249</v>
      </c>
      <c r="O62" s="1627" t="s">
        <v>747</v>
      </c>
      <c r="W62" s="1634"/>
      <c r="AF62" s="1663" t="s">
        <v>5545</v>
      </c>
      <c r="AG62" s="1640">
        <f t="shared" si="2"/>
        <v>8932</v>
      </c>
      <c r="AH62" s="1629">
        <v>6380</v>
      </c>
      <c r="AI62" s="1640">
        <f t="shared" si="3"/>
        <v>7018.0000000000009</v>
      </c>
      <c r="AJ62" s="1629">
        <f t="shared" si="4"/>
        <v>7656</v>
      </c>
      <c r="AK62" s="1629">
        <f t="shared" si="5"/>
        <v>9570</v>
      </c>
      <c r="AL62" s="1629">
        <f t="shared" si="6"/>
        <v>6699</v>
      </c>
      <c r="AM62" s="1629">
        <f t="shared" si="7"/>
        <v>7975</v>
      </c>
      <c r="AN62" s="1629">
        <f t="shared" si="8"/>
        <v>8932</v>
      </c>
      <c r="AQ62" s="1630"/>
      <c r="AR62" s="1636" t="s">
        <v>21</v>
      </c>
      <c r="AT62" s="1632"/>
    </row>
    <row r="63" spans="1:47" ht="24" customHeight="1">
      <c r="A63" s="1647">
        <f t="shared" si="12"/>
        <v>51</v>
      </c>
      <c r="B63" s="1627" t="s">
        <v>748</v>
      </c>
      <c r="C63" s="1640">
        <v>42</v>
      </c>
      <c r="D63" s="1627" t="s">
        <v>226</v>
      </c>
      <c r="F63" s="1658">
        <v>0.20599999999999999</v>
      </c>
      <c r="G63" s="1638" t="s">
        <v>251</v>
      </c>
      <c r="H63" s="1627" t="s">
        <v>252</v>
      </c>
      <c r="I63" s="1640">
        <f>(C67)</f>
        <v>6040</v>
      </c>
      <c r="J63" s="1627" t="s">
        <v>251</v>
      </c>
      <c r="K63" s="1640">
        <f>(F63*I63)</f>
        <v>1244.24</v>
      </c>
      <c r="O63" s="1627" t="s">
        <v>398</v>
      </c>
      <c r="W63" s="1634"/>
      <c r="AD63" s="1664"/>
      <c r="AF63" s="1665" t="s">
        <v>5546</v>
      </c>
      <c r="AG63" s="1640">
        <f t="shared" si="2"/>
        <v>16.029999999999998</v>
      </c>
      <c r="AH63" s="1629">
        <v>11.45</v>
      </c>
      <c r="AI63" s="1640">
        <f t="shared" si="3"/>
        <v>12.595000000000001</v>
      </c>
      <c r="AJ63" s="1629">
        <f t="shared" si="4"/>
        <v>13.739999999999998</v>
      </c>
      <c r="AK63" s="1629">
        <f t="shared" si="5"/>
        <v>17.174999999999997</v>
      </c>
      <c r="AL63" s="1629">
        <f t="shared" si="6"/>
        <v>12.022499999999999</v>
      </c>
      <c r="AM63" s="1629">
        <f t="shared" si="7"/>
        <v>14.3125</v>
      </c>
      <c r="AN63" s="1629">
        <f t="shared" si="8"/>
        <v>16.029999999999998</v>
      </c>
      <c r="AP63" s="1640">
        <v>1300</v>
      </c>
      <c r="AQ63" s="1638" t="s">
        <v>267</v>
      </c>
      <c r="AR63" s="1640" t="str">
        <f>AR61</f>
        <v>Bricks of size 23x11x7 cm</v>
      </c>
      <c r="AS63" s="1640">
        <f>AE45</f>
        <v>8120.3099999999995</v>
      </c>
      <c r="AT63" s="1627" t="s">
        <v>268</v>
      </c>
      <c r="AU63" s="1640">
        <f>(AP63*AS63)/1000</f>
        <v>10556.403</v>
      </c>
    </row>
    <row r="64" spans="1:47" ht="24" customHeight="1">
      <c r="A64" s="1647">
        <f t="shared" si="12"/>
        <v>52</v>
      </c>
      <c r="B64" s="1627" t="s">
        <v>5122</v>
      </c>
      <c r="C64" s="1640">
        <v>266</v>
      </c>
      <c r="D64" s="1627" t="s">
        <v>151</v>
      </c>
      <c r="F64" s="1640">
        <v>1</v>
      </c>
      <c r="G64" s="1638" t="s">
        <v>151</v>
      </c>
      <c r="H64" s="1627" t="s">
        <v>253</v>
      </c>
      <c r="I64" s="1640">
        <f>(C78)</f>
        <v>2265.5</v>
      </c>
      <c r="J64" s="1627" t="s">
        <v>151</v>
      </c>
      <c r="K64" s="1640">
        <f>(F64*I64)</f>
        <v>2265.5</v>
      </c>
      <c r="O64" s="1636" t="s">
        <v>21</v>
      </c>
      <c r="W64" s="1634"/>
      <c r="AF64" s="1665" t="s">
        <v>5547</v>
      </c>
      <c r="AG64" s="1640">
        <f t="shared" si="2"/>
        <v>61.949999999999996</v>
      </c>
      <c r="AH64" s="1629">
        <v>44.25</v>
      </c>
      <c r="AI64" s="1640">
        <f t="shared" si="3"/>
        <v>48.675000000000004</v>
      </c>
      <c r="AJ64" s="1629">
        <f t="shared" si="4"/>
        <v>53.1</v>
      </c>
      <c r="AK64" s="1629">
        <f t="shared" si="5"/>
        <v>66.375</v>
      </c>
      <c r="AL64" s="1629">
        <f t="shared" si="6"/>
        <v>46.462499999999999</v>
      </c>
      <c r="AM64" s="1629">
        <f t="shared" si="7"/>
        <v>55.3125</v>
      </c>
      <c r="AN64" s="1629">
        <f t="shared" si="8"/>
        <v>61.949999999999996</v>
      </c>
      <c r="AP64" s="1658">
        <v>0.70799999999999996</v>
      </c>
      <c r="AQ64" s="1638" t="s">
        <v>151</v>
      </c>
      <c r="AR64" s="1627" t="s">
        <v>259</v>
      </c>
      <c r="AS64" s="1640">
        <f>K49</f>
        <v>4159.0200000000004</v>
      </c>
      <c r="AT64" s="1627" t="s">
        <v>151</v>
      </c>
      <c r="AU64" s="1640">
        <f>(AP64*AS64)</f>
        <v>2944.5861600000003</v>
      </c>
    </row>
    <row r="65" spans="1:47" s="1668" customFormat="1" ht="24" customHeight="1">
      <c r="A65" s="1666">
        <f t="shared" si="12"/>
        <v>53</v>
      </c>
      <c r="B65" s="1667" t="s">
        <v>5548</v>
      </c>
      <c r="C65" s="1651">
        <v>391.1</v>
      </c>
      <c r="D65" s="1667" t="s">
        <v>751</v>
      </c>
      <c r="F65" s="1651">
        <v>1</v>
      </c>
      <c r="G65" s="1669" t="s">
        <v>151</v>
      </c>
      <c r="H65" s="1667" t="s">
        <v>254</v>
      </c>
      <c r="I65" s="1651">
        <f>(C18)</f>
        <v>154</v>
      </c>
      <c r="J65" s="1667" t="s">
        <v>151</v>
      </c>
      <c r="K65" s="1651">
        <f>(F65*I65)</f>
        <v>154</v>
      </c>
      <c r="M65" s="1651">
        <v>9</v>
      </c>
      <c r="N65" s="1667" t="s">
        <v>151</v>
      </c>
      <c r="O65" s="1667" t="s">
        <v>398</v>
      </c>
      <c r="P65" s="1651">
        <f>(C73)</f>
        <v>2446.7200000000003</v>
      </c>
      <c r="Q65" s="1667" t="s">
        <v>151</v>
      </c>
      <c r="R65" s="1651">
        <f>(M65*P65)</f>
        <v>22020.480000000003</v>
      </c>
      <c r="S65" s="1670"/>
      <c r="U65" s="1668" t="s">
        <v>5549</v>
      </c>
      <c r="W65" s="1671"/>
      <c r="AG65" s="1640">
        <f t="shared" si="2"/>
        <v>0</v>
      </c>
      <c r="AI65" s="1640">
        <f t="shared" si="3"/>
        <v>0</v>
      </c>
      <c r="AJ65" s="1629">
        <f t="shared" si="4"/>
        <v>0</v>
      </c>
      <c r="AK65" s="1629">
        <f t="shared" si="5"/>
        <v>0</v>
      </c>
      <c r="AL65" s="1629">
        <f t="shared" si="6"/>
        <v>0</v>
      </c>
      <c r="AM65" s="1629">
        <f t="shared" si="7"/>
        <v>0</v>
      </c>
      <c r="AN65" s="1629">
        <f t="shared" si="8"/>
        <v>0</v>
      </c>
      <c r="AP65" s="1651">
        <v>1</v>
      </c>
      <c r="AQ65" s="1669" t="s">
        <v>153</v>
      </c>
      <c r="AR65" s="1667" t="s">
        <v>269</v>
      </c>
      <c r="AS65" s="1651">
        <f>V313</f>
        <v>1325.8</v>
      </c>
      <c r="AT65" s="1667" t="s">
        <v>153</v>
      </c>
      <c r="AU65" s="1651">
        <f>(AP65*AS65)</f>
        <v>1325.8</v>
      </c>
    </row>
    <row r="66" spans="1:47" ht="24" customHeight="1">
      <c r="A66" s="1647">
        <f t="shared" si="12"/>
        <v>54</v>
      </c>
      <c r="B66" s="1627" t="s">
        <v>752</v>
      </c>
      <c r="C66" s="1640">
        <f>AG18</f>
        <v>1136.8</v>
      </c>
      <c r="D66" s="1627" t="s">
        <v>153</v>
      </c>
      <c r="G66" s="1638" t="s">
        <v>226</v>
      </c>
      <c r="H66" s="1627" t="s">
        <v>237</v>
      </c>
      <c r="I66" s="1627" t="s">
        <v>150</v>
      </c>
      <c r="J66" s="1627" t="s">
        <v>226</v>
      </c>
      <c r="K66" s="1640">
        <v>0</v>
      </c>
      <c r="M66" s="1640">
        <v>4.5</v>
      </c>
      <c r="N66" s="1627" t="s">
        <v>151</v>
      </c>
      <c r="O66" s="1627" t="s">
        <v>256</v>
      </c>
      <c r="P66" s="1640">
        <f>(K23)</f>
        <v>6768.3</v>
      </c>
      <c r="Q66" s="1627" t="s">
        <v>151</v>
      </c>
      <c r="R66" s="1640">
        <f>(M66*P66)</f>
        <v>30457.350000000002</v>
      </c>
      <c r="U66" s="1629" t="s">
        <v>5550</v>
      </c>
      <c r="V66" s="1629" t="s">
        <v>2143</v>
      </c>
      <c r="W66" s="1634">
        <v>195.7</v>
      </c>
      <c r="AG66" s="1640">
        <f t="shared" si="2"/>
        <v>0</v>
      </c>
      <c r="AI66" s="1640">
        <f t="shared" si="3"/>
        <v>0</v>
      </c>
      <c r="AJ66" s="1629">
        <f t="shared" si="4"/>
        <v>0</v>
      </c>
      <c r="AK66" s="1629">
        <f t="shared" si="5"/>
        <v>0</v>
      </c>
      <c r="AL66" s="1629">
        <f t="shared" si="6"/>
        <v>0</v>
      </c>
      <c r="AM66" s="1629">
        <f t="shared" si="7"/>
        <v>0</v>
      </c>
      <c r="AN66" s="1629">
        <f t="shared" si="8"/>
        <v>0</v>
      </c>
      <c r="AP66" s="1640">
        <v>3</v>
      </c>
      <c r="AQ66" s="1638" t="s">
        <v>153</v>
      </c>
      <c r="AR66" s="1627" t="s">
        <v>234</v>
      </c>
      <c r="AS66" s="1640">
        <f>V314</f>
        <v>1237.5999999999999</v>
      </c>
      <c r="AT66" s="1627" t="s">
        <v>153</v>
      </c>
      <c r="AU66" s="1640">
        <f>(AP66*AS66)</f>
        <v>3712.7999999999997</v>
      </c>
    </row>
    <row r="67" spans="1:47" ht="34.5" customHeight="1">
      <c r="A67" s="1647">
        <f t="shared" si="12"/>
        <v>55</v>
      </c>
      <c r="B67" s="1627" t="s">
        <v>252</v>
      </c>
      <c r="C67" s="1640">
        <f>AE31</f>
        <v>6040</v>
      </c>
      <c r="D67" s="1627" t="s">
        <v>251</v>
      </c>
      <c r="K67" s="1636" t="s">
        <v>21</v>
      </c>
      <c r="M67" s="1640">
        <v>1.8</v>
      </c>
      <c r="N67" s="1627" t="s">
        <v>153</v>
      </c>
      <c r="O67" s="1627" t="s">
        <v>234</v>
      </c>
      <c r="P67" s="1640">
        <f>(C11)</f>
        <v>1237.5999999999999</v>
      </c>
      <c r="Q67" s="1627" t="s">
        <v>153</v>
      </c>
      <c r="R67" s="1640">
        <f>(M67*P67)</f>
        <v>2227.6799999999998</v>
      </c>
      <c r="U67" s="1629" t="s">
        <v>5551</v>
      </c>
      <c r="V67" s="1629" t="s">
        <v>2143</v>
      </c>
      <c r="W67" s="1634">
        <v>370.25</v>
      </c>
      <c r="AF67" s="1665" t="s">
        <v>5552</v>
      </c>
      <c r="AG67" s="1640">
        <f t="shared" si="2"/>
        <v>51.730000000000004</v>
      </c>
      <c r="AH67" s="1661">
        <v>36.950000000000003</v>
      </c>
      <c r="AI67" s="1640">
        <f t="shared" si="3"/>
        <v>40.645000000000003</v>
      </c>
      <c r="AJ67" s="1629">
        <f t="shared" si="4"/>
        <v>44.34</v>
      </c>
      <c r="AK67" s="1629">
        <f t="shared" si="5"/>
        <v>55.425000000000004</v>
      </c>
      <c r="AL67" s="1629">
        <f t="shared" si="6"/>
        <v>38.797500000000007</v>
      </c>
      <c r="AM67" s="1629">
        <f t="shared" si="7"/>
        <v>46.1875</v>
      </c>
      <c r="AN67" s="1629">
        <f t="shared" si="8"/>
        <v>51.730000000000004</v>
      </c>
      <c r="AP67" s="1640">
        <v>2</v>
      </c>
      <c r="AQ67" s="1638" t="s">
        <v>153</v>
      </c>
      <c r="AR67" s="1627" t="s">
        <v>235</v>
      </c>
      <c r="AS67" s="1640">
        <f>V315</f>
        <v>865.19999999999993</v>
      </c>
      <c r="AT67" s="1627" t="s">
        <v>153</v>
      </c>
      <c r="AU67" s="1640">
        <f>(AP67*AS67)</f>
        <v>1730.3999999999999</v>
      </c>
    </row>
    <row r="68" spans="1:47" ht="24" customHeight="1">
      <c r="A68" s="1647">
        <f t="shared" si="12"/>
        <v>56</v>
      </c>
      <c r="B68" s="1627" t="s">
        <v>753</v>
      </c>
      <c r="C68" s="1640">
        <f t="shared" ref="C68:C74" si="13">AE9</f>
        <v>1429.12</v>
      </c>
      <c r="D68" s="1627" t="s">
        <v>151</v>
      </c>
      <c r="H68" s="1627" t="s">
        <v>255</v>
      </c>
      <c r="K68" s="1639">
        <f>SUM(K63:K66)</f>
        <v>3663.74</v>
      </c>
      <c r="M68" s="1640">
        <v>17.7</v>
      </c>
      <c r="N68" s="1627" t="s">
        <v>153</v>
      </c>
      <c r="O68" s="1627" t="s">
        <v>235</v>
      </c>
      <c r="P68" s="1640">
        <f>(C12)</f>
        <v>865.19999999999993</v>
      </c>
      <c r="Q68" s="1627" t="s">
        <v>153</v>
      </c>
      <c r="R68" s="1640">
        <f>(M68*P68)</f>
        <v>15314.039999999999</v>
      </c>
      <c r="U68" s="1629" t="s">
        <v>5553</v>
      </c>
      <c r="W68" s="1634"/>
      <c r="AG68" s="1640"/>
      <c r="AI68" s="1640"/>
      <c r="AP68" s="1640">
        <v>6</v>
      </c>
      <c r="AQ68" s="1638" t="s">
        <v>153</v>
      </c>
      <c r="AR68" s="1627" t="s">
        <v>236</v>
      </c>
      <c r="AS68" s="1640">
        <f>V316</f>
        <v>709.8</v>
      </c>
      <c r="AT68" s="1627" t="s">
        <v>153</v>
      </c>
      <c r="AU68" s="1640">
        <f>(AP68*AS68)</f>
        <v>4258.7999999999993</v>
      </c>
    </row>
    <row r="69" spans="1:47" ht="24" customHeight="1">
      <c r="A69" s="1647">
        <f t="shared" si="12"/>
        <v>57</v>
      </c>
      <c r="B69" s="1627" t="s">
        <v>754</v>
      </c>
      <c r="C69" s="1640">
        <f t="shared" si="13"/>
        <v>1628.12</v>
      </c>
      <c r="D69" s="1627" t="s">
        <v>151</v>
      </c>
      <c r="K69" s="1636" t="s">
        <v>21</v>
      </c>
      <c r="M69" s="1640">
        <v>14.1</v>
      </c>
      <c r="N69" s="1627" t="s">
        <v>153</v>
      </c>
      <c r="O69" s="1627" t="s">
        <v>236</v>
      </c>
      <c r="P69" s="1640">
        <f>(C13)</f>
        <v>709.8</v>
      </c>
      <c r="Q69" s="1627" t="s">
        <v>153</v>
      </c>
      <c r="R69" s="1640">
        <f>(M69*P69)</f>
        <v>10008.179999999998</v>
      </c>
      <c r="U69" s="1629" t="s">
        <v>5554</v>
      </c>
      <c r="V69" s="1629" t="s">
        <v>340</v>
      </c>
      <c r="W69" s="1634">
        <v>9180</v>
      </c>
      <c r="AG69" s="1640"/>
      <c r="AI69" s="1640"/>
      <c r="AQ69" s="1638" t="s">
        <v>226</v>
      </c>
      <c r="AR69" s="1627" t="s">
        <v>237</v>
      </c>
      <c r="AT69" s="1627" t="s">
        <v>226</v>
      </c>
      <c r="AU69" s="1640">
        <v>5</v>
      </c>
    </row>
    <row r="70" spans="1:47" ht="24" customHeight="1">
      <c r="A70" s="1647">
        <f t="shared" si="12"/>
        <v>58</v>
      </c>
      <c r="B70" s="1627" t="s">
        <v>755</v>
      </c>
      <c r="C70" s="1640">
        <f t="shared" si="13"/>
        <v>1742.0500000000002</v>
      </c>
      <c r="D70" s="1627" t="s">
        <v>151</v>
      </c>
      <c r="G70" s="1638" t="s">
        <v>249</v>
      </c>
      <c r="H70" s="1627" t="s">
        <v>384</v>
      </c>
      <c r="N70" s="1627" t="s">
        <v>226</v>
      </c>
      <c r="O70" s="1627" t="s">
        <v>237</v>
      </c>
      <c r="Q70" s="1627" t="s">
        <v>226</v>
      </c>
      <c r="R70" s="1640">
        <v>0</v>
      </c>
      <c r="U70" s="1629" t="s">
        <v>5555</v>
      </c>
      <c r="V70" s="1629" t="s">
        <v>340</v>
      </c>
      <c r="W70" s="1634">
        <v>7140</v>
      </c>
      <c r="AG70" s="1640"/>
      <c r="AI70" s="1640"/>
      <c r="AQ70" s="1630"/>
      <c r="AT70" s="1632"/>
      <c r="AU70" s="1636" t="s">
        <v>21</v>
      </c>
    </row>
    <row r="71" spans="1:47" ht="24" customHeight="1">
      <c r="A71" s="1647">
        <f t="shared" si="12"/>
        <v>59</v>
      </c>
      <c r="B71" s="1627" t="s">
        <v>756</v>
      </c>
      <c r="C71" s="1640">
        <f t="shared" si="13"/>
        <v>1980.72</v>
      </c>
      <c r="D71" s="1627" t="s">
        <v>151</v>
      </c>
      <c r="H71" s="1636" t="s">
        <v>21</v>
      </c>
      <c r="R71" s="1636" t="s">
        <v>21</v>
      </c>
      <c r="U71" s="1629" t="s">
        <v>5556</v>
      </c>
      <c r="V71" s="1629" t="s">
        <v>5557</v>
      </c>
      <c r="W71" s="1634">
        <v>8106</v>
      </c>
      <c r="AG71" s="1640"/>
      <c r="AI71" s="1640"/>
      <c r="AQ71" s="1630"/>
      <c r="AR71" s="1627" t="s">
        <v>757</v>
      </c>
      <c r="AT71" s="1632"/>
      <c r="AU71" s="1640">
        <f>SUM(AU63:AU69)</f>
        <v>24533.78916</v>
      </c>
    </row>
    <row r="72" spans="1:47" ht="24" customHeight="1">
      <c r="A72" s="1647">
        <f t="shared" si="12"/>
        <v>60</v>
      </c>
      <c r="B72" s="1627" t="s">
        <v>758</v>
      </c>
      <c r="C72" s="1640">
        <f t="shared" si="13"/>
        <v>2341.7200000000003</v>
      </c>
      <c r="D72" s="1627" t="s">
        <v>151</v>
      </c>
      <c r="F72" s="1640">
        <v>0.18</v>
      </c>
      <c r="G72" s="1638" t="s">
        <v>251</v>
      </c>
      <c r="H72" s="1627" t="s">
        <v>252</v>
      </c>
      <c r="I72" s="1640">
        <f>(C67)</f>
        <v>6040</v>
      </c>
      <c r="J72" s="1627" t="s">
        <v>251</v>
      </c>
      <c r="K72" s="1640">
        <f>(F72*I72)</f>
        <v>1087.2</v>
      </c>
      <c r="O72" s="1627" t="s">
        <v>263</v>
      </c>
      <c r="R72" s="1640">
        <f>SUM(R65:R70)</f>
        <v>80027.73</v>
      </c>
      <c r="U72" s="1629" t="s">
        <v>5558</v>
      </c>
      <c r="V72" s="1629" t="s">
        <v>5557</v>
      </c>
      <c r="W72" s="1634">
        <v>7482</v>
      </c>
      <c r="AG72" s="1640"/>
      <c r="AI72" s="1640"/>
      <c r="AQ72" s="1630"/>
      <c r="AT72" s="1632"/>
      <c r="AU72" s="1636" t="s">
        <v>21</v>
      </c>
    </row>
    <row r="73" spans="1:47" ht="24" customHeight="1">
      <c r="A73" s="1647">
        <f t="shared" si="12"/>
        <v>61</v>
      </c>
      <c r="B73" s="1627" t="s">
        <v>759</v>
      </c>
      <c r="C73" s="1640">
        <f t="shared" si="13"/>
        <v>2446.7200000000003</v>
      </c>
      <c r="D73" s="1627" t="s">
        <v>151</v>
      </c>
      <c r="F73" s="1640">
        <v>1</v>
      </c>
      <c r="G73" s="1638" t="s">
        <v>151</v>
      </c>
      <c r="H73" s="1627" t="s">
        <v>253</v>
      </c>
      <c r="I73" s="1640">
        <f>(C78)</f>
        <v>2265.5</v>
      </c>
      <c r="J73" s="1627" t="s">
        <v>151</v>
      </c>
      <c r="K73" s="1640">
        <f>(F73*I73)</f>
        <v>2265.5</v>
      </c>
      <c r="R73" s="1636" t="s">
        <v>21</v>
      </c>
      <c r="W73" s="1634"/>
      <c r="AG73" s="1640"/>
      <c r="AI73" s="1640"/>
      <c r="AQ73" s="1630"/>
      <c r="AR73" s="1641" t="s">
        <v>270</v>
      </c>
      <c r="AT73" s="1632"/>
      <c r="AU73" s="1639">
        <f>(AU71/2.83168)</f>
        <v>8664.0401316532934</v>
      </c>
    </row>
    <row r="74" spans="1:47" ht="24" customHeight="1">
      <c r="A74" s="1647">
        <f t="shared" si="12"/>
        <v>62</v>
      </c>
      <c r="B74" s="1627" t="s">
        <v>760</v>
      </c>
      <c r="C74" s="1640">
        <f t="shared" si="13"/>
        <v>2033.72</v>
      </c>
      <c r="D74" s="1627" t="s">
        <v>151</v>
      </c>
      <c r="F74" s="1640">
        <v>1</v>
      </c>
      <c r="G74" s="1638" t="s">
        <v>151</v>
      </c>
      <c r="H74" s="1627" t="s">
        <v>254</v>
      </c>
      <c r="I74" s="1640">
        <f>(C18)</f>
        <v>154</v>
      </c>
      <c r="J74" s="1627" t="s">
        <v>151</v>
      </c>
      <c r="K74" s="1640">
        <f>(F74*I74)</f>
        <v>154</v>
      </c>
      <c r="O74" s="1627" t="s">
        <v>270</v>
      </c>
      <c r="R74" s="1640">
        <f>(R72/10)</f>
        <v>8002.7729999999992</v>
      </c>
      <c r="U74" s="1672" t="s">
        <v>5559</v>
      </c>
      <c r="V74" s="1629" t="s">
        <v>5560</v>
      </c>
      <c r="W74" s="1634">
        <v>2419</v>
      </c>
      <c r="AG74" s="1640"/>
      <c r="AI74" s="1640"/>
      <c r="AQ74" s="1630"/>
      <c r="AT74" s="1632"/>
      <c r="AU74" s="1636" t="s">
        <v>156</v>
      </c>
    </row>
    <row r="75" spans="1:47" ht="24" customHeight="1">
      <c r="A75" s="1647">
        <f t="shared" si="12"/>
        <v>63</v>
      </c>
      <c r="B75" s="1627" t="s">
        <v>761</v>
      </c>
      <c r="C75" s="1640">
        <v>175</v>
      </c>
      <c r="D75" s="1627" t="s">
        <v>249</v>
      </c>
      <c r="G75" s="1638" t="s">
        <v>226</v>
      </c>
      <c r="H75" s="1627" t="s">
        <v>237</v>
      </c>
      <c r="I75" s="1627" t="s">
        <v>150</v>
      </c>
      <c r="J75" s="1627" t="s">
        <v>226</v>
      </c>
      <c r="K75" s="1640">
        <v>0</v>
      </c>
      <c r="R75" s="1636" t="s">
        <v>156</v>
      </c>
      <c r="W75" s="1634"/>
      <c r="AG75" s="1640"/>
      <c r="AI75" s="1640"/>
      <c r="AQ75" s="1630"/>
      <c r="AR75" s="1627" t="s">
        <v>271</v>
      </c>
      <c r="AT75" s="1632"/>
      <c r="AU75" s="1640">
        <f>AU73+C19</f>
        <v>8768.7601316532928</v>
      </c>
    </row>
    <row r="76" spans="1:47" ht="24" customHeight="1">
      <c r="A76" s="1647">
        <f t="shared" si="12"/>
        <v>64</v>
      </c>
      <c r="B76" s="1627" t="s">
        <v>762</v>
      </c>
      <c r="C76" s="1640">
        <v>460</v>
      </c>
      <c r="D76" s="1640">
        <v>290</v>
      </c>
      <c r="E76" s="1629" t="s">
        <v>763</v>
      </c>
      <c r="K76" s="1636" t="s">
        <v>21</v>
      </c>
      <c r="N76" s="1627" t="s">
        <v>249</v>
      </c>
      <c r="O76" s="1627" t="s">
        <v>764</v>
      </c>
      <c r="W76" s="1634"/>
      <c r="AG76" s="1640"/>
      <c r="AI76" s="1640"/>
      <c r="AQ76" s="1630"/>
      <c r="AR76" s="1627" t="s">
        <v>272</v>
      </c>
      <c r="AT76" s="1632"/>
      <c r="AU76" s="1640">
        <f>AU75+C20</f>
        <v>8980.020131653293</v>
      </c>
    </row>
    <row r="77" spans="1:47" ht="24" customHeight="1">
      <c r="A77" s="1647">
        <f t="shared" si="12"/>
        <v>65</v>
      </c>
      <c r="B77" s="1627" t="s">
        <v>765</v>
      </c>
      <c r="C77" s="1640">
        <f>AE34</f>
        <v>5213.5200000000004</v>
      </c>
      <c r="D77" s="1627" t="s">
        <v>151</v>
      </c>
      <c r="H77" s="1627" t="s">
        <v>255</v>
      </c>
      <c r="K77" s="1639">
        <f>SUM(K72:K75)</f>
        <v>3506.7</v>
      </c>
      <c r="O77" s="1627" t="s">
        <v>766</v>
      </c>
      <c r="W77" s="1634"/>
      <c r="AG77" s="1640"/>
      <c r="AI77" s="1640"/>
      <c r="AQ77" s="1630"/>
      <c r="AR77" s="1627" t="s">
        <v>767</v>
      </c>
      <c r="AT77" s="1632"/>
      <c r="AU77" s="1640">
        <f>AU76+C20</f>
        <v>9191.2801316532932</v>
      </c>
    </row>
    <row r="78" spans="1:47" ht="24" customHeight="1">
      <c r="A78" s="1647">
        <f t="shared" si="12"/>
        <v>66</v>
      </c>
      <c r="B78" s="1627" t="s">
        <v>768</v>
      </c>
      <c r="C78" s="1640">
        <f t="shared" ref="C78:C91" si="14">AE16</f>
        <v>2265.5</v>
      </c>
      <c r="D78" s="1627" t="s">
        <v>151</v>
      </c>
      <c r="K78" s="1636" t="s">
        <v>21</v>
      </c>
      <c r="O78" s="1636" t="s">
        <v>21</v>
      </c>
      <c r="W78" s="1634"/>
      <c r="AG78" s="1640"/>
      <c r="AI78" s="1627"/>
      <c r="AQ78" s="1630"/>
      <c r="AR78" s="1627" t="s">
        <v>769</v>
      </c>
      <c r="AT78" s="1632"/>
      <c r="AU78" s="1640">
        <f>AU77+C20</f>
        <v>9402.5401316532934</v>
      </c>
    </row>
    <row r="79" spans="1:47" ht="24" customHeight="1">
      <c r="A79" s="1647">
        <f t="shared" si="12"/>
        <v>67</v>
      </c>
      <c r="B79" s="1627" t="s">
        <v>605</v>
      </c>
      <c r="C79" s="1640">
        <f t="shared" si="14"/>
        <v>2265.5</v>
      </c>
      <c r="D79" s="1627" t="s">
        <v>151</v>
      </c>
      <c r="F79" s="1662">
        <v>1.1000000000000001</v>
      </c>
      <c r="G79" s="1638" t="s">
        <v>150</v>
      </c>
      <c r="H79" s="1627" t="s">
        <v>770</v>
      </c>
      <c r="M79" s="1640">
        <v>4600</v>
      </c>
      <c r="N79" s="1627" t="s">
        <v>267</v>
      </c>
      <c r="O79" s="1627" t="s">
        <v>771</v>
      </c>
      <c r="P79" s="1640">
        <f>AE41</f>
        <v>8120.3099999999995</v>
      </c>
      <c r="Q79" s="1627" t="s">
        <v>268</v>
      </c>
      <c r="R79" s="1640">
        <f>(M79*P79)/1000</f>
        <v>37353.425999999999</v>
      </c>
      <c r="S79" s="1673">
        <v>1.1000000000000001</v>
      </c>
      <c r="T79" s="1638" t="s">
        <v>150</v>
      </c>
      <c r="U79" s="1631" t="s">
        <v>772</v>
      </c>
      <c r="W79" s="1634"/>
      <c r="AG79" s="1640"/>
      <c r="AI79" s="1627"/>
      <c r="AQ79" s="1630"/>
      <c r="AR79" s="1627" t="s">
        <v>773</v>
      </c>
      <c r="AT79" s="1632"/>
      <c r="AU79" s="1640">
        <f>AU78+C20</f>
        <v>9613.8001316532936</v>
      </c>
    </row>
    <row r="80" spans="1:47" ht="24" customHeight="1">
      <c r="A80" s="1647">
        <f t="shared" si="12"/>
        <v>68</v>
      </c>
      <c r="B80" s="1627" t="s">
        <v>774</v>
      </c>
      <c r="C80" s="1640">
        <f t="shared" si="14"/>
        <v>6623.52</v>
      </c>
      <c r="D80" s="1627" t="s">
        <v>297</v>
      </c>
      <c r="F80" s="1674" t="s">
        <v>150</v>
      </c>
      <c r="H80" s="1627" t="s">
        <v>775</v>
      </c>
      <c r="M80" s="1640">
        <v>2.5</v>
      </c>
      <c r="N80" s="1627" t="s">
        <v>151</v>
      </c>
      <c r="O80" s="1627" t="s">
        <v>259</v>
      </c>
      <c r="P80" s="1640">
        <f>(K49)</f>
        <v>4159.0200000000004</v>
      </c>
      <c r="Q80" s="1627" t="s">
        <v>151</v>
      </c>
      <c r="R80" s="1640">
        <f>(M80*P80)</f>
        <v>10397.550000000001</v>
      </c>
      <c r="S80" s="1675" t="s">
        <v>150</v>
      </c>
      <c r="T80" s="1630"/>
      <c r="U80" s="1627" t="s">
        <v>775</v>
      </c>
      <c r="W80" s="1634"/>
      <c r="AG80" s="1640"/>
      <c r="AI80" s="1627"/>
      <c r="AS80" s="1640"/>
      <c r="AU80" s="1627"/>
    </row>
    <row r="81" spans="1:47" ht="24" customHeight="1">
      <c r="A81" s="1647">
        <f t="shared" si="12"/>
        <v>69</v>
      </c>
      <c r="B81" s="1627" t="s">
        <v>776</v>
      </c>
      <c r="C81" s="1640">
        <f t="shared" si="14"/>
        <v>1451.42</v>
      </c>
      <c r="D81" s="1627" t="s">
        <v>151</v>
      </c>
      <c r="F81" s="1640">
        <v>10</v>
      </c>
      <c r="G81" s="1638" t="s">
        <v>151</v>
      </c>
      <c r="H81" s="1627" t="s">
        <v>261</v>
      </c>
      <c r="I81" s="1640">
        <f>(C61)</f>
        <v>148.75</v>
      </c>
      <c r="J81" s="1627" t="s">
        <v>151</v>
      </c>
      <c r="K81" s="1640">
        <f>(F81*I81)</f>
        <v>1487.5</v>
      </c>
      <c r="M81" s="1640">
        <v>3.5</v>
      </c>
      <c r="N81" s="1627" t="s">
        <v>153</v>
      </c>
      <c r="O81" s="1627" t="s">
        <v>269</v>
      </c>
      <c r="P81" s="1640">
        <f>(C10)</f>
        <v>1325.8</v>
      </c>
      <c r="Q81" s="1627" t="s">
        <v>153</v>
      </c>
      <c r="R81" s="1640">
        <f>(M81*P81)</f>
        <v>4640.3</v>
      </c>
      <c r="S81" s="1658">
        <v>10</v>
      </c>
      <c r="T81" s="1638" t="s">
        <v>151</v>
      </c>
      <c r="U81" s="1627" t="s">
        <v>261</v>
      </c>
      <c r="V81" s="1640">
        <f>AG39</f>
        <v>99.33</v>
      </c>
      <c r="W81" s="1628" t="s">
        <v>151</v>
      </c>
      <c r="X81" s="1640">
        <f>(S81*V81)</f>
        <v>993.3</v>
      </c>
      <c r="Y81" s="1640"/>
      <c r="AG81" s="1640"/>
      <c r="AI81" s="1627"/>
      <c r="AS81" s="1640"/>
      <c r="AU81" s="1627"/>
    </row>
    <row r="82" spans="1:47" ht="24" customHeight="1">
      <c r="A82" s="1647">
        <f t="shared" si="12"/>
        <v>70</v>
      </c>
      <c r="B82" s="1627" t="s">
        <v>777</v>
      </c>
      <c r="C82" s="1640">
        <f t="shared" si="14"/>
        <v>1532.42</v>
      </c>
      <c r="D82" s="1627" t="s">
        <v>151</v>
      </c>
      <c r="F82" s="1640">
        <v>10</v>
      </c>
      <c r="G82" s="1638" t="s">
        <v>151</v>
      </c>
      <c r="H82" s="1627" t="s">
        <v>778</v>
      </c>
      <c r="I82" s="1640">
        <f>(C61)</f>
        <v>148.75</v>
      </c>
      <c r="J82" s="1627" t="s">
        <v>151</v>
      </c>
      <c r="K82" s="1640">
        <f>(F82*I82)</f>
        <v>1487.5</v>
      </c>
      <c r="L82" s="1629">
        <f>I82+I81</f>
        <v>297.5</v>
      </c>
      <c r="M82" s="1640">
        <v>10.6</v>
      </c>
      <c r="N82" s="1627" t="s">
        <v>153</v>
      </c>
      <c r="O82" s="1627" t="s">
        <v>234</v>
      </c>
      <c r="P82" s="1640">
        <f>(C11)</f>
        <v>1237.5999999999999</v>
      </c>
      <c r="Q82" s="1627" t="s">
        <v>153</v>
      </c>
      <c r="R82" s="1640">
        <f>(M82*P82)</f>
        <v>13118.56</v>
      </c>
      <c r="S82" s="1658">
        <v>10</v>
      </c>
      <c r="T82" s="1638" t="s">
        <v>151</v>
      </c>
      <c r="U82" s="1627" t="s">
        <v>778</v>
      </c>
      <c r="V82" s="1640">
        <f>V81</f>
        <v>99.33</v>
      </c>
      <c r="W82" s="1628" t="s">
        <v>151</v>
      </c>
      <c r="X82" s="1640">
        <f>(S82*V82)</f>
        <v>993.3</v>
      </c>
      <c r="Y82" s="1640"/>
      <c r="AG82" s="1640"/>
      <c r="AI82" s="1627"/>
      <c r="AS82" s="1640"/>
      <c r="AU82" s="1627"/>
    </row>
    <row r="83" spans="1:47" ht="24" customHeight="1">
      <c r="A83" s="1647">
        <f t="shared" si="12"/>
        <v>71</v>
      </c>
      <c r="B83" s="1627" t="s">
        <v>779</v>
      </c>
      <c r="C83" s="1640">
        <f t="shared" si="14"/>
        <v>16106</v>
      </c>
      <c r="D83" s="1627" t="s">
        <v>297</v>
      </c>
      <c r="E83" s="1629">
        <v>8710</v>
      </c>
      <c r="F83" s="1640">
        <v>10</v>
      </c>
      <c r="G83" s="1638" t="s">
        <v>151</v>
      </c>
      <c r="H83" s="1627" t="s">
        <v>262</v>
      </c>
      <c r="I83" s="1640">
        <f>(C26)/3</f>
        <v>17.243333333333336</v>
      </c>
      <c r="J83" s="1627" t="s">
        <v>151</v>
      </c>
      <c r="K83" s="1640">
        <f>(F83*I83)</f>
        <v>172.43333333333337</v>
      </c>
      <c r="M83" s="1640">
        <v>7.1</v>
      </c>
      <c r="N83" s="1627" t="s">
        <v>153</v>
      </c>
      <c r="O83" s="1627" t="s">
        <v>235</v>
      </c>
      <c r="P83" s="1640">
        <f>(C12)</f>
        <v>865.19999999999993</v>
      </c>
      <c r="Q83" s="1627" t="s">
        <v>153</v>
      </c>
      <c r="R83" s="1640">
        <f>(M83*P83)</f>
        <v>6142.9199999999992</v>
      </c>
      <c r="S83" s="1658">
        <v>10</v>
      </c>
      <c r="T83" s="1638" t="s">
        <v>151</v>
      </c>
      <c r="U83" s="1627" t="s">
        <v>262</v>
      </c>
      <c r="V83" s="1640">
        <f>AG27/3</f>
        <v>15.143333333333333</v>
      </c>
      <c r="W83" s="1628" t="s">
        <v>151</v>
      </c>
      <c r="X83" s="1640">
        <f>(S83*V83)</f>
        <v>151.43333333333334</v>
      </c>
      <c r="Y83" s="1640"/>
      <c r="AG83" s="1640"/>
      <c r="AI83" s="1627"/>
      <c r="AS83" s="1640"/>
      <c r="AU83" s="1627"/>
    </row>
    <row r="84" spans="1:47" ht="24" customHeight="1">
      <c r="A84" s="1647">
        <f t="shared" si="12"/>
        <v>72</v>
      </c>
      <c r="B84" s="1627" t="s">
        <v>780</v>
      </c>
      <c r="C84" s="1640">
        <f t="shared" si="14"/>
        <v>1348</v>
      </c>
      <c r="D84" s="1627" t="s">
        <v>151</v>
      </c>
      <c r="G84" s="1638" t="s">
        <v>226</v>
      </c>
      <c r="H84" s="1627" t="s">
        <v>237</v>
      </c>
      <c r="J84" s="1627" t="s">
        <v>226</v>
      </c>
      <c r="K84" s="1640">
        <v>0</v>
      </c>
      <c r="M84" s="1640">
        <v>21.2</v>
      </c>
      <c r="N84" s="1627" t="s">
        <v>153</v>
      </c>
      <c r="O84" s="1627" t="s">
        <v>236</v>
      </c>
      <c r="P84" s="1640">
        <f>(C13)</f>
        <v>709.8</v>
      </c>
      <c r="Q84" s="1627" t="s">
        <v>153</v>
      </c>
      <c r="R84" s="1640">
        <f>(M84*P84)</f>
        <v>15047.759999999998</v>
      </c>
      <c r="T84" s="1638" t="s">
        <v>226</v>
      </c>
      <c r="U84" s="1627" t="s">
        <v>237</v>
      </c>
      <c r="W84" s="1628" t="s">
        <v>226</v>
      </c>
      <c r="X84" s="1640">
        <v>0</v>
      </c>
      <c r="Y84" s="1640"/>
      <c r="AG84" s="1640"/>
      <c r="AI84" s="1627"/>
      <c r="AP84" s="1652">
        <v>9</v>
      </c>
      <c r="AQ84" s="1638" t="s">
        <v>249</v>
      </c>
      <c r="AR84" s="1627" t="s">
        <v>781</v>
      </c>
      <c r="AT84" s="1632"/>
    </row>
    <row r="85" spans="1:47" ht="24" customHeight="1">
      <c r="A85" s="1647">
        <f t="shared" si="12"/>
        <v>73</v>
      </c>
      <c r="B85" s="1627" t="s">
        <v>315</v>
      </c>
      <c r="C85" s="1640">
        <f t="shared" si="14"/>
        <v>993</v>
      </c>
      <c r="D85" s="1627" t="s">
        <v>151</v>
      </c>
      <c r="K85" s="1636" t="s">
        <v>21</v>
      </c>
      <c r="N85" s="1627" t="s">
        <v>226</v>
      </c>
      <c r="O85" s="1627" t="s">
        <v>237</v>
      </c>
      <c r="Q85" s="1627" t="s">
        <v>226</v>
      </c>
      <c r="R85" s="1640">
        <v>0</v>
      </c>
      <c r="T85" s="1630"/>
      <c r="W85" s="1634"/>
      <c r="X85" s="1636" t="s">
        <v>21</v>
      </c>
      <c r="Y85" s="1636"/>
      <c r="AG85" s="1640"/>
      <c r="AI85" s="1627"/>
      <c r="AQ85" s="1630"/>
      <c r="AR85" s="1627" t="str">
        <f>AR61</f>
        <v>Bricks of size 23x11x7 cm</v>
      </c>
      <c r="AT85" s="1632"/>
    </row>
    <row r="86" spans="1:47" ht="24" customHeight="1">
      <c r="A86" s="1647">
        <f t="shared" si="12"/>
        <v>74</v>
      </c>
      <c r="B86" s="1627" t="s">
        <v>782</v>
      </c>
      <c r="C86" s="1640">
        <f t="shared" si="14"/>
        <v>34300</v>
      </c>
      <c r="D86" s="1627" t="s">
        <v>151</v>
      </c>
      <c r="H86" s="1627" t="s">
        <v>263</v>
      </c>
      <c r="K86" s="1640">
        <f>SUM(K81:K84)</f>
        <v>3147.4333333333334</v>
      </c>
      <c r="R86" s="1636" t="s">
        <v>21</v>
      </c>
      <c r="T86" s="1630"/>
      <c r="U86" s="1627" t="s">
        <v>263</v>
      </c>
      <c r="W86" s="1634"/>
      <c r="X86" s="1640">
        <f>SUM(X81:X84)</f>
        <v>2138.0333333333333</v>
      </c>
      <c r="Y86" s="1640"/>
      <c r="AG86" s="1640"/>
      <c r="AI86" s="1627"/>
      <c r="AQ86" s="1630"/>
      <c r="AR86" s="1636" t="s">
        <v>21</v>
      </c>
      <c r="AT86" s="1632"/>
    </row>
    <row r="87" spans="1:47" ht="24" customHeight="1">
      <c r="A87" s="1647">
        <f t="shared" si="12"/>
        <v>75</v>
      </c>
      <c r="B87" s="1627" t="s">
        <v>783</v>
      </c>
      <c r="C87" s="1640">
        <f t="shared" si="14"/>
        <v>39400</v>
      </c>
      <c r="D87" s="1627" t="s">
        <v>151</v>
      </c>
      <c r="K87" s="1636" t="s">
        <v>21</v>
      </c>
      <c r="O87" s="1627" t="s">
        <v>263</v>
      </c>
      <c r="R87" s="1640">
        <f>SUM(R79:R85)</f>
        <v>86700.516000000003</v>
      </c>
      <c r="T87" s="1630"/>
      <c r="W87" s="1634"/>
      <c r="X87" s="1636" t="s">
        <v>21</v>
      </c>
      <c r="Y87" s="1636"/>
      <c r="AG87" s="1640"/>
      <c r="AI87" s="1627"/>
      <c r="AP87" s="1640">
        <f>AP63</f>
        <v>1300</v>
      </c>
      <c r="AQ87" s="1638" t="s">
        <v>267</v>
      </c>
      <c r="AR87" s="1640" t="str">
        <f>AR61</f>
        <v>Bricks of size 23x11x7 cm</v>
      </c>
      <c r="AS87" s="1640">
        <f>AE45</f>
        <v>8120.3099999999995</v>
      </c>
      <c r="AT87" s="1627" t="s">
        <v>268</v>
      </c>
      <c r="AU87" s="1640">
        <f>AS87*AP87/1000</f>
        <v>10556.403</v>
      </c>
    </row>
    <row r="88" spans="1:47" ht="36" customHeight="1">
      <c r="A88" s="1647">
        <f t="shared" si="12"/>
        <v>76</v>
      </c>
      <c r="B88" s="1627" t="s">
        <v>784</v>
      </c>
      <c r="C88" s="1640">
        <f t="shared" si="14"/>
        <v>111600</v>
      </c>
      <c r="D88" s="1627" t="s">
        <v>151</v>
      </c>
      <c r="H88" s="1631" t="s">
        <v>785</v>
      </c>
      <c r="I88" s="1661" t="s">
        <v>265</v>
      </c>
      <c r="J88" s="1676"/>
      <c r="K88" s="1639">
        <f>(K86/10)</f>
        <v>314.74333333333334</v>
      </c>
      <c r="R88" s="1636" t="s">
        <v>21</v>
      </c>
      <c r="T88" s="1630"/>
      <c r="U88" s="1631" t="s">
        <v>785</v>
      </c>
      <c r="V88" s="1661" t="s">
        <v>265</v>
      </c>
      <c r="W88" s="1677"/>
      <c r="X88" s="1639">
        <f>(X86/10)</f>
        <v>213.80333333333334</v>
      </c>
      <c r="Y88" s="1639"/>
      <c r="AG88" s="1640"/>
      <c r="AI88" s="1627"/>
      <c r="AP88" s="1658">
        <f>AP64</f>
        <v>0.70799999999999996</v>
      </c>
      <c r="AQ88" s="1638" t="s">
        <v>151</v>
      </c>
      <c r="AR88" s="1627" t="s">
        <v>260</v>
      </c>
      <c r="AS88" s="1640">
        <f>K58</f>
        <v>3869.1</v>
      </c>
      <c r="AT88" s="1627" t="s">
        <v>151</v>
      </c>
      <c r="AU88" s="1640">
        <f>AS88*AP88</f>
        <v>2739.3227999999999</v>
      </c>
    </row>
    <row r="89" spans="1:47" ht="19.5" customHeight="1">
      <c r="A89" s="1647">
        <f t="shared" si="12"/>
        <v>77</v>
      </c>
      <c r="B89" s="1627" t="s">
        <v>786</v>
      </c>
      <c r="C89" s="1640">
        <f t="shared" si="14"/>
        <v>99400</v>
      </c>
      <c r="D89" s="1627" t="s">
        <v>151</v>
      </c>
      <c r="I89" s="1661" t="s">
        <v>266</v>
      </c>
      <c r="J89" s="1676"/>
      <c r="K89" s="1637">
        <f>ROUND(K88+C36,2)</f>
        <v>329.02</v>
      </c>
      <c r="L89" s="1629">
        <f>K89+C36</f>
        <v>343.29999999999995</v>
      </c>
      <c r="M89" s="1629">
        <f>L89+C36</f>
        <v>357.57999999999993</v>
      </c>
      <c r="O89" s="1627" t="s">
        <v>270</v>
      </c>
      <c r="R89" s="1640">
        <f>(R87/10)</f>
        <v>8670.0516000000007</v>
      </c>
      <c r="T89" s="1630"/>
      <c r="V89" s="1661" t="s">
        <v>266</v>
      </c>
      <c r="W89" s="1677"/>
      <c r="X89" s="1637">
        <f>ROUND(X88+C36,2)</f>
        <v>228.08</v>
      </c>
      <c r="Y89" s="1637"/>
      <c r="AG89" s="1640"/>
      <c r="AI89" s="1627"/>
      <c r="AP89" s="1640">
        <v>1</v>
      </c>
      <c r="AQ89" s="1638" t="s">
        <v>153</v>
      </c>
      <c r="AR89" s="1627" t="s">
        <v>269</v>
      </c>
      <c r="AS89" s="1640">
        <f>AS65</f>
        <v>1325.8</v>
      </c>
      <c r="AT89" s="1627" t="s">
        <v>153</v>
      </c>
      <c r="AU89" s="1640">
        <f>AS89*AP89</f>
        <v>1325.8</v>
      </c>
    </row>
    <row r="90" spans="1:47" ht="36" customHeight="1">
      <c r="A90" s="1647">
        <f t="shared" si="12"/>
        <v>78</v>
      </c>
      <c r="B90" s="1627" t="s">
        <v>787</v>
      </c>
      <c r="C90" s="1640">
        <f>AE28</f>
        <v>95000</v>
      </c>
      <c r="D90" s="1627" t="s">
        <v>151</v>
      </c>
      <c r="F90" s="1652" t="s">
        <v>788</v>
      </c>
      <c r="H90" s="1678" t="s">
        <v>789</v>
      </c>
      <c r="I90" s="1661" t="s">
        <v>265</v>
      </c>
      <c r="J90" s="1676"/>
      <c r="K90" s="1639">
        <f>K88-K83/10</f>
        <v>297.5</v>
      </c>
      <c r="R90" s="1636" t="s">
        <v>156</v>
      </c>
      <c r="S90" s="1673" t="s">
        <v>788</v>
      </c>
      <c r="T90" s="1630"/>
      <c r="U90" s="1678" t="s">
        <v>790</v>
      </c>
      <c r="V90" s="1661" t="s">
        <v>265</v>
      </c>
      <c r="W90" s="1677"/>
      <c r="X90" s="1639">
        <f>X88-X83/10</f>
        <v>198.66</v>
      </c>
      <c r="Y90" s="1639"/>
      <c r="AG90" s="1640"/>
      <c r="AI90" s="1627"/>
      <c r="AP90" s="1640">
        <v>3</v>
      </c>
      <c r="AQ90" s="1638" t="s">
        <v>153</v>
      </c>
      <c r="AR90" s="1627" t="s">
        <v>234</v>
      </c>
      <c r="AS90" s="1640">
        <f>AS66</f>
        <v>1237.5999999999999</v>
      </c>
      <c r="AT90" s="1627" t="s">
        <v>153</v>
      </c>
      <c r="AU90" s="1640">
        <f>AS90*AP90</f>
        <v>3712.7999999999997</v>
      </c>
    </row>
    <row r="91" spans="1:47" ht="24" customHeight="1">
      <c r="A91" s="1647">
        <f t="shared" si="12"/>
        <v>79</v>
      </c>
      <c r="B91" s="1627" t="s">
        <v>791</v>
      </c>
      <c r="C91" s="1640">
        <f t="shared" si="14"/>
        <v>5213.5200000000004</v>
      </c>
      <c r="D91" s="1627" t="s">
        <v>297</v>
      </c>
      <c r="I91" s="1661" t="s">
        <v>266</v>
      </c>
      <c r="J91" s="1676"/>
      <c r="K91" s="1637">
        <f>ROUND(K90+C36,2)</f>
        <v>311.77999999999997</v>
      </c>
      <c r="T91" s="1630"/>
      <c r="V91" s="1661" t="s">
        <v>266</v>
      </c>
      <c r="W91" s="1677"/>
      <c r="X91" s="1637">
        <f>ROUND(X90+C36,2)</f>
        <v>212.94</v>
      </c>
      <c r="Y91" s="1637"/>
      <c r="AG91" s="1640"/>
      <c r="AI91" s="1627"/>
      <c r="AP91" s="1640">
        <v>2</v>
      </c>
      <c r="AQ91" s="1638" t="s">
        <v>153</v>
      </c>
      <c r="AR91" s="1627" t="s">
        <v>235</v>
      </c>
      <c r="AS91" s="1640">
        <f>AS67</f>
        <v>865.19999999999993</v>
      </c>
      <c r="AT91" s="1627" t="s">
        <v>153</v>
      </c>
      <c r="AU91" s="1640">
        <f>AS91*AP91</f>
        <v>1730.3999999999999</v>
      </c>
    </row>
    <row r="92" spans="1:47" ht="24" customHeight="1">
      <c r="F92" s="1652" t="s">
        <v>792</v>
      </c>
      <c r="G92" s="1638" t="s">
        <v>150</v>
      </c>
      <c r="H92" s="1627" t="s">
        <v>5561</v>
      </c>
      <c r="S92" s="1673"/>
      <c r="T92" s="1638"/>
      <c r="U92" s="1627"/>
      <c r="W92" s="1634"/>
      <c r="AG92" s="1640"/>
      <c r="AP92" s="1640">
        <v>6</v>
      </c>
      <c r="AQ92" s="1638" t="s">
        <v>153</v>
      </c>
      <c r="AR92" s="1627" t="s">
        <v>236</v>
      </c>
      <c r="AS92" s="1640">
        <f>AS68</f>
        <v>709.8</v>
      </c>
      <c r="AT92" s="1627" t="s">
        <v>153</v>
      </c>
      <c r="AU92" s="1640">
        <f>AS92*AP92</f>
        <v>4258.7999999999993</v>
      </c>
    </row>
    <row r="93" spans="1:47" ht="24" customHeight="1">
      <c r="F93" s="1674" t="s">
        <v>150</v>
      </c>
      <c r="H93" s="1636" t="s">
        <v>21</v>
      </c>
      <c r="M93" s="1629" t="s">
        <v>794</v>
      </c>
      <c r="S93" s="1675"/>
      <c r="T93" s="1630"/>
      <c r="U93" s="1636"/>
      <c r="W93" s="1634"/>
      <c r="AG93" s="1640"/>
      <c r="AQ93" s="1638" t="s">
        <v>226</v>
      </c>
      <c r="AR93" s="1627" t="s">
        <v>237</v>
      </c>
      <c r="AT93" s="1627" t="s">
        <v>226</v>
      </c>
      <c r="AU93" s="1640">
        <v>5</v>
      </c>
    </row>
    <row r="94" spans="1:47" ht="24" customHeight="1">
      <c r="F94" s="1640">
        <v>10</v>
      </c>
      <c r="G94" s="1638" t="s">
        <v>151</v>
      </c>
      <c r="H94" s="1627" t="s">
        <v>795</v>
      </c>
      <c r="I94" s="1640">
        <f>D61</f>
        <v>221.47999999999996</v>
      </c>
      <c r="J94" s="1627" t="s">
        <v>151</v>
      </c>
      <c r="K94" s="1640">
        <f>(F94*I94)</f>
        <v>2214.7999999999997</v>
      </c>
      <c r="M94" s="1629">
        <f>AG39</f>
        <v>99.33</v>
      </c>
      <c r="S94" s="1658"/>
      <c r="T94" s="1638"/>
      <c r="U94" s="1627"/>
      <c r="V94" s="1640"/>
      <c r="W94" s="1628"/>
      <c r="X94" s="1640"/>
      <c r="Y94" s="1640"/>
      <c r="AG94" s="1640"/>
      <c r="AQ94" s="1630"/>
      <c r="AT94" s="1632"/>
      <c r="AU94" s="1636" t="s">
        <v>21</v>
      </c>
    </row>
    <row r="95" spans="1:47" ht="24" customHeight="1">
      <c r="F95" s="1640">
        <v>10</v>
      </c>
      <c r="G95" s="1638" t="s">
        <v>151</v>
      </c>
      <c r="H95" s="1627" t="s">
        <v>778</v>
      </c>
      <c r="I95" s="1640">
        <f>D61</f>
        <v>221.47999999999996</v>
      </c>
      <c r="J95" s="1627" t="s">
        <v>151</v>
      </c>
      <c r="K95" s="1640">
        <f>(F95*I95)</f>
        <v>2214.7999999999997</v>
      </c>
      <c r="M95" s="1629">
        <f>M94</f>
        <v>99.33</v>
      </c>
      <c r="S95" s="1658"/>
      <c r="T95" s="1638"/>
      <c r="U95" s="1627"/>
      <c r="V95" s="1640"/>
      <c r="W95" s="1628"/>
      <c r="X95" s="1640"/>
      <c r="Y95" s="1640"/>
      <c r="AG95" s="1640"/>
      <c r="AQ95" s="1630"/>
      <c r="AR95" s="1627" t="s">
        <v>263</v>
      </c>
      <c r="AT95" s="1632"/>
      <c r="AU95" s="1640">
        <f>SUM(AU87:AU93)</f>
        <v>24328.525799999999</v>
      </c>
    </row>
    <row r="96" spans="1:47" ht="24" customHeight="1">
      <c r="F96" s="1640">
        <v>10</v>
      </c>
      <c r="G96" s="1638" t="s">
        <v>151</v>
      </c>
      <c r="H96" s="1627" t="s">
        <v>262</v>
      </c>
      <c r="I96" s="1640">
        <f>I83</f>
        <v>17.243333333333336</v>
      </c>
      <c r="J96" s="1627" t="s">
        <v>151</v>
      </c>
      <c r="K96" s="1640">
        <f>(F96*I96)</f>
        <v>172.43333333333337</v>
      </c>
      <c r="M96" s="1629">
        <f>I96</f>
        <v>17.243333333333336</v>
      </c>
      <c r="S96" s="1658"/>
      <c r="T96" s="1638"/>
      <c r="U96" s="1627"/>
      <c r="V96" s="1640"/>
      <c r="W96" s="1628"/>
      <c r="X96" s="1640"/>
      <c r="Y96" s="1640"/>
      <c r="AG96" s="1640"/>
      <c r="AQ96" s="1630"/>
      <c r="AT96" s="1632"/>
      <c r="AU96" s="1636" t="s">
        <v>21</v>
      </c>
    </row>
    <row r="97" spans="6:50" ht="24" customHeight="1">
      <c r="G97" s="1638" t="s">
        <v>226</v>
      </c>
      <c r="H97" s="1627" t="s">
        <v>237</v>
      </c>
      <c r="J97" s="1627" t="s">
        <v>226</v>
      </c>
      <c r="K97" s="1640">
        <v>0</v>
      </c>
      <c r="M97" s="1629">
        <f>SUM(M94:M96)</f>
        <v>215.90333333333334</v>
      </c>
      <c r="T97" s="1638"/>
      <c r="U97" s="1627"/>
      <c r="W97" s="1628"/>
      <c r="X97" s="1640"/>
      <c r="Y97" s="1640"/>
      <c r="AG97" s="1640"/>
      <c r="AQ97" s="1630"/>
      <c r="AR97" s="1628" t="s">
        <v>270</v>
      </c>
      <c r="AT97" s="1632"/>
      <c r="AU97" s="1640">
        <f>(AU95/2.83168)</f>
        <v>8591.5519408972759</v>
      </c>
    </row>
    <row r="98" spans="6:50" ht="24" customHeight="1">
      <c r="K98" s="1636" t="s">
        <v>21</v>
      </c>
      <c r="T98" s="1630"/>
      <c r="W98" s="1634"/>
      <c r="X98" s="1636"/>
      <c r="Y98" s="1636"/>
      <c r="AG98" s="1640"/>
      <c r="AQ98" s="1630"/>
      <c r="AT98" s="1632"/>
      <c r="AU98" s="1636" t="s">
        <v>156</v>
      </c>
    </row>
    <row r="99" spans="6:50" ht="24" customHeight="1">
      <c r="H99" s="1627" t="s">
        <v>263</v>
      </c>
      <c r="K99" s="1640">
        <f>SUM(K94:K97)</f>
        <v>4602.0333333333328</v>
      </c>
      <c r="T99" s="1630"/>
      <c r="U99" s="1627"/>
      <c r="W99" s="1634"/>
      <c r="X99" s="1640"/>
      <c r="Y99" s="1640"/>
      <c r="AG99" s="1640"/>
      <c r="AQ99" s="1630"/>
      <c r="AR99" s="1627" t="s">
        <v>271</v>
      </c>
      <c r="AT99" s="1632"/>
      <c r="AU99" s="1639">
        <f>AU97+C19</f>
        <v>8696.2719408972753</v>
      </c>
      <c r="AW99" s="1629">
        <f>AU99*22.69/100</f>
        <v>1973.1841033895919</v>
      </c>
      <c r="AX99" s="1629">
        <f>AU99-AW99</f>
        <v>6723.0878375076836</v>
      </c>
    </row>
    <row r="100" spans="6:50" ht="24" customHeight="1">
      <c r="K100" s="1636" t="s">
        <v>21</v>
      </c>
      <c r="T100" s="1630"/>
      <c r="W100" s="1634"/>
      <c r="X100" s="1636"/>
      <c r="Y100" s="1636"/>
      <c r="AG100" s="1640"/>
      <c r="AQ100" s="1630"/>
      <c r="AR100" s="1627" t="s">
        <v>272</v>
      </c>
      <c r="AT100" s="1632"/>
      <c r="AU100" s="1639">
        <f>(AU99+C20)</f>
        <v>8907.5319408972755</v>
      </c>
      <c r="AW100" s="1629">
        <f t="shared" ref="AW100:AW163" si="15">AU100*22.69/100</f>
        <v>2021.1189973895919</v>
      </c>
      <c r="AX100" s="1629">
        <f t="shared" ref="AX100:AX163" si="16">AU100-AW100</f>
        <v>6886.4129435076838</v>
      </c>
    </row>
    <row r="101" spans="6:50" ht="24" customHeight="1">
      <c r="H101" s="1631" t="s">
        <v>785</v>
      </c>
      <c r="I101" s="1661" t="s">
        <v>265</v>
      </c>
      <c r="J101" s="1676"/>
      <c r="K101" s="1639">
        <f>(K99/10)</f>
        <v>460.20333333333326</v>
      </c>
      <c r="M101" s="1629">
        <f>SUM(M94:M95)</f>
        <v>198.66</v>
      </c>
      <c r="T101" s="1630"/>
      <c r="U101" s="1631"/>
      <c r="V101" s="1661"/>
      <c r="W101" s="1677"/>
      <c r="X101" s="1639"/>
      <c r="Y101" s="1639"/>
      <c r="AG101" s="1640"/>
      <c r="AQ101" s="1630"/>
      <c r="AR101" s="1627" t="s">
        <v>767</v>
      </c>
      <c r="AT101" s="1632"/>
      <c r="AU101" s="1639">
        <f>(AU100+C20)</f>
        <v>9118.7919408972757</v>
      </c>
      <c r="AW101" s="1629">
        <f t="shared" si="15"/>
        <v>2069.0538913895921</v>
      </c>
      <c r="AX101" s="1629">
        <f t="shared" si="16"/>
        <v>7049.7380495076832</v>
      </c>
    </row>
    <row r="102" spans="6:50" ht="24" customHeight="1">
      <c r="I102" s="1661" t="s">
        <v>266</v>
      </c>
      <c r="J102" s="1676"/>
      <c r="K102" s="1637">
        <f>ROUND(K101+C36,2)</f>
        <v>474.48</v>
      </c>
      <c r="T102" s="1630"/>
      <c r="V102" s="1661"/>
      <c r="W102" s="1677"/>
      <c r="X102" s="1637"/>
      <c r="Y102" s="1637"/>
      <c r="AG102" s="1640"/>
      <c r="AQ102" s="1630"/>
      <c r="AR102" s="1627" t="s">
        <v>769</v>
      </c>
      <c r="AT102" s="1632"/>
      <c r="AU102" s="1639">
        <f>(AU101+C20)</f>
        <v>9330.0519408972759</v>
      </c>
      <c r="AW102" s="1629">
        <f t="shared" si="15"/>
        <v>2116.9887853895921</v>
      </c>
      <c r="AX102" s="1629">
        <f t="shared" si="16"/>
        <v>7213.0631555076834</v>
      </c>
    </row>
    <row r="103" spans="6:50" ht="24" customHeight="1">
      <c r="I103" s="1661"/>
      <c r="J103" s="1676"/>
      <c r="K103" s="1679"/>
      <c r="T103" s="1630"/>
      <c r="V103" s="1661"/>
      <c r="W103" s="1677"/>
      <c r="X103" s="1679"/>
      <c r="Y103" s="1679"/>
      <c r="AG103" s="1640"/>
      <c r="AP103" s="1627" t="s">
        <v>150</v>
      </c>
      <c r="AQ103" s="1630"/>
      <c r="AR103" s="1627" t="s">
        <v>773</v>
      </c>
      <c r="AT103" s="1632"/>
      <c r="AU103" s="1639">
        <f>(AU102+C20)</f>
        <v>9541.3119408972761</v>
      </c>
      <c r="AW103" s="1629">
        <f t="shared" si="15"/>
        <v>2164.9236793895921</v>
      </c>
      <c r="AX103" s="1629">
        <f t="shared" si="16"/>
        <v>7376.3882615076836</v>
      </c>
    </row>
    <row r="104" spans="6:50" ht="30.75" customHeight="1">
      <c r="F104" s="1662">
        <v>1.7</v>
      </c>
      <c r="H104" s="1678" t="s">
        <v>796</v>
      </c>
      <c r="I104" s="1661" t="s">
        <v>265</v>
      </c>
      <c r="J104" s="1676"/>
      <c r="K104" s="1637">
        <f>ROUND(K101-K96/10,2)</f>
        <v>442.96</v>
      </c>
      <c r="S104" s="1673"/>
      <c r="T104" s="1630"/>
      <c r="U104" s="1678"/>
      <c r="V104" s="1661"/>
      <c r="W104" s="1677"/>
      <c r="X104" s="1637"/>
      <c r="Y104" s="1637"/>
      <c r="AG104" s="1640"/>
      <c r="AP104" s="1652">
        <v>27</v>
      </c>
      <c r="AQ104" s="1638" t="s">
        <v>249</v>
      </c>
      <c r="AR104" s="1627" t="s">
        <v>797</v>
      </c>
      <c r="AT104" s="1632"/>
      <c r="AU104" s="1639">
        <f>(AU103+C21)</f>
        <v>9752.5719408972764</v>
      </c>
    </row>
    <row r="105" spans="6:50" ht="24" customHeight="1">
      <c r="I105" s="1661" t="s">
        <v>266</v>
      </c>
      <c r="J105" s="1676"/>
      <c r="K105" s="1637">
        <f>ROUND(K104+C36,2)</f>
        <v>457.24</v>
      </c>
      <c r="T105" s="1630"/>
      <c r="V105" s="1661"/>
      <c r="W105" s="1677"/>
      <c r="X105" s="1637"/>
      <c r="Y105" s="1637"/>
      <c r="AG105" s="1640"/>
      <c r="AQ105" s="1630"/>
      <c r="AR105" s="1627" t="str">
        <f>AR85</f>
        <v>Bricks of size 23x11x7 cm</v>
      </c>
      <c r="AT105" s="1632"/>
    </row>
    <row r="106" spans="6:50" ht="24" customHeight="1">
      <c r="K106" s="1636"/>
      <c r="T106" s="1630"/>
      <c r="W106" s="1634"/>
      <c r="X106" s="1636"/>
      <c r="Y106" s="1636"/>
      <c r="AG106" s="1640"/>
      <c r="AQ106" s="1630"/>
      <c r="AR106" s="1636" t="s">
        <v>21</v>
      </c>
      <c r="AT106" s="1632"/>
    </row>
    <row r="107" spans="6:50" ht="24" customHeight="1">
      <c r="K107" s="1636"/>
      <c r="T107" s="1630"/>
      <c r="W107" s="1634"/>
      <c r="X107" s="1636"/>
      <c r="Y107" s="1636"/>
      <c r="AG107" s="1640"/>
      <c r="AP107" s="1640">
        <v>1300</v>
      </c>
      <c r="AQ107" s="1638" t="s">
        <v>267</v>
      </c>
      <c r="AR107" s="1640" t="str">
        <f>AR61</f>
        <v>Bricks of size 23x11x7 cm</v>
      </c>
      <c r="AS107" s="1640">
        <f>AE45</f>
        <v>8120.3099999999995</v>
      </c>
      <c r="AT107" s="1627" t="s">
        <v>268</v>
      </c>
      <c r="AU107" s="1640">
        <f>(AP107*AS107)/1000</f>
        <v>10556.403</v>
      </c>
      <c r="AW107" s="1629">
        <f t="shared" si="15"/>
        <v>2395.2478407000003</v>
      </c>
      <c r="AX107" s="1629">
        <f t="shared" si="16"/>
        <v>8161.1551593000004</v>
      </c>
    </row>
    <row r="108" spans="6:50" ht="38.25" customHeight="1">
      <c r="F108" s="1662">
        <v>1.4</v>
      </c>
      <c r="G108" s="1638" t="s">
        <v>150</v>
      </c>
      <c r="H108" s="1680" t="s">
        <v>5562</v>
      </c>
      <c r="S108" s="1673">
        <v>1.4</v>
      </c>
      <c r="T108" s="1638" t="s">
        <v>150</v>
      </c>
      <c r="U108" s="1680" t="s">
        <v>5562</v>
      </c>
      <c r="W108" s="1634"/>
      <c r="AG108" s="1640"/>
      <c r="AP108" s="1658">
        <v>0.70799999999999996</v>
      </c>
      <c r="AQ108" s="1638" t="s">
        <v>151</v>
      </c>
      <c r="AR108" s="1627" t="s">
        <v>258</v>
      </c>
      <c r="AS108" s="1640">
        <f>K40</f>
        <v>4593.8999999999996</v>
      </c>
      <c r="AT108" s="1627" t="s">
        <v>151</v>
      </c>
      <c r="AU108" s="1640">
        <f>(AP108*AS108)</f>
        <v>3252.4811999999997</v>
      </c>
      <c r="AW108" s="1629">
        <f t="shared" si="15"/>
        <v>737.98798427999998</v>
      </c>
      <c r="AX108" s="1629">
        <f t="shared" si="16"/>
        <v>2514.4932157199996</v>
      </c>
    </row>
    <row r="109" spans="6:50" ht="24" customHeight="1">
      <c r="T109" s="1630"/>
      <c r="W109" s="1634"/>
      <c r="AG109" s="1640"/>
      <c r="AP109" s="1640">
        <v>1</v>
      </c>
      <c r="AQ109" s="1638" t="s">
        <v>153</v>
      </c>
      <c r="AR109" s="1627" t="s">
        <v>269</v>
      </c>
      <c r="AS109" s="1640">
        <f>AS89</f>
        <v>1325.8</v>
      </c>
      <c r="AT109" s="1627" t="s">
        <v>153</v>
      </c>
      <c r="AU109" s="1640">
        <f>(AP109*AS109)</f>
        <v>1325.8</v>
      </c>
      <c r="AW109" s="1629">
        <f t="shared" si="15"/>
        <v>300.82402000000002</v>
      </c>
      <c r="AX109" s="1629">
        <f t="shared" si="16"/>
        <v>1024.9759799999999</v>
      </c>
    </row>
    <row r="110" spans="6:50" ht="24" customHeight="1">
      <c r="F110" s="1640">
        <v>10</v>
      </c>
      <c r="G110" s="1638" t="s">
        <v>151</v>
      </c>
      <c r="H110" s="1627" t="s">
        <v>261</v>
      </c>
      <c r="I110" s="1640">
        <f>C61</f>
        <v>148.75</v>
      </c>
      <c r="J110" s="1627" t="s">
        <v>151</v>
      </c>
      <c r="K110" s="1640">
        <f>(F110*I110)</f>
        <v>1487.5</v>
      </c>
      <c r="S110" s="1658">
        <v>10</v>
      </c>
      <c r="T110" s="1638" t="s">
        <v>151</v>
      </c>
      <c r="U110" s="1627" t="s">
        <v>261</v>
      </c>
      <c r="V110" s="1640">
        <f>V81</f>
        <v>99.33</v>
      </c>
      <c r="W110" s="1628" t="s">
        <v>151</v>
      </c>
      <c r="X110" s="1640">
        <f>(S110*V110)</f>
        <v>993.3</v>
      </c>
      <c r="Y110" s="1640"/>
      <c r="AG110" s="1640"/>
      <c r="AP110" s="1640">
        <v>3</v>
      </c>
      <c r="AQ110" s="1638" t="s">
        <v>153</v>
      </c>
      <c r="AR110" s="1627" t="s">
        <v>234</v>
      </c>
      <c r="AS110" s="1640">
        <f>AS90</f>
        <v>1237.5999999999999</v>
      </c>
      <c r="AT110" s="1627" t="s">
        <v>153</v>
      </c>
      <c r="AU110" s="1640">
        <f>(AP110*AS110)</f>
        <v>3712.7999999999997</v>
      </c>
      <c r="AW110" s="1629">
        <f t="shared" si="15"/>
        <v>842.43431999999996</v>
      </c>
      <c r="AX110" s="1629">
        <f t="shared" si="16"/>
        <v>2870.3656799999999</v>
      </c>
    </row>
    <row r="111" spans="6:50" ht="24" customHeight="1">
      <c r="F111" s="1640">
        <v>10</v>
      </c>
      <c r="G111" s="1638" t="s">
        <v>151</v>
      </c>
      <c r="H111" s="1627" t="s">
        <v>262</v>
      </c>
      <c r="I111" s="1640">
        <f>I83</f>
        <v>17.243333333333336</v>
      </c>
      <c r="J111" s="1627" t="s">
        <v>151</v>
      </c>
      <c r="K111" s="1640">
        <f>(F111*I111)</f>
        <v>172.43333333333337</v>
      </c>
      <c r="S111" s="1658">
        <v>10</v>
      </c>
      <c r="T111" s="1638" t="s">
        <v>151</v>
      </c>
      <c r="U111" s="1627" t="s">
        <v>262</v>
      </c>
      <c r="V111" s="1640">
        <f>V83</f>
        <v>15.143333333333333</v>
      </c>
      <c r="W111" s="1628" t="s">
        <v>151</v>
      </c>
      <c r="X111" s="1640">
        <f>(S111*V111)</f>
        <v>151.43333333333334</v>
      </c>
      <c r="Y111" s="1640"/>
      <c r="AG111" s="1640"/>
      <c r="AP111" s="1640">
        <v>2</v>
      </c>
      <c r="AQ111" s="1638" t="s">
        <v>153</v>
      </c>
      <c r="AR111" s="1627" t="s">
        <v>235</v>
      </c>
      <c r="AS111" s="1640">
        <f>AS91</f>
        <v>865.19999999999993</v>
      </c>
      <c r="AT111" s="1627" t="s">
        <v>153</v>
      </c>
      <c r="AU111" s="1640">
        <f>(AP111*AS111)</f>
        <v>1730.3999999999999</v>
      </c>
      <c r="AW111" s="1629">
        <f t="shared" si="15"/>
        <v>392.62775999999997</v>
      </c>
      <c r="AX111" s="1629">
        <f t="shared" si="16"/>
        <v>1337.7722399999998</v>
      </c>
    </row>
    <row r="112" spans="6:50" ht="24" customHeight="1">
      <c r="G112" s="1638" t="s">
        <v>226</v>
      </c>
      <c r="H112" s="1627" t="s">
        <v>237</v>
      </c>
      <c r="J112" s="1627" t="s">
        <v>226</v>
      </c>
      <c r="K112" s="1640">
        <v>0</v>
      </c>
      <c r="T112" s="1638" t="s">
        <v>226</v>
      </c>
      <c r="U112" s="1627" t="s">
        <v>237</v>
      </c>
      <c r="W112" s="1628" t="s">
        <v>226</v>
      </c>
      <c r="X112" s="1640">
        <v>0</v>
      </c>
      <c r="Y112" s="1640"/>
      <c r="AG112" s="1640"/>
      <c r="AP112" s="1640">
        <v>6</v>
      </c>
      <c r="AQ112" s="1638" t="s">
        <v>153</v>
      </c>
      <c r="AR112" s="1627" t="s">
        <v>236</v>
      </c>
      <c r="AS112" s="1640">
        <f>AS92</f>
        <v>709.8</v>
      </c>
      <c r="AT112" s="1627" t="s">
        <v>153</v>
      </c>
      <c r="AU112" s="1640">
        <f>(AP112*AS112)</f>
        <v>4258.7999999999993</v>
      </c>
      <c r="AW112" s="1629">
        <f t="shared" si="15"/>
        <v>966.32171999999991</v>
      </c>
      <c r="AX112" s="1629">
        <f t="shared" si="16"/>
        <v>3292.4782799999994</v>
      </c>
    </row>
    <row r="113" spans="6:50" ht="24" customHeight="1">
      <c r="K113" s="1636" t="s">
        <v>21</v>
      </c>
      <c r="T113" s="1630"/>
      <c r="W113" s="1634"/>
      <c r="X113" s="1636" t="s">
        <v>21</v>
      </c>
      <c r="Y113" s="1636"/>
      <c r="AG113" s="1640"/>
      <c r="AQ113" s="1638" t="s">
        <v>226</v>
      </c>
      <c r="AR113" s="1627" t="s">
        <v>237</v>
      </c>
      <c r="AT113" s="1627" t="s">
        <v>226</v>
      </c>
      <c r="AU113" s="1640">
        <v>5</v>
      </c>
      <c r="AW113" s="1629">
        <f t="shared" si="15"/>
        <v>1.1345000000000001</v>
      </c>
      <c r="AX113" s="1629">
        <f t="shared" si="16"/>
        <v>3.8654999999999999</v>
      </c>
    </row>
    <row r="114" spans="6:50" ht="24" customHeight="1">
      <c r="H114" s="1627" t="s">
        <v>263</v>
      </c>
      <c r="K114" s="1640">
        <f>SUM(K110:K112)</f>
        <v>1659.9333333333334</v>
      </c>
      <c r="T114" s="1630"/>
      <c r="U114" s="1627" t="s">
        <v>263</v>
      </c>
      <c r="W114" s="1634"/>
      <c r="X114" s="1640">
        <f>SUM(X110:X112)</f>
        <v>1144.7333333333333</v>
      </c>
      <c r="Y114" s="1640"/>
      <c r="AG114" s="1640"/>
      <c r="AQ114" s="1630"/>
      <c r="AT114" s="1632"/>
      <c r="AU114" s="1636" t="s">
        <v>21</v>
      </c>
      <c r="AW114" s="1629">
        <f t="shared" si="15"/>
        <v>0</v>
      </c>
      <c r="AX114" s="1629">
        <f t="shared" si="16"/>
        <v>0</v>
      </c>
    </row>
    <row r="115" spans="6:50" ht="24" customHeight="1">
      <c r="K115" s="1636" t="s">
        <v>21</v>
      </c>
      <c r="T115" s="1630"/>
      <c r="W115" s="1634"/>
      <c r="X115" s="1636" t="s">
        <v>21</v>
      </c>
      <c r="Y115" s="1636"/>
      <c r="AG115" s="1640"/>
      <c r="AQ115" s="1630"/>
      <c r="AR115" s="1627" t="s">
        <v>263</v>
      </c>
      <c r="AT115" s="1632"/>
      <c r="AU115" s="1640">
        <f>SUM(AU107:AU113)</f>
        <v>24841.6842</v>
      </c>
      <c r="AW115" s="1629">
        <f t="shared" si="15"/>
        <v>5636.5781449800006</v>
      </c>
      <c r="AX115" s="1629">
        <f t="shared" si="16"/>
        <v>19205.106055019998</v>
      </c>
    </row>
    <row r="116" spans="6:50" ht="24" customHeight="1">
      <c r="H116" s="1627"/>
      <c r="K116" s="1639">
        <f>(K114/10)</f>
        <v>165.99333333333334</v>
      </c>
      <c r="L116" s="1661">
        <f>K116+C36</f>
        <v>180.27333333333334</v>
      </c>
      <c r="M116" s="1629">
        <f>M94</f>
        <v>99.33</v>
      </c>
      <c r="T116" s="1630"/>
      <c r="U116" s="1627"/>
      <c r="W116" s="1634"/>
      <c r="X116" s="1639">
        <f>(X114/10)</f>
        <v>114.47333333333333</v>
      </c>
      <c r="Y116" s="1639"/>
      <c r="AG116" s="1640"/>
      <c r="AQ116" s="1630"/>
      <c r="AT116" s="1632"/>
      <c r="AU116" s="1636" t="s">
        <v>21</v>
      </c>
      <c r="AW116" s="1629">
        <f t="shared" si="15"/>
        <v>0</v>
      </c>
      <c r="AX116" s="1629">
        <f t="shared" si="16"/>
        <v>0</v>
      </c>
    </row>
    <row r="117" spans="6:50" ht="24" customHeight="1">
      <c r="K117" s="1636"/>
      <c r="T117" s="1630"/>
      <c r="W117" s="1634"/>
      <c r="X117" s="1636"/>
      <c r="Y117" s="1636"/>
      <c r="AG117" s="1640"/>
      <c r="AQ117" s="1630"/>
      <c r="AR117" s="1627" t="s">
        <v>270</v>
      </c>
      <c r="AT117" s="1632"/>
      <c r="AU117" s="1639">
        <f>(AU115/2.83168)</f>
        <v>8772.7724177873206</v>
      </c>
      <c r="AW117" s="1629">
        <f t="shared" si="15"/>
        <v>1990.5420615959433</v>
      </c>
      <c r="AX117" s="1629">
        <f t="shared" si="16"/>
        <v>6782.2303561913777</v>
      </c>
    </row>
    <row r="118" spans="6:50" ht="24" customHeight="1">
      <c r="F118" s="1662">
        <v>1.5</v>
      </c>
      <c r="H118" s="1627" t="s">
        <v>264</v>
      </c>
      <c r="I118" s="1661" t="s">
        <v>265</v>
      </c>
      <c r="K118" s="1639">
        <f>K116-K111/10</f>
        <v>148.75</v>
      </c>
      <c r="S118" s="1673">
        <v>1.5</v>
      </c>
      <c r="T118" s="1630"/>
      <c r="U118" s="1627" t="s">
        <v>264</v>
      </c>
      <c r="V118" s="1661" t="s">
        <v>265</v>
      </c>
      <c r="W118" s="1634"/>
      <c r="X118" s="1639">
        <f>X116-X111/10</f>
        <v>99.33</v>
      </c>
      <c r="Y118" s="1639"/>
      <c r="AG118" s="1640"/>
      <c r="AQ118" s="1630"/>
      <c r="AT118" s="1632"/>
      <c r="AU118" s="1636" t="s">
        <v>156</v>
      </c>
      <c r="AW118" s="1629">
        <f t="shared" si="15"/>
        <v>0</v>
      </c>
      <c r="AX118" s="1629">
        <f t="shared" si="16"/>
        <v>0</v>
      </c>
    </row>
    <row r="119" spans="6:50" ht="24" customHeight="1">
      <c r="I119" s="1661" t="s">
        <v>266</v>
      </c>
      <c r="K119" s="1637">
        <f>ROUND(K118+C36,2)</f>
        <v>163.03</v>
      </c>
      <c r="T119" s="1630"/>
      <c r="V119" s="1661" t="s">
        <v>266</v>
      </c>
      <c r="W119" s="1634"/>
      <c r="X119" s="1637">
        <f>ROUND(X118+P36,2)</f>
        <v>99.33</v>
      </c>
      <c r="Y119" s="1637"/>
      <c r="AG119" s="1640"/>
      <c r="AQ119" s="1630"/>
      <c r="AR119" s="1627" t="s">
        <v>271</v>
      </c>
      <c r="AT119" s="1632"/>
      <c r="AU119" s="1640">
        <f>(AU117+C19)</f>
        <v>8877.4924177873199</v>
      </c>
      <c r="AV119" s="1629">
        <f>AU119-AU117</f>
        <v>104.71999999999935</v>
      </c>
      <c r="AW119" s="1629">
        <f t="shared" si="15"/>
        <v>2014.3030295959429</v>
      </c>
      <c r="AX119" s="1629">
        <f t="shared" si="16"/>
        <v>6863.1893881913766</v>
      </c>
    </row>
    <row r="120" spans="6:50" ht="24" customHeight="1">
      <c r="I120" s="1629" t="s">
        <v>799</v>
      </c>
      <c r="K120" s="1637">
        <f>ROUND(K119+C36,2)</f>
        <v>177.31</v>
      </c>
      <c r="T120" s="1630"/>
      <c r="W120" s="1634"/>
      <c r="X120" s="1636"/>
      <c r="Y120" s="1636"/>
      <c r="AG120" s="1640"/>
      <c r="AQ120" s="1630"/>
      <c r="AR120" s="1627" t="s">
        <v>272</v>
      </c>
      <c r="AT120" s="1632"/>
      <c r="AU120" s="1640">
        <f>(AU119+C20)</f>
        <v>9088.7524177873202</v>
      </c>
      <c r="AV120" s="1629">
        <f>AU120-AU119</f>
        <v>211.26000000000022</v>
      </c>
      <c r="AW120" s="1629">
        <f t="shared" si="15"/>
        <v>2062.2379235959434</v>
      </c>
      <c r="AX120" s="1629">
        <f t="shared" si="16"/>
        <v>7026.5144941913768</v>
      </c>
    </row>
    <row r="121" spans="6:50" ht="24" customHeight="1">
      <c r="I121" s="1629" t="s">
        <v>800</v>
      </c>
      <c r="K121" s="1637">
        <f>ROUND(K120+C36,2)</f>
        <v>191.59</v>
      </c>
      <c r="T121" s="1630"/>
      <c r="W121" s="1634"/>
      <c r="X121" s="1636"/>
      <c r="Y121" s="1636"/>
      <c r="AG121" s="1640"/>
      <c r="AQ121" s="1630"/>
      <c r="AR121" s="1627" t="s">
        <v>767</v>
      </c>
      <c r="AT121" s="1632"/>
      <c r="AU121" s="1640">
        <f>(AU120+C20)</f>
        <v>9300.0124177873204</v>
      </c>
      <c r="AW121" s="1629">
        <f t="shared" si="15"/>
        <v>2110.1728175959429</v>
      </c>
      <c r="AX121" s="1629">
        <f t="shared" si="16"/>
        <v>7189.839600191377</v>
      </c>
    </row>
    <row r="122" spans="6:50" ht="28.5" customHeight="1">
      <c r="F122" s="1681">
        <v>1.8</v>
      </c>
      <c r="H122" s="1680" t="s">
        <v>3407</v>
      </c>
      <c r="K122" s="1636"/>
      <c r="M122" s="1628" t="s">
        <v>374</v>
      </c>
      <c r="N122" s="1638" t="s">
        <v>249</v>
      </c>
      <c r="O122" s="1627" t="s">
        <v>375</v>
      </c>
      <c r="Q122" s="1632"/>
      <c r="S122" s="1682"/>
      <c r="T122" s="1630"/>
      <c r="U122" s="1680"/>
      <c r="W122" s="1634"/>
      <c r="X122" s="1636"/>
      <c r="Y122" s="1636"/>
      <c r="AG122" s="1640"/>
      <c r="AQ122" s="1630"/>
      <c r="AR122" s="1627" t="s">
        <v>769</v>
      </c>
      <c r="AT122" s="1632"/>
      <c r="AU122" s="1640">
        <f>AU121+C20</f>
        <v>9511.2724177873206</v>
      </c>
      <c r="AW122" s="1629">
        <f t="shared" si="15"/>
        <v>2158.1077115959433</v>
      </c>
      <c r="AX122" s="1629">
        <f t="shared" si="16"/>
        <v>7353.1647061913773</v>
      </c>
    </row>
    <row r="123" spans="6:50" ht="24" customHeight="1">
      <c r="K123" s="1636"/>
      <c r="N123" s="1630"/>
      <c r="O123" s="1627" t="s">
        <v>5563</v>
      </c>
      <c r="Q123" s="1632"/>
      <c r="T123" s="1630"/>
      <c r="W123" s="1634"/>
      <c r="X123" s="1636"/>
      <c r="Y123" s="1636"/>
      <c r="AG123" s="1640"/>
      <c r="AQ123" s="1630"/>
      <c r="AR123" s="1627" t="s">
        <v>773</v>
      </c>
      <c r="AT123" s="1632"/>
      <c r="AU123" s="1640">
        <f>AU122+C20</f>
        <v>9722.5324177873208</v>
      </c>
      <c r="AW123" s="1629">
        <f t="shared" si="15"/>
        <v>2206.0426055959433</v>
      </c>
      <c r="AX123" s="1629">
        <f t="shared" si="16"/>
        <v>7516.4898121913775</v>
      </c>
    </row>
    <row r="124" spans="6:50" ht="24" customHeight="1">
      <c r="F124" s="1640">
        <v>10</v>
      </c>
      <c r="G124" s="1638" t="s">
        <v>151</v>
      </c>
      <c r="H124" s="1627" t="s">
        <v>795</v>
      </c>
      <c r="I124" s="1629">
        <f>D61</f>
        <v>221.47999999999996</v>
      </c>
      <c r="J124" s="1627" t="s">
        <v>151</v>
      </c>
      <c r="K124" s="1640">
        <f>(F124*I124)</f>
        <v>2214.7999999999997</v>
      </c>
      <c r="N124" s="1630"/>
      <c r="O124" s="1636" t="s">
        <v>21</v>
      </c>
      <c r="Q124" s="1632"/>
      <c r="S124" s="1658"/>
      <c r="T124" s="1638"/>
      <c r="U124" s="1627"/>
      <c r="W124" s="1628" t="s">
        <v>151</v>
      </c>
      <c r="X124" s="1640"/>
      <c r="Y124" s="1640"/>
      <c r="AG124" s="1640"/>
      <c r="AQ124" s="1630"/>
      <c r="AR124" s="1627" t="s">
        <v>803</v>
      </c>
      <c r="AT124" s="1632"/>
      <c r="AU124" s="1640">
        <f>(AU119+AU120+AU121+AU122)/4</f>
        <v>9194.3824177873212</v>
      </c>
      <c r="AW124" s="1629">
        <f t="shared" si="15"/>
        <v>2086.2053705959434</v>
      </c>
      <c r="AX124" s="1629">
        <f t="shared" si="16"/>
        <v>7108.1770471913778</v>
      </c>
    </row>
    <row r="125" spans="6:50" ht="24" customHeight="1">
      <c r="G125" s="1630" t="s">
        <v>287</v>
      </c>
      <c r="J125" s="1632" t="s">
        <v>287</v>
      </c>
      <c r="K125" s="1640">
        <v>0</v>
      </c>
      <c r="M125" s="1640">
        <v>1</v>
      </c>
      <c r="N125" s="1638" t="s">
        <v>151</v>
      </c>
      <c r="O125" s="1627" t="s">
        <v>804</v>
      </c>
      <c r="P125" s="1640">
        <f>AE39</f>
        <v>166.5</v>
      </c>
      <c r="Q125" s="1627" t="s">
        <v>151</v>
      </c>
      <c r="R125" s="1640">
        <f>(M125*P125)</f>
        <v>166.5</v>
      </c>
      <c r="T125" s="1630"/>
      <c r="W125" s="1634" t="s">
        <v>287</v>
      </c>
      <c r="X125" s="1640"/>
      <c r="Y125" s="1640"/>
      <c r="AG125" s="1640"/>
      <c r="AQ125" s="1630"/>
    </row>
    <row r="126" spans="6:50" ht="24" customHeight="1">
      <c r="K126" s="1636" t="s">
        <v>21</v>
      </c>
      <c r="M126" s="1640">
        <v>1</v>
      </c>
      <c r="N126" s="1638" t="s">
        <v>151</v>
      </c>
      <c r="O126" s="1627" t="s">
        <v>377</v>
      </c>
      <c r="P126" s="1640">
        <f>P141</f>
        <v>51.730000000000004</v>
      </c>
      <c r="Q126" s="1627" t="s">
        <v>151</v>
      </c>
      <c r="R126" s="1640">
        <f>(M126*P126)</f>
        <v>51.730000000000004</v>
      </c>
      <c r="T126" s="1630"/>
      <c r="W126" s="1634"/>
      <c r="X126" s="1636"/>
      <c r="Y126" s="1636"/>
      <c r="AG126" s="1640"/>
      <c r="AQ126" s="1630"/>
      <c r="AT126" s="1632"/>
    </row>
    <row r="127" spans="6:50" ht="24" customHeight="1">
      <c r="H127" s="1627" t="s">
        <v>263</v>
      </c>
      <c r="K127" s="1640">
        <f>SUM(K124:K125)</f>
        <v>2214.7999999999997</v>
      </c>
      <c r="N127" s="1638" t="s">
        <v>226</v>
      </c>
      <c r="O127" s="1627" t="s">
        <v>237</v>
      </c>
      <c r="P127" s="1627" t="s">
        <v>150</v>
      </c>
      <c r="Q127" s="1627" t="s">
        <v>226</v>
      </c>
      <c r="R127" s="1640">
        <v>0</v>
      </c>
      <c r="T127" s="1630"/>
      <c r="U127" s="1627"/>
      <c r="W127" s="1634"/>
      <c r="X127" s="1640"/>
      <c r="Y127" s="1640"/>
      <c r="AG127" s="1640"/>
      <c r="AQ127" s="1630"/>
      <c r="AR127" s="1641" t="s">
        <v>388</v>
      </c>
      <c r="AT127" s="1632"/>
    </row>
    <row r="128" spans="6:50" ht="24" customHeight="1">
      <c r="K128" s="1636" t="s">
        <v>21</v>
      </c>
      <c r="N128" s="1630"/>
      <c r="Q128" s="1632"/>
      <c r="R128" s="1636" t="s">
        <v>21</v>
      </c>
      <c r="T128" s="1630"/>
      <c r="W128" s="1634"/>
      <c r="X128" s="1636"/>
      <c r="Y128" s="1636"/>
      <c r="AG128" s="1640"/>
      <c r="AQ128" s="1630"/>
      <c r="AR128" s="1636" t="s">
        <v>21</v>
      </c>
      <c r="AT128" s="1632"/>
    </row>
    <row r="129" spans="1:50" ht="38.25" customHeight="1">
      <c r="F129" s="1683"/>
      <c r="H129" s="1657" t="s">
        <v>5564</v>
      </c>
      <c r="I129" s="1661" t="s">
        <v>265</v>
      </c>
      <c r="K129" s="1637">
        <f>ROUND(K127/10,2)</f>
        <v>221.48</v>
      </c>
      <c r="N129" s="1630"/>
      <c r="O129" s="1627" t="s">
        <v>255</v>
      </c>
      <c r="Q129" s="1632"/>
      <c r="R129" s="1640">
        <f>SUM(R125:R127)</f>
        <v>218.23000000000002</v>
      </c>
      <c r="S129" s="1684"/>
      <c r="T129" s="1630"/>
      <c r="U129" s="1657"/>
      <c r="V129" s="1661"/>
      <c r="W129" s="1634"/>
      <c r="X129" s="1637"/>
      <c r="Y129" s="1637"/>
      <c r="AG129" s="1640"/>
      <c r="AP129" s="1652">
        <v>10</v>
      </c>
      <c r="AQ129" s="1638" t="s">
        <v>249</v>
      </c>
      <c r="AR129" s="1627" t="s">
        <v>806</v>
      </c>
      <c r="AT129" s="1632"/>
    </row>
    <row r="130" spans="1:50" ht="24" customHeight="1">
      <c r="I130" s="1661" t="s">
        <v>266</v>
      </c>
      <c r="K130" s="1637">
        <f>ROUND(K129+C36,2)</f>
        <v>235.76</v>
      </c>
      <c r="T130" s="1630"/>
      <c r="V130" s="1661"/>
      <c r="W130" s="1634"/>
      <c r="X130" s="1637"/>
      <c r="Y130" s="1637"/>
      <c r="AG130" s="1640"/>
      <c r="AQ130" s="1630"/>
      <c r="AR130" s="1640" t="str">
        <f>AR61</f>
        <v>Bricks of size 23x11x7 cm</v>
      </c>
      <c r="AT130" s="1632"/>
    </row>
    <row r="131" spans="1:50" ht="24" customHeight="1">
      <c r="I131" s="1661"/>
      <c r="K131" s="1636"/>
      <c r="T131" s="1630"/>
      <c r="V131" s="1661"/>
      <c r="W131" s="1634"/>
      <c r="X131" s="1636"/>
      <c r="Y131" s="1636"/>
      <c r="AG131" s="1640"/>
      <c r="AQ131" s="1630"/>
      <c r="AR131" s="1636" t="s">
        <v>21</v>
      </c>
      <c r="AT131" s="1632"/>
    </row>
    <row r="132" spans="1:50" ht="24" customHeight="1">
      <c r="F132" s="1662">
        <v>1.6</v>
      </c>
      <c r="H132" s="1627" t="s">
        <v>807</v>
      </c>
      <c r="I132" s="1661"/>
      <c r="S132" s="1673">
        <v>1.6</v>
      </c>
      <c r="T132" s="1630"/>
      <c r="U132" s="1627" t="s">
        <v>807</v>
      </c>
      <c r="V132" s="1661"/>
      <c r="W132" s="1634"/>
      <c r="AG132" s="1640"/>
      <c r="AP132" s="1640">
        <f>AP63</f>
        <v>1300</v>
      </c>
      <c r="AQ132" s="1638" t="s">
        <v>267</v>
      </c>
      <c r="AR132" s="1640" t="str">
        <f>AR61</f>
        <v>Bricks of size 23x11x7 cm</v>
      </c>
      <c r="AS132" s="1640">
        <f>AE45</f>
        <v>8120.3099999999995</v>
      </c>
      <c r="AT132" s="1627" t="s">
        <v>268</v>
      </c>
      <c r="AU132" s="1640">
        <f>(AP132*AS132)/1000</f>
        <v>10556.403</v>
      </c>
      <c r="AW132" s="1629">
        <f t="shared" si="15"/>
        <v>2395.2478407000003</v>
      </c>
      <c r="AX132" s="1629">
        <f t="shared" si="16"/>
        <v>8161.1551593000004</v>
      </c>
    </row>
    <row r="133" spans="1:50" ht="24" customHeight="1">
      <c r="H133" s="1627" t="s">
        <v>808</v>
      </c>
      <c r="I133" s="1661" t="s">
        <v>265</v>
      </c>
      <c r="K133" s="1639">
        <f>C61*1.5</f>
        <v>223.125</v>
      </c>
      <c r="L133" s="1639"/>
      <c r="M133" s="1629">
        <f>M116*1.5</f>
        <v>148.995</v>
      </c>
      <c r="T133" s="1630"/>
      <c r="U133" s="1627" t="s">
        <v>808</v>
      </c>
      <c r="V133" s="1661" t="s">
        <v>265</v>
      </c>
      <c r="W133" s="1634"/>
      <c r="X133" s="1639">
        <f>V81*1.5</f>
        <v>148.995</v>
      </c>
      <c r="Y133" s="1639"/>
      <c r="AG133" s="1640"/>
      <c r="AP133" s="1658">
        <v>0.70799999999999996</v>
      </c>
      <c r="AQ133" s="1638" t="s">
        <v>151</v>
      </c>
      <c r="AR133" s="1627" t="s">
        <v>258</v>
      </c>
      <c r="AS133" s="1640">
        <f>K40</f>
        <v>4593.8999999999996</v>
      </c>
      <c r="AT133" s="1627" t="s">
        <v>151</v>
      </c>
      <c r="AU133" s="1640">
        <f>(AP133*AS133)</f>
        <v>3252.4811999999997</v>
      </c>
      <c r="AW133" s="1629">
        <f t="shared" si="15"/>
        <v>737.98798427999998</v>
      </c>
      <c r="AX133" s="1629">
        <f t="shared" si="16"/>
        <v>2514.4932157199996</v>
      </c>
    </row>
    <row r="134" spans="1:50" ht="24" customHeight="1">
      <c r="F134" s="1627" t="s">
        <v>150</v>
      </c>
      <c r="H134" s="1627" t="s">
        <v>809</v>
      </c>
      <c r="I134" s="1661" t="s">
        <v>266</v>
      </c>
      <c r="K134" s="1637">
        <f>ROUND(K133+C36,2)</f>
        <v>237.41</v>
      </c>
      <c r="S134" s="1675" t="s">
        <v>150</v>
      </c>
      <c r="T134" s="1630"/>
      <c r="U134" s="1627" t="s">
        <v>809</v>
      </c>
      <c r="V134" s="1661" t="s">
        <v>266</v>
      </c>
      <c r="W134" s="1634"/>
      <c r="X134" s="1637">
        <f>ROUND(X133+C36,2)</f>
        <v>163.28</v>
      </c>
      <c r="Y134" s="1637"/>
      <c r="AG134" s="1640"/>
      <c r="AP134" s="1640">
        <v>1</v>
      </c>
      <c r="AQ134" s="1638" t="s">
        <v>153</v>
      </c>
      <c r="AR134" s="1627" t="s">
        <v>269</v>
      </c>
      <c r="AS134" s="1640">
        <f>AS109</f>
        <v>1325.8</v>
      </c>
      <c r="AT134" s="1627" t="s">
        <v>153</v>
      </c>
      <c r="AU134" s="1640">
        <f>(AP134*AS134)</f>
        <v>1325.8</v>
      </c>
      <c r="AW134" s="1629">
        <f t="shared" si="15"/>
        <v>300.82402000000002</v>
      </c>
      <c r="AX134" s="1629">
        <f t="shared" si="16"/>
        <v>1024.9759799999999</v>
      </c>
    </row>
    <row r="135" spans="1:50" ht="24" customHeight="1">
      <c r="K135" s="1636" t="s">
        <v>156</v>
      </c>
      <c r="T135" s="1630"/>
      <c r="W135" s="1634"/>
      <c r="X135" s="1636" t="s">
        <v>156</v>
      </c>
      <c r="Y135" s="1636"/>
      <c r="AG135" s="1640"/>
      <c r="AP135" s="1640">
        <v>3</v>
      </c>
      <c r="AQ135" s="1638" t="s">
        <v>153</v>
      </c>
      <c r="AR135" s="1627" t="s">
        <v>234</v>
      </c>
      <c r="AS135" s="1640">
        <f>AS110</f>
        <v>1237.5999999999999</v>
      </c>
      <c r="AT135" s="1627" t="s">
        <v>153</v>
      </c>
      <c r="AU135" s="1640">
        <f>(AP135*AS135)</f>
        <v>3712.7999999999997</v>
      </c>
      <c r="AW135" s="1629">
        <f t="shared" si="15"/>
        <v>842.43431999999996</v>
      </c>
      <c r="AX135" s="1629">
        <f t="shared" si="16"/>
        <v>2870.3656799999999</v>
      </c>
    </row>
    <row r="136" spans="1:50" ht="24" customHeight="1">
      <c r="H136" s="1631" t="s">
        <v>810</v>
      </c>
      <c r="I136" s="1661" t="s">
        <v>265</v>
      </c>
      <c r="K136" s="1639">
        <f>C61*1.25</f>
        <v>185.9375</v>
      </c>
      <c r="T136" s="1630"/>
      <c r="U136" s="1631" t="s">
        <v>811</v>
      </c>
      <c r="V136" s="1661" t="s">
        <v>265</v>
      </c>
      <c r="W136" s="1634"/>
      <c r="X136" s="1639">
        <f>V81*1.25</f>
        <v>124.16249999999999</v>
      </c>
      <c r="Y136" s="1639"/>
      <c r="AG136" s="1640"/>
      <c r="AP136" s="1640">
        <v>2</v>
      </c>
      <c r="AQ136" s="1638" t="s">
        <v>153</v>
      </c>
      <c r="AR136" s="1627" t="s">
        <v>235</v>
      </c>
      <c r="AS136" s="1640">
        <f>AS111</f>
        <v>865.19999999999993</v>
      </c>
      <c r="AT136" s="1627" t="s">
        <v>153</v>
      </c>
      <c r="AU136" s="1640">
        <f>(AP136*AS136)</f>
        <v>1730.3999999999999</v>
      </c>
      <c r="AW136" s="1629">
        <f t="shared" si="15"/>
        <v>392.62775999999997</v>
      </c>
      <c r="AX136" s="1629">
        <f t="shared" si="16"/>
        <v>1337.7722399999998</v>
      </c>
    </row>
    <row r="137" spans="1:50" ht="24" customHeight="1">
      <c r="A137" s="1647">
        <f>(A91+1)</f>
        <v>80</v>
      </c>
      <c r="B137" s="1627" t="s">
        <v>812</v>
      </c>
      <c r="C137" s="1640">
        <f>AE30</f>
        <v>11907</v>
      </c>
      <c r="D137" s="1640">
        <v>13.87</v>
      </c>
      <c r="E137" s="1627" t="s">
        <v>150</v>
      </c>
      <c r="F137" s="1628" t="s">
        <v>374</v>
      </c>
      <c r="G137" s="1638" t="s">
        <v>249</v>
      </c>
      <c r="H137" s="1627" t="s">
        <v>375</v>
      </c>
      <c r="M137" s="1628" t="s">
        <v>374</v>
      </c>
      <c r="N137" s="1638" t="s">
        <v>249</v>
      </c>
      <c r="O137" s="1627" t="s">
        <v>375</v>
      </c>
      <c r="Q137" s="1632"/>
      <c r="W137" s="1634"/>
      <c r="AG137" s="1640"/>
      <c r="AI137" s="1627"/>
      <c r="AP137" s="1640">
        <v>6</v>
      </c>
      <c r="AQ137" s="1638" t="s">
        <v>153</v>
      </c>
      <c r="AR137" s="1627" t="s">
        <v>236</v>
      </c>
      <c r="AS137" s="1640">
        <f>AS112</f>
        <v>709.8</v>
      </c>
      <c r="AT137" s="1627" t="s">
        <v>153</v>
      </c>
      <c r="AU137" s="1640">
        <f>(AP137*AS137)</f>
        <v>4258.7999999999993</v>
      </c>
      <c r="AW137" s="1629">
        <f t="shared" si="15"/>
        <v>966.32171999999991</v>
      </c>
      <c r="AX137" s="1629">
        <f t="shared" si="16"/>
        <v>3292.4782799999994</v>
      </c>
    </row>
    <row r="138" spans="1:50" ht="24" customHeight="1">
      <c r="A138" s="1647">
        <f t="shared" ref="A138:A143" si="17">(A137+1)</f>
        <v>81</v>
      </c>
      <c r="B138" s="1627" t="s">
        <v>813</v>
      </c>
      <c r="C138" s="1640">
        <f>AE33</f>
        <v>58000</v>
      </c>
      <c r="D138" s="1627" t="s">
        <v>251</v>
      </c>
      <c r="H138" s="1627" t="s">
        <v>5565</v>
      </c>
      <c r="N138" s="1630"/>
      <c r="O138" s="1627" t="s">
        <v>5566</v>
      </c>
      <c r="Q138" s="1632"/>
      <c r="W138" s="1634"/>
      <c r="AG138" s="1640"/>
      <c r="AI138" s="1627"/>
      <c r="AQ138" s="1638" t="s">
        <v>226</v>
      </c>
      <c r="AR138" s="1627" t="s">
        <v>237</v>
      </c>
      <c r="AS138" s="1627" t="s">
        <v>150</v>
      </c>
      <c r="AT138" s="1627" t="s">
        <v>226</v>
      </c>
      <c r="AU138" s="1640">
        <v>5</v>
      </c>
      <c r="AW138" s="1629">
        <f t="shared" si="15"/>
        <v>1.1345000000000001</v>
      </c>
      <c r="AX138" s="1629">
        <f t="shared" si="16"/>
        <v>3.8654999999999999</v>
      </c>
    </row>
    <row r="139" spans="1:50" ht="24" customHeight="1">
      <c r="A139" s="1647">
        <f t="shared" si="17"/>
        <v>82</v>
      </c>
      <c r="B139" s="1627" t="s">
        <v>816</v>
      </c>
      <c r="C139" s="1640">
        <f>AE32</f>
        <v>58000</v>
      </c>
      <c r="D139" s="1627" t="s">
        <v>251</v>
      </c>
      <c r="H139" s="1636" t="s">
        <v>21</v>
      </c>
      <c r="N139" s="1630"/>
      <c r="O139" s="1636" t="s">
        <v>21</v>
      </c>
      <c r="Q139" s="1632"/>
      <c r="W139" s="1634"/>
      <c r="AG139" s="1640"/>
      <c r="AI139" s="1627"/>
      <c r="AQ139" s="1630"/>
      <c r="AT139" s="1632"/>
      <c r="AU139" s="1636" t="s">
        <v>21</v>
      </c>
      <c r="AW139" s="1629">
        <f t="shared" si="15"/>
        <v>0</v>
      </c>
      <c r="AX139" s="1629">
        <f t="shared" si="16"/>
        <v>0</v>
      </c>
    </row>
    <row r="140" spans="1:50" ht="24" customHeight="1">
      <c r="A140" s="1647">
        <f t="shared" si="17"/>
        <v>83</v>
      </c>
      <c r="B140" s="1627" t="s">
        <v>817</v>
      </c>
      <c r="C140" s="1640">
        <f>AE33</f>
        <v>58000</v>
      </c>
      <c r="D140" s="1627" t="s">
        <v>251</v>
      </c>
      <c r="F140" s="1640">
        <v>1</v>
      </c>
      <c r="G140" s="1638" t="s">
        <v>151</v>
      </c>
      <c r="H140" s="1627" t="s">
        <v>376</v>
      </c>
      <c r="I140" s="1640">
        <f>I36</f>
        <v>2265.5</v>
      </c>
      <c r="J140" s="1627" t="s">
        <v>151</v>
      </c>
      <c r="K140" s="1640">
        <f>(F140*I140)</f>
        <v>2265.5</v>
      </c>
      <c r="M140" s="1640">
        <v>1</v>
      </c>
      <c r="N140" s="1638" t="s">
        <v>151</v>
      </c>
      <c r="O140" s="1627" t="s">
        <v>804</v>
      </c>
      <c r="P140" s="1640">
        <f>AE38</f>
        <v>222.7</v>
      </c>
      <c r="Q140" s="1627" t="s">
        <v>151</v>
      </c>
      <c r="R140" s="1640">
        <f>(M140*P140)</f>
        <v>222.7</v>
      </c>
      <c r="W140" s="1634"/>
      <c r="AG140" s="1640"/>
      <c r="AI140" s="1627"/>
      <c r="AQ140" s="1630"/>
      <c r="AR140" s="1627" t="s">
        <v>263</v>
      </c>
      <c r="AT140" s="1632"/>
      <c r="AU140" s="1640">
        <f>SUM(AU132:AU138)</f>
        <v>24841.6842</v>
      </c>
      <c r="AW140" s="1629">
        <f t="shared" si="15"/>
        <v>5636.5781449800006</v>
      </c>
      <c r="AX140" s="1629">
        <f t="shared" si="16"/>
        <v>19205.106055019998</v>
      </c>
    </row>
    <row r="141" spans="1:50" ht="24" customHeight="1">
      <c r="A141" s="1647">
        <f t="shared" si="17"/>
        <v>84</v>
      </c>
      <c r="B141" s="1627" t="s">
        <v>818</v>
      </c>
      <c r="C141" s="1640">
        <f>AE38</f>
        <v>222.7</v>
      </c>
      <c r="D141" s="1627" t="s">
        <v>151</v>
      </c>
      <c r="F141" s="1640">
        <v>1</v>
      </c>
      <c r="G141" s="1638" t="s">
        <v>151</v>
      </c>
      <c r="H141" s="1627" t="s">
        <v>377</v>
      </c>
      <c r="I141" s="1640">
        <f>C27</f>
        <v>45.43</v>
      </c>
      <c r="J141" s="1627" t="s">
        <v>151</v>
      </c>
      <c r="K141" s="1640">
        <f>(F141*I141)</f>
        <v>45.43</v>
      </c>
      <c r="M141" s="1640">
        <v>1</v>
      </c>
      <c r="N141" s="1638" t="s">
        <v>151</v>
      </c>
      <c r="O141" s="1627" t="s">
        <v>377</v>
      </c>
      <c r="P141" s="1640">
        <f>C26</f>
        <v>51.730000000000004</v>
      </c>
      <c r="Q141" s="1627" t="s">
        <v>151</v>
      </c>
      <c r="R141" s="1640">
        <f>(M141*P141)</f>
        <v>51.730000000000004</v>
      </c>
      <c r="W141" s="1634"/>
      <c r="AG141" s="1640"/>
      <c r="AI141" s="1627"/>
      <c r="AQ141" s="1630"/>
      <c r="AT141" s="1632"/>
      <c r="AU141" s="1636" t="s">
        <v>21</v>
      </c>
      <c r="AW141" s="1629">
        <f t="shared" si="15"/>
        <v>0</v>
      </c>
      <c r="AX141" s="1629">
        <f t="shared" si="16"/>
        <v>0</v>
      </c>
    </row>
    <row r="142" spans="1:50" ht="24" customHeight="1">
      <c r="A142" s="1647">
        <f t="shared" si="17"/>
        <v>85</v>
      </c>
      <c r="B142" s="1627" t="s">
        <v>819</v>
      </c>
      <c r="C142" s="1640">
        <v>43563.69</v>
      </c>
      <c r="D142" s="1627" t="s">
        <v>251</v>
      </c>
      <c r="G142" s="1638" t="s">
        <v>226</v>
      </c>
      <c r="H142" s="1627" t="s">
        <v>237</v>
      </c>
      <c r="I142" s="1627" t="s">
        <v>150</v>
      </c>
      <c r="J142" s="1627" t="s">
        <v>226</v>
      </c>
      <c r="K142" s="1640">
        <v>0</v>
      </c>
      <c r="N142" s="1638" t="s">
        <v>226</v>
      </c>
      <c r="O142" s="1627" t="s">
        <v>237</v>
      </c>
      <c r="P142" s="1627" t="s">
        <v>150</v>
      </c>
      <c r="Q142" s="1627" t="s">
        <v>226</v>
      </c>
      <c r="R142" s="1640">
        <v>0</v>
      </c>
      <c r="W142" s="1634"/>
      <c r="AG142" s="1640"/>
      <c r="AI142" s="1627"/>
      <c r="AQ142" s="1630"/>
      <c r="AR142" s="1627" t="s">
        <v>270</v>
      </c>
      <c r="AT142" s="1632"/>
      <c r="AU142" s="1640">
        <f>(AU140/2.83168)</f>
        <v>8772.7724177873206</v>
      </c>
      <c r="AW142" s="1629">
        <f t="shared" si="15"/>
        <v>1990.5420615959433</v>
      </c>
      <c r="AX142" s="1629">
        <f t="shared" si="16"/>
        <v>6782.2303561913777</v>
      </c>
    </row>
    <row r="143" spans="1:50" ht="24" customHeight="1">
      <c r="A143" s="1647">
        <f t="shared" si="17"/>
        <v>86</v>
      </c>
      <c r="B143" s="1627" t="s">
        <v>5567</v>
      </c>
      <c r="C143" s="1640">
        <f>56.35*1000</f>
        <v>56350</v>
      </c>
      <c r="D143" s="1627" t="s">
        <v>251</v>
      </c>
      <c r="E143" s="1629">
        <v>5</v>
      </c>
      <c r="K143" s="1636" t="s">
        <v>21</v>
      </c>
      <c r="N143" s="1630"/>
      <c r="Q143" s="1632"/>
      <c r="R143" s="1636" t="s">
        <v>21</v>
      </c>
      <c r="W143" s="1634"/>
      <c r="AG143" s="1640"/>
      <c r="AI143" s="1627"/>
      <c r="AQ143" s="1630"/>
      <c r="AT143" s="1632"/>
      <c r="AU143" s="1636" t="s">
        <v>156</v>
      </c>
      <c r="AW143" s="1629">
        <f t="shared" si="15"/>
        <v>0</v>
      </c>
      <c r="AX143" s="1629">
        <f t="shared" si="16"/>
        <v>0</v>
      </c>
    </row>
    <row r="144" spans="1:50" ht="24" customHeight="1">
      <c r="B144" s="1627" t="s">
        <v>150</v>
      </c>
      <c r="H144" s="1627" t="s">
        <v>378</v>
      </c>
      <c r="K144" s="1639">
        <f>SUM(K138:K142)</f>
        <v>2310.9299999999998</v>
      </c>
      <c r="N144" s="1630"/>
      <c r="O144" s="1627" t="s">
        <v>255</v>
      </c>
      <c r="Q144" s="1632"/>
      <c r="R144" s="1640">
        <f>SUM(R140:R142)</f>
        <v>274.43</v>
      </c>
      <c r="W144" s="1634"/>
      <c r="AG144" s="1640"/>
      <c r="AI144" s="1627"/>
      <c r="AQ144" s="1630"/>
      <c r="AT144" s="1632"/>
      <c r="AW144" s="1629">
        <f t="shared" si="15"/>
        <v>0</v>
      </c>
      <c r="AX144" s="1629">
        <f t="shared" si="16"/>
        <v>0</v>
      </c>
    </row>
    <row r="145" spans="1:50" ht="24" customHeight="1">
      <c r="A145" s="1647">
        <f>(A143+1)</f>
        <v>87</v>
      </c>
      <c r="B145" s="1627" t="s">
        <v>821</v>
      </c>
      <c r="C145" s="1640">
        <v>7.5</v>
      </c>
      <c r="D145" s="1627" t="s">
        <v>226</v>
      </c>
      <c r="K145" s="1636" t="s">
        <v>21</v>
      </c>
      <c r="N145" s="1630"/>
      <c r="O145" s="1627" t="s">
        <v>327</v>
      </c>
      <c r="Q145" s="1632"/>
      <c r="R145" s="1636" t="s">
        <v>21</v>
      </c>
      <c r="W145" s="1634"/>
      <c r="AG145" s="1640"/>
      <c r="AI145" s="1627"/>
      <c r="AQ145" s="1638" t="s">
        <v>230</v>
      </c>
      <c r="AR145" s="1627" t="s">
        <v>822</v>
      </c>
      <c r="AT145" s="1632"/>
      <c r="AW145" s="1629">
        <f t="shared" si="15"/>
        <v>0</v>
      </c>
      <c r="AX145" s="1629">
        <f t="shared" si="16"/>
        <v>0</v>
      </c>
    </row>
    <row r="146" spans="1:50" ht="24" customHeight="1">
      <c r="B146" s="1627" t="s">
        <v>823</v>
      </c>
      <c r="C146" s="1640">
        <v>15.5</v>
      </c>
      <c r="F146" s="1628" t="s">
        <v>824</v>
      </c>
      <c r="G146" s="1638" t="s">
        <v>249</v>
      </c>
      <c r="H146" s="1627" t="s">
        <v>5568</v>
      </c>
      <c r="W146" s="1634"/>
      <c r="AG146" s="1640"/>
      <c r="AQ146" s="1630"/>
      <c r="AR146" s="1636" t="s">
        <v>21</v>
      </c>
      <c r="AT146" s="1632"/>
      <c r="AW146" s="1629">
        <f t="shared" si="15"/>
        <v>0</v>
      </c>
      <c r="AX146" s="1629">
        <f t="shared" si="16"/>
        <v>0</v>
      </c>
    </row>
    <row r="147" spans="1:50" ht="24" customHeight="1">
      <c r="A147" s="1647">
        <f>(A145+1)</f>
        <v>88</v>
      </c>
      <c r="B147" s="1627" t="s">
        <v>826</v>
      </c>
      <c r="C147" s="1640">
        <v>15.25</v>
      </c>
      <c r="D147" s="1627" t="s">
        <v>13</v>
      </c>
      <c r="H147" s="1627" t="s">
        <v>827</v>
      </c>
      <c r="M147" s="1628" t="s">
        <v>374</v>
      </c>
      <c r="N147" s="1638" t="s">
        <v>249</v>
      </c>
      <c r="O147" s="1627" t="s">
        <v>375</v>
      </c>
      <c r="Q147" s="1632"/>
      <c r="W147" s="1634"/>
      <c r="AG147" s="1640"/>
      <c r="AP147" s="1640">
        <v>1.1000000000000001</v>
      </c>
      <c r="AQ147" s="1638" t="s">
        <v>151</v>
      </c>
      <c r="AR147" s="1627" t="s">
        <v>273</v>
      </c>
      <c r="AS147" s="1640">
        <f>(AU142)</f>
        <v>8772.7724177873206</v>
      </c>
      <c r="AT147" s="1627" t="s">
        <v>151</v>
      </c>
      <c r="AU147" s="1640">
        <f>(AP147*AS147)</f>
        <v>9650.0496595660534</v>
      </c>
      <c r="AW147" s="1629">
        <f t="shared" si="15"/>
        <v>2189.5962677555376</v>
      </c>
      <c r="AX147" s="1629">
        <f t="shared" si="16"/>
        <v>7460.4533918105153</v>
      </c>
    </row>
    <row r="148" spans="1:50" ht="24" customHeight="1">
      <c r="A148" s="1647">
        <f>(A147+1)</f>
        <v>89</v>
      </c>
      <c r="B148" s="1627" t="s">
        <v>5123</v>
      </c>
      <c r="C148" s="1640">
        <v>145.19999999999999</v>
      </c>
      <c r="D148" s="1627" t="s">
        <v>13</v>
      </c>
      <c r="H148" s="1627" t="s">
        <v>829</v>
      </c>
      <c r="N148" s="1630"/>
      <c r="O148" s="1627" t="s">
        <v>5569</v>
      </c>
      <c r="Q148" s="1632"/>
      <c r="W148" s="1634"/>
      <c r="AG148" s="1640"/>
      <c r="AP148" s="1640">
        <v>1</v>
      </c>
      <c r="AQ148" s="1638" t="s">
        <v>4</v>
      </c>
      <c r="AR148" s="1627" t="s">
        <v>269</v>
      </c>
      <c r="AS148" s="1640">
        <f>AS134</f>
        <v>1325.8</v>
      </c>
      <c r="AT148" s="1627" t="s">
        <v>153</v>
      </c>
      <c r="AU148" s="1640">
        <f>(AP148*AS148)</f>
        <v>1325.8</v>
      </c>
      <c r="AW148" s="1629">
        <f t="shared" si="15"/>
        <v>300.82402000000002</v>
      </c>
      <c r="AX148" s="1629">
        <f t="shared" si="16"/>
        <v>1024.9759799999999</v>
      </c>
    </row>
    <row r="149" spans="1:50" ht="24" customHeight="1">
      <c r="B149" s="1629" t="s">
        <v>5570</v>
      </c>
      <c r="C149" s="1629">
        <v>43.2</v>
      </c>
      <c r="D149" s="1629" t="s">
        <v>13</v>
      </c>
      <c r="H149" s="1627" t="s">
        <v>831</v>
      </c>
      <c r="N149" s="1630"/>
      <c r="O149" s="1636" t="s">
        <v>21</v>
      </c>
      <c r="Q149" s="1632"/>
      <c r="W149" s="1634"/>
      <c r="AG149" s="1640"/>
      <c r="AQ149" s="1638" t="s">
        <v>226</v>
      </c>
      <c r="AR149" s="1627" t="s">
        <v>237</v>
      </c>
      <c r="AS149" s="1627" t="s">
        <v>150</v>
      </c>
      <c r="AT149" s="1627" t="s">
        <v>226</v>
      </c>
      <c r="AU149" s="1640">
        <v>0</v>
      </c>
      <c r="AW149" s="1629">
        <f t="shared" si="15"/>
        <v>0</v>
      </c>
      <c r="AX149" s="1629">
        <f t="shared" si="16"/>
        <v>0</v>
      </c>
    </row>
    <row r="150" spans="1:50" ht="24" customHeight="1">
      <c r="H150" s="1627" t="s">
        <v>832</v>
      </c>
      <c r="M150" s="1640">
        <v>1</v>
      </c>
      <c r="N150" s="1638" t="s">
        <v>151</v>
      </c>
      <c r="O150" s="1627" t="s">
        <v>833</v>
      </c>
      <c r="P150" s="1640">
        <f>AE43</f>
        <v>123.7</v>
      </c>
      <c r="Q150" s="1627" t="s">
        <v>151</v>
      </c>
      <c r="R150" s="1640">
        <f>(M150*P150)</f>
        <v>123.7</v>
      </c>
      <c r="W150" s="1634"/>
      <c r="AG150" s="1640"/>
      <c r="AQ150" s="1630"/>
      <c r="AT150" s="1632"/>
      <c r="AU150" s="1636" t="s">
        <v>21</v>
      </c>
      <c r="AW150" s="1629">
        <f t="shared" si="15"/>
        <v>0</v>
      </c>
      <c r="AX150" s="1629">
        <f t="shared" si="16"/>
        <v>0</v>
      </c>
    </row>
    <row r="151" spans="1:50" ht="24" customHeight="1">
      <c r="H151" s="1636" t="s">
        <v>21</v>
      </c>
      <c r="M151" s="1640">
        <v>1</v>
      </c>
      <c r="N151" s="1638" t="s">
        <v>151</v>
      </c>
      <c r="O151" s="1627" t="s">
        <v>377</v>
      </c>
      <c r="P151" s="1640">
        <f>AG28</f>
        <v>51.730000000000004</v>
      </c>
      <c r="Q151" s="1627" t="s">
        <v>151</v>
      </c>
      <c r="R151" s="1640">
        <f>(M151*P151)</f>
        <v>51.730000000000004</v>
      </c>
      <c r="W151" s="1634"/>
      <c r="AG151" s="1640"/>
      <c r="AQ151" s="1630"/>
      <c r="AR151" s="1627" t="s">
        <v>238</v>
      </c>
      <c r="AT151" s="1632"/>
      <c r="AU151" s="1639">
        <f>SUM(AU147:AU149)</f>
        <v>10975.849659566053</v>
      </c>
      <c r="AW151" s="1629">
        <f t="shared" si="15"/>
        <v>2490.4202877555376</v>
      </c>
      <c r="AX151" s="1629">
        <f t="shared" si="16"/>
        <v>8485.4293718105146</v>
      </c>
    </row>
    <row r="152" spans="1:50" ht="24" customHeight="1">
      <c r="F152" s="1640">
        <v>0.7</v>
      </c>
      <c r="G152" s="1638" t="s">
        <v>151</v>
      </c>
      <c r="H152" s="1627" t="s">
        <v>693</v>
      </c>
      <c r="I152" s="1640">
        <f>C79</f>
        <v>2265.5</v>
      </c>
      <c r="J152" s="1627" t="s">
        <v>151</v>
      </c>
      <c r="K152" s="1640">
        <f t="shared" ref="K152:K157" si="18">(F152*I152)</f>
        <v>1585.85</v>
      </c>
      <c r="N152" s="1638" t="s">
        <v>226</v>
      </c>
      <c r="O152" s="1627" t="s">
        <v>237</v>
      </c>
      <c r="P152" s="1627" t="s">
        <v>150</v>
      </c>
      <c r="Q152" s="1627" t="s">
        <v>226</v>
      </c>
      <c r="R152" s="1640">
        <v>0</v>
      </c>
      <c r="W152" s="1634"/>
      <c r="AG152" s="1640"/>
      <c r="AQ152" s="1630"/>
      <c r="AT152" s="1632"/>
      <c r="AU152" s="1636" t="s">
        <v>21</v>
      </c>
      <c r="AW152" s="1629">
        <f t="shared" si="15"/>
        <v>0</v>
      </c>
      <c r="AX152" s="1629">
        <f t="shared" si="16"/>
        <v>0</v>
      </c>
    </row>
    <row r="153" spans="1:50" ht="24" customHeight="1">
      <c r="F153" s="1640">
        <v>0.7</v>
      </c>
      <c r="G153" s="1638" t="s">
        <v>151</v>
      </c>
      <c r="H153" s="1685" t="s">
        <v>834</v>
      </c>
      <c r="I153" s="1686">
        <f>C812</f>
        <v>3.15</v>
      </c>
      <c r="J153" s="1627" t="s">
        <v>151</v>
      </c>
      <c r="K153" s="1640">
        <f t="shared" si="18"/>
        <v>2.2049999999999996</v>
      </c>
      <c r="N153" s="1630"/>
      <c r="Q153" s="1632"/>
      <c r="R153" s="1636" t="s">
        <v>21</v>
      </c>
      <c r="W153" s="1634"/>
      <c r="AG153" s="1640"/>
      <c r="AQ153" s="1630"/>
      <c r="AR153" s="1627" t="s">
        <v>155</v>
      </c>
      <c r="AT153" s="1632"/>
      <c r="AU153" s="1640">
        <f>(AU151/10)</f>
        <v>1097.5849659566052</v>
      </c>
      <c r="AW153" s="1629">
        <f t="shared" si="15"/>
        <v>249.04202877555375</v>
      </c>
      <c r="AX153" s="1629">
        <f t="shared" si="16"/>
        <v>848.54293718105146</v>
      </c>
    </row>
    <row r="154" spans="1:50" ht="24" customHeight="1">
      <c r="F154" s="1640">
        <v>0.72</v>
      </c>
      <c r="G154" s="1638" t="s">
        <v>151</v>
      </c>
      <c r="H154" s="1627" t="s">
        <v>835</v>
      </c>
      <c r="I154" s="1640">
        <f>C35</f>
        <v>222.7</v>
      </c>
      <c r="J154" s="1627" t="s">
        <v>151</v>
      </c>
      <c r="K154" s="1640">
        <f t="shared" si="18"/>
        <v>160.34399999999999</v>
      </c>
      <c r="N154" s="1630"/>
      <c r="O154" s="1627" t="s">
        <v>255</v>
      </c>
      <c r="Q154" s="1632"/>
      <c r="R154" s="1640">
        <f>SUM(R150:R152)</f>
        <v>175.43</v>
      </c>
      <c r="W154" s="1634"/>
      <c r="AG154" s="1640"/>
      <c r="AQ154" s="1630"/>
      <c r="AT154" s="1632"/>
      <c r="AU154" s="1636" t="s">
        <v>156</v>
      </c>
      <c r="AW154" s="1629">
        <f t="shared" si="15"/>
        <v>0</v>
      </c>
      <c r="AX154" s="1629">
        <f t="shared" si="16"/>
        <v>0</v>
      </c>
    </row>
    <row r="155" spans="1:50" ht="24" customHeight="1">
      <c r="F155" s="1640">
        <v>0.72</v>
      </c>
      <c r="G155" s="1638" t="s">
        <v>151</v>
      </c>
      <c r="H155" s="1685" t="s">
        <v>834</v>
      </c>
      <c r="I155" s="1686">
        <f>C812</f>
        <v>3.15</v>
      </c>
      <c r="J155" s="1627" t="s">
        <v>151</v>
      </c>
      <c r="K155" s="1640">
        <f t="shared" si="18"/>
        <v>2.2679999999999998</v>
      </c>
      <c r="N155" s="1630"/>
      <c r="O155" s="1627" t="s">
        <v>327</v>
      </c>
      <c r="Q155" s="1632"/>
      <c r="R155" s="1636" t="s">
        <v>21</v>
      </c>
      <c r="W155" s="1634"/>
      <c r="AG155" s="1640"/>
      <c r="AQ155" s="1630"/>
      <c r="AR155" s="1627" t="s">
        <v>271</v>
      </c>
      <c r="AT155" s="1632">
        <f>AU155-AU153</f>
        <v>11.519199999999955</v>
      </c>
      <c r="AU155" s="1639">
        <f>(AU153+C19/10*AP147)</f>
        <v>1109.1041659566051</v>
      </c>
      <c r="AV155" s="1629">
        <f>AU153-AU155</f>
        <v>-11.519199999999955</v>
      </c>
      <c r="AW155" s="1629">
        <f t="shared" si="15"/>
        <v>251.65573525555371</v>
      </c>
      <c r="AX155" s="1629">
        <f t="shared" si="16"/>
        <v>857.44843070105139</v>
      </c>
    </row>
    <row r="156" spans="1:50" ht="24" customHeight="1">
      <c r="F156" s="1640">
        <v>1</v>
      </c>
      <c r="G156" s="1638" t="s">
        <v>151</v>
      </c>
      <c r="H156" s="1627" t="s">
        <v>697</v>
      </c>
      <c r="I156" s="1640">
        <f>C18</f>
        <v>154</v>
      </c>
      <c r="J156" s="1627" t="s">
        <v>151</v>
      </c>
      <c r="K156" s="1640">
        <f t="shared" si="18"/>
        <v>154</v>
      </c>
      <c r="W156" s="1634"/>
      <c r="AG156" s="1640"/>
      <c r="AQ156" s="1630"/>
      <c r="AR156" s="1627" t="s">
        <v>272</v>
      </c>
      <c r="AT156" s="1632">
        <f>AU156-AU155</f>
        <v>23.238599999999906</v>
      </c>
      <c r="AU156" s="1639">
        <f>(AU155+C20/10*AP147)</f>
        <v>1132.342765956605</v>
      </c>
      <c r="AV156" s="1629">
        <f>AU156-AU155</f>
        <v>23.238599999999906</v>
      </c>
      <c r="AW156" s="1629">
        <f t="shared" si="15"/>
        <v>256.9285735955537</v>
      </c>
      <c r="AX156" s="1629">
        <f t="shared" si="16"/>
        <v>875.41419236105139</v>
      </c>
    </row>
    <row r="157" spans="1:50" ht="24" customHeight="1">
      <c r="F157" s="1640">
        <v>1</v>
      </c>
      <c r="G157" s="1638" t="s">
        <v>151</v>
      </c>
      <c r="H157" s="1685" t="s">
        <v>836</v>
      </c>
      <c r="I157" s="1686">
        <f>C146</f>
        <v>15.5</v>
      </c>
      <c r="J157" s="1627" t="s">
        <v>151</v>
      </c>
      <c r="K157" s="1640">
        <f t="shared" si="18"/>
        <v>15.5</v>
      </c>
      <c r="W157" s="1634"/>
      <c r="AG157" s="1640"/>
      <c r="AQ157" s="1630"/>
      <c r="AR157" s="1627" t="s">
        <v>767</v>
      </c>
      <c r="AT157" s="1632">
        <f>AU157-AU156</f>
        <v>23.238599999999906</v>
      </c>
      <c r="AU157" s="1639">
        <f>(AU156+C21/10*AP147)</f>
        <v>1155.5813659566049</v>
      </c>
      <c r="AW157" s="1629">
        <f t="shared" si="15"/>
        <v>262.20141193555366</v>
      </c>
      <c r="AX157" s="1629">
        <f t="shared" si="16"/>
        <v>893.37995402105128</v>
      </c>
    </row>
    <row r="158" spans="1:50" ht="24" customHeight="1">
      <c r="H158" s="1627" t="s">
        <v>837</v>
      </c>
      <c r="W158" s="1634"/>
      <c r="AG158" s="1640"/>
      <c r="AQ158" s="1630"/>
      <c r="AR158" s="1627" t="s">
        <v>769</v>
      </c>
      <c r="AT158" s="1632">
        <f>AU158-AU157</f>
        <v>23.238599999999906</v>
      </c>
      <c r="AU158" s="1639">
        <f>(AU157+C21/10*AP147)</f>
        <v>1178.8199659566048</v>
      </c>
      <c r="AW158" s="1629">
        <f t="shared" si="15"/>
        <v>267.47425027555363</v>
      </c>
      <c r="AX158" s="1629">
        <f t="shared" si="16"/>
        <v>911.34571568105116</v>
      </c>
    </row>
    <row r="159" spans="1:50" ht="24" customHeight="1">
      <c r="G159" s="1638" t="s">
        <v>226</v>
      </c>
      <c r="H159" s="1627" t="s">
        <v>237</v>
      </c>
      <c r="I159" s="1627" t="s">
        <v>150</v>
      </c>
      <c r="J159" s="1627" t="s">
        <v>226</v>
      </c>
      <c r="K159" s="1640">
        <v>0</v>
      </c>
      <c r="W159" s="1634"/>
      <c r="AG159" s="1640"/>
      <c r="AQ159" s="1630"/>
      <c r="AR159" s="1627" t="s">
        <v>838</v>
      </c>
      <c r="AT159" s="1632">
        <f>AU159-AU158</f>
        <v>23.238599999999906</v>
      </c>
      <c r="AU159" s="1639">
        <f>(AU158+C21/10*AP147)</f>
        <v>1202.0585659566048</v>
      </c>
      <c r="AW159" s="1629">
        <f t="shared" si="15"/>
        <v>272.74708861555359</v>
      </c>
      <c r="AX159" s="1629">
        <f t="shared" si="16"/>
        <v>929.31147734105116</v>
      </c>
    </row>
    <row r="160" spans="1:50" ht="24" customHeight="1">
      <c r="K160" s="1636" t="s">
        <v>21</v>
      </c>
      <c r="M160" s="1628" t="s">
        <v>309</v>
      </c>
      <c r="N160" s="1638" t="s">
        <v>249</v>
      </c>
      <c r="O160" s="1627" t="s">
        <v>839</v>
      </c>
      <c r="Q160" s="1632"/>
      <c r="W160" s="1634"/>
      <c r="AG160" s="1640"/>
      <c r="AP160" s="1687">
        <v>11</v>
      </c>
      <c r="AQ160" s="1635" t="s">
        <v>249</v>
      </c>
      <c r="AR160" s="1631" t="s">
        <v>840</v>
      </c>
      <c r="AS160" s="1661"/>
      <c r="AT160" s="1676"/>
      <c r="AU160" s="1661"/>
      <c r="AW160" s="1629">
        <f t="shared" si="15"/>
        <v>0</v>
      </c>
      <c r="AX160" s="1629">
        <f t="shared" si="16"/>
        <v>0</v>
      </c>
    </row>
    <row r="161" spans="1:50" ht="24" customHeight="1">
      <c r="H161" s="1641" t="s">
        <v>378</v>
      </c>
      <c r="K161" s="1639">
        <f>SUM(K152:K159)</f>
        <v>1920.1669999999999</v>
      </c>
      <c r="N161" s="1630"/>
      <c r="O161" s="1627" t="s">
        <v>311</v>
      </c>
      <c r="Q161" s="1632"/>
      <c r="W161" s="1634"/>
      <c r="AG161" s="1640"/>
      <c r="AP161" s="1661"/>
      <c r="AQ161" s="1688"/>
      <c r="AR161" s="1639" t="str">
        <f>AR61</f>
        <v>Bricks of size 23x11x7 cm</v>
      </c>
      <c r="AS161" s="1661"/>
      <c r="AT161" s="1676"/>
      <c r="AU161" s="1661"/>
      <c r="AW161" s="1629">
        <f t="shared" si="15"/>
        <v>0</v>
      </c>
      <c r="AX161" s="1629">
        <f t="shared" si="16"/>
        <v>0</v>
      </c>
    </row>
    <row r="162" spans="1:50" ht="24" customHeight="1">
      <c r="K162" s="1636" t="s">
        <v>21</v>
      </c>
      <c r="N162" s="1630"/>
      <c r="O162" s="1636" t="s">
        <v>21</v>
      </c>
      <c r="Q162" s="1632"/>
      <c r="W162" s="1634"/>
      <c r="AG162" s="1640"/>
      <c r="AQ162" s="1630"/>
      <c r="AR162" s="1636" t="s">
        <v>21</v>
      </c>
      <c r="AT162" s="1632"/>
      <c r="AW162" s="1629">
        <f t="shared" si="15"/>
        <v>0</v>
      </c>
      <c r="AX162" s="1629">
        <f t="shared" si="16"/>
        <v>0</v>
      </c>
    </row>
    <row r="163" spans="1:50" ht="24" customHeight="1">
      <c r="H163" s="1627" t="s">
        <v>150</v>
      </c>
      <c r="K163" s="1627" t="s">
        <v>150</v>
      </c>
      <c r="M163" s="1640">
        <v>9</v>
      </c>
      <c r="N163" s="1638" t="s">
        <v>151</v>
      </c>
      <c r="O163" s="1627" t="s">
        <v>312</v>
      </c>
      <c r="P163" s="1640">
        <f>I195</f>
        <v>2033.72</v>
      </c>
      <c r="Q163" s="1627" t="s">
        <v>151</v>
      </c>
      <c r="R163" s="1640">
        <f>(M163*P163)</f>
        <v>18303.48</v>
      </c>
      <c r="W163" s="1634"/>
      <c r="AG163" s="1640"/>
      <c r="AP163" s="1640">
        <f>AP63</f>
        <v>1300</v>
      </c>
      <c r="AQ163" s="1638" t="s">
        <v>267</v>
      </c>
      <c r="AR163" s="1640" t="str">
        <f>AR61</f>
        <v>Bricks of size 23x11x7 cm</v>
      </c>
      <c r="AS163" s="1640">
        <f>AE45</f>
        <v>8120.3099999999995</v>
      </c>
      <c r="AT163" s="1627" t="s">
        <v>841</v>
      </c>
      <c r="AU163" s="1640">
        <f>(AP163*AS163)/1000</f>
        <v>10556.403</v>
      </c>
      <c r="AW163" s="1629">
        <f t="shared" si="15"/>
        <v>2395.2478407000003</v>
      </c>
      <c r="AX163" s="1629">
        <f t="shared" si="16"/>
        <v>8161.1551593000004</v>
      </c>
    </row>
    <row r="164" spans="1:50" ht="24" customHeight="1">
      <c r="K164" s="1627" t="s">
        <v>150</v>
      </c>
      <c r="M164" s="1640">
        <v>4.5</v>
      </c>
      <c r="N164" s="1638" t="s">
        <v>151</v>
      </c>
      <c r="O164" s="1627" t="s">
        <v>258</v>
      </c>
      <c r="P164" s="1640">
        <f>K40</f>
        <v>4593.8999999999996</v>
      </c>
      <c r="Q164" s="1627" t="s">
        <v>151</v>
      </c>
      <c r="R164" s="1640">
        <f>(M164*P164)</f>
        <v>20672.55</v>
      </c>
      <c r="W164" s="1634"/>
      <c r="AG164" s="1640"/>
      <c r="AP164" s="1658">
        <f>AP133</f>
        <v>0.70799999999999996</v>
      </c>
      <c r="AQ164" s="1638" t="s">
        <v>151</v>
      </c>
      <c r="AR164" s="1627" t="s">
        <v>258</v>
      </c>
      <c r="AS164" s="1640">
        <f>AS133</f>
        <v>4593.8999999999996</v>
      </c>
      <c r="AT164" s="1627" t="s">
        <v>151</v>
      </c>
      <c r="AU164" s="1640">
        <f>(AP164*AS164)</f>
        <v>3252.4811999999997</v>
      </c>
      <c r="AW164" s="1629">
        <f t="shared" ref="AW164:AW217" si="19">AU164*22.69/100</f>
        <v>737.98798427999998</v>
      </c>
      <c r="AX164" s="1629">
        <f t="shared" ref="AX164:AX217" si="20">AU164-AW164</f>
        <v>2514.4932157199996</v>
      </c>
    </row>
    <row r="165" spans="1:50" ht="24" customHeight="1">
      <c r="A165" s="1689">
        <v>2.2999999999999998</v>
      </c>
      <c r="B165" s="1627" t="s">
        <v>842</v>
      </c>
      <c r="C165" s="1629">
        <f>AE19+I168</f>
        <v>1503.15</v>
      </c>
      <c r="F165" s="1662">
        <v>2.6</v>
      </c>
      <c r="G165" s="1638" t="s">
        <v>249</v>
      </c>
      <c r="H165" s="1627" t="s">
        <v>843</v>
      </c>
      <c r="M165" s="1640">
        <v>1.8</v>
      </c>
      <c r="N165" s="1638" t="s">
        <v>153</v>
      </c>
      <c r="O165" s="1627" t="s">
        <v>234</v>
      </c>
      <c r="P165" s="1640">
        <f>I197</f>
        <v>1237.5999999999999</v>
      </c>
      <c r="Q165" s="1627" t="s">
        <v>153</v>
      </c>
      <c r="R165" s="1640">
        <f>(M165*P165)</f>
        <v>2227.6799999999998</v>
      </c>
      <c r="W165" s="1634"/>
      <c r="AG165" s="1640"/>
      <c r="AP165" s="1640">
        <v>1</v>
      </c>
      <c r="AQ165" s="1638" t="s">
        <v>153</v>
      </c>
      <c r="AR165" s="1627" t="s">
        <v>269</v>
      </c>
      <c r="AS165" s="1640">
        <f>AS134</f>
        <v>1325.8</v>
      </c>
      <c r="AT165" s="1627" t="s">
        <v>153</v>
      </c>
      <c r="AU165" s="1640">
        <f>(AP165*AS165)</f>
        <v>1325.8</v>
      </c>
      <c r="AW165" s="1629">
        <f t="shared" si="19"/>
        <v>300.82402000000002</v>
      </c>
      <c r="AX165" s="1629">
        <f t="shared" si="20"/>
        <v>1024.9759799999999</v>
      </c>
    </row>
    <row r="166" spans="1:50" ht="24" customHeight="1">
      <c r="A166" s="1689">
        <v>2.4</v>
      </c>
      <c r="B166" s="1627" t="s">
        <v>844</v>
      </c>
      <c r="C166" s="1629">
        <f>AE20+I168</f>
        <v>1584.15</v>
      </c>
      <c r="H166" s="1636" t="s">
        <v>21</v>
      </c>
      <c r="M166" s="1640">
        <v>17.7</v>
      </c>
      <c r="N166" s="1638" t="s">
        <v>153</v>
      </c>
      <c r="O166" s="1627" t="s">
        <v>235</v>
      </c>
      <c r="P166" s="1640">
        <f>I198</f>
        <v>865.19999999999993</v>
      </c>
      <c r="Q166" s="1627" t="s">
        <v>153</v>
      </c>
      <c r="R166" s="1640">
        <f>(M166*P166)</f>
        <v>15314.039999999999</v>
      </c>
      <c r="W166" s="1634"/>
      <c r="AG166" s="1640"/>
      <c r="AP166" s="1640">
        <v>3</v>
      </c>
      <c r="AQ166" s="1638" t="s">
        <v>153</v>
      </c>
      <c r="AR166" s="1627" t="s">
        <v>234</v>
      </c>
      <c r="AS166" s="1640">
        <f>AS135</f>
        <v>1237.5999999999999</v>
      </c>
      <c r="AT166" s="1627" t="s">
        <v>153</v>
      </c>
      <c r="AU166" s="1640">
        <f>(AP166*AS166)</f>
        <v>3712.7999999999997</v>
      </c>
      <c r="AW166" s="1629">
        <f t="shared" si="19"/>
        <v>842.43431999999996</v>
      </c>
      <c r="AX166" s="1629">
        <f t="shared" si="20"/>
        <v>2870.3656799999999</v>
      </c>
    </row>
    <row r="167" spans="1:50" ht="24" customHeight="1">
      <c r="F167" s="1640">
        <v>1</v>
      </c>
      <c r="G167" s="1638" t="s">
        <v>151</v>
      </c>
      <c r="H167" s="1627" t="s">
        <v>845</v>
      </c>
      <c r="I167" s="1640">
        <f>AE15</f>
        <v>2033.72</v>
      </c>
      <c r="J167" s="1627" t="s">
        <v>151</v>
      </c>
      <c r="K167" s="1640">
        <f>(F167*I167)</f>
        <v>2033.72</v>
      </c>
      <c r="M167" s="1640">
        <v>14.1</v>
      </c>
      <c r="N167" s="1638" t="s">
        <v>153</v>
      </c>
      <c r="O167" s="1627" t="s">
        <v>236</v>
      </c>
      <c r="P167" s="1640">
        <f>I199</f>
        <v>709.8</v>
      </c>
      <c r="Q167" s="1627" t="s">
        <v>153</v>
      </c>
      <c r="R167" s="1640">
        <f>(M167*P167)</f>
        <v>10008.179999999998</v>
      </c>
      <c r="W167" s="1634"/>
      <c r="AG167" s="1640"/>
      <c r="AP167" s="1640">
        <v>2</v>
      </c>
      <c r="AQ167" s="1638" t="s">
        <v>153</v>
      </c>
      <c r="AR167" s="1627" t="s">
        <v>235</v>
      </c>
      <c r="AS167" s="1640">
        <f>AS136</f>
        <v>865.19999999999993</v>
      </c>
      <c r="AT167" s="1627" t="s">
        <v>153</v>
      </c>
      <c r="AU167" s="1640">
        <f>(AP167*AS167)</f>
        <v>1730.3999999999999</v>
      </c>
      <c r="AW167" s="1629">
        <f t="shared" si="19"/>
        <v>392.62775999999997</v>
      </c>
      <c r="AX167" s="1629">
        <f t="shared" si="20"/>
        <v>1337.7722399999998</v>
      </c>
    </row>
    <row r="168" spans="1:50" ht="24" customHeight="1">
      <c r="F168" s="1640">
        <v>1</v>
      </c>
      <c r="G168" s="1638" t="s">
        <v>151</v>
      </c>
      <c r="H168" s="1627" t="s">
        <v>377</v>
      </c>
      <c r="I168" s="1640">
        <f>C26</f>
        <v>51.730000000000004</v>
      </c>
      <c r="J168" s="1627" t="s">
        <v>151</v>
      </c>
      <c r="K168" s="1640">
        <f>(F168*I168)</f>
        <v>51.730000000000004</v>
      </c>
      <c r="N168" s="1638" t="s">
        <v>226</v>
      </c>
      <c r="O168" s="1627" t="s">
        <v>237</v>
      </c>
      <c r="Q168" s="1627" t="s">
        <v>226</v>
      </c>
      <c r="R168" s="1640">
        <v>0</v>
      </c>
      <c r="W168" s="1634"/>
      <c r="AG168" s="1640"/>
      <c r="AP168" s="1640">
        <v>6</v>
      </c>
      <c r="AQ168" s="1638" t="s">
        <v>153</v>
      </c>
      <c r="AR168" s="1627" t="s">
        <v>236</v>
      </c>
      <c r="AS168" s="1640">
        <f>AS137</f>
        <v>709.8</v>
      </c>
      <c r="AT168" s="1627" t="s">
        <v>153</v>
      </c>
      <c r="AU168" s="1640">
        <f>(AP168*AS168)</f>
        <v>4258.7999999999993</v>
      </c>
      <c r="AW168" s="1629">
        <f t="shared" si="19"/>
        <v>966.32171999999991</v>
      </c>
      <c r="AX168" s="1629">
        <f t="shared" si="20"/>
        <v>3292.4782799999994</v>
      </c>
    </row>
    <row r="169" spans="1:50" ht="24" customHeight="1">
      <c r="G169" s="1638" t="s">
        <v>226</v>
      </c>
      <c r="H169" s="1627" t="s">
        <v>237</v>
      </c>
      <c r="I169" s="1627" t="s">
        <v>150</v>
      </c>
      <c r="J169" s="1627" t="s">
        <v>226</v>
      </c>
      <c r="K169" s="1640">
        <v>0</v>
      </c>
      <c r="N169" s="1630"/>
      <c r="Q169" s="1632"/>
      <c r="R169" s="1636" t="s">
        <v>21</v>
      </c>
      <c r="W169" s="1634"/>
      <c r="AG169" s="1640"/>
      <c r="AQ169" s="1638" t="s">
        <v>226</v>
      </c>
      <c r="AR169" s="1627" t="s">
        <v>237</v>
      </c>
      <c r="AS169" s="1627" t="s">
        <v>150</v>
      </c>
      <c r="AT169" s="1627" t="s">
        <v>226</v>
      </c>
      <c r="AU169" s="1640">
        <v>5</v>
      </c>
      <c r="AW169" s="1629">
        <f t="shared" si="19"/>
        <v>1.1345000000000001</v>
      </c>
      <c r="AX169" s="1629">
        <f t="shared" si="20"/>
        <v>3.8654999999999999</v>
      </c>
    </row>
    <row r="170" spans="1:50" ht="24" customHeight="1">
      <c r="K170" s="1636" t="s">
        <v>21</v>
      </c>
      <c r="N170" s="1630"/>
      <c r="Q170" s="1632"/>
      <c r="R170" s="1640">
        <f>SUM(R163:R168)</f>
        <v>66525.929999999993</v>
      </c>
      <c r="W170" s="1634"/>
      <c r="AG170" s="1640"/>
      <c r="AQ170" s="1630"/>
      <c r="AT170" s="1632"/>
      <c r="AU170" s="1636" t="s">
        <v>21</v>
      </c>
      <c r="AW170" s="1629">
        <f t="shared" si="19"/>
        <v>0</v>
      </c>
      <c r="AX170" s="1629">
        <f t="shared" si="20"/>
        <v>0</v>
      </c>
    </row>
    <row r="171" spans="1:50" ht="24" customHeight="1">
      <c r="H171" s="1641" t="s">
        <v>378</v>
      </c>
      <c r="K171" s="1639">
        <f>SUM(K166:K169)</f>
        <v>2085.4499999999998</v>
      </c>
      <c r="N171" s="1630"/>
      <c r="O171" s="1628" t="s">
        <v>263</v>
      </c>
      <c r="Q171" s="1632"/>
      <c r="R171" s="1636" t="s">
        <v>21</v>
      </c>
      <c r="W171" s="1634"/>
      <c r="AG171" s="1640"/>
      <c r="AQ171" s="1630"/>
      <c r="AR171" s="1627" t="s">
        <v>263</v>
      </c>
      <c r="AT171" s="1632"/>
      <c r="AU171" s="1640">
        <f>SUM(AU163:AU169)</f>
        <v>24841.6842</v>
      </c>
      <c r="AW171" s="1629">
        <f t="shared" si="19"/>
        <v>5636.5781449800006</v>
      </c>
      <c r="AX171" s="1629">
        <f t="shared" si="20"/>
        <v>19205.106055019998</v>
      </c>
    </row>
    <row r="172" spans="1:50" ht="24" customHeight="1">
      <c r="K172" s="1636" t="s">
        <v>21</v>
      </c>
      <c r="N172" s="1630"/>
      <c r="Q172" s="1632"/>
      <c r="R172" s="1639">
        <f>(R170/10)</f>
        <v>6652.5929999999989</v>
      </c>
      <c r="W172" s="1634"/>
      <c r="AG172" s="1640"/>
      <c r="AQ172" s="1630"/>
      <c r="AT172" s="1632"/>
      <c r="AU172" s="1636" t="s">
        <v>21</v>
      </c>
      <c r="AW172" s="1629">
        <f t="shared" si="19"/>
        <v>0</v>
      </c>
      <c r="AX172" s="1629">
        <f t="shared" si="20"/>
        <v>0</v>
      </c>
    </row>
    <row r="173" spans="1:50" ht="24" customHeight="1">
      <c r="F173" s="1662">
        <v>2.7</v>
      </c>
      <c r="G173" s="1638" t="s">
        <v>249</v>
      </c>
      <c r="H173" s="1627" t="s">
        <v>846</v>
      </c>
      <c r="N173" s="1630"/>
      <c r="O173" s="1641" t="s">
        <v>270</v>
      </c>
      <c r="Q173" s="1632"/>
      <c r="R173" s="1636" t="s">
        <v>156</v>
      </c>
      <c r="W173" s="1634"/>
      <c r="AG173" s="1640"/>
      <c r="AQ173" s="1630"/>
      <c r="AR173" s="1627" t="s">
        <v>270</v>
      </c>
      <c r="AT173" s="1632"/>
      <c r="AU173" s="1640">
        <f>(AU171/2.83168)</f>
        <v>8772.7724177873206</v>
      </c>
      <c r="AW173" s="1629">
        <f t="shared" si="19"/>
        <v>1990.5420615959433</v>
      </c>
      <c r="AX173" s="1629">
        <f t="shared" si="20"/>
        <v>6782.2303561913777</v>
      </c>
    </row>
    <row r="174" spans="1:50" ht="24" customHeight="1">
      <c r="H174" s="1636" t="s">
        <v>21</v>
      </c>
      <c r="W174" s="1634"/>
      <c r="AG174" s="1640"/>
      <c r="AQ174" s="1630"/>
      <c r="AT174" s="1632"/>
      <c r="AU174" s="1636" t="s">
        <v>156</v>
      </c>
      <c r="AW174" s="1629">
        <f t="shared" si="19"/>
        <v>0</v>
      </c>
      <c r="AX174" s="1629">
        <f t="shared" si="20"/>
        <v>0</v>
      </c>
    </row>
    <row r="175" spans="1:50" ht="24" customHeight="1">
      <c r="F175" s="1640">
        <v>1</v>
      </c>
      <c r="G175" s="1638" t="s">
        <v>151</v>
      </c>
      <c r="H175" s="1627" t="s">
        <v>847</v>
      </c>
      <c r="I175" s="1640">
        <f>AE14</f>
        <v>2446.7200000000003</v>
      </c>
      <c r="J175" s="1627" t="s">
        <v>151</v>
      </c>
      <c r="K175" s="1640">
        <f>(F175*I175)</f>
        <v>2446.7200000000003</v>
      </c>
      <c r="W175" s="1634"/>
      <c r="AG175" s="1640"/>
      <c r="AP175" s="1627" t="s">
        <v>646</v>
      </c>
      <c r="AQ175" s="1630"/>
      <c r="AT175" s="1632"/>
      <c r="AW175" s="1629">
        <f t="shared" si="19"/>
        <v>0</v>
      </c>
      <c r="AX175" s="1629">
        <f t="shared" si="20"/>
        <v>0</v>
      </c>
    </row>
    <row r="176" spans="1:50" ht="24" customHeight="1">
      <c r="F176" s="1640">
        <v>1</v>
      </c>
      <c r="G176" s="1638" t="s">
        <v>151</v>
      </c>
      <c r="H176" s="1627" t="s">
        <v>377</v>
      </c>
      <c r="I176" s="1640">
        <f>C26</f>
        <v>51.730000000000004</v>
      </c>
      <c r="J176" s="1627" t="s">
        <v>151</v>
      </c>
      <c r="K176" s="1640">
        <f>(F176*I176)</f>
        <v>51.730000000000004</v>
      </c>
      <c r="W176" s="1634"/>
      <c r="AG176" s="1640"/>
      <c r="AQ176" s="1630"/>
      <c r="AT176" s="1632"/>
      <c r="AW176" s="1629">
        <f t="shared" si="19"/>
        <v>0</v>
      </c>
      <c r="AX176" s="1629">
        <f t="shared" si="20"/>
        <v>0</v>
      </c>
    </row>
    <row r="177" spans="1:50" ht="24" customHeight="1">
      <c r="G177" s="1638" t="s">
        <v>226</v>
      </c>
      <c r="H177" s="1627" t="s">
        <v>237</v>
      </c>
      <c r="I177" s="1627" t="s">
        <v>150</v>
      </c>
      <c r="J177" s="1627" t="s">
        <v>226</v>
      </c>
      <c r="K177" s="1640">
        <v>0</v>
      </c>
      <c r="W177" s="1634"/>
      <c r="AG177" s="1640"/>
      <c r="AQ177" s="1638" t="s">
        <v>848</v>
      </c>
      <c r="AR177" s="1627" t="s">
        <v>849</v>
      </c>
      <c r="AT177" s="1632"/>
      <c r="AW177" s="1629">
        <f t="shared" si="19"/>
        <v>0</v>
      </c>
      <c r="AX177" s="1629">
        <f t="shared" si="20"/>
        <v>0</v>
      </c>
    </row>
    <row r="178" spans="1:50" ht="24" customHeight="1">
      <c r="K178" s="1636" t="s">
        <v>21</v>
      </c>
      <c r="W178" s="1634"/>
      <c r="AG178" s="1640"/>
      <c r="AQ178" s="1630"/>
      <c r="AR178" s="1636" t="s">
        <v>21</v>
      </c>
      <c r="AT178" s="1632"/>
      <c r="AW178" s="1629">
        <f t="shared" si="19"/>
        <v>0</v>
      </c>
      <c r="AX178" s="1629">
        <f t="shared" si="20"/>
        <v>0</v>
      </c>
    </row>
    <row r="179" spans="1:50" ht="24" customHeight="1">
      <c r="H179" s="1641" t="s">
        <v>378</v>
      </c>
      <c r="K179" s="1639">
        <f>SUM(K174:K177)</f>
        <v>2498.4500000000003</v>
      </c>
      <c r="W179" s="1634"/>
      <c r="AG179" s="1640"/>
      <c r="AP179" s="1640">
        <v>0.7</v>
      </c>
      <c r="AQ179" s="1638" t="s">
        <v>151</v>
      </c>
      <c r="AR179" s="1627" t="s">
        <v>850</v>
      </c>
      <c r="AS179" s="1640">
        <f>AS147</f>
        <v>8772.7724177873206</v>
      </c>
      <c r="AT179" s="1627" t="s">
        <v>153</v>
      </c>
      <c r="AU179" s="1640">
        <f>(AP179*AS179)</f>
        <v>6140.9406924511241</v>
      </c>
      <c r="AW179" s="1629">
        <f t="shared" si="19"/>
        <v>1393.37944311716</v>
      </c>
      <c r="AX179" s="1629">
        <f t="shared" si="20"/>
        <v>4747.561249333964</v>
      </c>
    </row>
    <row r="180" spans="1:50" ht="24" customHeight="1">
      <c r="K180" s="1636" t="s">
        <v>21</v>
      </c>
      <c r="M180" s="1640">
        <v>2.5</v>
      </c>
      <c r="N180" s="1627" t="s">
        <v>151</v>
      </c>
      <c r="O180" s="1627" t="s">
        <v>260</v>
      </c>
      <c r="P180" s="1640">
        <f>(K58)</f>
        <v>3869.1</v>
      </c>
      <c r="Q180" s="1627" t="s">
        <v>151</v>
      </c>
      <c r="R180" s="1640">
        <f>(M180*P180)</f>
        <v>9672.75</v>
      </c>
      <c r="W180" s="1634"/>
      <c r="AG180" s="1640"/>
      <c r="AI180" s="1627"/>
      <c r="AP180" s="1640">
        <v>1</v>
      </c>
      <c r="AQ180" s="1638" t="s">
        <v>4</v>
      </c>
      <c r="AR180" s="1627" t="s">
        <v>269</v>
      </c>
      <c r="AS180" s="1640">
        <f>AS165</f>
        <v>1325.8</v>
      </c>
      <c r="AT180" s="1627" t="s">
        <v>153</v>
      </c>
      <c r="AU180" s="1640">
        <f>(AP180*AS180)</f>
        <v>1325.8</v>
      </c>
      <c r="AW180" s="1629">
        <f t="shared" si="19"/>
        <v>300.82402000000002</v>
      </c>
      <c r="AX180" s="1629">
        <f t="shared" si="20"/>
        <v>1024.9759799999999</v>
      </c>
    </row>
    <row r="181" spans="1:50" ht="24" customHeight="1">
      <c r="H181" s="1627" t="s">
        <v>150</v>
      </c>
      <c r="M181" s="1640">
        <v>3.5</v>
      </c>
      <c r="N181" s="1627" t="s">
        <v>153</v>
      </c>
      <c r="O181" s="1627" t="s">
        <v>269</v>
      </c>
      <c r="P181" s="1640">
        <f>(C10)</f>
        <v>1325.8</v>
      </c>
      <c r="Q181" s="1627" t="s">
        <v>153</v>
      </c>
      <c r="R181" s="1640">
        <f>(M181*P181)</f>
        <v>4640.3</v>
      </c>
      <c r="W181" s="1634"/>
      <c r="AG181" s="1640"/>
      <c r="AI181" s="1627"/>
      <c r="AQ181" s="1638" t="s">
        <v>226</v>
      </c>
      <c r="AR181" s="1627" t="s">
        <v>237</v>
      </c>
      <c r="AS181" s="1627" t="s">
        <v>150</v>
      </c>
      <c r="AT181" s="1627" t="s">
        <v>226</v>
      </c>
      <c r="AU181" s="1640">
        <v>0</v>
      </c>
      <c r="AW181" s="1629">
        <f t="shared" si="19"/>
        <v>0</v>
      </c>
      <c r="AX181" s="1629">
        <f t="shared" si="20"/>
        <v>0</v>
      </c>
    </row>
    <row r="182" spans="1:50" ht="24" customHeight="1">
      <c r="F182" s="1628" t="s">
        <v>851</v>
      </c>
      <c r="H182" s="1627" t="s">
        <v>5571</v>
      </c>
      <c r="W182" s="1634"/>
      <c r="AG182" s="1640"/>
      <c r="AQ182" s="1630"/>
      <c r="AT182" s="1632"/>
      <c r="AU182" s="1636" t="s">
        <v>21</v>
      </c>
      <c r="AW182" s="1629">
        <f t="shared" si="19"/>
        <v>0</v>
      </c>
      <c r="AX182" s="1629">
        <f t="shared" si="20"/>
        <v>0</v>
      </c>
    </row>
    <row r="183" spans="1:50" ht="24" customHeight="1">
      <c r="W183" s="1634"/>
      <c r="AG183" s="1640"/>
      <c r="AQ183" s="1630"/>
      <c r="AR183" s="1627" t="s">
        <v>238</v>
      </c>
      <c r="AT183" s="1632"/>
      <c r="AU183" s="1639">
        <f>SUM(AU179:AU181)</f>
        <v>7466.7406924511242</v>
      </c>
      <c r="AW183" s="1629">
        <f t="shared" si="19"/>
        <v>1694.20346311716</v>
      </c>
      <c r="AX183" s="1629">
        <f t="shared" si="20"/>
        <v>5772.5372293339642</v>
      </c>
    </row>
    <row r="184" spans="1:50" ht="24" customHeight="1">
      <c r="F184" s="1640">
        <v>1</v>
      </c>
      <c r="G184" s="1638" t="s">
        <v>151</v>
      </c>
      <c r="H184" s="1627" t="s">
        <v>853</v>
      </c>
      <c r="I184" s="1640">
        <f>C35</f>
        <v>222.7</v>
      </c>
      <c r="J184" s="1627" t="s">
        <v>151</v>
      </c>
      <c r="K184" s="1640">
        <f>(F184*I184)</f>
        <v>222.7</v>
      </c>
      <c r="W184" s="1634"/>
      <c r="AG184" s="1640"/>
      <c r="AQ184" s="1630"/>
      <c r="AT184" s="1632"/>
      <c r="AU184" s="1636" t="s">
        <v>21</v>
      </c>
      <c r="AW184" s="1629">
        <f t="shared" si="19"/>
        <v>0</v>
      </c>
      <c r="AX184" s="1629">
        <f t="shared" si="20"/>
        <v>0</v>
      </c>
    </row>
    <row r="185" spans="1:50" ht="24" customHeight="1">
      <c r="F185" s="1640">
        <v>1</v>
      </c>
      <c r="G185" s="1638" t="s">
        <v>151</v>
      </c>
      <c r="H185" s="1627" t="s">
        <v>834</v>
      </c>
      <c r="I185" s="1690">
        <f>C812</f>
        <v>3.15</v>
      </c>
      <c r="J185" s="1627" t="s">
        <v>151</v>
      </c>
      <c r="K185" s="1640">
        <f>(F185*I185)</f>
        <v>3.15</v>
      </c>
      <c r="W185" s="1634"/>
      <c r="AG185" s="1640"/>
      <c r="AQ185" s="1630"/>
      <c r="AR185" s="1627" t="s">
        <v>155</v>
      </c>
      <c r="AT185" s="1632"/>
      <c r="AU185" s="1640">
        <f>(AU183/10)</f>
        <v>746.67406924511238</v>
      </c>
      <c r="AW185" s="1629">
        <f t="shared" si="19"/>
        <v>169.42034631171603</v>
      </c>
      <c r="AX185" s="1629">
        <f t="shared" si="20"/>
        <v>577.25372293339638</v>
      </c>
    </row>
    <row r="186" spans="1:50" ht="24" customHeight="1">
      <c r="F186" s="1640">
        <v>1</v>
      </c>
      <c r="G186" s="1638" t="s">
        <v>151</v>
      </c>
      <c r="H186" s="1627" t="s">
        <v>836</v>
      </c>
      <c r="I186" s="1690">
        <f>C146</f>
        <v>15.5</v>
      </c>
      <c r="J186" s="1627" t="s">
        <v>151</v>
      </c>
      <c r="K186" s="1640">
        <f>(F186*I186)</f>
        <v>15.5</v>
      </c>
      <c r="W186" s="1634"/>
      <c r="AG186" s="1640"/>
      <c r="AQ186" s="1630"/>
      <c r="AT186" s="1632"/>
      <c r="AU186" s="1636" t="s">
        <v>156</v>
      </c>
      <c r="AW186" s="1629">
        <f t="shared" si="19"/>
        <v>0</v>
      </c>
      <c r="AX186" s="1629">
        <f t="shared" si="20"/>
        <v>0</v>
      </c>
    </row>
    <row r="187" spans="1:50" ht="24" customHeight="1">
      <c r="H187" s="1627" t="s">
        <v>837</v>
      </c>
      <c r="W187" s="1634"/>
      <c r="AG187" s="1640"/>
      <c r="AQ187" s="1630"/>
      <c r="AR187" s="1627" t="s">
        <v>271</v>
      </c>
      <c r="AT187" s="1632">
        <f>AU187-AU185</f>
        <v>7.3304000000000542</v>
      </c>
      <c r="AU187" s="1639">
        <f>(AU185+C19/10*AP179)</f>
        <v>754.00446924511243</v>
      </c>
      <c r="AW187" s="1629">
        <f t="shared" si="19"/>
        <v>171.08361407171603</v>
      </c>
      <c r="AX187" s="1629">
        <f t="shared" si="20"/>
        <v>582.92085517339638</v>
      </c>
    </row>
    <row r="188" spans="1:50" ht="24" customHeight="1">
      <c r="K188" s="1636" t="s">
        <v>21</v>
      </c>
      <c r="W188" s="1634"/>
      <c r="AG188" s="1640"/>
      <c r="AQ188" s="1630"/>
      <c r="AR188" s="1627" t="s">
        <v>272</v>
      </c>
      <c r="AT188" s="1632">
        <f>AU188-AU187</f>
        <v>14.788199999999961</v>
      </c>
      <c r="AU188" s="1639">
        <f>(AU187+C20/10*AP179)</f>
        <v>768.79266924511239</v>
      </c>
      <c r="AW188" s="1629">
        <f t="shared" si="19"/>
        <v>174.43905665171602</v>
      </c>
      <c r="AX188" s="1629">
        <f t="shared" si="20"/>
        <v>594.35361259339641</v>
      </c>
    </row>
    <row r="189" spans="1:50" ht="24" customHeight="1">
      <c r="H189" s="1641" t="s">
        <v>378</v>
      </c>
      <c r="K189" s="1639">
        <f>SUM(K182:K187)</f>
        <v>241.35</v>
      </c>
      <c r="W189" s="1634"/>
      <c r="AG189" s="1640"/>
      <c r="AQ189" s="1630"/>
      <c r="AR189" s="1627" t="s">
        <v>767</v>
      </c>
      <c r="AT189" s="1632">
        <f>AU189-AU188</f>
        <v>14.788199999999961</v>
      </c>
      <c r="AU189" s="1639">
        <f>(AU188+C21/10*AP179)</f>
        <v>783.58086924511235</v>
      </c>
      <c r="AW189" s="1629">
        <f t="shared" si="19"/>
        <v>177.794499231716</v>
      </c>
      <c r="AX189" s="1629">
        <f t="shared" si="20"/>
        <v>605.78637001339632</v>
      </c>
    </row>
    <row r="190" spans="1:50" ht="24" customHeight="1">
      <c r="F190" s="1627" t="s">
        <v>150</v>
      </c>
      <c r="K190" s="1636" t="s">
        <v>21</v>
      </c>
      <c r="W190" s="1634"/>
      <c r="AG190" s="1640"/>
      <c r="AQ190" s="1630"/>
      <c r="AR190" s="1627" t="s">
        <v>769</v>
      </c>
      <c r="AT190" s="1632">
        <f>AU190-AU189</f>
        <v>14.788199999999961</v>
      </c>
      <c r="AU190" s="1639">
        <f>(AU189+C21/10*AP179)</f>
        <v>798.36906924511231</v>
      </c>
      <c r="AW190" s="1629">
        <f t="shared" si="19"/>
        <v>181.14994181171599</v>
      </c>
      <c r="AX190" s="1629">
        <f t="shared" si="20"/>
        <v>617.21912743339635</v>
      </c>
    </row>
    <row r="191" spans="1:50" ht="24" customHeight="1">
      <c r="K191" s="1627" t="s">
        <v>150</v>
      </c>
      <c r="W191" s="1634"/>
      <c r="AG191" s="1640"/>
      <c r="AQ191" s="1630"/>
      <c r="AR191" s="1627" t="s">
        <v>854</v>
      </c>
      <c r="AT191" s="1632">
        <f>AU191-AU190</f>
        <v>14.788199999999961</v>
      </c>
      <c r="AU191" s="1639">
        <f>(AU190+C21/10*AP179)</f>
        <v>813.15726924511227</v>
      </c>
      <c r="AW191" s="1629">
        <f t="shared" si="19"/>
        <v>184.50538439171601</v>
      </c>
      <c r="AX191" s="1629">
        <f t="shared" si="20"/>
        <v>628.65188485339627</v>
      </c>
    </row>
    <row r="192" spans="1:50" ht="24" customHeight="1">
      <c r="A192" s="1647">
        <f>(A148+1)</f>
        <v>90</v>
      </c>
      <c r="B192" s="1627" t="s">
        <v>855</v>
      </c>
      <c r="C192" s="1640">
        <v>65</v>
      </c>
      <c r="D192" s="1627" t="s">
        <v>856</v>
      </c>
      <c r="F192" s="1628" t="s">
        <v>309</v>
      </c>
      <c r="G192" s="1638" t="s">
        <v>249</v>
      </c>
      <c r="H192" s="1627" t="s">
        <v>310</v>
      </c>
      <c r="M192" s="1628" t="s">
        <v>309</v>
      </c>
      <c r="N192" s="1638" t="s">
        <v>249</v>
      </c>
      <c r="O192" s="1627" t="s">
        <v>857</v>
      </c>
      <c r="Q192" s="1632"/>
      <c r="S192" s="1628" t="s">
        <v>309</v>
      </c>
      <c r="T192" s="1638" t="s">
        <v>249</v>
      </c>
      <c r="U192" s="1627" t="s">
        <v>857</v>
      </c>
      <c r="W192" s="1634"/>
      <c r="AG192" s="1640"/>
      <c r="AI192" s="1627"/>
      <c r="AR192" s="1627"/>
      <c r="AT192" s="1632"/>
      <c r="AU192" s="1639"/>
      <c r="AW192" s="1629">
        <f t="shared" si="19"/>
        <v>0</v>
      </c>
      <c r="AX192" s="1629">
        <f t="shared" si="20"/>
        <v>0</v>
      </c>
    </row>
    <row r="193" spans="1:50" ht="24" customHeight="1">
      <c r="A193" s="1647">
        <f t="shared" ref="A193:A208" si="21">(A192+1)</f>
        <v>91</v>
      </c>
      <c r="B193" s="1627" t="s">
        <v>858</v>
      </c>
      <c r="C193" s="1640">
        <v>25</v>
      </c>
      <c r="D193" s="1627" t="s">
        <v>856</v>
      </c>
      <c r="H193" s="1627" t="s">
        <v>311</v>
      </c>
      <c r="N193" s="1630"/>
      <c r="O193" s="1627" t="s">
        <v>398</v>
      </c>
      <c r="Q193" s="1632"/>
      <c r="S193" s="1629"/>
      <c r="T193" s="1630"/>
      <c r="U193" s="1627" t="s">
        <v>311</v>
      </c>
      <c r="W193" s="1634"/>
      <c r="AG193" s="1640"/>
      <c r="AI193" s="1627"/>
      <c r="AQ193" s="1638" t="s">
        <v>848</v>
      </c>
      <c r="AR193" s="1627" t="s">
        <v>849</v>
      </c>
      <c r="AT193" s="1632"/>
      <c r="AW193" s="1629">
        <f t="shared" si="19"/>
        <v>0</v>
      </c>
      <c r="AX193" s="1629">
        <f t="shared" si="20"/>
        <v>0</v>
      </c>
    </row>
    <row r="194" spans="1:50" ht="24" customHeight="1">
      <c r="A194" s="1647">
        <f t="shared" si="21"/>
        <v>92</v>
      </c>
      <c r="B194" s="1627" t="s">
        <v>5124</v>
      </c>
      <c r="C194" s="1640">
        <v>271.2</v>
      </c>
      <c r="D194" s="1627" t="s">
        <v>856</v>
      </c>
      <c r="H194" s="1636" t="s">
        <v>21</v>
      </c>
      <c r="N194" s="1630"/>
      <c r="O194" s="1636" t="s">
        <v>21</v>
      </c>
      <c r="Q194" s="1632"/>
      <c r="S194" s="1629"/>
      <c r="T194" s="1630"/>
      <c r="U194" s="1636" t="s">
        <v>21</v>
      </c>
      <c r="W194" s="1634"/>
      <c r="AG194" s="1640"/>
      <c r="AI194" s="1627"/>
      <c r="AQ194" s="1630"/>
      <c r="AR194" s="1636" t="s">
        <v>21</v>
      </c>
      <c r="AT194" s="1632"/>
      <c r="AW194" s="1629">
        <f t="shared" si="19"/>
        <v>0</v>
      </c>
      <c r="AX194" s="1629">
        <f t="shared" si="20"/>
        <v>0</v>
      </c>
    </row>
    <row r="195" spans="1:50" ht="24" customHeight="1">
      <c r="A195" s="1647">
        <f t="shared" si="21"/>
        <v>93</v>
      </c>
      <c r="B195" s="1627" t="s">
        <v>5125</v>
      </c>
      <c r="C195" s="1640">
        <v>238.9</v>
      </c>
      <c r="D195" s="1640">
        <v>96.11</v>
      </c>
      <c r="F195" s="1640">
        <v>9</v>
      </c>
      <c r="G195" s="1638" t="s">
        <v>151</v>
      </c>
      <c r="H195" s="1627" t="s">
        <v>312</v>
      </c>
      <c r="I195" s="1640">
        <f>(C74)</f>
        <v>2033.72</v>
      </c>
      <c r="J195" s="1627" t="s">
        <v>151</v>
      </c>
      <c r="K195" s="1640">
        <f>(F195*I195)</f>
        <v>18303.48</v>
      </c>
      <c r="M195" s="1640">
        <v>9</v>
      </c>
      <c r="N195" s="1638" t="s">
        <v>151</v>
      </c>
      <c r="O195" s="1627" t="s">
        <v>399</v>
      </c>
      <c r="P195" s="1640">
        <f>(C73)</f>
        <v>2446.7200000000003</v>
      </c>
      <c r="Q195" s="1627" t="s">
        <v>151</v>
      </c>
      <c r="R195" s="1640">
        <f>(M195*P195)</f>
        <v>22020.480000000003</v>
      </c>
      <c r="S195" s="1640">
        <v>9</v>
      </c>
      <c r="T195" s="1638" t="s">
        <v>151</v>
      </c>
      <c r="U195" s="1627" t="s">
        <v>312</v>
      </c>
      <c r="V195" s="1640">
        <f>(C74)</f>
        <v>2033.72</v>
      </c>
      <c r="W195" s="1628" t="s">
        <v>151</v>
      </c>
      <c r="X195" s="1640">
        <f>(S195*V195)</f>
        <v>18303.48</v>
      </c>
      <c r="Y195" s="1640"/>
      <c r="AG195" s="1640"/>
      <c r="AI195" s="1627"/>
      <c r="AP195" s="1640">
        <v>0.7</v>
      </c>
      <c r="AQ195" s="1638" t="s">
        <v>151</v>
      </c>
      <c r="AR195" s="1627" t="s">
        <v>850</v>
      </c>
      <c r="AS195" s="1640">
        <f>AS163</f>
        <v>8120.3099999999995</v>
      </c>
      <c r="AT195" s="1627" t="s">
        <v>153</v>
      </c>
      <c r="AU195" s="1640">
        <f>(AP195*AS195)</f>
        <v>5684.2169999999996</v>
      </c>
      <c r="AW195" s="1629">
        <f t="shared" si="19"/>
        <v>1289.7488373000001</v>
      </c>
      <c r="AX195" s="1629">
        <f t="shared" si="20"/>
        <v>4394.4681626999991</v>
      </c>
    </row>
    <row r="196" spans="1:50" ht="24" customHeight="1">
      <c r="A196" s="1647">
        <f t="shared" si="21"/>
        <v>94</v>
      </c>
      <c r="B196" s="1627" t="s">
        <v>5126</v>
      </c>
      <c r="C196" s="1640">
        <v>147.5</v>
      </c>
      <c r="D196" s="1627" t="s">
        <v>856</v>
      </c>
      <c r="F196" s="1640">
        <v>4.5</v>
      </c>
      <c r="G196" s="1638" t="s">
        <v>151</v>
      </c>
      <c r="H196" s="1627" t="s">
        <v>259</v>
      </c>
      <c r="I196" s="1640">
        <f>(K49)</f>
        <v>4159.0200000000004</v>
      </c>
      <c r="J196" s="1627" t="s">
        <v>151</v>
      </c>
      <c r="K196" s="1640">
        <f>(F196*I196)</f>
        <v>18715.590000000004</v>
      </c>
      <c r="M196" s="1640">
        <v>4.5</v>
      </c>
      <c r="N196" s="1638" t="s">
        <v>151</v>
      </c>
      <c r="O196" s="1627" t="s">
        <v>257</v>
      </c>
      <c r="P196" s="1640">
        <f>K32</f>
        <v>5318.7</v>
      </c>
      <c r="Q196" s="1627" t="s">
        <v>151</v>
      </c>
      <c r="R196" s="1640">
        <f>(M196*P196)</f>
        <v>23934.149999999998</v>
      </c>
      <c r="S196" s="1640">
        <v>4.5</v>
      </c>
      <c r="T196" s="1638" t="s">
        <v>151</v>
      </c>
      <c r="U196" s="1627" t="s">
        <v>257</v>
      </c>
      <c r="V196" s="1640">
        <f>P196</f>
        <v>5318.7</v>
      </c>
      <c r="W196" s="1628" t="s">
        <v>151</v>
      </c>
      <c r="X196" s="1640">
        <f>(S196*V196)</f>
        <v>23934.149999999998</v>
      </c>
      <c r="Y196" s="1640"/>
      <c r="AG196" s="1640"/>
      <c r="AI196" s="1627"/>
      <c r="AP196" s="1640">
        <v>1</v>
      </c>
      <c r="AQ196" s="1638" t="s">
        <v>4</v>
      </c>
      <c r="AR196" s="1627" t="s">
        <v>269</v>
      </c>
      <c r="AS196" s="1640">
        <f>AS180</f>
        <v>1325.8</v>
      </c>
      <c r="AT196" s="1627" t="s">
        <v>153</v>
      </c>
      <c r="AU196" s="1640">
        <f>(AP196*AS196)</f>
        <v>1325.8</v>
      </c>
      <c r="AW196" s="1629">
        <f t="shared" si="19"/>
        <v>300.82402000000002</v>
      </c>
      <c r="AX196" s="1629">
        <f t="shared" si="20"/>
        <v>1024.9759799999999</v>
      </c>
    </row>
    <row r="197" spans="1:50" ht="24" customHeight="1">
      <c r="A197" s="1647">
        <f t="shared" si="21"/>
        <v>95</v>
      </c>
      <c r="B197" s="1627" t="s">
        <v>862</v>
      </c>
      <c r="C197" s="1640">
        <v>0.25</v>
      </c>
      <c r="D197" s="1627" t="s">
        <v>153</v>
      </c>
      <c r="F197" s="1640">
        <v>1.8</v>
      </c>
      <c r="G197" s="1638" t="s">
        <v>153</v>
      </c>
      <c r="H197" s="1627" t="s">
        <v>234</v>
      </c>
      <c r="I197" s="1640">
        <f>(C11)</f>
        <v>1237.5999999999999</v>
      </c>
      <c r="J197" s="1627" t="s">
        <v>153</v>
      </c>
      <c r="K197" s="1640">
        <f>(F197*I197)</f>
        <v>2227.6799999999998</v>
      </c>
      <c r="M197" s="1640">
        <v>1.8</v>
      </c>
      <c r="N197" s="1638" t="s">
        <v>153</v>
      </c>
      <c r="O197" s="1627" t="s">
        <v>234</v>
      </c>
      <c r="P197" s="1640">
        <f>I197</f>
        <v>1237.5999999999999</v>
      </c>
      <c r="Q197" s="1627" t="s">
        <v>153</v>
      </c>
      <c r="R197" s="1640">
        <f>(M197*P197)</f>
        <v>2227.6799999999998</v>
      </c>
      <c r="S197" s="1640">
        <v>1.8</v>
      </c>
      <c r="T197" s="1638" t="s">
        <v>153</v>
      </c>
      <c r="U197" s="1627" t="s">
        <v>234</v>
      </c>
      <c r="V197" s="1640">
        <f>P197</f>
        <v>1237.5999999999999</v>
      </c>
      <c r="W197" s="1628" t="s">
        <v>153</v>
      </c>
      <c r="X197" s="1640">
        <f>(S197*V197)</f>
        <v>2227.6799999999998</v>
      </c>
      <c r="Y197" s="1640"/>
      <c r="AG197" s="1640"/>
      <c r="AI197" s="1627"/>
      <c r="AQ197" s="1638" t="s">
        <v>226</v>
      </c>
      <c r="AR197" s="1627" t="s">
        <v>237</v>
      </c>
      <c r="AS197" s="1627" t="s">
        <v>150</v>
      </c>
      <c r="AT197" s="1627" t="s">
        <v>226</v>
      </c>
      <c r="AU197" s="1640">
        <v>5</v>
      </c>
      <c r="AW197" s="1629">
        <f t="shared" si="19"/>
        <v>1.1345000000000001</v>
      </c>
      <c r="AX197" s="1629">
        <f t="shared" si="20"/>
        <v>3.8654999999999999</v>
      </c>
    </row>
    <row r="198" spans="1:50" ht="24" customHeight="1">
      <c r="A198" s="1647">
        <f t="shared" si="21"/>
        <v>96</v>
      </c>
      <c r="B198" s="1627" t="s">
        <v>5572</v>
      </c>
      <c r="C198" s="1640">
        <v>40.65</v>
      </c>
      <c r="D198" s="1627" t="s">
        <v>152</v>
      </c>
      <c r="F198" s="1640">
        <v>17.7</v>
      </c>
      <c r="G198" s="1638" t="s">
        <v>153</v>
      </c>
      <c r="H198" s="1627" t="s">
        <v>235</v>
      </c>
      <c r="I198" s="1640">
        <f>(C12)</f>
        <v>865.19999999999993</v>
      </c>
      <c r="J198" s="1627" t="s">
        <v>153</v>
      </c>
      <c r="K198" s="1640">
        <f>(F198*I198)</f>
        <v>15314.039999999999</v>
      </c>
      <c r="M198" s="1640">
        <v>17.7</v>
      </c>
      <c r="N198" s="1638" t="s">
        <v>153</v>
      </c>
      <c r="O198" s="1627" t="s">
        <v>235</v>
      </c>
      <c r="P198" s="1640">
        <f>I198</f>
        <v>865.19999999999993</v>
      </c>
      <c r="Q198" s="1627" t="s">
        <v>153</v>
      </c>
      <c r="R198" s="1640">
        <f>(M198*P198)</f>
        <v>15314.039999999999</v>
      </c>
      <c r="S198" s="1640">
        <v>17.7</v>
      </c>
      <c r="T198" s="1638" t="s">
        <v>153</v>
      </c>
      <c r="U198" s="1627" t="s">
        <v>235</v>
      </c>
      <c r="V198" s="1640">
        <f>P198</f>
        <v>865.19999999999993</v>
      </c>
      <c r="W198" s="1628" t="s">
        <v>153</v>
      </c>
      <c r="X198" s="1640">
        <f>(S198*V198)</f>
        <v>15314.039999999999</v>
      </c>
      <c r="Y198" s="1640"/>
      <c r="AG198" s="1640"/>
      <c r="AI198" s="1627"/>
      <c r="AQ198" s="1630"/>
      <c r="AT198" s="1632"/>
      <c r="AU198" s="1636" t="s">
        <v>21</v>
      </c>
      <c r="AW198" s="1629">
        <f t="shared" si="19"/>
        <v>0</v>
      </c>
      <c r="AX198" s="1629">
        <f t="shared" si="20"/>
        <v>0</v>
      </c>
    </row>
    <row r="199" spans="1:50" ht="24" customHeight="1">
      <c r="A199" s="1647">
        <f t="shared" si="21"/>
        <v>97</v>
      </c>
      <c r="B199" s="1627" t="s">
        <v>5573</v>
      </c>
      <c r="C199" s="1640">
        <v>379.9</v>
      </c>
      <c r="D199" s="1640">
        <v>116.55</v>
      </c>
      <c r="E199" s="1627" t="s">
        <v>152</v>
      </c>
      <c r="F199" s="1640">
        <v>14.1</v>
      </c>
      <c r="G199" s="1638" t="s">
        <v>153</v>
      </c>
      <c r="H199" s="1627" t="s">
        <v>236</v>
      </c>
      <c r="I199" s="1640">
        <f>(C13)</f>
        <v>709.8</v>
      </c>
      <c r="J199" s="1627" t="s">
        <v>153</v>
      </c>
      <c r="K199" s="1640">
        <f>(F199*I199)</f>
        <v>10008.179999999998</v>
      </c>
      <c r="M199" s="1640">
        <v>14.1</v>
      </c>
      <c r="N199" s="1638" t="s">
        <v>153</v>
      </c>
      <c r="O199" s="1627" t="s">
        <v>236</v>
      </c>
      <c r="P199" s="1640">
        <f>I199</f>
        <v>709.8</v>
      </c>
      <c r="Q199" s="1627" t="s">
        <v>153</v>
      </c>
      <c r="R199" s="1640">
        <f>(M199*P199)</f>
        <v>10008.179999999998</v>
      </c>
      <c r="S199" s="1640">
        <v>14.1</v>
      </c>
      <c r="T199" s="1638" t="s">
        <v>153</v>
      </c>
      <c r="U199" s="1627" t="s">
        <v>236</v>
      </c>
      <c r="V199" s="1640">
        <f>P199</f>
        <v>709.8</v>
      </c>
      <c r="W199" s="1628" t="s">
        <v>153</v>
      </c>
      <c r="X199" s="1640">
        <f>(S199*V199)</f>
        <v>10008.179999999998</v>
      </c>
      <c r="Y199" s="1640"/>
      <c r="AG199" s="1640"/>
      <c r="AI199" s="1627"/>
      <c r="AQ199" s="1630"/>
      <c r="AR199" s="1627" t="s">
        <v>238</v>
      </c>
      <c r="AT199" s="1632"/>
      <c r="AU199" s="1639">
        <f>SUM(AU195:AU197)</f>
        <v>7015.0169999999998</v>
      </c>
      <c r="AW199" s="1629">
        <f t="shared" si="19"/>
        <v>1591.7073573000002</v>
      </c>
      <c r="AX199" s="1629">
        <f t="shared" si="20"/>
        <v>5423.3096427</v>
      </c>
    </row>
    <row r="200" spans="1:50" ht="24" customHeight="1">
      <c r="A200" s="1647">
        <f t="shared" si="21"/>
        <v>98</v>
      </c>
      <c r="B200" s="1627" t="s">
        <v>5574</v>
      </c>
      <c r="C200" s="1640">
        <v>183.8</v>
      </c>
      <c r="D200" s="1627" t="s">
        <v>4</v>
      </c>
      <c r="G200" s="1638" t="s">
        <v>226</v>
      </c>
      <c r="H200" s="1627" t="s">
        <v>237</v>
      </c>
      <c r="J200" s="1627" t="s">
        <v>226</v>
      </c>
      <c r="K200" s="1640">
        <v>0</v>
      </c>
      <c r="N200" s="1638" t="s">
        <v>226</v>
      </c>
      <c r="O200" s="1627" t="s">
        <v>237</v>
      </c>
      <c r="Q200" s="1627" t="s">
        <v>226</v>
      </c>
      <c r="R200" s="1640">
        <v>0</v>
      </c>
      <c r="S200" s="1629"/>
      <c r="T200" s="1638" t="s">
        <v>226</v>
      </c>
      <c r="U200" s="1627" t="s">
        <v>237</v>
      </c>
      <c r="W200" s="1628" t="s">
        <v>226</v>
      </c>
      <c r="X200" s="1640">
        <v>0</v>
      </c>
      <c r="Y200" s="1640"/>
      <c r="AG200" s="1640"/>
      <c r="AI200" s="1627"/>
      <c r="AQ200" s="1630"/>
      <c r="AT200" s="1632"/>
      <c r="AU200" s="1636" t="s">
        <v>21</v>
      </c>
      <c r="AW200" s="1629">
        <f t="shared" si="19"/>
        <v>0</v>
      </c>
      <c r="AX200" s="1629">
        <f t="shared" si="20"/>
        <v>0</v>
      </c>
    </row>
    <row r="201" spans="1:50" ht="24" customHeight="1">
      <c r="A201" s="1647">
        <f t="shared" si="21"/>
        <v>99</v>
      </c>
      <c r="B201" s="1627" t="s">
        <v>5575</v>
      </c>
      <c r="C201" s="1640">
        <v>1201</v>
      </c>
      <c r="D201" s="1627" t="s">
        <v>4</v>
      </c>
      <c r="K201" s="1636" t="s">
        <v>21</v>
      </c>
      <c r="N201" s="1630"/>
      <c r="Q201" s="1632"/>
      <c r="R201" s="1636" t="s">
        <v>21</v>
      </c>
      <c r="S201" s="1629"/>
      <c r="T201" s="1630"/>
      <c r="W201" s="1634"/>
      <c r="X201" s="1636" t="s">
        <v>21</v>
      </c>
      <c r="Y201" s="1636"/>
      <c r="AG201" s="1640"/>
      <c r="AI201" s="1627"/>
      <c r="AQ201" s="1630"/>
      <c r="AR201" s="1627" t="s">
        <v>155</v>
      </c>
      <c r="AT201" s="1632"/>
      <c r="AU201" s="1640">
        <f>(AU199/10)</f>
        <v>701.50170000000003</v>
      </c>
      <c r="AW201" s="1629">
        <f t="shared" si="19"/>
        <v>159.17073573000002</v>
      </c>
      <c r="AX201" s="1629">
        <f t="shared" si="20"/>
        <v>542.33096426999998</v>
      </c>
    </row>
    <row r="202" spans="1:50" ht="24" customHeight="1">
      <c r="A202" s="1647">
        <f t="shared" si="21"/>
        <v>100</v>
      </c>
      <c r="B202" s="1627" t="s">
        <v>867</v>
      </c>
      <c r="C202" s="1640">
        <v>47.2</v>
      </c>
      <c r="D202" s="1627" t="s">
        <v>4</v>
      </c>
      <c r="K202" s="1640">
        <f>SUM(K195:K200)</f>
        <v>64568.970000000008</v>
      </c>
      <c r="N202" s="1630"/>
      <c r="Q202" s="1632"/>
      <c r="R202" s="1640">
        <f>SUM(R195:R200)</f>
        <v>73504.53</v>
      </c>
      <c r="S202" s="1629"/>
      <c r="T202" s="1630"/>
      <c r="W202" s="1634"/>
      <c r="X202" s="1640">
        <f>SUM(X195:X200)</f>
        <v>69787.53</v>
      </c>
      <c r="Y202" s="1640"/>
      <c r="AG202" s="1640"/>
      <c r="AI202" s="1627"/>
      <c r="AQ202" s="1630"/>
      <c r="AT202" s="1632"/>
      <c r="AU202" s="1636" t="s">
        <v>156</v>
      </c>
      <c r="AW202" s="1629">
        <f t="shared" si="19"/>
        <v>0</v>
      </c>
      <c r="AX202" s="1629">
        <f t="shared" si="20"/>
        <v>0</v>
      </c>
    </row>
    <row r="203" spans="1:50" ht="24" customHeight="1">
      <c r="A203" s="1647">
        <f t="shared" si="21"/>
        <v>101</v>
      </c>
      <c r="B203" s="1627" t="s">
        <v>5576</v>
      </c>
      <c r="C203" s="1640">
        <v>128</v>
      </c>
      <c r="D203" s="1627" t="s">
        <v>4</v>
      </c>
      <c r="E203" s="1629">
        <v>166.15</v>
      </c>
      <c r="H203" s="1628" t="s">
        <v>263</v>
      </c>
      <c r="K203" s="1636" t="s">
        <v>21</v>
      </c>
      <c r="N203" s="1630"/>
      <c r="O203" s="1627" t="s">
        <v>263</v>
      </c>
      <c r="Q203" s="1632"/>
      <c r="R203" s="1636" t="s">
        <v>21</v>
      </c>
      <c r="S203" s="1629"/>
      <c r="T203" s="1630"/>
      <c r="U203" s="1627" t="s">
        <v>263</v>
      </c>
      <c r="W203" s="1634"/>
      <c r="X203" s="1636" t="s">
        <v>21</v>
      </c>
      <c r="Y203" s="1636"/>
      <c r="AG203" s="1640"/>
      <c r="AI203" s="1627"/>
      <c r="AQ203" s="1630"/>
      <c r="AR203" s="1627" t="s">
        <v>271</v>
      </c>
      <c r="AT203" s="1632">
        <f>AT187</f>
        <v>7.3304000000000542</v>
      </c>
      <c r="AU203" s="1639">
        <f>(AU201+C35/10*AP195)</f>
        <v>717.09069999999997</v>
      </c>
      <c r="AW203" s="1629">
        <f t="shared" si="19"/>
        <v>162.70787983</v>
      </c>
      <c r="AX203" s="1629">
        <f t="shared" si="20"/>
        <v>554.38282016999995</v>
      </c>
    </row>
    <row r="204" spans="1:50" ht="24" customHeight="1">
      <c r="A204" s="1647">
        <f t="shared" si="21"/>
        <v>102</v>
      </c>
      <c r="B204" s="1627" t="s">
        <v>5577</v>
      </c>
      <c r="C204" s="1640">
        <v>63.4</v>
      </c>
      <c r="D204" s="1627" t="s">
        <v>4</v>
      </c>
      <c r="K204" s="1639">
        <f>(K202/10)</f>
        <v>6456.8970000000008</v>
      </c>
      <c r="N204" s="1630"/>
      <c r="Q204" s="1632"/>
      <c r="R204" s="1640">
        <f>(R202/10)</f>
        <v>7350.4529999999995</v>
      </c>
      <c r="S204" s="1629"/>
      <c r="T204" s="1630"/>
      <c r="W204" s="1634"/>
      <c r="X204" s="1640">
        <f>(X202/10)</f>
        <v>6978.7529999999997</v>
      </c>
      <c r="Y204" s="1640"/>
      <c r="AG204" s="1640"/>
      <c r="AQ204" s="1630"/>
      <c r="AR204" s="1627" t="s">
        <v>272</v>
      </c>
      <c r="AT204" s="1632">
        <f t="shared" ref="AT204:AT207" si="22">AT188</f>
        <v>14.788199999999961</v>
      </c>
      <c r="AU204" s="1639">
        <f>(AU203+C36/10*AP195)</f>
        <v>718.09029999999996</v>
      </c>
      <c r="AW204" s="1629">
        <f t="shared" si="19"/>
        <v>162.93468906999999</v>
      </c>
      <c r="AX204" s="1629">
        <f t="shared" si="20"/>
        <v>555.15561092999997</v>
      </c>
    </row>
    <row r="205" spans="1:50" ht="24" customHeight="1">
      <c r="A205" s="1647">
        <f t="shared" si="21"/>
        <v>103</v>
      </c>
      <c r="B205" s="1627" t="s">
        <v>870</v>
      </c>
      <c r="C205" s="1640">
        <v>102</v>
      </c>
      <c r="D205" s="1627" t="s">
        <v>4</v>
      </c>
      <c r="H205" s="1641" t="s">
        <v>270</v>
      </c>
      <c r="K205" s="1636" t="s">
        <v>156</v>
      </c>
      <c r="N205" s="1630"/>
      <c r="O205" s="1627" t="s">
        <v>270</v>
      </c>
      <c r="Q205" s="1632"/>
      <c r="R205" s="1636" t="s">
        <v>156</v>
      </c>
      <c r="S205" s="1629"/>
      <c r="T205" s="1630"/>
      <c r="U205" s="1627" t="s">
        <v>270</v>
      </c>
      <c r="W205" s="1634"/>
      <c r="X205" s="1636" t="s">
        <v>156</v>
      </c>
      <c r="Y205" s="1636"/>
      <c r="AG205" s="1640"/>
      <c r="AQ205" s="1630"/>
      <c r="AR205" s="1627" t="s">
        <v>767</v>
      </c>
      <c r="AT205" s="1632">
        <f t="shared" si="22"/>
        <v>14.788199999999961</v>
      </c>
      <c r="AU205" s="1639">
        <f>(AU204+C37/10*AP195)</f>
        <v>723.23529999999994</v>
      </c>
      <c r="AW205" s="1629">
        <f t="shared" si="19"/>
        <v>164.10208956999998</v>
      </c>
      <c r="AX205" s="1629">
        <f t="shared" si="20"/>
        <v>559.13321042999996</v>
      </c>
    </row>
    <row r="206" spans="1:50" ht="24" customHeight="1">
      <c r="A206" s="1647">
        <f t="shared" si="21"/>
        <v>104</v>
      </c>
      <c r="B206" s="1627" t="s">
        <v>5578</v>
      </c>
      <c r="C206" s="1640">
        <v>101.6</v>
      </c>
      <c r="D206" s="1627" t="s">
        <v>4</v>
      </c>
      <c r="E206" s="1629">
        <v>140.65</v>
      </c>
      <c r="W206" s="1634"/>
      <c r="AG206" s="1640"/>
      <c r="AI206" s="1627"/>
      <c r="AQ206" s="1630"/>
      <c r="AR206" s="1627" t="s">
        <v>769</v>
      </c>
      <c r="AT206" s="1632">
        <f t="shared" si="22"/>
        <v>14.788199999999961</v>
      </c>
      <c r="AU206" s="1639">
        <f>(AU205+C37/10*AP195)</f>
        <v>728.38029999999992</v>
      </c>
      <c r="AW206" s="1629">
        <f t="shared" si="19"/>
        <v>165.26949006999999</v>
      </c>
      <c r="AX206" s="1629">
        <f t="shared" si="20"/>
        <v>563.11080992999996</v>
      </c>
    </row>
    <row r="207" spans="1:50" ht="24" customHeight="1">
      <c r="A207" s="1647">
        <f t="shared" si="21"/>
        <v>105</v>
      </c>
      <c r="B207" s="1627" t="s">
        <v>5127</v>
      </c>
      <c r="C207" s="1640">
        <v>227.6</v>
      </c>
      <c r="D207" s="1627" t="s">
        <v>873</v>
      </c>
      <c r="F207" s="1628" t="s">
        <v>397</v>
      </c>
      <c r="G207" s="1638" t="s">
        <v>249</v>
      </c>
      <c r="H207" s="1627" t="s">
        <v>5579</v>
      </c>
      <c r="W207" s="1634"/>
      <c r="AG207" s="1640"/>
      <c r="AQ207" s="1630"/>
      <c r="AR207" s="1627" t="s">
        <v>854</v>
      </c>
      <c r="AT207" s="1632">
        <f t="shared" si="22"/>
        <v>14.788199999999961</v>
      </c>
      <c r="AU207" s="1639">
        <f>(AU206+C37/10*AP195)</f>
        <v>733.5252999999999</v>
      </c>
      <c r="AW207" s="1629">
        <f t="shared" si="19"/>
        <v>166.43689057</v>
      </c>
      <c r="AX207" s="1629">
        <f t="shared" si="20"/>
        <v>567.08840942999996</v>
      </c>
    </row>
    <row r="208" spans="1:50" ht="24" customHeight="1">
      <c r="A208" s="1647">
        <f t="shared" si="21"/>
        <v>106</v>
      </c>
      <c r="B208" s="1627" t="s">
        <v>5580</v>
      </c>
      <c r="C208" s="1640">
        <v>166.15</v>
      </c>
      <c r="D208" s="1627" t="s">
        <v>4</v>
      </c>
      <c r="H208" s="1627" t="s">
        <v>398</v>
      </c>
      <c r="N208" s="1627" t="s">
        <v>588</v>
      </c>
      <c r="O208" s="1627" t="s">
        <v>876</v>
      </c>
      <c r="W208" s="1634"/>
      <c r="AG208" s="1640"/>
      <c r="AW208" s="1629">
        <f t="shared" si="19"/>
        <v>0</v>
      </c>
      <c r="AX208" s="1629">
        <f t="shared" si="20"/>
        <v>0</v>
      </c>
    </row>
    <row r="209" spans="6:50" ht="24" customHeight="1">
      <c r="H209" s="1636" t="s">
        <v>21</v>
      </c>
      <c r="O209" s="1636" t="s">
        <v>21</v>
      </c>
      <c r="W209" s="1634"/>
      <c r="AG209" s="1640"/>
      <c r="AW209" s="1629">
        <f t="shared" si="19"/>
        <v>0</v>
      </c>
      <c r="AX209" s="1629">
        <f t="shared" si="20"/>
        <v>0</v>
      </c>
    </row>
    <row r="210" spans="6:50" ht="24" customHeight="1">
      <c r="F210" s="1640">
        <v>9</v>
      </c>
      <c r="G210" s="1638" t="s">
        <v>151</v>
      </c>
      <c r="H210" s="1627" t="s">
        <v>399</v>
      </c>
      <c r="I210" s="1640">
        <f>C73</f>
        <v>2446.7200000000003</v>
      </c>
      <c r="J210" s="1627" t="s">
        <v>151</v>
      </c>
      <c r="K210" s="1640">
        <f>(F210*I210)</f>
        <v>22020.480000000003</v>
      </c>
      <c r="M210" s="1691">
        <v>1.153E-2</v>
      </c>
      <c r="N210" s="1627" t="s">
        <v>151</v>
      </c>
      <c r="O210" s="1627" t="s">
        <v>877</v>
      </c>
      <c r="P210" s="1640">
        <f>C88</f>
        <v>111600</v>
      </c>
      <c r="Q210" s="1627" t="s">
        <v>151</v>
      </c>
      <c r="R210" s="1640">
        <f t="shared" ref="R210:R219" si="23">(M210*P210)</f>
        <v>1286.748</v>
      </c>
      <c r="W210" s="1634"/>
      <c r="AG210" s="1640"/>
      <c r="AW210" s="1629">
        <f t="shared" si="19"/>
        <v>0</v>
      </c>
      <c r="AX210" s="1629">
        <f t="shared" si="20"/>
        <v>0</v>
      </c>
    </row>
    <row r="211" spans="6:50" ht="24" customHeight="1">
      <c r="F211" s="1640">
        <v>4.5</v>
      </c>
      <c r="G211" s="1638" t="s">
        <v>151</v>
      </c>
      <c r="H211" s="1627" t="s">
        <v>256</v>
      </c>
      <c r="I211" s="1640">
        <f>K23</f>
        <v>6768.3</v>
      </c>
      <c r="J211" s="1627" t="s">
        <v>151</v>
      </c>
      <c r="K211" s="1640">
        <f>(F211*I211)</f>
        <v>30457.350000000002</v>
      </c>
      <c r="M211" s="1691">
        <v>1.013E-2</v>
      </c>
      <c r="N211" s="1627" t="s">
        <v>151</v>
      </c>
      <c r="O211" s="1627" t="s">
        <v>878</v>
      </c>
      <c r="P211" s="1640">
        <f>C89</f>
        <v>99400</v>
      </c>
      <c r="Q211" s="1627" t="s">
        <v>151</v>
      </c>
      <c r="R211" s="1640">
        <f t="shared" si="23"/>
        <v>1006.922</v>
      </c>
      <c r="W211" s="1634"/>
      <c r="AG211" s="1640"/>
      <c r="AW211" s="1629">
        <f t="shared" si="19"/>
        <v>0</v>
      </c>
      <c r="AX211" s="1629">
        <f t="shared" si="20"/>
        <v>0</v>
      </c>
    </row>
    <row r="212" spans="6:50" ht="24" customHeight="1">
      <c r="F212" s="1640">
        <v>1.8</v>
      </c>
      <c r="G212" s="1638" t="s">
        <v>153</v>
      </c>
      <c r="H212" s="1627" t="s">
        <v>234</v>
      </c>
      <c r="I212" s="1640">
        <f>C11</f>
        <v>1237.5999999999999</v>
      </c>
      <c r="J212" s="1627" t="s">
        <v>153</v>
      </c>
      <c r="K212" s="1640">
        <f>(F212*I212)</f>
        <v>2227.6799999999998</v>
      </c>
      <c r="M212" s="1691">
        <v>0.77780000000000005</v>
      </c>
      <c r="N212" s="1627" t="s">
        <v>152</v>
      </c>
      <c r="O212" s="1627" t="s">
        <v>879</v>
      </c>
      <c r="P212" s="1640">
        <f>C783</f>
        <v>387.4</v>
      </c>
      <c r="Q212" s="1627" t="s">
        <v>152</v>
      </c>
      <c r="R212" s="1640">
        <f t="shared" si="23"/>
        <v>301.31972000000002</v>
      </c>
      <c r="W212" s="1634"/>
      <c r="AG212" s="1640"/>
      <c r="AW212" s="1629">
        <f t="shared" si="19"/>
        <v>0</v>
      </c>
      <c r="AX212" s="1629">
        <f t="shared" si="20"/>
        <v>0</v>
      </c>
    </row>
    <row r="213" spans="6:50" ht="24" customHeight="1">
      <c r="F213" s="1640">
        <v>17.7</v>
      </c>
      <c r="G213" s="1638" t="s">
        <v>153</v>
      </c>
      <c r="H213" s="1627" t="s">
        <v>235</v>
      </c>
      <c r="I213" s="1640">
        <f>C12</f>
        <v>865.19999999999993</v>
      </c>
      <c r="J213" s="1627" t="s">
        <v>153</v>
      </c>
      <c r="K213" s="1640">
        <f>(F213*I213)</f>
        <v>15314.039999999999</v>
      </c>
      <c r="M213" s="1691">
        <v>1.23</v>
      </c>
      <c r="N213" s="1627" t="s">
        <v>152</v>
      </c>
      <c r="O213" s="1627" t="s">
        <v>880</v>
      </c>
      <c r="P213" s="1640">
        <f>D30</f>
        <v>1701</v>
      </c>
      <c r="Q213" s="1627" t="s">
        <v>152</v>
      </c>
      <c r="R213" s="1640">
        <f t="shared" si="23"/>
        <v>2092.23</v>
      </c>
      <c r="W213" s="1634"/>
      <c r="AG213" s="1640"/>
      <c r="AW213" s="1629">
        <f t="shared" si="19"/>
        <v>0</v>
      </c>
      <c r="AX213" s="1629">
        <f t="shared" si="20"/>
        <v>0</v>
      </c>
    </row>
    <row r="214" spans="6:50" ht="24" customHeight="1">
      <c r="F214" s="1640">
        <v>14.1</v>
      </c>
      <c r="G214" s="1638" t="s">
        <v>153</v>
      </c>
      <c r="H214" s="1627" t="s">
        <v>236</v>
      </c>
      <c r="I214" s="1640">
        <f>C13</f>
        <v>709.8</v>
      </c>
      <c r="J214" s="1627" t="s">
        <v>153</v>
      </c>
      <c r="K214" s="1640">
        <f>(F214*I214)</f>
        <v>10008.179999999998</v>
      </c>
      <c r="M214" s="1640">
        <v>2</v>
      </c>
      <c r="N214" s="1627" t="s">
        <v>153</v>
      </c>
      <c r="O214" s="1627" t="s">
        <v>881</v>
      </c>
      <c r="P214" s="1640">
        <f>C284</f>
        <v>64.8</v>
      </c>
      <c r="Q214" s="1627" t="s">
        <v>153</v>
      </c>
      <c r="R214" s="1640">
        <f t="shared" si="23"/>
        <v>129.6</v>
      </c>
      <c r="W214" s="1634"/>
      <c r="AG214" s="1640"/>
      <c r="AW214" s="1629">
        <f t="shared" si="19"/>
        <v>0</v>
      </c>
      <c r="AX214" s="1629">
        <f t="shared" si="20"/>
        <v>0</v>
      </c>
    </row>
    <row r="215" spans="6:50" ht="24" customHeight="1">
      <c r="G215" s="1638" t="s">
        <v>226</v>
      </c>
      <c r="H215" s="1627" t="s">
        <v>237</v>
      </c>
      <c r="J215" s="1627" t="s">
        <v>226</v>
      </c>
      <c r="K215" s="1640">
        <v>0</v>
      </c>
      <c r="M215" s="1640">
        <v>3</v>
      </c>
      <c r="N215" s="1627" t="s">
        <v>153</v>
      </c>
      <c r="O215" s="1627" t="s">
        <v>882</v>
      </c>
      <c r="P215" s="1640">
        <f>C279</f>
        <v>89.6</v>
      </c>
      <c r="Q215" s="1627" t="s">
        <v>153</v>
      </c>
      <c r="R215" s="1640">
        <f t="shared" si="23"/>
        <v>268.79999999999995</v>
      </c>
      <c r="W215" s="1634"/>
      <c r="AG215" s="1640"/>
      <c r="AW215" s="1629">
        <f t="shared" si="19"/>
        <v>0</v>
      </c>
      <c r="AX215" s="1629">
        <f t="shared" si="20"/>
        <v>0</v>
      </c>
    </row>
    <row r="216" spans="6:50" ht="24" customHeight="1">
      <c r="K216" s="1636" t="s">
        <v>21</v>
      </c>
      <c r="M216" s="1640">
        <v>1</v>
      </c>
      <c r="N216" s="1627" t="s">
        <v>153</v>
      </c>
      <c r="O216" s="1627" t="s">
        <v>883</v>
      </c>
      <c r="P216" s="1640">
        <f>C286</f>
        <v>181</v>
      </c>
      <c r="Q216" s="1627" t="s">
        <v>153</v>
      </c>
      <c r="R216" s="1640">
        <f t="shared" si="23"/>
        <v>181</v>
      </c>
      <c r="T216" s="1629">
        <v>0</v>
      </c>
      <c r="W216" s="1634"/>
      <c r="AG216" s="1640"/>
      <c r="AW216" s="1629">
        <f t="shared" si="19"/>
        <v>0</v>
      </c>
      <c r="AX216" s="1629">
        <f t="shared" si="20"/>
        <v>0</v>
      </c>
    </row>
    <row r="217" spans="6:50" ht="24" customHeight="1">
      <c r="K217" s="1640">
        <f>SUM(K210:K215)</f>
        <v>80027.73</v>
      </c>
      <c r="M217" s="1640">
        <v>1</v>
      </c>
      <c r="N217" s="1627" t="s">
        <v>153</v>
      </c>
      <c r="O217" s="1627" t="s">
        <v>884</v>
      </c>
      <c r="P217" s="1640">
        <f>C288</f>
        <v>7.3</v>
      </c>
      <c r="Q217" s="1627" t="s">
        <v>153</v>
      </c>
      <c r="R217" s="1640">
        <f t="shared" si="23"/>
        <v>7.3</v>
      </c>
      <c r="W217" s="1634"/>
      <c r="AG217" s="1640"/>
      <c r="AW217" s="1629">
        <f t="shared" si="19"/>
        <v>0</v>
      </c>
      <c r="AX217" s="1629">
        <f t="shared" si="20"/>
        <v>0</v>
      </c>
    </row>
    <row r="218" spans="6:50" ht="24" customHeight="1">
      <c r="H218" s="1627" t="s">
        <v>263</v>
      </c>
      <c r="K218" s="1636" t="s">
        <v>21</v>
      </c>
      <c r="M218" s="1640">
        <v>1</v>
      </c>
      <c r="N218" s="1627" t="s">
        <v>153</v>
      </c>
      <c r="O218" s="1627" t="s">
        <v>885</v>
      </c>
      <c r="P218" s="1640">
        <f>C598</f>
        <v>57.65</v>
      </c>
      <c r="Q218" s="1627" t="s">
        <v>153</v>
      </c>
      <c r="R218" s="1640">
        <f t="shared" si="23"/>
        <v>57.65</v>
      </c>
      <c r="W218" s="1634"/>
      <c r="AG218" s="1640"/>
    </row>
    <row r="219" spans="6:50" ht="24" customHeight="1">
      <c r="K219" s="1639">
        <f>(K217/10)</f>
        <v>8002.7729999999992</v>
      </c>
      <c r="M219" s="1640">
        <v>1</v>
      </c>
      <c r="N219" s="1627" t="s">
        <v>153</v>
      </c>
      <c r="O219" s="1627" t="s">
        <v>886</v>
      </c>
      <c r="P219" s="1640">
        <f>D598</f>
        <v>49.55</v>
      </c>
      <c r="Q219" s="1627" t="s">
        <v>153</v>
      </c>
      <c r="R219" s="1640">
        <f t="shared" si="23"/>
        <v>49.55</v>
      </c>
      <c r="W219" s="1634"/>
      <c r="AG219" s="1640"/>
    </row>
    <row r="220" spans="6:50" ht="24" customHeight="1">
      <c r="H220" s="1641" t="s">
        <v>270</v>
      </c>
      <c r="K220" s="1636" t="s">
        <v>156</v>
      </c>
      <c r="R220" s="1636" t="s">
        <v>21</v>
      </c>
      <c r="W220" s="1634"/>
      <c r="AG220" s="1640"/>
    </row>
    <row r="221" spans="6:50" ht="24" customHeight="1">
      <c r="O221" s="1628" t="s">
        <v>887</v>
      </c>
      <c r="R221" s="1640">
        <f>SUM(R210:R219)</f>
        <v>5381.1197200000006</v>
      </c>
      <c r="W221" s="1634"/>
      <c r="AG221" s="1640"/>
    </row>
    <row r="222" spans="6:50" ht="24" customHeight="1">
      <c r="F222" s="1628" t="s">
        <v>888</v>
      </c>
      <c r="G222" s="1638" t="s">
        <v>249</v>
      </c>
      <c r="H222" s="1627" t="s">
        <v>5581</v>
      </c>
      <c r="N222" s="1627" t="s">
        <v>150</v>
      </c>
      <c r="R222" s="1636" t="s">
        <v>21</v>
      </c>
      <c r="W222" s="1634"/>
      <c r="AG222" s="1640"/>
    </row>
    <row r="223" spans="6:50" ht="24" customHeight="1">
      <c r="H223" s="1627" t="s">
        <v>890</v>
      </c>
      <c r="M223" s="1627" t="s">
        <v>150</v>
      </c>
      <c r="W223" s="1634"/>
      <c r="AG223" s="1640"/>
    </row>
    <row r="224" spans="6:50" ht="24" customHeight="1">
      <c r="H224" s="1636" t="s">
        <v>21</v>
      </c>
      <c r="O224" s="1628" t="s">
        <v>155</v>
      </c>
      <c r="R224" s="1640">
        <f>R221/M213</f>
        <v>4374.8940813008139</v>
      </c>
      <c r="W224" s="1634"/>
      <c r="AG224" s="1640"/>
    </row>
    <row r="225" spans="6:33" ht="24" customHeight="1">
      <c r="F225" s="1640">
        <v>9</v>
      </c>
      <c r="G225" s="1638" t="s">
        <v>151</v>
      </c>
      <c r="H225" s="1627" t="s">
        <v>891</v>
      </c>
      <c r="I225" s="1640">
        <f>AE20</f>
        <v>1532.42</v>
      </c>
      <c r="J225" s="1627" t="s">
        <v>151</v>
      </c>
      <c r="K225" s="1640">
        <f>(F225*I225)</f>
        <v>13791.78</v>
      </c>
      <c r="M225" s="1627" t="s">
        <v>892</v>
      </c>
      <c r="W225" s="1634"/>
      <c r="AG225" s="1640"/>
    </row>
    <row r="226" spans="6:33" ht="24" customHeight="1">
      <c r="F226" s="1640">
        <v>4.5</v>
      </c>
      <c r="G226" s="1638" t="s">
        <v>151</v>
      </c>
      <c r="H226" s="1627" t="s">
        <v>384</v>
      </c>
      <c r="I226" s="1640">
        <f>K77</f>
        <v>3506.7</v>
      </c>
      <c r="J226" s="1627" t="s">
        <v>151</v>
      </c>
      <c r="K226" s="1640">
        <f>(F226*I226)</f>
        <v>15780.15</v>
      </c>
      <c r="W226" s="1634"/>
      <c r="AG226" s="1640"/>
    </row>
    <row r="227" spans="6:33" ht="24" customHeight="1">
      <c r="F227" s="1640">
        <v>1.8</v>
      </c>
      <c r="G227" s="1638" t="s">
        <v>153</v>
      </c>
      <c r="H227" s="1627" t="s">
        <v>234</v>
      </c>
      <c r="I227" s="1640">
        <f>C11</f>
        <v>1237.5999999999999</v>
      </c>
      <c r="J227" s="1627" t="s">
        <v>153</v>
      </c>
      <c r="K227" s="1640">
        <f>(F227*I227)</f>
        <v>2227.6799999999998</v>
      </c>
      <c r="W227" s="1634"/>
      <c r="AG227" s="1640"/>
    </row>
    <row r="228" spans="6:33" ht="24" customHeight="1">
      <c r="F228" s="1640">
        <v>17.7</v>
      </c>
      <c r="G228" s="1638" t="s">
        <v>153</v>
      </c>
      <c r="H228" s="1627" t="s">
        <v>235</v>
      </c>
      <c r="I228" s="1640">
        <f>C12</f>
        <v>865.19999999999993</v>
      </c>
      <c r="J228" s="1627" t="s">
        <v>153</v>
      </c>
      <c r="K228" s="1640">
        <f>(F228*I228)</f>
        <v>15314.039999999999</v>
      </c>
      <c r="M228" s="1628" t="s">
        <v>888</v>
      </c>
      <c r="N228" s="1638" t="s">
        <v>249</v>
      </c>
      <c r="O228" s="1627" t="s">
        <v>5582</v>
      </c>
      <c r="Q228" s="1632"/>
      <c r="W228" s="1634"/>
      <c r="AG228" s="1640"/>
    </row>
    <row r="229" spans="6:33" ht="24" customHeight="1">
      <c r="F229" s="1640">
        <v>14.1</v>
      </c>
      <c r="G229" s="1638" t="s">
        <v>153</v>
      </c>
      <c r="H229" s="1627" t="s">
        <v>236</v>
      </c>
      <c r="I229" s="1640">
        <f>C13</f>
        <v>709.8</v>
      </c>
      <c r="J229" s="1627" t="s">
        <v>153</v>
      </c>
      <c r="K229" s="1640">
        <f>(F229*I229)</f>
        <v>10008.179999999998</v>
      </c>
      <c r="N229" s="1630"/>
      <c r="O229" s="1627" t="s">
        <v>894</v>
      </c>
      <c r="Q229" s="1632"/>
      <c r="W229" s="1634"/>
      <c r="AG229" s="1640"/>
    </row>
    <row r="230" spans="6:33" ht="24" customHeight="1">
      <c r="G230" s="1638" t="s">
        <v>226</v>
      </c>
      <c r="H230" s="1627" t="s">
        <v>237</v>
      </c>
      <c r="J230" s="1627" t="s">
        <v>226</v>
      </c>
      <c r="K230" s="1640">
        <v>0</v>
      </c>
      <c r="N230" s="1630"/>
      <c r="O230" s="1636" t="s">
        <v>21</v>
      </c>
      <c r="Q230" s="1632"/>
      <c r="W230" s="1634"/>
      <c r="AG230" s="1640"/>
    </row>
    <row r="231" spans="6:33" ht="24" customHeight="1">
      <c r="K231" s="1636" t="s">
        <v>21</v>
      </c>
      <c r="M231" s="1640">
        <v>9</v>
      </c>
      <c r="N231" s="1638" t="s">
        <v>151</v>
      </c>
      <c r="O231" s="1627" t="s">
        <v>895</v>
      </c>
      <c r="P231" s="1640">
        <f>AE15</f>
        <v>2033.72</v>
      </c>
      <c r="Q231" s="1627" t="s">
        <v>151</v>
      </c>
      <c r="R231" s="1640">
        <f>(M231*P231)</f>
        <v>18303.48</v>
      </c>
      <c r="W231" s="1634"/>
      <c r="AG231" s="1640"/>
    </row>
    <row r="232" spans="6:33" ht="24" customHeight="1">
      <c r="K232" s="1640">
        <f>SUM(K225:K230)</f>
        <v>57121.83</v>
      </c>
      <c r="M232" s="1640">
        <v>4.5</v>
      </c>
      <c r="N232" s="1638" t="s">
        <v>151</v>
      </c>
      <c r="O232" s="1627" t="s">
        <v>258</v>
      </c>
      <c r="P232" s="1640">
        <f>K40</f>
        <v>4593.8999999999996</v>
      </c>
      <c r="Q232" s="1627" t="s">
        <v>151</v>
      </c>
      <c r="R232" s="1640">
        <f>(M232*P232)</f>
        <v>20672.55</v>
      </c>
      <c r="W232" s="1634"/>
      <c r="AG232" s="1640"/>
    </row>
    <row r="233" spans="6:33" ht="24" customHeight="1">
      <c r="H233" s="1627" t="s">
        <v>263</v>
      </c>
      <c r="K233" s="1636" t="s">
        <v>21</v>
      </c>
      <c r="M233" s="1640">
        <v>1.8</v>
      </c>
      <c r="N233" s="1638" t="s">
        <v>153</v>
      </c>
      <c r="O233" s="1627" t="s">
        <v>234</v>
      </c>
      <c r="P233" s="1640">
        <f>I227</f>
        <v>1237.5999999999999</v>
      </c>
      <c r="Q233" s="1627" t="s">
        <v>153</v>
      </c>
      <c r="R233" s="1640">
        <f>(M233*P233)</f>
        <v>2227.6799999999998</v>
      </c>
      <c r="W233" s="1634"/>
      <c r="AG233" s="1640"/>
    </row>
    <row r="234" spans="6:33" ht="24" customHeight="1">
      <c r="K234" s="1639">
        <f>(K232/10)</f>
        <v>5712.183</v>
      </c>
      <c r="M234" s="1640">
        <v>17.7</v>
      </c>
      <c r="N234" s="1638" t="s">
        <v>153</v>
      </c>
      <c r="O234" s="1627" t="s">
        <v>235</v>
      </c>
      <c r="P234" s="1640">
        <f>I228</f>
        <v>865.19999999999993</v>
      </c>
      <c r="Q234" s="1627" t="s">
        <v>153</v>
      </c>
      <c r="R234" s="1640">
        <f>(M234*P234)</f>
        <v>15314.039999999999</v>
      </c>
      <c r="W234" s="1634"/>
      <c r="AG234" s="1640"/>
    </row>
    <row r="235" spans="6:33" ht="24" customHeight="1">
      <c r="H235" s="1641" t="s">
        <v>270</v>
      </c>
      <c r="K235" s="1636" t="s">
        <v>156</v>
      </c>
      <c r="M235" s="1640">
        <v>14.1</v>
      </c>
      <c r="N235" s="1638" t="s">
        <v>153</v>
      </c>
      <c r="O235" s="1627" t="s">
        <v>236</v>
      </c>
      <c r="P235" s="1640">
        <f>I229</f>
        <v>709.8</v>
      </c>
      <c r="Q235" s="1627" t="s">
        <v>153</v>
      </c>
      <c r="R235" s="1640">
        <f>(M235*P235)</f>
        <v>10008.179999999998</v>
      </c>
      <c r="W235" s="1634"/>
      <c r="AG235" s="1640"/>
    </row>
    <row r="236" spans="6:33" ht="24" customHeight="1">
      <c r="N236" s="1638" t="s">
        <v>226</v>
      </c>
      <c r="O236" s="1627" t="s">
        <v>237</v>
      </c>
      <c r="Q236" s="1627" t="s">
        <v>226</v>
      </c>
      <c r="R236" s="1640">
        <v>0</v>
      </c>
      <c r="W236" s="1634"/>
      <c r="AG236" s="1640"/>
    </row>
    <row r="237" spans="6:33" ht="24" customHeight="1">
      <c r="N237" s="1630"/>
      <c r="Q237" s="1632"/>
      <c r="R237" s="1636" t="s">
        <v>21</v>
      </c>
      <c r="W237" s="1634"/>
      <c r="AG237" s="1640"/>
    </row>
    <row r="238" spans="6:33" ht="24" customHeight="1">
      <c r="F238" s="1662">
        <v>3.6</v>
      </c>
      <c r="H238" s="1627" t="s">
        <v>5583</v>
      </c>
      <c r="N238" s="1630"/>
      <c r="Q238" s="1632"/>
      <c r="R238" s="1640">
        <f>SUM(R231:R236)</f>
        <v>66525.929999999993</v>
      </c>
      <c r="W238" s="1634"/>
      <c r="AG238" s="1640"/>
    </row>
    <row r="239" spans="6:33" ht="24" customHeight="1">
      <c r="H239" s="1627" t="s">
        <v>897</v>
      </c>
      <c r="N239" s="1630"/>
      <c r="O239" s="1627" t="s">
        <v>263</v>
      </c>
      <c r="Q239" s="1632"/>
      <c r="R239" s="1636" t="s">
        <v>21</v>
      </c>
      <c r="W239" s="1634"/>
      <c r="AG239" s="1640"/>
    </row>
    <row r="240" spans="6:33" ht="24" customHeight="1">
      <c r="H240" s="1636" t="s">
        <v>156</v>
      </c>
      <c r="N240" s="1630"/>
      <c r="Q240" s="1632"/>
      <c r="R240" s="1639">
        <f>(R238/10)</f>
        <v>6652.5929999999989</v>
      </c>
      <c r="W240" s="1634"/>
      <c r="AG240" s="1640"/>
    </row>
    <row r="241" spans="6:33" ht="24" customHeight="1">
      <c r="F241" s="1640">
        <v>1.25</v>
      </c>
      <c r="G241" s="1638" t="s">
        <v>276</v>
      </c>
      <c r="H241" s="1627" t="s">
        <v>898</v>
      </c>
      <c r="I241" s="1690">
        <f>C812</f>
        <v>3.15</v>
      </c>
      <c r="J241" s="1627" t="s">
        <v>276</v>
      </c>
      <c r="K241" s="1640">
        <f>(F241*I241)</f>
        <v>3.9375</v>
      </c>
      <c r="N241" s="1630"/>
      <c r="O241" s="1641" t="s">
        <v>270</v>
      </c>
      <c r="Q241" s="1632"/>
      <c r="R241" s="1636" t="s">
        <v>156</v>
      </c>
      <c r="W241" s="1634"/>
      <c r="AG241" s="1640"/>
    </row>
    <row r="242" spans="6:33" ht="24" customHeight="1">
      <c r="F242" s="1640">
        <v>0.75</v>
      </c>
      <c r="G242" s="1638" t="s">
        <v>276</v>
      </c>
      <c r="H242" s="1627" t="s">
        <v>899</v>
      </c>
      <c r="I242" s="1640">
        <f>AE37</f>
        <v>1881.72</v>
      </c>
      <c r="J242" s="1627" t="s">
        <v>276</v>
      </c>
      <c r="K242" s="1640">
        <f>(F242*I242)</f>
        <v>1411.29</v>
      </c>
      <c r="W242" s="1634"/>
      <c r="AG242" s="1640"/>
    </row>
    <row r="243" spans="6:33" ht="24" customHeight="1">
      <c r="F243" s="1640">
        <v>0.5</v>
      </c>
      <c r="G243" s="1638" t="s">
        <v>276</v>
      </c>
      <c r="H243" s="1627" t="s">
        <v>900</v>
      </c>
      <c r="I243" s="1640">
        <f>AE36</f>
        <v>2046.72</v>
      </c>
      <c r="J243" s="1627" t="s">
        <v>276</v>
      </c>
      <c r="K243" s="1640">
        <f>(F243*I243)</f>
        <v>1023.36</v>
      </c>
      <c r="W243" s="1634"/>
      <c r="AG243" s="1640"/>
    </row>
    <row r="244" spans="6:33" ht="24" customHeight="1">
      <c r="F244" s="1640">
        <v>0.45</v>
      </c>
      <c r="G244" s="1638" t="s">
        <v>276</v>
      </c>
      <c r="H244" s="1627" t="s">
        <v>901</v>
      </c>
      <c r="I244" s="1640">
        <f>AE38</f>
        <v>222.7</v>
      </c>
      <c r="J244" s="1627" t="s">
        <v>276</v>
      </c>
      <c r="K244" s="1640">
        <f>(F244*I244)</f>
        <v>100.215</v>
      </c>
      <c r="W244" s="1634"/>
      <c r="AG244" s="1640"/>
    </row>
    <row r="245" spans="6:33" ht="24" customHeight="1">
      <c r="F245" s="1640">
        <v>10</v>
      </c>
      <c r="G245" s="1638" t="s">
        <v>533</v>
      </c>
      <c r="H245" s="1627" t="s">
        <v>902</v>
      </c>
      <c r="I245" s="1690">
        <v>17.82</v>
      </c>
      <c r="J245" s="1627" t="s">
        <v>533</v>
      </c>
      <c r="K245" s="1640">
        <f>(F245*I245)</f>
        <v>178.2</v>
      </c>
      <c r="W245" s="1634"/>
      <c r="AG245" s="1640"/>
    </row>
    <row r="246" spans="6:33" ht="24" customHeight="1">
      <c r="H246" s="1627" t="s">
        <v>903</v>
      </c>
      <c r="K246" s="1636" t="s">
        <v>21</v>
      </c>
      <c r="W246" s="1634"/>
      <c r="AG246" s="1640"/>
    </row>
    <row r="247" spans="6:33" ht="24" customHeight="1">
      <c r="H247" s="1627" t="s">
        <v>904</v>
      </c>
      <c r="K247" s="1640">
        <f>SUM(K241:K245)</f>
        <v>2717.0025000000001</v>
      </c>
      <c r="W247" s="1634"/>
      <c r="AG247" s="1640"/>
    </row>
    <row r="248" spans="6:33" ht="24" customHeight="1">
      <c r="K248" s="1636" t="s">
        <v>21</v>
      </c>
      <c r="W248" s="1634"/>
      <c r="AG248" s="1640"/>
    </row>
    <row r="249" spans="6:33" ht="24" customHeight="1">
      <c r="H249" s="1641" t="s">
        <v>905</v>
      </c>
      <c r="K249" s="1639">
        <f>K247/10</f>
        <v>271.70024999999998</v>
      </c>
      <c r="W249" s="1634"/>
      <c r="AG249" s="1640"/>
    </row>
    <row r="250" spans="6:33" ht="24" customHeight="1">
      <c r="K250" s="1636" t="s">
        <v>156</v>
      </c>
      <c r="W250" s="1634"/>
      <c r="AG250" s="1640"/>
    </row>
    <row r="251" spans="6:33" ht="24" customHeight="1">
      <c r="W251" s="1634"/>
      <c r="AG251" s="1640"/>
    </row>
    <row r="252" spans="6:33" ht="24" customHeight="1">
      <c r="F252" s="1662">
        <v>3.7</v>
      </c>
      <c r="H252" s="1627" t="s">
        <v>5584</v>
      </c>
      <c r="W252" s="1634"/>
      <c r="AG252" s="1640"/>
    </row>
    <row r="253" spans="6:33" ht="24" customHeight="1">
      <c r="H253" s="1636" t="s">
        <v>21</v>
      </c>
      <c r="W253" s="1634"/>
      <c r="AG253" s="1640"/>
    </row>
    <row r="254" spans="6:33" ht="24" customHeight="1">
      <c r="F254" s="1640">
        <v>2.7</v>
      </c>
      <c r="G254" s="1638" t="s">
        <v>276</v>
      </c>
      <c r="H254" s="1627" t="s">
        <v>907</v>
      </c>
      <c r="I254" s="1640">
        <f>AE35</f>
        <v>1926.72</v>
      </c>
      <c r="J254" s="1627" t="s">
        <v>276</v>
      </c>
      <c r="K254" s="1640">
        <f>(F254*I254)</f>
        <v>5202.1440000000002</v>
      </c>
      <c r="W254" s="1634"/>
      <c r="AG254" s="1640"/>
    </row>
    <row r="255" spans="6:33" ht="24" customHeight="1">
      <c r="F255" s="1692">
        <v>0.14499999999999999</v>
      </c>
      <c r="G255" s="1638" t="s">
        <v>276</v>
      </c>
      <c r="H255" s="1627" t="s">
        <v>908</v>
      </c>
      <c r="I255" s="1640">
        <f>AE17</f>
        <v>2265.5</v>
      </c>
      <c r="J255" s="1627" t="s">
        <v>276</v>
      </c>
      <c r="K255" s="1640">
        <f>(F255*I255)</f>
        <v>328.4975</v>
      </c>
      <c r="W255" s="1634"/>
      <c r="AG255" s="1640"/>
    </row>
    <row r="256" spans="6:33" ht="24" customHeight="1">
      <c r="F256" s="1640">
        <v>218.8</v>
      </c>
      <c r="G256" s="1638" t="s">
        <v>534</v>
      </c>
      <c r="H256" s="1627" t="s">
        <v>909</v>
      </c>
      <c r="I256" s="1640">
        <f>C142</f>
        <v>43563.69</v>
      </c>
      <c r="J256" s="1627" t="s">
        <v>277</v>
      </c>
      <c r="K256" s="1640">
        <f>(F256*I256)/1000</f>
        <v>9531.735372000001</v>
      </c>
      <c r="W256" s="1634"/>
      <c r="AG256" s="1640"/>
    </row>
    <row r="257" spans="1:35" ht="24" customHeight="1">
      <c r="F257" s="1640">
        <v>100</v>
      </c>
      <c r="G257" s="1638" t="s">
        <v>533</v>
      </c>
      <c r="H257" s="1627" t="s">
        <v>910</v>
      </c>
      <c r="I257" s="1690">
        <v>14.3</v>
      </c>
      <c r="J257" s="1627" t="s">
        <v>533</v>
      </c>
      <c r="K257" s="1640">
        <f>(F257*I257)</f>
        <v>1430</v>
      </c>
      <c r="W257" s="1634"/>
      <c r="AG257" s="1640"/>
    </row>
    <row r="258" spans="1:35" ht="24" customHeight="1">
      <c r="K258" s="1636" t="s">
        <v>21</v>
      </c>
      <c r="W258" s="1634"/>
      <c r="AG258" s="1640"/>
    </row>
    <row r="259" spans="1:35" ht="24" customHeight="1">
      <c r="H259" s="1627" t="s">
        <v>911</v>
      </c>
      <c r="K259" s="1640">
        <f>SUM(K254:K257)</f>
        <v>16492.376872000001</v>
      </c>
      <c r="W259" s="1634"/>
      <c r="AG259" s="1640"/>
    </row>
    <row r="260" spans="1:35" ht="24" customHeight="1">
      <c r="K260" s="1636" t="s">
        <v>21</v>
      </c>
      <c r="W260" s="1634"/>
      <c r="AG260" s="1640"/>
    </row>
    <row r="261" spans="1:35" ht="24" customHeight="1">
      <c r="H261" s="1641" t="s">
        <v>905</v>
      </c>
      <c r="K261" s="1639">
        <f>K259/100</f>
        <v>164.92376872</v>
      </c>
      <c r="W261" s="1634"/>
      <c r="AG261" s="1640"/>
    </row>
    <row r="262" spans="1:35" ht="24" customHeight="1">
      <c r="F262" s="1627" t="s">
        <v>150</v>
      </c>
      <c r="G262" s="1638" t="s">
        <v>150</v>
      </c>
      <c r="K262" s="1636" t="s">
        <v>156</v>
      </c>
      <c r="W262" s="1634"/>
      <c r="AG262" s="1640"/>
    </row>
    <row r="263" spans="1:35" ht="24" customHeight="1">
      <c r="W263" s="1634"/>
      <c r="AG263" s="1640"/>
    </row>
    <row r="264" spans="1:35" ht="24" customHeight="1">
      <c r="W264" s="1634"/>
      <c r="AG264" s="1640"/>
    </row>
    <row r="265" spans="1:35" ht="24" customHeight="1">
      <c r="A265" s="1647">
        <f>(A206+1)</f>
        <v>105</v>
      </c>
      <c r="B265" s="1653" t="s">
        <v>5128</v>
      </c>
      <c r="C265" s="1640">
        <v>140.65</v>
      </c>
      <c r="D265" s="1627" t="s">
        <v>4</v>
      </c>
      <c r="F265" s="1628" t="s">
        <v>913</v>
      </c>
      <c r="H265" s="1627" t="s">
        <v>914</v>
      </c>
      <c r="N265" s="1627" t="s">
        <v>230</v>
      </c>
      <c r="O265" s="1627" t="s">
        <v>915</v>
      </c>
      <c r="W265" s="1634"/>
      <c r="AG265" s="1640"/>
      <c r="AI265" s="1627"/>
    </row>
    <row r="266" spans="1:35" ht="24" customHeight="1">
      <c r="A266" s="1647">
        <f t="shared" ref="A266:A280" si="24">(A265+1)</f>
        <v>106</v>
      </c>
      <c r="B266" s="1653" t="s">
        <v>5585</v>
      </c>
      <c r="C266" s="1640">
        <v>170.35</v>
      </c>
      <c r="D266" s="1627" t="s">
        <v>4</v>
      </c>
      <c r="H266" s="1636" t="s">
        <v>156</v>
      </c>
      <c r="O266" s="1636" t="s">
        <v>21</v>
      </c>
      <c r="W266" s="1634"/>
      <c r="AG266" s="1640"/>
      <c r="AI266" s="1627"/>
    </row>
    <row r="267" spans="1:35" ht="24" customHeight="1">
      <c r="A267" s="1647">
        <f t="shared" si="24"/>
        <v>107</v>
      </c>
      <c r="B267" s="1667" t="s">
        <v>5586</v>
      </c>
      <c r="C267" s="1640">
        <v>63</v>
      </c>
      <c r="D267" s="1640">
        <v>156</v>
      </c>
      <c r="E267" s="1629" t="s">
        <v>5587</v>
      </c>
      <c r="G267" s="1638" t="s">
        <v>249</v>
      </c>
      <c r="H267" s="1627" t="s">
        <v>918</v>
      </c>
      <c r="M267" s="1640">
        <v>1.1399999999999999</v>
      </c>
      <c r="N267" s="1627" t="s">
        <v>151</v>
      </c>
      <c r="O267" s="1627" t="s">
        <v>850</v>
      </c>
      <c r="P267" s="1640">
        <f>(K420)</f>
        <v>7835.5436999999993</v>
      </c>
      <c r="Q267" s="1627" t="s">
        <v>153</v>
      </c>
      <c r="R267" s="1640">
        <f>(M267*P267)</f>
        <v>8932.5198179999988</v>
      </c>
      <c r="W267" s="1634"/>
      <c r="AG267" s="1640"/>
      <c r="AI267" s="1627"/>
    </row>
    <row r="268" spans="1:35" ht="39" customHeight="1">
      <c r="A268" s="1647">
        <f t="shared" si="24"/>
        <v>108</v>
      </c>
      <c r="B268" s="1680" t="s">
        <v>5588</v>
      </c>
      <c r="C268" s="1640">
        <v>17600</v>
      </c>
      <c r="D268" s="1627" t="s">
        <v>151</v>
      </c>
      <c r="H268" s="1627" t="s">
        <v>920</v>
      </c>
      <c r="M268" s="1640">
        <v>1</v>
      </c>
      <c r="N268" s="1627" t="s">
        <v>4</v>
      </c>
      <c r="O268" s="1627" t="s">
        <v>269</v>
      </c>
      <c r="P268" s="1640">
        <f>(C10)</f>
        <v>1325.8</v>
      </c>
      <c r="Q268" s="1627" t="s">
        <v>153</v>
      </c>
      <c r="R268" s="1640">
        <f>(M268*P268)</f>
        <v>1325.8</v>
      </c>
      <c r="W268" s="1634"/>
      <c r="AG268" s="1640"/>
      <c r="AI268" s="1627"/>
    </row>
    <row r="269" spans="1:35" ht="24" customHeight="1">
      <c r="A269" s="1647">
        <f t="shared" si="24"/>
        <v>109</v>
      </c>
      <c r="B269" s="1627" t="s">
        <v>5589</v>
      </c>
      <c r="C269" s="1640">
        <v>15500</v>
      </c>
      <c r="D269" s="1627" t="s">
        <v>151</v>
      </c>
      <c r="H269" s="1636" t="s">
        <v>21</v>
      </c>
      <c r="N269" s="1627" t="s">
        <v>226</v>
      </c>
      <c r="O269" s="1627" t="s">
        <v>237</v>
      </c>
      <c r="P269" s="1627" t="s">
        <v>150</v>
      </c>
      <c r="Q269" s="1627" t="s">
        <v>226</v>
      </c>
      <c r="R269" s="1640">
        <v>0.05</v>
      </c>
      <c r="W269" s="1634"/>
      <c r="AG269" s="1640"/>
      <c r="AI269" s="1627"/>
    </row>
    <row r="270" spans="1:35" ht="24" customHeight="1">
      <c r="A270" s="1647">
        <f t="shared" si="24"/>
        <v>110</v>
      </c>
      <c r="B270" s="1627" t="s">
        <v>5590</v>
      </c>
      <c r="C270" s="1640">
        <v>25.2</v>
      </c>
      <c r="D270" s="1627" t="s">
        <v>4</v>
      </c>
      <c r="F270" s="1640">
        <v>9</v>
      </c>
      <c r="G270" s="1638" t="s">
        <v>151</v>
      </c>
      <c r="H270" s="1627" t="s">
        <v>923</v>
      </c>
      <c r="I270" s="1640">
        <f>(C73)</f>
        <v>2446.7200000000003</v>
      </c>
      <c r="J270" s="1627" t="s">
        <v>151</v>
      </c>
      <c r="K270" s="1640">
        <f t="shared" ref="K270:K275" si="25">(F270*I270)</f>
        <v>22020.480000000003</v>
      </c>
      <c r="R270" s="1636" t="s">
        <v>21</v>
      </c>
      <c r="W270" s="1634"/>
      <c r="AG270" s="1640"/>
      <c r="AI270" s="1627"/>
    </row>
    <row r="271" spans="1:35" ht="24" customHeight="1">
      <c r="A271" s="1647">
        <f t="shared" si="24"/>
        <v>111</v>
      </c>
      <c r="B271" s="1627" t="s">
        <v>5129</v>
      </c>
      <c r="C271" s="1640">
        <v>49.85</v>
      </c>
      <c r="D271" s="1627" t="s">
        <v>13</v>
      </c>
      <c r="E271" s="1629">
        <v>158</v>
      </c>
      <c r="F271" s="1658">
        <v>3.2309999999999999</v>
      </c>
      <c r="G271" s="1638" t="s">
        <v>251</v>
      </c>
      <c r="H271" s="1627" t="s">
        <v>252</v>
      </c>
      <c r="I271" s="1640">
        <f>(C67)</f>
        <v>6040</v>
      </c>
      <c r="J271" s="1627" t="s">
        <v>251</v>
      </c>
      <c r="K271" s="1640">
        <f t="shared" si="25"/>
        <v>19515.239999999998</v>
      </c>
      <c r="O271" s="1627" t="s">
        <v>238</v>
      </c>
      <c r="R271" s="1640">
        <f>SUM(R267:R269)</f>
        <v>10258.369817999997</v>
      </c>
      <c r="W271" s="1634"/>
      <c r="AG271" s="1640"/>
      <c r="AI271" s="1627"/>
    </row>
    <row r="272" spans="1:35" ht="24" customHeight="1">
      <c r="A272" s="1647">
        <f t="shared" si="24"/>
        <v>112</v>
      </c>
      <c r="B272" s="1627" t="s">
        <v>5130</v>
      </c>
      <c r="C272" s="1640">
        <v>306.89999999999998</v>
      </c>
      <c r="D272" s="1640">
        <v>452.09</v>
      </c>
      <c r="E272" s="1629">
        <v>250</v>
      </c>
      <c r="F272" s="1640">
        <v>4.5</v>
      </c>
      <c r="G272" s="1638" t="s">
        <v>151</v>
      </c>
      <c r="H272" s="1627" t="s">
        <v>253</v>
      </c>
      <c r="I272" s="1640">
        <f>(C78)</f>
        <v>2265.5</v>
      </c>
      <c r="J272" s="1627" t="s">
        <v>151</v>
      </c>
      <c r="K272" s="1640">
        <f t="shared" si="25"/>
        <v>10194.75</v>
      </c>
      <c r="R272" s="1636" t="s">
        <v>21</v>
      </c>
      <c r="W272" s="1634"/>
      <c r="AG272" s="1640"/>
      <c r="AI272" s="1627"/>
    </row>
    <row r="273" spans="1:35" ht="24" customHeight="1">
      <c r="A273" s="1647">
        <f t="shared" si="24"/>
        <v>113</v>
      </c>
      <c r="B273" s="1627" t="s">
        <v>5131</v>
      </c>
      <c r="C273" s="1640">
        <v>144.1</v>
      </c>
      <c r="D273" s="1627" t="s">
        <v>552</v>
      </c>
      <c r="F273" s="1640">
        <v>3.5</v>
      </c>
      <c r="G273" s="1638" t="s">
        <v>153</v>
      </c>
      <c r="H273" s="1627" t="s">
        <v>234</v>
      </c>
      <c r="I273" s="1640">
        <f>(C11)</f>
        <v>1237.5999999999999</v>
      </c>
      <c r="J273" s="1627" t="s">
        <v>153</v>
      </c>
      <c r="K273" s="1640">
        <f t="shared" si="25"/>
        <v>4331.5999999999995</v>
      </c>
      <c r="O273" s="1627" t="s">
        <v>155</v>
      </c>
      <c r="R273" s="1640">
        <f>(R271/10)</f>
        <v>1025.8369817999996</v>
      </c>
      <c r="W273" s="1634"/>
      <c r="AG273" s="1640"/>
      <c r="AI273" s="1627"/>
    </row>
    <row r="274" spans="1:35" ht="24" customHeight="1">
      <c r="A274" s="1647">
        <f t="shared" si="24"/>
        <v>114</v>
      </c>
      <c r="B274" s="1627" t="s">
        <v>5132</v>
      </c>
      <c r="C274" s="1640">
        <v>52.3</v>
      </c>
      <c r="D274" s="1627" t="s">
        <v>4</v>
      </c>
      <c r="F274" s="1640">
        <v>21.2</v>
      </c>
      <c r="G274" s="1638" t="s">
        <v>153</v>
      </c>
      <c r="H274" s="1627" t="s">
        <v>235</v>
      </c>
      <c r="I274" s="1640">
        <f>(C12)</f>
        <v>865.19999999999993</v>
      </c>
      <c r="J274" s="1627" t="s">
        <v>153</v>
      </c>
      <c r="K274" s="1640">
        <f t="shared" si="25"/>
        <v>18342.239999999998</v>
      </c>
      <c r="R274" s="1636" t="s">
        <v>156</v>
      </c>
      <c r="W274" s="1634"/>
      <c r="Z274" s="1633"/>
      <c r="AA274" s="1633"/>
      <c r="AB274" s="1633"/>
      <c r="AG274" s="1640"/>
      <c r="AI274" s="1627"/>
    </row>
    <row r="275" spans="1:35" ht="24" customHeight="1">
      <c r="A275" s="1647">
        <f t="shared" si="24"/>
        <v>115</v>
      </c>
      <c r="B275" s="1627" t="s">
        <v>5133</v>
      </c>
      <c r="C275" s="1640">
        <v>45.7</v>
      </c>
      <c r="D275" s="1627" t="s">
        <v>4</v>
      </c>
      <c r="F275" s="1640">
        <v>35.299999999999997</v>
      </c>
      <c r="G275" s="1638" t="s">
        <v>153</v>
      </c>
      <c r="H275" s="1627" t="s">
        <v>236</v>
      </c>
      <c r="I275" s="1640">
        <f>(C13)</f>
        <v>709.8</v>
      </c>
      <c r="J275" s="1627" t="s">
        <v>153</v>
      </c>
      <c r="K275" s="1640">
        <f t="shared" si="25"/>
        <v>25055.939999999995</v>
      </c>
      <c r="N275" s="1627" t="s">
        <v>929</v>
      </c>
      <c r="O275" s="1627" t="s">
        <v>271</v>
      </c>
      <c r="R275" s="1640">
        <f>(R273+C19/10*M267)</f>
        <v>1037.7750617999995</v>
      </c>
      <c r="W275" s="1634"/>
      <c r="Z275" s="1633"/>
      <c r="AA275" s="1633"/>
      <c r="AB275" s="1633"/>
      <c r="AG275" s="1640"/>
      <c r="AI275" s="1627"/>
    </row>
    <row r="276" spans="1:35" ht="24" customHeight="1">
      <c r="A276" s="1647">
        <f t="shared" si="24"/>
        <v>116</v>
      </c>
      <c r="B276" s="1627" t="s">
        <v>930</v>
      </c>
      <c r="C276" s="1640">
        <v>16.440000000000001</v>
      </c>
      <c r="D276" s="1627" t="s">
        <v>4</v>
      </c>
      <c r="G276" s="1638" t="s">
        <v>226</v>
      </c>
      <c r="H276" s="1627" t="s">
        <v>237</v>
      </c>
      <c r="I276" s="1627" t="s">
        <v>150</v>
      </c>
      <c r="J276" s="1627" t="s">
        <v>226</v>
      </c>
      <c r="K276" s="1640">
        <v>0</v>
      </c>
      <c r="N276" s="1627" t="s">
        <v>931</v>
      </c>
      <c r="O276" s="1627" t="s">
        <v>272</v>
      </c>
      <c r="R276" s="1640">
        <f>(R275+C20/10*M267)</f>
        <v>1061.8587017999996</v>
      </c>
      <c r="W276" s="1634"/>
      <c r="Z276" s="1633"/>
      <c r="AA276" s="1633"/>
      <c r="AB276" s="1633"/>
      <c r="AG276" s="1640"/>
      <c r="AI276" s="1627"/>
    </row>
    <row r="277" spans="1:35" ht="24" customHeight="1">
      <c r="A277" s="1647">
        <f t="shared" si="24"/>
        <v>117</v>
      </c>
      <c r="B277" s="1627" t="s">
        <v>5134</v>
      </c>
      <c r="C277" s="1640">
        <v>32.1</v>
      </c>
      <c r="D277" s="1640">
        <v>6.25</v>
      </c>
      <c r="K277" s="1636" t="s">
        <v>21</v>
      </c>
      <c r="N277" s="1627" t="s">
        <v>933</v>
      </c>
      <c r="O277" s="1627" t="s">
        <v>767</v>
      </c>
      <c r="R277" s="1640">
        <f>(R276+C21/10*M267)</f>
        <v>1085.9423417999997</v>
      </c>
      <c r="W277" s="1634"/>
      <c r="Z277" s="1633"/>
      <c r="AA277" s="1633"/>
      <c r="AB277" s="1633"/>
      <c r="AG277" s="1640"/>
      <c r="AI277" s="1627"/>
    </row>
    <row r="278" spans="1:35" ht="24" customHeight="1">
      <c r="A278" s="1647">
        <f t="shared" si="24"/>
        <v>118</v>
      </c>
      <c r="B278" s="1627" t="s">
        <v>5135</v>
      </c>
      <c r="C278" s="1640">
        <v>364.6</v>
      </c>
      <c r="D278" s="1627" t="s">
        <v>152</v>
      </c>
      <c r="H278" s="1627" t="s">
        <v>935</v>
      </c>
      <c r="K278" s="1640">
        <f>SUM(K270:K276)</f>
        <v>99460.25</v>
      </c>
      <c r="N278" s="1627" t="s">
        <v>936</v>
      </c>
      <c r="O278" s="1627" t="s">
        <v>769</v>
      </c>
      <c r="R278" s="1640">
        <f>(R277+C21/10*M267)</f>
        <v>1110.0259817999997</v>
      </c>
      <c r="W278" s="1634"/>
      <c r="Z278" s="1633"/>
      <c r="AA278" s="1633"/>
      <c r="AB278" s="1633"/>
      <c r="AG278" s="1640"/>
      <c r="AI278" s="1627"/>
    </row>
    <row r="279" spans="1:35" ht="24" customHeight="1">
      <c r="A279" s="1647">
        <f t="shared" si="24"/>
        <v>119</v>
      </c>
      <c r="B279" s="1627" t="s">
        <v>5136</v>
      </c>
      <c r="C279" s="1640">
        <v>89.6</v>
      </c>
      <c r="D279" s="1627" t="s">
        <v>4</v>
      </c>
      <c r="K279" s="1636" t="s">
        <v>21</v>
      </c>
      <c r="W279" s="1634"/>
      <c r="AA279" s="1633"/>
      <c r="AB279" s="1633"/>
      <c r="AG279" s="1640"/>
      <c r="AI279" s="1627"/>
    </row>
    <row r="280" spans="1:35" ht="24" customHeight="1">
      <c r="A280" s="1647">
        <f t="shared" si="24"/>
        <v>120</v>
      </c>
      <c r="B280" s="1627" t="s">
        <v>5137</v>
      </c>
      <c r="C280" s="1640">
        <v>71.900000000000006</v>
      </c>
      <c r="D280" s="1627" t="s">
        <v>4</v>
      </c>
      <c r="H280" s="1641" t="s">
        <v>270</v>
      </c>
      <c r="K280" s="1639">
        <f>(K278/10)</f>
        <v>9946.0249999999996</v>
      </c>
      <c r="R280" s="1627" t="s">
        <v>150</v>
      </c>
      <c r="W280" s="1634"/>
      <c r="AG280" s="1640"/>
      <c r="AI280" s="1627"/>
    </row>
    <row r="281" spans="1:35" ht="24" customHeight="1">
      <c r="F281" s="1627" t="s">
        <v>150</v>
      </c>
      <c r="N281" s="1627" t="s">
        <v>230</v>
      </c>
      <c r="O281" s="1627" t="s">
        <v>939</v>
      </c>
      <c r="W281" s="1634"/>
      <c r="AG281" s="1640"/>
    </row>
    <row r="282" spans="1:35" ht="24" customHeight="1">
      <c r="A282" s="1647">
        <f>(A280+1)</f>
        <v>121</v>
      </c>
      <c r="B282" s="1627" t="s">
        <v>5138</v>
      </c>
      <c r="C282" s="1640">
        <v>49.35</v>
      </c>
      <c r="D282" s="1627" t="s">
        <v>4</v>
      </c>
      <c r="O282" s="1627" t="s">
        <v>941</v>
      </c>
      <c r="W282" s="1634"/>
      <c r="AG282" s="1640"/>
      <c r="AI282" s="1627"/>
    </row>
    <row r="283" spans="1:35" ht="24" customHeight="1">
      <c r="A283" s="1647">
        <f t="shared" ref="A283:A346" si="26">(A282+1)</f>
        <v>122</v>
      </c>
      <c r="B283" s="1627" t="s">
        <v>5139</v>
      </c>
      <c r="C283" s="1640">
        <v>39.85</v>
      </c>
      <c r="D283" s="1627" t="s">
        <v>4</v>
      </c>
      <c r="F283" s="1640">
        <v>1</v>
      </c>
      <c r="G283" s="1638" t="s">
        <v>151</v>
      </c>
      <c r="H283" s="1627" t="s">
        <v>943</v>
      </c>
      <c r="K283" s="1640">
        <f>(C25)</f>
        <v>125.16</v>
      </c>
      <c r="O283" s="1636" t="s">
        <v>21</v>
      </c>
      <c r="W283" s="1634"/>
      <c r="AG283" s="1640"/>
      <c r="AI283" s="1627"/>
    </row>
    <row r="284" spans="1:35" ht="24" customHeight="1">
      <c r="A284" s="1647">
        <f t="shared" si="26"/>
        <v>123</v>
      </c>
      <c r="B284" s="1627" t="s">
        <v>5140</v>
      </c>
      <c r="C284" s="1640">
        <v>64.8</v>
      </c>
      <c r="D284" s="1627" t="s">
        <v>4</v>
      </c>
      <c r="K284" s="1636" t="s">
        <v>21</v>
      </c>
      <c r="M284" s="1640">
        <v>10</v>
      </c>
      <c r="N284" s="1627" t="s">
        <v>152</v>
      </c>
      <c r="O284" s="1627" t="s">
        <v>945</v>
      </c>
      <c r="P284" s="1640">
        <f>(K1241)</f>
        <v>1544.4301999999998</v>
      </c>
      <c r="Q284" s="1627" t="s">
        <v>152</v>
      </c>
      <c r="R284" s="1640">
        <f>(M284*P284)</f>
        <v>15444.301999999998</v>
      </c>
      <c r="W284" s="1634"/>
      <c r="AG284" s="1640"/>
      <c r="AI284" s="1627"/>
    </row>
    <row r="285" spans="1:35" ht="24" customHeight="1">
      <c r="A285" s="1647">
        <f t="shared" si="26"/>
        <v>124</v>
      </c>
      <c r="B285" s="1627" t="s">
        <v>5141</v>
      </c>
      <c r="C285" s="1640">
        <v>39.700000000000003</v>
      </c>
      <c r="D285" s="1627" t="s">
        <v>4</v>
      </c>
      <c r="E285" s="1629">
        <v>57</v>
      </c>
      <c r="H285" s="1627" t="s">
        <v>947</v>
      </c>
      <c r="K285" s="1639">
        <f>SUM(K280:K283)</f>
        <v>10071.184999999999</v>
      </c>
      <c r="M285" s="1640">
        <v>1.1000000000000001</v>
      </c>
      <c r="N285" s="1627" t="s">
        <v>153</v>
      </c>
      <c r="O285" s="1627" t="s">
        <v>234</v>
      </c>
      <c r="P285" s="1640">
        <f>(C11)</f>
        <v>1237.5999999999999</v>
      </c>
      <c r="Q285" s="1627" t="s">
        <v>153</v>
      </c>
      <c r="R285" s="1640">
        <f>(M285*P285)</f>
        <v>1361.36</v>
      </c>
      <c r="W285" s="1634"/>
      <c r="AG285" s="1640"/>
      <c r="AI285" s="1627"/>
    </row>
    <row r="286" spans="1:35" ht="24" customHeight="1">
      <c r="A286" s="1647">
        <f t="shared" si="26"/>
        <v>125</v>
      </c>
      <c r="B286" s="1627" t="s">
        <v>5142</v>
      </c>
      <c r="C286" s="1640">
        <v>181</v>
      </c>
      <c r="D286" s="1627" t="s">
        <v>4</v>
      </c>
      <c r="K286" s="1636" t="s">
        <v>21</v>
      </c>
      <c r="M286" s="1640">
        <v>1.1000000000000001</v>
      </c>
      <c r="N286" s="1627" t="s">
        <v>153</v>
      </c>
      <c r="O286" s="1627" t="s">
        <v>235</v>
      </c>
      <c r="P286" s="1640">
        <f>(C12)</f>
        <v>865.19999999999993</v>
      </c>
      <c r="Q286" s="1627" t="s">
        <v>153</v>
      </c>
      <c r="R286" s="1640">
        <f>(M286*P286)</f>
        <v>951.72</v>
      </c>
      <c r="W286" s="1634"/>
      <c r="AG286" s="1640"/>
      <c r="AI286" s="1627"/>
    </row>
    <row r="287" spans="1:35" ht="24" customHeight="1">
      <c r="A287" s="1647">
        <f t="shared" si="26"/>
        <v>126</v>
      </c>
      <c r="B287" s="1627" t="s">
        <v>5143</v>
      </c>
      <c r="C287" s="1640">
        <v>101.6</v>
      </c>
      <c r="D287" s="1627" t="s">
        <v>4</v>
      </c>
      <c r="H287" s="1627" t="s">
        <v>271</v>
      </c>
      <c r="K287" s="1639">
        <f>(K285+C22)</f>
        <v>10230.225</v>
      </c>
      <c r="L287" s="1629">
        <v>54</v>
      </c>
      <c r="M287" s="1640">
        <v>1.1000000000000001</v>
      </c>
      <c r="N287" s="1627" t="s">
        <v>153</v>
      </c>
      <c r="O287" s="1627" t="s">
        <v>646</v>
      </c>
      <c r="P287" s="1640">
        <f>(C13)</f>
        <v>709.8</v>
      </c>
      <c r="Q287" s="1627" t="s">
        <v>153</v>
      </c>
      <c r="R287" s="1640">
        <f>(M287*P287)</f>
        <v>780.78</v>
      </c>
      <c r="W287" s="1634"/>
      <c r="AG287" s="1640"/>
      <c r="AI287" s="1627"/>
    </row>
    <row r="288" spans="1:35" ht="24" customHeight="1">
      <c r="A288" s="1647">
        <f t="shared" si="26"/>
        <v>127</v>
      </c>
      <c r="B288" s="1627" t="s">
        <v>950</v>
      </c>
      <c r="C288" s="1640">
        <v>7.3</v>
      </c>
      <c r="D288" s="1627" t="s">
        <v>4</v>
      </c>
      <c r="H288" s="1627" t="s">
        <v>272</v>
      </c>
      <c r="K288" s="1639">
        <f>(K287+C23)</f>
        <v>10543.545</v>
      </c>
      <c r="L288" s="1629">
        <v>107</v>
      </c>
      <c r="R288" s="1636" t="s">
        <v>21</v>
      </c>
      <c r="W288" s="1634"/>
      <c r="AG288" s="1640"/>
      <c r="AI288" s="1627"/>
    </row>
    <row r="289" spans="1:35" ht="24" customHeight="1">
      <c r="A289" s="1647">
        <f t="shared" si="26"/>
        <v>128</v>
      </c>
      <c r="B289" s="1627" t="s">
        <v>951</v>
      </c>
      <c r="C289" s="1640">
        <v>7.3</v>
      </c>
      <c r="D289" s="1627" t="s">
        <v>4</v>
      </c>
      <c r="H289" s="1627" t="s">
        <v>767</v>
      </c>
      <c r="K289" s="1639">
        <f>(K288+C24)</f>
        <v>10856.865</v>
      </c>
      <c r="O289" s="1627" t="s">
        <v>238</v>
      </c>
      <c r="R289" s="1640">
        <f>SUM(R284:R287)</f>
        <v>18538.161999999997</v>
      </c>
      <c r="W289" s="1634"/>
      <c r="AG289" s="1640"/>
      <c r="AI289" s="1627"/>
    </row>
    <row r="290" spans="1:35" ht="24" customHeight="1">
      <c r="A290" s="1647">
        <f t="shared" si="26"/>
        <v>129</v>
      </c>
      <c r="B290" s="1627" t="s">
        <v>952</v>
      </c>
      <c r="C290" s="1640">
        <v>2.9</v>
      </c>
      <c r="D290" s="1627" t="s">
        <v>953</v>
      </c>
      <c r="H290" s="1627" t="s">
        <v>769</v>
      </c>
      <c r="K290" s="1639">
        <f>(K289+C24)</f>
        <v>11170.184999999999</v>
      </c>
      <c r="R290" s="1636" t="s">
        <v>21</v>
      </c>
      <c r="W290" s="1634"/>
      <c r="AG290" s="1640"/>
      <c r="AI290" s="1627"/>
    </row>
    <row r="291" spans="1:35" ht="24" customHeight="1">
      <c r="A291" s="1647">
        <f t="shared" si="26"/>
        <v>130</v>
      </c>
      <c r="B291" s="1627" t="s">
        <v>954</v>
      </c>
      <c r="C291" s="1640">
        <v>11.8</v>
      </c>
      <c r="D291" s="1627" t="s">
        <v>953</v>
      </c>
      <c r="H291" s="1627" t="s">
        <v>773</v>
      </c>
      <c r="K291" s="1639">
        <f>(K290+C24)</f>
        <v>11483.504999999999</v>
      </c>
      <c r="O291" s="1627" t="s">
        <v>155</v>
      </c>
      <c r="R291" s="1640">
        <f>(R289/10)</f>
        <v>1853.8161999999998</v>
      </c>
      <c r="W291" s="1634"/>
      <c r="AG291" s="1640"/>
      <c r="AI291" s="1627"/>
    </row>
    <row r="292" spans="1:35" ht="24" customHeight="1">
      <c r="A292" s="1647">
        <f t="shared" si="26"/>
        <v>131</v>
      </c>
      <c r="B292" s="1627" t="s">
        <v>955</v>
      </c>
      <c r="C292" s="1640">
        <v>8.9</v>
      </c>
      <c r="D292" s="1627" t="s">
        <v>4</v>
      </c>
      <c r="R292" s="1636" t="s">
        <v>156</v>
      </c>
      <c r="W292" s="1634"/>
      <c r="AG292" s="1640"/>
      <c r="AI292" s="1627"/>
    </row>
    <row r="293" spans="1:35" ht="24" customHeight="1">
      <c r="A293" s="1647">
        <f t="shared" si="26"/>
        <v>132</v>
      </c>
      <c r="B293" s="1627" t="s">
        <v>956</v>
      </c>
      <c r="C293" s="1640">
        <v>6.1</v>
      </c>
      <c r="D293" s="1627" t="s">
        <v>4</v>
      </c>
      <c r="F293" s="1628" t="s">
        <v>419</v>
      </c>
      <c r="G293" s="1638" t="s">
        <v>249</v>
      </c>
      <c r="H293" s="1627" t="s">
        <v>957</v>
      </c>
      <c r="W293" s="1634"/>
      <c r="AG293" s="1640"/>
      <c r="AI293" s="1627"/>
    </row>
    <row r="294" spans="1:35" ht="24" customHeight="1">
      <c r="A294" s="1647">
        <f t="shared" si="26"/>
        <v>133</v>
      </c>
      <c r="B294" s="1627" t="s">
        <v>958</v>
      </c>
      <c r="C294" s="1640">
        <v>5.75</v>
      </c>
      <c r="D294" s="1627" t="s">
        <v>4</v>
      </c>
      <c r="H294" s="1636" t="s">
        <v>156</v>
      </c>
      <c r="N294" s="1627" t="s">
        <v>249</v>
      </c>
      <c r="O294" s="1627" t="s">
        <v>959</v>
      </c>
      <c r="W294" s="1634"/>
      <c r="AG294" s="1640"/>
      <c r="AI294" s="1627"/>
    </row>
    <row r="295" spans="1:35" ht="24" customHeight="1">
      <c r="A295" s="1647">
        <f t="shared" si="26"/>
        <v>134</v>
      </c>
      <c r="B295" s="1627" t="s">
        <v>960</v>
      </c>
      <c r="C295" s="1640">
        <v>8.5</v>
      </c>
      <c r="D295" s="1627" t="s">
        <v>4</v>
      </c>
      <c r="F295" s="1640">
        <v>10</v>
      </c>
      <c r="G295" s="1638" t="s">
        <v>151</v>
      </c>
      <c r="H295" s="1627" t="s">
        <v>961</v>
      </c>
      <c r="I295" s="1640">
        <f>(C68)</f>
        <v>1429.12</v>
      </c>
      <c r="J295" s="1627" t="s">
        <v>151</v>
      </c>
      <c r="K295" s="1640">
        <f t="shared" ref="K295:K301" si="27">(F295*I295)</f>
        <v>14291.199999999999</v>
      </c>
      <c r="O295" s="1636" t="s">
        <v>21</v>
      </c>
      <c r="W295" s="1634"/>
      <c r="AG295" s="1640"/>
      <c r="AI295" s="1627"/>
    </row>
    <row r="296" spans="1:35" ht="24" customHeight="1">
      <c r="A296" s="1647">
        <f t="shared" si="26"/>
        <v>135</v>
      </c>
      <c r="B296" s="1627" t="s">
        <v>962</v>
      </c>
      <c r="C296" s="1640">
        <v>10</v>
      </c>
      <c r="D296" s="1627" t="s">
        <v>4</v>
      </c>
      <c r="F296" s="1640">
        <v>1</v>
      </c>
      <c r="G296" s="1638" t="s">
        <v>151</v>
      </c>
      <c r="H296" s="1627" t="s">
        <v>754</v>
      </c>
      <c r="I296" s="1640">
        <f>(C69)</f>
        <v>1628.12</v>
      </c>
      <c r="J296" s="1627" t="s">
        <v>151</v>
      </c>
      <c r="K296" s="1640">
        <f t="shared" si="27"/>
        <v>1628.12</v>
      </c>
      <c r="M296" s="1640">
        <v>0.14000000000000001</v>
      </c>
      <c r="N296" s="1627" t="s">
        <v>151</v>
      </c>
      <c r="O296" s="1627" t="s">
        <v>257</v>
      </c>
      <c r="P296" s="1640">
        <f>(K32)</f>
        <v>5318.7</v>
      </c>
      <c r="Q296" s="1627" t="s">
        <v>151</v>
      </c>
      <c r="R296" s="1640">
        <f>(M296*P296)</f>
        <v>744.61800000000005</v>
      </c>
      <c r="W296" s="1634"/>
      <c r="AG296" s="1640"/>
      <c r="AI296" s="1627"/>
    </row>
    <row r="297" spans="1:35" ht="24" customHeight="1">
      <c r="A297" s="1647">
        <f t="shared" si="26"/>
        <v>136</v>
      </c>
      <c r="B297" s="1627" t="s">
        <v>963</v>
      </c>
      <c r="C297" s="1640">
        <v>7</v>
      </c>
      <c r="D297" s="1627" t="s">
        <v>4</v>
      </c>
      <c r="F297" s="1640">
        <v>3.4</v>
      </c>
      <c r="G297" s="1638" t="s">
        <v>151</v>
      </c>
      <c r="H297" s="1627" t="s">
        <v>259</v>
      </c>
      <c r="I297" s="1640">
        <f>(K49)</f>
        <v>4159.0200000000004</v>
      </c>
      <c r="J297" s="1627" t="s">
        <v>151</v>
      </c>
      <c r="K297" s="1640">
        <f t="shared" si="27"/>
        <v>14140.668000000001</v>
      </c>
      <c r="M297" s="1640">
        <v>1.1000000000000001</v>
      </c>
      <c r="N297" s="1627" t="s">
        <v>153</v>
      </c>
      <c r="O297" s="1627" t="s">
        <v>269</v>
      </c>
      <c r="P297" s="1640">
        <f>(C10)</f>
        <v>1325.8</v>
      </c>
      <c r="Q297" s="1627" t="s">
        <v>153</v>
      </c>
      <c r="R297" s="1640">
        <f>(M297*P297)</f>
        <v>1458.38</v>
      </c>
      <c r="W297" s="1634"/>
      <c r="AG297" s="1640"/>
      <c r="AI297" s="1627"/>
    </row>
    <row r="298" spans="1:35" ht="24" customHeight="1">
      <c r="A298" s="1647">
        <f t="shared" si="26"/>
        <v>137</v>
      </c>
      <c r="B298" s="1627" t="s">
        <v>964</v>
      </c>
      <c r="C298" s="1640">
        <v>2.2000000000000002</v>
      </c>
      <c r="D298" s="1627" t="s">
        <v>4</v>
      </c>
      <c r="F298" s="1640">
        <v>7.1</v>
      </c>
      <c r="G298" s="1638" t="s">
        <v>153</v>
      </c>
      <c r="H298" s="1627" t="s">
        <v>269</v>
      </c>
      <c r="I298" s="1640">
        <f>(C10)</f>
        <v>1325.8</v>
      </c>
      <c r="J298" s="1627" t="s">
        <v>153</v>
      </c>
      <c r="K298" s="1640">
        <f t="shared" si="27"/>
        <v>9413.1799999999985</v>
      </c>
      <c r="M298" s="1640">
        <v>0.5</v>
      </c>
      <c r="N298" s="1627" t="s">
        <v>153</v>
      </c>
      <c r="O298" s="1627" t="s">
        <v>235</v>
      </c>
      <c r="P298" s="1640">
        <f>(C12)</f>
        <v>865.19999999999993</v>
      </c>
      <c r="Q298" s="1627" t="s">
        <v>153</v>
      </c>
      <c r="R298" s="1640">
        <f>(M298*P298)</f>
        <v>432.59999999999997</v>
      </c>
      <c r="W298" s="1634"/>
      <c r="AG298" s="1640"/>
      <c r="AI298" s="1627"/>
    </row>
    <row r="299" spans="1:35" ht="24" customHeight="1">
      <c r="A299" s="1647">
        <f t="shared" si="26"/>
        <v>138</v>
      </c>
      <c r="B299" s="1627" t="s">
        <v>965</v>
      </c>
      <c r="C299" s="1640">
        <v>10.5</v>
      </c>
      <c r="D299" s="1627" t="s">
        <v>4</v>
      </c>
      <c r="F299" s="1640">
        <v>10.6</v>
      </c>
      <c r="G299" s="1638" t="s">
        <v>153</v>
      </c>
      <c r="H299" s="1627" t="s">
        <v>234</v>
      </c>
      <c r="I299" s="1640">
        <f>(C11)</f>
        <v>1237.5999999999999</v>
      </c>
      <c r="J299" s="1627" t="s">
        <v>153</v>
      </c>
      <c r="K299" s="1640">
        <f t="shared" si="27"/>
        <v>13118.56</v>
      </c>
      <c r="M299" s="1640">
        <v>1.1000000000000001</v>
      </c>
      <c r="N299" s="1627" t="s">
        <v>153</v>
      </c>
      <c r="O299" s="1627" t="s">
        <v>236</v>
      </c>
      <c r="P299" s="1640">
        <f>(C13)</f>
        <v>709.8</v>
      </c>
      <c r="Q299" s="1627" t="s">
        <v>153</v>
      </c>
      <c r="R299" s="1640">
        <f>(M299*P299)</f>
        <v>780.78</v>
      </c>
      <c r="W299" s="1634"/>
      <c r="AG299" s="1640"/>
      <c r="AI299" s="1627"/>
    </row>
    <row r="300" spans="1:35" ht="24" customHeight="1">
      <c r="A300" s="1647">
        <f t="shared" si="26"/>
        <v>139</v>
      </c>
      <c r="B300" s="1627" t="s">
        <v>966</v>
      </c>
      <c r="C300" s="1640">
        <v>5.5</v>
      </c>
      <c r="D300" s="1627" t="s">
        <v>4</v>
      </c>
      <c r="F300" s="1640">
        <v>14.1</v>
      </c>
      <c r="G300" s="1638" t="s">
        <v>153</v>
      </c>
      <c r="H300" s="1627" t="s">
        <v>235</v>
      </c>
      <c r="I300" s="1640">
        <f>(C12)</f>
        <v>865.19999999999993</v>
      </c>
      <c r="J300" s="1627" t="s">
        <v>153</v>
      </c>
      <c r="K300" s="1640">
        <f t="shared" si="27"/>
        <v>12199.319999999998</v>
      </c>
      <c r="N300" s="1627" t="s">
        <v>226</v>
      </c>
      <c r="O300" s="1627" t="s">
        <v>237</v>
      </c>
      <c r="P300" s="1627" t="s">
        <v>150</v>
      </c>
      <c r="Q300" s="1627" t="s">
        <v>226</v>
      </c>
      <c r="R300" s="1640">
        <v>0</v>
      </c>
      <c r="W300" s="1634"/>
      <c r="AG300" s="1640"/>
      <c r="AI300" s="1627"/>
    </row>
    <row r="301" spans="1:35" ht="24" customHeight="1">
      <c r="A301" s="1647">
        <f t="shared" si="26"/>
        <v>140</v>
      </c>
      <c r="B301" s="1627" t="s">
        <v>967</v>
      </c>
      <c r="C301" s="1640">
        <v>21</v>
      </c>
      <c r="D301" s="1627" t="s">
        <v>4</v>
      </c>
      <c r="F301" s="1640">
        <v>14.1</v>
      </c>
      <c r="G301" s="1638" t="s">
        <v>153</v>
      </c>
      <c r="H301" s="1627" t="s">
        <v>236</v>
      </c>
      <c r="I301" s="1640">
        <f>(C13)</f>
        <v>709.8</v>
      </c>
      <c r="J301" s="1627" t="s">
        <v>153</v>
      </c>
      <c r="K301" s="1640">
        <f t="shared" si="27"/>
        <v>10008.179999999998</v>
      </c>
      <c r="R301" s="1636" t="s">
        <v>21</v>
      </c>
      <c r="W301" s="1634"/>
      <c r="AG301" s="1640"/>
      <c r="AI301" s="1627"/>
    </row>
    <row r="302" spans="1:35" ht="24" customHeight="1">
      <c r="A302" s="1647">
        <f t="shared" si="26"/>
        <v>141</v>
      </c>
      <c r="B302" s="1627" t="s">
        <v>968</v>
      </c>
      <c r="C302" s="1640">
        <v>10</v>
      </c>
      <c r="D302" s="1627" t="s">
        <v>4</v>
      </c>
      <c r="G302" s="1638" t="s">
        <v>226</v>
      </c>
      <c r="H302" s="1627" t="s">
        <v>237</v>
      </c>
      <c r="J302" s="1627" t="s">
        <v>226</v>
      </c>
      <c r="K302" s="1640">
        <v>0</v>
      </c>
      <c r="O302" s="1627" t="s">
        <v>150</v>
      </c>
      <c r="R302" s="1640">
        <f>SUM(R296:R300)</f>
        <v>3416.3779999999997</v>
      </c>
      <c r="W302" s="1634"/>
      <c r="AG302" s="1640"/>
      <c r="AI302" s="1627"/>
    </row>
    <row r="303" spans="1:35" ht="24" customHeight="1">
      <c r="A303" s="1647">
        <f t="shared" si="26"/>
        <v>142</v>
      </c>
      <c r="B303" s="1627" t="s">
        <v>969</v>
      </c>
      <c r="C303" s="1640">
        <v>4</v>
      </c>
      <c r="D303" s="1627" t="s">
        <v>4</v>
      </c>
      <c r="K303" s="1636" t="s">
        <v>21</v>
      </c>
      <c r="R303" s="1636" t="s">
        <v>21</v>
      </c>
      <c r="W303" s="1634"/>
      <c r="AG303" s="1640"/>
      <c r="AI303" s="1627"/>
    </row>
    <row r="304" spans="1:35" ht="24" customHeight="1">
      <c r="A304" s="1647">
        <f t="shared" si="26"/>
        <v>143</v>
      </c>
      <c r="B304" s="1627" t="s">
        <v>951</v>
      </c>
      <c r="C304" s="1640">
        <v>8</v>
      </c>
      <c r="D304" s="1627" t="s">
        <v>153</v>
      </c>
      <c r="H304" s="1627" t="s">
        <v>263</v>
      </c>
      <c r="K304" s="1640">
        <f>SUM(K295:K302)</f>
        <v>74799.227999999988</v>
      </c>
      <c r="O304" s="1627" t="s">
        <v>155</v>
      </c>
      <c r="R304" s="1640">
        <f>(R302/10)</f>
        <v>341.63779999999997</v>
      </c>
      <c r="W304" s="1634"/>
      <c r="AG304" s="1640"/>
      <c r="AI304" s="1627"/>
    </row>
    <row r="305" spans="1:35" ht="24" customHeight="1">
      <c r="A305" s="1647">
        <f t="shared" si="26"/>
        <v>144</v>
      </c>
      <c r="B305" s="1627" t="s">
        <v>952</v>
      </c>
      <c r="C305" s="1640">
        <v>8.5</v>
      </c>
      <c r="D305" s="1627" t="s">
        <v>4</v>
      </c>
      <c r="K305" s="1636" t="s">
        <v>21</v>
      </c>
      <c r="N305" s="1627" t="s">
        <v>249</v>
      </c>
      <c r="O305" s="1627" t="s">
        <v>970</v>
      </c>
      <c r="R305" s="1636" t="s">
        <v>156</v>
      </c>
      <c r="W305" s="1634"/>
      <c r="AG305" s="1640"/>
      <c r="AI305" s="1627"/>
    </row>
    <row r="306" spans="1:35" ht="24" customHeight="1">
      <c r="A306" s="1647">
        <f t="shared" si="26"/>
        <v>145</v>
      </c>
      <c r="B306" s="1627" t="s">
        <v>971</v>
      </c>
      <c r="C306" s="1640">
        <v>2.8</v>
      </c>
      <c r="D306" s="1627" t="s">
        <v>4</v>
      </c>
      <c r="H306" s="1641" t="s">
        <v>270</v>
      </c>
      <c r="K306" s="1639">
        <f>(K304/10)</f>
        <v>7479.9227999999985</v>
      </c>
      <c r="O306" s="1636" t="s">
        <v>21</v>
      </c>
      <c r="W306" s="1634"/>
      <c r="AG306" s="1640"/>
      <c r="AI306" s="1627"/>
    </row>
    <row r="307" spans="1:35" ht="24" customHeight="1">
      <c r="A307" s="1647">
        <f t="shared" si="26"/>
        <v>146</v>
      </c>
      <c r="B307" s="1627" t="s">
        <v>972</v>
      </c>
      <c r="C307" s="1640">
        <v>1.8</v>
      </c>
      <c r="D307" s="1627" t="s">
        <v>4</v>
      </c>
      <c r="K307" s="1636" t="s">
        <v>156</v>
      </c>
      <c r="M307" s="1640">
        <v>0.14000000000000001</v>
      </c>
      <c r="N307" s="1627" t="s">
        <v>151</v>
      </c>
      <c r="O307" s="1627" t="s">
        <v>256</v>
      </c>
      <c r="P307" s="1640">
        <f>(K23)</f>
        <v>6768.3</v>
      </c>
      <c r="Q307" s="1627" t="s">
        <v>151</v>
      </c>
      <c r="R307" s="1640">
        <f>(M307*P307)</f>
        <v>947.56200000000013</v>
      </c>
      <c r="W307" s="1634"/>
      <c r="AG307" s="1640"/>
      <c r="AI307" s="1627"/>
    </row>
    <row r="308" spans="1:35" ht="24" customHeight="1">
      <c r="A308" s="1647">
        <f t="shared" si="26"/>
        <v>147</v>
      </c>
      <c r="B308" s="1640" t="s">
        <v>973</v>
      </c>
      <c r="C308" s="1640">
        <v>3</v>
      </c>
      <c r="D308" s="1627" t="s">
        <v>4</v>
      </c>
      <c r="F308" s="1662">
        <v>6.5</v>
      </c>
      <c r="G308" s="1638" t="s">
        <v>249</v>
      </c>
      <c r="H308" s="1627" t="s">
        <v>974</v>
      </c>
      <c r="M308" s="1640">
        <v>1.1000000000000001</v>
      </c>
      <c r="N308" s="1627" t="s">
        <v>153</v>
      </c>
      <c r="O308" s="1627" t="s">
        <v>269</v>
      </c>
      <c r="P308" s="1640">
        <f>(C10)</f>
        <v>1325.8</v>
      </c>
      <c r="Q308" s="1627" t="s">
        <v>153</v>
      </c>
      <c r="R308" s="1640">
        <f>(M308*P308)</f>
        <v>1458.38</v>
      </c>
      <c r="S308" s="1633">
        <v>6.1</v>
      </c>
      <c r="T308" s="1629" t="s">
        <v>249</v>
      </c>
      <c r="U308" s="1629" t="s">
        <v>975</v>
      </c>
      <c r="W308" s="1634"/>
      <c r="AD308" s="1652">
        <v>6</v>
      </c>
      <c r="AE308" s="1638" t="s">
        <v>249</v>
      </c>
      <c r="AF308" s="1627" t="s">
        <v>385</v>
      </c>
      <c r="AH308" s="1632"/>
    </row>
    <row r="309" spans="1:35" ht="24" customHeight="1">
      <c r="A309" s="1647">
        <f t="shared" si="26"/>
        <v>148</v>
      </c>
      <c r="B309" s="1627" t="s">
        <v>976</v>
      </c>
      <c r="C309" s="1627" t="s">
        <v>150</v>
      </c>
      <c r="H309" s="1627" t="s">
        <v>977</v>
      </c>
      <c r="M309" s="1640">
        <v>0.5</v>
      </c>
      <c r="N309" s="1627" t="s">
        <v>153</v>
      </c>
      <c r="O309" s="1627" t="s">
        <v>235</v>
      </c>
      <c r="P309" s="1640">
        <f>(C12)</f>
        <v>865.19999999999993</v>
      </c>
      <c r="Q309" s="1627" t="s">
        <v>153</v>
      </c>
      <c r="R309" s="1640">
        <f>(M309*P309)</f>
        <v>432.59999999999997</v>
      </c>
      <c r="U309" s="1629" t="s">
        <v>978</v>
      </c>
      <c r="W309" s="1634"/>
      <c r="AE309" s="1630"/>
      <c r="AF309" s="1627" t="s">
        <v>386</v>
      </c>
      <c r="AH309" s="1632"/>
    </row>
    <row r="310" spans="1:35" ht="24" customHeight="1">
      <c r="A310" s="1647">
        <f t="shared" si="26"/>
        <v>149</v>
      </c>
      <c r="B310" s="1627" t="s">
        <v>979</v>
      </c>
      <c r="C310" s="1686">
        <v>66.44</v>
      </c>
      <c r="D310" s="1693" t="s">
        <v>552</v>
      </c>
      <c r="H310" s="1636" t="s">
        <v>21</v>
      </c>
      <c r="M310" s="1640">
        <v>1.1000000000000001</v>
      </c>
      <c r="N310" s="1627" t="s">
        <v>153</v>
      </c>
      <c r="O310" s="1627" t="s">
        <v>236</v>
      </c>
      <c r="P310" s="1640">
        <f>(C13)</f>
        <v>709.8</v>
      </c>
      <c r="Q310" s="1627" t="s">
        <v>153</v>
      </c>
      <c r="R310" s="1640">
        <f>(M310*P310)</f>
        <v>780.78</v>
      </c>
      <c r="U310" s="1629" t="s">
        <v>21</v>
      </c>
      <c r="W310" s="1634"/>
      <c r="AE310" s="1630"/>
      <c r="AF310" s="1636" t="s">
        <v>21</v>
      </c>
      <c r="AH310" s="1632"/>
    </row>
    <row r="311" spans="1:35" ht="24" customHeight="1">
      <c r="A311" s="1647">
        <f t="shared" si="26"/>
        <v>150</v>
      </c>
      <c r="B311" s="1627" t="s">
        <v>980</v>
      </c>
      <c r="C311" s="1686">
        <v>83.5</v>
      </c>
      <c r="D311" s="1693" t="s">
        <v>552</v>
      </c>
      <c r="F311" s="1640">
        <v>4800</v>
      </c>
      <c r="G311" s="1638" t="s">
        <v>267</v>
      </c>
      <c r="H311" s="1640" t="str">
        <f>H309</f>
        <v>Bricks of size 22x11x7 cm</v>
      </c>
      <c r="I311" s="1640">
        <f>C80</f>
        <v>6623.52</v>
      </c>
      <c r="J311" s="1627" t="s">
        <v>268</v>
      </c>
      <c r="K311" s="1640">
        <f>(F311*I311)/1000</f>
        <v>31792.896000000004</v>
      </c>
      <c r="N311" s="1627" t="s">
        <v>226</v>
      </c>
      <c r="O311" s="1627" t="s">
        <v>237</v>
      </c>
      <c r="P311" s="1627" t="s">
        <v>150</v>
      </c>
      <c r="Q311" s="1627" t="s">
        <v>226</v>
      </c>
      <c r="R311" s="1640">
        <v>0</v>
      </c>
      <c r="S311" s="1633">
        <v>4600</v>
      </c>
      <c r="T311" s="1629" t="s">
        <v>267</v>
      </c>
      <c r="U311" s="1629" t="s">
        <v>978</v>
      </c>
      <c r="V311" s="1694">
        <f>AE41</f>
        <v>8120.3099999999995</v>
      </c>
      <c r="W311" s="1684" t="s">
        <v>981</v>
      </c>
      <c r="X311" s="1629">
        <f>(V311*S311)/1000</f>
        <v>37353.425999999999</v>
      </c>
      <c r="AD311" s="1640">
        <v>4240</v>
      </c>
      <c r="AE311" s="1638" t="s">
        <v>267</v>
      </c>
      <c r="AF311" s="1640" t="str">
        <f>AF309</f>
        <v>Bricks of size 23x11.4x7.5 cm</v>
      </c>
      <c r="AG311" s="1640">
        <f>AE42</f>
        <v>8320.31</v>
      </c>
      <c r="AH311" s="1627" t="s">
        <v>268</v>
      </c>
      <c r="AI311" s="1640">
        <f>(AD311*AG311)/1000</f>
        <v>35278.114399999999</v>
      </c>
    </row>
    <row r="312" spans="1:35" ht="24" customHeight="1">
      <c r="A312" s="1647">
        <f t="shared" si="26"/>
        <v>151</v>
      </c>
      <c r="B312" s="1627" t="s">
        <v>982</v>
      </c>
      <c r="C312" s="1686">
        <v>102.12</v>
      </c>
      <c r="D312" s="1693" t="s">
        <v>552</v>
      </c>
      <c r="F312" s="1640">
        <v>2.5</v>
      </c>
      <c r="G312" s="1638" t="s">
        <v>151</v>
      </c>
      <c r="H312" s="1627" t="s">
        <v>259</v>
      </c>
      <c r="I312" s="1640">
        <f>K49</f>
        <v>4159.0200000000004</v>
      </c>
      <c r="J312" s="1627" t="s">
        <v>151</v>
      </c>
      <c r="K312" s="1640">
        <f>(F312*I312)</f>
        <v>10397.550000000001</v>
      </c>
      <c r="R312" s="1636" t="s">
        <v>21</v>
      </c>
      <c r="S312" s="1633">
        <v>2.5</v>
      </c>
      <c r="T312" s="1629" t="s">
        <v>151</v>
      </c>
      <c r="U312" s="1629" t="s">
        <v>259</v>
      </c>
      <c r="V312" s="1694">
        <f>K49</f>
        <v>4159.0200000000004</v>
      </c>
      <c r="W312" s="1634" t="s">
        <v>151</v>
      </c>
      <c r="X312" s="1629">
        <f>V312*S312</f>
        <v>10397.550000000001</v>
      </c>
      <c r="AD312" s="1640">
        <v>2</v>
      </c>
      <c r="AE312" s="1638" t="s">
        <v>151</v>
      </c>
      <c r="AF312" s="1627" t="s">
        <v>259</v>
      </c>
      <c r="AG312" s="1640">
        <f>K49</f>
        <v>4159.0200000000004</v>
      </c>
      <c r="AH312" s="1627" t="s">
        <v>151</v>
      </c>
      <c r="AI312" s="1640">
        <f>(AD312*AG312)</f>
        <v>8318.0400000000009</v>
      </c>
    </row>
    <row r="313" spans="1:35" ht="24" customHeight="1">
      <c r="A313" s="1647">
        <f t="shared" si="26"/>
        <v>152</v>
      </c>
      <c r="B313" s="1627" t="s">
        <v>983</v>
      </c>
      <c r="C313" s="1686">
        <v>182.52</v>
      </c>
      <c r="D313" s="1693" t="s">
        <v>552</v>
      </c>
      <c r="F313" s="1640">
        <v>3.5</v>
      </c>
      <c r="G313" s="1638" t="s">
        <v>153</v>
      </c>
      <c r="H313" s="1627" t="s">
        <v>269</v>
      </c>
      <c r="I313" s="1640">
        <f>C10</f>
        <v>1325.8</v>
      </c>
      <c r="J313" s="1627" t="s">
        <v>153</v>
      </c>
      <c r="K313" s="1640">
        <f>(F313*I313)</f>
        <v>4640.3</v>
      </c>
      <c r="O313" s="1627" t="s">
        <v>238</v>
      </c>
      <c r="R313" s="1640">
        <f>SUM(R307:R311)</f>
        <v>3619.3220000000001</v>
      </c>
      <c r="S313" s="1633">
        <v>3.5</v>
      </c>
      <c r="T313" s="1629" t="s">
        <v>153</v>
      </c>
      <c r="U313" s="1629" t="s">
        <v>269</v>
      </c>
      <c r="V313" s="1694">
        <f>I313</f>
        <v>1325.8</v>
      </c>
      <c r="W313" s="1634" t="s">
        <v>153</v>
      </c>
      <c r="X313" s="1629">
        <f>V313*S313</f>
        <v>4640.3</v>
      </c>
      <c r="AD313" s="1640">
        <v>3.5</v>
      </c>
      <c r="AE313" s="1638" t="s">
        <v>153</v>
      </c>
      <c r="AF313" s="1627" t="s">
        <v>269</v>
      </c>
      <c r="AG313" s="1640">
        <f>V313</f>
        <v>1325.8</v>
      </c>
      <c r="AH313" s="1627" t="s">
        <v>153</v>
      </c>
      <c r="AI313" s="1640">
        <f>(AD313*AG313)</f>
        <v>4640.3</v>
      </c>
    </row>
    <row r="314" spans="1:35" ht="24" customHeight="1">
      <c r="A314" s="1647">
        <f t="shared" si="26"/>
        <v>153</v>
      </c>
      <c r="B314" s="1627" t="s">
        <v>984</v>
      </c>
      <c r="C314" s="1695"/>
      <c r="D314" s="1695"/>
      <c r="F314" s="1640">
        <v>10.6</v>
      </c>
      <c r="G314" s="1638" t="s">
        <v>153</v>
      </c>
      <c r="H314" s="1627" t="s">
        <v>234</v>
      </c>
      <c r="I314" s="1640">
        <f>C11</f>
        <v>1237.5999999999999</v>
      </c>
      <c r="J314" s="1627" t="s">
        <v>153</v>
      </c>
      <c r="K314" s="1640">
        <f>(F314*I314)</f>
        <v>13118.56</v>
      </c>
      <c r="R314" s="1636" t="s">
        <v>21</v>
      </c>
      <c r="S314" s="1633">
        <v>10.6</v>
      </c>
      <c r="T314" s="1629" t="s">
        <v>153</v>
      </c>
      <c r="U314" s="1629" t="s">
        <v>234</v>
      </c>
      <c r="V314" s="1694">
        <f>I314</f>
        <v>1237.5999999999999</v>
      </c>
      <c r="W314" s="1634" t="s">
        <v>153</v>
      </c>
      <c r="X314" s="1629">
        <f>V314*S314</f>
        <v>13118.56</v>
      </c>
      <c r="AD314" s="1640">
        <v>10.6</v>
      </c>
      <c r="AE314" s="1638" t="s">
        <v>153</v>
      </c>
      <c r="AF314" s="1627" t="s">
        <v>234</v>
      </c>
      <c r="AG314" s="1640">
        <f>V314</f>
        <v>1237.5999999999999</v>
      </c>
      <c r="AH314" s="1627" t="s">
        <v>153</v>
      </c>
      <c r="AI314" s="1640">
        <f>(AD314*AG314)</f>
        <v>13118.56</v>
      </c>
    </row>
    <row r="315" spans="1:35" ht="24" customHeight="1">
      <c r="A315" s="1647">
        <f t="shared" si="26"/>
        <v>154</v>
      </c>
      <c r="B315" s="1627" t="s">
        <v>979</v>
      </c>
      <c r="C315" s="1686">
        <v>26.62</v>
      </c>
      <c r="D315" s="1693" t="s">
        <v>4</v>
      </c>
      <c r="F315" s="1640">
        <v>7.1</v>
      </c>
      <c r="G315" s="1638" t="s">
        <v>153</v>
      </c>
      <c r="H315" s="1627" t="s">
        <v>235</v>
      </c>
      <c r="I315" s="1640">
        <f>C12</f>
        <v>865.19999999999993</v>
      </c>
      <c r="J315" s="1627" t="s">
        <v>153</v>
      </c>
      <c r="K315" s="1640">
        <f>(F315*I315)</f>
        <v>6142.9199999999992</v>
      </c>
      <c r="O315" s="1627" t="s">
        <v>155</v>
      </c>
      <c r="R315" s="1640">
        <f>(R313/10)</f>
        <v>361.93220000000002</v>
      </c>
      <c r="S315" s="1633">
        <v>7.1</v>
      </c>
      <c r="T315" s="1629" t="s">
        <v>153</v>
      </c>
      <c r="U315" s="1629" t="s">
        <v>235</v>
      </c>
      <c r="V315" s="1694">
        <f>I315</f>
        <v>865.19999999999993</v>
      </c>
      <c r="W315" s="1634" t="s">
        <v>153</v>
      </c>
      <c r="X315" s="1629">
        <f>V315*S315</f>
        <v>6142.9199999999992</v>
      </c>
      <c r="AD315" s="1640">
        <v>7.1</v>
      </c>
      <c r="AE315" s="1638" t="s">
        <v>153</v>
      </c>
      <c r="AF315" s="1627" t="s">
        <v>235</v>
      </c>
      <c r="AG315" s="1640">
        <f>V315</f>
        <v>865.19999999999993</v>
      </c>
      <c r="AH315" s="1627" t="s">
        <v>153</v>
      </c>
      <c r="AI315" s="1640">
        <f>(AD315*AG315)</f>
        <v>6142.9199999999992</v>
      </c>
    </row>
    <row r="316" spans="1:35" ht="24" customHeight="1">
      <c r="A316" s="1647">
        <f t="shared" si="26"/>
        <v>155</v>
      </c>
      <c r="B316" s="1627" t="s">
        <v>980</v>
      </c>
      <c r="C316" s="1686">
        <v>34.869999999999997</v>
      </c>
      <c r="D316" s="1693" t="s">
        <v>4</v>
      </c>
      <c r="F316" s="1640">
        <v>21.2</v>
      </c>
      <c r="G316" s="1638" t="s">
        <v>153</v>
      </c>
      <c r="H316" s="1627" t="s">
        <v>236</v>
      </c>
      <c r="I316" s="1640">
        <f>C13</f>
        <v>709.8</v>
      </c>
      <c r="J316" s="1627" t="s">
        <v>153</v>
      </c>
      <c r="K316" s="1640">
        <f>(F316*I316)</f>
        <v>15047.759999999998</v>
      </c>
      <c r="R316" s="1636" t="s">
        <v>156</v>
      </c>
      <c r="S316" s="1633">
        <v>21.2</v>
      </c>
      <c r="T316" s="1629" t="s">
        <v>153</v>
      </c>
      <c r="U316" s="1629" t="s">
        <v>236</v>
      </c>
      <c r="V316" s="1694">
        <f>I316</f>
        <v>709.8</v>
      </c>
      <c r="W316" s="1634" t="s">
        <v>153</v>
      </c>
      <c r="X316" s="1629">
        <f>V316*S316</f>
        <v>15047.759999999998</v>
      </c>
      <c r="AD316" s="1640">
        <v>21.2</v>
      </c>
      <c r="AE316" s="1638" t="s">
        <v>153</v>
      </c>
      <c r="AF316" s="1627" t="s">
        <v>236</v>
      </c>
      <c r="AG316" s="1640">
        <f>V316</f>
        <v>709.8</v>
      </c>
      <c r="AH316" s="1627" t="s">
        <v>153</v>
      </c>
      <c r="AI316" s="1640">
        <f>(AD316*AG316)</f>
        <v>15047.759999999998</v>
      </c>
    </row>
    <row r="317" spans="1:35" ht="24" customHeight="1">
      <c r="A317" s="1647">
        <f t="shared" si="26"/>
        <v>156</v>
      </c>
      <c r="B317" s="1627" t="s">
        <v>982</v>
      </c>
      <c r="C317" s="1686">
        <v>45</v>
      </c>
      <c r="D317" s="1693" t="s">
        <v>4</v>
      </c>
      <c r="G317" s="1638" t="s">
        <v>226</v>
      </c>
      <c r="H317" s="1627" t="s">
        <v>237</v>
      </c>
      <c r="J317" s="1627" t="s">
        <v>226</v>
      </c>
      <c r="K317" s="1640">
        <v>5</v>
      </c>
      <c r="N317" s="1627" t="s">
        <v>249</v>
      </c>
      <c r="O317" s="1627" t="s">
        <v>985</v>
      </c>
      <c r="T317" s="1629" t="s">
        <v>226</v>
      </c>
      <c r="U317" s="1629" t="s">
        <v>237</v>
      </c>
      <c r="W317" s="1634" t="s">
        <v>226</v>
      </c>
      <c r="X317" s="1629">
        <v>0</v>
      </c>
      <c r="AE317" s="1638" t="s">
        <v>226</v>
      </c>
      <c r="AF317" s="1627" t="s">
        <v>237</v>
      </c>
      <c r="AH317" s="1627" t="s">
        <v>226</v>
      </c>
      <c r="AI317" s="1640">
        <v>5</v>
      </c>
    </row>
    <row r="318" spans="1:35" ht="24" customHeight="1">
      <c r="A318" s="1647">
        <f t="shared" si="26"/>
        <v>157</v>
      </c>
      <c r="B318" s="1627" t="s">
        <v>983</v>
      </c>
      <c r="C318" s="1686">
        <v>99.75</v>
      </c>
      <c r="D318" s="1693" t="s">
        <v>4</v>
      </c>
      <c r="K318" s="1636" t="s">
        <v>21</v>
      </c>
      <c r="O318" s="1636" t="s">
        <v>21</v>
      </c>
      <c r="W318" s="1634"/>
      <c r="X318" s="1629" t="s">
        <v>21</v>
      </c>
      <c r="AE318" s="1630"/>
      <c r="AH318" s="1632"/>
      <c r="AI318" s="1636" t="s">
        <v>21</v>
      </c>
    </row>
    <row r="319" spans="1:35" ht="24" customHeight="1">
      <c r="A319" s="1647">
        <f t="shared" si="26"/>
        <v>158</v>
      </c>
      <c r="B319" s="1627" t="s">
        <v>986</v>
      </c>
      <c r="C319" s="1695"/>
      <c r="D319" s="1695"/>
      <c r="H319" s="1627" t="s">
        <v>263</v>
      </c>
      <c r="K319" s="1640">
        <f>SUM(K311:K317)</f>
        <v>81144.986000000004</v>
      </c>
      <c r="M319" s="1640">
        <v>0.1</v>
      </c>
      <c r="N319" s="1627" t="s">
        <v>151</v>
      </c>
      <c r="O319" s="1627" t="s">
        <v>256</v>
      </c>
      <c r="P319" s="1640">
        <f>(K23)</f>
        <v>6768.3</v>
      </c>
      <c r="Q319" s="1627" t="s">
        <v>151</v>
      </c>
      <c r="R319" s="1640">
        <f>(M319*P319)</f>
        <v>676.83</v>
      </c>
      <c r="U319" s="1629" t="s">
        <v>263</v>
      </c>
      <c r="W319" s="1634"/>
      <c r="X319" s="1629">
        <f>SUM(X311:X318)</f>
        <v>86700.516000000003</v>
      </c>
      <c r="AE319" s="1630"/>
      <c r="AF319" s="1627" t="s">
        <v>263</v>
      </c>
      <c r="AH319" s="1632"/>
      <c r="AI319" s="1640">
        <f>SUM(AI311:AI317)</f>
        <v>82550.694399999993</v>
      </c>
    </row>
    <row r="320" spans="1:35" ht="24" customHeight="1">
      <c r="A320" s="1647">
        <f t="shared" si="26"/>
        <v>159</v>
      </c>
      <c r="B320" s="1627" t="s">
        <v>979</v>
      </c>
      <c r="C320" s="1686">
        <v>43.47</v>
      </c>
      <c r="D320" s="1693" t="s">
        <v>4</v>
      </c>
      <c r="K320" s="1636" t="s">
        <v>21</v>
      </c>
      <c r="M320" s="1640">
        <v>1.1000000000000001</v>
      </c>
      <c r="N320" s="1627" t="s">
        <v>153</v>
      </c>
      <c r="O320" s="1627" t="s">
        <v>269</v>
      </c>
      <c r="P320" s="1640">
        <f>(C10)</f>
        <v>1325.8</v>
      </c>
      <c r="Q320" s="1627" t="s">
        <v>153</v>
      </c>
      <c r="R320" s="1640">
        <f>(M320*P320)</f>
        <v>1458.38</v>
      </c>
      <c r="W320" s="1634"/>
      <c r="X320" s="1629" t="s">
        <v>21</v>
      </c>
      <c r="AE320" s="1630"/>
      <c r="AH320" s="1632"/>
      <c r="AI320" s="1636" t="s">
        <v>21</v>
      </c>
    </row>
    <row r="321" spans="1:36" ht="24" customHeight="1">
      <c r="A321" s="1647">
        <f t="shared" si="26"/>
        <v>160</v>
      </c>
      <c r="B321" s="1627" t="s">
        <v>980</v>
      </c>
      <c r="C321" s="1686">
        <v>50.34</v>
      </c>
      <c r="D321" s="1693" t="s">
        <v>4</v>
      </c>
      <c r="H321" s="1641" t="s">
        <v>270</v>
      </c>
      <c r="K321" s="1639">
        <f>(K319/10)</f>
        <v>8114.4986000000008</v>
      </c>
      <c r="M321" s="1640">
        <v>1.1000000000000001</v>
      </c>
      <c r="N321" s="1627" t="s">
        <v>153</v>
      </c>
      <c r="O321" s="1627" t="s">
        <v>235</v>
      </c>
      <c r="P321" s="1640">
        <f>(C12)</f>
        <v>865.19999999999993</v>
      </c>
      <c r="Q321" s="1627" t="s">
        <v>153</v>
      </c>
      <c r="R321" s="1640">
        <f>(M321*P321)</f>
        <v>951.72</v>
      </c>
      <c r="U321" s="1629" t="s">
        <v>270</v>
      </c>
      <c r="W321" s="1634"/>
      <c r="X321" s="1661">
        <f>X319/10</f>
        <v>8670.0516000000007</v>
      </c>
      <c r="Y321" s="1661"/>
      <c r="AE321" s="1630"/>
      <c r="AF321" s="1641" t="s">
        <v>270</v>
      </c>
      <c r="AH321" s="1632"/>
      <c r="AI321" s="1639">
        <f>(AI319/10)</f>
        <v>8255.0694399999993</v>
      </c>
    </row>
    <row r="322" spans="1:36" ht="24" customHeight="1">
      <c r="A322" s="1647">
        <f t="shared" si="26"/>
        <v>161</v>
      </c>
      <c r="B322" s="1627" t="s">
        <v>982</v>
      </c>
      <c r="C322" s="1686">
        <v>65.209999999999994</v>
      </c>
      <c r="D322" s="1693" t="s">
        <v>4</v>
      </c>
      <c r="K322" s="1636" t="s">
        <v>156</v>
      </c>
      <c r="M322" s="1640">
        <v>1.1000000000000001</v>
      </c>
      <c r="N322" s="1627" t="s">
        <v>153</v>
      </c>
      <c r="O322" s="1627" t="s">
        <v>236</v>
      </c>
      <c r="P322" s="1640">
        <f>(C13)</f>
        <v>709.8</v>
      </c>
      <c r="Q322" s="1627" t="s">
        <v>153</v>
      </c>
      <c r="R322" s="1640">
        <f>(M322*P322)</f>
        <v>780.78</v>
      </c>
      <c r="W322" s="1634"/>
      <c r="AE322" s="1630"/>
      <c r="AH322" s="1632"/>
      <c r="AI322" s="1636" t="s">
        <v>156</v>
      </c>
    </row>
    <row r="323" spans="1:36" ht="24" customHeight="1">
      <c r="A323" s="1647">
        <f t="shared" si="26"/>
        <v>162</v>
      </c>
      <c r="B323" s="1627" t="s">
        <v>983</v>
      </c>
      <c r="C323" s="1686">
        <v>145.29</v>
      </c>
      <c r="D323" s="1693" t="s">
        <v>4</v>
      </c>
      <c r="H323" s="1627" t="s">
        <v>271</v>
      </c>
      <c r="K323" s="1640">
        <f>(K321+C19)</f>
        <v>8219.2186000000002</v>
      </c>
      <c r="L323" s="1629">
        <f>K323-K321</f>
        <v>104.71999999999935</v>
      </c>
      <c r="N323" s="1627" t="s">
        <v>226</v>
      </c>
      <c r="O323" s="1627" t="s">
        <v>237</v>
      </c>
      <c r="P323" s="1627" t="s">
        <v>150</v>
      </c>
      <c r="Q323" s="1627" t="s">
        <v>226</v>
      </c>
      <c r="R323" s="1640">
        <v>0</v>
      </c>
      <c r="U323" s="1629" t="s">
        <v>271</v>
      </c>
      <c r="W323" s="1634"/>
      <c r="X323" s="1629">
        <f>X321+C19</f>
        <v>8774.7716</v>
      </c>
      <c r="Z323" s="1629">
        <f>X323-X321</f>
        <v>104.71999999999935</v>
      </c>
      <c r="AE323" s="1630"/>
      <c r="AF323" s="1627" t="s">
        <v>271</v>
      </c>
      <c r="AH323" s="1632"/>
      <c r="AI323" s="1640">
        <f>AI321+C19</f>
        <v>8359.7894399999986</v>
      </c>
      <c r="AJ323" s="1629">
        <f>AI323-AI321</f>
        <v>104.71999999999935</v>
      </c>
    </row>
    <row r="324" spans="1:36" ht="24" customHeight="1">
      <c r="A324" s="1647">
        <f t="shared" si="26"/>
        <v>163</v>
      </c>
      <c r="B324" s="1627" t="s">
        <v>987</v>
      </c>
      <c r="C324" s="1695"/>
      <c r="D324" s="1695"/>
      <c r="H324" s="1627" t="s">
        <v>272</v>
      </c>
      <c r="K324" s="1640">
        <f>(K323+C20)</f>
        <v>8430.4786000000004</v>
      </c>
      <c r="L324" s="1629">
        <f>K324-K323</f>
        <v>211.26000000000022</v>
      </c>
      <c r="R324" s="1636" t="s">
        <v>21</v>
      </c>
      <c r="U324" s="1629" t="s">
        <v>272</v>
      </c>
      <c r="W324" s="1634"/>
      <c r="X324" s="1629">
        <f>X323+C20</f>
        <v>8986.0316000000003</v>
      </c>
      <c r="Z324" s="1629">
        <f>X324-X323</f>
        <v>211.26000000000022</v>
      </c>
      <c r="AE324" s="1630"/>
      <c r="AF324" s="1627" t="s">
        <v>272</v>
      </c>
      <c r="AH324" s="1632"/>
      <c r="AI324" s="1640">
        <f>AI323+C20</f>
        <v>8571.0494399999989</v>
      </c>
      <c r="AJ324" s="1629">
        <f>AI324-AI323</f>
        <v>211.26000000000022</v>
      </c>
    </row>
    <row r="325" spans="1:36" ht="24" customHeight="1">
      <c r="A325" s="1647">
        <f t="shared" si="26"/>
        <v>164</v>
      </c>
      <c r="B325" s="1627" t="s">
        <v>979</v>
      </c>
      <c r="C325" s="1686">
        <v>14.91</v>
      </c>
      <c r="D325" s="1693" t="s">
        <v>552</v>
      </c>
      <c r="H325" s="1627" t="s">
        <v>767</v>
      </c>
      <c r="K325" s="1640">
        <f>(K324+C21)</f>
        <v>8641.7386000000006</v>
      </c>
      <c r="M325" s="1629">
        <f>(K325+K324)/2</f>
        <v>8536.1085999999996</v>
      </c>
      <c r="O325" s="1627" t="s">
        <v>238</v>
      </c>
      <c r="R325" s="1640">
        <f>SUM(R319:R323)</f>
        <v>3867.71</v>
      </c>
      <c r="U325" s="1629" t="s">
        <v>767</v>
      </c>
      <c r="W325" s="1634"/>
      <c r="X325" s="1629">
        <f>X324+C20</f>
        <v>9197.2916000000005</v>
      </c>
      <c r="AE325" s="1630"/>
      <c r="AF325" s="1627" t="s">
        <v>767</v>
      </c>
      <c r="AH325" s="1632"/>
      <c r="AI325" s="1640">
        <f>AI324+C20</f>
        <v>8782.3094399999991</v>
      </c>
      <c r="AJ325" s="1629">
        <f>AI324-AI323</f>
        <v>211.26000000000022</v>
      </c>
    </row>
    <row r="326" spans="1:36" ht="24" customHeight="1">
      <c r="A326" s="1647">
        <f t="shared" si="26"/>
        <v>165</v>
      </c>
      <c r="B326" s="1627" t="s">
        <v>980</v>
      </c>
      <c r="C326" s="1686">
        <v>19.41</v>
      </c>
      <c r="D326" s="1693" t="s">
        <v>552</v>
      </c>
      <c r="H326" s="1627" t="s">
        <v>769</v>
      </c>
      <c r="K326" s="1640">
        <f>(K325+C21)</f>
        <v>8852.9986000000008</v>
      </c>
      <c r="R326" s="1636" t="s">
        <v>21</v>
      </c>
      <c r="U326" s="1629" t="s">
        <v>769</v>
      </c>
      <c r="W326" s="1634"/>
      <c r="X326" s="1629">
        <f>X325+C20</f>
        <v>9408.5516000000007</v>
      </c>
      <c r="AE326" s="1630"/>
      <c r="AF326" s="1627" t="s">
        <v>769</v>
      </c>
      <c r="AH326" s="1632"/>
      <c r="AI326" s="1640">
        <f>AI325+C20</f>
        <v>8993.5694399999993</v>
      </c>
    </row>
    <row r="327" spans="1:36" ht="24" customHeight="1">
      <c r="A327" s="1647">
        <f t="shared" si="26"/>
        <v>166</v>
      </c>
      <c r="B327" s="1627" t="s">
        <v>982</v>
      </c>
      <c r="C327" s="1686">
        <v>22.22</v>
      </c>
      <c r="D327" s="1693" t="s">
        <v>552</v>
      </c>
      <c r="H327" s="1627" t="s">
        <v>773</v>
      </c>
      <c r="K327" s="1640">
        <f>(K326+C21)</f>
        <v>9064.258600000001</v>
      </c>
      <c r="O327" s="1627" t="s">
        <v>155</v>
      </c>
      <c r="R327" s="1640">
        <f>(R325/10)</f>
        <v>386.77100000000002</v>
      </c>
      <c r="U327" s="1629" t="s">
        <v>773</v>
      </c>
      <c r="W327" s="1634"/>
      <c r="X327" s="1629">
        <f>X326+C20</f>
        <v>9619.8116000000009</v>
      </c>
      <c r="AE327" s="1630"/>
      <c r="AF327" s="1627" t="s">
        <v>773</v>
      </c>
      <c r="AH327" s="1632"/>
      <c r="AI327" s="1640">
        <f>AI326+C20</f>
        <v>9204.8294399999995</v>
      </c>
    </row>
    <row r="328" spans="1:36" ht="24" customHeight="1">
      <c r="A328" s="1647"/>
      <c r="B328" s="1627"/>
      <c r="C328" s="1686"/>
      <c r="D328" s="1693"/>
      <c r="H328" s="1627"/>
      <c r="K328" s="1640"/>
      <c r="O328" s="1627"/>
      <c r="R328" s="1640"/>
      <c r="W328" s="1634"/>
      <c r="AG328" s="1640"/>
      <c r="AI328" s="1627"/>
    </row>
    <row r="329" spans="1:36" ht="24" customHeight="1">
      <c r="A329" s="1647"/>
      <c r="B329" s="1627"/>
      <c r="C329" s="1686"/>
      <c r="D329" s="1693"/>
      <c r="F329" s="1628" t="s">
        <v>988</v>
      </c>
      <c r="H329" s="1627" t="s">
        <v>5591</v>
      </c>
      <c r="K329" s="1696">
        <v>719</v>
      </c>
      <c r="L329" s="1629" t="s">
        <v>990</v>
      </c>
      <c r="O329" s="1627"/>
      <c r="R329" s="1640"/>
      <c r="W329" s="1634"/>
      <c r="AG329" s="1640"/>
      <c r="AI329" s="1627"/>
    </row>
    <row r="330" spans="1:36" ht="24" customHeight="1">
      <c r="A330" s="1647"/>
      <c r="B330" s="1627"/>
      <c r="C330" s="1686"/>
      <c r="D330" s="1693"/>
      <c r="H330" s="1627" t="s">
        <v>5144</v>
      </c>
      <c r="K330" s="1636" t="s">
        <v>156</v>
      </c>
      <c r="O330" s="1627"/>
      <c r="R330" s="1640"/>
      <c r="W330" s="1634"/>
      <c r="AG330" s="1640"/>
      <c r="AI330" s="1627"/>
    </row>
    <row r="331" spans="1:36" ht="24" customHeight="1">
      <c r="A331" s="1647"/>
      <c r="B331" s="1627"/>
      <c r="C331" s="1686"/>
      <c r="D331" s="1693"/>
      <c r="H331" s="1627"/>
      <c r="K331" s="1640"/>
      <c r="O331" s="1627"/>
      <c r="R331" s="1640"/>
      <c r="W331" s="1634"/>
      <c r="AG331" s="1640"/>
      <c r="AI331" s="1627"/>
    </row>
    <row r="332" spans="1:36" ht="24" customHeight="1">
      <c r="A332" s="1647">
        <f>(A327+1)</f>
        <v>167</v>
      </c>
      <c r="B332" s="1627" t="s">
        <v>983</v>
      </c>
      <c r="C332" s="1686">
        <v>46.42</v>
      </c>
      <c r="D332" s="1693" t="s">
        <v>552</v>
      </c>
      <c r="F332" s="1652">
        <v>9</v>
      </c>
      <c r="G332" s="1638" t="s">
        <v>249</v>
      </c>
      <c r="H332" s="1627" t="s">
        <v>992</v>
      </c>
      <c r="R332" s="1636" t="s">
        <v>156</v>
      </c>
      <c r="S332" s="1633">
        <v>9</v>
      </c>
      <c r="T332" s="1629" t="s">
        <v>249</v>
      </c>
      <c r="U332" s="1629" t="s">
        <v>993</v>
      </c>
      <c r="W332" s="1634"/>
      <c r="AD332" s="1652">
        <v>9</v>
      </c>
      <c r="AE332" s="1638" t="s">
        <v>249</v>
      </c>
      <c r="AF332" s="1627" t="s">
        <v>387</v>
      </c>
      <c r="AH332" s="1632"/>
    </row>
    <row r="333" spans="1:36" ht="24" customHeight="1">
      <c r="A333" s="1647">
        <f t="shared" si="26"/>
        <v>168</v>
      </c>
      <c r="B333" s="1627" t="s">
        <v>994</v>
      </c>
      <c r="C333" s="1695"/>
      <c r="D333" s="1695"/>
      <c r="H333" s="1627" t="str">
        <f>H309</f>
        <v>Bricks of size 22x11x7 cm</v>
      </c>
      <c r="U333" s="1629" t="s">
        <v>978</v>
      </c>
      <c r="W333" s="1634"/>
      <c r="AE333" s="1630"/>
      <c r="AF333" s="1627" t="str">
        <f>AF309</f>
        <v>Bricks of size 23x11.4x7.5 cm</v>
      </c>
      <c r="AH333" s="1632"/>
    </row>
    <row r="334" spans="1:36" ht="24" customHeight="1">
      <c r="A334" s="1647">
        <f t="shared" si="26"/>
        <v>169</v>
      </c>
      <c r="B334" s="1627" t="s">
        <v>979</v>
      </c>
      <c r="C334" s="1686">
        <v>8.58</v>
      </c>
      <c r="D334" s="1693" t="s">
        <v>4</v>
      </c>
      <c r="H334" s="1636" t="s">
        <v>21</v>
      </c>
      <c r="N334" s="1627" t="s">
        <v>249</v>
      </c>
      <c r="O334" s="1627" t="s">
        <v>995</v>
      </c>
      <c r="U334" s="1629" t="s">
        <v>21</v>
      </c>
      <c r="W334" s="1634"/>
      <c r="AE334" s="1630"/>
      <c r="AF334" s="1636" t="s">
        <v>21</v>
      </c>
      <c r="AH334" s="1632"/>
    </row>
    <row r="335" spans="1:36" ht="24" customHeight="1">
      <c r="A335" s="1647">
        <f t="shared" si="26"/>
        <v>170</v>
      </c>
      <c r="B335" s="1627" t="s">
        <v>980</v>
      </c>
      <c r="C335" s="1686">
        <v>12.26</v>
      </c>
      <c r="D335" s="1693" t="s">
        <v>4</v>
      </c>
      <c r="F335" s="1640">
        <f>F311</f>
        <v>4800</v>
      </c>
      <c r="G335" s="1638" t="s">
        <v>267</v>
      </c>
      <c r="H335" s="1640" t="str">
        <f>H309</f>
        <v>Bricks of size 22x11x7 cm</v>
      </c>
      <c r="I335" s="1640">
        <f>C80</f>
        <v>6623.52</v>
      </c>
      <c r="J335" s="1627" t="s">
        <v>268</v>
      </c>
      <c r="K335" s="1640">
        <f>(F335*I335)/1000</f>
        <v>31792.896000000004</v>
      </c>
      <c r="O335" s="1636" t="s">
        <v>21</v>
      </c>
      <c r="S335" s="1633">
        <v>4600</v>
      </c>
      <c r="T335" s="1629" t="s">
        <v>267</v>
      </c>
      <c r="U335" s="1629" t="s">
        <v>978</v>
      </c>
      <c r="V335" s="1629">
        <f>AE41</f>
        <v>8120.3099999999995</v>
      </c>
      <c r="W335" s="1634" t="s">
        <v>268</v>
      </c>
      <c r="X335" s="1629">
        <f>V335*S335/1000</f>
        <v>37353.425999999999</v>
      </c>
      <c r="AD335" s="1640">
        <f>AD311</f>
        <v>4240</v>
      </c>
      <c r="AE335" s="1638" t="s">
        <v>267</v>
      </c>
      <c r="AF335" s="1640" t="str">
        <f>AF309</f>
        <v>Bricks of size 23x11.4x7.5 cm</v>
      </c>
      <c r="AG335" s="1640">
        <f>AE42</f>
        <v>8320.31</v>
      </c>
      <c r="AH335" s="1627" t="s">
        <v>268</v>
      </c>
      <c r="AI335" s="1640">
        <f>AG335*AD335/1000</f>
        <v>35278.114399999999</v>
      </c>
    </row>
    <row r="336" spans="1:36" ht="24" customHeight="1">
      <c r="A336" s="1647">
        <f t="shared" si="26"/>
        <v>171</v>
      </c>
      <c r="B336" s="1627" t="s">
        <v>982</v>
      </c>
      <c r="C336" s="1686">
        <v>13.89</v>
      </c>
      <c r="D336" s="1693" t="s">
        <v>4</v>
      </c>
      <c r="F336" s="1640">
        <f>F312</f>
        <v>2.5</v>
      </c>
      <c r="G336" s="1638" t="s">
        <v>151</v>
      </c>
      <c r="H336" s="1627" t="s">
        <v>260</v>
      </c>
      <c r="I336" s="1640">
        <f>K58</f>
        <v>3869.1</v>
      </c>
      <c r="J336" s="1627" t="s">
        <v>151</v>
      </c>
      <c r="K336" s="1640">
        <f>(F336*I336)</f>
        <v>9672.75</v>
      </c>
      <c r="M336" s="1640">
        <v>0.22</v>
      </c>
      <c r="N336" s="1627" t="s">
        <v>151</v>
      </c>
      <c r="O336" s="1627" t="s">
        <v>259</v>
      </c>
      <c r="P336" s="1640">
        <f>(K49)</f>
        <v>4159.0200000000004</v>
      </c>
      <c r="Q336" s="1627" t="s">
        <v>151</v>
      </c>
      <c r="R336" s="1640">
        <f>(M336*P336)</f>
        <v>914.98440000000005</v>
      </c>
      <c r="S336" s="1633">
        <v>2.5</v>
      </c>
      <c r="T336" s="1629" t="s">
        <v>151</v>
      </c>
      <c r="U336" s="1629" t="s">
        <v>260</v>
      </c>
      <c r="V336" s="1629">
        <f>I336</f>
        <v>3869.1</v>
      </c>
      <c r="W336" s="1634" t="s">
        <v>151</v>
      </c>
      <c r="X336" s="1629">
        <f t="shared" ref="X336:X341" si="28">V336*S336</f>
        <v>9672.75</v>
      </c>
      <c r="AD336" s="1640">
        <f>AD312</f>
        <v>2</v>
      </c>
      <c r="AE336" s="1638" t="s">
        <v>151</v>
      </c>
      <c r="AF336" s="1627" t="s">
        <v>260</v>
      </c>
      <c r="AG336" s="1640">
        <f>V336</f>
        <v>3869.1</v>
      </c>
      <c r="AH336" s="1627" t="s">
        <v>151</v>
      </c>
      <c r="AI336" s="1640">
        <f>AG336*AD336</f>
        <v>7738.2</v>
      </c>
    </row>
    <row r="337" spans="1:35" ht="24" customHeight="1">
      <c r="A337" s="1647">
        <f t="shared" si="26"/>
        <v>172</v>
      </c>
      <c r="B337" s="1627" t="s">
        <v>983</v>
      </c>
      <c r="C337" s="1686">
        <v>36.25</v>
      </c>
      <c r="D337" s="1693" t="s">
        <v>4</v>
      </c>
      <c r="F337" s="1640">
        <v>3.5</v>
      </c>
      <c r="G337" s="1638" t="s">
        <v>153</v>
      </c>
      <c r="H337" s="1627" t="s">
        <v>269</v>
      </c>
      <c r="I337" s="1640">
        <f>C10</f>
        <v>1325.8</v>
      </c>
      <c r="J337" s="1627" t="s">
        <v>153</v>
      </c>
      <c r="K337" s="1640">
        <f>(F337*I337)</f>
        <v>4640.3</v>
      </c>
      <c r="M337" s="1640">
        <v>2.2000000000000002</v>
      </c>
      <c r="N337" s="1627" t="s">
        <v>153</v>
      </c>
      <c r="O337" s="1627" t="s">
        <v>269</v>
      </c>
      <c r="P337" s="1640">
        <f>(C10)</f>
        <v>1325.8</v>
      </c>
      <c r="Q337" s="1627" t="s">
        <v>153</v>
      </c>
      <c r="R337" s="1640">
        <f>(M337*P337)</f>
        <v>2916.76</v>
      </c>
      <c r="S337" s="1633">
        <v>3.5</v>
      </c>
      <c r="T337" s="1629" t="s">
        <v>153</v>
      </c>
      <c r="U337" s="1629" t="s">
        <v>269</v>
      </c>
      <c r="V337" s="1629">
        <f>I337</f>
        <v>1325.8</v>
      </c>
      <c r="W337" s="1634" t="s">
        <v>153</v>
      </c>
      <c r="X337" s="1629">
        <f t="shared" si="28"/>
        <v>4640.3</v>
      </c>
      <c r="AD337" s="1640">
        <v>3.5</v>
      </c>
      <c r="AE337" s="1638" t="s">
        <v>153</v>
      </c>
      <c r="AF337" s="1627" t="s">
        <v>269</v>
      </c>
      <c r="AG337" s="1640">
        <f>V337</f>
        <v>1325.8</v>
      </c>
      <c r="AH337" s="1627" t="s">
        <v>153</v>
      </c>
      <c r="AI337" s="1640">
        <f>AG337*AD337</f>
        <v>4640.3</v>
      </c>
    </row>
    <row r="338" spans="1:35" ht="24" customHeight="1">
      <c r="A338" s="1647">
        <f t="shared" si="26"/>
        <v>173</v>
      </c>
      <c r="B338" s="1627" t="s">
        <v>996</v>
      </c>
      <c r="C338" s="1695"/>
      <c r="D338" s="1695"/>
      <c r="F338" s="1640">
        <v>10.6</v>
      </c>
      <c r="G338" s="1638" t="s">
        <v>153</v>
      </c>
      <c r="H338" s="1627" t="s">
        <v>234</v>
      </c>
      <c r="I338" s="1640">
        <f>C11</f>
        <v>1237.5999999999999</v>
      </c>
      <c r="J338" s="1627" t="s">
        <v>153</v>
      </c>
      <c r="K338" s="1640">
        <f>(F338*I338)</f>
        <v>13118.56</v>
      </c>
      <c r="M338" s="1640">
        <v>0.5</v>
      </c>
      <c r="N338" s="1627" t="s">
        <v>153</v>
      </c>
      <c r="O338" s="1627" t="s">
        <v>235</v>
      </c>
      <c r="P338" s="1640">
        <f>(C12)</f>
        <v>865.19999999999993</v>
      </c>
      <c r="Q338" s="1627" t="s">
        <v>153</v>
      </c>
      <c r="R338" s="1640">
        <f>(M338*P338)</f>
        <v>432.59999999999997</v>
      </c>
      <c r="S338" s="1633">
        <v>10.6</v>
      </c>
      <c r="T338" s="1629" t="s">
        <v>153</v>
      </c>
      <c r="U338" s="1629" t="s">
        <v>234</v>
      </c>
      <c r="V338" s="1629">
        <f>I338</f>
        <v>1237.5999999999999</v>
      </c>
      <c r="W338" s="1634" t="s">
        <v>153</v>
      </c>
      <c r="X338" s="1629">
        <f t="shared" si="28"/>
        <v>13118.56</v>
      </c>
      <c r="AD338" s="1640">
        <v>10.6</v>
      </c>
      <c r="AE338" s="1638" t="s">
        <v>153</v>
      </c>
      <c r="AF338" s="1627" t="s">
        <v>234</v>
      </c>
      <c r="AG338" s="1640">
        <f>V338</f>
        <v>1237.5999999999999</v>
      </c>
      <c r="AH338" s="1627" t="s">
        <v>153</v>
      </c>
      <c r="AI338" s="1640">
        <f>AG338*AD338</f>
        <v>13118.56</v>
      </c>
    </row>
    <row r="339" spans="1:35" ht="24" customHeight="1">
      <c r="A339" s="1647">
        <f t="shared" si="26"/>
        <v>174</v>
      </c>
      <c r="B339" s="1627" t="s">
        <v>979</v>
      </c>
      <c r="C339" s="1686">
        <v>15.7</v>
      </c>
      <c r="D339" s="1693" t="s">
        <v>4</v>
      </c>
      <c r="F339" s="1640">
        <v>7.1</v>
      </c>
      <c r="G339" s="1638" t="s">
        <v>153</v>
      </c>
      <c r="H339" s="1627" t="s">
        <v>235</v>
      </c>
      <c r="I339" s="1640">
        <f>C12</f>
        <v>865.19999999999993</v>
      </c>
      <c r="J339" s="1627" t="s">
        <v>153</v>
      </c>
      <c r="K339" s="1640">
        <f>(F339*I339)</f>
        <v>6142.9199999999992</v>
      </c>
      <c r="M339" s="1640">
        <v>3.2</v>
      </c>
      <c r="N339" s="1627" t="s">
        <v>153</v>
      </c>
      <c r="O339" s="1627" t="s">
        <v>236</v>
      </c>
      <c r="P339" s="1640">
        <f>(C13)</f>
        <v>709.8</v>
      </c>
      <c r="Q339" s="1627" t="s">
        <v>153</v>
      </c>
      <c r="R339" s="1640">
        <f>(M339*P339)</f>
        <v>2271.36</v>
      </c>
      <c r="S339" s="1633">
        <v>7.1</v>
      </c>
      <c r="T339" s="1629" t="s">
        <v>153</v>
      </c>
      <c r="U339" s="1629" t="s">
        <v>235</v>
      </c>
      <c r="V339" s="1629">
        <f>I339</f>
        <v>865.19999999999993</v>
      </c>
      <c r="W339" s="1634" t="s">
        <v>153</v>
      </c>
      <c r="X339" s="1629">
        <f t="shared" si="28"/>
        <v>6142.9199999999992</v>
      </c>
      <c r="AD339" s="1640">
        <v>7.1</v>
      </c>
      <c r="AE339" s="1638" t="s">
        <v>153</v>
      </c>
      <c r="AF339" s="1627" t="s">
        <v>235</v>
      </c>
      <c r="AG339" s="1640">
        <f>V339</f>
        <v>865.19999999999993</v>
      </c>
      <c r="AH339" s="1627" t="s">
        <v>153</v>
      </c>
      <c r="AI339" s="1640">
        <f>AG339*AD339</f>
        <v>6142.9199999999992</v>
      </c>
    </row>
    <row r="340" spans="1:35" ht="24" customHeight="1">
      <c r="A340" s="1647">
        <f t="shared" si="26"/>
        <v>175</v>
      </c>
      <c r="B340" s="1627" t="s">
        <v>980</v>
      </c>
      <c r="C340" s="1686">
        <v>22.31</v>
      </c>
      <c r="D340" s="1693" t="s">
        <v>4</v>
      </c>
      <c r="F340" s="1640">
        <v>21.2</v>
      </c>
      <c r="G340" s="1638" t="s">
        <v>153</v>
      </c>
      <c r="H340" s="1627" t="s">
        <v>236</v>
      </c>
      <c r="I340" s="1640">
        <f>C13</f>
        <v>709.8</v>
      </c>
      <c r="J340" s="1627" t="s">
        <v>153</v>
      </c>
      <c r="K340" s="1640">
        <f>(F340*I340)</f>
        <v>15047.759999999998</v>
      </c>
      <c r="N340" s="1627" t="s">
        <v>226</v>
      </c>
      <c r="O340" s="1627" t="s">
        <v>237</v>
      </c>
      <c r="P340" s="1627" t="s">
        <v>150</v>
      </c>
      <c r="Q340" s="1627" t="s">
        <v>226</v>
      </c>
      <c r="R340" s="1640">
        <v>0</v>
      </c>
      <c r="S340" s="1633">
        <v>21.2</v>
      </c>
      <c r="T340" s="1629" t="s">
        <v>153</v>
      </c>
      <c r="U340" s="1629" t="s">
        <v>236</v>
      </c>
      <c r="V340" s="1629">
        <f>I340</f>
        <v>709.8</v>
      </c>
      <c r="W340" s="1634" t="s">
        <v>153</v>
      </c>
      <c r="X340" s="1629">
        <f t="shared" si="28"/>
        <v>15047.759999999998</v>
      </c>
      <c r="AD340" s="1640">
        <v>21.2</v>
      </c>
      <c r="AE340" s="1638" t="s">
        <v>153</v>
      </c>
      <c r="AF340" s="1627" t="s">
        <v>236</v>
      </c>
      <c r="AG340" s="1640">
        <f>V340</f>
        <v>709.8</v>
      </c>
      <c r="AH340" s="1627" t="s">
        <v>153</v>
      </c>
      <c r="AI340" s="1640">
        <f>AG340*AD340</f>
        <v>15047.759999999998</v>
      </c>
    </row>
    <row r="341" spans="1:35" ht="24" customHeight="1">
      <c r="A341" s="1647">
        <f t="shared" si="26"/>
        <v>176</v>
      </c>
      <c r="B341" s="1627" t="s">
        <v>982</v>
      </c>
      <c r="C341" s="1686">
        <v>25.24</v>
      </c>
      <c r="D341" s="1693" t="s">
        <v>4</v>
      </c>
      <c r="G341" s="1638" t="s">
        <v>226</v>
      </c>
      <c r="H341" s="1627" t="s">
        <v>237</v>
      </c>
      <c r="J341" s="1627" t="s">
        <v>226</v>
      </c>
      <c r="K341" s="1640">
        <v>0</v>
      </c>
      <c r="R341" s="1636" t="s">
        <v>21</v>
      </c>
      <c r="T341" s="1629" t="s">
        <v>226</v>
      </c>
      <c r="U341" s="1629" t="s">
        <v>237</v>
      </c>
      <c r="W341" s="1634" t="s">
        <v>226</v>
      </c>
      <c r="X341" s="1629">
        <f t="shared" si="28"/>
        <v>0</v>
      </c>
      <c r="AE341" s="1638" t="s">
        <v>226</v>
      </c>
      <c r="AF341" s="1627" t="s">
        <v>237</v>
      </c>
      <c r="AH341" s="1627" t="s">
        <v>226</v>
      </c>
      <c r="AI341" s="1640">
        <v>5</v>
      </c>
    </row>
    <row r="342" spans="1:35" ht="24" customHeight="1">
      <c r="A342" s="1647">
        <f t="shared" si="26"/>
        <v>177</v>
      </c>
      <c r="B342" s="1627" t="s">
        <v>983</v>
      </c>
      <c r="C342" s="1686">
        <v>52.34</v>
      </c>
      <c r="D342" s="1693" t="s">
        <v>4</v>
      </c>
      <c r="K342" s="1636" t="s">
        <v>21</v>
      </c>
      <c r="O342" s="1627" t="s">
        <v>238</v>
      </c>
      <c r="R342" s="1640">
        <f>SUM(R336:R340)</f>
        <v>6535.7044000000005</v>
      </c>
      <c r="W342" s="1634"/>
      <c r="X342" s="1636" t="s">
        <v>21</v>
      </c>
      <c r="Y342" s="1636"/>
      <c r="AE342" s="1630"/>
      <c r="AH342" s="1632"/>
      <c r="AI342" s="1636" t="s">
        <v>21</v>
      </c>
    </row>
    <row r="343" spans="1:35" ht="24" customHeight="1">
      <c r="A343" s="1647">
        <f t="shared" si="26"/>
        <v>178</v>
      </c>
      <c r="B343" s="1627" t="s">
        <v>997</v>
      </c>
      <c r="C343" s="1695"/>
      <c r="D343" s="1695"/>
      <c r="H343" s="1627" t="s">
        <v>263</v>
      </c>
      <c r="K343" s="1640">
        <f>SUM(K335:K341)</f>
        <v>80415.186000000002</v>
      </c>
      <c r="R343" s="1636" t="s">
        <v>21</v>
      </c>
      <c r="U343" s="1629" t="s">
        <v>263</v>
      </c>
      <c r="W343" s="1634"/>
      <c r="X343" s="1629">
        <f>SUM(X335:X342)</f>
        <v>85975.716</v>
      </c>
      <c r="AE343" s="1630"/>
      <c r="AF343" s="1627" t="s">
        <v>263</v>
      </c>
      <c r="AH343" s="1632"/>
      <c r="AI343" s="1640">
        <f>SUM(AI335:AI341)</f>
        <v>81970.854399999997</v>
      </c>
    </row>
    <row r="344" spans="1:35" ht="24" customHeight="1">
      <c r="A344" s="1647">
        <f t="shared" si="26"/>
        <v>179</v>
      </c>
      <c r="B344" s="1627" t="s">
        <v>979</v>
      </c>
      <c r="C344" s="1686">
        <v>13.73</v>
      </c>
      <c r="D344" s="1693" t="s">
        <v>4</v>
      </c>
      <c r="K344" s="1636" t="s">
        <v>21</v>
      </c>
      <c r="O344" s="1627" t="s">
        <v>155</v>
      </c>
      <c r="R344" s="1640">
        <f>(R342/10)</f>
        <v>653.57044000000008</v>
      </c>
      <c r="W344" s="1634"/>
      <c r="X344" s="1636" t="s">
        <v>21</v>
      </c>
      <c r="Y344" s="1636"/>
      <c r="AE344" s="1630"/>
      <c r="AH344" s="1632"/>
      <c r="AI344" s="1636" t="s">
        <v>21</v>
      </c>
    </row>
    <row r="345" spans="1:35" ht="24" customHeight="1">
      <c r="A345" s="1647">
        <f t="shared" si="26"/>
        <v>180</v>
      </c>
      <c r="B345" s="1627" t="s">
        <v>980</v>
      </c>
      <c r="C345" s="1686">
        <v>20.16</v>
      </c>
      <c r="D345" s="1693" t="s">
        <v>4</v>
      </c>
      <c r="H345" s="1628" t="s">
        <v>270</v>
      </c>
      <c r="K345" s="1640">
        <f>(K343/10)</f>
        <v>8041.5186000000003</v>
      </c>
      <c r="R345" s="1636" t="s">
        <v>156</v>
      </c>
      <c r="U345" s="1629" t="s">
        <v>270</v>
      </c>
      <c r="W345" s="1634"/>
      <c r="X345" s="1629">
        <f>X343/10</f>
        <v>8597.5715999999993</v>
      </c>
      <c r="AE345" s="1630"/>
      <c r="AF345" s="1628" t="s">
        <v>270</v>
      </c>
      <c r="AH345" s="1632"/>
      <c r="AI345" s="1640">
        <f>(AI343/10)</f>
        <v>8197.0854399999989</v>
      </c>
    </row>
    <row r="346" spans="1:35" ht="24" customHeight="1">
      <c r="A346" s="1647">
        <f t="shared" si="26"/>
        <v>181</v>
      </c>
      <c r="B346" s="1627" t="s">
        <v>982</v>
      </c>
      <c r="C346" s="1686">
        <v>22.73</v>
      </c>
      <c r="D346" s="1693" t="s">
        <v>4</v>
      </c>
      <c r="K346" s="1636" t="s">
        <v>156</v>
      </c>
      <c r="N346" s="1627" t="s">
        <v>249</v>
      </c>
      <c r="O346" s="1627" t="s">
        <v>998</v>
      </c>
      <c r="W346" s="1634"/>
      <c r="X346" s="1664" t="s">
        <v>999</v>
      </c>
      <c r="Y346" s="1664"/>
      <c r="AE346" s="1630"/>
      <c r="AH346" s="1632"/>
      <c r="AI346" s="1636" t="s">
        <v>156</v>
      </c>
    </row>
    <row r="347" spans="1:35" ht="24" customHeight="1">
      <c r="A347" s="1647">
        <f t="shared" ref="A347:A410" si="29">(A346+1)</f>
        <v>182</v>
      </c>
      <c r="B347" s="1627" t="s">
        <v>983</v>
      </c>
      <c r="C347" s="1686">
        <v>46.98</v>
      </c>
      <c r="D347" s="1693" t="s">
        <v>150</v>
      </c>
      <c r="H347" s="1627" t="s">
        <v>271</v>
      </c>
      <c r="K347" s="1639">
        <f>(K345+C19)</f>
        <v>8146.2386000000006</v>
      </c>
      <c r="L347" s="1629">
        <f>K347-K345</f>
        <v>104.72000000000025</v>
      </c>
      <c r="O347" s="1636" t="s">
        <v>21</v>
      </c>
      <c r="U347" s="1661" t="s">
        <v>271</v>
      </c>
      <c r="W347" s="1634"/>
      <c r="X347" s="1661">
        <f>X345+C19</f>
        <v>8702.2915999999987</v>
      </c>
      <c r="Y347" s="1661"/>
      <c r="AE347" s="1630"/>
      <c r="AF347" s="1627" t="s">
        <v>271</v>
      </c>
      <c r="AH347" s="1632"/>
      <c r="AI347" s="1639">
        <f>(AI345+C19)</f>
        <v>8301.8054399999983</v>
      </c>
    </row>
    <row r="348" spans="1:35" ht="24" customHeight="1">
      <c r="A348" s="1647">
        <f t="shared" si="29"/>
        <v>183</v>
      </c>
      <c r="B348" s="1627" t="s">
        <v>1000</v>
      </c>
      <c r="C348" s="1695"/>
      <c r="D348" s="1695"/>
      <c r="H348" s="1627" t="s">
        <v>272</v>
      </c>
      <c r="K348" s="1639">
        <f>(K347+C20)</f>
        <v>8357.4986000000008</v>
      </c>
      <c r="L348" s="1629">
        <f>K348-K347</f>
        <v>211.26000000000022</v>
      </c>
      <c r="M348" s="1640">
        <v>0.22</v>
      </c>
      <c r="N348" s="1627" t="s">
        <v>151</v>
      </c>
      <c r="O348" s="1627" t="s">
        <v>257</v>
      </c>
      <c r="P348" s="1640">
        <f>(K32)</f>
        <v>5318.7</v>
      </c>
      <c r="Q348" s="1627" t="s">
        <v>151</v>
      </c>
      <c r="R348" s="1640">
        <f>(M348*P348)</f>
        <v>1170.114</v>
      </c>
      <c r="U348" s="1661" t="s">
        <v>272</v>
      </c>
      <c r="W348" s="1634"/>
      <c r="X348" s="1661">
        <f>X347+C20</f>
        <v>8913.5515999999989</v>
      </c>
      <c r="Y348" s="1661"/>
      <c r="AE348" s="1630"/>
      <c r="AF348" s="1627" t="s">
        <v>272</v>
      </c>
      <c r="AH348" s="1632"/>
      <c r="AI348" s="1639">
        <f>(AI347+C20)</f>
        <v>8513.0654399999985</v>
      </c>
    </row>
    <row r="349" spans="1:35" ht="24" customHeight="1">
      <c r="A349" s="1647">
        <f t="shared" si="29"/>
        <v>184</v>
      </c>
      <c r="B349" s="1627" t="s">
        <v>979</v>
      </c>
      <c r="C349" s="1686">
        <v>19.3</v>
      </c>
      <c r="D349" s="1693" t="s">
        <v>4</v>
      </c>
      <c r="H349" s="1627" t="s">
        <v>767</v>
      </c>
      <c r="K349" s="1639">
        <f>(K348+C20)</f>
        <v>8568.758600000001</v>
      </c>
      <c r="L349" s="1629">
        <f>K349-K348</f>
        <v>211.26000000000022</v>
      </c>
      <c r="M349" s="1640">
        <v>2.2000000000000002</v>
      </c>
      <c r="N349" s="1627" t="s">
        <v>153</v>
      </c>
      <c r="O349" s="1627" t="s">
        <v>269</v>
      </c>
      <c r="P349" s="1640">
        <f>(C10)</f>
        <v>1325.8</v>
      </c>
      <c r="Q349" s="1627" t="s">
        <v>153</v>
      </c>
      <c r="R349" s="1640">
        <f>(M349*P349)</f>
        <v>2916.76</v>
      </c>
      <c r="U349" s="1661" t="s">
        <v>767</v>
      </c>
      <c r="W349" s="1634"/>
      <c r="X349" s="1661">
        <f>X348+C20</f>
        <v>9124.8115999999991</v>
      </c>
      <c r="Y349" s="1661"/>
      <c r="AE349" s="1630"/>
      <c r="AF349" s="1627" t="s">
        <v>767</v>
      </c>
      <c r="AH349" s="1632"/>
      <c r="AI349" s="1639">
        <f>(AI348+C20)</f>
        <v>8724.3254399999987</v>
      </c>
    </row>
    <row r="350" spans="1:35" ht="24" customHeight="1">
      <c r="A350" s="1647">
        <f t="shared" si="29"/>
        <v>185</v>
      </c>
      <c r="B350" s="1627" t="s">
        <v>982</v>
      </c>
      <c r="C350" s="1686">
        <v>33.46</v>
      </c>
      <c r="D350" s="1693" t="s">
        <v>4</v>
      </c>
      <c r="H350" s="1627" t="s">
        <v>769</v>
      </c>
      <c r="K350" s="1639">
        <f>(K349+C21)</f>
        <v>8780.0186000000012</v>
      </c>
      <c r="M350" s="1640">
        <v>0.5</v>
      </c>
      <c r="N350" s="1627" t="s">
        <v>153</v>
      </c>
      <c r="O350" s="1627" t="s">
        <v>235</v>
      </c>
      <c r="P350" s="1640">
        <f>(C12)</f>
        <v>865.19999999999993</v>
      </c>
      <c r="Q350" s="1627" t="s">
        <v>153</v>
      </c>
      <c r="R350" s="1640">
        <f>(M350*P350)</f>
        <v>432.59999999999997</v>
      </c>
      <c r="U350" s="1661" t="s">
        <v>769</v>
      </c>
      <c r="W350" s="1634"/>
      <c r="X350" s="1661">
        <f>X349+C20</f>
        <v>9336.0715999999993</v>
      </c>
      <c r="Y350" s="1661"/>
      <c r="AE350" s="1630"/>
      <c r="AF350" s="1627" t="s">
        <v>769</v>
      </c>
      <c r="AH350" s="1632"/>
      <c r="AI350" s="1639">
        <f>(AI349+C20)</f>
        <v>8935.5854399999989</v>
      </c>
    </row>
    <row r="351" spans="1:35" ht="24" customHeight="1">
      <c r="A351" s="1647">
        <f t="shared" si="29"/>
        <v>186</v>
      </c>
      <c r="B351" s="1627" t="s">
        <v>983</v>
      </c>
      <c r="C351" s="1686">
        <v>53.62</v>
      </c>
      <c r="D351" s="1693" t="s">
        <v>4</v>
      </c>
      <c r="F351" s="1627" t="s">
        <v>150</v>
      </c>
      <c r="H351" s="1627" t="s">
        <v>773</v>
      </c>
      <c r="K351" s="1639">
        <f>(K350+C21)</f>
        <v>8991.2786000000015</v>
      </c>
      <c r="L351" s="1629">
        <f>K351-K350</f>
        <v>211.26000000000022</v>
      </c>
      <c r="M351" s="1640">
        <v>3.2</v>
      </c>
      <c r="N351" s="1627" t="s">
        <v>153</v>
      </c>
      <c r="O351" s="1627" t="s">
        <v>236</v>
      </c>
      <c r="P351" s="1640">
        <f>(C13)</f>
        <v>709.8</v>
      </c>
      <c r="Q351" s="1627" t="s">
        <v>153</v>
      </c>
      <c r="R351" s="1640">
        <f>(M351*P351)</f>
        <v>2271.36</v>
      </c>
      <c r="S351" s="1633" t="s">
        <v>150</v>
      </c>
      <c r="U351" s="1661" t="s">
        <v>773</v>
      </c>
      <c r="W351" s="1634"/>
      <c r="X351" s="1661">
        <f>X350+C20</f>
        <v>9547.3315999999995</v>
      </c>
      <c r="Y351" s="1661"/>
      <c r="AD351" s="1627" t="s">
        <v>150</v>
      </c>
      <c r="AE351" s="1630"/>
      <c r="AF351" s="1627" t="s">
        <v>773</v>
      </c>
      <c r="AH351" s="1632"/>
      <c r="AI351" s="1639">
        <f>(AI350+C20)</f>
        <v>9146.8454399999991</v>
      </c>
    </row>
    <row r="352" spans="1:35" ht="24" customHeight="1">
      <c r="A352" s="1647">
        <f t="shared" si="29"/>
        <v>187</v>
      </c>
      <c r="B352" s="1627" t="s">
        <v>1001</v>
      </c>
      <c r="C352" s="1695"/>
      <c r="D352" s="1695"/>
      <c r="F352" s="1652">
        <v>27</v>
      </c>
      <c r="G352" s="1638" t="s">
        <v>249</v>
      </c>
      <c r="H352" s="1627" t="s">
        <v>1002</v>
      </c>
      <c r="L352" s="1629">
        <f>K351+L351</f>
        <v>9202.5386000000017</v>
      </c>
      <c r="N352" s="1627" t="s">
        <v>226</v>
      </c>
      <c r="O352" s="1627" t="s">
        <v>237</v>
      </c>
      <c r="P352" s="1627" t="s">
        <v>150</v>
      </c>
      <c r="Q352" s="1627" t="s">
        <v>226</v>
      </c>
      <c r="R352" s="1640">
        <v>0</v>
      </c>
      <c r="S352" s="1633">
        <v>27</v>
      </c>
      <c r="T352" s="1629" t="s">
        <v>249</v>
      </c>
      <c r="U352" s="1629" t="s">
        <v>1003</v>
      </c>
      <c r="W352" s="1634"/>
      <c r="AD352" s="1627"/>
      <c r="AE352" s="1630"/>
      <c r="AF352" s="1627">
        <v>5</v>
      </c>
      <c r="AH352" s="1632"/>
      <c r="AI352" s="1639">
        <f>(AI351+C20)</f>
        <v>9358.1054399999994</v>
      </c>
    </row>
    <row r="353" spans="1:36" ht="24" customHeight="1">
      <c r="A353" s="1647">
        <f t="shared" si="29"/>
        <v>188</v>
      </c>
      <c r="B353" s="1627" t="s">
        <v>979</v>
      </c>
      <c r="C353" s="1686">
        <v>13.73</v>
      </c>
      <c r="D353" s="1693" t="s">
        <v>4</v>
      </c>
      <c r="H353" s="1627" t="str">
        <f>H333</f>
        <v>Bricks of size 22x11x7 cm</v>
      </c>
      <c r="L353" s="1629">
        <f>L352+L351</f>
        <v>9413.7986000000019</v>
      </c>
      <c r="R353" s="1636" t="s">
        <v>21</v>
      </c>
      <c r="U353" s="1629" t="s">
        <v>978</v>
      </c>
      <c r="W353" s="1634"/>
      <c r="AD353" s="1627"/>
      <c r="AE353" s="1630"/>
      <c r="AF353" s="1627">
        <v>6</v>
      </c>
      <c r="AH353" s="1632"/>
      <c r="AI353" s="1639">
        <f>(AI352+C20)</f>
        <v>9569.3654399999996</v>
      </c>
    </row>
    <row r="354" spans="1:36" ht="24" customHeight="1">
      <c r="A354" s="1647">
        <f t="shared" si="29"/>
        <v>189</v>
      </c>
      <c r="B354" s="1627" t="s">
        <v>980</v>
      </c>
      <c r="C354" s="1686">
        <v>20.16</v>
      </c>
      <c r="D354" s="1693" t="s">
        <v>4</v>
      </c>
      <c r="H354" s="1636" t="s">
        <v>21</v>
      </c>
      <c r="O354" s="1627" t="s">
        <v>238</v>
      </c>
      <c r="R354" s="1640">
        <f>SUM(R348:R352)</f>
        <v>6790.8340000000007</v>
      </c>
      <c r="U354" s="1629" t="s">
        <v>21</v>
      </c>
      <c r="W354" s="1634"/>
      <c r="AD354" s="1627"/>
      <c r="AE354" s="1630"/>
      <c r="AF354" s="1627">
        <v>7</v>
      </c>
      <c r="AH354" s="1632"/>
      <c r="AI354" s="1639">
        <f>(AI353+C20)</f>
        <v>9780.6254399999998</v>
      </c>
    </row>
    <row r="355" spans="1:36" ht="24" customHeight="1">
      <c r="A355" s="1647">
        <f t="shared" si="29"/>
        <v>190</v>
      </c>
      <c r="B355" s="1627" t="s">
        <v>982</v>
      </c>
      <c r="C355" s="1686">
        <v>22.73</v>
      </c>
      <c r="D355" s="1693" t="s">
        <v>4</v>
      </c>
      <c r="F355" s="1640">
        <v>4800</v>
      </c>
      <c r="G355" s="1638" t="s">
        <v>267</v>
      </c>
      <c r="H355" s="1640" t="str">
        <f>H309</f>
        <v>Bricks of size 22x11x7 cm</v>
      </c>
      <c r="I355" s="1640">
        <f>C80</f>
        <v>6623.52</v>
      </c>
      <c r="J355" s="1627" t="s">
        <v>268</v>
      </c>
      <c r="K355" s="1640">
        <f>(F355*I355)/1000</f>
        <v>31792.896000000004</v>
      </c>
      <c r="R355" s="1636" t="s">
        <v>21</v>
      </c>
      <c r="S355" s="1633">
        <v>4600</v>
      </c>
      <c r="T355" s="1629" t="s">
        <v>267</v>
      </c>
      <c r="U355" s="1629" t="s">
        <v>978</v>
      </c>
      <c r="V355" s="1629">
        <f>AE41</f>
        <v>8120.3099999999995</v>
      </c>
      <c r="W355" s="1634" t="s">
        <v>268</v>
      </c>
      <c r="X355" s="1629">
        <f>V355*S355/1000</f>
        <v>37353.425999999999</v>
      </c>
      <c r="AD355" s="1627"/>
      <c r="AE355" s="1630"/>
      <c r="AF355" s="1627">
        <v>8</v>
      </c>
      <c r="AH355" s="1632"/>
      <c r="AI355" s="1639">
        <f>(AI354+C20)</f>
        <v>9991.88544</v>
      </c>
    </row>
    <row r="356" spans="1:36" ht="24" customHeight="1">
      <c r="A356" s="1647">
        <f t="shared" si="29"/>
        <v>191</v>
      </c>
      <c r="B356" s="1627" t="s">
        <v>983</v>
      </c>
      <c r="C356" s="1686">
        <v>46.98</v>
      </c>
      <c r="D356" s="1693" t="s">
        <v>4</v>
      </c>
      <c r="F356" s="1640">
        <v>2.5</v>
      </c>
      <c r="G356" s="1638" t="s">
        <v>151</v>
      </c>
      <c r="H356" s="1627" t="s">
        <v>258</v>
      </c>
      <c r="I356" s="1640">
        <f>K40</f>
        <v>4593.8999999999996</v>
      </c>
      <c r="J356" s="1627" t="s">
        <v>151</v>
      </c>
      <c r="K356" s="1640">
        <f>(F356*I356)</f>
        <v>11484.75</v>
      </c>
      <c r="O356" s="1627" t="s">
        <v>155</v>
      </c>
      <c r="R356" s="1640">
        <f>(R354/10)</f>
        <v>679.0834000000001</v>
      </c>
      <c r="S356" s="1633">
        <v>2.5</v>
      </c>
      <c r="T356" s="1629" t="s">
        <v>151</v>
      </c>
      <c r="U356" s="1629" t="s">
        <v>258</v>
      </c>
      <c r="V356" s="1629">
        <f>I356</f>
        <v>4593.8999999999996</v>
      </c>
      <c r="W356" s="1634" t="s">
        <v>151</v>
      </c>
      <c r="X356" s="1629">
        <f>V356*S356</f>
        <v>11484.75</v>
      </c>
      <c r="AD356" s="1627"/>
      <c r="AE356" s="1630"/>
      <c r="AF356" s="1627">
        <v>9</v>
      </c>
      <c r="AH356" s="1632"/>
      <c r="AI356" s="1639">
        <f>(AI355+C20)</f>
        <v>10203.14544</v>
      </c>
    </row>
    <row r="357" spans="1:36" ht="24" customHeight="1">
      <c r="A357" s="1647">
        <f t="shared" si="29"/>
        <v>192</v>
      </c>
      <c r="B357" s="1627" t="s">
        <v>1004</v>
      </c>
      <c r="C357" s="1695"/>
      <c r="D357" s="1695"/>
      <c r="F357" s="1640">
        <v>3.5</v>
      </c>
      <c r="G357" s="1638" t="s">
        <v>153</v>
      </c>
      <c r="H357" s="1627" t="s">
        <v>269</v>
      </c>
      <c r="I357" s="1640">
        <f>(C10)</f>
        <v>1325.8</v>
      </c>
      <c r="J357" s="1627" t="s">
        <v>153</v>
      </c>
      <c r="K357" s="1640">
        <f>(F357*I357)</f>
        <v>4640.3</v>
      </c>
      <c r="R357" s="1636" t="s">
        <v>156</v>
      </c>
      <c r="S357" s="1633">
        <v>3.5</v>
      </c>
      <c r="T357" s="1629" t="s">
        <v>153</v>
      </c>
      <c r="U357" s="1629" t="s">
        <v>269</v>
      </c>
      <c r="V357" s="1629">
        <f>I357</f>
        <v>1325.8</v>
      </c>
      <c r="W357" s="1634" t="s">
        <v>153</v>
      </c>
      <c r="X357" s="1629">
        <f>V357*S357</f>
        <v>4640.3</v>
      </c>
      <c r="AD357" s="1627"/>
      <c r="AE357" s="1630"/>
      <c r="AF357" s="1627">
        <v>10</v>
      </c>
      <c r="AH357" s="1632"/>
      <c r="AI357" s="1639">
        <f>(AI356+C20)</f>
        <v>10414.40544</v>
      </c>
    </row>
    <row r="358" spans="1:36" ht="24" customHeight="1">
      <c r="A358" s="1647">
        <f t="shared" si="29"/>
        <v>193</v>
      </c>
      <c r="B358" s="1627" t="s">
        <v>979</v>
      </c>
      <c r="C358" s="1686">
        <v>19.3</v>
      </c>
      <c r="D358" s="1693" t="s">
        <v>4</v>
      </c>
      <c r="F358" s="1640">
        <v>10.6</v>
      </c>
      <c r="G358" s="1638" t="s">
        <v>153</v>
      </c>
      <c r="H358" s="1627" t="s">
        <v>234</v>
      </c>
      <c r="I358" s="1640">
        <f>(C11)</f>
        <v>1237.5999999999999</v>
      </c>
      <c r="J358" s="1627" t="s">
        <v>153</v>
      </c>
      <c r="K358" s="1640">
        <f>(F358*I358)</f>
        <v>13118.56</v>
      </c>
      <c r="N358" s="1627" t="s">
        <v>249</v>
      </c>
      <c r="O358" s="1627" t="s">
        <v>1005</v>
      </c>
      <c r="S358" s="1633">
        <v>10.6</v>
      </c>
      <c r="T358" s="1629" t="s">
        <v>153</v>
      </c>
      <c r="U358" s="1629" t="s">
        <v>234</v>
      </c>
      <c r="V358" s="1629">
        <f>I358</f>
        <v>1237.5999999999999</v>
      </c>
      <c r="W358" s="1634" t="s">
        <v>153</v>
      </c>
      <c r="X358" s="1629">
        <f>V358*S358</f>
        <v>13118.56</v>
      </c>
      <c r="AD358" s="1627"/>
      <c r="AE358" s="1630"/>
      <c r="AF358" s="1627">
        <v>11</v>
      </c>
      <c r="AH358" s="1632"/>
      <c r="AI358" s="1639">
        <f>(AI357+C20)</f>
        <v>10625.665440000001</v>
      </c>
    </row>
    <row r="359" spans="1:36" ht="24" customHeight="1">
      <c r="A359" s="1647">
        <f t="shared" si="29"/>
        <v>194</v>
      </c>
      <c r="B359" s="1627" t="s">
        <v>980</v>
      </c>
      <c r="C359" s="1686">
        <v>25.74</v>
      </c>
      <c r="D359" s="1693" t="s">
        <v>4</v>
      </c>
      <c r="F359" s="1640">
        <v>7.1</v>
      </c>
      <c r="G359" s="1638" t="s">
        <v>153</v>
      </c>
      <c r="H359" s="1627" t="s">
        <v>235</v>
      </c>
      <c r="I359" s="1640">
        <f>(C12)</f>
        <v>865.19999999999993</v>
      </c>
      <c r="J359" s="1627" t="s">
        <v>153</v>
      </c>
      <c r="K359" s="1640">
        <f>(F359*I359)</f>
        <v>6142.9199999999992</v>
      </c>
      <c r="O359" s="1627" t="s">
        <v>1006</v>
      </c>
      <c r="S359" s="1633">
        <v>7.1</v>
      </c>
      <c r="T359" s="1629" t="s">
        <v>153</v>
      </c>
      <c r="U359" s="1629" t="s">
        <v>235</v>
      </c>
      <c r="V359" s="1629">
        <f>I359</f>
        <v>865.19999999999993</v>
      </c>
      <c r="W359" s="1634" t="s">
        <v>153</v>
      </c>
      <c r="X359" s="1629">
        <f>V359*S359</f>
        <v>6142.9199999999992</v>
      </c>
      <c r="AD359" s="1627"/>
      <c r="AE359" s="1630"/>
      <c r="AF359" s="1627">
        <v>12</v>
      </c>
      <c r="AH359" s="1632"/>
      <c r="AI359" s="1639">
        <f>(AI358+C20)</f>
        <v>10836.925440000001</v>
      </c>
    </row>
    <row r="360" spans="1:36" ht="24" customHeight="1">
      <c r="A360" s="1647">
        <f t="shared" si="29"/>
        <v>195</v>
      </c>
      <c r="B360" s="1627" t="s">
        <v>982</v>
      </c>
      <c r="C360" s="1686">
        <v>33.46</v>
      </c>
      <c r="D360" s="1693" t="s">
        <v>4</v>
      </c>
      <c r="F360" s="1640">
        <v>21.2</v>
      </c>
      <c r="G360" s="1638" t="s">
        <v>153</v>
      </c>
      <c r="H360" s="1627" t="s">
        <v>236</v>
      </c>
      <c r="I360" s="1640">
        <f>(C13)</f>
        <v>709.8</v>
      </c>
      <c r="J360" s="1627" t="s">
        <v>153</v>
      </c>
      <c r="K360" s="1640">
        <f>(F360*I360)</f>
        <v>15047.759999999998</v>
      </c>
      <c r="O360" s="1627" t="s">
        <v>1007</v>
      </c>
      <c r="S360" s="1633">
        <v>21.2</v>
      </c>
      <c r="T360" s="1629" t="s">
        <v>153</v>
      </c>
      <c r="U360" s="1629" t="s">
        <v>236</v>
      </c>
      <c r="V360" s="1629">
        <f>I360</f>
        <v>709.8</v>
      </c>
      <c r="W360" s="1634" t="s">
        <v>153</v>
      </c>
      <c r="X360" s="1629">
        <f>V360*S360</f>
        <v>15047.759999999998</v>
      </c>
      <c r="AD360" s="1627"/>
      <c r="AE360" s="1630"/>
      <c r="AF360" s="1627">
        <v>13</v>
      </c>
      <c r="AH360" s="1632"/>
      <c r="AI360" s="1639">
        <f>(AI359+C20)</f>
        <v>11048.185440000001</v>
      </c>
    </row>
    <row r="361" spans="1:36" ht="24" customHeight="1">
      <c r="A361" s="1647">
        <f t="shared" si="29"/>
        <v>196</v>
      </c>
      <c r="B361" s="1627" t="s">
        <v>983</v>
      </c>
      <c r="C361" s="1686">
        <v>53.62</v>
      </c>
      <c r="D361" s="1693" t="s">
        <v>150</v>
      </c>
      <c r="G361" s="1638" t="s">
        <v>226</v>
      </c>
      <c r="H361" s="1627" t="s">
        <v>237</v>
      </c>
      <c r="J361" s="1627" t="s">
        <v>226</v>
      </c>
      <c r="K361" s="1640">
        <v>0</v>
      </c>
      <c r="O361" s="1636" t="s">
        <v>21</v>
      </c>
      <c r="T361" s="1629" t="s">
        <v>226</v>
      </c>
      <c r="U361" s="1629" t="s">
        <v>237</v>
      </c>
      <c r="W361" s="1634" t="s">
        <v>226</v>
      </c>
      <c r="X361" s="1629">
        <v>0</v>
      </c>
      <c r="AD361" s="1652">
        <v>27</v>
      </c>
      <c r="AE361" s="1638" t="s">
        <v>249</v>
      </c>
      <c r="AF361" s="1627" t="s">
        <v>1008</v>
      </c>
      <c r="AH361" s="1632"/>
    </row>
    <row r="362" spans="1:36" ht="24" customHeight="1">
      <c r="A362" s="1647">
        <f t="shared" si="29"/>
        <v>197</v>
      </c>
      <c r="B362" s="1627" t="s">
        <v>1009</v>
      </c>
      <c r="C362" s="1695"/>
      <c r="D362" s="1695"/>
      <c r="K362" s="1636" t="s">
        <v>21</v>
      </c>
      <c r="M362" s="1640">
        <v>0.22</v>
      </c>
      <c r="N362" s="1627" t="s">
        <v>151</v>
      </c>
      <c r="O362" s="1627" t="s">
        <v>258</v>
      </c>
      <c r="P362" s="1640">
        <f>(K40)</f>
        <v>4593.8999999999996</v>
      </c>
      <c r="Q362" s="1627" t="s">
        <v>151</v>
      </c>
      <c r="R362" s="1640">
        <f t="shared" ref="R362:R367" si="30">(M362*P362)</f>
        <v>1010.6579999999999</v>
      </c>
      <c r="W362" s="1634"/>
      <c r="X362" s="1636" t="s">
        <v>21</v>
      </c>
      <c r="Y362" s="1636"/>
      <c r="AE362" s="1630"/>
      <c r="AF362" s="1627" t="str">
        <f>AF333</f>
        <v>Bricks of size 23x11.4x7.5 cm</v>
      </c>
      <c r="AH362" s="1632"/>
    </row>
    <row r="363" spans="1:36" ht="24" customHeight="1">
      <c r="A363" s="1647">
        <f t="shared" si="29"/>
        <v>198</v>
      </c>
      <c r="B363" s="1627" t="s">
        <v>979</v>
      </c>
      <c r="C363" s="1686">
        <v>26.16</v>
      </c>
      <c r="D363" s="1693" t="s">
        <v>4</v>
      </c>
      <c r="H363" s="1627" t="s">
        <v>263</v>
      </c>
      <c r="K363" s="1640">
        <f>SUM(K355:K361)</f>
        <v>82227.186000000002</v>
      </c>
      <c r="M363" s="1640">
        <v>2.2000000000000002</v>
      </c>
      <c r="N363" s="1627" t="s">
        <v>153</v>
      </c>
      <c r="O363" s="1627" t="s">
        <v>269</v>
      </c>
      <c r="P363" s="1640">
        <f>(C10)</f>
        <v>1325.8</v>
      </c>
      <c r="Q363" s="1627" t="s">
        <v>153</v>
      </c>
      <c r="R363" s="1640">
        <f t="shared" si="30"/>
        <v>2916.76</v>
      </c>
      <c r="U363" s="1629" t="s">
        <v>263</v>
      </c>
      <c r="W363" s="1634"/>
      <c r="X363" s="1629">
        <f>SUM(X355:X361)</f>
        <v>87787.716</v>
      </c>
      <c r="AE363" s="1630"/>
      <c r="AF363" s="1636" t="s">
        <v>21</v>
      </c>
      <c r="AH363" s="1632"/>
    </row>
    <row r="364" spans="1:36" ht="24" customHeight="1">
      <c r="A364" s="1647">
        <f t="shared" si="29"/>
        <v>199</v>
      </c>
      <c r="B364" s="1627" t="s">
        <v>980</v>
      </c>
      <c r="C364" s="1686">
        <v>34.32</v>
      </c>
      <c r="D364" s="1693" t="s">
        <v>4</v>
      </c>
      <c r="K364" s="1636" t="s">
        <v>21</v>
      </c>
      <c r="M364" s="1640">
        <v>0.5</v>
      </c>
      <c r="N364" s="1627" t="s">
        <v>153</v>
      </c>
      <c r="O364" s="1627" t="s">
        <v>235</v>
      </c>
      <c r="P364" s="1640">
        <f>(C12)</f>
        <v>865.19999999999993</v>
      </c>
      <c r="Q364" s="1627" t="s">
        <v>153</v>
      </c>
      <c r="R364" s="1640">
        <f t="shared" si="30"/>
        <v>432.59999999999997</v>
      </c>
      <c r="W364" s="1634"/>
      <c r="X364" s="1636" t="s">
        <v>21</v>
      </c>
      <c r="Y364" s="1636"/>
      <c r="AD364" s="1640">
        <v>4240</v>
      </c>
      <c r="AE364" s="1638" t="s">
        <v>267</v>
      </c>
      <c r="AF364" s="1640" t="str">
        <f>AF309</f>
        <v>Bricks of size 23x11.4x7.5 cm</v>
      </c>
      <c r="AG364" s="1640">
        <f>AE42</f>
        <v>8320.31</v>
      </c>
      <c r="AH364" s="1627" t="s">
        <v>268</v>
      </c>
      <c r="AI364" s="1640">
        <f>(AD364*AG364)/1000</f>
        <v>35278.114399999999</v>
      </c>
    </row>
    <row r="365" spans="1:36" ht="24" customHeight="1">
      <c r="A365" s="1647">
        <f t="shared" si="29"/>
        <v>200</v>
      </c>
      <c r="B365" s="1627" t="s">
        <v>982</v>
      </c>
      <c r="C365" s="1686">
        <v>40.33</v>
      </c>
      <c r="D365" s="1693" t="s">
        <v>4</v>
      </c>
      <c r="H365" s="1627" t="s">
        <v>270</v>
      </c>
      <c r="K365" s="1640">
        <f>(K363/10)</f>
        <v>8222.7186000000002</v>
      </c>
      <c r="M365" s="1640">
        <v>1.1000000000000001</v>
      </c>
      <c r="N365" s="1627" t="s">
        <v>1010</v>
      </c>
      <c r="O365" s="1627" t="s">
        <v>1011</v>
      </c>
      <c r="P365" s="1640">
        <f>(C10)</f>
        <v>1325.8</v>
      </c>
      <c r="Q365" s="1627" t="s">
        <v>153</v>
      </c>
      <c r="R365" s="1640">
        <f t="shared" si="30"/>
        <v>1458.38</v>
      </c>
      <c r="U365" s="1629" t="s">
        <v>270</v>
      </c>
      <c r="W365" s="1634"/>
      <c r="X365" s="1629">
        <f>X363/10</f>
        <v>8778.7716</v>
      </c>
      <c r="AD365" s="1640">
        <v>2</v>
      </c>
      <c r="AE365" s="1638" t="s">
        <v>151</v>
      </c>
      <c r="AF365" s="1627" t="s">
        <v>258</v>
      </c>
      <c r="AG365" s="1640">
        <f>V356</f>
        <v>4593.8999999999996</v>
      </c>
      <c r="AH365" s="1627" t="s">
        <v>151</v>
      </c>
      <c r="AI365" s="1640">
        <f>(AD365*AG365)</f>
        <v>9187.7999999999993</v>
      </c>
    </row>
    <row r="366" spans="1:36" ht="24" customHeight="1">
      <c r="A366" s="1647">
        <f t="shared" si="29"/>
        <v>201</v>
      </c>
      <c r="B366" s="1627" t="s">
        <v>1012</v>
      </c>
      <c r="C366" s="1695"/>
      <c r="D366" s="1693" t="s">
        <v>150</v>
      </c>
      <c r="K366" s="1636" t="s">
        <v>156</v>
      </c>
      <c r="M366" s="1640">
        <v>3.2</v>
      </c>
      <c r="N366" s="1627" t="s">
        <v>153</v>
      </c>
      <c r="O366" s="1627" t="s">
        <v>236</v>
      </c>
      <c r="P366" s="1640">
        <f>(C13)</f>
        <v>709.8</v>
      </c>
      <c r="Q366" s="1627" t="s">
        <v>153</v>
      </c>
      <c r="R366" s="1640">
        <f t="shared" si="30"/>
        <v>2271.36</v>
      </c>
      <c r="W366" s="1634"/>
      <c r="X366" s="1664" t="s">
        <v>999</v>
      </c>
      <c r="Y366" s="1664"/>
      <c r="AD366" s="1640">
        <v>3.5</v>
      </c>
      <c r="AE366" s="1638" t="s">
        <v>153</v>
      </c>
      <c r="AF366" s="1627" t="s">
        <v>269</v>
      </c>
      <c r="AG366" s="1640">
        <f>V357</f>
        <v>1325.8</v>
      </c>
      <c r="AH366" s="1627" t="s">
        <v>153</v>
      </c>
      <c r="AI366" s="1640">
        <f>(AD366*AG366)</f>
        <v>4640.3</v>
      </c>
    </row>
    <row r="367" spans="1:36" ht="24" customHeight="1">
      <c r="A367" s="1647">
        <f t="shared" si="29"/>
        <v>202</v>
      </c>
      <c r="B367" s="1627" t="s">
        <v>979</v>
      </c>
      <c r="C367" s="1686">
        <v>20.329999999999998</v>
      </c>
      <c r="D367" s="1693" t="s">
        <v>4</v>
      </c>
      <c r="H367" s="1627" t="s">
        <v>271</v>
      </c>
      <c r="J367" s="1632">
        <f>K367-K365</f>
        <v>104.71999999999935</v>
      </c>
      <c r="K367" s="1640">
        <f>(K365+C19)</f>
        <v>8327.4385999999995</v>
      </c>
      <c r="M367" s="1640">
        <v>9.8000000000000007</v>
      </c>
      <c r="N367" s="1627" t="s">
        <v>13</v>
      </c>
      <c r="O367" s="1627" t="s">
        <v>1013</v>
      </c>
      <c r="P367" s="1640">
        <f>(C148)</f>
        <v>145.19999999999999</v>
      </c>
      <c r="Q367" s="1627" t="s">
        <v>13</v>
      </c>
      <c r="R367" s="1640">
        <f t="shared" si="30"/>
        <v>1422.96</v>
      </c>
      <c r="U367" s="1629" t="s">
        <v>271</v>
      </c>
      <c r="W367" s="1634"/>
      <c r="X367" s="1629">
        <f>X365+C19</f>
        <v>8883.4915999999994</v>
      </c>
      <c r="Z367" s="1629">
        <f>X365+X367+X368+X369+X370+X371</f>
        <v>55308.829600000005</v>
      </c>
      <c r="AA367" s="1629">
        <f>Z367/6</f>
        <v>9218.1382666666668</v>
      </c>
      <c r="AD367" s="1640">
        <v>10.6</v>
      </c>
      <c r="AE367" s="1638" t="s">
        <v>153</v>
      </c>
      <c r="AF367" s="1627" t="s">
        <v>234</v>
      </c>
      <c r="AG367" s="1640">
        <f>V358</f>
        <v>1237.5999999999999</v>
      </c>
      <c r="AH367" s="1627" t="s">
        <v>153</v>
      </c>
      <c r="AI367" s="1640">
        <f>(AD367*AG367)</f>
        <v>13118.56</v>
      </c>
    </row>
    <row r="368" spans="1:36" ht="24" customHeight="1">
      <c r="A368" s="1647">
        <f t="shared" si="29"/>
        <v>203</v>
      </c>
      <c r="B368" s="1627" t="s">
        <v>980</v>
      </c>
      <c r="C368" s="1686">
        <v>26.6</v>
      </c>
      <c r="D368" s="1693" t="s">
        <v>4</v>
      </c>
      <c r="H368" s="1627" t="s">
        <v>272</v>
      </c>
      <c r="J368" s="1632">
        <f>K368-K367</f>
        <v>211.26000000000022</v>
      </c>
      <c r="K368" s="1640">
        <f>(K367+C20)</f>
        <v>8538.6985999999997</v>
      </c>
      <c r="L368" s="1629">
        <f>(K367+K368)/2</f>
        <v>8433.0685999999987</v>
      </c>
      <c r="N368" s="1627" t="s">
        <v>226</v>
      </c>
      <c r="O368" s="1627" t="s">
        <v>237</v>
      </c>
      <c r="P368" s="1627" t="s">
        <v>150</v>
      </c>
      <c r="Q368" s="1627" t="s">
        <v>226</v>
      </c>
      <c r="R368" s="1640">
        <v>0</v>
      </c>
      <c r="U368" s="1629" t="s">
        <v>272</v>
      </c>
      <c r="W368" s="1634"/>
      <c r="X368" s="1629">
        <f>X367+C20</f>
        <v>9094.7515999999996</v>
      </c>
      <c r="Z368" s="1629">
        <f>SUM(X367:X368)/2</f>
        <v>8989.1215999999986</v>
      </c>
      <c r="AD368" s="1640">
        <v>7.1</v>
      </c>
      <c r="AE368" s="1638" t="s">
        <v>153</v>
      </c>
      <c r="AF368" s="1627" t="s">
        <v>235</v>
      </c>
      <c r="AG368" s="1640">
        <f>V359</f>
        <v>865.19999999999993</v>
      </c>
      <c r="AH368" s="1627" t="s">
        <v>153</v>
      </c>
      <c r="AI368" s="1640">
        <f>(AD368*AG368)</f>
        <v>6142.9199999999992</v>
      </c>
      <c r="AJ368" s="1629">
        <f>(AI377+AI376)/2</f>
        <v>8551.8954399999966</v>
      </c>
    </row>
    <row r="369" spans="1:36" ht="24" customHeight="1">
      <c r="A369" s="1647">
        <f t="shared" si="29"/>
        <v>204</v>
      </c>
      <c r="B369" s="1627" t="s">
        <v>982</v>
      </c>
      <c r="C369" s="1686">
        <v>33.89</v>
      </c>
      <c r="D369" s="1693" t="s">
        <v>4</v>
      </c>
      <c r="H369" s="1627" t="s">
        <v>767</v>
      </c>
      <c r="J369" s="1632">
        <f>K369-K368</f>
        <v>211.26000000000022</v>
      </c>
      <c r="K369" s="1640">
        <f>(K368+C21)</f>
        <v>8749.9585999999999</v>
      </c>
      <c r="L369" s="1629">
        <f>SUM(K367:K369)/3</f>
        <v>8538.6985999999979</v>
      </c>
      <c r="R369" s="1636" t="s">
        <v>21</v>
      </c>
      <c r="U369" s="1629" t="s">
        <v>767</v>
      </c>
      <c r="W369" s="1634"/>
      <c r="X369" s="1629">
        <f>X368+C20</f>
        <v>9306.0115999999998</v>
      </c>
      <c r="Z369" s="1629">
        <f>SUM(X367:X369)/3</f>
        <v>9094.7515999999978</v>
      </c>
      <c r="AD369" s="1640">
        <v>21.2</v>
      </c>
      <c r="AE369" s="1638" t="s">
        <v>153</v>
      </c>
      <c r="AF369" s="1627" t="s">
        <v>236</v>
      </c>
      <c r="AG369" s="1640">
        <f>V360</f>
        <v>709.8</v>
      </c>
      <c r="AH369" s="1627" t="s">
        <v>153</v>
      </c>
      <c r="AI369" s="1640">
        <f>(AD369*AG369)</f>
        <v>15047.759999999998</v>
      </c>
      <c r="AJ369" s="1629">
        <f>SUM(AI376:AI378)/3</f>
        <v>8657.5254399999976</v>
      </c>
    </row>
    <row r="370" spans="1:36" ht="24" customHeight="1">
      <c r="A370" s="1647">
        <f t="shared" si="29"/>
        <v>205</v>
      </c>
      <c r="B370" s="1627" t="s">
        <v>1014</v>
      </c>
      <c r="C370" s="1695"/>
      <c r="D370" s="1695"/>
      <c r="H370" s="1627" t="s">
        <v>769</v>
      </c>
      <c r="J370" s="1632">
        <f>K370-K369</f>
        <v>211.26000000000022</v>
      </c>
      <c r="K370" s="1640">
        <f>K369+C21</f>
        <v>8961.2186000000002</v>
      </c>
      <c r="O370" s="1627" t="s">
        <v>238</v>
      </c>
      <c r="R370" s="1640">
        <f>SUM(R362:R368)</f>
        <v>9512.7180000000008</v>
      </c>
      <c r="U370" s="1629" t="s">
        <v>769</v>
      </c>
      <c r="W370" s="1634"/>
      <c r="X370" s="1629">
        <f>X369+C20</f>
        <v>9517.2716</v>
      </c>
      <c r="AE370" s="1638" t="s">
        <v>226</v>
      </c>
      <c r="AF370" s="1627" t="s">
        <v>237</v>
      </c>
      <c r="AH370" s="1627" t="s">
        <v>226</v>
      </c>
      <c r="AI370" s="1640">
        <v>0</v>
      </c>
    </row>
    <row r="371" spans="1:36" ht="24" customHeight="1">
      <c r="A371" s="1647">
        <f t="shared" si="29"/>
        <v>206</v>
      </c>
      <c r="B371" s="1627" t="s">
        <v>979</v>
      </c>
      <c r="C371" s="1686">
        <v>13.29</v>
      </c>
      <c r="D371" s="1693" t="s">
        <v>4</v>
      </c>
      <c r="H371" s="1627" t="s">
        <v>773</v>
      </c>
      <c r="J371" s="1632">
        <f>K371-K370</f>
        <v>211.26000000000022</v>
      </c>
      <c r="K371" s="1640">
        <f>K370+C21</f>
        <v>9172.4786000000004</v>
      </c>
      <c r="R371" s="1636" t="s">
        <v>21</v>
      </c>
      <c r="U371" s="1629" t="s">
        <v>773</v>
      </c>
      <c r="W371" s="1634"/>
      <c r="X371" s="1629">
        <f>X370+C20</f>
        <v>9728.5316000000003</v>
      </c>
      <c r="AE371" s="1630"/>
      <c r="AH371" s="1632"/>
      <c r="AI371" s="1636" t="s">
        <v>21</v>
      </c>
    </row>
    <row r="372" spans="1:36" ht="24" customHeight="1">
      <c r="A372" s="1647">
        <f t="shared" si="29"/>
        <v>207</v>
      </c>
      <c r="B372" s="1627" t="s">
        <v>980</v>
      </c>
      <c r="C372" s="1686">
        <v>18.02</v>
      </c>
      <c r="D372" s="1693" t="s">
        <v>4</v>
      </c>
      <c r="H372" s="1627" t="s">
        <v>803</v>
      </c>
      <c r="J372" s="1632">
        <f>SUM(K367+K368+K369)/3</f>
        <v>8538.6985999999979</v>
      </c>
      <c r="K372" s="1640">
        <f>(K367+K368+K369+K370)/4</f>
        <v>8644.3285999999989</v>
      </c>
      <c r="O372" s="1627" t="s">
        <v>155</v>
      </c>
      <c r="R372" s="1640">
        <f>(R370/10)</f>
        <v>951.2718000000001</v>
      </c>
      <c r="U372" s="1629" t="s">
        <v>803</v>
      </c>
      <c r="W372" s="1634">
        <v>2171.31</v>
      </c>
      <c r="X372" s="1629">
        <f>SUM(X367:X370)/4</f>
        <v>9200.3815999999988</v>
      </c>
      <c r="AE372" s="1630"/>
      <c r="AF372" s="1627" t="s">
        <v>263</v>
      </c>
      <c r="AH372" s="1632"/>
      <c r="AI372" s="1640">
        <f>SUM(AI364:AI370)</f>
        <v>83415.454399999988</v>
      </c>
    </row>
    <row r="373" spans="1:36" ht="24" customHeight="1">
      <c r="A373" s="1647">
        <f t="shared" si="29"/>
        <v>208</v>
      </c>
      <c r="B373" s="1627" t="s">
        <v>982</v>
      </c>
      <c r="C373" s="1686">
        <v>23.17</v>
      </c>
      <c r="D373" s="1693" t="s">
        <v>4</v>
      </c>
      <c r="R373" s="1636" t="s">
        <v>156</v>
      </c>
      <c r="W373" s="1634"/>
      <c r="AE373" s="1630"/>
      <c r="AH373" s="1632"/>
      <c r="AI373" s="1636" t="s">
        <v>21</v>
      </c>
    </row>
    <row r="374" spans="1:36" ht="24" customHeight="1">
      <c r="A374" s="1647">
        <f t="shared" si="29"/>
        <v>209</v>
      </c>
      <c r="B374" s="1627" t="s">
        <v>1015</v>
      </c>
      <c r="C374" s="1695"/>
      <c r="D374" s="1693" t="s">
        <v>150</v>
      </c>
      <c r="H374" s="1628" t="s">
        <v>388</v>
      </c>
      <c r="N374" s="1627" t="s">
        <v>249</v>
      </c>
      <c r="O374" s="1627" t="s">
        <v>1016</v>
      </c>
      <c r="U374" s="1629" t="s">
        <v>388</v>
      </c>
      <c r="W374" s="1634"/>
      <c r="AE374" s="1630"/>
      <c r="AF374" s="1627" t="s">
        <v>270</v>
      </c>
      <c r="AH374" s="1632"/>
      <c r="AI374" s="1640">
        <f>(AI372/10)</f>
        <v>8341.5454399999981</v>
      </c>
    </row>
    <row r="375" spans="1:36" ht="24" customHeight="1">
      <c r="A375" s="1647">
        <f t="shared" si="29"/>
        <v>210</v>
      </c>
      <c r="B375" s="1627" t="s">
        <v>979</v>
      </c>
      <c r="C375" s="1686">
        <v>9</v>
      </c>
      <c r="D375" s="1693" t="s">
        <v>4</v>
      </c>
      <c r="H375" s="1636" t="s">
        <v>21</v>
      </c>
      <c r="O375" s="1636" t="s">
        <v>21</v>
      </c>
      <c r="U375" s="1629" t="s">
        <v>21</v>
      </c>
      <c r="W375" s="1634"/>
      <c r="AE375" s="1630"/>
      <c r="AH375" s="1632"/>
      <c r="AI375" s="1636" t="s">
        <v>156</v>
      </c>
    </row>
    <row r="376" spans="1:36" ht="24" customHeight="1">
      <c r="A376" s="1647">
        <f t="shared" si="29"/>
        <v>211</v>
      </c>
      <c r="B376" s="1627" t="s">
        <v>980</v>
      </c>
      <c r="C376" s="1686">
        <v>11.58</v>
      </c>
      <c r="D376" s="1693" t="s">
        <v>4</v>
      </c>
      <c r="F376" s="1652">
        <v>10</v>
      </c>
      <c r="G376" s="1638" t="s">
        <v>249</v>
      </c>
      <c r="H376" s="1627" t="s">
        <v>1017</v>
      </c>
      <c r="M376" s="1640">
        <v>0.05</v>
      </c>
      <c r="N376" s="1627" t="s">
        <v>151</v>
      </c>
      <c r="O376" s="1627" t="s">
        <v>315</v>
      </c>
      <c r="P376" s="1640">
        <f>(C84)</f>
        <v>1348</v>
      </c>
      <c r="Q376" s="1627" t="s">
        <v>151</v>
      </c>
      <c r="R376" s="1640">
        <f>(M376*P376)</f>
        <v>67.400000000000006</v>
      </c>
      <c r="S376" s="1633">
        <v>10</v>
      </c>
      <c r="T376" s="1629" t="s">
        <v>249</v>
      </c>
      <c r="U376" s="1629" t="s">
        <v>1018</v>
      </c>
      <c r="W376" s="1634"/>
      <c r="AE376" s="1630"/>
      <c r="AF376" s="1627" t="s">
        <v>271</v>
      </c>
      <c r="AH376" s="1632"/>
      <c r="AI376" s="1640">
        <f>(AI374+C19)</f>
        <v>8446.2654399999974</v>
      </c>
    </row>
    <row r="377" spans="1:36" ht="24" customHeight="1">
      <c r="A377" s="1647">
        <f t="shared" si="29"/>
        <v>212</v>
      </c>
      <c r="B377" s="1627" t="s">
        <v>982</v>
      </c>
      <c r="C377" s="1686">
        <v>14.15</v>
      </c>
      <c r="D377" s="1693" t="s">
        <v>4</v>
      </c>
      <c r="H377" s="1640" t="str">
        <f>H309</f>
        <v>Bricks of size 22x11x7 cm</v>
      </c>
      <c r="M377" s="1640">
        <v>1.1000000000000001</v>
      </c>
      <c r="N377" s="1627" t="s">
        <v>153</v>
      </c>
      <c r="O377" s="1627" t="s">
        <v>234</v>
      </c>
      <c r="P377" s="1640">
        <f>(C11)</f>
        <v>1237.5999999999999</v>
      </c>
      <c r="Q377" s="1627" t="s">
        <v>153</v>
      </c>
      <c r="R377" s="1640">
        <f>(M377*P377)</f>
        <v>1361.36</v>
      </c>
      <c r="U377" s="1629" t="s">
        <v>978</v>
      </c>
      <c r="W377" s="1634"/>
      <c r="AE377" s="1630"/>
      <c r="AF377" s="1627" t="s">
        <v>272</v>
      </c>
      <c r="AH377" s="1632"/>
      <c r="AI377" s="1640">
        <f>(AI376+C20)</f>
        <v>8657.5254399999976</v>
      </c>
    </row>
    <row r="378" spans="1:36" ht="24" customHeight="1">
      <c r="A378" s="1647">
        <f t="shared" si="29"/>
        <v>213</v>
      </c>
      <c r="B378" s="1627" t="s">
        <v>1019</v>
      </c>
      <c r="C378" s="1695"/>
      <c r="D378" s="1695"/>
      <c r="H378" s="1636" t="s">
        <v>21</v>
      </c>
      <c r="M378" s="1640">
        <v>0.3</v>
      </c>
      <c r="N378" s="1627" t="s">
        <v>153</v>
      </c>
      <c r="O378" s="1627" t="s">
        <v>235</v>
      </c>
      <c r="P378" s="1640">
        <f>(C12)</f>
        <v>865.19999999999993</v>
      </c>
      <c r="Q378" s="1627" t="s">
        <v>153</v>
      </c>
      <c r="R378" s="1640">
        <f>(M378*P378)</f>
        <v>259.55999999999995</v>
      </c>
      <c r="U378" s="1629" t="s">
        <v>21</v>
      </c>
      <c r="W378" s="1634"/>
      <c r="AE378" s="1630"/>
      <c r="AF378" s="1627" t="s">
        <v>767</v>
      </c>
      <c r="AH378" s="1632"/>
      <c r="AI378" s="1640">
        <f>(AI377+C20)</f>
        <v>8868.7854399999978</v>
      </c>
    </row>
    <row r="379" spans="1:36" ht="24" customHeight="1">
      <c r="A379" s="1647">
        <f t="shared" si="29"/>
        <v>214</v>
      </c>
      <c r="B379" s="1627" t="s">
        <v>979</v>
      </c>
      <c r="C379" s="1686">
        <v>4.29</v>
      </c>
      <c r="D379" s="1693" t="s">
        <v>4</v>
      </c>
      <c r="F379" s="1640">
        <f>F311</f>
        <v>4800</v>
      </c>
      <c r="G379" s="1638" t="s">
        <v>267</v>
      </c>
      <c r="H379" s="1640" t="str">
        <f>H309</f>
        <v>Bricks of size 22x11x7 cm</v>
      </c>
      <c r="I379" s="1640">
        <f>(C80)</f>
        <v>6623.52</v>
      </c>
      <c r="J379" s="1627" t="s">
        <v>268</v>
      </c>
      <c r="K379" s="1640">
        <f>(F379*I379)/1000</f>
        <v>31792.896000000004</v>
      </c>
      <c r="M379" s="1640">
        <v>1.9</v>
      </c>
      <c r="N379" s="1627" t="s">
        <v>153</v>
      </c>
      <c r="O379" s="1627" t="s">
        <v>236</v>
      </c>
      <c r="P379" s="1640">
        <f>(C13)</f>
        <v>709.8</v>
      </c>
      <c r="Q379" s="1627" t="s">
        <v>153</v>
      </c>
      <c r="R379" s="1640">
        <f>(M379*P379)</f>
        <v>1348.62</v>
      </c>
      <c r="S379" s="1633">
        <v>4600</v>
      </c>
      <c r="T379" s="1629" t="s">
        <v>267</v>
      </c>
      <c r="U379" s="1629" t="s">
        <v>978</v>
      </c>
      <c r="V379" s="1629">
        <f>AE41</f>
        <v>8120.3099999999995</v>
      </c>
      <c r="W379" s="1634" t="s">
        <v>268</v>
      </c>
      <c r="X379" s="1629">
        <f>S379*V379/1000</f>
        <v>37353.425999999999</v>
      </c>
      <c r="AE379" s="1630"/>
      <c r="AF379" s="1627" t="s">
        <v>769</v>
      </c>
      <c r="AH379" s="1632"/>
      <c r="AI379" s="1640">
        <f>AI378+C20</f>
        <v>9080.0454399999981</v>
      </c>
    </row>
    <row r="380" spans="1:36" ht="24" customHeight="1">
      <c r="A380" s="1647">
        <f t="shared" si="29"/>
        <v>215</v>
      </c>
      <c r="B380" s="1627" t="s">
        <v>980</v>
      </c>
      <c r="C380" s="1686">
        <v>6.01</v>
      </c>
      <c r="D380" s="1693" t="s">
        <v>4</v>
      </c>
      <c r="F380" s="1640">
        <v>1.59</v>
      </c>
      <c r="G380" s="1638" t="s">
        <v>151</v>
      </c>
      <c r="H380" s="1627" t="s">
        <v>258</v>
      </c>
      <c r="I380" s="1640">
        <f>(K40)</f>
        <v>4593.8999999999996</v>
      </c>
      <c r="J380" s="1627" t="s">
        <v>151</v>
      </c>
      <c r="K380" s="1640">
        <f>(F380*I380)</f>
        <v>7304.3009999999995</v>
      </c>
      <c r="N380" s="1627" t="s">
        <v>226</v>
      </c>
      <c r="O380" s="1627" t="s">
        <v>316</v>
      </c>
      <c r="P380" s="1627" t="s">
        <v>150</v>
      </c>
      <c r="Q380" s="1627" t="s">
        <v>226</v>
      </c>
      <c r="R380" s="1640">
        <v>1.46</v>
      </c>
      <c r="S380" s="1633">
        <v>1.59</v>
      </c>
      <c r="T380" s="1629" t="s">
        <v>151</v>
      </c>
      <c r="U380" s="1629" t="s">
        <v>258</v>
      </c>
      <c r="V380" s="1629">
        <f>I380</f>
        <v>4593.8999999999996</v>
      </c>
      <c r="W380" s="1634" t="s">
        <v>151</v>
      </c>
      <c r="X380" s="1629">
        <f>V380*S380</f>
        <v>7304.3009999999995</v>
      </c>
      <c r="AE380" s="1630"/>
      <c r="AF380" s="1627" t="s">
        <v>773</v>
      </c>
      <c r="AH380" s="1632"/>
      <c r="AI380" s="1640">
        <f>AI379+C20</f>
        <v>9291.3054399999983</v>
      </c>
    </row>
    <row r="381" spans="1:36" ht="24" customHeight="1">
      <c r="A381" s="1647">
        <f t="shared" si="29"/>
        <v>216</v>
      </c>
      <c r="B381" s="1627" t="s">
        <v>982</v>
      </c>
      <c r="C381" s="1686">
        <v>6.86</v>
      </c>
      <c r="D381" s="1693" t="s">
        <v>4</v>
      </c>
      <c r="F381" s="1640">
        <v>7</v>
      </c>
      <c r="G381" s="1638" t="s">
        <v>153</v>
      </c>
      <c r="H381" s="1627" t="s">
        <v>269</v>
      </c>
      <c r="I381" s="1640">
        <f>(C10)</f>
        <v>1325.8</v>
      </c>
      <c r="J381" s="1627" t="s">
        <v>153</v>
      </c>
      <c r="K381" s="1640">
        <f>(F381*I381)</f>
        <v>9280.6</v>
      </c>
      <c r="R381" s="1636" t="s">
        <v>21</v>
      </c>
      <c r="S381" s="1633">
        <v>7</v>
      </c>
      <c r="T381" s="1629" t="s">
        <v>153</v>
      </c>
      <c r="U381" s="1629" t="s">
        <v>269</v>
      </c>
      <c r="V381" s="1629">
        <f>I381</f>
        <v>1325.8</v>
      </c>
      <c r="W381" s="1634" t="s">
        <v>153</v>
      </c>
      <c r="X381" s="1629">
        <f>V381*S381</f>
        <v>9280.6</v>
      </c>
      <c r="AE381" s="1630"/>
      <c r="AF381" s="1627" t="s">
        <v>803</v>
      </c>
      <c r="AH381" s="1632"/>
      <c r="AI381" s="1640">
        <f>(AI376+AI377+AI378+AI379)/4</f>
        <v>8763.1554399999986</v>
      </c>
    </row>
    <row r="382" spans="1:36" ht="24" customHeight="1">
      <c r="A382" s="1647">
        <f t="shared" si="29"/>
        <v>217</v>
      </c>
      <c r="B382" s="1627" t="s">
        <v>1020</v>
      </c>
      <c r="C382" s="1695"/>
      <c r="D382" s="1693" t="s">
        <v>150</v>
      </c>
      <c r="F382" s="1640">
        <v>7.1</v>
      </c>
      <c r="G382" s="1638" t="s">
        <v>153</v>
      </c>
      <c r="H382" s="1627" t="s">
        <v>234</v>
      </c>
      <c r="I382" s="1640">
        <f>(C11)</f>
        <v>1237.5999999999999</v>
      </c>
      <c r="J382" s="1627" t="s">
        <v>153</v>
      </c>
      <c r="K382" s="1640">
        <f>(F382*I382)</f>
        <v>8786.9599999999991</v>
      </c>
      <c r="O382" s="1627" t="s">
        <v>317</v>
      </c>
      <c r="R382" s="1640">
        <f>SUM(R375:R380)</f>
        <v>3038.3999999999996</v>
      </c>
      <c r="S382" s="1633">
        <v>7.1</v>
      </c>
      <c r="T382" s="1629" t="s">
        <v>153</v>
      </c>
      <c r="U382" s="1629" t="s">
        <v>234</v>
      </c>
      <c r="V382" s="1629">
        <f>I382</f>
        <v>1237.5999999999999</v>
      </c>
      <c r="W382" s="1634" t="s">
        <v>153</v>
      </c>
      <c r="X382" s="1629">
        <f>V382*S382</f>
        <v>8786.9599999999991</v>
      </c>
      <c r="AE382" s="1630"/>
      <c r="AH382" s="1632"/>
    </row>
    <row r="383" spans="1:36" ht="24" customHeight="1">
      <c r="A383" s="1647">
        <f t="shared" si="29"/>
        <v>218</v>
      </c>
      <c r="B383" s="1627" t="s">
        <v>979</v>
      </c>
      <c r="C383" s="1686">
        <v>14.91</v>
      </c>
      <c r="D383" s="1693" t="s">
        <v>4</v>
      </c>
      <c r="F383" s="1640">
        <v>7.1</v>
      </c>
      <c r="G383" s="1638" t="s">
        <v>153</v>
      </c>
      <c r="H383" s="1627" t="s">
        <v>235</v>
      </c>
      <c r="I383" s="1640">
        <f>(C12)</f>
        <v>865.19999999999993</v>
      </c>
      <c r="J383" s="1627" t="s">
        <v>153</v>
      </c>
      <c r="K383" s="1640">
        <f>(F383*I383)</f>
        <v>6142.9199999999992</v>
      </c>
      <c r="R383" s="1636" t="s">
        <v>21</v>
      </c>
      <c r="S383" s="1633">
        <v>7.1</v>
      </c>
      <c r="T383" s="1629" t="s">
        <v>153</v>
      </c>
      <c r="U383" s="1629" t="s">
        <v>235</v>
      </c>
      <c r="V383" s="1629">
        <f>I383</f>
        <v>865.19999999999993</v>
      </c>
      <c r="W383" s="1634" t="s">
        <v>153</v>
      </c>
      <c r="X383" s="1629">
        <f>V383*S383</f>
        <v>6142.9199999999992</v>
      </c>
      <c r="AE383" s="1630"/>
      <c r="AF383" s="1628" t="s">
        <v>388</v>
      </c>
      <c r="AH383" s="1632"/>
    </row>
    <row r="384" spans="1:36" ht="24" customHeight="1">
      <c r="A384" s="1647">
        <f t="shared" si="29"/>
        <v>219</v>
      </c>
      <c r="B384" s="1627" t="s">
        <v>980</v>
      </c>
      <c r="C384" s="1686">
        <v>17.579999999999998</v>
      </c>
      <c r="D384" s="1693" t="s">
        <v>4</v>
      </c>
      <c r="F384" s="1640">
        <v>21.2</v>
      </c>
      <c r="G384" s="1638" t="s">
        <v>153</v>
      </c>
      <c r="H384" s="1627" t="s">
        <v>236</v>
      </c>
      <c r="I384" s="1640">
        <f>(C13)</f>
        <v>709.8</v>
      </c>
      <c r="J384" s="1627" t="s">
        <v>153</v>
      </c>
      <c r="K384" s="1640">
        <f>(F384*I384)</f>
        <v>15047.759999999998</v>
      </c>
      <c r="O384" s="1627" t="s">
        <v>155</v>
      </c>
      <c r="R384" s="1640">
        <f>(R382/100)</f>
        <v>30.383999999999997</v>
      </c>
      <c r="S384" s="1633">
        <v>21.2</v>
      </c>
      <c r="T384" s="1629" t="s">
        <v>153</v>
      </c>
      <c r="U384" s="1629" t="s">
        <v>236</v>
      </c>
      <c r="V384" s="1629">
        <f>I384</f>
        <v>709.8</v>
      </c>
      <c r="W384" s="1634" t="s">
        <v>153</v>
      </c>
      <c r="X384" s="1629">
        <f>V384*S384</f>
        <v>15047.759999999998</v>
      </c>
      <c r="AE384" s="1630"/>
      <c r="AF384" s="1636" t="s">
        <v>21</v>
      </c>
      <c r="AH384" s="1632"/>
    </row>
    <row r="385" spans="1:47" ht="24" customHeight="1">
      <c r="A385" s="1647">
        <f t="shared" si="29"/>
        <v>220</v>
      </c>
      <c r="B385" s="1627" t="s">
        <v>982</v>
      </c>
      <c r="C385" s="1686">
        <v>19.3</v>
      </c>
      <c r="D385" s="1693" t="s">
        <v>4</v>
      </c>
      <c r="G385" s="1638" t="s">
        <v>226</v>
      </c>
      <c r="H385" s="1627" t="s">
        <v>237</v>
      </c>
      <c r="I385" s="1627" t="s">
        <v>150</v>
      </c>
      <c r="J385" s="1627" t="s">
        <v>226</v>
      </c>
      <c r="K385" s="1640">
        <v>0</v>
      </c>
      <c r="R385" s="1636" t="s">
        <v>156</v>
      </c>
      <c r="T385" s="1629" t="s">
        <v>226</v>
      </c>
      <c r="U385" s="1629" t="s">
        <v>237</v>
      </c>
      <c r="V385" s="1629" t="s">
        <v>150</v>
      </c>
      <c r="W385" s="1634" t="s">
        <v>226</v>
      </c>
      <c r="X385" s="1629">
        <v>0</v>
      </c>
      <c r="AD385" s="1652">
        <v>10</v>
      </c>
      <c r="AE385" s="1638" t="s">
        <v>249</v>
      </c>
      <c r="AF385" s="1627" t="s">
        <v>389</v>
      </c>
      <c r="AH385" s="1632"/>
      <c r="AP385" s="1652"/>
      <c r="AQ385" s="1638" t="s">
        <v>249</v>
      </c>
      <c r="AR385" s="1627" t="s">
        <v>4195</v>
      </c>
      <c r="AT385" s="1632"/>
    </row>
    <row r="386" spans="1:47" ht="24" customHeight="1">
      <c r="A386" s="1647">
        <f t="shared" si="29"/>
        <v>221</v>
      </c>
      <c r="B386" s="1627" t="s">
        <v>1021</v>
      </c>
      <c r="C386" s="1695"/>
      <c r="D386" s="1695"/>
      <c r="K386" s="1636" t="s">
        <v>21</v>
      </c>
      <c r="W386" s="1634"/>
      <c r="X386" s="1664" t="s">
        <v>1022</v>
      </c>
      <c r="Y386" s="1664"/>
      <c r="AE386" s="1630"/>
      <c r="AF386" s="1640" t="str">
        <f>AF309</f>
        <v>Bricks of size 23x11.4x7.5 cm</v>
      </c>
      <c r="AH386" s="1632"/>
      <c r="AQ386" s="1630"/>
      <c r="AR386" s="1640"/>
      <c r="AT386" s="1632"/>
    </row>
    <row r="387" spans="1:47" ht="24" customHeight="1">
      <c r="A387" s="1647">
        <f t="shared" si="29"/>
        <v>222</v>
      </c>
      <c r="B387" s="1627" t="s">
        <v>979</v>
      </c>
      <c r="C387" s="1686">
        <v>15.87</v>
      </c>
      <c r="D387" s="1693" t="s">
        <v>4</v>
      </c>
      <c r="H387" s="1627" t="s">
        <v>263</v>
      </c>
      <c r="K387" s="1640">
        <f>SUM(K379:K385)</f>
        <v>78355.436999999991</v>
      </c>
      <c r="U387" s="1629" t="s">
        <v>263</v>
      </c>
      <c r="W387" s="1634"/>
      <c r="X387" s="1629">
        <f>SUM(X379:X386)</f>
        <v>83915.96699999999</v>
      </c>
      <c r="AE387" s="1630"/>
      <c r="AF387" s="1636" t="s">
        <v>21</v>
      </c>
      <c r="AH387" s="1632"/>
      <c r="AQ387" s="1630"/>
      <c r="AR387" s="1636" t="s">
        <v>21</v>
      </c>
      <c r="AT387" s="1632"/>
    </row>
    <row r="388" spans="1:47" ht="35.25" customHeight="1">
      <c r="A388" s="1647">
        <f t="shared" si="29"/>
        <v>223</v>
      </c>
      <c r="B388" s="1627" t="s">
        <v>980</v>
      </c>
      <c r="C388" s="1686">
        <v>20.16</v>
      </c>
      <c r="D388" s="1693" t="s">
        <v>4</v>
      </c>
      <c r="K388" s="1636" t="s">
        <v>21</v>
      </c>
      <c r="N388" s="1627" t="s">
        <v>230</v>
      </c>
      <c r="O388" s="1627" t="s">
        <v>314</v>
      </c>
      <c r="W388" s="1634"/>
      <c r="X388" s="1664" t="s">
        <v>1022</v>
      </c>
      <c r="Y388" s="1664"/>
      <c r="AD388" s="1640">
        <f>AD311</f>
        <v>4240</v>
      </c>
      <c r="AE388" s="1638" t="s">
        <v>267</v>
      </c>
      <c r="AF388" s="1640" t="str">
        <f>AF309</f>
        <v>Bricks of size 23x11.4x7.5 cm</v>
      </c>
      <c r="AG388" s="1640">
        <f>AE42</f>
        <v>8320.31</v>
      </c>
      <c r="AH388" s="1627" t="s">
        <v>268</v>
      </c>
      <c r="AI388" s="1640">
        <f>(AD388*AG388)/1000</f>
        <v>35278.114399999999</v>
      </c>
      <c r="AP388" s="1640">
        <v>91</v>
      </c>
      <c r="AQ388" s="1638" t="s">
        <v>267</v>
      </c>
      <c r="AR388" s="1697" t="s">
        <v>5145</v>
      </c>
      <c r="AS388" s="1640">
        <v>45.35</v>
      </c>
      <c r="AT388" s="1627" t="s">
        <v>340</v>
      </c>
      <c r="AU388" s="1640">
        <f>(AP388*AS388)</f>
        <v>4126.8500000000004</v>
      </c>
    </row>
    <row r="389" spans="1:47" ht="24" customHeight="1">
      <c r="A389" s="1647">
        <f t="shared" si="29"/>
        <v>224</v>
      </c>
      <c r="B389" s="1627" t="s">
        <v>982</v>
      </c>
      <c r="C389" s="1686">
        <v>22.31</v>
      </c>
      <c r="D389" s="1693" t="s">
        <v>4</v>
      </c>
      <c r="H389" s="1627" t="s">
        <v>270</v>
      </c>
      <c r="K389" s="1640">
        <f>(K387/10)</f>
        <v>7835.5436999999993</v>
      </c>
      <c r="O389" s="1636" t="s">
        <v>21</v>
      </c>
      <c r="U389" s="1629" t="s">
        <v>270</v>
      </c>
      <c r="W389" s="1634"/>
      <c r="X389" s="1629">
        <f>X387/10</f>
        <v>8391.5966999999982</v>
      </c>
      <c r="AD389" s="1640">
        <v>1.27</v>
      </c>
      <c r="AE389" s="1638" t="s">
        <v>151</v>
      </c>
      <c r="AF389" s="1627" t="s">
        <v>258</v>
      </c>
      <c r="AG389" s="1640">
        <f>V380</f>
        <v>4593.8999999999996</v>
      </c>
      <c r="AH389" s="1627" t="s">
        <v>151</v>
      </c>
      <c r="AI389" s="1640">
        <f>(AD389*AG389)</f>
        <v>5834.2529999999997</v>
      </c>
      <c r="AP389" s="1640">
        <v>0.11</v>
      </c>
      <c r="AQ389" s="1638" t="s">
        <v>151</v>
      </c>
      <c r="AR389" s="1627" t="s">
        <v>258</v>
      </c>
      <c r="AS389" s="1640">
        <f>AG389</f>
        <v>4593.8999999999996</v>
      </c>
      <c r="AT389" s="1627" t="s">
        <v>151</v>
      </c>
      <c r="AU389" s="1640">
        <f>(AP389*AS389)</f>
        <v>505.32899999999995</v>
      </c>
    </row>
    <row r="390" spans="1:47" ht="24" customHeight="1">
      <c r="A390" s="1647">
        <f t="shared" si="29"/>
        <v>225</v>
      </c>
      <c r="B390" s="1627" t="s">
        <v>1023</v>
      </c>
      <c r="D390" s="1627" t="s">
        <v>150</v>
      </c>
      <c r="K390" s="1636" t="s">
        <v>156</v>
      </c>
      <c r="M390" s="1640">
        <v>7.0000000000000007E-2</v>
      </c>
      <c r="N390" s="1627" t="s">
        <v>151</v>
      </c>
      <c r="O390" s="1627" t="s">
        <v>315</v>
      </c>
      <c r="P390" s="1640">
        <f>(C84)</f>
        <v>1348</v>
      </c>
      <c r="Q390" s="1627" t="s">
        <v>151</v>
      </c>
      <c r="R390" s="1640">
        <f>(M390*P390)</f>
        <v>94.360000000000014</v>
      </c>
      <c r="W390" s="1634"/>
      <c r="X390" s="1664" t="s">
        <v>1024</v>
      </c>
      <c r="Y390" s="1664"/>
      <c r="AD390" s="1640">
        <v>7</v>
      </c>
      <c r="AE390" s="1638" t="s">
        <v>153</v>
      </c>
      <c r="AF390" s="1627" t="s">
        <v>269</v>
      </c>
      <c r="AG390" s="1640">
        <f>V381</f>
        <v>1325.8</v>
      </c>
      <c r="AH390" s="1627" t="s">
        <v>153</v>
      </c>
      <c r="AI390" s="1640">
        <f>(AD390*AG390)</f>
        <v>9280.6</v>
      </c>
      <c r="AP390" s="1640">
        <v>1.25</v>
      </c>
      <c r="AQ390" s="1638" t="s">
        <v>153</v>
      </c>
      <c r="AR390" s="1627" t="s">
        <v>269</v>
      </c>
      <c r="AS390" s="1640">
        <f>AG390</f>
        <v>1325.8</v>
      </c>
      <c r="AT390" s="1627" t="s">
        <v>153</v>
      </c>
      <c r="AU390" s="1640">
        <f>(AP390*AS390)</f>
        <v>1657.25</v>
      </c>
    </row>
    <row r="391" spans="1:47" ht="24" customHeight="1">
      <c r="A391" s="1647">
        <f t="shared" si="29"/>
        <v>226</v>
      </c>
      <c r="B391" s="1627" t="s">
        <v>5146</v>
      </c>
      <c r="C391" s="1640">
        <v>69.8</v>
      </c>
      <c r="D391" s="1627" t="s">
        <v>552</v>
      </c>
      <c r="M391" s="1640">
        <v>1.6</v>
      </c>
      <c r="N391" s="1627" t="s">
        <v>153</v>
      </c>
      <c r="O391" s="1627" t="s">
        <v>234</v>
      </c>
      <c r="P391" s="1640">
        <f>(C11)</f>
        <v>1237.5999999999999</v>
      </c>
      <c r="Q391" s="1627" t="s">
        <v>153</v>
      </c>
      <c r="R391" s="1640">
        <f>(M391*P391)</f>
        <v>1980.1599999999999</v>
      </c>
      <c r="W391" s="1634"/>
      <c r="AD391" s="1640">
        <v>7.1</v>
      </c>
      <c r="AE391" s="1638" t="s">
        <v>153</v>
      </c>
      <c r="AF391" s="1627" t="s">
        <v>234</v>
      </c>
      <c r="AG391" s="1640">
        <f>V382</f>
        <v>1237.5999999999999</v>
      </c>
      <c r="AH391" s="1627" t="s">
        <v>153</v>
      </c>
      <c r="AI391" s="1640">
        <f>(AD391*AG391)</f>
        <v>8786.9599999999991</v>
      </c>
      <c r="AP391" s="1640"/>
      <c r="AQ391" s="1638"/>
      <c r="AR391" s="1627"/>
      <c r="AS391" s="1640"/>
      <c r="AT391" s="1627"/>
      <c r="AU391" s="1640"/>
    </row>
    <row r="392" spans="1:47" ht="24" customHeight="1">
      <c r="A392" s="1647">
        <f t="shared" si="29"/>
        <v>227</v>
      </c>
      <c r="B392" s="1627" t="s">
        <v>1026</v>
      </c>
      <c r="C392" s="1640">
        <v>98.6</v>
      </c>
      <c r="D392" s="1627" t="s">
        <v>552</v>
      </c>
      <c r="G392" s="1638" t="s">
        <v>230</v>
      </c>
      <c r="H392" s="1627" t="s">
        <v>822</v>
      </c>
      <c r="M392" s="1640">
        <v>0.5</v>
      </c>
      <c r="N392" s="1627" t="s">
        <v>153</v>
      </c>
      <c r="O392" s="1627" t="s">
        <v>235</v>
      </c>
      <c r="P392" s="1640">
        <f>(C12)</f>
        <v>865.19999999999993</v>
      </c>
      <c r="Q392" s="1627" t="s">
        <v>153</v>
      </c>
      <c r="R392" s="1640">
        <f>(M392*P392)</f>
        <v>432.59999999999997</v>
      </c>
      <c r="T392" s="1629" t="s">
        <v>230</v>
      </c>
      <c r="U392" s="1629" t="s">
        <v>1027</v>
      </c>
      <c r="W392" s="1634"/>
      <c r="AD392" s="1640">
        <v>7.1</v>
      </c>
      <c r="AE392" s="1638" t="s">
        <v>153</v>
      </c>
      <c r="AF392" s="1627" t="s">
        <v>235</v>
      </c>
      <c r="AG392" s="1640">
        <f>V383</f>
        <v>865.19999999999993</v>
      </c>
      <c r="AH392" s="1627" t="s">
        <v>153</v>
      </c>
      <c r="AI392" s="1640">
        <f>(AD392*AG392)</f>
        <v>6142.9199999999992</v>
      </c>
      <c r="AP392" s="1640">
        <v>0.88</v>
      </c>
      <c r="AQ392" s="1638" t="s">
        <v>153</v>
      </c>
      <c r="AR392" s="1627" t="s">
        <v>235</v>
      </c>
      <c r="AS392" s="1640">
        <f>AG392</f>
        <v>865.19999999999993</v>
      </c>
      <c r="AT392" s="1627" t="s">
        <v>153</v>
      </c>
      <c r="AU392" s="1640">
        <f>(AP392*AS392)</f>
        <v>761.37599999999998</v>
      </c>
    </row>
    <row r="393" spans="1:47" ht="24" customHeight="1">
      <c r="A393" s="1647">
        <f t="shared" si="29"/>
        <v>228</v>
      </c>
      <c r="B393" s="1627" t="s">
        <v>1028</v>
      </c>
      <c r="C393" s="1640">
        <v>128</v>
      </c>
      <c r="D393" s="1627" t="s">
        <v>552</v>
      </c>
      <c r="H393" s="1636" t="s">
        <v>21</v>
      </c>
      <c r="M393" s="1640">
        <v>2.7</v>
      </c>
      <c r="N393" s="1627" t="s">
        <v>153</v>
      </c>
      <c r="O393" s="1627" t="s">
        <v>236</v>
      </c>
      <c r="P393" s="1640">
        <f>(C13)</f>
        <v>709.8</v>
      </c>
      <c r="Q393" s="1627" t="s">
        <v>153</v>
      </c>
      <c r="R393" s="1640">
        <f>(M393*P393)</f>
        <v>1916.46</v>
      </c>
      <c r="U393" s="1629" t="s">
        <v>21</v>
      </c>
      <c r="W393" s="1634"/>
      <c r="AD393" s="1640">
        <v>21.2</v>
      </c>
      <c r="AE393" s="1638" t="s">
        <v>153</v>
      </c>
      <c r="AF393" s="1627" t="s">
        <v>236</v>
      </c>
      <c r="AG393" s="1640">
        <f>V384</f>
        <v>709.8</v>
      </c>
      <c r="AH393" s="1627" t="s">
        <v>153</v>
      </c>
      <c r="AI393" s="1640">
        <f>(AD393*AG393)</f>
        <v>15047.759999999998</v>
      </c>
      <c r="AP393" s="1640">
        <v>0.88</v>
      </c>
      <c r="AQ393" s="1638" t="s">
        <v>153</v>
      </c>
      <c r="AR393" s="1627" t="s">
        <v>236</v>
      </c>
      <c r="AS393" s="1640">
        <f>AG393</f>
        <v>709.8</v>
      </c>
      <c r="AT393" s="1627" t="s">
        <v>153</v>
      </c>
      <c r="AU393" s="1640">
        <f>(AP393*AS393)</f>
        <v>624.62399999999991</v>
      </c>
    </row>
    <row r="394" spans="1:47" ht="24" customHeight="1">
      <c r="A394" s="1647">
        <f t="shared" si="29"/>
        <v>229</v>
      </c>
      <c r="B394" s="1627" t="s">
        <v>1029</v>
      </c>
      <c r="C394" s="1640">
        <v>151.4</v>
      </c>
      <c r="D394" s="1627" t="s">
        <v>552</v>
      </c>
      <c r="F394" s="1640">
        <v>1.1000000000000001</v>
      </c>
      <c r="G394" s="1638" t="s">
        <v>151</v>
      </c>
      <c r="H394" s="1627" t="s">
        <v>273</v>
      </c>
      <c r="I394" s="1640">
        <f>(K389)</f>
        <v>7835.5436999999993</v>
      </c>
      <c r="J394" s="1627" t="s">
        <v>151</v>
      </c>
      <c r="K394" s="1640">
        <f>(F394*I394)</f>
        <v>8619.09807</v>
      </c>
      <c r="N394" s="1627" t="s">
        <v>226</v>
      </c>
      <c r="O394" s="1627" t="s">
        <v>316</v>
      </c>
      <c r="P394" s="1627" t="s">
        <v>150</v>
      </c>
      <c r="Q394" s="1627" t="s">
        <v>226</v>
      </c>
      <c r="R394" s="1640">
        <v>2.09</v>
      </c>
      <c r="S394" s="1633">
        <v>1.1200000000000001</v>
      </c>
      <c r="T394" s="1629" t="s">
        <v>151</v>
      </c>
      <c r="U394" s="1629" t="s">
        <v>273</v>
      </c>
      <c r="V394" s="1629">
        <f>X389</f>
        <v>8391.5966999999982</v>
      </c>
      <c r="W394" s="1634" t="s">
        <v>151</v>
      </c>
      <c r="X394" s="1629">
        <f>V394*S394</f>
        <v>9398.588303999999</v>
      </c>
      <c r="AE394" s="1638" t="s">
        <v>226</v>
      </c>
      <c r="AF394" s="1627" t="s">
        <v>237</v>
      </c>
      <c r="AG394" s="1627" t="s">
        <v>150</v>
      </c>
      <c r="AH394" s="1627" t="s">
        <v>226</v>
      </c>
      <c r="AI394" s="1640">
        <v>5</v>
      </c>
      <c r="AQ394" s="1638" t="s">
        <v>226</v>
      </c>
      <c r="AR394" s="1627" t="s">
        <v>237</v>
      </c>
      <c r="AS394" s="1627" t="s">
        <v>150</v>
      </c>
      <c r="AT394" s="1627" t="s">
        <v>226</v>
      </c>
      <c r="AU394" s="1640">
        <v>0</v>
      </c>
    </row>
    <row r="395" spans="1:47" ht="24" customHeight="1">
      <c r="A395" s="1647">
        <f t="shared" si="29"/>
        <v>230</v>
      </c>
      <c r="B395" s="1627" t="s">
        <v>1030</v>
      </c>
      <c r="C395" s="1640">
        <v>163</v>
      </c>
      <c r="D395" s="1627" t="s">
        <v>552</v>
      </c>
      <c r="F395" s="1640">
        <v>1</v>
      </c>
      <c r="G395" s="1638" t="s">
        <v>4</v>
      </c>
      <c r="H395" s="1627" t="s">
        <v>269</v>
      </c>
      <c r="I395" s="1640">
        <f>(C10)</f>
        <v>1325.8</v>
      </c>
      <c r="J395" s="1627" t="s">
        <v>153</v>
      </c>
      <c r="K395" s="1640">
        <f>(F395*I395)</f>
        <v>1325.8</v>
      </c>
      <c r="R395" s="1636" t="s">
        <v>21</v>
      </c>
      <c r="S395" s="1633">
        <v>1</v>
      </c>
      <c r="T395" s="1629" t="s">
        <v>4</v>
      </c>
      <c r="U395" s="1629" t="s">
        <v>269</v>
      </c>
      <c r="V395" s="1629">
        <f>I395</f>
        <v>1325.8</v>
      </c>
      <c r="W395" s="1634" t="s">
        <v>153</v>
      </c>
      <c r="X395" s="1629">
        <f>V395*S395</f>
        <v>1325.8</v>
      </c>
      <c r="AE395" s="1630"/>
      <c r="AH395" s="1632"/>
      <c r="AI395" s="1636" t="s">
        <v>21</v>
      </c>
      <c r="AQ395" s="1630"/>
      <c r="AT395" s="1632"/>
      <c r="AU395" s="1636" t="s">
        <v>21</v>
      </c>
    </row>
    <row r="396" spans="1:47" ht="24" customHeight="1">
      <c r="A396" s="1647">
        <f t="shared" si="29"/>
        <v>231</v>
      </c>
      <c r="B396" s="1627" t="s">
        <v>979</v>
      </c>
      <c r="C396" s="1640">
        <v>209</v>
      </c>
      <c r="D396" s="1627" t="s">
        <v>552</v>
      </c>
      <c r="G396" s="1638" t="s">
        <v>226</v>
      </c>
      <c r="H396" s="1627" t="s">
        <v>237</v>
      </c>
      <c r="I396" s="1627" t="s">
        <v>150</v>
      </c>
      <c r="J396" s="1627" t="s">
        <v>226</v>
      </c>
      <c r="K396" s="1640">
        <v>0</v>
      </c>
      <c r="O396" s="1627" t="s">
        <v>317</v>
      </c>
      <c r="R396" s="1640">
        <f>SUM(R389:R394)</f>
        <v>4425.67</v>
      </c>
      <c r="T396" s="1629" t="s">
        <v>226</v>
      </c>
      <c r="U396" s="1629" t="s">
        <v>237</v>
      </c>
      <c r="V396" s="1629" t="s">
        <v>150</v>
      </c>
      <c r="W396" s="1634" t="s">
        <v>226</v>
      </c>
      <c r="X396" s="1629">
        <v>0</v>
      </c>
      <c r="AE396" s="1630"/>
      <c r="AF396" s="1627" t="s">
        <v>263</v>
      </c>
      <c r="AH396" s="1632"/>
      <c r="AI396" s="1640">
        <f>SUM(AI388:AI394)</f>
        <v>80375.607399999994</v>
      </c>
      <c r="AQ396" s="1630"/>
      <c r="AR396" s="1627" t="s">
        <v>5147</v>
      </c>
      <c r="AT396" s="1632"/>
      <c r="AU396" s="1640">
        <f>SUM(AU388:AU394)</f>
        <v>7675.4290000000001</v>
      </c>
    </row>
    <row r="397" spans="1:47" ht="24" customHeight="1">
      <c r="A397" s="1647">
        <f t="shared" si="29"/>
        <v>232</v>
      </c>
      <c r="B397" s="1627" t="s">
        <v>1031</v>
      </c>
      <c r="C397" s="1640">
        <v>244.4</v>
      </c>
      <c r="D397" s="1627" t="s">
        <v>552</v>
      </c>
      <c r="K397" s="1636" t="s">
        <v>21</v>
      </c>
      <c r="R397" s="1636" t="s">
        <v>21</v>
      </c>
      <c r="W397" s="1634"/>
      <c r="X397" s="1664" t="s">
        <v>1022</v>
      </c>
      <c r="Y397" s="1664"/>
      <c r="AE397" s="1630"/>
      <c r="AH397" s="1632"/>
      <c r="AI397" s="1636" t="s">
        <v>21</v>
      </c>
      <c r="AQ397" s="1630"/>
      <c r="AT397" s="1632"/>
      <c r="AU397" s="1636" t="s">
        <v>21</v>
      </c>
    </row>
    <row r="398" spans="1:47" ht="24" customHeight="1">
      <c r="A398" s="1647">
        <f t="shared" si="29"/>
        <v>233</v>
      </c>
      <c r="B398" s="1627" t="s">
        <v>5148</v>
      </c>
      <c r="H398" s="1627" t="s">
        <v>238</v>
      </c>
      <c r="K398" s="1640">
        <f>SUM(K394:K396)</f>
        <v>9944.8980699999993</v>
      </c>
      <c r="O398" s="1627" t="s">
        <v>155</v>
      </c>
      <c r="R398" s="1640">
        <f>(R396/100)</f>
        <v>44.256700000000002</v>
      </c>
      <c r="U398" s="1629" t="s">
        <v>238</v>
      </c>
      <c r="W398" s="1634"/>
      <c r="X398" s="1629">
        <f>SUM(X394:X396)</f>
        <v>10724.388303999998</v>
      </c>
      <c r="AE398" s="1630"/>
      <c r="AF398" s="1627" t="s">
        <v>270</v>
      </c>
      <c r="AH398" s="1632"/>
      <c r="AI398" s="1640">
        <f>(AI396/10)</f>
        <v>8037.560739999999</v>
      </c>
      <c r="AQ398" s="1630"/>
      <c r="AR398" s="1627" t="s">
        <v>155</v>
      </c>
      <c r="AT398" s="1632"/>
      <c r="AU398" s="1640">
        <f>(AU396/10.71)</f>
        <v>716.66003734827257</v>
      </c>
    </row>
    <row r="399" spans="1:47" ht="24" customHeight="1">
      <c r="A399" s="1647">
        <f t="shared" si="29"/>
        <v>234</v>
      </c>
      <c r="B399" s="1627" t="s">
        <v>1033</v>
      </c>
      <c r="C399" s="1640">
        <v>13.6</v>
      </c>
      <c r="D399" s="1627" t="s">
        <v>153</v>
      </c>
      <c r="K399" s="1636" t="s">
        <v>21</v>
      </c>
      <c r="R399" s="1636" t="s">
        <v>156</v>
      </c>
      <c r="W399" s="1634"/>
      <c r="X399" s="1664" t="s">
        <v>1022</v>
      </c>
      <c r="Y399" s="1664"/>
      <c r="AE399" s="1630"/>
      <c r="AH399" s="1632"/>
      <c r="AI399" s="1636" t="s">
        <v>156</v>
      </c>
      <c r="AQ399" s="1630"/>
      <c r="AT399" s="1632"/>
      <c r="AU399" s="1636" t="s">
        <v>156</v>
      </c>
    </row>
    <row r="400" spans="1:47" ht="24" customHeight="1">
      <c r="A400" s="1647">
        <f t="shared" si="29"/>
        <v>235</v>
      </c>
      <c r="B400" s="1627" t="s">
        <v>1026</v>
      </c>
      <c r="C400" s="1640">
        <v>23.2</v>
      </c>
      <c r="D400" s="1627" t="s">
        <v>153</v>
      </c>
      <c r="H400" s="1627" t="s">
        <v>155</v>
      </c>
      <c r="K400" s="1639">
        <f>(K398/10)</f>
        <v>994.48980699999993</v>
      </c>
      <c r="N400" s="1627" t="s">
        <v>230</v>
      </c>
      <c r="O400" s="1627" t="s">
        <v>1034</v>
      </c>
      <c r="U400" s="1629" t="s">
        <v>155</v>
      </c>
      <c r="W400" s="1634"/>
      <c r="X400" s="1629">
        <f>X398/10</f>
        <v>1072.4388303999999</v>
      </c>
      <c r="AE400" s="1630"/>
      <c r="AH400" s="1632"/>
      <c r="AR400" s="1627" t="s">
        <v>271</v>
      </c>
      <c r="AT400" s="1632">
        <f>AH411</f>
        <v>11.938079999999999</v>
      </c>
      <c r="AU400" s="1639">
        <f>AU398+AT400</f>
        <v>728.59811734827258</v>
      </c>
    </row>
    <row r="401" spans="1:47" ht="24" customHeight="1">
      <c r="A401" s="1647">
        <f t="shared" si="29"/>
        <v>236</v>
      </c>
      <c r="B401" s="1627" t="s">
        <v>1028</v>
      </c>
      <c r="C401" s="1640">
        <v>52</v>
      </c>
      <c r="D401" s="1627" t="s">
        <v>153</v>
      </c>
      <c r="K401" s="1636" t="s">
        <v>156</v>
      </c>
      <c r="O401" s="1636" t="s">
        <v>21</v>
      </c>
      <c r="W401" s="1634"/>
      <c r="X401" s="1664" t="s">
        <v>1024</v>
      </c>
      <c r="Y401" s="1664"/>
      <c r="AE401" s="1638" t="s">
        <v>230</v>
      </c>
      <c r="AF401" s="1627" t="s">
        <v>390</v>
      </c>
      <c r="AH401" s="1632"/>
      <c r="AR401" s="1627" t="s">
        <v>272</v>
      </c>
      <c r="AT401" s="1632">
        <f>AH412</f>
        <v>24.083639999999999</v>
      </c>
      <c r="AU401" s="1639">
        <f t="shared" ref="AU401:AU406" si="31">AU400+AT401</f>
        <v>752.68175734827253</v>
      </c>
    </row>
    <row r="402" spans="1:47" ht="24" customHeight="1">
      <c r="A402" s="1647">
        <f t="shared" si="29"/>
        <v>237</v>
      </c>
      <c r="B402" s="1627" t="s">
        <v>1029</v>
      </c>
      <c r="C402" s="1640">
        <v>69.8</v>
      </c>
      <c r="D402" s="1627" t="s">
        <v>153</v>
      </c>
      <c r="H402" s="1627" t="s">
        <v>271</v>
      </c>
      <c r="J402" s="1632">
        <f>K402-K400</f>
        <v>11.519199999999955</v>
      </c>
      <c r="K402" s="1639">
        <f>(K400+C19/10*F394)</f>
        <v>1006.0090069999999</v>
      </c>
      <c r="M402" s="1640">
        <v>10</v>
      </c>
      <c r="N402" s="1627" t="s">
        <v>152</v>
      </c>
      <c r="O402" s="1627" t="s">
        <v>314</v>
      </c>
      <c r="P402" s="1640">
        <f>(R398)</f>
        <v>44.256700000000002</v>
      </c>
      <c r="Q402" s="1627" t="s">
        <v>152</v>
      </c>
      <c r="R402" s="1640">
        <f>(M402*P402)</f>
        <v>442.56700000000001</v>
      </c>
      <c r="U402" s="1661" t="s">
        <v>271</v>
      </c>
      <c r="W402" s="1634">
        <f>0.112*C19</f>
        <v>11.728639999999999</v>
      </c>
      <c r="X402" s="1661">
        <f>X400+W402</f>
        <v>1084.1674704</v>
      </c>
      <c r="Y402" s="1661"/>
      <c r="AE402" s="1630"/>
      <c r="AF402" s="1636" t="s">
        <v>21</v>
      </c>
      <c r="AH402" s="1632"/>
      <c r="AR402" s="1627" t="s">
        <v>767</v>
      </c>
      <c r="AT402" s="1632">
        <f>AT401</f>
        <v>24.083639999999999</v>
      </c>
      <c r="AU402" s="1639">
        <f t="shared" si="31"/>
        <v>776.76539734827247</v>
      </c>
    </row>
    <row r="403" spans="1:47" ht="24" customHeight="1">
      <c r="A403" s="1647">
        <f t="shared" si="29"/>
        <v>238</v>
      </c>
      <c r="B403" s="1627" t="s">
        <v>1030</v>
      </c>
      <c r="C403" s="1640">
        <v>87</v>
      </c>
      <c r="D403" s="1627" t="s">
        <v>153</v>
      </c>
      <c r="H403" s="1627" t="s">
        <v>272</v>
      </c>
      <c r="J403" s="1632">
        <f>K403-K402</f>
        <v>23.238599999999906</v>
      </c>
      <c r="K403" s="1639">
        <f>(K402+C20/10*F394)</f>
        <v>1029.2476069999998</v>
      </c>
      <c r="M403" s="1640">
        <v>10</v>
      </c>
      <c r="N403" s="1627" t="s">
        <v>152</v>
      </c>
      <c r="O403" s="1627" t="s">
        <v>1035</v>
      </c>
      <c r="P403" s="1640">
        <f>(R398/2)</f>
        <v>22.128350000000001</v>
      </c>
      <c r="Q403" s="1627" t="s">
        <v>152</v>
      </c>
      <c r="R403" s="1640">
        <f>(M403*P403)</f>
        <v>221.2835</v>
      </c>
      <c r="U403" s="1661" t="s">
        <v>272</v>
      </c>
      <c r="W403" s="1634">
        <f>0.112*C20</f>
        <v>23.66112</v>
      </c>
      <c r="X403" s="1661">
        <f>X402+W403</f>
        <v>1107.8285903999999</v>
      </c>
      <c r="Y403" s="1661"/>
      <c r="AD403" s="1640">
        <v>1.1399999999999999</v>
      </c>
      <c r="AE403" s="1638" t="s">
        <v>151</v>
      </c>
      <c r="AF403" s="1627" t="s">
        <v>273</v>
      </c>
      <c r="AG403" s="1640">
        <f>(AI398)</f>
        <v>8037.560739999999</v>
      </c>
      <c r="AH403" s="1627" t="s">
        <v>151</v>
      </c>
      <c r="AI403" s="1640">
        <f>(AD403*AG403)</f>
        <v>9162.8192435999972</v>
      </c>
      <c r="AR403" s="1627" t="s">
        <v>769</v>
      </c>
      <c r="AT403" s="1632">
        <f>AT402</f>
        <v>24.083639999999999</v>
      </c>
      <c r="AU403" s="1639">
        <f t="shared" si="31"/>
        <v>800.84903734827242</v>
      </c>
    </row>
    <row r="404" spans="1:47" ht="24" customHeight="1">
      <c r="A404" s="1647">
        <f t="shared" si="29"/>
        <v>239</v>
      </c>
      <c r="B404" s="1627" t="s">
        <v>979</v>
      </c>
      <c r="C404" s="1640">
        <v>116.3</v>
      </c>
      <c r="D404" s="1627" t="s">
        <v>153</v>
      </c>
      <c r="H404" s="1627" t="s">
        <v>767</v>
      </c>
      <c r="K404" s="1639">
        <f>(K403+C21/10*F394)</f>
        <v>1052.4862069999997</v>
      </c>
      <c r="O404" s="1627" t="s">
        <v>1036</v>
      </c>
      <c r="R404" s="1636" t="s">
        <v>21</v>
      </c>
      <c r="U404" s="1661" t="s">
        <v>767</v>
      </c>
      <c r="W404" s="1634">
        <f>W403</f>
        <v>23.66112</v>
      </c>
      <c r="X404" s="1661">
        <f>X403+W404</f>
        <v>1131.4897103999999</v>
      </c>
      <c r="Y404" s="1661"/>
      <c r="AD404" s="1640">
        <v>1</v>
      </c>
      <c r="AE404" s="1638" t="s">
        <v>4</v>
      </c>
      <c r="AF404" s="1627" t="s">
        <v>269</v>
      </c>
      <c r="AG404" s="1640">
        <f>AG390</f>
        <v>1325.8</v>
      </c>
      <c r="AH404" s="1627" t="s">
        <v>153</v>
      </c>
      <c r="AI404" s="1640">
        <f>(AD404*AG404)</f>
        <v>1325.8</v>
      </c>
      <c r="AR404" s="1627" t="s">
        <v>838</v>
      </c>
      <c r="AT404" s="1632">
        <f>AT403</f>
        <v>24.083639999999999</v>
      </c>
      <c r="AU404" s="1639">
        <f t="shared" si="31"/>
        <v>824.93267734827236</v>
      </c>
    </row>
    <row r="405" spans="1:47" ht="24" customHeight="1">
      <c r="A405" s="1647">
        <f t="shared" si="29"/>
        <v>240</v>
      </c>
      <c r="B405" s="1667" t="s">
        <v>5592</v>
      </c>
      <c r="C405" s="1640">
        <v>278.3</v>
      </c>
      <c r="D405" s="1627" t="s">
        <v>153</v>
      </c>
      <c r="H405" s="1627" t="s">
        <v>769</v>
      </c>
      <c r="K405" s="1639">
        <f>(K404+C21/10*F394)</f>
        <v>1075.7248069999996</v>
      </c>
      <c r="R405" s="1640">
        <f>SUM(R402:R403)</f>
        <v>663.85050000000001</v>
      </c>
      <c r="U405" s="1661" t="s">
        <v>769</v>
      </c>
      <c r="W405" s="1634">
        <f>W403</f>
        <v>23.66112</v>
      </c>
      <c r="X405" s="1661">
        <f>X404+W405</f>
        <v>1155.1508303999999</v>
      </c>
      <c r="Y405" s="1661"/>
      <c r="AE405" s="1638" t="s">
        <v>226</v>
      </c>
      <c r="AF405" s="1627" t="s">
        <v>237</v>
      </c>
      <c r="AG405" s="1627" t="s">
        <v>150</v>
      </c>
      <c r="AH405" s="1627" t="s">
        <v>226</v>
      </c>
      <c r="AI405" s="1640">
        <v>0</v>
      </c>
      <c r="AR405" s="1627" t="s">
        <v>1044</v>
      </c>
      <c r="AT405" s="1632">
        <f>AT404</f>
        <v>24.083639999999999</v>
      </c>
      <c r="AU405" s="1639">
        <f t="shared" si="31"/>
        <v>849.01631734827231</v>
      </c>
    </row>
    <row r="406" spans="1:47" ht="24" customHeight="1">
      <c r="A406" s="1647">
        <f t="shared" si="29"/>
        <v>241</v>
      </c>
      <c r="B406" s="1627" t="s">
        <v>5149</v>
      </c>
      <c r="D406" s="1627" t="s">
        <v>150</v>
      </c>
      <c r="H406" s="1627" t="s">
        <v>838</v>
      </c>
      <c r="K406" s="1639">
        <f>(K405+C21/10*F394)</f>
        <v>1098.9634069999995</v>
      </c>
      <c r="L406" s="1629">
        <f>K406-K405</f>
        <v>23.238599999999906</v>
      </c>
      <c r="O406" s="1627" t="s">
        <v>238</v>
      </c>
      <c r="R406" s="1636" t="s">
        <v>21</v>
      </c>
      <c r="U406" s="1661" t="s">
        <v>838</v>
      </c>
      <c r="W406" s="1634">
        <f>W405</f>
        <v>23.66112</v>
      </c>
      <c r="X406" s="1661">
        <f>X405+W406</f>
        <v>1178.8119503999999</v>
      </c>
      <c r="Y406" s="1661"/>
      <c r="AE406" s="1630"/>
      <c r="AH406" s="1632"/>
      <c r="AI406" s="1636" t="s">
        <v>21</v>
      </c>
      <c r="AR406" s="1627" t="s">
        <v>1045</v>
      </c>
      <c r="AT406" s="1632">
        <f>AT405</f>
        <v>24.083639999999999</v>
      </c>
      <c r="AU406" s="1639">
        <f t="shared" si="31"/>
        <v>873.09995734827226</v>
      </c>
    </row>
    <row r="407" spans="1:47" ht="24" customHeight="1">
      <c r="A407" s="1647">
        <f t="shared" si="29"/>
        <v>242</v>
      </c>
      <c r="B407" s="1627" t="s">
        <v>1033</v>
      </c>
      <c r="C407" s="1640">
        <v>13.6</v>
      </c>
      <c r="D407" s="1627" t="s">
        <v>153</v>
      </c>
      <c r="F407" s="1652">
        <v>11</v>
      </c>
      <c r="G407" s="1638" t="s">
        <v>249</v>
      </c>
      <c r="H407" s="1627" t="s">
        <v>1039</v>
      </c>
      <c r="L407" s="1629">
        <f>K406+L406</f>
        <v>1122.2020069999994</v>
      </c>
      <c r="R407" s="1640">
        <f>(R405/10)</f>
        <v>66.385050000000007</v>
      </c>
      <c r="S407" s="1633">
        <v>11</v>
      </c>
      <c r="T407" s="1629" t="s">
        <v>249</v>
      </c>
      <c r="U407" s="1629" t="s">
        <v>1039</v>
      </c>
      <c r="W407" s="1634"/>
      <c r="AE407" s="1630"/>
      <c r="AF407" s="1627" t="s">
        <v>238</v>
      </c>
      <c r="AH407" s="1632"/>
      <c r="AI407" s="1640">
        <f>SUM(AI403:AI405)</f>
        <v>10488.619243599996</v>
      </c>
    </row>
    <row r="408" spans="1:47" ht="24" customHeight="1">
      <c r="A408" s="1647">
        <f t="shared" si="29"/>
        <v>243</v>
      </c>
      <c r="B408" s="1627" t="s">
        <v>1026</v>
      </c>
      <c r="C408" s="1640">
        <v>15.9</v>
      </c>
      <c r="D408" s="1627" t="s">
        <v>153</v>
      </c>
      <c r="H408" s="1640" t="str">
        <f>H309</f>
        <v>Bricks of size 22x11x7 cm</v>
      </c>
      <c r="O408" s="1627" t="s">
        <v>155</v>
      </c>
      <c r="R408" s="1636" t="s">
        <v>156</v>
      </c>
      <c r="U408" s="1629" t="s">
        <v>978</v>
      </c>
      <c r="W408" s="1634"/>
      <c r="AE408" s="1630"/>
      <c r="AH408" s="1632"/>
      <c r="AI408" s="1636" t="s">
        <v>21</v>
      </c>
    </row>
    <row r="409" spans="1:47" ht="24" customHeight="1">
      <c r="A409" s="1647">
        <f t="shared" si="29"/>
        <v>244</v>
      </c>
      <c r="B409" s="1627" t="s">
        <v>1028</v>
      </c>
      <c r="C409" s="1640">
        <v>28.6</v>
      </c>
      <c r="D409" s="1627" t="s">
        <v>153</v>
      </c>
      <c r="H409" s="1636" t="s">
        <v>21</v>
      </c>
      <c r="U409" s="1629" t="s">
        <v>21</v>
      </c>
      <c r="W409" s="1634"/>
      <c r="AE409" s="1630"/>
      <c r="AF409" s="1627" t="s">
        <v>155</v>
      </c>
      <c r="AH409" s="1632"/>
      <c r="AI409" s="1639">
        <f>(AI407/10)</f>
        <v>1048.8619243599996</v>
      </c>
    </row>
    <row r="410" spans="1:47" ht="24" customHeight="1">
      <c r="A410" s="1647">
        <f t="shared" si="29"/>
        <v>245</v>
      </c>
      <c r="B410" s="1627" t="s">
        <v>1029</v>
      </c>
      <c r="C410" s="1640">
        <v>46.5</v>
      </c>
      <c r="D410" s="1627" t="s">
        <v>153</v>
      </c>
      <c r="F410" s="1640">
        <f>F311</f>
        <v>4800</v>
      </c>
      <c r="G410" s="1638" t="s">
        <v>267</v>
      </c>
      <c r="H410" s="1640" t="str">
        <f>H309</f>
        <v>Bricks of size 22x11x7 cm</v>
      </c>
      <c r="I410" s="1640">
        <f>(C80)</f>
        <v>6623.52</v>
      </c>
      <c r="J410" s="1627" t="s">
        <v>841</v>
      </c>
      <c r="K410" s="1640">
        <f>(F410*I410)/1000</f>
        <v>31792.896000000004</v>
      </c>
      <c r="N410" s="1627" t="s">
        <v>249</v>
      </c>
      <c r="O410" s="1627" t="s">
        <v>1040</v>
      </c>
      <c r="S410" s="1633">
        <v>4600</v>
      </c>
      <c r="T410" s="1629" t="s">
        <v>267</v>
      </c>
      <c r="U410" s="1629" t="s">
        <v>978</v>
      </c>
      <c r="V410" s="1629">
        <f t="shared" ref="V410:V415" si="32">V379</f>
        <v>8120.3099999999995</v>
      </c>
      <c r="W410" s="1634" t="s">
        <v>841</v>
      </c>
      <c r="X410" s="1629">
        <f>V410*S410/1000</f>
        <v>37353.425999999999</v>
      </c>
      <c r="AE410" s="1630"/>
      <c r="AH410" s="1632"/>
      <c r="AI410" s="1636" t="s">
        <v>156</v>
      </c>
    </row>
    <row r="411" spans="1:47" ht="24" customHeight="1">
      <c r="A411" s="1647">
        <f t="shared" ref="A411:A421" si="33">(A410+1)</f>
        <v>246</v>
      </c>
      <c r="B411" s="1627" t="s">
        <v>1030</v>
      </c>
      <c r="C411" s="1640">
        <v>58.1</v>
      </c>
      <c r="D411" s="1627" t="s">
        <v>153</v>
      </c>
      <c r="F411" s="1640">
        <f>F380</f>
        <v>1.59</v>
      </c>
      <c r="G411" s="1638" t="s">
        <v>151</v>
      </c>
      <c r="H411" s="1627" t="s">
        <v>258</v>
      </c>
      <c r="I411" s="1640">
        <f>(K40)</f>
        <v>4593.8999999999996</v>
      </c>
      <c r="J411" s="1627" t="s">
        <v>151</v>
      </c>
      <c r="K411" s="1640">
        <f>(F411*I411)</f>
        <v>7304.3009999999995</v>
      </c>
      <c r="O411" s="1627" t="s">
        <v>1041</v>
      </c>
      <c r="S411" s="1633">
        <v>1.59</v>
      </c>
      <c r="T411" s="1629" t="s">
        <v>151</v>
      </c>
      <c r="U411" s="1629" t="s">
        <v>258</v>
      </c>
      <c r="V411" s="1629">
        <f t="shared" si="32"/>
        <v>4593.8999999999996</v>
      </c>
      <c r="W411" s="1634" t="s">
        <v>151</v>
      </c>
      <c r="X411" s="1629">
        <f t="shared" ref="X411:X416" si="34">V411*S411</f>
        <v>7304.3009999999995</v>
      </c>
      <c r="AE411" s="1630"/>
      <c r="AF411" s="1627" t="s">
        <v>271</v>
      </c>
      <c r="AH411" s="1632">
        <f>C19*0.114</f>
        <v>11.938079999999999</v>
      </c>
      <c r="AI411" s="1639">
        <f>AI409+AH411</f>
        <v>1060.8000043599995</v>
      </c>
    </row>
    <row r="412" spans="1:47" ht="24" customHeight="1">
      <c r="A412" s="1647">
        <f t="shared" si="33"/>
        <v>247</v>
      </c>
      <c r="B412" s="1627" t="s">
        <v>979</v>
      </c>
      <c r="C412" s="1640">
        <v>69.8</v>
      </c>
      <c r="D412" s="1627" t="s">
        <v>153</v>
      </c>
      <c r="F412" s="1640">
        <v>7</v>
      </c>
      <c r="G412" s="1638" t="s">
        <v>153</v>
      </c>
      <c r="H412" s="1627" t="s">
        <v>269</v>
      </c>
      <c r="I412" s="1640">
        <f>(C10)</f>
        <v>1325.8</v>
      </c>
      <c r="J412" s="1627" t="s">
        <v>153</v>
      </c>
      <c r="K412" s="1640">
        <f>(F412*I412)</f>
        <v>9280.6</v>
      </c>
      <c r="O412" s="1636" t="s">
        <v>21</v>
      </c>
      <c r="S412" s="1633">
        <v>7</v>
      </c>
      <c r="T412" s="1629" t="s">
        <v>153</v>
      </c>
      <c r="U412" s="1629" t="s">
        <v>269</v>
      </c>
      <c r="V412" s="1629">
        <f t="shared" si="32"/>
        <v>1325.8</v>
      </c>
      <c r="W412" s="1634" t="s">
        <v>153</v>
      </c>
      <c r="X412" s="1629">
        <f t="shared" si="34"/>
        <v>9280.6</v>
      </c>
      <c r="AE412" s="1630"/>
      <c r="AF412" s="1627" t="s">
        <v>272</v>
      </c>
      <c r="AH412" s="1632">
        <f>C20*0.114</f>
        <v>24.083639999999999</v>
      </c>
      <c r="AI412" s="1639">
        <f t="shared" ref="AI412:AI420" si="35">AI411+AH412</f>
        <v>1084.8836443599996</v>
      </c>
    </row>
    <row r="413" spans="1:47" ht="24" customHeight="1">
      <c r="A413" s="1647">
        <f t="shared" si="33"/>
        <v>248</v>
      </c>
      <c r="B413" s="1667" t="s">
        <v>5150</v>
      </c>
      <c r="C413" s="1640">
        <v>239</v>
      </c>
      <c r="D413" s="1627" t="s">
        <v>153</v>
      </c>
      <c r="F413" s="1640">
        <v>7.1</v>
      </c>
      <c r="G413" s="1638" t="s">
        <v>153</v>
      </c>
      <c r="H413" s="1627" t="s">
        <v>234</v>
      </c>
      <c r="I413" s="1640">
        <f>(C11)</f>
        <v>1237.5999999999999</v>
      </c>
      <c r="J413" s="1627" t="s">
        <v>153</v>
      </c>
      <c r="K413" s="1640">
        <f>(F413*I413)</f>
        <v>8786.9599999999991</v>
      </c>
      <c r="M413" s="1640">
        <v>10</v>
      </c>
      <c r="N413" s="1627" t="s">
        <v>152</v>
      </c>
      <c r="O413" s="1627" t="s">
        <v>1016</v>
      </c>
      <c r="P413" s="1640">
        <f>(R384)</f>
        <v>30.383999999999997</v>
      </c>
      <c r="Q413" s="1627" t="s">
        <v>152</v>
      </c>
      <c r="R413" s="1640">
        <f>(M413*P413)</f>
        <v>303.83999999999997</v>
      </c>
      <c r="S413" s="1633">
        <v>7.1</v>
      </c>
      <c r="T413" s="1629" t="s">
        <v>153</v>
      </c>
      <c r="U413" s="1629" t="s">
        <v>234</v>
      </c>
      <c r="V413" s="1629">
        <f t="shared" si="32"/>
        <v>1237.5999999999999</v>
      </c>
      <c r="W413" s="1634" t="s">
        <v>153</v>
      </c>
      <c r="X413" s="1629">
        <f t="shared" si="34"/>
        <v>8786.9599999999991</v>
      </c>
      <c r="AE413" s="1630"/>
      <c r="AF413" s="1627" t="s">
        <v>767</v>
      </c>
      <c r="AH413" s="1632">
        <f t="shared" ref="AH413:AH422" si="36">AH412</f>
        <v>24.083639999999999</v>
      </c>
      <c r="AI413" s="1639">
        <f t="shared" si="35"/>
        <v>1108.9672843599997</v>
      </c>
    </row>
    <row r="414" spans="1:47" ht="24" customHeight="1">
      <c r="A414" s="1647">
        <f t="shared" si="33"/>
        <v>249</v>
      </c>
      <c r="B414" s="1631" t="s">
        <v>1043</v>
      </c>
      <c r="D414" s="1627" t="s">
        <v>150</v>
      </c>
      <c r="F414" s="1640">
        <v>7.1</v>
      </c>
      <c r="G414" s="1638" t="s">
        <v>153</v>
      </c>
      <c r="H414" s="1627" t="s">
        <v>235</v>
      </c>
      <c r="I414" s="1640">
        <f>(C12)</f>
        <v>865.19999999999993</v>
      </c>
      <c r="J414" s="1627" t="s">
        <v>153</v>
      </c>
      <c r="K414" s="1640">
        <f>(F414*I414)</f>
        <v>6142.9199999999992</v>
      </c>
      <c r="M414" s="1640">
        <v>10</v>
      </c>
      <c r="N414" s="1627" t="s">
        <v>152</v>
      </c>
      <c r="O414" s="1627" t="s">
        <v>1034</v>
      </c>
      <c r="P414" s="1640">
        <f>(R407)</f>
        <v>66.385050000000007</v>
      </c>
      <c r="Q414" s="1627" t="s">
        <v>152</v>
      </c>
      <c r="R414" s="1640">
        <f>(M414*P414)</f>
        <v>663.85050000000001</v>
      </c>
      <c r="S414" s="1633">
        <v>7.1</v>
      </c>
      <c r="T414" s="1629" t="s">
        <v>153</v>
      </c>
      <c r="U414" s="1629" t="s">
        <v>235</v>
      </c>
      <c r="V414" s="1629">
        <f t="shared" si="32"/>
        <v>865.19999999999993</v>
      </c>
      <c r="W414" s="1634" t="s">
        <v>153</v>
      </c>
      <c r="X414" s="1629">
        <f t="shared" si="34"/>
        <v>6142.9199999999992</v>
      </c>
      <c r="AE414" s="1630"/>
      <c r="AF414" s="1627" t="s">
        <v>769</v>
      </c>
      <c r="AH414" s="1632">
        <f t="shared" si="36"/>
        <v>24.083639999999999</v>
      </c>
      <c r="AI414" s="1639">
        <f t="shared" si="35"/>
        <v>1133.0509243599997</v>
      </c>
    </row>
    <row r="415" spans="1:47" ht="24" customHeight="1">
      <c r="A415" s="1647">
        <f t="shared" si="33"/>
        <v>250</v>
      </c>
      <c r="B415" s="1627" t="s">
        <v>1033</v>
      </c>
      <c r="C415" s="1640">
        <v>15.9</v>
      </c>
      <c r="D415" s="1627" t="s">
        <v>153</v>
      </c>
      <c r="F415" s="1640">
        <v>21.2</v>
      </c>
      <c r="G415" s="1638" t="s">
        <v>153</v>
      </c>
      <c r="H415" s="1627" t="s">
        <v>236</v>
      </c>
      <c r="I415" s="1640">
        <f>(C13)</f>
        <v>709.8</v>
      </c>
      <c r="J415" s="1627" t="s">
        <v>153</v>
      </c>
      <c r="K415" s="1640">
        <f>(F415*I415)</f>
        <v>15047.759999999998</v>
      </c>
      <c r="O415" s="1627" t="s">
        <v>150</v>
      </c>
      <c r="R415" s="1636" t="s">
        <v>21</v>
      </c>
      <c r="S415" s="1633">
        <v>21.2</v>
      </c>
      <c r="T415" s="1629" t="s">
        <v>153</v>
      </c>
      <c r="U415" s="1629" t="s">
        <v>236</v>
      </c>
      <c r="V415" s="1629">
        <f t="shared" si="32"/>
        <v>709.8</v>
      </c>
      <c r="W415" s="1634" t="s">
        <v>153</v>
      </c>
      <c r="X415" s="1629">
        <f t="shared" si="34"/>
        <v>15047.759999999998</v>
      </c>
      <c r="AE415" s="1630"/>
      <c r="AF415" s="1627" t="s">
        <v>838</v>
      </c>
      <c r="AH415" s="1632">
        <f t="shared" si="36"/>
        <v>24.083639999999999</v>
      </c>
      <c r="AI415" s="1639">
        <f t="shared" si="35"/>
        <v>1157.1345643599998</v>
      </c>
    </row>
    <row r="416" spans="1:47" ht="24" customHeight="1">
      <c r="A416" s="1647">
        <f t="shared" si="33"/>
        <v>251</v>
      </c>
      <c r="B416" s="1627" t="s">
        <v>1026</v>
      </c>
      <c r="C416" s="1640">
        <v>25.4</v>
      </c>
      <c r="D416" s="1627" t="s">
        <v>153</v>
      </c>
      <c r="G416" s="1638" t="s">
        <v>226</v>
      </c>
      <c r="H416" s="1627" t="s">
        <v>237</v>
      </c>
      <c r="I416" s="1627" t="s">
        <v>150</v>
      </c>
      <c r="J416" s="1627" t="s">
        <v>226</v>
      </c>
      <c r="K416" s="1640">
        <v>0</v>
      </c>
      <c r="R416" s="1640">
        <f>SUM(R413:R414)</f>
        <v>967.69049999999993</v>
      </c>
      <c r="T416" s="1629" t="s">
        <v>226</v>
      </c>
      <c r="U416" s="1629" t="s">
        <v>237</v>
      </c>
      <c r="V416" s="1629" t="s">
        <v>150</v>
      </c>
      <c r="W416" s="1634" t="s">
        <v>226</v>
      </c>
      <c r="X416" s="1629">
        <f t="shared" si="34"/>
        <v>0</v>
      </c>
      <c r="AE416" s="1630"/>
      <c r="AF416" s="1627" t="s">
        <v>1044</v>
      </c>
      <c r="AH416" s="1632">
        <f t="shared" si="36"/>
        <v>24.083639999999999</v>
      </c>
      <c r="AI416" s="1639">
        <f t="shared" si="35"/>
        <v>1181.2182043599998</v>
      </c>
    </row>
    <row r="417" spans="1:37" ht="24" customHeight="1">
      <c r="A417" s="1647">
        <f t="shared" si="33"/>
        <v>252</v>
      </c>
      <c r="B417" s="1627" t="s">
        <v>1028</v>
      </c>
      <c r="C417" s="1640">
        <v>58.1</v>
      </c>
      <c r="D417" s="1627" t="s">
        <v>153</v>
      </c>
      <c r="K417" s="1636" t="s">
        <v>21</v>
      </c>
      <c r="O417" s="1627" t="s">
        <v>238</v>
      </c>
      <c r="R417" s="1636" t="s">
        <v>21</v>
      </c>
      <c r="W417" s="1634"/>
      <c r="X417" s="1664" t="s">
        <v>1022</v>
      </c>
      <c r="Y417" s="1664"/>
      <c r="AE417" s="1630"/>
      <c r="AF417" s="1627" t="s">
        <v>1045</v>
      </c>
      <c r="AH417" s="1632">
        <f t="shared" si="36"/>
        <v>24.083639999999999</v>
      </c>
      <c r="AI417" s="1639">
        <f t="shared" si="35"/>
        <v>1205.3018443599999</v>
      </c>
    </row>
    <row r="418" spans="1:37" ht="24" customHeight="1">
      <c r="A418" s="1647">
        <f t="shared" si="33"/>
        <v>253</v>
      </c>
      <c r="B418" s="1627" t="s">
        <v>1029</v>
      </c>
      <c r="C418" s="1640">
        <v>87</v>
      </c>
      <c r="D418" s="1627" t="s">
        <v>153</v>
      </c>
      <c r="H418" s="1627" t="s">
        <v>263</v>
      </c>
      <c r="K418" s="1640">
        <f>SUM(K410:K416)</f>
        <v>78355.436999999991</v>
      </c>
      <c r="R418" s="1640">
        <f>(R416/10)</f>
        <v>96.769049999999993</v>
      </c>
      <c r="U418" s="1629" t="s">
        <v>263</v>
      </c>
      <c r="W418" s="1634"/>
      <c r="X418" s="1629">
        <f>SUM(X410:X416)</f>
        <v>83915.96699999999</v>
      </c>
      <c r="AE418" s="1630"/>
      <c r="AF418" s="1627" t="s">
        <v>1046</v>
      </c>
      <c r="AH418" s="1632">
        <f t="shared" si="36"/>
        <v>24.083639999999999</v>
      </c>
      <c r="AI418" s="1639">
        <f t="shared" si="35"/>
        <v>1229.38548436</v>
      </c>
    </row>
    <row r="419" spans="1:37" ht="24" customHeight="1">
      <c r="A419" s="1647">
        <f t="shared" si="33"/>
        <v>254</v>
      </c>
      <c r="B419" s="1627" t="s">
        <v>1030</v>
      </c>
      <c r="C419" s="1640">
        <v>98.6</v>
      </c>
      <c r="D419" s="1627" t="s">
        <v>153</v>
      </c>
      <c r="K419" s="1636" t="s">
        <v>21</v>
      </c>
      <c r="O419" s="1627" t="s">
        <v>155</v>
      </c>
      <c r="R419" s="1636" t="s">
        <v>156</v>
      </c>
      <c r="W419" s="1634"/>
      <c r="X419" s="1664" t="s">
        <v>1022</v>
      </c>
      <c r="Y419" s="1664"/>
      <c r="AE419" s="1630"/>
      <c r="AF419" s="1627" t="s">
        <v>1047</v>
      </c>
      <c r="AH419" s="1632">
        <f t="shared" si="36"/>
        <v>24.083639999999999</v>
      </c>
      <c r="AI419" s="1639">
        <f>AI418+AH419</f>
        <v>1253.46912436</v>
      </c>
    </row>
    <row r="420" spans="1:37" ht="24" customHeight="1">
      <c r="A420" s="1647">
        <f t="shared" si="33"/>
        <v>255</v>
      </c>
      <c r="B420" s="1627" t="s">
        <v>979</v>
      </c>
      <c r="C420" s="1640">
        <v>128</v>
      </c>
      <c r="D420" s="1627" t="s">
        <v>153</v>
      </c>
      <c r="H420" s="1627" t="s">
        <v>270</v>
      </c>
      <c r="K420" s="1640">
        <f>(K418/10)</f>
        <v>7835.5436999999993</v>
      </c>
      <c r="U420" s="1629" t="s">
        <v>270</v>
      </c>
      <c r="W420" s="1634"/>
      <c r="X420" s="1629">
        <f>X418/10</f>
        <v>8391.5966999999982</v>
      </c>
      <c r="AE420" s="1630"/>
      <c r="AF420" s="1627" t="s">
        <v>1048</v>
      </c>
      <c r="AH420" s="1632">
        <f t="shared" si="36"/>
        <v>24.083639999999999</v>
      </c>
      <c r="AI420" s="1639">
        <f t="shared" si="35"/>
        <v>1277.5527643600001</v>
      </c>
    </row>
    <row r="421" spans="1:37" ht="24" customHeight="1">
      <c r="A421" s="1647">
        <f t="shared" si="33"/>
        <v>256</v>
      </c>
      <c r="B421" s="1627" t="s">
        <v>1042</v>
      </c>
      <c r="C421" s="1640">
        <v>345.2</v>
      </c>
      <c r="D421" s="1627" t="s">
        <v>153</v>
      </c>
      <c r="K421" s="1636" t="s">
        <v>156</v>
      </c>
      <c r="W421" s="1634"/>
      <c r="X421" s="1664" t="s">
        <v>1024</v>
      </c>
      <c r="Y421" s="1664"/>
      <c r="AD421" s="1652">
        <v>11</v>
      </c>
      <c r="AE421" s="1638" t="s">
        <v>249</v>
      </c>
      <c r="AF421" s="1627" t="s">
        <v>1039</v>
      </c>
      <c r="AH421" s="1632">
        <f t="shared" si="36"/>
        <v>24.083639999999999</v>
      </c>
      <c r="AI421" s="1639">
        <f>AI420+AH421</f>
        <v>1301.6364043600001</v>
      </c>
    </row>
    <row r="422" spans="1:37" ht="24" customHeight="1">
      <c r="F422" s="1627" t="s">
        <v>646</v>
      </c>
      <c r="S422" s="1633" t="s">
        <v>646</v>
      </c>
      <c r="W422" s="1634"/>
      <c r="AE422" s="1630"/>
      <c r="AF422" s="1640">
        <f>AF307</f>
        <v>0</v>
      </c>
      <c r="AH422" s="1632">
        <f t="shared" si="36"/>
        <v>24.083639999999999</v>
      </c>
      <c r="AI422" s="1639">
        <f>AI421+AH422</f>
        <v>1325.7200443600002</v>
      </c>
      <c r="AJ422" s="1629" t="s">
        <v>1049</v>
      </c>
      <c r="AK422" s="1629">
        <f>AI422+AH422</f>
        <v>1349.8036843600003</v>
      </c>
    </row>
    <row r="423" spans="1:37" ht="24" customHeight="1">
      <c r="A423" s="1647">
        <f>(A421+1)</f>
        <v>257</v>
      </c>
      <c r="B423" s="1631" t="s">
        <v>1050</v>
      </c>
      <c r="D423" s="1627" t="s">
        <v>150</v>
      </c>
      <c r="O423" s="1628" t="s">
        <v>1051</v>
      </c>
      <c r="W423" s="1634"/>
      <c r="AE423" s="1630"/>
      <c r="AF423" s="1636" t="s">
        <v>21</v>
      </c>
      <c r="AH423" s="1632"/>
      <c r="AJ423" s="1629" t="s">
        <v>1052</v>
      </c>
      <c r="AK423" s="1629">
        <f>AK422+AH422</f>
        <v>1373.8873243600003</v>
      </c>
    </row>
    <row r="424" spans="1:37" ht="24" customHeight="1">
      <c r="A424" s="1647">
        <f t="shared" ref="A424:A487" si="37">(A423+1)</f>
        <v>258</v>
      </c>
      <c r="B424" s="1627" t="s">
        <v>1033</v>
      </c>
      <c r="C424" s="1640">
        <v>58.1</v>
      </c>
      <c r="D424" s="1627" t="s">
        <v>153</v>
      </c>
      <c r="G424" s="1638" t="s">
        <v>848</v>
      </c>
      <c r="H424" s="1627" t="s">
        <v>849</v>
      </c>
      <c r="O424" s="1636" t="s">
        <v>21</v>
      </c>
      <c r="T424" s="1629" t="s">
        <v>848</v>
      </c>
      <c r="U424" s="1629" t="s">
        <v>849</v>
      </c>
      <c r="W424" s="1634"/>
      <c r="AD424" s="1640">
        <f>AD311</f>
        <v>4240</v>
      </c>
      <c r="AE424" s="1638" t="s">
        <v>267</v>
      </c>
      <c r="AF424" s="1640" t="str">
        <f>AF311</f>
        <v>Bricks of size 23x11.4x7.5 cm</v>
      </c>
      <c r="AG424" s="1640">
        <f t="shared" ref="AG424:AG429" si="38">AG388</f>
        <v>8320.31</v>
      </c>
      <c r="AH424" s="1627" t="s">
        <v>841</v>
      </c>
      <c r="AI424" s="1640">
        <f>(AD424*AG424)/1000</f>
        <v>35278.114399999999</v>
      </c>
    </row>
    <row r="425" spans="1:37" ht="24" customHeight="1">
      <c r="A425" s="1647">
        <f t="shared" si="37"/>
        <v>259</v>
      </c>
      <c r="B425" s="1627" t="s">
        <v>1026</v>
      </c>
      <c r="C425" s="1640">
        <v>69.8</v>
      </c>
      <c r="D425" s="1627" t="s">
        <v>153</v>
      </c>
      <c r="H425" s="1636" t="s">
        <v>21</v>
      </c>
      <c r="N425" s="1627" t="s">
        <v>249</v>
      </c>
      <c r="O425" s="1627" t="s">
        <v>1053</v>
      </c>
      <c r="U425" s="1629" t="s">
        <v>21</v>
      </c>
      <c r="W425" s="1634"/>
      <c r="AD425" s="1640">
        <v>1.27</v>
      </c>
      <c r="AE425" s="1638" t="s">
        <v>151</v>
      </c>
      <c r="AF425" s="1627" t="s">
        <v>258</v>
      </c>
      <c r="AG425" s="1640">
        <f t="shared" si="38"/>
        <v>4593.8999999999996</v>
      </c>
      <c r="AH425" s="1627" t="s">
        <v>151</v>
      </c>
      <c r="AI425" s="1640">
        <f>(AD425*AG425)</f>
        <v>5834.2529999999997</v>
      </c>
    </row>
    <row r="426" spans="1:37" ht="24" customHeight="1">
      <c r="A426" s="1647">
        <f t="shared" si="37"/>
        <v>260</v>
      </c>
      <c r="B426" s="1627" t="s">
        <v>1028</v>
      </c>
      <c r="C426" s="1640">
        <v>98.6</v>
      </c>
      <c r="D426" s="1627" t="s">
        <v>153</v>
      </c>
      <c r="F426" s="1640">
        <v>0.7</v>
      </c>
      <c r="G426" s="1638" t="s">
        <v>151</v>
      </c>
      <c r="H426" s="1627" t="s">
        <v>850</v>
      </c>
      <c r="I426" s="1640">
        <f>(K420)</f>
        <v>7835.5436999999993</v>
      </c>
      <c r="J426" s="1627" t="s">
        <v>153</v>
      </c>
      <c r="K426" s="1640">
        <f>(F426*I426)</f>
        <v>5484.8805899999988</v>
      </c>
      <c r="O426" s="1627" t="s">
        <v>1054</v>
      </c>
      <c r="S426" s="1633">
        <v>0.7</v>
      </c>
      <c r="T426" s="1629" t="s">
        <v>151</v>
      </c>
      <c r="U426" s="1629" t="s">
        <v>850</v>
      </c>
      <c r="V426" s="1629">
        <f>X420</f>
        <v>8391.5966999999982</v>
      </c>
      <c r="W426" s="1634" t="s">
        <v>153</v>
      </c>
      <c r="X426" s="1629">
        <f>V426*S426</f>
        <v>5874.1176899999982</v>
      </c>
      <c r="AD426" s="1640">
        <v>7</v>
      </c>
      <c r="AE426" s="1638" t="s">
        <v>153</v>
      </c>
      <c r="AF426" s="1627" t="s">
        <v>269</v>
      </c>
      <c r="AG426" s="1640">
        <f t="shared" si="38"/>
        <v>1325.8</v>
      </c>
      <c r="AH426" s="1627" t="s">
        <v>153</v>
      </c>
      <c r="AI426" s="1640">
        <f>(AD426*AG426)</f>
        <v>9280.6</v>
      </c>
    </row>
    <row r="427" spans="1:37" ht="24" customHeight="1">
      <c r="A427" s="1647">
        <f t="shared" si="37"/>
        <v>261</v>
      </c>
      <c r="B427" s="1627" t="s">
        <v>1029</v>
      </c>
      <c r="C427" s="1640">
        <v>127.5</v>
      </c>
      <c r="D427" s="1627" t="s">
        <v>153</v>
      </c>
      <c r="F427" s="1640">
        <v>1</v>
      </c>
      <c r="G427" s="1638" t="s">
        <v>4</v>
      </c>
      <c r="H427" s="1627" t="s">
        <v>269</v>
      </c>
      <c r="I427" s="1640">
        <f>(C10)</f>
        <v>1325.8</v>
      </c>
      <c r="J427" s="1627" t="s">
        <v>153</v>
      </c>
      <c r="K427" s="1640">
        <f>(F427*I427)</f>
        <v>1325.8</v>
      </c>
      <c r="O427" s="1627" t="s">
        <v>1055</v>
      </c>
      <c r="S427" s="1633">
        <v>1</v>
      </c>
      <c r="T427" s="1629" t="s">
        <v>4</v>
      </c>
      <c r="U427" s="1629" t="s">
        <v>269</v>
      </c>
      <c r="V427" s="1629">
        <f>V395</f>
        <v>1325.8</v>
      </c>
      <c r="W427" s="1634" t="s">
        <v>153</v>
      </c>
      <c r="X427" s="1629">
        <f>V427*S427</f>
        <v>1325.8</v>
      </c>
      <c r="AD427" s="1640">
        <v>7.1</v>
      </c>
      <c r="AE427" s="1638" t="s">
        <v>153</v>
      </c>
      <c r="AF427" s="1627" t="s">
        <v>234</v>
      </c>
      <c r="AG427" s="1640">
        <f t="shared" si="38"/>
        <v>1237.5999999999999</v>
      </c>
      <c r="AH427" s="1627" t="s">
        <v>153</v>
      </c>
      <c r="AI427" s="1640">
        <f>(AD427*AG427)</f>
        <v>8786.9599999999991</v>
      </c>
    </row>
    <row r="428" spans="1:37" ht="24" customHeight="1">
      <c r="A428" s="1647">
        <f t="shared" si="37"/>
        <v>262</v>
      </c>
      <c r="B428" s="1627" t="s">
        <v>1030</v>
      </c>
      <c r="C428" s="1640">
        <v>197.5</v>
      </c>
      <c r="D428" s="1627" t="s">
        <v>153</v>
      </c>
      <c r="G428" s="1638" t="s">
        <v>226</v>
      </c>
      <c r="H428" s="1627" t="s">
        <v>237</v>
      </c>
      <c r="I428" s="1627" t="s">
        <v>150</v>
      </c>
      <c r="J428" s="1627" t="s">
        <v>226</v>
      </c>
      <c r="K428" s="1640">
        <v>0</v>
      </c>
      <c r="O428" s="1636" t="s">
        <v>21</v>
      </c>
      <c r="T428" s="1629" t="s">
        <v>226</v>
      </c>
      <c r="U428" s="1629" t="s">
        <v>237</v>
      </c>
      <c r="V428" s="1629" t="s">
        <v>150</v>
      </c>
      <c r="W428" s="1634" t="s">
        <v>226</v>
      </c>
      <c r="X428" s="1629">
        <v>0</v>
      </c>
      <c r="AD428" s="1640">
        <f>AD315</f>
        <v>7.1</v>
      </c>
      <c r="AE428" s="1638" t="s">
        <v>153</v>
      </c>
      <c r="AF428" s="1627" t="s">
        <v>235</v>
      </c>
      <c r="AG428" s="1640">
        <f t="shared" si="38"/>
        <v>865.19999999999993</v>
      </c>
      <c r="AH428" s="1627" t="s">
        <v>153</v>
      </c>
      <c r="AI428" s="1640">
        <f>(AD428*AG428)</f>
        <v>6142.9199999999992</v>
      </c>
    </row>
    <row r="429" spans="1:37" ht="39" customHeight="1">
      <c r="A429" s="1647">
        <f t="shared" si="37"/>
        <v>263</v>
      </c>
      <c r="B429" s="1627" t="s">
        <v>979</v>
      </c>
      <c r="C429" s="1640">
        <v>266.3</v>
      </c>
      <c r="D429" s="1627" t="s">
        <v>153</v>
      </c>
      <c r="K429" s="1636" t="s">
        <v>21</v>
      </c>
      <c r="N429" s="1627" t="s">
        <v>1056</v>
      </c>
      <c r="O429" s="1628" t="s">
        <v>1057</v>
      </c>
      <c r="W429" s="1634"/>
      <c r="X429" s="1664" t="s">
        <v>1022</v>
      </c>
      <c r="Y429" s="1664"/>
      <c r="AD429" s="1640">
        <f>AD316</f>
        <v>21.2</v>
      </c>
      <c r="AE429" s="1638" t="s">
        <v>153</v>
      </c>
      <c r="AF429" s="1627" t="s">
        <v>236</v>
      </c>
      <c r="AG429" s="1640">
        <f t="shared" si="38"/>
        <v>709.8</v>
      </c>
      <c r="AH429" s="1627" t="s">
        <v>153</v>
      </c>
      <c r="AI429" s="1640">
        <f>(AD429*AG429)</f>
        <v>15047.759999999998</v>
      </c>
    </row>
    <row r="430" spans="1:37" ht="34.5" customHeight="1">
      <c r="A430" s="1647">
        <f t="shared" si="37"/>
        <v>264</v>
      </c>
      <c r="B430" s="1627" t="s">
        <v>1058</v>
      </c>
      <c r="C430" s="1640">
        <v>551</v>
      </c>
      <c r="D430" s="1627" t="s">
        <v>153</v>
      </c>
      <c r="H430" s="1627" t="s">
        <v>238</v>
      </c>
      <c r="K430" s="1640">
        <f>SUM(K426:K428)</f>
        <v>6810.680589999999</v>
      </c>
      <c r="O430" s="1636" t="s">
        <v>21</v>
      </c>
      <c r="U430" s="1629" t="s">
        <v>238</v>
      </c>
      <c r="W430" s="1634"/>
      <c r="X430" s="1629">
        <f>SUM(X426:X428)</f>
        <v>7199.9176899999984</v>
      </c>
      <c r="AD430" s="1640">
        <f>AD317</f>
        <v>0</v>
      </c>
      <c r="AE430" s="1638" t="s">
        <v>226</v>
      </c>
      <c r="AF430" s="1627" t="s">
        <v>237</v>
      </c>
      <c r="AG430" s="1627" t="s">
        <v>150</v>
      </c>
      <c r="AH430" s="1627" t="s">
        <v>226</v>
      </c>
      <c r="AI430" s="1640">
        <v>5</v>
      </c>
    </row>
    <row r="431" spans="1:37" ht="24" customHeight="1">
      <c r="A431" s="1647">
        <f t="shared" si="37"/>
        <v>265</v>
      </c>
      <c r="B431" s="1627" t="s">
        <v>1059</v>
      </c>
      <c r="D431" s="1627" t="s">
        <v>150</v>
      </c>
      <c r="K431" s="1636" t="s">
        <v>21</v>
      </c>
      <c r="M431" s="1640">
        <v>8.1</v>
      </c>
      <c r="N431" s="1627" t="s">
        <v>151</v>
      </c>
      <c r="O431" s="1627" t="s">
        <v>1060</v>
      </c>
      <c r="P431" s="1640">
        <f>(C61)*2</f>
        <v>297.5</v>
      </c>
      <c r="Q431" s="1627" t="s">
        <v>151</v>
      </c>
      <c r="R431" s="1640">
        <f>(M431*P431)</f>
        <v>2409.75</v>
      </c>
      <c r="W431" s="1634"/>
      <c r="X431" s="1664" t="s">
        <v>1022</v>
      </c>
      <c r="Y431" s="1664"/>
      <c r="AD431" s="1640">
        <f>AD318</f>
        <v>0</v>
      </c>
      <c r="AE431" s="1630"/>
      <c r="AH431" s="1632"/>
      <c r="AI431" s="1636" t="s">
        <v>21</v>
      </c>
    </row>
    <row r="432" spans="1:37" ht="30.75" customHeight="1">
      <c r="A432" s="1647">
        <f t="shared" si="37"/>
        <v>266</v>
      </c>
      <c r="B432" s="1627" t="s">
        <v>1033</v>
      </c>
      <c r="C432" s="1640">
        <v>1.8</v>
      </c>
      <c r="D432" s="1627" t="s">
        <v>153</v>
      </c>
      <c r="H432" s="1627" t="s">
        <v>155</v>
      </c>
      <c r="K432" s="1640">
        <f>(K430/10)</f>
        <v>681.06805899999995</v>
      </c>
      <c r="M432" s="1640">
        <v>8.1</v>
      </c>
      <c r="N432" s="1627" t="s">
        <v>151</v>
      </c>
      <c r="O432" s="1627" t="s">
        <v>1061</v>
      </c>
      <c r="P432" s="1640">
        <f>(C26)</f>
        <v>51.730000000000004</v>
      </c>
      <c r="Q432" s="1627" t="s">
        <v>151</v>
      </c>
      <c r="R432" s="1640">
        <f>(M432*P432)</f>
        <v>419.01300000000003</v>
      </c>
      <c r="U432" s="1629" t="s">
        <v>155</v>
      </c>
      <c r="W432" s="1634"/>
      <c r="X432" s="1629">
        <f>X430/10</f>
        <v>719.99176899999986</v>
      </c>
      <c r="AD432" s="1640">
        <f>AD319</f>
        <v>0</v>
      </c>
      <c r="AE432" s="1630"/>
      <c r="AF432" s="1627" t="s">
        <v>263</v>
      </c>
      <c r="AH432" s="1632"/>
      <c r="AI432" s="1640">
        <f>SUM(AI424:AI431)</f>
        <v>80375.607399999994</v>
      </c>
    </row>
    <row r="433" spans="1:35" ht="42" customHeight="1">
      <c r="A433" s="1647">
        <f t="shared" si="37"/>
        <v>267</v>
      </c>
      <c r="B433" s="1627" t="s">
        <v>1026</v>
      </c>
      <c r="C433" s="1640">
        <v>2.9</v>
      </c>
      <c r="D433" s="1627" t="s">
        <v>153</v>
      </c>
      <c r="K433" s="1636" t="s">
        <v>156</v>
      </c>
      <c r="M433" s="1640">
        <v>30</v>
      </c>
      <c r="N433" s="1627" t="s">
        <v>552</v>
      </c>
      <c r="O433" s="1627" t="s">
        <v>1062</v>
      </c>
      <c r="P433" s="1640">
        <f>(C42)</f>
        <v>5</v>
      </c>
      <c r="Q433" s="1627" t="s">
        <v>552</v>
      </c>
      <c r="R433" s="1640">
        <f>(M433*P433)</f>
        <v>150</v>
      </c>
      <c r="W433" s="1634"/>
      <c r="X433" s="1664" t="s">
        <v>1024</v>
      </c>
      <c r="Y433" s="1664"/>
      <c r="AE433" s="1630"/>
      <c r="AH433" s="1632"/>
      <c r="AI433" s="1636" t="s">
        <v>21</v>
      </c>
    </row>
    <row r="434" spans="1:35" ht="24" customHeight="1">
      <c r="A434" s="1647">
        <f t="shared" si="37"/>
        <v>268</v>
      </c>
      <c r="B434" s="1627" t="s">
        <v>1028</v>
      </c>
      <c r="C434" s="1640">
        <v>4</v>
      </c>
      <c r="D434" s="1627" t="s">
        <v>153</v>
      </c>
      <c r="H434" s="1627" t="s">
        <v>271</v>
      </c>
      <c r="K434" s="1639">
        <f>(K432+C19/10*F426)</f>
        <v>688.398459</v>
      </c>
      <c r="O434" s="1627" t="s">
        <v>1063</v>
      </c>
      <c r="U434" s="1661" t="s">
        <v>271</v>
      </c>
      <c r="W434" s="1634">
        <f>0.07*C19</f>
        <v>7.3304</v>
      </c>
      <c r="X434" s="1661">
        <f>X432+W434</f>
        <v>727.32216899999992</v>
      </c>
      <c r="Y434" s="1661"/>
      <c r="AE434" s="1630"/>
      <c r="AF434" s="1627" t="s">
        <v>270</v>
      </c>
      <c r="AH434" s="1632"/>
      <c r="AI434" s="1640">
        <f>(AI432/10)</f>
        <v>8037.560739999999</v>
      </c>
    </row>
    <row r="435" spans="1:35" ht="24" customHeight="1">
      <c r="A435" s="1647">
        <f t="shared" si="37"/>
        <v>269</v>
      </c>
      <c r="B435" s="1627" t="s">
        <v>1029</v>
      </c>
      <c r="C435" s="1640">
        <v>6.86</v>
      </c>
      <c r="D435" s="1627" t="s">
        <v>153</v>
      </c>
      <c r="H435" s="1627" t="s">
        <v>272</v>
      </c>
      <c r="K435" s="1639">
        <f>(K434+C20/10*F426)</f>
        <v>703.18665899999996</v>
      </c>
      <c r="O435" s="1627" t="s">
        <v>1064</v>
      </c>
      <c r="U435" s="1661" t="s">
        <v>272</v>
      </c>
      <c r="W435" s="1634">
        <f>0.07*C20</f>
        <v>14.788200000000002</v>
      </c>
      <c r="X435" s="1661">
        <f>X434+W435</f>
        <v>742.11036899999988</v>
      </c>
      <c r="Y435" s="1661"/>
      <c r="AE435" s="1630"/>
      <c r="AH435" s="1632"/>
      <c r="AI435" s="1636" t="s">
        <v>156</v>
      </c>
    </row>
    <row r="436" spans="1:35" ht="24" customHeight="1">
      <c r="A436" s="1647">
        <f t="shared" si="37"/>
        <v>270</v>
      </c>
      <c r="B436" s="1627" t="s">
        <v>1030</v>
      </c>
      <c r="C436" s="1640">
        <v>9.15</v>
      </c>
      <c r="D436" s="1627" t="s">
        <v>153</v>
      </c>
      <c r="H436" s="1627" t="s">
        <v>767</v>
      </c>
      <c r="K436" s="1639">
        <f>(K435+C21/10*F426)</f>
        <v>717.97485899999992</v>
      </c>
      <c r="O436" s="1627" t="s">
        <v>1065</v>
      </c>
      <c r="U436" s="1661" t="s">
        <v>767</v>
      </c>
      <c r="W436" s="1634">
        <f>W435</f>
        <v>14.788200000000002</v>
      </c>
      <c r="X436" s="1661">
        <f>X435+W436</f>
        <v>756.89856899999984</v>
      </c>
      <c r="Y436" s="1661"/>
      <c r="AD436" s="1627" t="s">
        <v>646</v>
      </c>
      <c r="AE436" s="1630"/>
      <c r="AH436" s="1632"/>
    </row>
    <row r="437" spans="1:35" ht="24" customHeight="1">
      <c r="A437" s="1647">
        <f t="shared" si="37"/>
        <v>271</v>
      </c>
      <c r="B437" s="1627" t="s">
        <v>979</v>
      </c>
      <c r="C437" s="1640">
        <v>14.59</v>
      </c>
      <c r="D437" s="1627" t="s">
        <v>153</v>
      </c>
      <c r="H437" s="1627" t="s">
        <v>769</v>
      </c>
      <c r="K437" s="1639">
        <f>(K436+C21/10*F426)</f>
        <v>732.76305899999988</v>
      </c>
      <c r="O437" s="1627" t="s">
        <v>1066</v>
      </c>
      <c r="U437" s="1661" t="s">
        <v>769</v>
      </c>
      <c r="W437" s="1634">
        <f>W436</f>
        <v>14.788200000000002</v>
      </c>
      <c r="X437" s="1661">
        <f>X436+W437</f>
        <v>771.6867689999998</v>
      </c>
      <c r="Y437" s="1661"/>
      <c r="AE437" s="1630"/>
      <c r="AH437" s="1632"/>
    </row>
    <row r="438" spans="1:35" ht="24" customHeight="1">
      <c r="A438" s="1647"/>
      <c r="B438" s="1627"/>
      <c r="C438" s="1640"/>
      <c r="D438" s="1627"/>
      <c r="H438" s="1627" t="s">
        <v>854</v>
      </c>
      <c r="K438" s="1639">
        <f>(K437+C20/10*F426)</f>
        <v>747.55125899999985</v>
      </c>
      <c r="O438" s="1627"/>
      <c r="U438" s="1661" t="s">
        <v>854</v>
      </c>
      <c r="W438" s="1634">
        <f>W437</f>
        <v>14.788200000000002</v>
      </c>
      <c r="X438" s="1661">
        <f>X437+W438</f>
        <v>786.47496899999976</v>
      </c>
      <c r="Y438" s="1661"/>
      <c r="AE438" s="1638" t="s">
        <v>848</v>
      </c>
      <c r="AF438" s="1627" t="s">
        <v>1067</v>
      </c>
      <c r="AH438" s="1632"/>
    </row>
    <row r="439" spans="1:35" ht="24" customHeight="1">
      <c r="A439" s="1647">
        <f>(A437+1)</f>
        <v>272</v>
      </c>
      <c r="B439" s="1627" t="s">
        <v>1058</v>
      </c>
      <c r="C439" s="1640">
        <v>21.74</v>
      </c>
      <c r="D439" s="1627" t="s">
        <v>153</v>
      </c>
      <c r="H439" s="1628" t="s">
        <v>1068</v>
      </c>
      <c r="M439" s="1640">
        <v>8</v>
      </c>
      <c r="N439" s="1627" t="s">
        <v>4</v>
      </c>
      <c r="O439" s="1627" t="s">
        <v>1069</v>
      </c>
      <c r="P439" s="1640">
        <f>(C43)</f>
        <v>8.9</v>
      </c>
      <c r="Q439" s="1627" t="s">
        <v>4</v>
      </c>
      <c r="R439" s="1640">
        <f>(M439*P439)</f>
        <v>71.2</v>
      </c>
      <c r="W439" s="1634"/>
      <c r="AE439" s="1630"/>
      <c r="AF439" s="1636" t="s">
        <v>21</v>
      </c>
      <c r="AH439" s="1632"/>
    </row>
    <row r="440" spans="1:35" ht="24" customHeight="1">
      <c r="A440" s="1647">
        <f t="shared" si="37"/>
        <v>273</v>
      </c>
      <c r="B440" s="1631" t="s">
        <v>1070</v>
      </c>
      <c r="D440" s="1627" t="s">
        <v>150</v>
      </c>
      <c r="H440" s="1628" t="s">
        <v>1071</v>
      </c>
      <c r="M440" s="1640">
        <v>8</v>
      </c>
      <c r="N440" s="1627" t="s">
        <v>4</v>
      </c>
      <c r="O440" s="1627" t="s">
        <v>1072</v>
      </c>
      <c r="P440" s="1640">
        <f>(C50)</f>
        <v>12.65</v>
      </c>
      <c r="Q440" s="1627" t="s">
        <v>4</v>
      </c>
      <c r="R440" s="1640">
        <f>(M440*P440)</f>
        <v>101.2</v>
      </c>
      <c r="W440" s="1634"/>
      <c r="AD440" s="1640">
        <v>0.75</v>
      </c>
      <c r="AE440" s="1638" t="s">
        <v>151</v>
      </c>
      <c r="AF440" s="1627" t="s">
        <v>850</v>
      </c>
      <c r="AG440" s="1640">
        <f>AI434</f>
        <v>8037.560739999999</v>
      </c>
      <c r="AH440" s="1627" t="s">
        <v>153</v>
      </c>
      <c r="AI440" s="1640">
        <f>(AD440*AG440)</f>
        <v>6028.1705549999988</v>
      </c>
    </row>
    <row r="441" spans="1:35" ht="38.25" customHeight="1">
      <c r="A441" s="1647">
        <f t="shared" si="37"/>
        <v>274</v>
      </c>
      <c r="B441" s="1627" t="s">
        <v>1033</v>
      </c>
      <c r="C441" s="1640">
        <v>28.6</v>
      </c>
      <c r="D441" s="1627" t="s">
        <v>153</v>
      </c>
      <c r="F441" s="1652">
        <v>12</v>
      </c>
      <c r="G441" s="1638" t="s">
        <v>249</v>
      </c>
      <c r="H441" s="1627" t="s">
        <v>1073</v>
      </c>
      <c r="M441" s="1640">
        <v>1</v>
      </c>
      <c r="N441" s="1627" t="s">
        <v>226</v>
      </c>
      <c r="O441" s="1627" t="s">
        <v>1074</v>
      </c>
      <c r="P441" s="1640">
        <f>(C56)</f>
        <v>12.1</v>
      </c>
      <c r="Q441" s="1627" t="s">
        <v>226</v>
      </c>
      <c r="R441" s="1640">
        <f>(M441*P441)</f>
        <v>12.1</v>
      </c>
      <c r="W441" s="1634"/>
      <c r="AD441" s="1640">
        <v>1</v>
      </c>
      <c r="AE441" s="1638" t="s">
        <v>4</v>
      </c>
      <c r="AF441" s="1627" t="s">
        <v>269</v>
      </c>
      <c r="AG441" s="1640">
        <f>AG426</f>
        <v>1325.8</v>
      </c>
      <c r="AH441" s="1627" t="s">
        <v>153</v>
      </c>
      <c r="AI441" s="1640">
        <f>(AD441*AG441)</f>
        <v>1325.8</v>
      </c>
    </row>
    <row r="442" spans="1:35" ht="24" customHeight="1">
      <c r="A442" s="1647">
        <f t="shared" si="37"/>
        <v>275</v>
      </c>
      <c r="B442" s="1627" t="s">
        <v>1026</v>
      </c>
      <c r="C442" s="1640">
        <v>34.700000000000003</v>
      </c>
      <c r="D442" s="1627" t="s">
        <v>153</v>
      </c>
      <c r="H442" s="1627" t="s">
        <v>771</v>
      </c>
      <c r="M442" s="1640">
        <v>1</v>
      </c>
      <c r="N442" s="1627" t="s">
        <v>226</v>
      </c>
      <c r="O442" s="1627" t="s">
        <v>237</v>
      </c>
      <c r="Q442" s="1627" t="s">
        <v>226</v>
      </c>
      <c r="R442" s="1640">
        <v>0</v>
      </c>
      <c r="W442" s="1634"/>
      <c r="AE442" s="1638" t="s">
        <v>226</v>
      </c>
      <c r="AF442" s="1627" t="s">
        <v>237</v>
      </c>
      <c r="AG442" s="1627" t="s">
        <v>150</v>
      </c>
      <c r="AH442" s="1627" t="s">
        <v>226</v>
      </c>
      <c r="AI442" s="1640">
        <v>0</v>
      </c>
    </row>
    <row r="443" spans="1:35" ht="24" customHeight="1">
      <c r="A443" s="1647">
        <f t="shared" si="37"/>
        <v>276</v>
      </c>
      <c r="B443" s="1627" t="s">
        <v>1028</v>
      </c>
      <c r="C443" s="1640">
        <v>81.400000000000006</v>
      </c>
      <c r="D443" s="1627" t="s">
        <v>153</v>
      </c>
      <c r="H443" s="1636" t="s">
        <v>21</v>
      </c>
      <c r="R443" s="1636" t="s">
        <v>21</v>
      </c>
      <c r="W443" s="1634"/>
      <c r="AE443" s="1630"/>
      <c r="AH443" s="1632"/>
      <c r="AI443" s="1636" t="s">
        <v>21</v>
      </c>
    </row>
    <row r="444" spans="1:35" ht="24" customHeight="1">
      <c r="A444" s="1647">
        <f t="shared" si="37"/>
        <v>277</v>
      </c>
      <c r="B444" s="1627" t="s">
        <v>1029</v>
      </c>
      <c r="C444" s="1640">
        <v>98.6</v>
      </c>
      <c r="D444" s="1627" t="s">
        <v>153</v>
      </c>
      <c r="F444" s="1640">
        <v>6570</v>
      </c>
      <c r="G444" s="1638" t="s">
        <v>267</v>
      </c>
      <c r="H444" s="1627" t="s">
        <v>1075</v>
      </c>
      <c r="I444" s="1640">
        <f>(C77)</f>
        <v>5213.5200000000004</v>
      </c>
      <c r="J444" s="1627" t="s">
        <v>268</v>
      </c>
      <c r="K444" s="1640">
        <f>(F444*I444)/1000</f>
        <v>34252.826400000005</v>
      </c>
      <c r="O444" s="1627" t="s">
        <v>1076</v>
      </c>
      <c r="R444" s="1640">
        <f>SUM(R431:R442)</f>
        <v>3163.2629999999995</v>
      </c>
      <c r="W444" s="1634"/>
      <c r="AE444" s="1630"/>
      <c r="AF444" s="1627" t="s">
        <v>238</v>
      </c>
      <c r="AH444" s="1632"/>
      <c r="AI444" s="1640">
        <f>SUM(AI440:AI442)</f>
        <v>7353.970554999999</v>
      </c>
    </row>
    <row r="445" spans="1:35" ht="24" customHeight="1">
      <c r="A445" s="1647">
        <f t="shared" si="37"/>
        <v>278</v>
      </c>
      <c r="B445" s="1627" t="s">
        <v>1030</v>
      </c>
      <c r="C445" s="1640">
        <v>110.2</v>
      </c>
      <c r="D445" s="1627" t="s">
        <v>153</v>
      </c>
      <c r="F445" s="1640">
        <v>1.91</v>
      </c>
      <c r="G445" s="1638" t="s">
        <v>151</v>
      </c>
      <c r="H445" s="1627" t="s">
        <v>258</v>
      </c>
      <c r="I445" s="1640">
        <f>(K40)</f>
        <v>4593.8999999999996</v>
      </c>
      <c r="J445" s="1627" t="s">
        <v>151</v>
      </c>
      <c r="K445" s="1640">
        <f>(F445*I445)</f>
        <v>8774.3489999999983</v>
      </c>
      <c r="R445" s="1636" t="s">
        <v>21</v>
      </c>
      <c r="W445" s="1634"/>
      <c r="AE445" s="1630"/>
      <c r="AH445" s="1632"/>
      <c r="AI445" s="1636" t="s">
        <v>21</v>
      </c>
    </row>
    <row r="446" spans="1:35" ht="24" customHeight="1">
      <c r="A446" s="1647">
        <f t="shared" si="37"/>
        <v>279</v>
      </c>
      <c r="B446" s="1627" t="s">
        <v>979</v>
      </c>
      <c r="C446" s="1640">
        <v>139.80000000000001</v>
      </c>
      <c r="D446" s="1627" t="s">
        <v>153</v>
      </c>
      <c r="F446" s="1640">
        <v>7</v>
      </c>
      <c r="G446" s="1638" t="s">
        <v>153</v>
      </c>
      <c r="H446" s="1627" t="s">
        <v>269</v>
      </c>
      <c r="I446" s="1640">
        <f>(C10)</f>
        <v>1325.8</v>
      </c>
      <c r="J446" s="1627" t="s">
        <v>153</v>
      </c>
      <c r="K446" s="1640">
        <f>(F446*I446)</f>
        <v>9280.6</v>
      </c>
      <c r="O446" s="1627" t="s">
        <v>562</v>
      </c>
      <c r="R446" s="1640">
        <f>(R444/30)</f>
        <v>105.44209999999998</v>
      </c>
      <c r="W446" s="1634"/>
      <c r="AE446" s="1630"/>
      <c r="AF446" s="1627" t="s">
        <v>155</v>
      </c>
      <c r="AH446" s="1632"/>
      <c r="AI446" s="1640">
        <f>(AI444/10)</f>
        <v>735.39705549999985</v>
      </c>
    </row>
    <row r="447" spans="1:35" ht="24" customHeight="1">
      <c r="A447" s="1647">
        <f t="shared" si="37"/>
        <v>280</v>
      </c>
      <c r="B447" s="1627" t="s">
        <v>1077</v>
      </c>
      <c r="C447" s="1640">
        <v>363</v>
      </c>
      <c r="D447" s="1627" t="s">
        <v>153</v>
      </c>
      <c r="F447" s="1640">
        <v>3.6</v>
      </c>
      <c r="G447" s="1638" t="s">
        <v>153</v>
      </c>
      <c r="H447" s="1627" t="s">
        <v>234</v>
      </c>
      <c r="I447" s="1640">
        <f>(C11)</f>
        <v>1237.5999999999999</v>
      </c>
      <c r="J447" s="1627" t="s">
        <v>153</v>
      </c>
      <c r="K447" s="1640">
        <f>(F447*I447)</f>
        <v>4455.3599999999997</v>
      </c>
      <c r="R447" s="1636" t="s">
        <v>21</v>
      </c>
      <c r="W447" s="1634"/>
      <c r="AE447" s="1630"/>
      <c r="AH447" s="1632"/>
      <c r="AI447" s="1636" t="s">
        <v>156</v>
      </c>
    </row>
    <row r="448" spans="1:35" ht="24" customHeight="1">
      <c r="A448" s="1647">
        <f t="shared" si="37"/>
        <v>281</v>
      </c>
      <c r="B448" s="1631" t="s">
        <v>1078</v>
      </c>
      <c r="D448" s="1627" t="s">
        <v>150</v>
      </c>
      <c r="F448" s="1640">
        <v>7.1</v>
      </c>
      <c r="G448" s="1638" t="s">
        <v>153</v>
      </c>
      <c r="H448" s="1627" t="s">
        <v>235</v>
      </c>
      <c r="I448" s="1640">
        <f>(C12)</f>
        <v>865.19999999999993</v>
      </c>
      <c r="J448" s="1627" t="s">
        <v>153</v>
      </c>
      <c r="K448" s="1640">
        <f>(F448*I448)</f>
        <v>6142.9199999999992</v>
      </c>
      <c r="N448" s="1627" t="s">
        <v>6</v>
      </c>
      <c r="O448" s="1628" t="s">
        <v>1079</v>
      </c>
      <c r="W448" s="1634"/>
      <c r="AE448" s="1630"/>
      <c r="AF448" s="1627" t="s">
        <v>271</v>
      </c>
      <c r="AH448" s="1632">
        <f>C19*0.075</f>
        <v>7.8539999999999983</v>
      </c>
      <c r="AI448" s="1639">
        <f>AI446+AH448</f>
        <v>743.25105549999989</v>
      </c>
    </row>
    <row r="449" spans="1:38" ht="24" customHeight="1">
      <c r="A449" s="1647">
        <f t="shared" si="37"/>
        <v>282</v>
      </c>
      <c r="B449" s="1627" t="s">
        <v>1033</v>
      </c>
      <c r="C449" s="1640">
        <v>23.2</v>
      </c>
      <c r="D449" s="1627" t="s">
        <v>153</v>
      </c>
      <c r="F449" s="1640">
        <v>14.1</v>
      </c>
      <c r="G449" s="1638" t="s">
        <v>153</v>
      </c>
      <c r="H449" s="1627" t="s">
        <v>236</v>
      </c>
      <c r="I449" s="1640">
        <f>(C13)</f>
        <v>709.8</v>
      </c>
      <c r="J449" s="1627" t="s">
        <v>153</v>
      </c>
      <c r="K449" s="1640">
        <f>(F449*I449)</f>
        <v>10008.179999999998</v>
      </c>
      <c r="O449" s="1636" t="s">
        <v>21</v>
      </c>
      <c r="W449" s="1634"/>
      <c r="AE449" s="1630"/>
      <c r="AF449" s="1627" t="s">
        <v>272</v>
      </c>
      <c r="AH449" s="1632">
        <f>C20*0.075</f>
        <v>15.844499999999998</v>
      </c>
      <c r="AI449" s="1639">
        <f t="shared" ref="AI449:AI458" si="39">AI448+AH449</f>
        <v>759.09555549999993</v>
      </c>
    </row>
    <row r="450" spans="1:38" ht="39" customHeight="1">
      <c r="A450" s="1647">
        <f t="shared" si="37"/>
        <v>283</v>
      </c>
      <c r="B450" s="1627" t="s">
        <v>1026</v>
      </c>
      <c r="C450" s="1640">
        <v>34.700000000000003</v>
      </c>
      <c r="D450" s="1627" t="s">
        <v>153</v>
      </c>
      <c r="G450" s="1638" t="s">
        <v>226</v>
      </c>
      <c r="H450" s="1627" t="s">
        <v>237</v>
      </c>
      <c r="I450" s="1627" t="s">
        <v>150</v>
      </c>
      <c r="J450" s="1627" t="s">
        <v>226</v>
      </c>
      <c r="K450" s="1640">
        <v>0</v>
      </c>
      <c r="M450" s="1640">
        <v>8.1</v>
      </c>
      <c r="N450" s="1627" t="s">
        <v>151</v>
      </c>
      <c r="O450" s="1627" t="s">
        <v>1060</v>
      </c>
      <c r="P450" s="1640">
        <f>(C61)*2</f>
        <v>297.5</v>
      </c>
      <c r="Q450" s="1627" t="s">
        <v>151</v>
      </c>
      <c r="R450" s="1640">
        <f>(M450*P450)</f>
        <v>2409.75</v>
      </c>
      <c r="W450" s="1634"/>
      <c r="AE450" s="1630"/>
      <c r="AF450" s="1627" t="s">
        <v>767</v>
      </c>
      <c r="AH450" s="1632">
        <f>C21*0.075</f>
        <v>15.844499999999998</v>
      </c>
      <c r="AI450" s="1639">
        <f t="shared" si="39"/>
        <v>774.94005549999997</v>
      </c>
    </row>
    <row r="451" spans="1:38" ht="24" customHeight="1">
      <c r="A451" s="1647">
        <f t="shared" si="37"/>
        <v>284</v>
      </c>
      <c r="B451" s="1627" t="s">
        <v>1028</v>
      </c>
      <c r="C451" s="1640">
        <v>43.7</v>
      </c>
      <c r="D451" s="1627" t="s">
        <v>153</v>
      </c>
      <c r="K451" s="1636" t="s">
        <v>21</v>
      </c>
      <c r="M451" s="1640">
        <v>8.1</v>
      </c>
      <c r="N451" s="1627" t="s">
        <v>151</v>
      </c>
      <c r="O451" s="1627" t="s">
        <v>1061</v>
      </c>
      <c r="P451" s="1640">
        <f>(C26)</f>
        <v>51.730000000000004</v>
      </c>
      <c r="Q451" s="1627" t="s">
        <v>151</v>
      </c>
      <c r="R451" s="1640">
        <f>(M451*P451)</f>
        <v>419.01300000000003</v>
      </c>
      <c r="W451" s="1634"/>
      <c r="AE451" s="1630"/>
      <c r="AF451" s="1627" t="s">
        <v>769</v>
      </c>
      <c r="AH451" s="1632">
        <f t="shared" ref="AH451:AH458" si="40">AH450</f>
        <v>15.844499999999998</v>
      </c>
      <c r="AI451" s="1639">
        <f t="shared" si="39"/>
        <v>790.78455550000001</v>
      </c>
    </row>
    <row r="452" spans="1:38" ht="24" customHeight="1">
      <c r="A452" s="1647">
        <f t="shared" si="37"/>
        <v>285</v>
      </c>
      <c r="B452" s="1627" t="s">
        <v>1029</v>
      </c>
      <c r="C452" s="1640">
        <v>58.1</v>
      </c>
      <c r="D452" s="1627" t="s">
        <v>153</v>
      </c>
      <c r="H452" s="1627" t="s">
        <v>263</v>
      </c>
      <c r="K452" s="1640">
        <f>SUM(K444:K450)</f>
        <v>72914.235400000005</v>
      </c>
      <c r="M452" s="1640">
        <v>30</v>
      </c>
      <c r="N452" s="1627" t="s">
        <v>552</v>
      </c>
      <c r="O452" s="1627" t="s">
        <v>1062</v>
      </c>
      <c r="P452" s="1640">
        <f>(C42)</f>
        <v>5</v>
      </c>
      <c r="Q452" s="1627" t="s">
        <v>552</v>
      </c>
      <c r="R452" s="1640">
        <f>(M452*P452)</f>
        <v>150</v>
      </c>
      <c r="W452" s="1634"/>
      <c r="AE452" s="1630"/>
      <c r="AF452" s="1627" t="s">
        <v>854</v>
      </c>
      <c r="AH452" s="1632">
        <f t="shared" si="40"/>
        <v>15.844499999999998</v>
      </c>
      <c r="AI452" s="1639">
        <f t="shared" si="39"/>
        <v>806.62905550000005</v>
      </c>
      <c r="AL452" s="1629">
        <f>40.81*0.075</f>
        <v>3.0607500000000001</v>
      </c>
    </row>
    <row r="453" spans="1:38" ht="24" customHeight="1">
      <c r="A453" s="1647">
        <f t="shared" si="37"/>
        <v>286</v>
      </c>
      <c r="B453" s="1627" t="s">
        <v>1030</v>
      </c>
      <c r="C453" s="1640">
        <v>69.8</v>
      </c>
      <c r="D453" s="1627" t="s">
        <v>153</v>
      </c>
      <c r="K453" s="1636" t="s">
        <v>21</v>
      </c>
      <c r="O453" s="1627" t="s">
        <v>1063</v>
      </c>
      <c r="W453" s="1634"/>
      <c r="AF453" s="1627" t="s">
        <v>1044</v>
      </c>
      <c r="AG453" s="1640">
        <f t="shared" ref="AG453:AG458" si="41">AI453</f>
        <v>822.47355550000009</v>
      </c>
      <c r="AH453" s="1632">
        <f t="shared" si="40"/>
        <v>15.844499999999998</v>
      </c>
      <c r="AI453" s="1639">
        <f t="shared" si="39"/>
        <v>822.47355550000009</v>
      </c>
    </row>
    <row r="454" spans="1:38" ht="24" customHeight="1">
      <c r="A454" s="1647">
        <f t="shared" si="37"/>
        <v>287</v>
      </c>
      <c r="B454" s="1627" t="s">
        <v>979</v>
      </c>
      <c r="C454" s="1640">
        <v>87</v>
      </c>
      <c r="D454" s="1627" t="s">
        <v>153</v>
      </c>
      <c r="H454" s="1627" t="s">
        <v>270</v>
      </c>
      <c r="K454" s="1640">
        <f>(K452/10)</f>
        <v>7291.4235400000007</v>
      </c>
      <c r="O454" s="1627" t="s">
        <v>1064</v>
      </c>
      <c r="W454" s="1634"/>
      <c r="AF454" s="1627" t="s">
        <v>1045</v>
      </c>
      <c r="AG454" s="1640">
        <f t="shared" si="41"/>
        <v>838.31805550000013</v>
      </c>
      <c r="AH454" s="1632">
        <f t="shared" si="40"/>
        <v>15.844499999999998</v>
      </c>
      <c r="AI454" s="1639">
        <f t="shared" si="39"/>
        <v>838.31805550000013</v>
      </c>
    </row>
    <row r="455" spans="1:38" ht="24" customHeight="1">
      <c r="A455" s="1647">
        <f t="shared" si="37"/>
        <v>288</v>
      </c>
      <c r="B455" s="1627" t="s">
        <v>1077</v>
      </c>
      <c r="C455" s="1640">
        <v>18.600000000000001</v>
      </c>
      <c r="D455" s="1627" t="s">
        <v>153</v>
      </c>
      <c r="K455" s="1636" t="s">
        <v>156</v>
      </c>
      <c r="O455" s="1627" t="s">
        <v>1065</v>
      </c>
      <c r="W455" s="1634"/>
      <c r="AF455" s="1627" t="s">
        <v>1046</v>
      </c>
      <c r="AG455" s="1640">
        <f t="shared" si="41"/>
        <v>854.16255550000017</v>
      </c>
      <c r="AH455" s="1632">
        <f t="shared" si="40"/>
        <v>15.844499999999998</v>
      </c>
      <c r="AI455" s="1639">
        <f t="shared" si="39"/>
        <v>854.16255550000017</v>
      </c>
    </row>
    <row r="456" spans="1:38" ht="24" customHeight="1">
      <c r="A456" s="1647">
        <f t="shared" si="37"/>
        <v>289</v>
      </c>
      <c r="B456" s="1627" t="s">
        <v>1080</v>
      </c>
      <c r="D456" s="1627" t="s">
        <v>150</v>
      </c>
      <c r="O456" s="1627" t="s">
        <v>1066</v>
      </c>
      <c r="W456" s="1634"/>
      <c r="AF456" s="1627" t="s">
        <v>1047</v>
      </c>
      <c r="AG456" s="1640">
        <f t="shared" si="41"/>
        <v>870.00705550000021</v>
      </c>
      <c r="AH456" s="1632">
        <f t="shared" si="40"/>
        <v>15.844499999999998</v>
      </c>
      <c r="AI456" s="1639">
        <f t="shared" si="39"/>
        <v>870.00705550000021</v>
      </c>
    </row>
    <row r="457" spans="1:38" ht="24" customHeight="1">
      <c r="A457" s="1647">
        <f t="shared" si="37"/>
        <v>290</v>
      </c>
      <c r="B457" s="1627" t="s">
        <v>1033</v>
      </c>
      <c r="C457" s="1640">
        <v>355.95</v>
      </c>
      <c r="D457" s="1627" t="s">
        <v>153</v>
      </c>
      <c r="G457" s="1638" t="s">
        <v>249</v>
      </c>
      <c r="H457" s="1627" t="s">
        <v>1081</v>
      </c>
      <c r="M457" s="1640">
        <v>8</v>
      </c>
      <c r="N457" s="1627" t="s">
        <v>4</v>
      </c>
      <c r="O457" s="1627" t="s">
        <v>1069</v>
      </c>
      <c r="P457" s="1640">
        <f>(C44)</f>
        <v>8.9</v>
      </c>
      <c r="Q457" s="1627" t="s">
        <v>4</v>
      </c>
      <c r="R457" s="1640">
        <f>(M457*P457)</f>
        <v>71.2</v>
      </c>
      <c r="W457" s="1634"/>
      <c r="AF457" s="1627" t="s">
        <v>1048</v>
      </c>
      <c r="AG457" s="1640">
        <f t="shared" si="41"/>
        <v>885.85155550000025</v>
      </c>
      <c r="AH457" s="1632">
        <f t="shared" si="40"/>
        <v>15.844499999999998</v>
      </c>
      <c r="AI457" s="1639">
        <f t="shared" si="39"/>
        <v>885.85155550000025</v>
      </c>
    </row>
    <row r="458" spans="1:38" ht="24" customHeight="1">
      <c r="A458" s="1647">
        <f t="shared" si="37"/>
        <v>291</v>
      </c>
      <c r="B458" s="1627" t="s">
        <v>1026</v>
      </c>
      <c r="C458" s="1640">
        <v>536.54999999999995</v>
      </c>
      <c r="D458" s="1627" t="s">
        <v>153</v>
      </c>
      <c r="H458" s="1636" t="s">
        <v>21</v>
      </c>
      <c r="M458" s="1640">
        <v>8</v>
      </c>
      <c r="N458" s="1627" t="s">
        <v>4</v>
      </c>
      <c r="O458" s="1627" t="s">
        <v>1072</v>
      </c>
      <c r="P458" s="1640">
        <f>(C51)</f>
        <v>12.85</v>
      </c>
      <c r="Q458" s="1627" t="s">
        <v>4</v>
      </c>
      <c r="R458" s="1640">
        <f>(M458*P458)</f>
        <v>102.8</v>
      </c>
      <c r="W458" s="1634"/>
      <c r="AG458" s="1640">
        <f t="shared" si="41"/>
        <v>901.69605550000028</v>
      </c>
      <c r="AH458" s="1632">
        <f t="shared" si="40"/>
        <v>15.844499999999998</v>
      </c>
      <c r="AI458" s="1639">
        <f t="shared" si="39"/>
        <v>901.69605550000028</v>
      </c>
    </row>
    <row r="459" spans="1:38" ht="24" customHeight="1">
      <c r="A459" s="1647">
        <f t="shared" si="37"/>
        <v>292</v>
      </c>
      <c r="B459" s="1627" t="s">
        <v>1028</v>
      </c>
      <c r="C459" s="1629">
        <v>789.6</v>
      </c>
      <c r="D459" s="1627" t="s">
        <v>150</v>
      </c>
      <c r="F459" s="1640">
        <v>0.5</v>
      </c>
      <c r="G459" s="1638" t="s">
        <v>151</v>
      </c>
      <c r="H459" s="1627" t="s">
        <v>850</v>
      </c>
      <c r="I459" s="1640">
        <f>(K454)</f>
        <v>7291.4235400000007</v>
      </c>
      <c r="J459" s="1627" t="s">
        <v>153</v>
      </c>
      <c r="K459" s="1640">
        <f>(F459*I459)</f>
        <v>3645.7117700000003</v>
      </c>
      <c r="M459" s="1640">
        <v>1</v>
      </c>
      <c r="N459" s="1627" t="s">
        <v>226</v>
      </c>
      <c r="O459" s="1627" t="s">
        <v>1074</v>
      </c>
      <c r="P459" s="1640">
        <f>(C56)</f>
        <v>12.1</v>
      </c>
      <c r="Q459" s="1627" t="s">
        <v>226</v>
      </c>
      <c r="R459" s="1640">
        <f>(M459*P459)</f>
        <v>12.1</v>
      </c>
      <c r="U459" s="1629" t="s">
        <v>1082</v>
      </c>
      <c r="W459" s="1634"/>
      <c r="Z459" s="1633"/>
      <c r="AC459" s="1629" t="s">
        <v>1083</v>
      </c>
      <c r="AG459" s="1640">
        <f>AI459</f>
        <v>917.54055550000032</v>
      </c>
      <c r="AH459" s="1632">
        <f>AH458</f>
        <v>15.844499999999998</v>
      </c>
      <c r="AI459" s="1639">
        <f>AI458+AH459</f>
        <v>917.54055550000032</v>
      </c>
    </row>
    <row r="460" spans="1:38" ht="24" customHeight="1">
      <c r="A460" s="1647">
        <f t="shared" si="37"/>
        <v>293</v>
      </c>
      <c r="B460" s="1627" t="s">
        <v>1084</v>
      </c>
      <c r="C460" s="1640">
        <f>AG49</f>
        <v>5.6</v>
      </c>
      <c r="D460" s="1627" t="s">
        <v>153</v>
      </c>
      <c r="F460" s="1640">
        <v>1</v>
      </c>
      <c r="G460" s="1638" t="s">
        <v>4</v>
      </c>
      <c r="H460" s="1627" t="s">
        <v>269</v>
      </c>
      <c r="I460" s="1640">
        <f>(C10)</f>
        <v>1325.8</v>
      </c>
      <c r="J460" s="1627" t="s">
        <v>153</v>
      </c>
      <c r="K460" s="1640">
        <f>(F460*I460)</f>
        <v>1325.8</v>
      </c>
      <c r="M460" s="1640">
        <v>1</v>
      </c>
      <c r="N460" s="1627" t="s">
        <v>226</v>
      </c>
      <c r="O460" s="1627" t="s">
        <v>237</v>
      </c>
      <c r="Q460" s="1627" t="s">
        <v>226</v>
      </c>
      <c r="R460" s="1640">
        <v>0</v>
      </c>
      <c r="S460" s="1628" t="s">
        <v>1085</v>
      </c>
      <c r="T460" s="1638" t="s">
        <v>249</v>
      </c>
      <c r="U460" s="1627" t="s">
        <v>1086</v>
      </c>
      <c r="W460" s="1634"/>
      <c r="Z460" s="1628" t="s">
        <v>1085</v>
      </c>
      <c r="AA460" s="1638" t="s">
        <v>249</v>
      </c>
      <c r="AB460" s="1638"/>
      <c r="AC460" s="1627" t="s">
        <v>1086</v>
      </c>
      <c r="AE460" s="1632"/>
      <c r="AG460" s="1640">
        <f>AI460</f>
        <v>933.38505550000036</v>
      </c>
      <c r="AH460" s="1632">
        <f>AH459</f>
        <v>15.844499999999998</v>
      </c>
      <c r="AI460" s="1639">
        <f>AI459+AH460</f>
        <v>933.38505550000036</v>
      </c>
    </row>
    <row r="461" spans="1:38" ht="24" customHeight="1">
      <c r="A461" s="1647">
        <f t="shared" si="37"/>
        <v>294</v>
      </c>
      <c r="B461" s="1627" t="s">
        <v>1087</v>
      </c>
      <c r="C461" s="1640">
        <f>AG50</f>
        <v>7</v>
      </c>
      <c r="D461" s="1627" t="s">
        <v>153</v>
      </c>
      <c r="G461" s="1638" t="s">
        <v>226</v>
      </c>
      <c r="H461" s="1627" t="s">
        <v>237</v>
      </c>
      <c r="I461" s="1627" t="s">
        <v>150</v>
      </c>
      <c r="J461" s="1627" t="s">
        <v>226</v>
      </c>
      <c r="K461" s="1640">
        <v>0</v>
      </c>
      <c r="R461" s="1636" t="s">
        <v>21</v>
      </c>
      <c r="S461" s="1629"/>
      <c r="T461" s="1630"/>
      <c r="U461" s="1627" t="s">
        <v>1088</v>
      </c>
      <c r="W461" s="1634"/>
      <c r="AA461" s="1630"/>
      <c r="AB461" s="1630"/>
      <c r="AC461" s="1627" t="s">
        <v>1088</v>
      </c>
      <c r="AE461" s="1632"/>
      <c r="AG461" s="1640">
        <f t="shared" ref="AG461:AG524" si="42">AI461</f>
        <v>949.2295555000004</v>
      </c>
      <c r="AH461" s="1632">
        <f>AH460</f>
        <v>15.844499999999998</v>
      </c>
      <c r="AI461" s="1639">
        <f>AI460+AH461</f>
        <v>949.2295555000004</v>
      </c>
    </row>
    <row r="462" spans="1:38" ht="24" customHeight="1">
      <c r="A462" s="1647">
        <f t="shared" si="37"/>
        <v>295</v>
      </c>
      <c r="B462" s="1627" t="s">
        <v>1089</v>
      </c>
      <c r="C462" s="1640">
        <v>350</v>
      </c>
      <c r="D462" s="1640">
        <v>375</v>
      </c>
      <c r="K462" s="1636" t="s">
        <v>21</v>
      </c>
      <c r="O462" s="1627" t="s">
        <v>1076</v>
      </c>
      <c r="R462" s="1640">
        <f>SUM(R450:R460)</f>
        <v>3164.8629999999998</v>
      </c>
      <c r="S462" s="1629"/>
      <c r="T462" s="1630"/>
      <c r="U462" s="1627" t="s">
        <v>1090</v>
      </c>
      <c r="W462" s="1634"/>
      <c r="AA462" s="1630"/>
      <c r="AB462" s="1630"/>
      <c r="AC462" s="1627" t="s">
        <v>1090</v>
      </c>
      <c r="AE462" s="1632"/>
      <c r="AG462" s="1640">
        <f t="shared" si="42"/>
        <v>965.07405550000044</v>
      </c>
      <c r="AH462" s="1632">
        <f>AH461</f>
        <v>15.844499999999998</v>
      </c>
      <c r="AI462" s="1639">
        <f>AI461+AH462</f>
        <v>965.07405550000044</v>
      </c>
    </row>
    <row r="463" spans="1:38" ht="24" customHeight="1">
      <c r="A463" s="1647">
        <f t="shared" si="37"/>
        <v>296</v>
      </c>
      <c r="B463" s="1627" t="s">
        <v>1091</v>
      </c>
      <c r="C463" s="1640">
        <v>400</v>
      </c>
      <c r="D463" s="1640">
        <v>425</v>
      </c>
      <c r="H463" s="1627" t="s">
        <v>238</v>
      </c>
      <c r="K463" s="1640">
        <f>SUM(K459:K461)</f>
        <v>4971.5117700000001</v>
      </c>
      <c r="R463" s="1636" t="s">
        <v>21</v>
      </c>
      <c r="S463" s="1629"/>
      <c r="T463" s="1630"/>
      <c r="U463" s="1636" t="s">
        <v>21</v>
      </c>
      <c r="W463" s="1634"/>
      <c r="AA463" s="1630"/>
      <c r="AB463" s="1630"/>
      <c r="AC463" s="1636" t="s">
        <v>21</v>
      </c>
      <c r="AE463" s="1632"/>
      <c r="AG463" s="1640">
        <f t="shared" si="42"/>
        <v>980.91855550000048</v>
      </c>
      <c r="AH463" s="1632">
        <f>AH462</f>
        <v>15.844499999999998</v>
      </c>
      <c r="AI463" s="1639">
        <f>AI462+AH463</f>
        <v>980.91855550000048</v>
      </c>
    </row>
    <row r="464" spans="1:38" ht="60.75" customHeight="1">
      <c r="A464" s="1647">
        <f t="shared" si="37"/>
        <v>297</v>
      </c>
      <c r="B464" s="1627" t="s">
        <v>1092</v>
      </c>
      <c r="C464" s="1640">
        <v>450</v>
      </c>
      <c r="D464" s="1640">
        <v>500</v>
      </c>
      <c r="K464" s="1636" t="s">
        <v>21</v>
      </c>
      <c r="O464" s="1627" t="s">
        <v>562</v>
      </c>
      <c r="R464" s="1640">
        <f>(R462/30)</f>
        <v>105.49543333333332</v>
      </c>
      <c r="S464" s="1640">
        <v>0.01</v>
      </c>
      <c r="T464" s="1638" t="s">
        <v>151</v>
      </c>
      <c r="U464" s="1680" t="s">
        <v>1093</v>
      </c>
      <c r="V464" s="1640">
        <f>AA718</f>
        <v>9891.1648755000006</v>
      </c>
      <c r="W464" s="1628" t="s">
        <v>151</v>
      </c>
      <c r="X464" s="1640">
        <f>(S464*V464)</f>
        <v>98.911648755000002</v>
      </c>
      <c r="Y464" s="1640"/>
      <c r="Z464" s="1640">
        <v>0.01</v>
      </c>
      <c r="AA464" s="1638" t="s">
        <v>151</v>
      </c>
      <c r="AB464" s="1638"/>
      <c r="AC464" s="1680" t="s">
        <v>1094</v>
      </c>
      <c r="AD464" s="1640">
        <f>Z688</f>
        <v>10435.4326755</v>
      </c>
      <c r="AE464" s="1627" t="s">
        <v>151</v>
      </c>
      <c r="AF464" s="1640">
        <f>(Z464*AD464)</f>
        <v>104.354326755</v>
      </c>
      <c r="AG464" s="1640" t="str">
        <f t="shared" si="42"/>
        <v>|</v>
      </c>
      <c r="AI464" s="1627" t="s">
        <v>1095</v>
      </c>
    </row>
    <row r="465" spans="1:35" ht="24" customHeight="1">
      <c r="A465" s="1647">
        <f t="shared" si="37"/>
        <v>298</v>
      </c>
      <c r="B465" s="1627" t="s">
        <v>1096</v>
      </c>
      <c r="C465" s="1640">
        <v>77.819999999999993</v>
      </c>
      <c r="D465" s="1627" t="s">
        <v>153</v>
      </c>
      <c r="H465" s="1627" t="s">
        <v>155</v>
      </c>
      <c r="K465" s="1640">
        <f>(K463/10)</f>
        <v>497.15117700000002</v>
      </c>
      <c r="R465" s="1636" t="s">
        <v>21</v>
      </c>
      <c r="S465" s="1640">
        <v>0.01</v>
      </c>
      <c r="T465" s="1638" t="s">
        <v>151</v>
      </c>
      <c r="U465" s="1627" t="s">
        <v>1097</v>
      </c>
      <c r="V465" s="1640"/>
      <c r="W465" s="1628" t="s">
        <v>226</v>
      </c>
      <c r="X465" s="1640">
        <v>1.1499999999999999</v>
      </c>
      <c r="Y465" s="1640"/>
      <c r="Z465" s="1640">
        <v>0.01</v>
      </c>
      <c r="AA465" s="1638" t="s">
        <v>151</v>
      </c>
      <c r="AB465" s="1638"/>
      <c r="AC465" s="1627" t="s">
        <v>1097</v>
      </c>
      <c r="AD465" s="1640"/>
      <c r="AE465" s="1627" t="s">
        <v>226</v>
      </c>
      <c r="AF465" s="1640">
        <v>1.1499999999999999</v>
      </c>
      <c r="AG465" s="1640" t="str">
        <f t="shared" si="42"/>
        <v>|</v>
      </c>
      <c r="AI465" s="1627" t="s">
        <v>1095</v>
      </c>
    </row>
    <row r="466" spans="1:35" ht="24" customHeight="1">
      <c r="A466" s="1647">
        <f t="shared" si="37"/>
        <v>299</v>
      </c>
      <c r="B466" s="1627" t="s">
        <v>1098</v>
      </c>
      <c r="C466" s="1640">
        <v>99.74</v>
      </c>
      <c r="D466" s="1627" t="s">
        <v>153</v>
      </c>
      <c r="K466" s="1636" t="s">
        <v>156</v>
      </c>
      <c r="N466" s="1627" t="s">
        <v>1099</v>
      </c>
      <c r="O466" s="1628" t="s">
        <v>1100</v>
      </c>
      <c r="S466" s="1629"/>
      <c r="T466" s="1630"/>
      <c r="U466" s="1627" t="s">
        <v>1101</v>
      </c>
      <c r="V466" s="1640"/>
      <c r="W466" s="1634"/>
      <c r="AA466" s="1630"/>
      <c r="AB466" s="1630"/>
      <c r="AC466" s="1627" t="s">
        <v>1101</v>
      </c>
      <c r="AD466" s="1640"/>
      <c r="AE466" s="1632"/>
      <c r="AG466" s="1640" t="str">
        <f t="shared" si="42"/>
        <v>|</v>
      </c>
      <c r="AI466" s="1627" t="s">
        <v>1095</v>
      </c>
    </row>
    <row r="467" spans="1:35" ht="24" customHeight="1">
      <c r="A467" s="1647">
        <f t="shared" si="37"/>
        <v>300</v>
      </c>
      <c r="B467" s="1627" t="s">
        <v>1028</v>
      </c>
      <c r="C467" s="1640">
        <v>165</v>
      </c>
      <c r="D467" s="1627" t="s">
        <v>153</v>
      </c>
      <c r="H467" s="1627" t="s">
        <v>271</v>
      </c>
      <c r="K467" s="1639">
        <f>(K465+C19/10*F459)</f>
        <v>502.38717700000001</v>
      </c>
      <c r="O467" s="1636" t="s">
        <v>21</v>
      </c>
      <c r="S467" s="1629"/>
      <c r="T467" s="1630"/>
      <c r="V467" s="1640"/>
      <c r="W467" s="1634"/>
      <c r="X467" s="1636" t="s">
        <v>21</v>
      </c>
      <c r="Y467" s="1636"/>
      <c r="AA467" s="1630"/>
      <c r="AB467" s="1630"/>
      <c r="AD467" s="1640"/>
      <c r="AE467" s="1632"/>
      <c r="AF467" s="1636" t="s">
        <v>21</v>
      </c>
      <c r="AG467" s="1640" t="str">
        <f t="shared" si="42"/>
        <v>|</v>
      </c>
      <c r="AI467" s="1627" t="s">
        <v>1095</v>
      </c>
    </row>
    <row r="468" spans="1:35" ht="24" customHeight="1">
      <c r="A468" s="1647">
        <f t="shared" si="37"/>
        <v>301</v>
      </c>
      <c r="B468" s="1627" t="s">
        <v>1029</v>
      </c>
      <c r="C468" s="1640">
        <v>258</v>
      </c>
      <c r="D468" s="1627" t="s">
        <v>153</v>
      </c>
      <c r="H468" s="1627" t="s">
        <v>272</v>
      </c>
      <c r="K468" s="1639">
        <f>(K467+C20/10*F459)</f>
        <v>512.95017700000005</v>
      </c>
      <c r="M468" s="1640">
        <v>8.1</v>
      </c>
      <c r="N468" s="1627" t="s">
        <v>151</v>
      </c>
      <c r="O468" s="1627" t="s">
        <v>1060</v>
      </c>
      <c r="P468" s="1640">
        <f>(C61)*2</f>
        <v>297.5</v>
      </c>
      <c r="Q468" s="1627" t="s">
        <v>151</v>
      </c>
      <c r="R468" s="1640">
        <f>(M468*P468)</f>
        <v>2409.75</v>
      </c>
      <c r="S468" s="1629"/>
      <c r="T468" s="1630"/>
      <c r="U468" s="1627" t="s">
        <v>1102</v>
      </c>
      <c r="V468" s="1640"/>
      <c r="W468" s="1634"/>
      <c r="X468" s="1640">
        <f>SUM(X464:X466)</f>
        <v>100.06164875500001</v>
      </c>
      <c r="Y468" s="1640"/>
      <c r="AA468" s="1630"/>
      <c r="AB468" s="1630"/>
      <c r="AC468" s="1627" t="s">
        <v>1102</v>
      </c>
      <c r="AD468" s="1640"/>
      <c r="AE468" s="1632"/>
      <c r="AF468" s="1640">
        <f>SUM(AF464:AF466)</f>
        <v>105.50432675500001</v>
      </c>
      <c r="AG468" s="1640" t="str">
        <f t="shared" si="42"/>
        <v>|</v>
      </c>
      <c r="AI468" s="1627" t="s">
        <v>1095</v>
      </c>
    </row>
    <row r="469" spans="1:35" ht="24" customHeight="1">
      <c r="A469" s="1647">
        <f t="shared" si="37"/>
        <v>302</v>
      </c>
      <c r="B469" s="1627" t="s">
        <v>1030</v>
      </c>
      <c r="C469" s="1640">
        <v>298</v>
      </c>
      <c r="D469" s="1627" t="s">
        <v>153</v>
      </c>
      <c r="H469" s="1627" t="s">
        <v>767</v>
      </c>
      <c r="K469" s="1639">
        <f>(K468+C21/10*F459)</f>
        <v>523.51317700000004</v>
      </c>
      <c r="M469" s="1640">
        <v>8.1</v>
      </c>
      <c r="N469" s="1627" t="s">
        <v>151</v>
      </c>
      <c r="O469" s="1627" t="s">
        <v>1061</v>
      </c>
      <c r="P469" s="1640">
        <f>(C26)</f>
        <v>51.730000000000004</v>
      </c>
      <c r="Q469" s="1627" t="s">
        <v>151</v>
      </c>
      <c r="R469" s="1640">
        <f>(M469*P469)</f>
        <v>419.01300000000003</v>
      </c>
      <c r="S469" s="1629"/>
      <c r="T469" s="1630"/>
      <c r="V469" s="1640"/>
      <c r="W469" s="1634"/>
      <c r="X469" s="1636" t="s">
        <v>21</v>
      </c>
      <c r="Y469" s="1636"/>
      <c r="AA469" s="1630"/>
      <c r="AB469" s="1630"/>
      <c r="AD469" s="1640"/>
      <c r="AE469" s="1632"/>
      <c r="AF469" s="1636" t="s">
        <v>21</v>
      </c>
      <c r="AG469" s="1640" t="str">
        <f t="shared" si="42"/>
        <v>|</v>
      </c>
      <c r="AI469" s="1627" t="s">
        <v>1095</v>
      </c>
    </row>
    <row r="470" spans="1:35" ht="24" customHeight="1">
      <c r="A470" s="1647">
        <f t="shared" si="37"/>
        <v>303</v>
      </c>
      <c r="B470" s="1627" t="s">
        <v>979</v>
      </c>
      <c r="C470" s="1640">
        <v>398</v>
      </c>
      <c r="D470" s="1627" t="s">
        <v>153</v>
      </c>
      <c r="H470" s="1627" t="s">
        <v>769</v>
      </c>
      <c r="K470" s="1639">
        <f>(K469+C21/10*F459)</f>
        <v>534.07617700000003</v>
      </c>
      <c r="L470" s="1629">
        <f t="shared" ref="L470:L476" si="43">K470-K469</f>
        <v>10.562999999999988</v>
      </c>
      <c r="M470" s="1640">
        <v>30</v>
      </c>
      <c r="N470" s="1627" t="s">
        <v>552</v>
      </c>
      <c r="O470" s="1627" t="s">
        <v>1062</v>
      </c>
      <c r="P470" s="1640">
        <f>(C42)</f>
        <v>5</v>
      </c>
      <c r="Q470" s="1627" t="s">
        <v>552</v>
      </c>
      <c r="R470" s="1640">
        <f>(M470*P470)</f>
        <v>150</v>
      </c>
      <c r="S470" s="1629"/>
      <c r="T470" s="1630"/>
      <c r="U470" s="1627" t="s">
        <v>270</v>
      </c>
      <c r="V470" s="1640"/>
      <c r="W470" s="1634"/>
      <c r="X470" s="1640">
        <f>ROUND(X468*100,0)</f>
        <v>10006</v>
      </c>
      <c r="Y470" s="1640"/>
      <c r="AA470" s="1630"/>
      <c r="AB470" s="1630"/>
      <c r="AC470" s="1627" t="s">
        <v>270</v>
      </c>
      <c r="AD470" s="1640"/>
      <c r="AE470" s="1632"/>
      <c r="AF470" s="1640">
        <f>ROUND(AF468*100,0)</f>
        <v>10550</v>
      </c>
      <c r="AG470" s="1640" t="str">
        <f t="shared" si="42"/>
        <v>|</v>
      </c>
      <c r="AI470" s="1627" t="s">
        <v>1095</v>
      </c>
    </row>
    <row r="471" spans="1:35" ht="15.75">
      <c r="A471" s="1647">
        <f t="shared" si="37"/>
        <v>304</v>
      </c>
      <c r="B471" s="1627" t="s">
        <v>1058</v>
      </c>
      <c r="D471" s="1627" t="s">
        <v>153</v>
      </c>
      <c r="H471" s="1627" t="s">
        <v>838</v>
      </c>
      <c r="K471" s="1639">
        <f>(K470+C21/10*F459)</f>
        <v>544.63917700000002</v>
      </c>
      <c r="L471" s="1629">
        <f t="shared" si="43"/>
        <v>10.562999999999988</v>
      </c>
      <c r="O471" s="1627" t="s">
        <v>1063</v>
      </c>
      <c r="S471" s="1627" t="s">
        <v>150</v>
      </c>
      <c r="T471" s="1630"/>
      <c r="V471" s="1640"/>
      <c r="W471" s="1634"/>
      <c r="Z471" s="1627" t="s">
        <v>150</v>
      </c>
      <c r="AA471" s="1630"/>
      <c r="AB471" s="1630"/>
      <c r="AD471" s="1640"/>
      <c r="AE471" s="1632"/>
      <c r="AG471" s="1640" t="str">
        <f t="shared" si="42"/>
        <v>|</v>
      </c>
      <c r="AI471" s="1627" t="s">
        <v>1095</v>
      </c>
    </row>
    <row r="472" spans="1:35" ht="15.75">
      <c r="A472" s="1647"/>
      <c r="B472" s="1627"/>
      <c r="D472" s="1627"/>
      <c r="H472" s="1627">
        <v>5</v>
      </c>
      <c r="K472" s="1639">
        <f>(K471+C21/10*F459)</f>
        <v>555.20217700000001</v>
      </c>
      <c r="L472" s="1629">
        <f t="shared" si="43"/>
        <v>10.562999999999988</v>
      </c>
      <c r="O472" s="1627"/>
      <c r="S472" s="1629"/>
      <c r="T472" s="1630"/>
      <c r="V472" s="1640"/>
      <c r="W472" s="1634"/>
      <c r="X472" s="1636" t="s">
        <v>156</v>
      </c>
      <c r="Y472" s="1636"/>
      <c r="AA472" s="1630"/>
      <c r="AB472" s="1630"/>
      <c r="AD472" s="1640"/>
      <c r="AE472" s="1632"/>
      <c r="AF472" s="1636" t="s">
        <v>156</v>
      </c>
      <c r="AG472" s="1640"/>
      <c r="AI472" s="1627"/>
    </row>
    <row r="473" spans="1:35" ht="15.75">
      <c r="A473" s="1647"/>
      <c r="B473" s="1627"/>
      <c r="D473" s="1627"/>
      <c r="H473" s="1627">
        <v>6</v>
      </c>
      <c r="K473" s="1639">
        <f>(K472+C21/10*F459)</f>
        <v>565.76517699999999</v>
      </c>
      <c r="L473" s="1629">
        <f t="shared" si="43"/>
        <v>10.562999999999988</v>
      </c>
      <c r="O473" s="1627"/>
      <c r="S473" s="1629"/>
      <c r="T473" s="1638" t="s">
        <v>230</v>
      </c>
      <c r="U473" s="1627" t="s">
        <v>1103</v>
      </c>
      <c r="V473" s="1640"/>
      <c r="W473" s="1634"/>
      <c r="AA473" s="1638" t="s">
        <v>230</v>
      </c>
      <c r="AB473" s="1638"/>
      <c r="AC473" s="1627" t="s">
        <v>1103</v>
      </c>
      <c r="AD473" s="1640"/>
      <c r="AE473" s="1632"/>
      <c r="AG473" s="1640"/>
      <c r="AI473" s="1627"/>
    </row>
    <row r="474" spans="1:35" ht="15.75">
      <c r="A474" s="1647"/>
      <c r="B474" s="1627"/>
      <c r="D474" s="1627"/>
      <c r="H474" s="1627">
        <v>7</v>
      </c>
      <c r="K474" s="1639">
        <f>(K473+C21/10*F459)</f>
        <v>576.32817699999998</v>
      </c>
      <c r="L474" s="1629">
        <f t="shared" si="43"/>
        <v>10.562999999999988</v>
      </c>
      <c r="O474" s="1627"/>
      <c r="S474" s="1629"/>
      <c r="T474" s="1630"/>
      <c r="U474" s="1627" t="s">
        <v>1104</v>
      </c>
      <c r="V474" s="1640"/>
      <c r="W474" s="1634"/>
      <c r="AA474" s="1630"/>
      <c r="AB474" s="1630"/>
      <c r="AC474" s="1627" t="s">
        <v>1104</v>
      </c>
      <c r="AD474" s="1640"/>
      <c r="AE474" s="1632"/>
      <c r="AG474" s="1640"/>
      <c r="AI474" s="1627"/>
    </row>
    <row r="475" spans="1:35" ht="15.75">
      <c r="A475" s="1647"/>
      <c r="B475" s="1627"/>
      <c r="D475" s="1627"/>
      <c r="H475" s="1627">
        <v>8</v>
      </c>
      <c r="K475" s="1639">
        <f>(K474+C21/10*F459)</f>
        <v>586.89117699999997</v>
      </c>
      <c r="L475" s="1629">
        <f t="shared" si="43"/>
        <v>10.562999999999988</v>
      </c>
      <c r="O475" s="1627"/>
      <c r="S475" s="1629"/>
      <c r="T475" s="1630"/>
      <c r="U475" s="1636" t="s">
        <v>21</v>
      </c>
      <c r="V475" s="1640"/>
      <c r="W475" s="1634"/>
      <c r="AA475" s="1630"/>
      <c r="AB475" s="1630"/>
      <c r="AC475" s="1636" t="s">
        <v>21</v>
      </c>
      <c r="AD475" s="1640"/>
      <c r="AE475" s="1632"/>
      <c r="AG475" s="1640"/>
      <c r="AI475" s="1627"/>
    </row>
    <row r="476" spans="1:35" ht="15.75">
      <c r="A476" s="1647"/>
      <c r="B476" s="1627"/>
      <c r="D476" s="1627"/>
      <c r="H476" s="1627">
        <v>9</v>
      </c>
      <c r="K476" s="1639">
        <f>(K475+C21/10*F459)</f>
        <v>597.45417699999996</v>
      </c>
      <c r="L476" s="1629">
        <f t="shared" si="43"/>
        <v>10.562999999999988</v>
      </c>
      <c r="O476" s="1627"/>
      <c r="S476" s="1658">
        <v>1.4E-2</v>
      </c>
      <c r="T476" s="1638" t="s">
        <v>151</v>
      </c>
      <c r="U476" s="1627" t="s">
        <v>1105</v>
      </c>
      <c r="V476" s="1640">
        <f>X470</f>
        <v>10006</v>
      </c>
      <c r="W476" s="1628" t="s">
        <v>151</v>
      </c>
      <c r="X476" s="1640">
        <f>(S476*V476)</f>
        <v>140.084</v>
      </c>
      <c r="Y476" s="1640"/>
      <c r="Z476" s="1658">
        <v>1.4E-2</v>
      </c>
      <c r="AA476" s="1638" t="s">
        <v>151</v>
      </c>
      <c r="AB476" s="1638"/>
      <c r="AC476" s="1627" t="s">
        <v>1105</v>
      </c>
      <c r="AD476" s="1640">
        <f>AF470</f>
        <v>10550</v>
      </c>
      <c r="AE476" s="1627" t="s">
        <v>151</v>
      </c>
      <c r="AF476" s="1640">
        <f>(Z476*AD476)</f>
        <v>147.70000000000002</v>
      </c>
      <c r="AG476" s="1640"/>
      <c r="AI476" s="1627"/>
    </row>
    <row r="477" spans="1:35" ht="15.75">
      <c r="A477" s="1647"/>
      <c r="B477" s="1627"/>
      <c r="D477" s="1627"/>
      <c r="H477" s="1627">
        <v>10</v>
      </c>
      <c r="K477" s="1639">
        <f>(K476+C21/10*F459)</f>
        <v>608.01717699999995</v>
      </c>
      <c r="L477" s="1629">
        <f>K477-K476</f>
        <v>10.562999999999988</v>
      </c>
      <c r="O477" s="1627"/>
      <c r="S477" s="1658"/>
      <c r="T477" s="1630"/>
      <c r="U477" s="1627" t="s">
        <v>1106</v>
      </c>
      <c r="V477" s="1640"/>
      <c r="W477" s="1634"/>
      <c r="X477" s="1627" t="s">
        <v>150</v>
      </c>
      <c r="Y477" s="1627"/>
      <c r="Z477" s="1658"/>
      <c r="AA477" s="1630"/>
      <c r="AB477" s="1630"/>
      <c r="AC477" s="1627" t="s">
        <v>1106</v>
      </c>
      <c r="AD477" s="1640"/>
      <c r="AE477" s="1632"/>
      <c r="AF477" s="1627" t="s">
        <v>150</v>
      </c>
      <c r="AG477" s="1640"/>
      <c r="AI477" s="1627"/>
    </row>
    <row r="478" spans="1:35" ht="15.75">
      <c r="A478" s="1647"/>
      <c r="B478" s="1627"/>
      <c r="D478" s="1627"/>
      <c r="H478" s="1627"/>
      <c r="K478" s="1639">
        <f>(K477+C21/10*F459)</f>
        <v>618.58017699999994</v>
      </c>
      <c r="L478" s="1629">
        <f>K478-K477</f>
        <v>10.562999999999988</v>
      </c>
      <c r="O478" s="1627"/>
      <c r="S478" s="1640">
        <v>0.5</v>
      </c>
      <c r="T478" s="1638" t="s">
        <v>4</v>
      </c>
      <c r="U478" s="1627" t="s">
        <v>269</v>
      </c>
      <c r="V478" s="1640">
        <f>C10</f>
        <v>1325.8</v>
      </c>
      <c r="W478" s="1628" t="s">
        <v>4</v>
      </c>
      <c r="X478" s="1640">
        <f>(S478*V478)</f>
        <v>662.9</v>
      </c>
      <c r="Y478" s="1640"/>
      <c r="Z478" s="1640">
        <v>0.5</v>
      </c>
      <c r="AA478" s="1638" t="s">
        <v>4</v>
      </c>
      <c r="AB478" s="1638"/>
      <c r="AC478" s="1627" t="s">
        <v>269</v>
      </c>
      <c r="AD478" s="1640">
        <f>V478</f>
        <v>1325.8</v>
      </c>
      <c r="AE478" s="1627" t="s">
        <v>4</v>
      </c>
      <c r="AF478" s="1640">
        <f>(Z478*AD478)</f>
        <v>662.9</v>
      </c>
      <c r="AG478" s="1640"/>
      <c r="AI478" s="1627"/>
    </row>
    <row r="479" spans="1:35" ht="15.75">
      <c r="A479" s="1647">
        <f>(A471+1)</f>
        <v>305</v>
      </c>
      <c r="B479" s="1631" t="s">
        <v>5593</v>
      </c>
      <c r="D479" s="1627" t="s">
        <v>153</v>
      </c>
      <c r="F479" s="1628" t="s">
        <v>1108</v>
      </c>
      <c r="G479" s="1638" t="s">
        <v>249</v>
      </c>
      <c r="H479" s="1627" t="s">
        <v>1109</v>
      </c>
      <c r="K479" s="1639">
        <f>(K478+C21/10*F459)</f>
        <v>629.14317699999992</v>
      </c>
      <c r="L479" s="1629">
        <f>K479-K478</f>
        <v>10.562999999999988</v>
      </c>
      <c r="O479" s="1627" t="s">
        <v>1064</v>
      </c>
      <c r="S479" s="1640">
        <v>0.75</v>
      </c>
      <c r="T479" s="1638" t="s">
        <v>4</v>
      </c>
      <c r="U479" s="1627" t="s">
        <v>235</v>
      </c>
      <c r="V479" s="1640">
        <f>C12</f>
        <v>865.19999999999993</v>
      </c>
      <c r="W479" s="1628" t="s">
        <v>4</v>
      </c>
      <c r="X479" s="1640">
        <f>(S479*V479)</f>
        <v>648.9</v>
      </c>
      <c r="Y479" s="1640"/>
      <c r="Z479" s="1640">
        <v>0.75</v>
      </c>
      <c r="AA479" s="1638" t="s">
        <v>4</v>
      </c>
      <c r="AB479" s="1638"/>
      <c r="AC479" s="1627" t="s">
        <v>235</v>
      </c>
      <c r="AD479" s="1640">
        <f>V479</f>
        <v>865.19999999999993</v>
      </c>
      <c r="AE479" s="1627" t="s">
        <v>4</v>
      </c>
      <c r="AF479" s="1640">
        <f>(Z479*AD479)</f>
        <v>648.9</v>
      </c>
      <c r="AG479" s="1640" t="str">
        <f t="shared" si="42"/>
        <v>|</v>
      </c>
      <c r="AI479" s="1627" t="s">
        <v>1095</v>
      </c>
    </row>
    <row r="480" spans="1:35" ht="50.25" customHeight="1">
      <c r="A480" s="1647">
        <f t="shared" si="37"/>
        <v>306</v>
      </c>
      <c r="B480" s="1627" t="s">
        <v>1033</v>
      </c>
      <c r="C480" s="1640">
        <v>168</v>
      </c>
      <c r="D480" s="1627" t="s">
        <v>153</v>
      </c>
      <c r="H480" s="1627" t="s">
        <v>1110</v>
      </c>
      <c r="O480" s="1627" t="s">
        <v>1065</v>
      </c>
      <c r="S480" s="1629"/>
      <c r="T480" s="1638" t="s">
        <v>226</v>
      </c>
      <c r="U480" s="1627" t="s">
        <v>237</v>
      </c>
      <c r="V480" s="1640"/>
      <c r="W480" s="1628" t="s">
        <v>226</v>
      </c>
      <c r="X480" s="1640">
        <v>0</v>
      </c>
      <c r="Y480" s="1640"/>
      <c r="AA480" s="1638" t="s">
        <v>226</v>
      </c>
      <c r="AB480" s="1638"/>
      <c r="AC480" s="1627" t="s">
        <v>237</v>
      </c>
      <c r="AD480" s="1640">
        <f>V480</f>
        <v>0</v>
      </c>
      <c r="AE480" s="1627" t="s">
        <v>226</v>
      </c>
      <c r="AF480" s="1640">
        <v>0</v>
      </c>
      <c r="AG480" s="1640" t="str">
        <f t="shared" si="42"/>
        <v>|</v>
      </c>
      <c r="AI480" s="1627" t="s">
        <v>1095</v>
      </c>
    </row>
    <row r="481" spans="1:35" ht="30.75" customHeight="1">
      <c r="A481" s="1647">
        <f t="shared" si="37"/>
        <v>307</v>
      </c>
      <c r="B481" s="1627" t="s">
        <v>1026</v>
      </c>
      <c r="C481" s="1640">
        <v>350</v>
      </c>
      <c r="D481" s="1627" t="s">
        <v>153</v>
      </c>
      <c r="H481" s="1636" t="s">
        <v>21</v>
      </c>
      <c r="O481" s="1627" t="s">
        <v>1066</v>
      </c>
      <c r="S481" s="1629"/>
      <c r="T481" s="1630"/>
      <c r="V481" s="1640"/>
      <c r="W481" s="1634"/>
      <c r="X481" s="1636" t="s">
        <v>21</v>
      </c>
      <c r="Y481" s="1636"/>
      <c r="AA481" s="1630"/>
      <c r="AB481" s="1630"/>
      <c r="AD481" s="1640"/>
      <c r="AE481" s="1632"/>
      <c r="AF481" s="1636" t="s">
        <v>21</v>
      </c>
      <c r="AG481" s="1640" t="str">
        <f t="shared" si="42"/>
        <v>|</v>
      </c>
      <c r="AI481" s="1627" t="s">
        <v>1095</v>
      </c>
    </row>
    <row r="482" spans="1:35" ht="24" customHeight="1">
      <c r="A482" s="1647">
        <f t="shared" si="37"/>
        <v>308</v>
      </c>
      <c r="B482" s="1627" t="s">
        <v>1028</v>
      </c>
      <c r="C482" s="1640">
        <v>592</v>
      </c>
      <c r="D482" s="1627" t="s">
        <v>153</v>
      </c>
      <c r="F482" s="1640">
        <v>1</v>
      </c>
      <c r="G482" s="1638" t="s">
        <v>151</v>
      </c>
      <c r="H482" s="1627" t="s">
        <v>5594</v>
      </c>
      <c r="I482" s="1640">
        <f>(C26)</f>
        <v>51.730000000000004</v>
      </c>
      <c r="J482" s="1627" t="s">
        <v>151</v>
      </c>
      <c r="K482" s="1639">
        <f>(F482*I482)</f>
        <v>51.730000000000004</v>
      </c>
      <c r="M482" s="1640">
        <v>8</v>
      </c>
      <c r="N482" s="1627" t="s">
        <v>4</v>
      </c>
      <c r="O482" s="1627" t="s">
        <v>1069</v>
      </c>
      <c r="P482" s="1640">
        <f>(C45)</f>
        <v>10.65</v>
      </c>
      <c r="Q482" s="1627" t="s">
        <v>4</v>
      </c>
      <c r="R482" s="1640">
        <f>(M482*P482)</f>
        <v>85.2</v>
      </c>
      <c r="S482" s="1629"/>
      <c r="T482" s="1630"/>
      <c r="U482" s="1627" t="s">
        <v>1112</v>
      </c>
      <c r="V482" s="1640"/>
      <c r="W482" s="1634"/>
      <c r="X482" s="1640">
        <f>SUM(X476:X480)</f>
        <v>1451.884</v>
      </c>
      <c r="Y482" s="1640"/>
      <c r="AA482" s="1630"/>
      <c r="AB482" s="1630"/>
      <c r="AC482" s="1627" t="s">
        <v>1112</v>
      </c>
      <c r="AD482" s="1640"/>
      <c r="AE482" s="1632"/>
      <c r="AF482" s="1640">
        <f>SUM(AF476:AF480)</f>
        <v>1459.5</v>
      </c>
      <c r="AG482" s="1640" t="str">
        <f t="shared" si="42"/>
        <v>|</v>
      </c>
      <c r="AI482" s="1627" t="s">
        <v>1095</v>
      </c>
    </row>
    <row r="483" spans="1:35" ht="24" customHeight="1">
      <c r="A483" s="1647">
        <f t="shared" si="37"/>
        <v>309</v>
      </c>
      <c r="B483" s="1627" t="s">
        <v>1029</v>
      </c>
      <c r="C483" s="1640">
        <v>760</v>
      </c>
      <c r="D483" s="1627" t="s">
        <v>153</v>
      </c>
      <c r="K483" s="1636" t="s">
        <v>156</v>
      </c>
      <c r="M483" s="1640">
        <v>8</v>
      </c>
      <c r="N483" s="1627" t="s">
        <v>4</v>
      </c>
      <c r="O483" s="1627" t="s">
        <v>1072</v>
      </c>
      <c r="P483" s="1640">
        <f>(C52)</f>
        <v>26.6</v>
      </c>
      <c r="Q483" s="1627" t="s">
        <v>4</v>
      </c>
      <c r="R483" s="1640">
        <f>(M483*P483)</f>
        <v>212.8</v>
      </c>
      <c r="S483" s="1629"/>
      <c r="T483" s="1630"/>
      <c r="V483" s="1640"/>
      <c r="W483" s="1634"/>
      <c r="X483" s="1636" t="s">
        <v>21</v>
      </c>
      <c r="Y483" s="1636"/>
      <c r="AA483" s="1630"/>
      <c r="AB483" s="1630"/>
      <c r="AD483" s="1640"/>
      <c r="AE483" s="1632"/>
      <c r="AF483" s="1636" t="s">
        <v>21</v>
      </c>
      <c r="AG483" s="1640" t="str">
        <f t="shared" si="42"/>
        <v>|</v>
      </c>
      <c r="AI483" s="1627" t="s">
        <v>1095</v>
      </c>
    </row>
    <row r="484" spans="1:35" ht="24" customHeight="1">
      <c r="A484" s="1647">
        <f t="shared" si="37"/>
        <v>310</v>
      </c>
      <c r="B484" s="1627" t="s">
        <v>1030</v>
      </c>
      <c r="C484" s="1640">
        <v>977</v>
      </c>
      <c r="D484" s="1627" t="s">
        <v>153</v>
      </c>
      <c r="F484" s="1662">
        <v>7.3</v>
      </c>
      <c r="G484" s="1638" t="s">
        <v>249</v>
      </c>
      <c r="H484" s="1627" t="s">
        <v>1113</v>
      </c>
      <c r="M484" s="1640">
        <v>1</v>
      </c>
      <c r="N484" s="1627" t="s">
        <v>226</v>
      </c>
      <c r="O484" s="1627" t="s">
        <v>1074</v>
      </c>
      <c r="P484" s="1640">
        <f>(C56)</f>
        <v>12.1</v>
      </c>
      <c r="Q484" s="1627" t="s">
        <v>226</v>
      </c>
      <c r="R484" s="1640">
        <f>(M484*P484)</f>
        <v>12.1</v>
      </c>
      <c r="S484" s="1629"/>
      <c r="T484" s="1630"/>
      <c r="U484" s="1627" t="s">
        <v>155</v>
      </c>
      <c r="W484" s="1634"/>
      <c r="X484" s="1640">
        <f>(X482/0.372)</f>
        <v>3902.9139784946237</v>
      </c>
      <c r="Y484" s="1640"/>
      <c r="AA484" s="1630"/>
      <c r="AB484" s="1630"/>
      <c r="AC484" s="1627" t="s">
        <v>155</v>
      </c>
      <c r="AE484" s="1632"/>
      <c r="AF484" s="1640">
        <f>(AF482/0.372)</f>
        <v>3923.3870967741937</v>
      </c>
      <c r="AG484" s="1640" t="str">
        <f t="shared" si="42"/>
        <v>|</v>
      </c>
      <c r="AI484" s="1627" t="s">
        <v>1095</v>
      </c>
    </row>
    <row r="485" spans="1:35" ht="24" customHeight="1">
      <c r="A485" s="1647">
        <f t="shared" si="37"/>
        <v>311</v>
      </c>
      <c r="B485" s="1627" t="s">
        <v>979</v>
      </c>
      <c r="C485" s="1640">
        <v>1241</v>
      </c>
      <c r="D485" s="1627" t="s">
        <v>153</v>
      </c>
      <c r="F485" s="1627" t="s">
        <v>150</v>
      </c>
      <c r="H485" s="1627" t="s">
        <v>1114</v>
      </c>
      <c r="M485" s="1640">
        <v>1</v>
      </c>
      <c r="N485" s="1627" t="s">
        <v>226</v>
      </c>
      <c r="O485" s="1627" t="s">
        <v>237</v>
      </c>
      <c r="Q485" s="1627" t="s">
        <v>226</v>
      </c>
      <c r="R485" s="1640">
        <v>0</v>
      </c>
      <c r="S485" s="1629"/>
      <c r="T485" s="1630"/>
      <c r="W485" s="1634"/>
      <c r="X485" s="1636" t="s">
        <v>156</v>
      </c>
      <c r="Y485" s="1636"/>
      <c r="AA485" s="1630"/>
      <c r="AB485" s="1630"/>
      <c r="AE485" s="1632"/>
      <c r="AF485" s="1636" t="s">
        <v>156</v>
      </c>
      <c r="AG485" s="1640" t="str">
        <f t="shared" si="42"/>
        <v>|</v>
      </c>
      <c r="AI485" s="1627" t="s">
        <v>1095</v>
      </c>
    </row>
    <row r="486" spans="1:35" ht="24" customHeight="1">
      <c r="A486" s="1647">
        <f t="shared" si="37"/>
        <v>312</v>
      </c>
      <c r="B486" s="1627" t="s">
        <v>1058</v>
      </c>
      <c r="C486" s="1629">
        <v>1523</v>
      </c>
      <c r="D486" s="1627" t="s">
        <v>153</v>
      </c>
      <c r="F486" s="1627" t="s">
        <v>150</v>
      </c>
      <c r="H486" s="1636" t="s">
        <v>1115</v>
      </c>
      <c r="R486" s="1636" t="s">
        <v>21</v>
      </c>
      <c r="S486" s="1629"/>
      <c r="T486" s="1630"/>
      <c r="U486" s="1627" t="s">
        <v>271</v>
      </c>
      <c r="V486" s="1629">
        <f>X484</f>
        <v>3902.9139784946237</v>
      </c>
      <c r="W486" s="1634">
        <f>J659</f>
        <v>5.9853763440860215</v>
      </c>
      <c r="X486" s="1639">
        <f>V486+W486</f>
        <v>3908.8993548387098</v>
      </c>
      <c r="Y486" s="1639"/>
      <c r="AA486" s="1630"/>
      <c r="AB486" s="1630"/>
      <c r="AC486" s="1627" t="s">
        <v>271</v>
      </c>
      <c r="AD486" s="1629">
        <f>AF484</f>
        <v>3923.3870967741937</v>
      </c>
      <c r="AE486" s="1632">
        <f>W486</f>
        <v>5.9853763440860215</v>
      </c>
      <c r="AF486" s="1639">
        <f>AD486+AE486</f>
        <v>3929.3724731182797</v>
      </c>
      <c r="AG486" s="1640" t="str">
        <f t="shared" si="42"/>
        <v>|</v>
      </c>
      <c r="AI486" s="1627" t="s">
        <v>1095</v>
      </c>
    </row>
    <row r="487" spans="1:35" ht="24" customHeight="1">
      <c r="A487" s="1647">
        <f t="shared" si="37"/>
        <v>313</v>
      </c>
      <c r="B487" s="1631" t="s">
        <v>5595</v>
      </c>
      <c r="D487" s="1627"/>
      <c r="F487" s="1640">
        <v>0.13</v>
      </c>
      <c r="G487" s="1638" t="s">
        <v>151</v>
      </c>
      <c r="H487" s="1627" t="s">
        <v>258</v>
      </c>
      <c r="I487" s="1640">
        <f>(K40)</f>
        <v>4593.8999999999996</v>
      </c>
      <c r="J487" s="1627" t="s">
        <v>151</v>
      </c>
      <c r="K487" s="1640">
        <f t="shared" ref="K487:K492" si="44">(F487*I487)</f>
        <v>597.20699999999999</v>
      </c>
      <c r="O487" s="1627" t="s">
        <v>1076</v>
      </c>
      <c r="R487" s="1640">
        <f>SUM(R468:R485)</f>
        <v>3288.8629999999998</v>
      </c>
      <c r="S487" s="1629"/>
      <c r="T487" s="1630"/>
      <c r="U487" s="1627" t="s">
        <v>272</v>
      </c>
      <c r="V487" s="1629">
        <f>X486</f>
        <v>3908.8993548387098</v>
      </c>
      <c r="W487" s="1634">
        <f>J662</f>
        <v>11.791612903225806</v>
      </c>
      <c r="X487" s="1639">
        <f>V487+W487</f>
        <v>3920.6909677419358</v>
      </c>
      <c r="Y487" s="1639"/>
      <c r="AA487" s="1630"/>
      <c r="AB487" s="1630"/>
      <c r="AC487" s="1627" t="s">
        <v>272</v>
      </c>
      <c r="AD487" s="1629">
        <f>AF486</f>
        <v>3929.3724731182797</v>
      </c>
      <c r="AE487" s="1632">
        <f>W487</f>
        <v>11.791612903225806</v>
      </c>
      <c r="AF487" s="1639">
        <f>AD487+AE487</f>
        <v>3941.1640860215057</v>
      </c>
      <c r="AG487" s="1640" t="str">
        <f t="shared" si="42"/>
        <v>|</v>
      </c>
      <c r="AI487" s="1627" t="s">
        <v>1095</v>
      </c>
    </row>
    <row r="488" spans="1:35" ht="24" customHeight="1">
      <c r="A488" s="1647">
        <f t="shared" ref="A488:A494" si="45">(A487+1)</f>
        <v>314</v>
      </c>
      <c r="B488" s="1627" t="s">
        <v>1033</v>
      </c>
      <c r="C488" s="1640">
        <v>169</v>
      </c>
      <c r="D488" s="1627" t="s">
        <v>153</v>
      </c>
      <c r="F488" s="1640">
        <v>0.7</v>
      </c>
      <c r="G488" s="1638" t="s">
        <v>4</v>
      </c>
      <c r="H488" s="1627" t="s">
        <v>269</v>
      </c>
      <c r="I488" s="1640">
        <f>(C10)</f>
        <v>1325.8</v>
      </c>
      <c r="J488" s="1627" t="s">
        <v>4</v>
      </c>
      <c r="K488" s="1640">
        <f t="shared" si="44"/>
        <v>928.06</v>
      </c>
      <c r="R488" s="1636" t="s">
        <v>21</v>
      </c>
      <c r="S488" s="1629"/>
      <c r="T488" s="1630"/>
      <c r="U488" s="1627" t="s">
        <v>767</v>
      </c>
      <c r="V488" s="1629">
        <f>X487</f>
        <v>3920.6909677419358</v>
      </c>
      <c r="W488" s="1634">
        <f>J663</f>
        <v>11.791612903225806</v>
      </c>
      <c r="X488" s="1639">
        <f>V488+W488</f>
        <v>3932.4825806451618</v>
      </c>
      <c r="Y488" s="1639"/>
      <c r="AA488" s="1630"/>
      <c r="AB488" s="1630"/>
      <c r="AC488" s="1627" t="s">
        <v>767</v>
      </c>
      <c r="AD488" s="1629">
        <f>AF487</f>
        <v>3941.1640860215057</v>
      </c>
      <c r="AE488" s="1632">
        <f>W488</f>
        <v>11.791612903225806</v>
      </c>
      <c r="AF488" s="1639">
        <f>AD488+AE488</f>
        <v>3952.9556989247317</v>
      </c>
      <c r="AG488" s="1640" t="str">
        <f t="shared" si="42"/>
        <v>|</v>
      </c>
      <c r="AI488" s="1627" t="s">
        <v>1095</v>
      </c>
    </row>
    <row r="489" spans="1:35" ht="33.75" customHeight="1">
      <c r="A489" s="1647">
        <f t="shared" si="45"/>
        <v>315</v>
      </c>
      <c r="B489" s="1627" t="s">
        <v>1026</v>
      </c>
      <c r="C489" s="1640">
        <v>241</v>
      </c>
      <c r="D489" s="1627" t="s">
        <v>153</v>
      </c>
      <c r="F489" s="1640">
        <v>0.7</v>
      </c>
      <c r="G489" s="1638" t="s">
        <v>4</v>
      </c>
      <c r="H489" s="1627" t="s">
        <v>234</v>
      </c>
      <c r="I489" s="1640">
        <f>(C11)</f>
        <v>1237.5999999999999</v>
      </c>
      <c r="J489" s="1627" t="s">
        <v>4</v>
      </c>
      <c r="K489" s="1640">
        <f t="shared" si="44"/>
        <v>866.31999999999994</v>
      </c>
      <c r="O489" s="1627" t="s">
        <v>562</v>
      </c>
      <c r="R489" s="1640">
        <f>(R487/30)</f>
        <v>109.62876666666666</v>
      </c>
      <c r="S489" s="1629"/>
      <c r="T489" s="1630"/>
      <c r="U489" s="1627" t="s">
        <v>769</v>
      </c>
      <c r="V489" s="1629">
        <f>X488</f>
        <v>3932.4825806451618</v>
      </c>
      <c r="W489" s="1634">
        <f>J664</f>
        <v>11.791612903225806</v>
      </c>
      <c r="X489" s="1639">
        <f>V489+W489</f>
        <v>3944.2741935483878</v>
      </c>
      <c r="Y489" s="1639"/>
      <c r="AA489" s="1630"/>
      <c r="AB489" s="1630"/>
      <c r="AC489" s="1627" t="s">
        <v>769</v>
      </c>
      <c r="AD489" s="1629">
        <f>AF488</f>
        <v>3952.9556989247317</v>
      </c>
      <c r="AE489" s="1632">
        <f>W489</f>
        <v>11.791612903225806</v>
      </c>
      <c r="AF489" s="1639">
        <f>AD489+AE489</f>
        <v>3964.7473118279577</v>
      </c>
      <c r="AG489" s="1640" t="str">
        <f t="shared" si="42"/>
        <v>|</v>
      </c>
      <c r="AI489" s="1627" t="s">
        <v>1095</v>
      </c>
    </row>
    <row r="490" spans="1:35" ht="24" customHeight="1">
      <c r="A490" s="1647">
        <f t="shared" si="45"/>
        <v>316</v>
      </c>
      <c r="B490" s="1627" t="s">
        <v>1028</v>
      </c>
      <c r="C490" s="1640">
        <v>351</v>
      </c>
      <c r="D490" s="1627" t="s">
        <v>153</v>
      </c>
      <c r="F490" s="1640">
        <v>1.5</v>
      </c>
      <c r="G490" s="1638" t="s">
        <v>4</v>
      </c>
      <c r="H490" s="1627" t="s">
        <v>235</v>
      </c>
      <c r="I490" s="1640">
        <f>(C12)</f>
        <v>865.19999999999993</v>
      </c>
      <c r="J490" s="1627" t="s">
        <v>4</v>
      </c>
      <c r="K490" s="1640">
        <f t="shared" si="44"/>
        <v>1297.8</v>
      </c>
      <c r="R490" s="1636" t="s">
        <v>21</v>
      </c>
      <c r="S490" s="1629"/>
      <c r="T490" s="1630"/>
      <c r="U490" s="1627" t="s">
        <v>1117</v>
      </c>
      <c r="V490" s="1629">
        <f>X489</f>
        <v>3944.2741935483878</v>
      </c>
      <c r="W490" s="1634">
        <f>J665</f>
        <v>11.791612903225806</v>
      </c>
      <c r="X490" s="1639">
        <f>V490+W490</f>
        <v>3956.0658064516138</v>
      </c>
      <c r="Y490" s="1639"/>
      <c r="AA490" s="1630"/>
      <c r="AB490" s="1630"/>
      <c r="AC490" s="1627" t="s">
        <v>1117</v>
      </c>
      <c r="AD490" s="1629">
        <f>AF489</f>
        <v>3964.7473118279577</v>
      </c>
      <c r="AE490" s="1632">
        <f>W490</f>
        <v>11.791612903225806</v>
      </c>
      <c r="AF490" s="1639">
        <f>AD490+AE490</f>
        <v>3976.5389247311837</v>
      </c>
      <c r="AG490" s="1640" t="str">
        <f t="shared" si="42"/>
        <v>|</v>
      </c>
      <c r="AI490" s="1627" t="s">
        <v>1095</v>
      </c>
    </row>
    <row r="491" spans="1:35" ht="24" customHeight="1">
      <c r="A491" s="1647">
        <f t="shared" si="45"/>
        <v>317</v>
      </c>
      <c r="B491" s="1627" t="s">
        <v>1029</v>
      </c>
      <c r="C491" s="1640">
        <v>513</v>
      </c>
      <c r="D491" s="1627" t="s">
        <v>153</v>
      </c>
      <c r="F491" s="1640">
        <v>0.5</v>
      </c>
      <c r="G491" s="1638" t="s">
        <v>4</v>
      </c>
      <c r="H491" s="1627" t="s">
        <v>236</v>
      </c>
      <c r="I491" s="1640">
        <f>(C13)</f>
        <v>709.8</v>
      </c>
      <c r="J491" s="1627" t="s">
        <v>4</v>
      </c>
      <c r="K491" s="1640">
        <f t="shared" si="44"/>
        <v>354.9</v>
      </c>
      <c r="M491" s="1627" t="s">
        <v>150</v>
      </c>
      <c r="W491" s="1634"/>
      <c r="Z491" s="1633"/>
      <c r="AC491" s="1627" t="s">
        <v>1044</v>
      </c>
      <c r="AE491" s="1632">
        <f t="shared" ref="AE491:AE497" si="46">AE490</f>
        <v>11.791612903225806</v>
      </c>
      <c r="AF491" s="1639">
        <f t="shared" ref="AF491:AF497" si="47">AF490+AE491</f>
        <v>3988.3305376344097</v>
      </c>
      <c r="AG491" s="1640" t="str">
        <f t="shared" si="42"/>
        <v>|</v>
      </c>
      <c r="AI491" s="1627" t="s">
        <v>1095</v>
      </c>
    </row>
    <row r="492" spans="1:35" ht="24" customHeight="1">
      <c r="A492" s="1647">
        <f t="shared" si="45"/>
        <v>318</v>
      </c>
      <c r="B492" s="1627" t="s">
        <v>1030</v>
      </c>
      <c r="C492" s="1640">
        <v>652</v>
      </c>
      <c r="D492" s="1627" t="s">
        <v>153</v>
      </c>
      <c r="F492" s="1640">
        <v>0.94</v>
      </c>
      <c r="G492" s="1638" t="s">
        <v>13</v>
      </c>
      <c r="H492" s="1627" t="s">
        <v>1118</v>
      </c>
      <c r="I492" s="1640">
        <f>C653</f>
        <v>42.7</v>
      </c>
      <c r="J492" s="1627" t="s">
        <v>13</v>
      </c>
      <c r="K492" s="1640">
        <f t="shared" si="44"/>
        <v>40.137999999999998</v>
      </c>
      <c r="N492" s="1627" t="s">
        <v>249</v>
      </c>
      <c r="O492" s="1627" t="s">
        <v>1053</v>
      </c>
      <c r="W492" s="1634"/>
      <c r="Z492" s="1633"/>
      <c r="AC492" s="1627" t="s">
        <v>1045</v>
      </c>
      <c r="AE492" s="1632">
        <f t="shared" si="46"/>
        <v>11.791612903225806</v>
      </c>
      <c r="AF492" s="1639">
        <f t="shared" si="47"/>
        <v>4000.1221505376357</v>
      </c>
      <c r="AG492" s="1640" t="str">
        <f t="shared" si="42"/>
        <v>|</v>
      </c>
      <c r="AI492" s="1627" t="s">
        <v>1095</v>
      </c>
    </row>
    <row r="493" spans="1:35" ht="24" customHeight="1">
      <c r="A493" s="1647">
        <f t="shared" si="45"/>
        <v>319</v>
      </c>
      <c r="B493" s="1627" t="s">
        <v>979</v>
      </c>
      <c r="C493" s="1640">
        <v>584</v>
      </c>
      <c r="D493" s="1627" t="s">
        <v>153</v>
      </c>
      <c r="H493" s="1627" t="s">
        <v>237</v>
      </c>
      <c r="I493" s="1627" t="s">
        <v>150</v>
      </c>
      <c r="J493" s="1627" t="s">
        <v>226</v>
      </c>
      <c r="K493" s="1640">
        <v>0</v>
      </c>
      <c r="O493" s="1627" t="s">
        <v>1054</v>
      </c>
      <c r="W493" s="1634"/>
      <c r="Z493" s="1633"/>
      <c r="AC493" s="1627" t="s">
        <v>1046</v>
      </c>
      <c r="AE493" s="1632">
        <f t="shared" si="46"/>
        <v>11.791612903225806</v>
      </c>
      <c r="AF493" s="1629">
        <f t="shared" si="47"/>
        <v>4011.9137634408617</v>
      </c>
      <c r="AG493" s="1640" t="str">
        <f t="shared" si="42"/>
        <v>|</v>
      </c>
      <c r="AI493" s="1627" t="s">
        <v>1095</v>
      </c>
    </row>
    <row r="494" spans="1:35" ht="24" customHeight="1">
      <c r="A494" s="1647">
        <f t="shared" si="45"/>
        <v>320</v>
      </c>
      <c r="B494" s="1627" t="s">
        <v>1058</v>
      </c>
      <c r="D494" s="1627" t="s">
        <v>153</v>
      </c>
      <c r="K494" s="1636" t="s">
        <v>21</v>
      </c>
      <c r="O494" s="1627" t="s">
        <v>1119</v>
      </c>
      <c r="W494" s="1634"/>
      <c r="Z494" s="1633"/>
      <c r="AC494" s="1627" t="s">
        <v>1223</v>
      </c>
      <c r="AE494" s="1632">
        <f t="shared" si="46"/>
        <v>11.791612903225806</v>
      </c>
      <c r="AF494" s="1629">
        <f t="shared" si="47"/>
        <v>4023.7053763440877</v>
      </c>
      <c r="AG494" s="1640" t="str">
        <f t="shared" si="42"/>
        <v>|</v>
      </c>
      <c r="AI494" s="1627" t="s">
        <v>1095</v>
      </c>
    </row>
    <row r="495" spans="1:35" ht="24" customHeight="1">
      <c r="A495" s="1647">
        <f>(A494+1)</f>
        <v>321</v>
      </c>
      <c r="B495" s="1631" t="s">
        <v>5596</v>
      </c>
      <c r="D495" s="1627" t="s">
        <v>153</v>
      </c>
      <c r="H495" s="1627" t="s">
        <v>238</v>
      </c>
      <c r="K495" s="1640">
        <f>SUM(K486:K493)</f>
        <v>4084.4249999999997</v>
      </c>
      <c r="O495" s="1636" t="s">
        <v>21</v>
      </c>
      <c r="W495" s="1634"/>
      <c r="Z495" s="1633"/>
      <c r="AC495" s="1627" t="s">
        <v>1048</v>
      </c>
      <c r="AE495" s="1632">
        <f t="shared" si="46"/>
        <v>11.791612903225806</v>
      </c>
      <c r="AF495" s="1639">
        <f t="shared" si="47"/>
        <v>4035.4969892473136</v>
      </c>
      <c r="AG495" s="1640" t="str">
        <f t="shared" si="42"/>
        <v>|</v>
      </c>
      <c r="AI495" s="1627" t="s">
        <v>1095</v>
      </c>
    </row>
    <row r="496" spans="1:35" ht="24" customHeight="1">
      <c r="A496" s="1647">
        <f>(A495+1)</f>
        <v>322</v>
      </c>
      <c r="B496" s="1627" t="s">
        <v>1121</v>
      </c>
      <c r="C496" s="1640">
        <v>20.3</v>
      </c>
      <c r="D496" s="1627" t="s">
        <v>153</v>
      </c>
      <c r="K496" s="1636" t="s">
        <v>21</v>
      </c>
      <c r="N496" s="1627" t="s">
        <v>1056</v>
      </c>
      <c r="O496" s="1628" t="s">
        <v>1122</v>
      </c>
      <c r="W496" s="1634"/>
      <c r="Z496" s="1633"/>
      <c r="AC496" s="1627" t="s">
        <v>1836</v>
      </c>
      <c r="AE496" s="1632">
        <f t="shared" si="46"/>
        <v>11.791612903225806</v>
      </c>
      <c r="AF496" s="1639">
        <f t="shared" si="47"/>
        <v>4047.2886021505396</v>
      </c>
      <c r="AG496" s="1640" t="str">
        <f t="shared" si="42"/>
        <v>|</v>
      </c>
      <c r="AI496" s="1627" t="s">
        <v>1095</v>
      </c>
    </row>
    <row r="497" spans="1:35" ht="33.75" customHeight="1">
      <c r="A497" s="1647">
        <f>(A496+1)</f>
        <v>323</v>
      </c>
      <c r="B497" s="1627" t="s">
        <v>1123</v>
      </c>
      <c r="C497" s="1640">
        <v>11.5</v>
      </c>
      <c r="D497" s="1627" t="s">
        <v>153</v>
      </c>
      <c r="H497" s="1641" t="s">
        <v>155</v>
      </c>
      <c r="K497" s="1639">
        <f>(K495/10)</f>
        <v>408.4425</v>
      </c>
      <c r="O497" s="1636" t="s">
        <v>21</v>
      </c>
      <c r="W497" s="1634"/>
      <c r="Z497" s="1633"/>
      <c r="AC497" s="1627" t="s">
        <v>5151</v>
      </c>
      <c r="AE497" s="1632">
        <f t="shared" si="46"/>
        <v>11.791612903225806</v>
      </c>
      <c r="AF497" s="1639">
        <f t="shared" si="47"/>
        <v>4059.0802150537656</v>
      </c>
      <c r="AG497" s="1640" t="str">
        <f t="shared" si="42"/>
        <v>|</v>
      </c>
      <c r="AI497" s="1627" t="s">
        <v>1095</v>
      </c>
    </row>
    <row r="498" spans="1:35" ht="36" customHeight="1">
      <c r="F498" s="1627" t="s">
        <v>150</v>
      </c>
      <c r="W498" s="1634"/>
      <c r="AF498" s="1639">
        <f>AF497+AE497</f>
        <v>4070.8718279569916</v>
      </c>
      <c r="AG498" s="1640" t="str">
        <f t="shared" si="42"/>
        <v>|</v>
      </c>
      <c r="AI498" s="1627" t="s">
        <v>1095</v>
      </c>
    </row>
    <row r="499" spans="1:35" ht="24" customHeight="1">
      <c r="A499" s="1647">
        <f>(A497+1)</f>
        <v>324</v>
      </c>
      <c r="B499" s="1627" t="s">
        <v>1124</v>
      </c>
      <c r="C499" s="1640">
        <v>28.6</v>
      </c>
      <c r="D499" s="1627" t="s">
        <v>153</v>
      </c>
      <c r="K499" s="1636" t="s">
        <v>156</v>
      </c>
      <c r="M499" s="1640">
        <v>30</v>
      </c>
      <c r="N499" s="1627" t="s">
        <v>552</v>
      </c>
      <c r="O499" s="1627" t="s">
        <v>1125</v>
      </c>
      <c r="P499" s="1640">
        <f>(C42)</f>
        <v>5</v>
      </c>
      <c r="Q499" s="1627" t="s">
        <v>552</v>
      </c>
      <c r="R499" s="1640">
        <f>(M499*P499)</f>
        <v>150</v>
      </c>
      <c r="W499" s="1634"/>
      <c r="AG499" s="1640" t="str">
        <f t="shared" si="42"/>
        <v>|</v>
      </c>
      <c r="AI499" s="1627" t="s">
        <v>1095</v>
      </c>
    </row>
    <row r="500" spans="1:35" ht="24" customHeight="1">
      <c r="A500" s="1647">
        <f t="shared" ref="A500:A562" si="48">(A499+1)</f>
        <v>325</v>
      </c>
      <c r="B500" s="1627" t="s">
        <v>1126</v>
      </c>
      <c r="C500" s="1640">
        <v>56.74</v>
      </c>
      <c r="D500" s="1627" t="s">
        <v>153</v>
      </c>
      <c r="F500" s="1628"/>
      <c r="G500" s="1638" t="s">
        <v>249</v>
      </c>
      <c r="H500" s="1627" t="s">
        <v>1127</v>
      </c>
      <c r="M500" s="1627" t="s">
        <v>150</v>
      </c>
      <c r="O500" s="1627" t="s">
        <v>1128</v>
      </c>
      <c r="P500" s="1627" t="s">
        <v>150</v>
      </c>
      <c r="R500" s="1627" t="s">
        <v>150</v>
      </c>
      <c r="W500" s="1634"/>
      <c r="AG500" s="1640" t="str">
        <f t="shared" si="42"/>
        <v>|</v>
      </c>
      <c r="AI500" s="1627" t="s">
        <v>1095</v>
      </c>
    </row>
    <row r="501" spans="1:35" ht="24" customHeight="1">
      <c r="A501" s="1647">
        <f t="shared" si="48"/>
        <v>326</v>
      </c>
      <c r="B501" s="1627" t="s">
        <v>1129</v>
      </c>
      <c r="C501" s="1640">
        <v>56.74</v>
      </c>
      <c r="D501" s="1627" t="s">
        <v>153</v>
      </c>
      <c r="H501" s="1627" t="s">
        <v>920</v>
      </c>
      <c r="M501" s="1640">
        <v>8</v>
      </c>
      <c r="N501" s="1627" t="s">
        <v>153</v>
      </c>
      <c r="O501" s="1627" t="s">
        <v>1069</v>
      </c>
      <c r="P501" s="1640">
        <f>(C43)</f>
        <v>8.9</v>
      </c>
      <c r="Q501" s="1627" t="s">
        <v>153</v>
      </c>
      <c r="R501" s="1640">
        <f t="shared" ref="R501:R506" si="49">(M501*P501)</f>
        <v>71.2</v>
      </c>
      <c r="W501" s="1634"/>
      <c r="AG501" s="1640" t="str">
        <f t="shared" si="42"/>
        <v>|</v>
      </c>
      <c r="AI501" s="1627" t="s">
        <v>1095</v>
      </c>
    </row>
    <row r="502" spans="1:35" ht="45.75" customHeight="1">
      <c r="A502" s="1647">
        <f t="shared" si="48"/>
        <v>327</v>
      </c>
      <c r="B502" s="1631" t="s">
        <v>5597</v>
      </c>
      <c r="D502" s="1627" t="s">
        <v>150</v>
      </c>
      <c r="H502" s="1636" t="s">
        <v>21</v>
      </c>
      <c r="M502" s="1640">
        <v>8</v>
      </c>
      <c r="N502" s="1627" t="s">
        <v>153</v>
      </c>
      <c r="O502" s="1627" t="s">
        <v>1072</v>
      </c>
      <c r="P502" s="1640">
        <f>(C50)</f>
        <v>12.65</v>
      </c>
      <c r="Q502" s="1627" t="s">
        <v>153</v>
      </c>
      <c r="R502" s="1640">
        <f t="shared" si="49"/>
        <v>101.2</v>
      </c>
      <c r="W502" s="1634"/>
      <c r="AG502" s="1640" t="str">
        <f t="shared" si="42"/>
        <v>|</v>
      </c>
      <c r="AI502" s="1627" t="s">
        <v>1095</v>
      </c>
    </row>
    <row r="503" spans="1:35" ht="24" customHeight="1">
      <c r="A503" s="1647">
        <f t="shared" si="48"/>
        <v>328</v>
      </c>
      <c r="B503" s="1627" t="s">
        <v>1131</v>
      </c>
      <c r="C503" s="1640">
        <v>69.8</v>
      </c>
      <c r="D503" s="1627" t="s">
        <v>153</v>
      </c>
      <c r="F503" s="1640">
        <v>9</v>
      </c>
      <c r="G503" s="1638" t="s">
        <v>151</v>
      </c>
      <c r="H503" s="1627" t="s">
        <v>1132</v>
      </c>
      <c r="I503" s="1640">
        <f>(C70)</f>
        <v>1742.0500000000002</v>
      </c>
      <c r="J503" s="1627" t="s">
        <v>151</v>
      </c>
      <c r="K503" s="1640">
        <f t="shared" ref="K503:K508" si="50">(F503*I503)</f>
        <v>15678.45</v>
      </c>
      <c r="M503" s="1640">
        <v>3</v>
      </c>
      <c r="N503" s="1627" t="s">
        <v>153</v>
      </c>
      <c r="O503" s="1627" t="s">
        <v>1133</v>
      </c>
      <c r="P503" s="1640">
        <f>(C41)</f>
        <v>979.99999999999989</v>
      </c>
      <c r="Q503" s="1627" t="s">
        <v>153</v>
      </c>
      <c r="R503" s="1640">
        <f t="shared" si="49"/>
        <v>2939.9999999999995</v>
      </c>
      <c r="W503" s="1634"/>
      <c r="AG503" s="1640" t="str">
        <f t="shared" si="42"/>
        <v>|</v>
      </c>
      <c r="AI503" s="1627" t="s">
        <v>1095</v>
      </c>
    </row>
    <row r="504" spans="1:35" ht="24" customHeight="1">
      <c r="A504" s="1647">
        <f t="shared" si="48"/>
        <v>329</v>
      </c>
      <c r="B504" s="1627" t="s">
        <v>1123</v>
      </c>
      <c r="C504" s="1640">
        <v>15.6</v>
      </c>
      <c r="D504" s="1627" t="s">
        <v>153</v>
      </c>
      <c r="F504" s="1658">
        <v>3.2309999999999999</v>
      </c>
      <c r="G504" s="1638" t="s">
        <v>251</v>
      </c>
      <c r="H504" s="1627" t="s">
        <v>252</v>
      </c>
      <c r="I504" s="1640">
        <f>(C67)</f>
        <v>6040</v>
      </c>
      <c r="J504" s="1627" t="s">
        <v>251</v>
      </c>
      <c r="K504" s="1640">
        <f t="shared" si="50"/>
        <v>19515.239999999998</v>
      </c>
      <c r="M504" s="1640">
        <v>1</v>
      </c>
      <c r="N504" s="1627" t="s">
        <v>153</v>
      </c>
      <c r="O504" s="1627" t="s">
        <v>1134</v>
      </c>
      <c r="P504" s="1640">
        <f>(C10)</f>
        <v>1325.8</v>
      </c>
      <c r="Q504" s="1627" t="s">
        <v>153</v>
      </c>
      <c r="R504" s="1640">
        <f t="shared" si="49"/>
        <v>1325.8</v>
      </c>
      <c r="W504" s="1634"/>
      <c r="AG504" s="1640" t="str">
        <f t="shared" si="42"/>
        <v>|</v>
      </c>
      <c r="AI504" s="1627" t="s">
        <v>1095</v>
      </c>
    </row>
    <row r="505" spans="1:35" ht="24" customHeight="1">
      <c r="A505" s="1647">
        <f t="shared" si="48"/>
        <v>330</v>
      </c>
      <c r="B505" s="1627" t="s">
        <v>1135</v>
      </c>
      <c r="C505" s="1640">
        <v>75.3</v>
      </c>
      <c r="D505" s="1627" t="s">
        <v>153</v>
      </c>
      <c r="F505" s="1640">
        <v>4.5</v>
      </c>
      <c r="G505" s="1638" t="s">
        <v>151</v>
      </c>
      <c r="H505" s="1627" t="s">
        <v>253</v>
      </c>
      <c r="I505" s="1640">
        <f>(C78)</f>
        <v>2265.5</v>
      </c>
      <c r="J505" s="1627" t="s">
        <v>151</v>
      </c>
      <c r="K505" s="1640">
        <f t="shared" si="50"/>
        <v>10194.75</v>
      </c>
      <c r="M505" s="1640">
        <v>2</v>
      </c>
      <c r="N505" s="1627" t="s">
        <v>153</v>
      </c>
      <c r="O505" s="1627" t="s">
        <v>235</v>
      </c>
      <c r="P505" s="1640">
        <f>(C12)</f>
        <v>865.19999999999993</v>
      </c>
      <c r="Q505" s="1627" t="s">
        <v>153</v>
      </c>
      <c r="R505" s="1640">
        <f t="shared" si="49"/>
        <v>1730.3999999999999</v>
      </c>
      <c r="W505" s="1634"/>
      <c r="AG505" s="1640" t="str">
        <f t="shared" si="42"/>
        <v>|</v>
      </c>
      <c r="AI505" s="1627" t="s">
        <v>1095</v>
      </c>
    </row>
    <row r="506" spans="1:35" ht="24" customHeight="1">
      <c r="A506" s="1647">
        <f t="shared" si="48"/>
        <v>331</v>
      </c>
      <c r="B506" s="1627" t="s">
        <v>1126</v>
      </c>
      <c r="C506" s="1640">
        <v>100.3</v>
      </c>
      <c r="D506" s="1627" t="s">
        <v>153</v>
      </c>
      <c r="F506" s="1640">
        <v>3.5</v>
      </c>
      <c r="G506" s="1638" t="s">
        <v>153</v>
      </c>
      <c r="H506" s="1627" t="s">
        <v>234</v>
      </c>
      <c r="I506" s="1640">
        <f>(C11)</f>
        <v>1237.5999999999999</v>
      </c>
      <c r="J506" s="1627" t="s">
        <v>153</v>
      </c>
      <c r="K506" s="1640">
        <f t="shared" si="50"/>
        <v>4331.5999999999995</v>
      </c>
      <c r="M506" s="1640">
        <v>1</v>
      </c>
      <c r="N506" s="1627" t="s">
        <v>153</v>
      </c>
      <c r="O506" s="1627" t="s">
        <v>236</v>
      </c>
      <c r="P506" s="1640">
        <f>(C13)</f>
        <v>709.8</v>
      </c>
      <c r="Q506" s="1627" t="s">
        <v>153</v>
      </c>
      <c r="R506" s="1640">
        <f t="shared" si="49"/>
        <v>709.8</v>
      </c>
      <c r="W506" s="1634"/>
      <c r="AG506" s="1640" t="str">
        <f t="shared" si="42"/>
        <v>|</v>
      </c>
      <c r="AI506" s="1627" t="s">
        <v>1095</v>
      </c>
    </row>
    <row r="507" spans="1:35" ht="24" customHeight="1">
      <c r="A507" s="1647">
        <f t="shared" si="48"/>
        <v>332</v>
      </c>
      <c r="B507" s="1627" t="s">
        <v>1129</v>
      </c>
      <c r="C507" s="1640">
        <v>100.3</v>
      </c>
      <c r="D507" s="1627" t="s">
        <v>153</v>
      </c>
      <c r="F507" s="1640">
        <v>21.2</v>
      </c>
      <c r="G507" s="1638" t="s">
        <v>153</v>
      </c>
      <c r="H507" s="1627" t="s">
        <v>235</v>
      </c>
      <c r="I507" s="1640">
        <f>(C12)</f>
        <v>865.19999999999993</v>
      </c>
      <c r="J507" s="1627" t="s">
        <v>153</v>
      </c>
      <c r="K507" s="1640">
        <f t="shared" si="50"/>
        <v>18342.239999999998</v>
      </c>
      <c r="N507" s="1627" t="s">
        <v>226</v>
      </c>
      <c r="O507" s="1627" t="s">
        <v>1136</v>
      </c>
      <c r="P507" s="1627" t="s">
        <v>150</v>
      </c>
      <c r="Q507" s="1627" t="s">
        <v>226</v>
      </c>
      <c r="R507" s="1640">
        <f>(C56)</f>
        <v>12.1</v>
      </c>
      <c r="W507" s="1634"/>
      <c r="AG507" s="1640" t="str">
        <f t="shared" si="42"/>
        <v>|</v>
      </c>
      <c r="AI507" s="1627" t="s">
        <v>1095</v>
      </c>
    </row>
    <row r="508" spans="1:35" ht="24" customHeight="1">
      <c r="A508" s="1647">
        <f t="shared" si="48"/>
        <v>333</v>
      </c>
      <c r="B508" s="1631" t="s">
        <v>5598</v>
      </c>
      <c r="D508" s="1627" t="s">
        <v>150</v>
      </c>
      <c r="F508" s="1640">
        <v>35.299999999999997</v>
      </c>
      <c r="G508" s="1638" t="s">
        <v>153</v>
      </c>
      <c r="H508" s="1627" t="s">
        <v>236</v>
      </c>
      <c r="I508" s="1640">
        <f>(C13)</f>
        <v>709.8</v>
      </c>
      <c r="J508" s="1627" t="s">
        <v>153</v>
      </c>
      <c r="K508" s="1640">
        <f t="shared" si="50"/>
        <v>25055.939999999995</v>
      </c>
      <c r="O508" s="1627" t="s">
        <v>1138</v>
      </c>
      <c r="P508" s="1627" t="s">
        <v>150</v>
      </c>
      <c r="R508" s="1627" t="s">
        <v>150</v>
      </c>
      <c r="W508" s="1634"/>
      <c r="AG508" s="1640" t="str">
        <f t="shared" si="42"/>
        <v>|</v>
      </c>
      <c r="AI508" s="1627" t="s">
        <v>1095</v>
      </c>
    </row>
    <row r="509" spans="1:35" ht="24" customHeight="1">
      <c r="A509" s="1647">
        <f t="shared" si="48"/>
        <v>334</v>
      </c>
      <c r="B509" s="1627" t="s">
        <v>1131</v>
      </c>
      <c r="C509" s="1640">
        <v>40.4</v>
      </c>
      <c r="D509" s="1627" t="s">
        <v>153</v>
      </c>
      <c r="G509" s="1638" t="s">
        <v>226</v>
      </c>
      <c r="H509" s="1627" t="s">
        <v>237</v>
      </c>
      <c r="I509" s="1627" t="s">
        <v>150</v>
      </c>
      <c r="J509" s="1627" t="s">
        <v>226</v>
      </c>
      <c r="K509" s="1640">
        <v>0</v>
      </c>
      <c r="N509" s="1627" t="s">
        <v>226</v>
      </c>
      <c r="O509" s="1627" t="s">
        <v>237</v>
      </c>
      <c r="Q509" s="1627" t="s">
        <v>226</v>
      </c>
      <c r="R509" s="1640">
        <v>0</v>
      </c>
      <c r="W509" s="1634"/>
      <c r="AG509" s="1640" t="str">
        <f t="shared" si="42"/>
        <v>|</v>
      </c>
      <c r="AI509" s="1627" t="s">
        <v>1095</v>
      </c>
    </row>
    <row r="510" spans="1:35" ht="24" customHeight="1">
      <c r="A510" s="1647">
        <f t="shared" si="48"/>
        <v>335</v>
      </c>
      <c r="B510" s="1627" t="s">
        <v>1123</v>
      </c>
      <c r="C510" s="1651">
        <v>47</v>
      </c>
      <c r="D510" s="1627" t="s">
        <v>153</v>
      </c>
      <c r="K510" s="1636" t="s">
        <v>21</v>
      </c>
      <c r="R510" s="1636" t="s">
        <v>21</v>
      </c>
      <c r="W510" s="1634"/>
      <c r="AG510" s="1640" t="str">
        <f t="shared" si="42"/>
        <v>|</v>
      </c>
      <c r="AI510" s="1627" t="s">
        <v>1095</v>
      </c>
    </row>
    <row r="511" spans="1:35" ht="24" customHeight="1">
      <c r="A511" s="1647">
        <f t="shared" si="48"/>
        <v>336</v>
      </c>
      <c r="B511" s="1627" t="s">
        <v>1135</v>
      </c>
      <c r="C511" s="1640">
        <v>52</v>
      </c>
      <c r="D511" s="1627" t="s">
        <v>153</v>
      </c>
      <c r="H511" s="1627" t="s">
        <v>935</v>
      </c>
      <c r="K511" s="1640">
        <f>SUM(K503:K509)</f>
        <v>93118.22</v>
      </c>
      <c r="O511" s="1627" t="s">
        <v>1139</v>
      </c>
      <c r="R511" s="1640">
        <f>SUM(R499:R509)</f>
        <v>7040.5</v>
      </c>
      <c r="W511" s="1634"/>
      <c r="AG511" s="1640" t="str">
        <f t="shared" si="42"/>
        <v>|</v>
      </c>
      <c r="AI511" s="1627" t="s">
        <v>1095</v>
      </c>
    </row>
    <row r="512" spans="1:35" ht="24" customHeight="1">
      <c r="A512" s="1647">
        <f t="shared" si="48"/>
        <v>337</v>
      </c>
      <c r="B512" s="1627" t="s">
        <v>1140</v>
      </c>
      <c r="C512" s="1640">
        <v>36.61</v>
      </c>
      <c r="D512" s="1627" t="s">
        <v>153</v>
      </c>
      <c r="K512" s="1636" t="s">
        <v>21</v>
      </c>
      <c r="R512" s="1636" t="s">
        <v>21</v>
      </c>
      <c r="W512" s="1634"/>
      <c r="AG512" s="1640" t="str">
        <f t="shared" si="42"/>
        <v>|</v>
      </c>
      <c r="AI512" s="1627" t="s">
        <v>1095</v>
      </c>
    </row>
    <row r="513" spans="1:39" ht="24" customHeight="1">
      <c r="A513" s="1647">
        <f t="shared" si="48"/>
        <v>338</v>
      </c>
      <c r="B513" s="1627" t="s">
        <v>1126</v>
      </c>
      <c r="C513" s="1640">
        <v>78.709999999999994</v>
      </c>
      <c r="D513" s="1627" t="s">
        <v>153</v>
      </c>
      <c r="H513" s="1627" t="s">
        <v>270</v>
      </c>
      <c r="K513" s="1640">
        <f>(K511/10)+0.01</f>
        <v>9311.8320000000003</v>
      </c>
      <c r="O513" s="1627" t="s">
        <v>562</v>
      </c>
      <c r="R513" s="1640">
        <f>(R511/30)</f>
        <v>234.68333333333334</v>
      </c>
      <c r="W513" s="1634"/>
      <c r="AG513" s="1640" t="str">
        <f t="shared" si="42"/>
        <v>|</v>
      </c>
      <c r="AI513" s="1627" t="s">
        <v>1095</v>
      </c>
    </row>
    <row r="514" spans="1:39" ht="24" customHeight="1">
      <c r="A514" s="1647">
        <f t="shared" si="48"/>
        <v>339</v>
      </c>
      <c r="B514" s="1627" t="s">
        <v>1129</v>
      </c>
      <c r="C514" s="1640">
        <v>78.709999999999994</v>
      </c>
      <c r="D514" s="1627" t="s">
        <v>153</v>
      </c>
      <c r="R514" s="1636" t="s">
        <v>21</v>
      </c>
      <c r="W514" s="1634"/>
      <c r="AG514" s="1640">
        <f t="shared" si="42"/>
        <v>0</v>
      </c>
    </row>
    <row r="515" spans="1:39" ht="24" customHeight="1">
      <c r="A515" s="1647">
        <f t="shared" si="48"/>
        <v>340</v>
      </c>
      <c r="B515" s="1627" t="s">
        <v>1141</v>
      </c>
      <c r="D515" s="1627" t="s">
        <v>1142</v>
      </c>
      <c r="F515" s="1640">
        <v>1</v>
      </c>
      <c r="G515" s="1638" t="s">
        <v>151</v>
      </c>
      <c r="H515" s="1627" t="s">
        <v>943</v>
      </c>
      <c r="K515" s="1640">
        <f>C25</f>
        <v>125.16</v>
      </c>
      <c r="N515" s="1627" t="s">
        <v>6</v>
      </c>
      <c r="O515" s="1628" t="s">
        <v>1143</v>
      </c>
      <c r="W515" s="1634"/>
      <c r="AG515" s="1640" t="str">
        <f t="shared" si="42"/>
        <v>|</v>
      </c>
      <c r="AI515" s="1627" t="s">
        <v>1095</v>
      </c>
    </row>
    <row r="516" spans="1:39" ht="24" customHeight="1">
      <c r="A516" s="1647">
        <f t="shared" si="48"/>
        <v>341</v>
      </c>
      <c r="B516" s="1627" t="s">
        <v>1144</v>
      </c>
      <c r="C516" s="1640">
        <v>20.55</v>
      </c>
      <c r="D516" s="1627" t="s">
        <v>552</v>
      </c>
      <c r="K516" s="1636" t="s">
        <v>21</v>
      </c>
      <c r="O516" s="1636" t="s">
        <v>21</v>
      </c>
      <c r="W516" s="1634"/>
      <c r="AG516" s="1640" t="str">
        <f t="shared" si="42"/>
        <v>|</v>
      </c>
      <c r="AI516" s="1627" t="s">
        <v>1095</v>
      </c>
    </row>
    <row r="517" spans="1:39" ht="24" customHeight="1">
      <c r="A517" s="1647">
        <f t="shared" si="48"/>
        <v>342</v>
      </c>
      <c r="B517" s="1627" t="s">
        <v>1145</v>
      </c>
      <c r="C517" s="1640">
        <v>26</v>
      </c>
      <c r="D517" s="1627" t="s">
        <v>552</v>
      </c>
      <c r="E517" s="1629">
        <v>98.6</v>
      </c>
      <c r="H517" s="1627" t="s">
        <v>1146</v>
      </c>
      <c r="K517" s="1640">
        <f>SUM(K513:K515)</f>
        <v>9436.9920000000002</v>
      </c>
      <c r="M517" s="1640">
        <v>30</v>
      </c>
      <c r="N517" s="1627" t="s">
        <v>552</v>
      </c>
      <c r="O517" s="1627" t="s">
        <v>1125</v>
      </c>
      <c r="P517" s="1640">
        <f>(C42)</f>
        <v>5</v>
      </c>
      <c r="Q517" s="1627" t="s">
        <v>552</v>
      </c>
      <c r="R517" s="1640">
        <f>(M517*P517)</f>
        <v>150</v>
      </c>
      <c r="W517" s="1634"/>
      <c r="AG517" s="1640" t="str">
        <f t="shared" si="42"/>
        <v>|</v>
      </c>
      <c r="AI517" s="1627" t="s">
        <v>1095</v>
      </c>
    </row>
    <row r="518" spans="1:39" ht="24" customHeight="1">
      <c r="A518" s="1647">
        <f t="shared" si="48"/>
        <v>343</v>
      </c>
      <c r="B518" s="1627" t="s">
        <v>1147</v>
      </c>
      <c r="C518" s="1640">
        <v>35</v>
      </c>
      <c r="D518" s="1627" t="s">
        <v>552</v>
      </c>
      <c r="K518" s="1636" t="s">
        <v>21</v>
      </c>
      <c r="M518" s="1627" t="s">
        <v>150</v>
      </c>
      <c r="O518" s="1627" t="s">
        <v>1128</v>
      </c>
      <c r="P518" s="1627" t="s">
        <v>150</v>
      </c>
      <c r="R518" s="1627" t="s">
        <v>150</v>
      </c>
      <c r="W518" s="1634"/>
      <c r="AG518" s="1640" t="str">
        <f t="shared" si="42"/>
        <v>|</v>
      </c>
      <c r="AI518" s="1627" t="s">
        <v>1095</v>
      </c>
    </row>
    <row r="519" spans="1:39" ht="24" customHeight="1">
      <c r="A519" s="1647">
        <f t="shared" si="48"/>
        <v>344</v>
      </c>
      <c r="B519" s="1627" t="s">
        <v>1148</v>
      </c>
      <c r="C519" s="1640">
        <v>52</v>
      </c>
      <c r="D519" s="1627" t="s">
        <v>552</v>
      </c>
      <c r="G519" s="1638" t="s">
        <v>1149</v>
      </c>
      <c r="H519" s="1627" t="s">
        <v>271</v>
      </c>
      <c r="K519" s="1640">
        <f>(K517+C22)</f>
        <v>9596.0320000000011</v>
      </c>
      <c r="L519" s="1629">
        <f>K519-K517</f>
        <v>159.04000000000087</v>
      </c>
      <c r="M519" s="1640">
        <v>8</v>
      </c>
      <c r="N519" s="1627" t="s">
        <v>153</v>
      </c>
      <c r="O519" s="1627" t="s">
        <v>1069</v>
      </c>
      <c r="P519" s="1640">
        <f>(C44)</f>
        <v>8.9</v>
      </c>
      <c r="Q519" s="1627" t="s">
        <v>153</v>
      </c>
      <c r="R519" s="1640">
        <f t="shared" ref="R519:R524" si="51">(M519*P519)</f>
        <v>71.2</v>
      </c>
      <c r="W519" s="1634"/>
      <c r="AG519" s="1640" t="str">
        <f t="shared" si="42"/>
        <v>|</v>
      </c>
      <c r="AI519" s="1627" t="s">
        <v>1095</v>
      </c>
    </row>
    <row r="520" spans="1:39" ht="24" customHeight="1">
      <c r="A520" s="1647">
        <f t="shared" si="48"/>
        <v>345</v>
      </c>
      <c r="B520" s="1627" t="s">
        <v>1150</v>
      </c>
      <c r="C520" s="1640">
        <v>65</v>
      </c>
      <c r="D520" s="1640">
        <v>21</v>
      </c>
      <c r="G520" s="1638" t="s">
        <v>1151</v>
      </c>
      <c r="H520" s="1627" t="s">
        <v>272</v>
      </c>
      <c r="K520" s="1640">
        <f>(K519+C23)</f>
        <v>9909.3520000000008</v>
      </c>
      <c r="M520" s="1640">
        <v>8</v>
      </c>
      <c r="N520" s="1627" t="s">
        <v>153</v>
      </c>
      <c r="O520" s="1627" t="s">
        <v>1072</v>
      </c>
      <c r="P520" s="1640">
        <f>(C51)</f>
        <v>12.85</v>
      </c>
      <c r="Q520" s="1627" t="s">
        <v>153</v>
      </c>
      <c r="R520" s="1640">
        <f t="shared" si="51"/>
        <v>102.8</v>
      </c>
      <c r="W520" s="1634"/>
      <c r="AG520" s="1640" t="str">
        <f t="shared" si="42"/>
        <v>|</v>
      </c>
      <c r="AI520" s="1627" t="s">
        <v>1095</v>
      </c>
    </row>
    <row r="521" spans="1:39" ht="24" customHeight="1">
      <c r="A521" s="1647">
        <f t="shared" si="48"/>
        <v>346</v>
      </c>
      <c r="B521" s="1627" t="s">
        <v>1152</v>
      </c>
      <c r="C521" s="1640">
        <v>82</v>
      </c>
      <c r="D521" s="1640">
        <v>37.15</v>
      </c>
      <c r="G521" s="1638" t="s">
        <v>1153</v>
      </c>
      <c r="H521" s="1627" t="s">
        <v>767</v>
      </c>
      <c r="K521" s="1640">
        <f>(K520+C24)</f>
        <v>10222.672</v>
      </c>
      <c r="M521" s="1640">
        <v>3</v>
      </c>
      <c r="N521" s="1627" t="s">
        <v>153</v>
      </c>
      <c r="O521" s="1627" t="s">
        <v>1133</v>
      </c>
      <c r="P521" s="1640">
        <f>(C41)</f>
        <v>979.99999999999989</v>
      </c>
      <c r="Q521" s="1627" t="s">
        <v>153</v>
      </c>
      <c r="R521" s="1640">
        <f t="shared" si="51"/>
        <v>2939.9999999999995</v>
      </c>
      <c r="W521" s="1634"/>
      <c r="AG521" s="1640" t="str">
        <f t="shared" si="42"/>
        <v>|</v>
      </c>
      <c r="AI521" s="1627" t="s">
        <v>1095</v>
      </c>
    </row>
    <row r="522" spans="1:39" ht="24" customHeight="1">
      <c r="A522" s="1647">
        <f t="shared" si="48"/>
        <v>347</v>
      </c>
      <c r="B522" s="1627" t="s">
        <v>1154</v>
      </c>
      <c r="D522" s="1627" t="s">
        <v>150</v>
      </c>
      <c r="G522" s="1638" t="s">
        <v>1155</v>
      </c>
      <c r="H522" s="1627" t="s">
        <v>769</v>
      </c>
      <c r="K522" s="1640">
        <f>(K521+C24)</f>
        <v>10535.992</v>
      </c>
      <c r="M522" s="1640">
        <v>1</v>
      </c>
      <c r="N522" s="1627" t="s">
        <v>153</v>
      </c>
      <c r="O522" s="1627" t="s">
        <v>1134</v>
      </c>
      <c r="P522" s="1640">
        <f>(C10)</f>
        <v>1325.8</v>
      </c>
      <c r="Q522" s="1627" t="s">
        <v>153</v>
      </c>
      <c r="R522" s="1640">
        <f t="shared" si="51"/>
        <v>1325.8</v>
      </c>
      <c r="W522" s="1634"/>
      <c r="AG522" s="1640" t="str">
        <f t="shared" si="42"/>
        <v>|::</v>
      </c>
      <c r="AI522" s="1627" t="s">
        <v>892</v>
      </c>
    </row>
    <row r="523" spans="1:39" ht="24" customHeight="1">
      <c r="A523" s="1647">
        <f t="shared" si="48"/>
        <v>348</v>
      </c>
      <c r="B523" s="1627" t="s">
        <v>1033</v>
      </c>
      <c r="C523" s="1640">
        <v>4.1900000000000004</v>
      </c>
      <c r="D523" s="1627" t="s">
        <v>153</v>
      </c>
      <c r="M523" s="1640">
        <v>2</v>
      </c>
      <c r="N523" s="1627" t="s">
        <v>153</v>
      </c>
      <c r="O523" s="1627" t="s">
        <v>235</v>
      </c>
      <c r="P523" s="1640">
        <f>(C12)</f>
        <v>865.19999999999993</v>
      </c>
      <c r="Q523" s="1627" t="s">
        <v>153</v>
      </c>
      <c r="R523" s="1640">
        <f t="shared" si="51"/>
        <v>1730.3999999999999</v>
      </c>
      <c r="W523" s="1634"/>
      <c r="AG523" s="1640">
        <f t="shared" si="42"/>
        <v>0</v>
      </c>
    </row>
    <row r="524" spans="1:39" ht="24" customHeight="1">
      <c r="A524" s="1647">
        <f t="shared" si="48"/>
        <v>349</v>
      </c>
      <c r="B524" s="1627" t="s">
        <v>1026</v>
      </c>
      <c r="C524" s="1640">
        <v>5</v>
      </c>
      <c r="D524" s="1627" t="s">
        <v>153</v>
      </c>
      <c r="F524" s="1628" t="s">
        <v>1156</v>
      </c>
      <c r="G524" s="1638" t="s">
        <v>249</v>
      </c>
      <c r="H524" s="1627" t="s">
        <v>1157</v>
      </c>
      <c r="M524" s="1640">
        <v>1</v>
      </c>
      <c r="N524" s="1627" t="s">
        <v>153</v>
      </c>
      <c r="O524" s="1627" t="s">
        <v>236</v>
      </c>
      <c r="P524" s="1640">
        <f>(C13)</f>
        <v>709.8</v>
      </c>
      <c r="Q524" s="1627" t="s">
        <v>153</v>
      </c>
      <c r="R524" s="1640">
        <f t="shared" si="51"/>
        <v>709.8</v>
      </c>
      <c r="W524" s="1634"/>
      <c r="AG524" s="1640">
        <f t="shared" si="42"/>
        <v>0</v>
      </c>
    </row>
    <row r="525" spans="1:39" ht="24" customHeight="1">
      <c r="A525" s="1647">
        <f t="shared" si="48"/>
        <v>350</v>
      </c>
      <c r="B525" s="1627" t="s">
        <v>1028</v>
      </c>
      <c r="C525" s="1640">
        <v>8.06</v>
      </c>
      <c r="D525" s="1627" t="s">
        <v>153</v>
      </c>
      <c r="H525" s="1636" t="s">
        <v>21</v>
      </c>
      <c r="N525" s="1627" t="s">
        <v>226</v>
      </c>
      <c r="O525" s="1627" t="s">
        <v>1136</v>
      </c>
      <c r="P525" s="1627" t="s">
        <v>150</v>
      </c>
      <c r="Q525" s="1627" t="s">
        <v>226</v>
      </c>
      <c r="R525" s="1640">
        <f>(C56)</f>
        <v>12.1</v>
      </c>
      <c r="U525" s="1661" t="s">
        <v>1158</v>
      </c>
      <c r="W525" s="1634"/>
      <c r="AC525" s="1661" t="s">
        <v>1159</v>
      </c>
      <c r="AG525" s="1640">
        <f t="shared" ref="AG525:AG596" si="52">AI525</f>
        <v>0</v>
      </c>
      <c r="AJ525" s="1661" t="s">
        <v>5599</v>
      </c>
    </row>
    <row r="526" spans="1:39" ht="24" customHeight="1">
      <c r="A526" s="1647">
        <f t="shared" si="48"/>
        <v>351</v>
      </c>
      <c r="B526" s="1627" t="s">
        <v>1029</v>
      </c>
      <c r="C526" s="1640">
        <v>11.86</v>
      </c>
      <c r="D526" s="1627" t="s">
        <v>153</v>
      </c>
      <c r="F526" s="1658">
        <v>1.4999999999999999E-2</v>
      </c>
      <c r="G526" s="1638" t="s">
        <v>151</v>
      </c>
      <c r="H526" s="1627" t="s">
        <v>1160</v>
      </c>
      <c r="I526" s="1640">
        <f>(K513)</f>
        <v>9311.8320000000003</v>
      </c>
      <c r="J526" s="1627" t="s">
        <v>151</v>
      </c>
      <c r="K526" s="1640">
        <f>(F526*I526)</f>
        <v>139.67748</v>
      </c>
      <c r="O526" s="1627" t="s">
        <v>1138</v>
      </c>
      <c r="P526" s="1627" t="s">
        <v>150</v>
      </c>
      <c r="R526" s="1627" t="s">
        <v>150</v>
      </c>
      <c r="S526" s="1628" t="s">
        <v>1156</v>
      </c>
      <c r="T526" s="1638" t="s">
        <v>249</v>
      </c>
      <c r="U526" s="1627" t="s">
        <v>5600</v>
      </c>
      <c r="W526" s="1634"/>
      <c r="Z526" s="1628" t="s">
        <v>1156</v>
      </c>
      <c r="AA526" s="1638" t="s">
        <v>249</v>
      </c>
      <c r="AB526" s="1638"/>
      <c r="AC526" s="1627" t="s">
        <v>5601</v>
      </c>
      <c r="AE526" s="1632"/>
      <c r="AG526" s="1640" t="str">
        <f t="shared" si="52"/>
        <v>*</v>
      </c>
      <c r="AH526" s="1628" t="s">
        <v>1156</v>
      </c>
      <c r="AI526" s="1638" t="s">
        <v>249</v>
      </c>
      <c r="AJ526" s="1627" t="s">
        <v>5602</v>
      </c>
      <c r="AL526" s="1632"/>
    </row>
    <row r="527" spans="1:39" ht="24" customHeight="1">
      <c r="A527" s="1647">
        <f t="shared" si="48"/>
        <v>352</v>
      </c>
      <c r="B527" s="1627" t="s">
        <v>1030</v>
      </c>
      <c r="C527" s="1640">
        <v>18.88</v>
      </c>
      <c r="D527" s="1627" t="s">
        <v>153</v>
      </c>
      <c r="F527" s="1640">
        <v>0.5</v>
      </c>
      <c r="G527" s="1638" t="s">
        <v>4</v>
      </c>
      <c r="H527" s="1627" t="s">
        <v>269</v>
      </c>
      <c r="I527" s="1640">
        <f>(C10)</f>
        <v>1325.8</v>
      </c>
      <c r="J527" s="1627" t="s">
        <v>4</v>
      </c>
      <c r="K527" s="1640">
        <f>(F527*I527)</f>
        <v>662.9</v>
      </c>
      <c r="N527" s="1627" t="s">
        <v>226</v>
      </c>
      <c r="O527" s="1627" t="s">
        <v>237</v>
      </c>
      <c r="Q527" s="1627" t="s">
        <v>226</v>
      </c>
      <c r="R527" s="1640">
        <v>0</v>
      </c>
      <c r="S527" s="1629"/>
      <c r="T527" s="1630"/>
      <c r="U527" s="1636" t="s">
        <v>21</v>
      </c>
      <c r="W527" s="1634"/>
      <c r="AA527" s="1630"/>
      <c r="AB527" s="1630"/>
      <c r="AC527" s="1636" t="s">
        <v>21</v>
      </c>
      <c r="AE527" s="1632"/>
      <c r="AG527" s="1640">
        <f t="shared" si="52"/>
        <v>0</v>
      </c>
      <c r="AI527" s="1630"/>
      <c r="AJ527" s="1636" t="s">
        <v>21</v>
      </c>
      <c r="AL527" s="1632"/>
    </row>
    <row r="528" spans="1:39" ht="24" customHeight="1">
      <c r="A528" s="1647">
        <f t="shared" si="48"/>
        <v>353</v>
      </c>
      <c r="B528" s="1627" t="s">
        <v>979</v>
      </c>
      <c r="C528" s="1640">
        <v>26</v>
      </c>
      <c r="D528" s="1627" t="s">
        <v>153</v>
      </c>
      <c r="F528" s="1640">
        <v>0.75</v>
      </c>
      <c r="G528" s="1638" t="s">
        <v>4</v>
      </c>
      <c r="H528" s="1627" t="s">
        <v>235</v>
      </c>
      <c r="I528" s="1640">
        <f>(C12)</f>
        <v>865.19999999999993</v>
      </c>
      <c r="J528" s="1627" t="s">
        <v>4</v>
      </c>
      <c r="K528" s="1640">
        <f>(F528*I528)</f>
        <v>648.9</v>
      </c>
      <c r="R528" s="1636" t="s">
        <v>21</v>
      </c>
      <c r="S528" s="1658">
        <v>1.4999999999999999E-2</v>
      </c>
      <c r="T528" s="1638" t="s">
        <v>151</v>
      </c>
      <c r="U528" s="1627" t="s">
        <v>1160</v>
      </c>
      <c r="V528" s="1640">
        <f>X657</f>
        <v>9398.0504700000001</v>
      </c>
      <c r="W528" s="1628" t="s">
        <v>151</v>
      </c>
      <c r="X528" s="1640">
        <f>(S528*V528)</f>
        <v>140.97075705</v>
      </c>
      <c r="Y528" s="1640"/>
      <c r="Z528" s="1658">
        <v>1.4999999999999999E-2</v>
      </c>
      <c r="AA528" s="1638" t="s">
        <v>151</v>
      </c>
      <c r="AB528" s="1638"/>
      <c r="AC528" s="1627" t="s">
        <v>1160</v>
      </c>
      <c r="AD528" s="1640">
        <f>AH657</f>
        <v>9942.3182700000016</v>
      </c>
      <c r="AE528" s="1627" t="s">
        <v>151</v>
      </c>
      <c r="AF528" s="1640">
        <f>(Z528*AD528)</f>
        <v>149.13477405</v>
      </c>
      <c r="AG528" s="1640" t="str">
        <f t="shared" si="52"/>
        <v>CUM</v>
      </c>
      <c r="AH528" s="1658">
        <v>1.4999999999999999E-2</v>
      </c>
      <c r="AI528" s="1638" t="s">
        <v>151</v>
      </c>
      <c r="AJ528" s="1627" t="s">
        <v>1160</v>
      </c>
      <c r="AK528" s="1640">
        <f>Z742</f>
        <v>10079.823475499999</v>
      </c>
      <c r="AL528" s="1627" t="s">
        <v>151</v>
      </c>
      <c r="AM528" s="1640">
        <f>(AH528*AK528)</f>
        <v>151.19735213249999</v>
      </c>
    </row>
    <row r="529" spans="1:39" ht="24" customHeight="1">
      <c r="A529" s="1647">
        <f t="shared" si="48"/>
        <v>354</v>
      </c>
      <c r="B529" s="1627" t="s">
        <v>1163</v>
      </c>
      <c r="D529" s="1627" t="s">
        <v>150</v>
      </c>
      <c r="G529" s="1638" t="s">
        <v>226</v>
      </c>
      <c r="H529" s="1627" t="s">
        <v>237</v>
      </c>
      <c r="J529" s="1627" t="s">
        <v>226</v>
      </c>
      <c r="K529" s="1640">
        <v>0</v>
      </c>
      <c r="O529" s="1627" t="s">
        <v>1139</v>
      </c>
      <c r="R529" s="1640">
        <f>SUM(R517:R527)</f>
        <v>7042.0999999999995</v>
      </c>
      <c r="S529" s="1640">
        <v>0.5</v>
      </c>
      <c r="T529" s="1638" t="s">
        <v>4</v>
      </c>
      <c r="U529" s="1627" t="s">
        <v>269</v>
      </c>
      <c r="V529" s="1640">
        <f>C10</f>
        <v>1325.8</v>
      </c>
      <c r="W529" s="1628" t="s">
        <v>4</v>
      </c>
      <c r="X529" s="1640">
        <f>(S529*V529)</f>
        <v>662.9</v>
      </c>
      <c r="Y529" s="1640"/>
      <c r="Z529" s="1640">
        <v>0.5</v>
      </c>
      <c r="AA529" s="1638" t="s">
        <v>4</v>
      </c>
      <c r="AB529" s="1638"/>
      <c r="AC529" s="1627" t="s">
        <v>269</v>
      </c>
      <c r="AD529" s="1640">
        <f>V529</f>
        <v>1325.8</v>
      </c>
      <c r="AE529" s="1627" t="s">
        <v>4</v>
      </c>
      <c r="AF529" s="1640">
        <f>(Z529*AD529)</f>
        <v>662.9</v>
      </c>
      <c r="AG529" s="1640" t="str">
        <f t="shared" si="52"/>
        <v>NO</v>
      </c>
      <c r="AH529" s="1640">
        <v>0.5</v>
      </c>
      <c r="AI529" s="1638" t="s">
        <v>4</v>
      </c>
      <c r="AJ529" s="1627" t="s">
        <v>269</v>
      </c>
      <c r="AK529" s="1640">
        <f>AD529</f>
        <v>1325.8</v>
      </c>
      <c r="AL529" s="1627" t="s">
        <v>4</v>
      </c>
      <c r="AM529" s="1640">
        <f>(AH529*AK529)</f>
        <v>662.9</v>
      </c>
    </row>
    <row r="530" spans="1:39" ht="24" customHeight="1">
      <c r="A530" s="1647">
        <f t="shared" si="48"/>
        <v>355</v>
      </c>
      <c r="B530" s="1627" t="s">
        <v>1033</v>
      </c>
      <c r="C530" s="1640">
        <v>4.62</v>
      </c>
      <c r="D530" s="1627" t="s">
        <v>153</v>
      </c>
      <c r="K530" s="1636" t="s">
        <v>21</v>
      </c>
      <c r="R530" s="1636" t="s">
        <v>21</v>
      </c>
      <c r="S530" s="1640">
        <v>0.75</v>
      </c>
      <c r="T530" s="1638" t="s">
        <v>4</v>
      </c>
      <c r="U530" s="1627" t="s">
        <v>235</v>
      </c>
      <c r="V530" s="1640">
        <f>C12</f>
        <v>865.19999999999993</v>
      </c>
      <c r="W530" s="1628" t="s">
        <v>4</v>
      </c>
      <c r="X530" s="1640">
        <f>(S530*V530)</f>
        <v>648.9</v>
      </c>
      <c r="Y530" s="1640"/>
      <c r="Z530" s="1640">
        <v>0.75</v>
      </c>
      <c r="AA530" s="1638" t="s">
        <v>4</v>
      </c>
      <c r="AB530" s="1638"/>
      <c r="AC530" s="1627" t="s">
        <v>235</v>
      </c>
      <c r="AD530" s="1640">
        <f>V530</f>
        <v>865.19999999999993</v>
      </c>
      <c r="AE530" s="1627" t="s">
        <v>4</v>
      </c>
      <c r="AF530" s="1640">
        <f>(Z530*AD530)</f>
        <v>648.9</v>
      </c>
      <c r="AG530" s="1640" t="str">
        <f t="shared" si="52"/>
        <v>NO</v>
      </c>
      <c r="AH530" s="1640">
        <v>0.75</v>
      </c>
      <c r="AI530" s="1638" t="s">
        <v>4</v>
      </c>
      <c r="AJ530" s="1627" t="s">
        <v>235</v>
      </c>
      <c r="AK530" s="1640">
        <f>AD530</f>
        <v>865.19999999999993</v>
      </c>
      <c r="AL530" s="1627" t="s">
        <v>4</v>
      </c>
      <c r="AM530" s="1640">
        <f>(AH530*AK530)</f>
        <v>648.9</v>
      </c>
    </row>
    <row r="531" spans="1:39" ht="24" customHeight="1">
      <c r="A531" s="1647">
        <f t="shared" si="48"/>
        <v>356</v>
      </c>
      <c r="B531" s="1627" t="s">
        <v>1026</v>
      </c>
      <c r="C531" s="1640">
        <v>7.83</v>
      </c>
      <c r="D531" s="1627" t="s">
        <v>153</v>
      </c>
      <c r="H531" s="1627" t="s">
        <v>548</v>
      </c>
      <c r="K531" s="1640">
        <f>SUM(K526:K529)</f>
        <v>1451.47748</v>
      </c>
      <c r="O531" s="1627" t="s">
        <v>562</v>
      </c>
      <c r="R531" s="1640">
        <f>(R529/30)</f>
        <v>234.73666666666665</v>
      </c>
      <c r="S531" s="1629"/>
      <c r="T531" s="1638" t="s">
        <v>226</v>
      </c>
      <c r="U531" s="1627" t="s">
        <v>237</v>
      </c>
      <c r="W531" s="1628" t="s">
        <v>226</v>
      </c>
      <c r="X531" s="1640">
        <v>0</v>
      </c>
      <c r="Y531" s="1640"/>
      <c r="AA531" s="1638" t="s">
        <v>226</v>
      </c>
      <c r="AB531" s="1638"/>
      <c r="AC531" s="1627" t="s">
        <v>237</v>
      </c>
      <c r="AD531" s="1640">
        <f>V531</f>
        <v>0</v>
      </c>
      <c r="AE531" s="1627" t="s">
        <v>226</v>
      </c>
      <c r="AF531" s="1640">
        <v>0</v>
      </c>
      <c r="AG531" s="1640" t="str">
        <f t="shared" si="52"/>
        <v>L.S</v>
      </c>
      <c r="AI531" s="1638" t="s">
        <v>226</v>
      </c>
      <c r="AJ531" s="1627" t="s">
        <v>237</v>
      </c>
      <c r="AK531" s="1640">
        <f>AD531</f>
        <v>0</v>
      </c>
      <c r="AL531" s="1627" t="s">
        <v>226</v>
      </c>
      <c r="AM531" s="1640">
        <v>0</v>
      </c>
    </row>
    <row r="532" spans="1:39" ht="24" customHeight="1">
      <c r="A532" s="1647">
        <f t="shared" si="48"/>
        <v>357</v>
      </c>
      <c r="B532" s="1627" t="s">
        <v>1028</v>
      </c>
      <c r="C532" s="1640">
        <v>11.38</v>
      </c>
      <c r="D532" s="1627" t="s">
        <v>153</v>
      </c>
      <c r="K532" s="1636" t="s">
        <v>21</v>
      </c>
      <c r="R532" s="1636" t="s">
        <v>21</v>
      </c>
      <c r="S532" s="1629"/>
      <c r="T532" s="1630"/>
      <c r="W532" s="1634"/>
      <c r="X532" s="1636" t="s">
        <v>21</v>
      </c>
      <c r="Y532" s="1636"/>
      <c r="AA532" s="1630"/>
      <c r="AB532" s="1630"/>
      <c r="AE532" s="1632"/>
      <c r="AF532" s="1636" t="s">
        <v>21</v>
      </c>
      <c r="AG532" s="1640">
        <f t="shared" si="52"/>
        <v>0</v>
      </c>
      <c r="AI532" s="1630"/>
      <c r="AL532" s="1632"/>
      <c r="AM532" s="1636" t="s">
        <v>21</v>
      </c>
    </row>
    <row r="533" spans="1:39" ht="24" customHeight="1">
      <c r="A533" s="1647">
        <f t="shared" si="48"/>
        <v>358</v>
      </c>
      <c r="B533" s="1627" t="s">
        <v>1029</v>
      </c>
      <c r="C533" s="1640">
        <v>18.75</v>
      </c>
      <c r="D533" s="1627" t="s">
        <v>153</v>
      </c>
      <c r="H533" s="1627" t="s">
        <v>155</v>
      </c>
      <c r="K533" s="1640">
        <f>(K531/0.743)</f>
        <v>1953.5363122476447</v>
      </c>
      <c r="S533" s="1629"/>
      <c r="T533" s="1630"/>
      <c r="U533" s="1627" t="s">
        <v>548</v>
      </c>
      <c r="W533" s="1634"/>
      <c r="X533" s="1640">
        <f>SUM(X528:X531)</f>
        <v>1452.7707570499999</v>
      </c>
      <c r="Y533" s="1640"/>
      <c r="AA533" s="1630"/>
      <c r="AB533" s="1630"/>
      <c r="AC533" s="1627" t="s">
        <v>548</v>
      </c>
      <c r="AE533" s="1632"/>
      <c r="AF533" s="1640">
        <f>SUM(AF528:AF531)</f>
        <v>1460.93477405</v>
      </c>
      <c r="AG533" s="1640">
        <f t="shared" si="52"/>
        <v>0</v>
      </c>
      <c r="AI533" s="1630"/>
      <c r="AJ533" s="1627" t="s">
        <v>548</v>
      </c>
      <c r="AL533" s="1632"/>
      <c r="AM533" s="1640">
        <f>SUM(AM528:AM531)</f>
        <v>1462.9973521325001</v>
      </c>
    </row>
    <row r="534" spans="1:39" ht="24" customHeight="1">
      <c r="A534" s="1647">
        <f t="shared" si="48"/>
        <v>359</v>
      </c>
      <c r="B534" s="1627" t="s">
        <v>1030</v>
      </c>
      <c r="C534" s="1640">
        <v>35.1</v>
      </c>
      <c r="D534" s="1627" t="s">
        <v>153</v>
      </c>
      <c r="K534" s="1636" t="s">
        <v>156</v>
      </c>
      <c r="S534" s="1629"/>
      <c r="T534" s="1630"/>
      <c r="W534" s="1634"/>
      <c r="X534" s="1636" t="s">
        <v>21</v>
      </c>
      <c r="Y534" s="1636"/>
      <c r="AA534" s="1630"/>
      <c r="AB534" s="1630"/>
      <c r="AE534" s="1632"/>
      <c r="AF534" s="1636" t="s">
        <v>21</v>
      </c>
      <c r="AG534" s="1640">
        <f t="shared" si="52"/>
        <v>0</v>
      </c>
      <c r="AI534" s="1630"/>
      <c r="AL534" s="1632"/>
      <c r="AM534" s="1636" t="s">
        <v>21</v>
      </c>
    </row>
    <row r="535" spans="1:39" ht="24" customHeight="1">
      <c r="A535" s="1647">
        <f t="shared" si="48"/>
        <v>360</v>
      </c>
      <c r="B535" s="1627" t="s">
        <v>979</v>
      </c>
      <c r="C535" s="1640">
        <v>45.57</v>
      </c>
      <c r="D535" s="1627" t="s">
        <v>153</v>
      </c>
      <c r="H535" s="1627" t="s">
        <v>271</v>
      </c>
      <c r="I535" s="1640">
        <f>K533</f>
        <v>1953.5363122476447</v>
      </c>
      <c r="J535" s="1627">
        <f>C22*0.015/0.743</f>
        <v>3.2107671601615069</v>
      </c>
      <c r="K535" s="1639">
        <f>I535+J535</f>
        <v>1956.7470794078063</v>
      </c>
      <c r="N535" s="1627" t="s">
        <v>1099</v>
      </c>
      <c r="O535" s="1628" t="s">
        <v>1164</v>
      </c>
      <c r="S535" s="1629"/>
      <c r="T535" s="1630"/>
      <c r="U535" s="1627" t="s">
        <v>155</v>
      </c>
      <c r="W535" s="1634"/>
      <c r="X535" s="1640">
        <f>(X533/0.743)</f>
        <v>1955.2769273889635</v>
      </c>
      <c r="Y535" s="1640"/>
      <c r="AA535" s="1630"/>
      <c r="AB535" s="1630"/>
      <c r="AC535" s="1627" t="s">
        <v>155</v>
      </c>
      <c r="AE535" s="1632"/>
      <c r="AF535" s="1640">
        <f>(AF533/0.743)</f>
        <v>1966.2648372139972</v>
      </c>
      <c r="AG535" s="1640">
        <f t="shared" si="52"/>
        <v>0</v>
      </c>
      <c r="AI535" s="1630"/>
      <c r="AJ535" s="1627" t="s">
        <v>155</v>
      </c>
      <c r="AL535" s="1632"/>
      <c r="AM535" s="1640">
        <f>(AM533/0.743)</f>
        <v>1969.0408507839838</v>
      </c>
    </row>
    <row r="536" spans="1:39" ht="24" customHeight="1">
      <c r="A536" s="1647">
        <f t="shared" si="48"/>
        <v>361</v>
      </c>
      <c r="B536" s="1627" t="s">
        <v>1165</v>
      </c>
      <c r="D536" s="1627" t="s">
        <v>150</v>
      </c>
      <c r="H536" s="1627" t="s">
        <v>272</v>
      </c>
      <c r="I536" s="1640">
        <f>K535</f>
        <v>1956.7470794078063</v>
      </c>
      <c r="J536" s="1627">
        <f>C23*0.015/0.743</f>
        <v>6.3254374158815612</v>
      </c>
      <c r="K536" s="1639">
        <f>I536+J536</f>
        <v>1963.0725168236879</v>
      </c>
      <c r="O536" s="1636" t="s">
        <v>21</v>
      </c>
      <c r="S536" s="1629"/>
      <c r="T536" s="1630"/>
      <c r="W536" s="1634"/>
      <c r="X536" s="1636" t="s">
        <v>156</v>
      </c>
      <c r="Y536" s="1636"/>
      <c r="AA536" s="1630"/>
      <c r="AB536" s="1630"/>
      <c r="AE536" s="1632"/>
      <c r="AF536" s="1636" t="s">
        <v>156</v>
      </c>
      <c r="AG536" s="1640">
        <f t="shared" si="52"/>
        <v>0</v>
      </c>
      <c r="AI536" s="1630"/>
      <c r="AL536" s="1632"/>
      <c r="AM536" s="1636" t="s">
        <v>156</v>
      </c>
    </row>
    <row r="537" spans="1:39" ht="24" customHeight="1">
      <c r="A537" s="1647">
        <f t="shared" si="48"/>
        <v>362</v>
      </c>
      <c r="B537" s="1627" t="s">
        <v>1033</v>
      </c>
      <c r="C537" s="1640">
        <v>7.8</v>
      </c>
      <c r="D537" s="1627" t="s">
        <v>153</v>
      </c>
      <c r="H537" s="1627" t="s">
        <v>767</v>
      </c>
      <c r="I537" s="1640">
        <f>K536</f>
        <v>1963.0725168236879</v>
      </c>
      <c r="J537" s="1627">
        <f>J536</f>
        <v>6.3254374158815612</v>
      </c>
      <c r="K537" s="1639">
        <f>I537+J537</f>
        <v>1969.3979542395696</v>
      </c>
      <c r="M537" s="1640">
        <v>30</v>
      </c>
      <c r="N537" s="1627" t="s">
        <v>552</v>
      </c>
      <c r="O537" s="1627" t="s">
        <v>1125</v>
      </c>
      <c r="P537" s="1640">
        <f>(C42)</f>
        <v>5</v>
      </c>
      <c r="Q537" s="1627" t="s">
        <v>552</v>
      </c>
      <c r="R537" s="1640">
        <f>(M537*P537)</f>
        <v>150</v>
      </c>
      <c r="S537" s="1629"/>
      <c r="T537" s="1630"/>
      <c r="U537" s="1627" t="s">
        <v>271</v>
      </c>
      <c r="V537" s="1640">
        <f>X535</f>
        <v>1955.2769273889635</v>
      </c>
      <c r="W537" s="1628">
        <f>J535</f>
        <v>3.2107671601615069</v>
      </c>
      <c r="X537" s="1639">
        <f>V537+W537</f>
        <v>1958.4876945491251</v>
      </c>
      <c r="Y537" s="1639"/>
      <c r="AA537" s="1630"/>
      <c r="AB537" s="1630"/>
      <c r="AC537" s="1627" t="s">
        <v>271</v>
      </c>
      <c r="AD537" s="1640">
        <f>AF535</f>
        <v>1966.2648372139972</v>
      </c>
      <c r="AE537" s="1627">
        <f>W537</f>
        <v>3.2107671601615069</v>
      </c>
      <c r="AF537" s="1639">
        <f>AD537+AE537</f>
        <v>1969.4756043741588</v>
      </c>
      <c r="AG537" s="1640">
        <f t="shared" si="52"/>
        <v>0</v>
      </c>
      <c r="AI537" s="1630"/>
      <c r="AJ537" s="1627" t="s">
        <v>271</v>
      </c>
      <c r="AK537" s="1640">
        <f>AM535</f>
        <v>1969.0408507839838</v>
      </c>
      <c r="AL537" s="1627">
        <f>AE537</f>
        <v>3.2107671601615069</v>
      </c>
      <c r="AM537" s="1639">
        <f>AK537+AL537</f>
        <v>1972.2516179441454</v>
      </c>
    </row>
    <row r="538" spans="1:39" ht="24" customHeight="1">
      <c r="A538" s="1647">
        <f t="shared" si="48"/>
        <v>363</v>
      </c>
      <c r="B538" s="1627" t="s">
        <v>1026</v>
      </c>
      <c r="C538" s="1640">
        <v>9.49</v>
      </c>
      <c r="D538" s="1627" t="s">
        <v>153</v>
      </c>
      <c r="H538" s="1627" t="s">
        <v>769</v>
      </c>
      <c r="I538" s="1640">
        <f>K537</f>
        <v>1969.3979542395696</v>
      </c>
      <c r="J538" s="1627">
        <f>J537</f>
        <v>6.3254374158815612</v>
      </c>
      <c r="K538" s="1639">
        <f>I538+J538</f>
        <v>1975.7233916554512</v>
      </c>
      <c r="M538" s="1627" t="s">
        <v>150</v>
      </c>
      <c r="O538" s="1627" t="s">
        <v>1128</v>
      </c>
      <c r="P538" s="1627" t="s">
        <v>150</v>
      </c>
      <c r="R538" s="1627" t="s">
        <v>150</v>
      </c>
      <c r="S538" s="1629"/>
      <c r="T538" s="1630"/>
      <c r="U538" s="1627" t="s">
        <v>272</v>
      </c>
      <c r="V538" s="1640">
        <f>X537</f>
        <v>1958.4876945491251</v>
      </c>
      <c r="W538" s="1628">
        <f t="shared" ref="W538:W549" si="53">J538</f>
        <v>6.3254374158815612</v>
      </c>
      <c r="X538" s="1639">
        <f>V538+W538</f>
        <v>1964.8131319650067</v>
      </c>
      <c r="Y538" s="1639"/>
      <c r="AA538" s="1630"/>
      <c r="AB538" s="1630"/>
      <c r="AC538" s="1627" t="s">
        <v>272</v>
      </c>
      <c r="AD538" s="1640">
        <f>AF537</f>
        <v>1969.4756043741588</v>
      </c>
      <c r="AE538" s="1627">
        <f t="shared" ref="AE538:AE549" si="54">W538</f>
        <v>6.3254374158815612</v>
      </c>
      <c r="AF538" s="1639">
        <f>AD538+AE538</f>
        <v>1975.8010417900405</v>
      </c>
      <c r="AG538" s="1640">
        <f t="shared" si="52"/>
        <v>0</v>
      </c>
      <c r="AI538" s="1630"/>
      <c r="AJ538" s="1627" t="s">
        <v>272</v>
      </c>
      <c r="AK538" s="1640">
        <f>AM537</f>
        <v>1972.2516179441454</v>
      </c>
      <c r="AL538" s="1627">
        <f t="shared" ref="AL538:AL548" si="55">AE538</f>
        <v>6.3254374158815612</v>
      </c>
      <c r="AM538" s="1639">
        <f>AK538+AL538</f>
        <v>1978.5770553600271</v>
      </c>
    </row>
    <row r="539" spans="1:39" ht="24" customHeight="1">
      <c r="A539" s="1647">
        <f t="shared" si="48"/>
        <v>364</v>
      </c>
      <c r="B539" s="1627" t="s">
        <v>1028</v>
      </c>
      <c r="C539" s="1640">
        <v>13.91</v>
      </c>
      <c r="D539" s="1627" t="s">
        <v>153</v>
      </c>
      <c r="H539" s="1627" t="s">
        <v>272</v>
      </c>
      <c r="I539" s="1640">
        <f>K538</f>
        <v>1975.7233916554512</v>
      </c>
      <c r="J539" s="1627">
        <f>J538</f>
        <v>6.3254374158815612</v>
      </c>
      <c r="K539" s="1639">
        <f>I539+J539</f>
        <v>1982.0488290713329</v>
      </c>
      <c r="M539" s="1640">
        <v>8</v>
      </c>
      <c r="N539" s="1627" t="s">
        <v>153</v>
      </c>
      <c r="O539" s="1627" t="s">
        <v>1069</v>
      </c>
      <c r="P539" s="1640">
        <f>(C45)</f>
        <v>10.65</v>
      </c>
      <c r="Q539" s="1627" t="s">
        <v>153</v>
      </c>
      <c r="R539" s="1640">
        <f>(M539*P539)</f>
        <v>85.2</v>
      </c>
      <c r="S539" s="1629"/>
      <c r="T539" s="1630"/>
      <c r="U539" s="1627" t="s">
        <v>767</v>
      </c>
      <c r="V539" s="1640">
        <f>X538</f>
        <v>1964.8131319650067</v>
      </c>
      <c r="W539" s="1628">
        <f t="shared" si="53"/>
        <v>6.3254374158815612</v>
      </c>
      <c r="X539" s="1639">
        <f>V539+W539</f>
        <v>1971.1385693808884</v>
      </c>
      <c r="Y539" s="1639"/>
      <c r="AA539" s="1630"/>
      <c r="AB539" s="1630"/>
      <c r="AC539" s="1627" t="s">
        <v>767</v>
      </c>
      <c r="AD539" s="1640">
        <f>AF538</f>
        <v>1975.8010417900405</v>
      </c>
      <c r="AE539" s="1627">
        <f t="shared" si="54"/>
        <v>6.3254374158815612</v>
      </c>
      <c r="AF539" s="1639">
        <f>AD539+AE539</f>
        <v>1982.1264792059221</v>
      </c>
      <c r="AG539" s="1640">
        <f t="shared" si="52"/>
        <v>0</v>
      </c>
      <c r="AI539" s="1630"/>
      <c r="AJ539" s="1627" t="s">
        <v>767</v>
      </c>
      <c r="AK539" s="1640">
        <f>AM538</f>
        <v>1978.5770553600271</v>
      </c>
      <c r="AL539" s="1627">
        <f t="shared" si="55"/>
        <v>6.3254374158815612</v>
      </c>
      <c r="AM539" s="1639">
        <f>AK539+AL539</f>
        <v>1984.9024927759087</v>
      </c>
    </row>
    <row r="540" spans="1:39" ht="24" customHeight="1">
      <c r="A540" s="1647"/>
      <c r="B540" s="1627"/>
      <c r="C540" s="1640"/>
      <c r="D540" s="1627"/>
      <c r="H540" s="1627">
        <v>5</v>
      </c>
      <c r="I540" s="1640">
        <f t="shared" ref="I540:I545" si="56">K539</f>
        <v>1982.0488290713329</v>
      </c>
      <c r="J540" s="1627">
        <f t="shared" ref="J540:J547" si="57">J539</f>
        <v>6.3254374158815612</v>
      </c>
      <c r="K540" s="1639">
        <f t="shared" ref="K540:K545" si="58">I540+J540</f>
        <v>1988.3742664872145</v>
      </c>
      <c r="M540" s="1640"/>
      <c r="N540" s="1627"/>
      <c r="O540" s="1627"/>
      <c r="P540" s="1640"/>
      <c r="Q540" s="1627"/>
      <c r="R540" s="1640"/>
      <c r="S540" s="1629"/>
      <c r="T540" s="1630"/>
      <c r="U540" s="1627" t="s">
        <v>769</v>
      </c>
      <c r="V540" s="1640">
        <f>X539</f>
        <v>1971.1385693808884</v>
      </c>
      <c r="W540" s="1628">
        <f t="shared" si="53"/>
        <v>6.3254374158815612</v>
      </c>
      <c r="X540" s="1639">
        <f>V540+W540</f>
        <v>1977.46400679677</v>
      </c>
      <c r="Y540" s="1639"/>
      <c r="AA540" s="1630"/>
      <c r="AB540" s="1630"/>
      <c r="AC540" s="1627" t="s">
        <v>769</v>
      </c>
      <c r="AD540" s="1640">
        <f>AF539</f>
        <v>1982.1264792059221</v>
      </c>
      <c r="AE540" s="1627">
        <f t="shared" si="54"/>
        <v>6.3254374158815612</v>
      </c>
      <c r="AF540" s="1639">
        <f>AD540+AE540</f>
        <v>1988.4519166218038</v>
      </c>
      <c r="AG540" s="1640"/>
      <c r="AI540" s="1630"/>
      <c r="AJ540" s="1627" t="s">
        <v>769</v>
      </c>
      <c r="AK540" s="1640">
        <f>AM539</f>
        <v>1984.9024927759087</v>
      </c>
      <c r="AL540" s="1627">
        <f t="shared" si="55"/>
        <v>6.3254374158815612</v>
      </c>
      <c r="AM540" s="1639">
        <f>AK540+AL540</f>
        <v>1991.2279301917904</v>
      </c>
    </row>
    <row r="541" spans="1:39" ht="24" customHeight="1">
      <c r="A541" s="1647"/>
      <c r="B541" s="1627"/>
      <c r="C541" s="1640"/>
      <c r="D541" s="1627"/>
      <c r="H541" s="1627">
        <v>6</v>
      </c>
      <c r="I541" s="1640">
        <f t="shared" si="56"/>
        <v>1988.3742664872145</v>
      </c>
      <c r="J541" s="1627">
        <f t="shared" si="57"/>
        <v>6.3254374158815612</v>
      </c>
      <c r="K541" s="1639">
        <f t="shared" si="58"/>
        <v>1994.6997039030962</v>
      </c>
      <c r="M541" s="1640"/>
      <c r="N541" s="1627"/>
      <c r="O541" s="1627"/>
      <c r="P541" s="1640"/>
      <c r="Q541" s="1627"/>
      <c r="R541" s="1640"/>
      <c r="S541" s="1629"/>
      <c r="T541" s="1630"/>
      <c r="U541" s="1627" t="s">
        <v>272</v>
      </c>
      <c r="V541" s="1640">
        <f>X540</f>
        <v>1977.46400679677</v>
      </c>
      <c r="W541" s="1628">
        <f t="shared" si="53"/>
        <v>6.3254374158815612</v>
      </c>
      <c r="X541" s="1639">
        <f>V541+W541</f>
        <v>1983.7894442126517</v>
      </c>
      <c r="Y541" s="1639"/>
      <c r="AA541" s="1630"/>
      <c r="AB541" s="1630"/>
      <c r="AC541" s="1627" t="s">
        <v>272</v>
      </c>
      <c r="AD541" s="1640">
        <f>AF540</f>
        <v>1988.4519166218038</v>
      </c>
      <c r="AE541" s="1627">
        <f t="shared" si="54"/>
        <v>6.3254374158815612</v>
      </c>
      <c r="AF541" s="1639">
        <f>AD541+AE541</f>
        <v>1994.7773540376854</v>
      </c>
      <c r="AG541" s="1640"/>
      <c r="AI541" s="1630"/>
      <c r="AJ541" s="1627" t="s">
        <v>272</v>
      </c>
      <c r="AK541" s="1640">
        <f>AM540</f>
        <v>1991.2279301917904</v>
      </c>
      <c r="AL541" s="1627">
        <f t="shared" si="55"/>
        <v>6.3254374158815612</v>
      </c>
      <c r="AM541" s="1639">
        <f>AK541+AL541</f>
        <v>1997.553367607672</v>
      </c>
    </row>
    <row r="542" spans="1:39" ht="24" customHeight="1">
      <c r="A542" s="1647"/>
      <c r="B542" s="1627"/>
      <c r="C542" s="1640"/>
      <c r="D542" s="1627"/>
      <c r="H542" s="1627">
        <v>7</v>
      </c>
      <c r="I542" s="1640">
        <f t="shared" si="56"/>
        <v>1994.6997039030962</v>
      </c>
      <c r="J542" s="1627">
        <f t="shared" si="57"/>
        <v>6.3254374158815612</v>
      </c>
      <c r="K542" s="1639">
        <f t="shared" si="58"/>
        <v>2001.0251413189778</v>
      </c>
      <c r="M542" s="1640"/>
      <c r="N542" s="1627"/>
      <c r="O542" s="1627"/>
      <c r="P542" s="1640"/>
      <c r="Q542" s="1627"/>
      <c r="R542" s="1640"/>
      <c r="S542" s="1629"/>
      <c r="T542" s="1630"/>
      <c r="U542" s="1627">
        <v>5</v>
      </c>
      <c r="V542" s="1640">
        <f t="shared" ref="V542:V547" si="59">X541</f>
        <v>1983.7894442126517</v>
      </c>
      <c r="W542" s="1628">
        <f t="shared" si="53"/>
        <v>6.3254374158815612</v>
      </c>
      <c r="X542" s="1639">
        <f t="shared" ref="X542:X547" si="60">V542+W542</f>
        <v>1990.1148816285333</v>
      </c>
      <c r="Y542" s="1639"/>
      <c r="AA542" s="1630"/>
      <c r="AB542" s="1630"/>
      <c r="AC542" s="1627">
        <v>5</v>
      </c>
      <c r="AD542" s="1640">
        <f t="shared" ref="AD542:AD547" si="61">AF541</f>
        <v>1994.7773540376854</v>
      </c>
      <c r="AE542" s="1627">
        <f t="shared" si="54"/>
        <v>6.3254374158815612</v>
      </c>
      <c r="AF542" s="1639">
        <f t="shared" ref="AF542:AF547" si="62">AD542+AE542</f>
        <v>2001.1027914535671</v>
      </c>
      <c r="AG542" s="1640"/>
      <c r="AI542" s="1630"/>
      <c r="AJ542" s="1627">
        <v>5</v>
      </c>
      <c r="AK542" s="1640">
        <f t="shared" ref="AK542:AK547" si="63">AM541</f>
        <v>1997.553367607672</v>
      </c>
      <c r="AL542" s="1627">
        <f t="shared" si="55"/>
        <v>6.3254374158815612</v>
      </c>
      <c r="AM542" s="1639">
        <f t="shared" ref="AM542:AM547" si="64">AK542+AL542</f>
        <v>2003.8788050235537</v>
      </c>
    </row>
    <row r="543" spans="1:39" ht="24" customHeight="1">
      <c r="A543" s="1647"/>
      <c r="B543" s="1627"/>
      <c r="C543" s="1640"/>
      <c r="D543" s="1627"/>
      <c r="H543" s="1627">
        <v>8</v>
      </c>
      <c r="I543" s="1640">
        <f t="shared" si="56"/>
        <v>2001.0251413189778</v>
      </c>
      <c r="J543" s="1627">
        <f t="shared" si="57"/>
        <v>6.3254374158815612</v>
      </c>
      <c r="K543" s="1639">
        <f t="shared" si="58"/>
        <v>2007.3505787348595</v>
      </c>
      <c r="M543" s="1640"/>
      <c r="N543" s="1627"/>
      <c r="O543" s="1627"/>
      <c r="P543" s="1640"/>
      <c r="Q543" s="1627"/>
      <c r="R543" s="1640"/>
      <c r="S543" s="1629"/>
      <c r="T543" s="1630"/>
      <c r="U543" s="1627">
        <v>6</v>
      </c>
      <c r="V543" s="1640">
        <f t="shared" si="59"/>
        <v>1990.1148816285333</v>
      </c>
      <c r="W543" s="1628">
        <f t="shared" si="53"/>
        <v>6.3254374158815612</v>
      </c>
      <c r="X543" s="1639">
        <f t="shared" si="60"/>
        <v>1996.440319044415</v>
      </c>
      <c r="Y543" s="1639"/>
      <c r="AA543" s="1630"/>
      <c r="AB543" s="1630"/>
      <c r="AC543" s="1627">
        <v>6</v>
      </c>
      <c r="AD543" s="1640">
        <f t="shared" si="61"/>
        <v>2001.1027914535671</v>
      </c>
      <c r="AE543" s="1627">
        <f t="shared" si="54"/>
        <v>6.3254374158815612</v>
      </c>
      <c r="AF543" s="1639">
        <f t="shared" si="62"/>
        <v>2007.4282288694487</v>
      </c>
      <c r="AG543" s="1640"/>
      <c r="AI543" s="1630"/>
      <c r="AJ543" s="1627">
        <v>6</v>
      </c>
      <c r="AK543" s="1640">
        <f t="shared" si="63"/>
        <v>2003.8788050235537</v>
      </c>
      <c r="AL543" s="1627">
        <f t="shared" si="55"/>
        <v>6.3254374158815612</v>
      </c>
      <c r="AM543" s="1639">
        <f t="shared" si="64"/>
        <v>2010.2042424394353</v>
      </c>
    </row>
    <row r="544" spans="1:39" ht="24" customHeight="1">
      <c r="A544" s="1647"/>
      <c r="B544" s="1627"/>
      <c r="C544" s="1640"/>
      <c r="D544" s="1627"/>
      <c r="H544" s="1627">
        <v>9</v>
      </c>
      <c r="I544" s="1640">
        <f t="shared" si="56"/>
        <v>2007.3505787348595</v>
      </c>
      <c r="J544" s="1627">
        <f t="shared" si="57"/>
        <v>6.3254374158815612</v>
      </c>
      <c r="K544" s="1639">
        <f t="shared" si="58"/>
        <v>2013.6760161507411</v>
      </c>
      <c r="M544" s="1640"/>
      <c r="N544" s="1627"/>
      <c r="O544" s="1627"/>
      <c r="P544" s="1640"/>
      <c r="Q544" s="1627"/>
      <c r="R544" s="1640"/>
      <c r="S544" s="1629"/>
      <c r="T544" s="1630"/>
      <c r="U544" s="1627">
        <v>7</v>
      </c>
      <c r="V544" s="1640">
        <f t="shared" si="59"/>
        <v>1996.440319044415</v>
      </c>
      <c r="W544" s="1628">
        <f t="shared" si="53"/>
        <v>6.3254374158815612</v>
      </c>
      <c r="X544" s="1639">
        <f t="shared" si="60"/>
        <v>2002.7657564602966</v>
      </c>
      <c r="Y544" s="1639"/>
      <c r="AA544" s="1630"/>
      <c r="AB544" s="1630"/>
      <c r="AC544" s="1627">
        <v>7</v>
      </c>
      <c r="AD544" s="1640">
        <f t="shared" si="61"/>
        <v>2007.4282288694487</v>
      </c>
      <c r="AE544" s="1627">
        <f t="shared" si="54"/>
        <v>6.3254374158815612</v>
      </c>
      <c r="AF544" s="1639">
        <f t="shared" si="62"/>
        <v>2013.7536662853304</v>
      </c>
      <c r="AG544" s="1640"/>
      <c r="AI544" s="1630"/>
      <c r="AJ544" s="1627">
        <v>7</v>
      </c>
      <c r="AK544" s="1640">
        <f t="shared" si="63"/>
        <v>2010.2042424394353</v>
      </c>
      <c r="AL544" s="1627">
        <f t="shared" si="55"/>
        <v>6.3254374158815612</v>
      </c>
      <c r="AM544" s="1639">
        <f t="shared" si="64"/>
        <v>2016.529679855317</v>
      </c>
    </row>
    <row r="545" spans="1:39" ht="24" customHeight="1">
      <c r="A545" s="1647"/>
      <c r="B545" s="1627"/>
      <c r="C545" s="1640"/>
      <c r="D545" s="1627"/>
      <c r="H545" s="1627">
        <v>10</v>
      </c>
      <c r="I545" s="1640">
        <f t="shared" si="56"/>
        <v>2013.6760161507411</v>
      </c>
      <c r="J545" s="1627">
        <f t="shared" si="57"/>
        <v>6.3254374158815612</v>
      </c>
      <c r="K545" s="1639">
        <f t="shared" si="58"/>
        <v>2020.0014535666228</v>
      </c>
      <c r="M545" s="1640"/>
      <c r="N545" s="1627"/>
      <c r="O545" s="1627"/>
      <c r="P545" s="1640"/>
      <c r="Q545" s="1627"/>
      <c r="R545" s="1640"/>
      <c r="S545" s="1629"/>
      <c r="T545" s="1630"/>
      <c r="U545" s="1627">
        <v>8</v>
      </c>
      <c r="V545" s="1640">
        <f t="shared" si="59"/>
        <v>2002.7657564602966</v>
      </c>
      <c r="W545" s="1628">
        <f t="shared" si="53"/>
        <v>6.3254374158815612</v>
      </c>
      <c r="X545" s="1639">
        <f t="shared" si="60"/>
        <v>2009.0911938761783</v>
      </c>
      <c r="Y545" s="1639"/>
      <c r="AA545" s="1630"/>
      <c r="AB545" s="1630"/>
      <c r="AC545" s="1627">
        <v>8</v>
      </c>
      <c r="AD545" s="1640">
        <f t="shared" si="61"/>
        <v>2013.7536662853304</v>
      </c>
      <c r="AE545" s="1627">
        <f t="shared" si="54"/>
        <v>6.3254374158815612</v>
      </c>
      <c r="AF545" s="1639">
        <f t="shared" si="62"/>
        <v>2020.079103701212</v>
      </c>
      <c r="AG545" s="1640"/>
      <c r="AI545" s="1630"/>
      <c r="AJ545" s="1627">
        <v>8</v>
      </c>
      <c r="AK545" s="1640">
        <f t="shared" si="63"/>
        <v>2016.529679855317</v>
      </c>
      <c r="AL545" s="1627">
        <f t="shared" si="55"/>
        <v>6.3254374158815612</v>
      </c>
      <c r="AM545" s="1639">
        <f t="shared" si="64"/>
        <v>2022.8551172711987</v>
      </c>
    </row>
    <row r="546" spans="1:39" ht="24" customHeight="1">
      <c r="A546" s="1647"/>
      <c r="B546" s="1627"/>
      <c r="C546" s="1640"/>
      <c r="D546" s="1627"/>
      <c r="H546" s="1627">
        <v>11</v>
      </c>
      <c r="I546" s="1640">
        <f>K545</f>
        <v>2020.0014535666228</v>
      </c>
      <c r="J546" s="1627">
        <f t="shared" si="57"/>
        <v>6.3254374158815612</v>
      </c>
      <c r="K546" s="1639">
        <f>I546+J546</f>
        <v>2026.3268909825044</v>
      </c>
      <c r="M546" s="1640"/>
      <c r="N546" s="1627"/>
      <c r="O546" s="1627"/>
      <c r="P546" s="1640"/>
      <c r="Q546" s="1627"/>
      <c r="R546" s="1640"/>
      <c r="S546" s="1629"/>
      <c r="T546" s="1630"/>
      <c r="U546" s="1627">
        <v>9</v>
      </c>
      <c r="V546" s="1640">
        <f t="shared" si="59"/>
        <v>2009.0911938761783</v>
      </c>
      <c r="W546" s="1628">
        <f t="shared" si="53"/>
        <v>6.3254374158815612</v>
      </c>
      <c r="X546" s="1639">
        <f t="shared" si="60"/>
        <v>2015.4166312920599</v>
      </c>
      <c r="Y546" s="1639"/>
      <c r="AA546" s="1630"/>
      <c r="AB546" s="1630"/>
      <c r="AC546" s="1627">
        <v>9</v>
      </c>
      <c r="AD546" s="1640">
        <f t="shared" si="61"/>
        <v>2020.079103701212</v>
      </c>
      <c r="AE546" s="1627">
        <f t="shared" si="54"/>
        <v>6.3254374158815612</v>
      </c>
      <c r="AF546" s="1639">
        <f t="shared" si="62"/>
        <v>2026.4045411170937</v>
      </c>
      <c r="AG546" s="1640"/>
      <c r="AI546" s="1630"/>
      <c r="AJ546" s="1627">
        <v>9</v>
      </c>
      <c r="AK546" s="1640">
        <f t="shared" si="63"/>
        <v>2022.8551172711987</v>
      </c>
      <c r="AL546" s="1627">
        <f t="shared" si="55"/>
        <v>6.3254374158815612</v>
      </c>
      <c r="AM546" s="1639">
        <f t="shared" si="64"/>
        <v>2029.1805546870803</v>
      </c>
    </row>
    <row r="547" spans="1:39" ht="24" customHeight="1">
      <c r="A547" s="1647"/>
      <c r="B547" s="1627"/>
      <c r="C547" s="1640"/>
      <c r="D547" s="1627"/>
      <c r="H547" s="1627">
        <v>12</v>
      </c>
      <c r="I547" s="1640">
        <f>K546</f>
        <v>2026.3268909825044</v>
      </c>
      <c r="J547" s="1627">
        <f t="shared" si="57"/>
        <v>6.3254374158815612</v>
      </c>
      <c r="K547" s="1639">
        <f>I547+J547</f>
        <v>2032.6523283983861</v>
      </c>
      <c r="M547" s="1640"/>
      <c r="N547" s="1627"/>
      <c r="O547" s="1627"/>
      <c r="P547" s="1640"/>
      <c r="Q547" s="1627"/>
      <c r="R547" s="1640"/>
      <c r="S547" s="1629"/>
      <c r="T547" s="1630"/>
      <c r="U547" s="1627">
        <v>10</v>
      </c>
      <c r="V547" s="1640">
        <f t="shared" si="59"/>
        <v>2015.4166312920599</v>
      </c>
      <c r="W547" s="1628">
        <f t="shared" si="53"/>
        <v>6.3254374158815612</v>
      </c>
      <c r="X547" s="1639">
        <f t="shared" si="60"/>
        <v>2021.7420687079416</v>
      </c>
      <c r="Y547" s="1639"/>
      <c r="AA547" s="1630"/>
      <c r="AB547" s="1630"/>
      <c r="AC547" s="1627">
        <v>10</v>
      </c>
      <c r="AD547" s="1640">
        <f t="shared" si="61"/>
        <v>2026.4045411170937</v>
      </c>
      <c r="AE547" s="1627">
        <f t="shared" si="54"/>
        <v>6.3254374158815612</v>
      </c>
      <c r="AF547" s="1639">
        <f t="shared" si="62"/>
        <v>2032.7299785329753</v>
      </c>
      <c r="AG547" s="1640"/>
      <c r="AI547" s="1630"/>
      <c r="AJ547" s="1627">
        <v>10</v>
      </c>
      <c r="AK547" s="1640">
        <f t="shared" si="63"/>
        <v>2029.1805546870803</v>
      </c>
      <c r="AL547" s="1627">
        <f t="shared" si="55"/>
        <v>6.3254374158815612</v>
      </c>
      <c r="AM547" s="1639">
        <f t="shared" si="64"/>
        <v>2035.505992102962</v>
      </c>
    </row>
    <row r="548" spans="1:39" ht="24" customHeight="1">
      <c r="A548" s="1647">
        <f>(A539+1)</f>
        <v>365</v>
      </c>
      <c r="B548" s="1627" t="s">
        <v>1029</v>
      </c>
      <c r="C548" s="1640">
        <v>26.59</v>
      </c>
      <c r="D548" s="1627" t="s">
        <v>153</v>
      </c>
      <c r="F548" s="1628" t="s">
        <v>547</v>
      </c>
      <c r="G548" s="1638" t="s">
        <v>249</v>
      </c>
      <c r="H548" s="1627" t="s">
        <v>1166</v>
      </c>
      <c r="M548" s="1640">
        <v>8</v>
      </c>
      <c r="N548" s="1627" t="s">
        <v>153</v>
      </c>
      <c r="O548" s="1627" t="s">
        <v>1072</v>
      </c>
      <c r="P548" s="1640">
        <f>(C52)</f>
        <v>26.6</v>
      </c>
      <c r="Q548" s="1627" t="s">
        <v>153</v>
      </c>
      <c r="R548" s="1640">
        <f>(M548*P548)</f>
        <v>212.8</v>
      </c>
      <c r="S548" s="1629"/>
      <c r="T548" s="1630"/>
      <c r="U548" s="1627">
        <v>11</v>
      </c>
      <c r="V548" s="1640">
        <f>X547</f>
        <v>2021.7420687079416</v>
      </c>
      <c r="W548" s="1628">
        <f t="shared" si="53"/>
        <v>0</v>
      </c>
      <c r="X548" s="1639">
        <f>V548+W548</f>
        <v>2021.7420687079416</v>
      </c>
      <c r="Y548" s="1639"/>
      <c r="AA548" s="1630"/>
      <c r="AB548" s="1630"/>
      <c r="AC548" s="1627">
        <v>11</v>
      </c>
      <c r="AD548" s="1640">
        <f>AF547</f>
        <v>2032.7299785329753</v>
      </c>
      <c r="AE548" s="1627">
        <f t="shared" si="54"/>
        <v>0</v>
      </c>
      <c r="AF548" s="1639">
        <f>AD548+AE548</f>
        <v>2032.7299785329753</v>
      </c>
      <c r="AG548" s="1640">
        <f t="shared" si="52"/>
        <v>0</v>
      </c>
      <c r="AI548" s="1630"/>
      <c r="AJ548" s="1627">
        <v>11</v>
      </c>
      <c r="AK548" s="1640">
        <f>AM547</f>
        <v>2035.505992102962</v>
      </c>
      <c r="AL548" s="1627">
        <f t="shared" si="55"/>
        <v>0</v>
      </c>
      <c r="AM548" s="1639">
        <f>AK548+AL548</f>
        <v>2035.505992102962</v>
      </c>
    </row>
    <row r="549" spans="1:39" ht="45.75" customHeight="1">
      <c r="A549" s="1647">
        <f t="shared" si="48"/>
        <v>366</v>
      </c>
      <c r="B549" s="1627" t="s">
        <v>1030</v>
      </c>
      <c r="C549" s="1640">
        <v>39.909999999999997</v>
      </c>
      <c r="D549" s="1627" t="s">
        <v>153</v>
      </c>
      <c r="H549" s="1636" t="s">
        <v>21</v>
      </c>
      <c r="M549" s="1640">
        <v>3</v>
      </c>
      <c r="N549" s="1627" t="s">
        <v>153</v>
      </c>
      <c r="O549" s="1627" t="s">
        <v>1133</v>
      </c>
      <c r="P549" s="1640">
        <f>(C41)</f>
        <v>979.99999999999989</v>
      </c>
      <c r="Q549" s="1627" t="s">
        <v>153</v>
      </c>
      <c r="R549" s="1640">
        <f>(M549*P549)</f>
        <v>2939.9999999999995</v>
      </c>
      <c r="S549" s="1629"/>
      <c r="T549" s="1630"/>
      <c r="U549" s="1627">
        <v>12</v>
      </c>
      <c r="V549" s="1640">
        <f>X548</f>
        <v>2021.7420687079416</v>
      </c>
      <c r="W549" s="1628">
        <f t="shared" si="53"/>
        <v>0</v>
      </c>
      <c r="X549" s="1639">
        <f>V549+W549</f>
        <v>2021.7420687079416</v>
      </c>
      <c r="Y549" s="1639"/>
      <c r="AA549" s="1630"/>
      <c r="AB549" s="1630"/>
      <c r="AC549" s="1627">
        <v>12</v>
      </c>
      <c r="AD549" s="1640">
        <f>AF548</f>
        <v>2032.7299785329753</v>
      </c>
      <c r="AE549" s="1627">
        <f t="shared" si="54"/>
        <v>0</v>
      </c>
      <c r="AF549" s="1639">
        <f>AD549+AE549</f>
        <v>2032.7299785329753</v>
      </c>
      <c r="AG549" s="1640">
        <f t="shared" si="52"/>
        <v>0</v>
      </c>
      <c r="AI549" s="1630"/>
      <c r="AJ549" s="1627">
        <v>12</v>
      </c>
      <c r="AK549" s="1640">
        <f>AM548</f>
        <v>2035.505992102962</v>
      </c>
      <c r="AL549" s="1627">
        <f>AF549</f>
        <v>2032.7299785329753</v>
      </c>
      <c r="AM549" s="1639">
        <f>AK549+AL549</f>
        <v>4068.2359706359375</v>
      </c>
    </row>
    <row r="550" spans="1:39" ht="52.5" customHeight="1">
      <c r="A550" s="1647">
        <f t="shared" si="48"/>
        <v>367</v>
      </c>
      <c r="B550" s="1627" t="s">
        <v>979</v>
      </c>
      <c r="C550" s="1640">
        <v>66</v>
      </c>
      <c r="D550" s="1627" t="s">
        <v>153</v>
      </c>
      <c r="F550" s="1640">
        <v>0.03</v>
      </c>
      <c r="G550" s="1638" t="s">
        <v>151</v>
      </c>
      <c r="H550" s="1627" t="s">
        <v>1160</v>
      </c>
      <c r="I550" s="1640">
        <f>(K513)</f>
        <v>9311.8320000000003</v>
      </c>
      <c r="J550" s="1627" t="s">
        <v>151</v>
      </c>
      <c r="K550" s="1640">
        <f>(F550*I550)</f>
        <v>279.35496000000001</v>
      </c>
      <c r="M550" s="1640">
        <v>1</v>
      </c>
      <c r="N550" s="1627" t="s">
        <v>153</v>
      </c>
      <c r="O550" s="1627" t="s">
        <v>1134</v>
      </c>
      <c r="P550" s="1640">
        <f>(C10)</f>
        <v>1325.8</v>
      </c>
      <c r="Q550" s="1627" t="s">
        <v>153</v>
      </c>
      <c r="R550" s="1640">
        <f>(M550*P550)</f>
        <v>1325.8</v>
      </c>
      <c r="S550" s="1628" t="s">
        <v>547</v>
      </c>
      <c r="T550" s="1638" t="s">
        <v>249</v>
      </c>
      <c r="U550" s="1680" t="s">
        <v>5603</v>
      </c>
      <c r="W550" s="1628"/>
      <c r="Z550" s="1628" t="s">
        <v>547</v>
      </c>
      <c r="AA550" s="1638" t="s">
        <v>249</v>
      </c>
      <c r="AB550" s="1638"/>
      <c r="AC550" s="2022" t="s">
        <v>5604</v>
      </c>
      <c r="AD550" s="2022"/>
      <c r="AE550" s="1627"/>
      <c r="AG550" s="1640" t="str">
        <f t="shared" si="52"/>
        <v>*</v>
      </c>
      <c r="AH550" s="1628" t="s">
        <v>547</v>
      </c>
      <c r="AI550" s="1638" t="s">
        <v>249</v>
      </c>
      <c r="AJ550" s="2022" t="s">
        <v>5605</v>
      </c>
      <c r="AK550" s="2022"/>
      <c r="AL550" s="1627"/>
    </row>
    <row r="551" spans="1:39" ht="24" customHeight="1">
      <c r="A551" s="1647">
        <f t="shared" si="48"/>
        <v>368</v>
      </c>
      <c r="B551" s="1627" t="s">
        <v>1168</v>
      </c>
      <c r="D551" s="1627" t="s">
        <v>150</v>
      </c>
      <c r="F551" s="1640">
        <v>0.5</v>
      </c>
      <c r="G551" s="1638" t="s">
        <v>4</v>
      </c>
      <c r="H551" s="1627" t="s">
        <v>269</v>
      </c>
      <c r="I551" s="1640">
        <f>(C10)</f>
        <v>1325.8</v>
      </c>
      <c r="J551" s="1627" t="s">
        <v>4</v>
      </c>
      <c r="K551" s="1640">
        <f>(F551*I551)</f>
        <v>662.9</v>
      </c>
      <c r="M551" s="1640">
        <v>2</v>
      </c>
      <c r="N551" s="1627" t="s">
        <v>153</v>
      </c>
      <c r="O551" s="1627" t="s">
        <v>235</v>
      </c>
      <c r="P551" s="1640">
        <f>(C12)</f>
        <v>865.19999999999993</v>
      </c>
      <c r="Q551" s="1627" t="s">
        <v>153</v>
      </c>
      <c r="R551" s="1640">
        <f>(M551*P551)</f>
        <v>1730.3999999999999</v>
      </c>
      <c r="S551" s="1629"/>
      <c r="T551" s="1630"/>
      <c r="U551" s="1636" t="s">
        <v>21</v>
      </c>
      <c r="W551" s="1634"/>
      <c r="AA551" s="1630"/>
      <c r="AB551" s="1630"/>
      <c r="AC551" s="1636" t="s">
        <v>21</v>
      </c>
      <c r="AE551" s="1632"/>
      <c r="AG551" s="1640">
        <f t="shared" si="52"/>
        <v>0</v>
      </c>
      <c r="AI551" s="1630"/>
      <c r="AJ551" s="1636" t="s">
        <v>21</v>
      </c>
      <c r="AL551" s="1632"/>
    </row>
    <row r="552" spans="1:39" ht="24" customHeight="1">
      <c r="A552" s="1647">
        <f t="shared" si="48"/>
        <v>369</v>
      </c>
      <c r="B552" s="1627" t="s">
        <v>1131</v>
      </c>
      <c r="C552" s="1640">
        <v>4.75</v>
      </c>
      <c r="D552" s="1627" t="s">
        <v>153</v>
      </c>
      <c r="F552" s="1640">
        <v>0.75</v>
      </c>
      <c r="G552" s="1638" t="s">
        <v>4</v>
      </c>
      <c r="H552" s="1627" t="s">
        <v>235</v>
      </c>
      <c r="I552" s="1640">
        <f>(C12)</f>
        <v>865.19999999999993</v>
      </c>
      <c r="J552" s="1627" t="s">
        <v>4</v>
      </c>
      <c r="K552" s="1640">
        <f>(F552*I552)</f>
        <v>648.9</v>
      </c>
      <c r="M552" s="1640">
        <v>1</v>
      </c>
      <c r="N552" s="1627" t="s">
        <v>153</v>
      </c>
      <c r="O552" s="1627" t="s">
        <v>236</v>
      </c>
      <c r="P552" s="1640">
        <f>(C13)</f>
        <v>709.8</v>
      </c>
      <c r="Q552" s="1627" t="s">
        <v>153</v>
      </c>
      <c r="R552" s="1640">
        <f>(M552*P552)</f>
        <v>709.8</v>
      </c>
      <c r="S552" s="1640">
        <v>0.03</v>
      </c>
      <c r="T552" s="1638" t="s">
        <v>151</v>
      </c>
      <c r="U552" s="1627" t="s">
        <v>601</v>
      </c>
      <c r="V552" s="1640">
        <f>V528</f>
        <v>9398.0504700000001</v>
      </c>
      <c r="W552" s="1628" t="s">
        <v>151</v>
      </c>
      <c r="X552" s="1640">
        <f>(S552*V552)</f>
        <v>281.94151410000001</v>
      </c>
      <c r="Y552" s="1640"/>
      <c r="Z552" s="1640">
        <v>0.03</v>
      </c>
      <c r="AA552" s="1638" t="s">
        <v>151</v>
      </c>
      <c r="AB552" s="1638"/>
      <c r="AC552" s="1627" t="s">
        <v>601</v>
      </c>
      <c r="AD552" s="1640">
        <f>AD528</f>
        <v>9942.3182700000016</v>
      </c>
      <c r="AE552" s="1627" t="s">
        <v>151</v>
      </c>
      <c r="AF552" s="1640">
        <f>(Z552*AD552)</f>
        <v>298.26954810000001</v>
      </c>
      <c r="AG552" s="1640" t="str">
        <f t="shared" si="52"/>
        <v>CUM</v>
      </c>
      <c r="AH552" s="1640">
        <v>0.03</v>
      </c>
      <c r="AI552" s="1638" t="s">
        <v>151</v>
      </c>
      <c r="AJ552" s="1627" t="s">
        <v>601</v>
      </c>
      <c r="AK552" s="1640">
        <f>AK528</f>
        <v>10079.823475499999</v>
      </c>
      <c r="AL552" s="1627" t="s">
        <v>151</v>
      </c>
      <c r="AM552" s="1640">
        <f>(AH552*AK552)</f>
        <v>302.39470426499997</v>
      </c>
    </row>
    <row r="553" spans="1:39" ht="24" customHeight="1">
      <c r="A553" s="1647">
        <f t="shared" si="48"/>
        <v>370</v>
      </c>
      <c r="B553" s="1627" t="s">
        <v>1123</v>
      </c>
      <c r="C553" s="1640">
        <v>6.89</v>
      </c>
      <c r="D553" s="1627" t="s">
        <v>153</v>
      </c>
      <c r="E553" s="1698">
        <f>0.03/40*75</f>
        <v>5.6250000000000001E-2</v>
      </c>
      <c r="G553" s="1638" t="s">
        <v>226</v>
      </c>
      <c r="H553" s="1627" t="s">
        <v>237</v>
      </c>
      <c r="J553" s="1627" t="s">
        <v>226</v>
      </c>
      <c r="K553" s="1640">
        <v>0</v>
      </c>
      <c r="N553" s="1627" t="s">
        <v>226</v>
      </c>
      <c r="O553" s="1627" t="s">
        <v>1136</v>
      </c>
      <c r="P553" s="1627" t="s">
        <v>150</v>
      </c>
      <c r="Q553" s="1627" t="s">
        <v>226</v>
      </c>
      <c r="R553" s="1640">
        <f>(C56)</f>
        <v>12.1</v>
      </c>
      <c r="S553" s="1640">
        <v>0.5</v>
      </c>
      <c r="T553" s="1638" t="s">
        <v>4</v>
      </c>
      <c r="U553" s="1627" t="s">
        <v>269</v>
      </c>
      <c r="V553" s="1640">
        <f>V529</f>
        <v>1325.8</v>
      </c>
      <c r="W553" s="1628" t="s">
        <v>4</v>
      </c>
      <c r="X553" s="1640">
        <f>(S553*V553)</f>
        <v>662.9</v>
      </c>
      <c r="Y553" s="1640"/>
      <c r="Z553" s="1640">
        <v>0.5</v>
      </c>
      <c r="AA553" s="1638" t="s">
        <v>4</v>
      </c>
      <c r="AB553" s="1638"/>
      <c r="AC553" s="1627" t="s">
        <v>269</v>
      </c>
      <c r="AD553" s="1640">
        <f>AD529</f>
        <v>1325.8</v>
      </c>
      <c r="AE553" s="1627" t="s">
        <v>4</v>
      </c>
      <c r="AF553" s="1640">
        <f>(Z553*AD553)</f>
        <v>662.9</v>
      </c>
      <c r="AG553" s="1640" t="str">
        <f t="shared" si="52"/>
        <v>NO</v>
      </c>
      <c r="AH553" s="1640">
        <v>0.5</v>
      </c>
      <c r="AI553" s="1638" t="s">
        <v>4</v>
      </c>
      <c r="AJ553" s="1627" t="s">
        <v>269</v>
      </c>
      <c r="AK553" s="1640">
        <f>AK529</f>
        <v>1325.8</v>
      </c>
      <c r="AL553" s="1627" t="s">
        <v>4</v>
      </c>
      <c r="AM553" s="1640">
        <f>(AH553*AK553)</f>
        <v>662.9</v>
      </c>
    </row>
    <row r="554" spans="1:39" ht="24" customHeight="1">
      <c r="A554" s="1647">
        <f t="shared" si="48"/>
        <v>371</v>
      </c>
      <c r="B554" s="1627" t="s">
        <v>1135</v>
      </c>
      <c r="C554" s="1640">
        <v>6.18</v>
      </c>
      <c r="D554" s="1627" t="s">
        <v>153</v>
      </c>
      <c r="K554" s="1636" t="s">
        <v>21</v>
      </c>
      <c r="O554" s="1627" t="s">
        <v>1138</v>
      </c>
      <c r="P554" s="1627" t="s">
        <v>150</v>
      </c>
      <c r="R554" s="1627" t="s">
        <v>150</v>
      </c>
      <c r="S554" s="1640">
        <v>0.75</v>
      </c>
      <c r="T554" s="1638" t="s">
        <v>4</v>
      </c>
      <c r="U554" s="1627" t="s">
        <v>235</v>
      </c>
      <c r="V554" s="1640">
        <f>V530</f>
        <v>865.19999999999993</v>
      </c>
      <c r="W554" s="1628" t="s">
        <v>4</v>
      </c>
      <c r="X554" s="1640">
        <f>(S554*V554)</f>
        <v>648.9</v>
      </c>
      <c r="Y554" s="1640"/>
      <c r="Z554" s="1640">
        <v>0.75</v>
      </c>
      <c r="AA554" s="1638" t="s">
        <v>4</v>
      </c>
      <c r="AB554" s="1638"/>
      <c r="AC554" s="1627" t="s">
        <v>235</v>
      </c>
      <c r="AD554" s="1640">
        <f>AD530</f>
        <v>865.19999999999993</v>
      </c>
      <c r="AE554" s="1627" t="s">
        <v>4</v>
      </c>
      <c r="AF554" s="1640">
        <f>(Z554*AD554)</f>
        <v>648.9</v>
      </c>
      <c r="AG554" s="1640" t="str">
        <f t="shared" si="52"/>
        <v>NO</v>
      </c>
      <c r="AH554" s="1640">
        <v>0.75</v>
      </c>
      <c r="AI554" s="1638" t="s">
        <v>4</v>
      </c>
      <c r="AJ554" s="1627" t="s">
        <v>235</v>
      </c>
      <c r="AK554" s="1640">
        <f>AK530</f>
        <v>865.19999999999993</v>
      </c>
      <c r="AL554" s="1627" t="s">
        <v>4</v>
      </c>
      <c r="AM554" s="1640">
        <f>(AH554*AK554)</f>
        <v>648.9</v>
      </c>
    </row>
    <row r="555" spans="1:39" ht="24" customHeight="1">
      <c r="A555" s="1647">
        <f t="shared" si="48"/>
        <v>372</v>
      </c>
      <c r="B555" s="1627" t="s">
        <v>1169</v>
      </c>
      <c r="C555" s="1640">
        <v>13.29</v>
      </c>
      <c r="D555" s="1627" t="s">
        <v>153</v>
      </c>
      <c r="H555" s="1627" t="s">
        <v>548</v>
      </c>
      <c r="K555" s="1640">
        <f>SUM(K550:K553)</f>
        <v>1591.1549599999998</v>
      </c>
      <c r="N555" s="1627" t="s">
        <v>226</v>
      </c>
      <c r="O555" s="1627" t="s">
        <v>237</v>
      </c>
      <c r="Q555" s="1627" t="s">
        <v>226</v>
      </c>
      <c r="R555" s="1640">
        <v>0</v>
      </c>
      <c r="S555" s="1629"/>
      <c r="T555" s="1638" t="s">
        <v>226</v>
      </c>
      <c r="U555" s="1627" t="s">
        <v>237</v>
      </c>
      <c r="V555" s="1640">
        <f>V531</f>
        <v>0</v>
      </c>
      <c r="W555" s="1628" t="s">
        <v>226</v>
      </c>
      <c r="X555" s="1640">
        <v>0</v>
      </c>
      <c r="Y555" s="1640"/>
      <c r="AA555" s="1638" t="s">
        <v>226</v>
      </c>
      <c r="AB555" s="1638"/>
      <c r="AC555" s="1627" t="s">
        <v>237</v>
      </c>
      <c r="AD555" s="1640">
        <f>AD531</f>
        <v>0</v>
      </c>
      <c r="AE555" s="1627" t="s">
        <v>226</v>
      </c>
      <c r="AF555" s="1640">
        <v>0</v>
      </c>
      <c r="AG555" s="1640" t="str">
        <f t="shared" si="52"/>
        <v>L.S</v>
      </c>
      <c r="AI555" s="1638" t="s">
        <v>226</v>
      </c>
      <c r="AJ555" s="1627" t="s">
        <v>237</v>
      </c>
      <c r="AK555" s="1640">
        <f>AK531</f>
        <v>0</v>
      </c>
      <c r="AL555" s="1627" t="s">
        <v>226</v>
      </c>
      <c r="AM555" s="1640">
        <v>0</v>
      </c>
    </row>
    <row r="556" spans="1:39" ht="24" customHeight="1">
      <c r="A556" s="1647">
        <f t="shared" si="48"/>
        <v>373</v>
      </c>
      <c r="B556" s="1627" t="s">
        <v>1170</v>
      </c>
      <c r="C556" s="1640">
        <v>14.11</v>
      </c>
      <c r="D556" s="1627" t="s">
        <v>153</v>
      </c>
      <c r="K556" s="1636" t="s">
        <v>21</v>
      </c>
      <c r="R556" s="1636" t="s">
        <v>21</v>
      </c>
      <c r="S556" s="1629"/>
      <c r="T556" s="1630"/>
      <c r="W556" s="1634"/>
      <c r="X556" s="1636" t="s">
        <v>21</v>
      </c>
      <c r="Y556" s="1636"/>
      <c r="AA556" s="1630"/>
      <c r="AB556" s="1630"/>
      <c r="AE556" s="1632"/>
      <c r="AF556" s="1636" t="s">
        <v>21</v>
      </c>
      <c r="AG556" s="1640">
        <f t="shared" si="52"/>
        <v>0</v>
      </c>
      <c r="AI556" s="1630"/>
      <c r="AL556" s="1632"/>
      <c r="AM556" s="1636" t="s">
        <v>21</v>
      </c>
    </row>
    <row r="557" spans="1:39" ht="24" customHeight="1">
      <c r="A557" s="1647">
        <f t="shared" si="48"/>
        <v>374</v>
      </c>
      <c r="B557" s="1627" t="s">
        <v>1171</v>
      </c>
      <c r="C557" s="1640">
        <v>14.69</v>
      </c>
      <c r="D557" s="1627" t="s">
        <v>153</v>
      </c>
      <c r="H557" s="1627" t="s">
        <v>155</v>
      </c>
      <c r="K557" s="1640">
        <f>(K555/0.743)</f>
        <v>2141.527537012113</v>
      </c>
      <c r="O557" s="1627" t="s">
        <v>1139</v>
      </c>
      <c r="R557" s="1640">
        <f>SUM(R537:R555)</f>
        <v>7166.0999999999995</v>
      </c>
      <c r="S557" s="1629"/>
      <c r="T557" s="1630"/>
      <c r="U557" s="1627" t="s">
        <v>548</v>
      </c>
      <c r="W557" s="1634"/>
      <c r="X557" s="1640">
        <f>SUM(X552:X555)</f>
        <v>1593.7415141000001</v>
      </c>
      <c r="Y557" s="1640"/>
      <c r="AA557" s="1630"/>
      <c r="AB557" s="1630"/>
      <c r="AC557" s="1627" t="s">
        <v>548</v>
      </c>
      <c r="AE557" s="1632"/>
      <c r="AF557" s="1640">
        <f>SUM(AF552:AF555)</f>
        <v>1610.0695480999998</v>
      </c>
      <c r="AG557" s="1640">
        <f t="shared" si="52"/>
        <v>0</v>
      </c>
      <c r="AI557" s="1630"/>
      <c r="AJ557" s="1627" t="s">
        <v>548</v>
      </c>
      <c r="AL557" s="1632"/>
      <c r="AM557" s="1640">
        <f>SUM(AM552:AM555)</f>
        <v>1614.1947042649999</v>
      </c>
    </row>
    <row r="558" spans="1:39" ht="24" customHeight="1">
      <c r="A558" s="1647">
        <f t="shared" si="48"/>
        <v>375</v>
      </c>
      <c r="B558" s="1627" t="s">
        <v>1172</v>
      </c>
      <c r="D558" s="1627" t="s">
        <v>150</v>
      </c>
      <c r="K558" s="1636" t="s">
        <v>156</v>
      </c>
      <c r="R558" s="1636" t="s">
        <v>21</v>
      </c>
      <c r="S558" s="1629"/>
      <c r="T558" s="1630"/>
      <c r="W558" s="1634"/>
      <c r="X558" s="1636" t="s">
        <v>21</v>
      </c>
      <c r="Y558" s="1636"/>
      <c r="AA558" s="1630"/>
      <c r="AB558" s="1630"/>
      <c r="AE558" s="1632"/>
      <c r="AF558" s="1636" t="s">
        <v>21</v>
      </c>
      <c r="AG558" s="1640">
        <f t="shared" si="52"/>
        <v>0</v>
      </c>
      <c r="AI558" s="1630"/>
      <c r="AL558" s="1632"/>
      <c r="AM558" s="1636" t="s">
        <v>21</v>
      </c>
    </row>
    <row r="559" spans="1:39" ht="24" customHeight="1">
      <c r="A559" s="1647">
        <f t="shared" si="48"/>
        <v>376</v>
      </c>
      <c r="B559" s="1627" t="s">
        <v>1131</v>
      </c>
      <c r="C559" s="1640">
        <v>10.3</v>
      </c>
      <c r="D559" s="1627" t="s">
        <v>153</v>
      </c>
      <c r="H559" s="1627" t="s">
        <v>271</v>
      </c>
      <c r="I559" s="1640">
        <f>K557</f>
        <v>2141.527537012113</v>
      </c>
      <c r="J559" s="1627">
        <f>C22*0.03/0.743</f>
        <v>6.4215343203230137</v>
      </c>
      <c r="K559" s="1639">
        <f>I559+J559</f>
        <v>2147.9490713324362</v>
      </c>
      <c r="M559" s="1629">
        <f>0.47*38.5</f>
        <v>18.094999999999999</v>
      </c>
      <c r="O559" s="1627" t="s">
        <v>562</v>
      </c>
      <c r="R559" s="1640">
        <f>(R557/30)</f>
        <v>238.86999999999998</v>
      </c>
      <c r="S559" s="1629"/>
      <c r="T559" s="1630"/>
      <c r="U559" s="1627" t="s">
        <v>602</v>
      </c>
      <c r="W559" s="1634"/>
      <c r="X559" s="1639">
        <f>(X557/0.743)</f>
        <v>2145.0087672947511</v>
      </c>
      <c r="Y559" s="1639"/>
      <c r="AA559" s="1630"/>
      <c r="AB559" s="1630"/>
      <c r="AC559" s="1627" t="s">
        <v>602</v>
      </c>
      <c r="AE559" s="1632"/>
      <c r="AF559" s="1639">
        <f>(AF557/0.743)</f>
        <v>2166.9845869448181</v>
      </c>
      <c r="AG559" s="1640">
        <f t="shared" si="52"/>
        <v>0</v>
      </c>
      <c r="AI559" s="1630"/>
      <c r="AJ559" s="1627" t="s">
        <v>602</v>
      </c>
      <c r="AL559" s="1632"/>
      <c r="AM559" s="1639">
        <f>(AM557/0.743)</f>
        <v>2172.5366140847914</v>
      </c>
    </row>
    <row r="560" spans="1:39" ht="24" customHeight="1">
      <c r="A560" s="1647">
        <f t="shared" si="48"/>
        <v>377</v>
      </c>
      <c r="B560" s="1627" t="s">
        <v>1123</v>
      </c>
      <c r="C560" s="1640">
        <v>19.05</v>
      </c>
      <c r="D560" s="1627" t="s">
        <v>153</v>
      </c>
      <c r="H560" s="1627" t="s">
        <v>272</v>
      </c>
      <c r="I560" s="1640">
        <f>K559</f>
        <v>2147.9490713324362</v>
      </c>
      <c r="J560" s="1627">
        <f>C23*0.03/0.743</f>
        <v>12.650874831763122</v>
      </c>
      <c r="K560" s="1639">
        <f>I560+J560</f>
        <v>2160.5999461641995</v>
      </c>
      <c r="M560" s="1629">
        <f>0.24*546</f>
        <v>131.04</v>
      </c>
      <c r="R560" s="1636" t="s">
        <v>21</v>
      </c>
      <c r="S560" s="1629"/>
      <c r="T560" s="1630"/>
      <c r="W560" s="1634"/>
      <c r="X560" s="1636" t="s">
        <v>156</v>
      </c>
      <c r="Y560" s="1636"/>
      <c r="AA560" s="1630"/>
      <c r="AB560" s="1630"/>
      <c r="AE560" s="1632"/>
      <c r="AF560" s="1636" t="s">
        <v>156</v>
      </c>
      <c r="AG560" s="1640">
        <f t="shared" si="52"/>
        <v>0</v>
      </c>
      <c r="AI560" s="1630"/>
      <c r="AL560" s="1632"/>
      <c r="AM560" s="1636" t="s">
        <v>156</v>
      </c>
    </row>
    <row r="561" spans="1:39" ht="24" customHeight="1">
      <c r="A561" s="1647">
        <f t="shared" si="48"/>
        <v>378</v>
      </c>
      <c r="B561" s="1627" t="s">
        <v>1135</v>
      </c>
      <c r="C561" s="1640">
        <v>15.34</v>
      </c>
      <c r="D561" s="1627" t="s">
        <v>153</v>
      </c>
      <c r="H561" s="1627" t="s">
        <v>767</v>
      </c>
      <c r="I561" s="1640">
        <f>K560</f>
        <v>2160.5999461641995</v>
      </c>
      <c r="J561" s="1627">
        <f>J560</f>
        <v>12.650874831763122</v>
      </c>
      <c r="K561" s="1639">
        <f>I561+J561</f>
        <v>2173.2508209959628</v>
      </c>
      <c r="M561" s="1629">
        <f>0.24*143.6</f>
        <v>34.463999999999999</v>
      </c>
      <c r="N561" s="1627" t="s">
        <v>249</v>
      </c>
      <c r="O561" s="1627" t="s">
        <v>1053</v>
      </c>
      <c r="S561" s="1629"/>
      <c r="T561" s="1630"/>
      <c r="U561" s="1627" t="s">
        <v>271</v>
      </c>
      <c r="V561" s="1640">
        <f>X559</f>
        <v>2145.0087672947511</v>
      </c>
      <c r="W561" s="1628">
        <f>J559</f>
        <v>6.4215343203230137</v>
      </c>
      <c r="X561" s="1639">
        <f>V561+W561</f>
        <v>2151.4303016150743</v>
      </c>
      <c r="Y561" s="1639"/>
      <c r="AA561" s="1630"/>
      <c r="AB561" s="1630"/>
      <c r="AC561" s="1627" t="s">
        <v>271</v>
      </c>
      <c r="AD561" s="1640">
        <f>AF559</f>
        <v>2166.9845869448181</v>
      </c>
      <c r="AE561" s="1627">
        <f t="shared" ref="AE561:AE566" si="65">W561</f>
        <v>6.4215343203230137</v>
      </c>
      <c r="AF561" s="1639">
        <f t="shared" ref="AF561:AF566" si="66">AD561+AE561</f>
        <v>2173.4061212651413</v>
      </c>
      <c r="AG561" s="1640">
        <f t="shared" si="52"/>
        <v>0</v>
      </c>
      <c r="AI561" s="1630"/>
      <c r="AJ561" s="1627" t="s">
        <v>271</v>
      </c>
      <c r="AK561" s="1640">
        <f>AM559</f>
        <v>2172.5366140847914</v>
      </c>
      <c r="AL561" s="1627">
        <f t="shared" ref="AL561:AL566" si="67">AE561</f>
        <v>6.4215343203230137</v>
      </c>
      <c r="AM561" s="1639">
        <f t="shared" ref="AM561:AM566" si="68">AK561+AL561</f>
        <v>2178.9581484051146</v>
      </c>
    </row>
    <row r="562" spans="1:39" ht="24" customHeight="1">
      <c r="A562" s="1647">
        <f t="shared" si="48"/>
        <v>379</v>
      </c>
      <c r="B562" s="1627" t="s">
        <v>1173</v>
      </c>
      <c r="C562" s="1640">
        <v>29.41</v>
      </c>
      <c r="D562" s="1627" t="s">
        <v>153</v>
      </c>
      <c r="H562" s="1627" t="s">
        <v>769</v>
      </c>
      <c r="I562" s="1640">
        <f>K561</f>
        <v>2173.2508209959628</v>
      </c>
      <c r="J562" s="1627">
        <f>J561</f>
        <v>12.650874831763122</v>
      </c>
      <c r="K562" s="1639">
        <f>I562+J562</f>
        <v>2185.9016958277261</v>
      </c>
      <c r="M562" s="1629">
        <f>0.79*328.9</f>
        <v>259.83100000000002</v>
      </c>
      <c r="O562" s="1627" t="s">
        <v>1174</v>
      </c>
      <c r="S562" s="1629"/>
      <c r="T562" s="1630"/>
      <c r="U562" s="1627" t="s">
        <v>272</v>
      </c>
      <c r="V562" s="1640">
        <f>X561</f>
        <v>2151.4303016150743</v>
      </c>
      <c r="W562" s="1628">
        <f>J560</f>
        <v>12.650874831763122</v>
      </c>
      <c r="X562" s="1639">
        <f>V562+W562</f>
        <v>2164.0811764468376</v>
      </c>
      <c r="Y562" s="1639"/>
      <c r="AA562" s="1630"/>
      <c r="AB562" s="1630"/>
      <c r="AC562" s="1627" t="s">
        <v>272</v>
      </c>
      <c r="AD562" s="1640">
        <f>AF561</f>
        <v>2173.4061212651413</v>
      </c>
      <c r="AE562" s="1627">
        <f t="shared" si="65"/>
        <v>12.650874831763122</v>
      </c>
      <c r="AF562" s="1639">
        <f t="shared" si="66"/>
        <v>2186.0569960969046</v>
      </c>
      <c r="AG562" s="1640">
        <f t="shared" si="52"/>
        <v>0</v>
      </c>
      <c r="AI562" s="1630"/>
      <c r="AJ562" s="1627" t="s">
        <v>272</v>
      </c>
      <c r="AK562" s="1640">
        <f>AM561</f>
        <v>2178.9581484051146</v>
      </c>
      <c r="AL562" s="1627">
        <f t="shared" si="67"/>
        <v>12.650874831763122</v>
      </c>
      <c r="AM562" s="1639">
        <f t="shared" si="68"/>
        <v>2191.6090232368779</v>
      </c>
    </row>
    <row r="563" spans="1:39" ht="24" customHeight="1">
      <c r="F563" s="1627" t="s">
        <v>150</v>
      </c>
      <c r="H563" s="1627" t="s">
        <v>272</v>
      </c>
      <c r="I563" s="1640">
        <f>K562</f>
        <v>2185.9016958277261</v>
      </c>
      <c r="J563" s="1627">
        <f>J562</f>
        <v>12.650874831763122</v>
      </c>
      <c r="K563" s="1639">
        <f>I563+J563</f>
        <v>2198.5525706594894</v>
      </c>
      <c r="M563" s="1629">
        <f>SUM(M559:M562)</f>
        <v>443.43</v>
      </c>
      <c r="S563" s="1629"/>
      <c r="T563" s="1630"/>
      <c r="U563" s="1627" t="s">
        <v>767</v>
      </c>
      <c r="V563" s="1640">
        <f>X562</f>
        <v>2164.0811764468376</v>
      </c>
      <c r="W563" s="1628">
        <f>J561</f>
        <v>12.650874831763122</v>
      </c>
      <c r="X563" s="1639">
        <f>V563+W563</f>
        <v>2176.7320512786009</v>
      </c>
      <c r="Y563" s="1639"/>
      <c r="AA563" s="1630"/>
      <c r="AB563" s="1630"/>
      <c r="AC563" s="1627" t="s">
        <v>767</v>
      </c>
      <c r="AD563" s="1640">
        <f>AF562</f>
        <v>2186.0569960969046</v>
      </c>
      <c r="AE563" s="1627">
        <f t="shared" si="65"/>
        <v>12.650874831763122</v>
      </c>
      <c r="AF563" s="1639">
        <f t="shared" si="66"/>
        <v>2198.7078709286679</v>
      </c>
      <c r="AG563" s="1640">
        <f t="shared" si="52"/>
        <v>0</v>
      </c>
      <c r="AI563" s="1630"/>
      <c r="AJ563" s="1627" t="s">
        <v>767</v>
      </c>
      <c r="AK563" s="1640">
        <f>AM562</f>
        <v>2191.6090232368779</v>
      </c>
      <c r="AL563" s="1627">
        <f t="shared" si="67"/>
        <v>12.650874831763122</v>
      </c>
      <c r="AM563" s="1639">
        <f t="shared" si="68"/>
        <v>2204.2598980686412</v>
      </c>
    </row>
    <row r="564" spans="1:39" ht="15.75">
      <c r="A564" s="1647">
        <f>(A562+1)</f>
        <v>380</v>
      </c>
      <c r="B564" s="1627" t="s">
        <v>1170</v>
      </c>
      <c r="C564" s="1640">
        <v>38.35</v>
      </c>
      <c r="D564" s="1627" t="s">
        <v>153</v>
      </c>
      <c r="H564" s="1627">
        <v>5</v>
      </c>
      <c r="I564" s="1640">
        <f t="shared" ref="I564:I569" si="69">K563</f>
        <v>2198.5525706594894</v>
      </c>
      <c r="J564" s="1627">
        <f t="shared" ref="J564:J571" si="70">J563</f>
        <v>12.650874831763122</v>
      </c>
      <c r="K564" s="1639">
        <f t="shared" ref="K564:K569" si="71">I564+J564</f>
        <v>2211.2034454912528</v>
      </c>
      <c r="O564" s="1627" t="s">
        <v>1055</v>
      </c>
      <c r="S564" s="1629"/>
      <c r="T564" s="1630"/>
      <c r="U564" s="1627" t="s">
        <v>769</v>
      </c>
      <c r="V564" s="1640">
        <f>X563</f>
        <v>2176.7320512786009</v>
      </c>
      <c r="W564" s="1628">
        <f>J562</f>
        <v>12.650874831763122</v>
      </c>
      <c r="X564" s="1639">
        <f>V564+W564</f>
        <v>2189.3829261103642</v>
      </c>
      <c r="Y564" s="1639"/>
      <c r="AA564" s="1630"/>
      <c r="AB564" s="1630"/>
      <c r="AC564" s="1627" t="s">
        <v>769</v>
      </c>
      <c r="AD564" s="1640">
        <f>AF563</f>
        <v>2198.7078709286679</v>
      </c>
      <c r="AE564" s="1627">
        <f t="shared" si="65"/>
        <v>12.650874831763122</v>
      </c>
      <c r="AF564" s="1639">
        <f t="shared" si="66"/>
        <v>2211.3587457604312</v>
      </c>
      <c r="AG564" s="1640">
        <f t="shared" si="52"/>
        <v>0</v>
      </c>
      <c r="AI564" s="1630"/>
      <c r="AJ564" s="1627" t="s">
        <v>769</v>
      </c>
      <c r="AK564" s="1640">
        <f>AM563</f>
        <v>2204.2598980686412</v>
      </c>
      <c r="AL564" s="1627">
        <f t="shared" si="67"/>
        <v>12.650874831763122</v>
      </c>
      <c r="AM564" s="1639">
        <f t="shared" si="68"/>
        <v>2216.9107729004045</v>
      </c>
    </row>
    <row r="565" spans="1:39" ht="15.75">
      <c r="A565" s="1647"/>
      <c r="B565" s="1627"/>
      <c r="C565" s="1640"/>
      <c r="D565" s="1627"/>
      <c r="H565" s="1627">
        <v>6</v>
      </c>
      <c r="I565" s="1640">
        <f t="shared" si="69"/>
        <v>2211.2034454912528</v>
      </c>
      <c r="J565" s="1627">
        <f t="shared" si="70"/>
        <v>12.650874831763122</v>
      </c>
      <c r="K565" s="1639">
        <f t="shared" si="71"/>
        <v>2223.8543203230161</v>
      </c>
      <c r="O565" s="1627"/>
      <c r="S565" s="1627" t="s">
        <v>150</v>
      </c>
      <c r="T565" s="1630"/>
      <c r="U565" s="1627" t="s">
        <v>1175</v>
      </c>
      <c r="V565" s="1640">
        <f>X564</f>
        <v>2189.3829261103642</v>
      </c>
      <c r="W565" s="1628">
        <f>J563</f>
        <v>12.650874831763122</v>
      </c>
      <c r="X565" s="1639">
        <f>V565+W565</f>
        <v>2202.0338009421275</v>
      </c>
      <c r="Y565" s="1639"/>
      <c r="AC565" s="1627" t="s">
        <v>272</v>
      </c>
      <c r="AD565" s="1640">
        <f>AF564</f>
        <v>2211.3587457604312</v>
      </c>
      <c r="AE565" s="1627">
        <f t="shared" si="65"/>
        <v>12.650874831763122</v>
      </c>
      <c r="AF565" s="1639">
        <f t="shared" si="66"/>
        <v>2224.0096205921946</v>
      </c>
      <c r="AG565" s="1640"/>
      <c r="AJ565" s="1627" t="s">
        <v>272</v>
      </c>
      <c r="AK565" s="1640">
        <f>AM564</f>
        <v>2216.9107729004045</v>
      </c>
      <c r="AL565" s="1627">
        <f t="shared" si="67"/>
        <v>12.650874831763122</v>
      </c>
      <c r="AM565" s="1639">
        <f t="shared" si="68"/>
        <v>2229.5616477321678</v>
      </c>
    </row>
    <row r="566" spans="1:39" ht="15.75">
      <c r="A566" s="1647"/>
      <c r="B566" s="1627"/>
      <c r="C566" s="1640"/>
      <c r="D566" s="1627"/>
      <c r="H566" s="1627">
        <v>7</v>
      </c>
      <c r="I566" s="1640">
        <f t="shared" si="69"/>
        <v>2223.8543203230161</v>
      </c>
      <c r="J566" s="1627">
        <f t="shared" si="70"/>
        <v>12.650874831763122</v>
      </c>
      <c r="K566" s="1639">
        <f t="shared" si="71"/>
        <v>2236.5051951547794</v>
      </c>
      <c r="O566" s="1627"/>
      <c r="W566" s="1634"/>
      <c r="AC566" s="1627" t="s">
        <v>767</v>
      </c>
      <c r="AD566" s="1640">
        <f>AF565</f>
        <v>2224.0096205921946</v>
      </c>
      <c r="AE566" s="1627">
        <f t="shared" si="65"/>
        <v>0</v>
      </c>
      <c r="AF566" s="1639">
        <f t="shared" si="66"/>
        <v>2224.0096205921946</v>
      </c>
      <c r="AG566" s="1640"/>
      <c r="AJ566" s="1627" t="s">
        <v>767</v>
      </c>
      <c r="AK566" s="1640">
        <f>AM565</f>
        <v>2229.5616477321678</v>
      </c>
      <c r="AL566" s="1627">
        <f t="shared" si="67"/>
        <v>0</v>
      </c>
      <c r="AM566" s="1639">
        <f t="shared" si="68"/>
        <v>2229.5616477321678</v>
      </c>
    </row>
    <row r="567" spans="1:39" ht="15.75">
      <c r="A567" s="1647"/>
      <c r="B567" s="1627"/>
      <c r="C567" s="1640"/>
      <c r="D567" s="1627"/>
      <c r="H567" s="1627">
        <v>8</v>
      </c>
      <c r="I567" s="1640">
        <f t="shared" si="69"/>
        <v>2236.5051951547794</v>
      </c>
      <c r="J567" s="1627">
        <f t="shared" si="70"/>
        <v>12.650874831763122</v>
      </c>
      <c r="K567" s="1639">
        <f t="shared" si="71"/>
        <v>2249.1560699865427</v>
      </c>
      <c r="O567" s="1627"/>
      <c r="W567" s="1634"/>
      <c r="AG567" s="1640"/>
      <c r="AI567" s="1627"/>
    </row>
    <row r="568" spans="1:39" ht="15.75">
      <c r="A568" s="1647"/>
      <c r="B568" s="1627"/>
      <c r="C568" s="1640"/>
      <c r="D568" s="1627"/>
      <c r="H568" s="1627">
        <v>9</v>
      </c>
      <c r="I568" s="1640">
        <f t="shared" si="69"/>
        <v>2249.1560699865427</v>
      </c>
      <c r="J568" s="1627">
        <f t="shared" si="70"/>
        <v>12.650874831763122</v>
      </c>
      <c r="K568" s="1639">
        <f t="shared" si="71"/>
        <v>2261.806944818306</v>
      </c>
      <c r="O568" s="1627"/>
      <c r="W568" s="1634"/>
      <c r="AG568" s="1640"/>
      <c r="AI568" s="1627"/>
    </row>
    <row r="569" spans="1:39" ht="15.75">
      <c r="A569" s="1647"/>
      <c r="B569" s="1627"/>
      <c r="C569" s="1640"/>
      <c r="D569" s="1627"/>
      <c r="H569" s="1627">
        <v>10</v>
      </c>
      <c r="I569" s="1640">
        <f t="shared" si="69"/>
        <v>2261.806944818306</v>
      </c>
      <c r="J569" s="1627">
        <f t="shared" si="70"/>
        <v>12.650874831763122</v>
      </c>
      <c r="K569" s="1639">
        <f t="shared" si="71"/>
        <v>2274.4578196500693</v>
      </c>
      <c r="O569" s="1627"/>
      <c r="W569" s="1634"/>
      <c r="AG569" s="1640"/>
      <c r="AI569" s="1627"/>
    </row>
    <row r="570" spans="1:39" ht="15.75">
      <c r="A570" s="1647"/>
      <c r="B570" s="1627"/>
      <c r="C570" s="1640"/>
      <c r="D570" s="1627"/>
      <c r="H570" s="1627">
        <v>11</v>
      </c>
      <c r="I570" s="1640">
        <f>K569</f>
        <v>2274.4578196500693</v>
      </c>
      <c r="J570" s="1627">
        <f t="shared" si="70"/>
        <v>12.650874831763122</v>
      </c>
      <c r="K570" s="1639">
        <f>I570+J570</f>
        <v>2287.1086944818326</v>
      </c>
      <c r="O570" s="1627"/>
      <c r="W570" s="1634"/>
      <c r="AG570" s="1640"/>
      <c r="AI570" s="1627"/>
    </row>
    <row r="571" spans="1:39" ht="15.75">
      <c r="A571" s="1647"/>
      <c r="B571" s="1627"/>
      <c r="C571" s="1640"/>
      <c r="D571" s="1627"/>
      <c r="H571" s="1627">
        <v>12</v>
      </c>
      <c r="I571" s="1640">
        <f>K570</f>
        <v>2287.1086944818326</v>
      </c>
      <c r="J571" s="1627">
        <f t="shared" si="70"/>
        <v>12.650874831763122</v>
      </c>
      <c r="K571" s="1639">
        <f>I571+J571</f>
        <v>2299.7595693135959</v>
      </c>
      <c r="O571" s="1627"/>
      <c r="W571" s="1634"/>
      <c r="AG571" s="1640"/>
      <c r="AI571" s="1627"/>
    </row>
    <row r="572" spans="1:39" ht="15.75">
      <c r="A572" s="1647">
        <f>(A564+1)</f>
        <v>381</v>
      </c>
      <c r="B572" s="1627" t="s">
        <v>1171</v>
      </c>
      <c r="C572" s="1640">
        <v>37.96</v>
      </c>
      <c r="D572" s="1627" t="s">
        <v>153</v>
      </c>
      <c r="F572" s="1662"/>
      <c r="G572" s="1638" t="s">
        <v>150</v>
      </c>
      <c r="H572" s="1627" t="s">
        <v>1176</v>
      </c>
      <c r="O572" s="1636" t="s">
        <v>21</v>
      </c>
      <c r="S572" s="1673"/>
      <c r="T572" s="1638" t="s">
        <v>150</v>
      </c>
      <c r="U572" s="1627" t="s">
        <v>1176</v>
      </c>
      <c r="W572" s="1634"/>
      <c r="AC572" s="1627" t="s">
        <v>769</v>
      </c>
      <c r="AD572" s="1640">
        <f>AF571</f>
        <v>0</v>
      </c>
      <c r="AE572" s="1627">
        <f>W572</f>
        <v>0</v>
      </c>
      <c r="AF572" s="1639">
        <f>AD572+AE572</f>
        <v>0</v>
      </c>
      <c r="AG572" s="1640" t="str">
        <f t="shared" si="52"/>
        <v>|</v>
      </c>
      <c r="AI572" s="1627" t="s">
        <v>1095</v>
      </c>
    </row>
    <row r="573" spans="1:39" ht="24" customHeight="1">
      <c r="A573" s="1647">
        <f t="shared" ref="A573:A587" si="72">(A572+1)</f>
        <v>382</v>
      </c>
      <c r="B573" s="1627" t="s">
        <v>1177</v>
      </c>
      <c r="D573" s="1627" t="s">
        <v>150</v>
      </c>
      <c r="H573" s="1627" t="s">
        <v>1178</v>
      </c>
      <c r="T573" s="1630"/>
      <c r="U573" s="1627" t="s">
        <v>1178</v>
      </c>
      <c r="W573" s="1634"/>
      <c r="AG573" s="1640" t="str">
        <f t="shared" si="52"/>
        <v>|</v>
      </c>
      <c r="AI573" s="1627" t="s">
        <v>1095</v>
      </c>
    </row>
    <row r="574" spans="1:39" ht="24" customHeight="1">
      <c r="A574" s="1647">
        <f t="shared" si="72"/>
        <v>383</v>
      </c>
      <c r="B574" s="1627" t="s">
        <v>1131</v>
      </c>
      <c r="C574" s="1640">
        <v>6.68</v>
      </c>
      <c r="D574" s="1627" t="s">
        <v>153</v>
      </c>
      <c r="H574" s="1627" t="s">
        <v>1179</v>
      </c>
      <c r="N574" s="1627" t="s">
        <v>1056</v>
      </c>
      <c r="O574" s="1627" t="s">
        <v>1180</v>
      </c>
      <c r="T574" s="1630"/>
      <c r="U574" s="1627" t="s">
        <v>1179</v>
      </c>
      <c r="W574" s="1634"/>
      <c r="AG574" s="1640" t="str">
        <f t="shared" si="52"/>
        <v>|</v>
      </c>
      <c r="AI574" s="1627" t="s">
        <v>1095</v>
      </c>
    </row>
    <row r="575" spans="1:39" ht="24" customHeight="1">
      <c r="A575" s="1647">
        <f t="shared" si="72"/>
        <v>384</v>
      </c>
      <c r="B575" s="1627" t="s">
        <v>1123</v>
      </c>
      <c r="C575" s="1640">
        <v>9.4499999999999993</v>
      </c>
      <c r="D575" s="1627" t="s">
        <v>153</v>
      </c>
      <c r="H575" s="1627" t="s">
        <v>1181</v>
      </c>
      <c r="O575" s="1636" t="s">
        <v>21</v>
      </c>
      <c r="T575" s="1630"/>
      <c r="U575" s="1627" t="s">
        <v>1181</v>
      </c>
      <c r="W575" s="1634"/>
      <c r="AG575" s="1640" t="str">
        <f t="shared" si="52"/>
        <v>|</v>
      </c>
      <c r="AI575" s="1627" t="s">
        <v>1095</v>
      </c>
    </row>
    <row r="576" spans="1:39" ht="24" customHeight="1">
      <c r="A576" s="1647">
        <f t="shared" si="72"/>
        <v>385</v>
      </c>
      <c r="B576" s="1627" t="s">
        <v>1135</v>
      </c>
      <c r="C576" s="1640">
        <v>33.04</v>
      </c>
      <c r="D576" s="1627" t="s">
        <v>153</v>
      </c>
      <c r="H576" s="1627" t="s">
        <v>1182</v>
      </c>
      <c r="M576" s="1640">
        <v>8.1</v>
      </c>
      <c r="N576" s="1627" t="s">
        <v>151</v>
      </c>
      <c r="O576" s="1627" t="s">
        <v>1060</v>
      </c>
      <c r="P576" s="1640">
        <f>(C61)*2</f>
        <v>297.5</v>
      </c>
      <c r="Q576" s="1627" t="s">
        <v>151</v>
      </c>
      <c r="R576" s="1640">
        <f>(M576*P576)</f>
        <v>2409.75</v>
      </c>
      <c r="T576" s="1630"/>
      <c r="U576" s="1627" t="s">
        <v>1182</v>
      </c>
      <c r="W576" s="1634"/>
      <c r="AG576" s="1640" t="str">
        <f t="shared" si="52"/>
        <v>|</v>
      </c>
      <c r="AI576" s="1627" t="s">
        <v>1095</v>
      </c>
    </row>
    <row r="577" spans="1:35" ht="24" customHeight="1">
      <c r="A577" s="1647">
        <f t="shared" si="72"/>
        <v>386</v>
      </c>
      <c r="B577" s="1627" t="s">
        <v>1173</v>
      </c>
      <c r="C577" s="1640">
        <v>33.04</v>
      </c>
      <c r="D577" s="1627" t="s">
        <v>153</v>
      </c>
      <c r="H577" s="1627" t="s">
        <v>1183</v>
      </c>
      <c r="M577" s="1640">
        <v>8.1</v>
      </c>
      <c r="N577" s="1627" t="s">
        <v>151</v>
      </c>
      <c r="O577" s="1627" t="s">
        <v>1061</v>
      </c>
      <c r="P577" s="1640">
        <f>(C26)</f>
        <v>51.730000000000004</v>
      </c>
      <c r="Q577" s="1627" t="s">
        <v>151</v>
      </c>
      <c r="R577" s="1640">
        <f>(M577*P577)</f>
        <v>419.01300000000003</v>
      </c>
      <c r="T577" s="1630"/>
      <c r="U577" s="1627" t="s">
        <v>1183</v>
      </c>
      <c r="W577" s="1634"/>
      <c r="AG577" s="1640" t="str">
        <f t="shared" si="52"/>
        <v>|</v>
      </c>
      <c r="AI577" s="1627" t="s">
        <v>1095</v>
      </c>
    </row>
    <row r="578" spans="1:35" ht="24" customHeight="1">
      <c r="A578" s="1647">
        <f t="shared" si="72"/>
        <v>387</v>
      </c>
      <c r="B578" s="1627" t="s">
        <v>1184</v>
      </c>
      <c r="C578" s="1640">
        <v>33.04</v>
      </c>
      <c r="D578" s="1627" t="s">
        <v>153</v>
      </c>
      <c r="H578" s="1627" t="s">
        <v>1185</v>
      </c>
      <c r="M578" s="1640">
        <v>30</v>
      </c>
      <c r="N578" s="1627" t="s">
        <v>552</v>
      </c>
      <c r="O578" s="1627" t="s">
        <v>1062</v>
      </c>
      <c r="P578" s="1640">
        <f>(C661)</f>
        <v>11.2</v>
      </c>
      <c r="Q578" s="1627" t="s">
        <v>552</v>
      </c>
      <c r="R578" s="1640">
        <f>(M578*P578)</f>
        <v>336</v>
      </c>
      <c r="T578" s="1630"/>
      <c r="U578" s="1627" t="s">
        <v>1185</v>
      </c>
      <c r="W578" s="1634"/>
      <c r="AG578" s="1640" t="str">
        <f t="shared" si="52"/>
        <v>|</v>
      </c>
      <c r="AI578" s="1627" t="s">
        <v>1095</v>
      </c>
    </row>
    <row r="579" spans="1:35" ht="24" customHeight="1">
      <c r="A579" s="1647">
        <f t="shared" si="72"/>
        <v>388</v>
      </c>
      <c r="B579" s="1627" t="s">
        <v>1186</v>
      </c>
      <c r="C579" s="1640">
        <v>33.04</v>
      </c>
      <c r="D579" s="1627" t="s">
        <v>153</v>
      </c>
      <c r="H579" s="1636" t="s">
        <v>21</v>
      </c>
      <c r="I579" s="1636" t="s">
        <v>21</v>
      </c>
      <c r="O579" s="1627" t="s">
        <v>1187</v>
      </c>
      <c r="T579" s="1630"/>
      <c r="U579" s="1636" t="s">
        <v>21</v>
      </c>
      <c r="V579" s="1636" t="s">
        <v>21</v>
      </c>
      <c r="W579" s="1634"/>
      <c r="AG579" s="1640" t="str">
        <f t="shared" si="52"/>
        <v>|</v>
      </c>
      <c r="AI579" s="1627" t="s">
        <v>1095</v>
      </c>
    </row>
    <row r="580" spans="1:35" ht="24" customHeight="1">
      <c r="A580" s="1647">
        <f t="shared" si="72"/>
        <v>389</v>
      </c>
      <c r="B580" s="1627" t="s">
        <v>1188</v>
      </c>
      <c r="C580" s="1640">
        <v>538</v>
      </c>
      <c r="D580" s="1627" t="s">
        <v>153</v>
      </c>
      <c r="G580" s="1638" t="s">
        <v>588</v>
      </c>
      <c r="H580" s="1627" t="s">
        <v>1189</v>
      </c>
      <c r="O580" s="1627" t="s">
        <v>1064</v>
      </c>
      <c r="T580" s="1638" t="s">
        <v>588</v>
      </c>
      <c r="U580" s="1627" t="s">
        <v>1190</v>
      </c>
      <c r="W580" s="1634"/>
      <c r="AG580" s="1640" t="str">
        <f t="shared" si="52"/>
        <v>|</v>
      </c>
      <c r="AI580" s="1627" t="s">
        <v>1095</v>
      </c>
    </row>
    <row r="581" spans="1:35" ht="24" customHeight="1">
      <c r="A581" s="1647">
        <f t="shared" si="72"/>
        <v>390</v>
      </c>
      <c r="B581" s="1627" t="s">
        <v>1191</v>
      </c>
      <c r="C581" s="1640">
        <v>340</v>
      </c>
      <c r="D581" s="1627" t="s">
        <v>153</v>
      </c>
      <c r="H581" s="1627" t="s">
        <v>1192</v>
      </c>
      <c r="O581" s="1627" t="s">
        <v>1065</v>
      </c>
      <c r="T581" s="1630"/>
      <c r="U581" s="1627" t="s">
        <v>1192</v>
      </c>
      <c r="W581" s="1634"/>
      <c r="AG581" s="1640" t="str">
        <f t="shared" si="52"/>
        <v>|</v>
      </c>
      <c r="AI581" s="1627" t="s">
        <v>1095</v>
      </c>
    </row>
    <row r="582" spans="1:35" ht="24" customHeight="1">
      <c r="A582" s="1647">
        <f t="shared" si="72"/>
        <v>391</v>
      </c>
      <c r="B582" s="1627" t="s">
        <v>1193</v>
      </c>
      <c r="C582" s="1640">
        <v>1039</v>
      </c>
      <c r="D582" s="1627" t="s">
        <v>153</v>
      </c>
      <c r="F582" s="1640">
        <v>10</v>
      </c>
      <c r="G582" s="1638" t="s">
        <v>306</v>
      </c>
      <c r="H582" s="1627" t="s">
        <v>1194</v>
      </c>
      <c r="I582" s="1640">
        <f>C751</f>
        <v>376.7</v>
      </c>
      <c r="J582" s="1627" t="s">
        <v>306</v>
      </c>
      <c r="K582" s="1640">
        <f>(F582*I582)</f>
        <v>3767</v>
      </c>
      <c r="O582" s="1627" t="s">
        <v>1066</v>
      </c>
      <c r="S582" s="1658">
        <v>10</v>
      </c>
      <c r="T582" s="1638" t="s">
        <v>306</v>
      </c>
      <c r="U582" s="1627" t="s">
        <v>1194</v>
      </c>
      <c r="V582" s="1640">
        <f>I604</f>
        <v>408</v>
      </c>
      <c r="W582" s="1628" t="s">
        <v>306</v>
      </c>
      <c r="X582" s="1640">
        <f>(S582*V582)</f>
        <v>4080</v>
      </c>
      <c r="Y582" s="1640"/>
      <c r="AG582" s="1640" t="str">
        <f t="shared" si="52"/>
        <v>|</v>
      </c>
      <c r="AI582" s="1627" t="s">
        <v>1095</v>
      </c>
    </row>
    <row r="583" spans="1:35" ht="24" customHeight="1">
      <c r="A583" s="1647">
        <f t="shared" si="72"/>
        <v>392</v>
      </c>
      <c r="B583" s="1627" t="s">
        <v>5152</v>
      </c>
      <c r="C583" s="1640">
        <v>230.2</v>
      </c>
      <c r="D583" s="1627" t="s">
        <v>153</v>
      </c>
      <c r="F583" s="1640">
        <v>1</v>
      </c>
      <c r="G583" s="1638" t="s">
        <v>345</v>
      </c>
      <c r="H583" s="1627" t="s">
        <v>1196</v>
      </c>
      <c r="I583" s="1640">
        <f>C10</f>
        <v>1325.8</v>
      </c>
      <c r="J583" s="1627" t="s">
        <v>340</v>
      </c>
      <c r="K583" s="1640">
        <f>(F583*I583)</f>
        <v>1325.8</v>
      </c>
      <c r="M583" s="1640">
        <v>8</v>
      </c>
      <c r="N583" s="1627" t="s">
        <v>4</v>
      </c>
      <c r="O583" s="1627" t="s">
        <v>1069</v>
      </c>
      <c r="P583" s="1640">
        <v>10.199999999999999</v>
      </c>
      <c r="Q583" s="1627" t="s">
        <v>4</v>
      </c>
      <c r="R583" s="1640">
        <f>(M583*P583)</f>
        <v>81.599999999999994</v>
      </c>
      <c r="S583" s="1658">
        <v>1</v>
      </c>
      <c r="T583" s="1638" t="s">
        <v>345</v>
      </c>
      <c r="U583" s="1627" t="s">
        <v>1196</v>
      </c>
      <c r="V583" s="1640">
        <f>I583</f>
        <v>1325.8</v>
      </c>
      <c r="W583" s="1628" t="s">
        <v>340</v>
      </c>
      <c r="X583" s="1640">
        <f>(S583*V583)</f>
        <v>1325.8</v>
      </c>
      <c r="Y583" s="1640"/>
      <c r="AG583" s="1640" t="str">
        <f t="shared" si="52"/>
        <v>|</v>
      </c>
      <c r="AI583" s="1627" t="s">
        <v>1095</v>
      </c>
    </row>
    <row r="584" spans="1:35" ht="24" customHeight="1">
      <c r="A584" s="1647">
        <f t="shared" si="72"/>
        <v>393</v>
      </c>
      <c r="B584" s="1627" t="s">
        <v>1197</v>
      </c>
      <c r="C584" s="1640">
        <v>31</v>
      </c>
      <c r="D584" s="1627" t="s">
        <v>953</v>
      </c>
      <c r="F584" s="1640">
        <v>1</v>
      </c>
      <c r="G584" s="1638" t="s">
        <v>345</v>
      </c>
      <c r="H584" s="1627" t="s">
        <v>1198</v>
      </c>
      <c r="I584" s="1640">
        <f>C12</f>
        <v>865.19999999999993</v>
      </c>
      <c r="J584" s="1627" t="s">
        <v>340</v>
      </c>
      <c r="K584" s="1640">
        <f>(F584*I584)</f>
        <v>865.19999999999993</v>
      </c>
      <c r="M584" s="1640">
        <v>8</v>
      </c>
      <c r="N584" s="1627" t="s">
        <v>4</v>
      </c>
      <c r="O584" s="1627" t="s">
        <v>1072</v>
      </c>
      <c r="P584" s="1640">
        <v>28.5</v>
      </c>
      <c r="Q584" s="1627" t="s">
        <v>4</v>
      </c>
      <c r="R584" s="1640">
        <f>(M584*P584)</f>
        <v>228</v>
      </c>
      <c r="S584" s="1658">
        <v>1</v>
      </c>
      <c r="T584" s="1638" t="s">
        <v>345</v>
      </c>
      <c r="U584" s="1627" t="s">
        <v>1198</v>
      </c>
      <c r="V584" s="1640">
        <f>I584</f>
        <v>865.19999999999993</v>
      </c>
      <c r="W584" s="1628" t="s">
        <v>340</v>
      </c>
      <c r="X584" s="1640">
        <f>(S584*V584)</f>
        <v>865.19999999999993</v>
      </c>
      <c r="Y584" s="1640"/>
      <c r="AG584" s="1640" t="str">
        <f t="shared" si="52"/>
        <v>|</v>
      </c>
      <c r="AI584" s="1627" t="s">
        <v>1095</v>
      </c>
    </row>
    <row r="585" spans="1:35" ht="24" customHeight="1">
      <c r="A585" s="1647">
        <f t="shared" si="72"/>
        <v>394</v>
      </c>
      <c r="B585" s="1627" t="s">
        <v>5153</v>
      </c>
      <c r="C585" s="1640">
        <v>204</v>
      </c>
      <c r="D585" s="1627" t="s">
        <v>153</v>
      </c>
      <c r="G585" s="1638" t="s">
        <v>226</v>
      </c>
      <c r="H585" s="1627" t="s">
        <v>1200</v>
      </c>
      <c r="J585" s="1627" t="s">
        <v>226</v>
      </c>
      <c r="K585" s="1640">
        <v>120</v>
      </c>
      <c r="M585" s="1640">
        <v>1</v>
      </c>
      <c r="N585" s="1627" t="s">
        <v>226</v>
      </c>
      <c r="O585" s="1627" t="s">
        <v>1074</v>
      </c>
      <c r="P585" s="1640">
        <f>(C673)</f>
        <v>4</v>
      </c>
      <c r="Q585" s="1627" t="s">
        <v>226</v>
      </c>
      <c r="R585" s="1640">
        <f>(M585*P585)</f>
        <v>4</v>
      </c>
      <c r="T585" s="1638" t="s">
        <v>226</v>
      </c>
      <c r="U585" s="1627" t="s">
        <v>1200</v>
      </c>
      <c r="V585" s="1640">
        <f>I585</f>
        <v>0</v>
      </c>
      <c r="W585" s="1628" t="s">
        <v>226</v>
      </c>
      <c r="X585" s="1640">
        <v>120</v>
      </c>
      <c r="Y585" s="1640"/>
      <c r="AG585" s="1640" t="str">
        <f t="shared" si="52"/>
        <v>|</v>
      </c>
      <c r="AI585" s="1627" t="s">
        <v>1095</v>
      </c>
    </row>
    <row r="586" spans="1:35" ht="24" customHeight="1">
      <c r="A586" s="1647">
        <f t="shared" si="72"/>
        <v>395</v>
      </c>
      <c r="B586" s="1627" t="s">
        <v>5606</v>
      </c>
      <c r="C586" s="1640">
        <v>93.4</v>
      </c>
      <c r="D586" s="1627" t="s">
        <v>153</v>
      </c>
      <c r="H586" s="1627" t="s">
        <v>1202</v>
      </c>
      <c r="K586" s="1636" t="s">
        <v>21</v>
      </c>
      <c r="M586" s="1640">
        <v>1</v>
      </c>
      <c r="N586" s="1627" t="s">
        <v>226</v>
      </c>
      <c r="O586" s="1627" t="s">
        <v>237</v>
      </c>
      <c r="Q586" s="1627" t="s">
        <v>226</v>
      </c>
      <c r="R586" s="1640">
        <v>0</v>
      </c>
      <c r="T586" s="1630"/>
      <c r="U586" s="1627" t="s">
        <v>1202</v>
      </c>
      <c r="W586" s="1634"/>
      <c r="X586" s="1636" t="s">
        <v>21</v>
      </c>
      <c r="Y586" s="1636"/>
      <c r="AG586" s="1640">
        <f t="shared" si="52"/>
        <v>0</v>
      </c>
    </row>
    <row r="587" spans="1:35" ht="24" customHeight="1">
      <c r="A587" s="1647">
        <f t="shared" si="72"/>
        <v>396</v>
      </c>
      <c r="B587" s="1627" t="s">
        <v>1203</v>
      </c>
      <c r="C587" s="1640">
        <v>57.51</v>
      </c>
      <c r="D587" s="1627" t="s">
        <v>153</v>
      </c>
      <c r="H587" s="1628" t="s">
        <v>1204</v>
      </c>
      <c r="K587" s="1640">
        <f>SUM(K582:K585)</f>
        <v>6078</v>
      </c>
      <c r="R587" s="1636" t="s">
        <v>21</v>
      </c>
      <c r="T587" s="1630"/>
      <c r="U587" s="1628" t="s">
        <v>1204</v>
      </c>
      <c r="W587" s="1634"/>
      <c r="X587" s="1640">
        <f>SUM(X582:X585)</f>
        <v>6391</v>
      </c>
      <c r="Y587" s="1640"/>
      <c r="AG587" s="1640" t="str">
        <f t="shared" si="52"/>
        <v>|</v>
      </c>
      <c r="AI587" s="1627" t="s">
        <v>1095</v>
      </c>
    </row>
    <row r="588" spans="1:35" ht="24" customHeight="1">
      <c r="A588" s="1647">
        <f>(A587+1)</f>
        <v>397</v>
      </c>
      <c r="B588" s="1627" t="s">
        <v>1205</v>
      </c>
      <c r="C588" s="1640">
        <v>30</v>
      </c>
      <c r="D588" s="1627" t="s">
        <v>153</v>
      </c>
      <c r="K588" s="1636" t="s">
        <v>21</v>
      </c>
      <c r="O588" s="1627" t="s">
        <v>1076</v>
      </c>
      <c r="R588" s="1640">
        <f>SUM(R576:R586)</f>
        <v>3478.3629999999998</v>
      </c>
      <c r="T588" s="1630"/>
      <c r="W588" s="1634"/>
      <c r="X588" s="1636" t="s">
        <v>21</v>
      </c>
      <c r="Y588" s="1636"/>
      <c r="AG588" s="1640" t="str">
        <f t="shared" si="52"/>
        <v>|</v>
      </c>
      <c r="AI588" s="1627" t="s">
        <v>1095</v>
      </c>
    </row>
    <row r="589" spans="1:35" ht="24" customHeight="1">
      <c r="A589" s="1647">
        <f t="shared" ref="A589:A636" si="73">(A588+1)</f>
        <v>398</v>
      </c>
      <c r="B589" s="1627" t="s">
        <v>1206</v>
      </c>
      <c r="C589" s="1640">
        <v>57.51</v>
      </c>
      <c r="D589" s="1627" t="s">
        <v>153</v>
      </c>
      <c r="H589" s="1628" t="s">
        <v>1207</v>
      </c>
      <c r="K589" s="1640">
        <f>K587/10</f>
        <v>607.79999999999995</v>
      </c>
      <c r="R589" s="1636" t="s">
        <v>21</v>
      </c>
      <c r="T589" s="1630"/>
      <c r="U589" s="1628" t="s">
        <v>1207</v>
      </c>
      <c r="W589" s="1634"/>
      <c r="X589" s="1640">
        <f>X587/10</f>
        <v>639.1</v>
      </c>
      <c r="Y589" s="1640"/>
      <c r="AG589" s="1640" t="str">
        <f t="shared" si="52"/>
        <v>|</v>
      </c>
      <c r="AI589" s="1627" t="s">
        <v>1095</v>
      </c>
    </row>
    <row r="590" spans="1:35" ht="24" customHeight="1">
      <c r="A590" s="1647">
        <f t="shared" si="73"/>
        <v>399</v>
      </c>
      <c r="B590" s="1627" t="s">
        <v>1208</v>
      </c>
      <c r="C590" s="1640">
        <v>20</v>
      </c>
      <c r="D590" s="1627" t="s">
        <v>153</v>
      </c>
      <c r="H590" s="1627" t="s">
        <v>271</v>
      </c>
      <c r="I590" s="1640">
        <f t="shared" ref="I590:I599" si="74">K589</f>
        <v>607.79999999999995</v>
      </c>
      <c r="J590" s="1627">
        <f>C22*0.02</f>
        <v>3.1808000000000001</v>
      </c>
      <c r="K590" s="1639">
        <f>I590+J590</f>
        <v>610.98079999999993</v>
      </c>
      <c r="O590" s="1627" t="s">
        <v>562</v>
      </c>
      <c r="R590" s="1640">
        <f>(R588/30)</f>
        <v>115.94543333333333</v>
      </c>
      <c r="T590" s="1630"/>
      <c r="U590" s="1627" t="s">
        <v>271</v>
      </c>
      <c r="V590" s="1640">
        <f>J612</f>
        <v>6.3616000000000001</v>
      </c>
      <c r="W590" s="1628">
        <f>P22*0.02</f>
        <v>45.31</v>
      </c>
      <c r="X590" s="1639">
        <f>X589+V590</f>
        <v>645.46159999999998</v>
      </c>
      <c r="Y590" s="1639"/>
      <c r="Z590" s="1629">
        <f>X595+V594</f>
        <v>720.65839999999969</v>
      </c>
      <c r="AG590" s="1640" t="str">
        <f t="shared" si="52"/>
        <v>|</v>
      </c>
      <c r="AI590" s="1627" t="s">
        <v>1095</v>
      </c>
    </row>
    <row r="591" spans="1:35" ht="24" customHeight="1">
      <c r="A591" s="1647">
        <f t="shared" si="73"/>
        <v>400</v>
      </c>
      <c r="B591" s="1627" t="s">
        <v>1209</v>
      </c>
      <c r="C591" s="1640">
        <v>21.92</v>
      </c>
      <c r="D591" s="1627" t="s">
        <v>153</v>
      </c>
      <c r="H591" s="1627" t="s">
        <v>272</v>
      </c>
      <c r="I591" s="1640">
        <f t="shared" si="74"/>
        <v>610.98079999999993</v>
      </c>
      <c r="J591" s="1627">
        <f>C23*0.02</f>
        <v>6.2664</v>
      </c>
      <c r="K591" s="1639">
        <f>I591+J591</f>
        <v>617.24719999999991</v>
      </c>
      <c r="N591" s="1627" t="s">
        <v>249</v>
      </c>
      <c r="O591" s="1627" t="s">
        <v>1210</v>
      </c>
      <c r="T591" s="1630"/>
      <c r="U591" s="1627" t="s">
        <v>272</v>
      </c>
      <c r="V591" s="1640">
        <f>J613</f>
        <v>12.5328</v>
      </c>
      <c r="W591" s="1628">
        <f>P23*0.02</f>
        <v>19.86</v>
      </c>
      <c r="X591" s="1639">
        <f>X590+V591</f>
        <v>657.99439999999993</v>
      </c>
      <c r="Y591" s="1639"/>
      <c r="Z591" s="1629">
        <f>Z590+V594</f>
        <v>733.19119999999964</v>
      </c>
      <c r="AG591" s="1640" t="str">
        <f t="shared" si="52"/>
        <v>|</v>
      </c>
      <c r="AI591" s="1627" t="s">
        <v>1095</v>
      </c>
    </row>
    <row r="592" spans="1:35" ht="24" customHeight="1">
      <c r="A592" s="1647">
        <f t="shared" si="73"/>
        <v>401</v>
      </c>
      <c r="B592" s="1627" t="s">
        <v>5607</v>
      </c>
      <c r="C592" s="1640">
        <f>145.15/2</f>
        <v>72.575000000000003</v>
      </c>
      <c r="D592" s="1627" t="s">
        <v>153</v>
      </c>
      <c r="H592" s="1627" t="s">
        <v>767</v>
      </c>
      <c r="I592" s="1640">
        <f t="shared" si="74"/>
        <v>617.24719999999991</v>
      </c>
      <c r="J592" s="1627">
        <f>C23*0.02</f>
        <v>6.2664</v>
      </c>
      <c r="K592" s="1639">
        <f>I592+J592</f>
        <v>623.51359999999988</v>
      </c>
      <c r="O592" s="1627" t="s">
        <v>1212</v>
      </c>
      <c r="T592" s="1630"/>
      <c r="U592" s="1627" t="s">
        <v>767</v>
      </c>
      <c r="V592" s="1640">
        <f>J614</f>
        <v>12.5328</v>
      </c>
      <c r="W592" s="1628">
        <f>P23*0.02</f>
        <v>19.86</v>
      </c>
      <c r="X592" s="1639">
        <f>X591+V592</f>
        <v>670.52719999999988</v>
      </c>
      <c r="Y592" s="1639"/>
      <c r="Z592" s="1629">
        <f>Z591+V594</f>
        <v>745.72399999999959</v>
      </c>
      <c r="AG592" s="1640" t="str">
        <f t="shared" si="52"/>
        <v>|</v>
      </c>
      <c r="AI592" s="1627" t="s">
        <v>1095</v>
      </c>
    </row>
    <row r="593" spans="1:35" ht="24" customHeight="1">
      <c r="A593" s="1647">
        <f t="shared" si="73"/>
        <v>402</v>
      </c>
      <c r="B593" s="1627" t="s">
        <v>5608</v>
      </c>
      <c r="C593" s="1640">
        <v>995</v>
      </c>
      <c r="D593" s="1627" t="s">
        <v>153</v>
      </c>
      <c r="H593" s="1627" t="s">
        <v>769</v>
      </c>
      <c r="I593" s="1640">
        <f t="shared" si="74"/>
        <v>623.51359999999988</v>
      </c>
      <c r="J593" s="1627">
        <f>C23*0.02</f>
        <v>6.2664</v>
      </c>
      <c r="K593" s="1639">
        <f>I593+J593</f>
        <v>629.77999999999986</v>
      </c>
      <c r="O593" s="1636" t="s">
        <v>21</v>
      </c>
      <c r="T593" s="1630"/>
      <c r="U593" s="1627" t="s">
        <v>769</v>
      </c>
      <c r="V593" s="1640">
        <f>J615</f>
        <v>12.5328</v>
      </c>
      <c r="W593" s="1628">
        <f>P23*0.02</f>
        <v>19.86</v>
      </c>
      <c r="X593" s="1639">
        <f>X592+V593</f>
        <v>683.05999999999983</v>
      </c>
      <c r="Y593" s="1639"/>
      <c r="Z593" s="1629">
        <f>Z592+V594</f>
        <v>758.25679999999954</v>
      </c>
      <c r="AG593" s="1640" t="str">
        <f t="shared" si="52"/>
        <v>|</v>
      </c>
      <c r="AI593" s="1627" t="s">
        <v>1095</v>
      </c>
    </row>
    <row r="594" spans="1:35" ht="24" customHeight="1">
      <c r="A594" s="1647"/>
      <c r="B594" s="1627"/>
      <c r="C594" s="1640"/>
      <c r="D594" s="1627"/>
      <c r="H594" s="1627" t="s">
        <v>1117</v>
      </c>
      <c r="I594" s="1640">
        <f t="shared" si="74"/>
        <v>629.77999999999986</v>
      </c>
      <c r="J594" s="1627">
        <f>C23*0.02</f>
        <v>6.2664</v>
      </c>
      <c r="K594" s="1639">
        <f t="shared" ref="K594:K599" si="75">I594+J594</f>
        <v>636.04639999999984</v>
      </c>
      <c r="O594" s="1636"/>
      <c r="T594" s="1630"/>
      <c r="U594" s="1627" t="s">
        <v>1117</v>
      </c>
      <c r="V594" s="1640">
        <f>J616</f>
        <v>12.5328</v>
      </c>
      <c r="W594" s="1628">
        <f>P23*0.02</f>
        <v>19.86</v>
      </c>
      <c r="X594" s="1639">
        <f>X593+V594</f>
        <v>695.59279999999978</v>
      </c>
      <c r="Y594" s="1639"/>
      <c r="Z594" s="1629">
        <f>Z593+V594</f>
        <v>770.7895999999995</v>
      </c>
      <c r="AG594" s="1640" t="str">
        <f t="shared" si="52"/>
        <v>|::</v>
      </c>
      <c r="AI594" s="1627" t="s">
        <v>892</v>
      </c>
    </row>
    <row r="595" spans="1:35" ht="24" customHeight="1">
      <c r="A595" s="1647">
        <f>(A593+1)</f>
        <v>403</v>
      </c>
      <c r="B595" s="1627" t="s">
        <v>1214</v>
      </c>
      <c r="C595" s="1640">
        <v>21</v>
      </c>
      <c r="D595" s="1627" t="s">
        <v>153</v>
      </c>
      <c r="H595" s="1627" t="s">
        <v>1044</v>
      </c>
      <c r="I595" s="1640">
        <f t="shared" si="74"/>
        <v>636.04639999999984</v>
      </c>
      <c r="J595" s="1627">
        <f>C23*0.02</f>
        <v>6.2664</v>
      </c>
      <c r="K595" s="1639">
        <f t="shared" si="75"/>
        <v>642.31279999999981</v>
      </c>
      <c r="M595" s="1640">
        <v>1.08</v>
      </c>
      <c r="N595" s="1627" t="s">
        <v>151</v>
      </c>
      <c r="O595" s="1627" t="s">
        <v>1215</v>
      </c>
      <c r="P595" s="1640">
        <f>(K88)</f>
        <v>314.74333333333334</v>
      </c>
      <c r="Q595" s="1627" t="s">
        <v>151</v>
      </c>
      <c r="R595" s="1640">
        <f>(M595*P595)</f>
        <v>339.92280000000005</v>
      </c>
      <c r="S595" s="1673">
        <v>15.2</v>
      </c>
      <c r="T595" s="1638" t="s">
        <v>588</v>
      </c>
      <c r="U595" s="1627" t="s">
        <v>1216</v>
      </c>
      <c r="W595" s="1634"/>
      <c r="X595" s="1639">
        <f>X594+V594</f>
        <v>708.12559999999974</v>
      </c>
      <c r="Y595" s="1639"/>
      <c r="AG595" s="1640">
        <f t="shared" si="52"/>
        <v>0</v>
      </c>
    </row>
    <row r="596" spans="1:35" ht="24" customHeight="1">
      <c r="A596" s="1647">
        <f t="shared" si="73"/>
        <v>404</v>
      </c>
      <c r="B596" s="1627" t="s">
        <v>1217</v>
      </c>
      <c r="C596" s="1640">
        <v>150</v>
      </c>
      <c r="D596" s="1627" t="s">
        <v>153</v>
      </c>
      <c r="H596" s="1627" t="s">
        <v>1045</v>
      </c>
      <c r="I596" s="1640">
        <f t="shared" si="74"/>
        <v>642.31279999999981</v>
      </c>
      <c r="J596" s="1627">
        <f>C23*0.02</f>
        <v>6.2664</v>
      </c>
      <c r="K596" s="1639">
        <f t="shared" si="75"/>
        <v>648.57919999999979</v>
      </c>
      <c r="M596" s="1658">
        <v>0.216</v>
      </c>
      <c r="N596" s="1627" t="s">
        <v>151</v>
      </c>
      <c r="O596" s="1627" t="s">
        <v>1218</v>
      </c>
      <c r="P596" s="1640">
        <f>(R60)</f>
        <v>5639.2830000000004</v>
      </c>
      <c r="Q596" s="1627" t="s">
        <v>151</v>
      </c>
      <c r="R596" s="1640">
        <f>(M596*P596)</f>
        <v>1218.0851280000002</v>
      </c>
      <c r="W596" s="1634"/>
      <c r="AG596" s="1640">
        <f t="shared" si="52"/>
        <v>0</v>
      </c>
    </row>
    <row r="597" spans="1:35" ht="24" customHeight="1">
      <c r="A597" s="1647">
        <f t="shared" si="73"/>
        <v>405</v>
      </c>
      <c r="B597" s="1627" t="s">
        <v>1219</v>
      </c>
      <c r="C597" s="1640">
        <v>21.6</v>
      </c>
      <c r="D597" s="1627" t="s">
        <v>153</v>
      </c>
      <c r="H597" s="1627" t="s">
        <v>1046</v>
      </c>
      <c r="I597" s="1640">
        <f t="shared" si="74"/>
        <v>648.57919999999979</v>
      </c>
      <c r="J597" s="1627">
        <f>C23*0.02</f>
        <v>6.2664</v>
      </c>
      <c r="K597" s="1639">
        <f t="shared" si="75"/>
        <v>654.84559999999976</v>
      </c>
      <c r="M597" s="1658">
        <v>0.48699999999999999</v>
      </c>
      <c r="N597" s="1627" t="s">
        <v>151</v>
      </c>
      <c r="O597" s="1627" t="s">
        <v>1220</v>
      </c>
      <c r="P597" s="1640">
        <f>AI321</f>
        <v>8255.0694399999993</v>
      </c>
      <c r="Q597" s="1627" t="s">
        <v>151</v>
      </c>
      <c r="R597" s="1640">
        <f>(M597*P597)</f>
        <v>4020.2188172799997</v>
      </c>
      <c r="W597" s="1634"/>
      <c r="AG597" s="1640" t="str">
        <f t="shared" ref="AG597:AG637" si="76">AI597</f>
        <v>|</v>
      </c>
      <c r="AI597" s="1627" t="s">
        <v>1095</v>
      </c>
    </row>
    <row r="598" spans="1:35" ht="24" customHeight="1">
      <c r="A598" s="1647">
        <f t="shared" si="73"/>
        <v>406</v>
      </c>
      <c r="B598" s="1627" t="s">
        <v>5609</v>
      </c>
      <c r="C598" s="1640">
        <v>57.65</v>
      </c>
      <c r="D598" s="1640">
        <v>49.55</v>
      </c>
      <c r="E598" s="1629" t="s">
        <v>5154</v>
      </c>
      <c r="H598" s="1627" t="s">
        <v>1223</v>
      </c>
      <c r="I598" s="1640">
        <f t="shared" si="74"/>
        <v>654.84559999999976</v>
      </c>
      <c r="J598" s="1627">
        <f>C23*0.02</f>
        <v>6.2664</v>
      </c>
      <c r="K598" s="1639">
        <f t="shared" si="75"/>
        <v>661.11199999999974</v>
      </c>
      <c r="M598" s="1658">
        <v>5.36</v>
      </c>
      <c r="N598" s="1627" t="s">
        <v>152</v>
      </c>
      <c r="O598" s="1627" t="s">
        <v>1224</v>
      </c>
      <c r="P598" s="1640">
        <f>(R304)</f>
        <v>341.63779999999997</v>
      </c>
      <c r="Q598" s="1627" t="s">
        <v>152</v>
      </c>
      <c r="R598" s="1640">
        <f>(M598*P598)</f>
        <v>1831.1786079999999</v>
      </c>
      <c r="W598" s="1634"/>
      <c r="AG598" s="1640" t="str">
        <f t="shared" si="76"/>
        <v>|</v>
      </c>
      <c r="AI598" s="1627" t="s">
        <v>1095</v>
      </c>
    </row>
    <row r="599" spans="1:35" ht="24" customHeight="1">
      <c r="A599" s="1647">
        <f t="shared" si="73"/>
        <v>407</v>
      </c>
      <c r="B599" s="1627" t="s">
        <v>1225</v>
      </c>
      <c r="C599" s="1640">
        <v>208.5</v>
      </c>
      <c r="D599" s="1627" t="s">
        <v>153</v>
      </c>
      <c r="H599" s="1627">
        <v>9</v>
      </c>
      <c r="I599" s="1640">
        <f t="shared" si="74"/>
        <v>661.11199999999974</v>
      </c>
      <c r="J599" s="1627">
        <f>C23*0.02</f>
        <v>6.2664</v>
      </c>
      <c r="K599" s="1639">
        <f t="shared" si="75"/>
        <v>667.37839999999971</v>
      </c>
      <c r="M599" s="1658">
        <v>3.2000000000000001E-2</v>
      </c>
      <c r="N599" s="1627" t="s">
        <v>151</v>
      </c>
      <c r="O599" s="1627" t="s">
        <v>1226</v>
      </c>
      <c r="P599" s="1640">
        <f>(K643)</f>
        <v>10061</v>
      </c>
      <c r="Q599" s="1627" t="s">
        <v>151</v>
      </c>
      <c r="R599" s="1640">
        <f>(M599*P599)</f>
        <v>321.952</v>
      </c>
      <c r="W599" s="1634"/>
      <c r="AG599" s="1640" t="str">
        <f t="shared" si="76"/>
        <v>|</v>
      </c>
      <c r="AI599" s="1627" t="s">
        <v>1095</v>
      </c>
    </row>
    <row r="600" spans="1:35" ht="24" customHeight="1">
      <c r="A600" s="1647">
        <f t="shared" si="73"/>
        <v>408</v>
      </c>
      <c r="B600" s="1667" t="s">
        <v>4592</v>
      </c>
      <c r="C600" s="1651">
        <v>172</v>
      </c>
      <c r="D600" s="1627" t="s">
        <v>153</v>
      </c>
      <c r="H600" s="1627"/>
      <c r="I600" s="1640"/>
      <c r="J600" s="1627"/>
      <c r="K600" s="1639"/>
      <c r="O600" s="1627" t="s">
        <v>1228</v>
      </c>
      <c r="R600" s="1627" t="s">
        <v>150</v>
      </c>
      <c r="W600" s="1634"/>
      <c r="AG600" s="1640" t="str">
        <f t="shared" si="76"/>
        <v>|</v>
      </c>
      <c r="AI600" s="1627" t="s">
        <v>1095</v>
      </c>
    </row>
    <row r="601" spans="1:35" ht="47.25" customHeight="1">
      <c r="A601" s="1647">
        <f t="shared" si="73"/>
        <v>409</v>
      </c>
      <c r="B601" s="1699" t="s">
        <v>5155</v>
      </c>
      <c r="C601" s="1656">
        <f>ROUND(35.15/0.093025,2)</f>
        <v>377.86</v>
      </c>
      <c r="D601" s="1627" t="s">
        <v>152</v>
      </c>
      <c r="H601" s="1627"/>
      <c r="I601" s="1640"/>
      <c r="J601" s="1627"/>
      <c r="K601" s="1639"/>
      <c r="N601" s="1627" t="s">
        <v>226</v>
      </c>
      <c r="O601" s="1627" t="s">
        <v>1230</v>
      </c>
      <c r="Q601" s="1627" t="s">
        <v>226</v>
      </c>
      <c r="R601" s="1640">
        <v>2.66</v>
      </c>
      <c r="W601" s="1634"/>
      <c r="AG601" s="1640" t="str">
        <f t="shared" si="76"/>
        <v>|</v>
      </c>
      <c r="AI601" s="1627" t="s">
        <v>1095</v>
      </c>
    </row>
    <row r="602" spans="1:35" ht="63">
      <c r="A602" s="1647">
        <f t="shared" si="73"/>
        <v>410</v>
      </c>
      <c r="B602" s="1680" t="s">
        <v>5610</v>
      </c>
      <c r="C602" s="1640">
        <f>8.3/0.02</f>
        <v>415</v>
      </c>
      <c r="D602" s="1627" t="s">
        <v>152</v>
      </c>
      <c r="E602" s="1627">
        <f>7.25/0.02</f>
        <v>362.5</v>
      </c>
      <c r="F602" s="1662">
        <v>15.2</v>
      </c>
      <c r="G602" s="1638" t="s">
        <v>588</v>
      </c>
      <c r="H602" s="1627" t="s">
        <v>1216</v>
      </c>
      <c r="K602" s="1639">
        <f>K594+J594</f>
        <v>642.31279999999981</v>
      </c>
      <c r="R602" s="1636" t="s">
        <v>21</v>
      </c>
      <c r="W602" s="1634"/>
      <c r="AG602" s="1640" t="str">
        <f t="shared" si="76"/>
        <v>|</v>
      </c>
      <c r="AI602" s="1627" t="s">
        <v>1095</v>
      </c>
    </row>
    <row r="603" spans="1:35" ht="24" customHeight="1">
      <c r="A603" s="1647">
        <f t="shared" si="73"/>
        <v>411</v>
      </c>
      <c r="B603" s="1627" t="s">
        <v>1232</v>
      </c>
      <c r="C603" s="1640">
        <v>75</v>
      </c>
      <c r="D603" s="1627" t="s">
        <v>153</v>
      </c>
      <c r="H603" s="1627" t="s">
        <v>1192</v>
      </c>
      <c r="O603" s="1627" t="s">
        <v>1233</v>
      </c>
      <c r="R603" s="1640">
        <f>SUM(R595:R601)</f>
        <v>7734.01735328</v>
      </c>
      <c r="W603" s="1634"/>
      <c r="AG603" s="1640" t="str">
        <f t="shared" si="76"/>
        <v>|</v>
      </c>
      <c r="AI603" s="1627" t="s">
        <v>1095</v>
      </c>
    </row>
    <row r="604" spans="1:35" ht="24" customHeight="1">
      <c r="A604" s="1647">
        <f t="shared" si="73"/>
        <v>412</v>
      </c>
      <c r="B604" s="1627" t="s">
        <v>1234</v>
      </c>
      <c r="C604" s="1640">
        <v>125</v>
      </c>
      <c r="D604" s="1627" t="s">
        <v>153</v>
      </c>
      <c r="F604" s="1640">
        <v>1</v>
      </c>
      <c r="G604" s="1638" t="s">
        <v>306</v>
      </c>
      <c r="H604" s="1627" t="s">
        <v>1194</v>
      </c>
      <c r="I604" s="1640">
        <f>D751</f>
        <v>408</v>
      </c>
      <c r="J604" s="1627" t="s">
        <v>306</v>
      </c>
      <c r="K604" s="1640">
        <f>(F604*I604)</f>
        <v>408</v>
      </c>
      <c r="R604" s="1636" t="s">
        <v>21</v>
      </c>
      <c r="W604" s="1634"/>
      <c r="AG604" s="1640" t="str">
        <f t="shared" si="76"/>
        <v>|</v>
      </c>
      <c r="AI604" s="1627" t="s">
        <v>1095</v>
      </c>
    </row>
    <row r="605" spans="1:35" ht="24" customHeight="1">
      <c r="A605" s="1647">
        <f t="shared" si="73"/>
        <v>413</v>
      </c>
      <c r="B605" s="1627" t="s">
        <v>1235</v>
      </c>
      <c r="C605" s="1640">
        <v>190</v>
      </c>
      <c r="D605" s="1627" t="s">
        <v>153</v>
      </c>
      <c r="F605" s="1640">
        <v>0.75</v>
      </c>
      <c r="G605" s="1638" t="s">
        <v>345</v>
      </c>
      <c r="H605" s="1627" t="s">
        <v>1196</v>
      </c>
      <c r="I605" s="1640">
        <f>C10</f>
        <v>1325.8</v>
      </c>
      <c r="J605" s="1627" t="s">
        <v>340</v>
      </c>
      <c r="K605" s="1640">
        <f>(F605*I605)</f>
        <v>994.34999999999991</v>
      </c>
      <c r="N605" s="1627" t="s">
        <v>249</v>
      </c>
      <c r="O605" s="1627" t="s">
        <v>1210</v>
      </c>
      <c r="W605" s="1634"/>
      <c r="AG605" s="1640" t="str">
        <f t="shared" si="76"/>
        <v>|</v>
      </c>
      <c r="AI605" s="1627" t="s">
        <v>1095</v>
      </c>
    </row>
    <row r="606" spans="1:35" ht="24" customHeight="1">
      <c r="A606" s="1647">
        <f t="shared" si="73"/>
        <v>414</v>
      </c>
      <c r="B606" s="1627" t="s">
        <v>1236</v>
      </c>
      <c r="C606" s="1640">
        <v>16</v>
      </c>
      <c r="D606" s="1627" t="s">
        <v>153</v>
      </c>
      <c r="F606" s="1640">
        <v>0.75</v>
      </c>
      <c r="G606" s="1638" t="s">
        <v>345</v>
      </c>
      <c r="H606" s="1627" t="s">
        <v>1198</v>
      </c>
      <c r="I606" s="1640">
        <f>C12</f>
        <v>865.19999999999993</v>
      </c>
      <c r="J606" s="1627" t="s">
        <v>340</v>
      </c>
      <c r="K606" s="1640">
        <f>(F606*I606)</f>
        <v>648.9</v>
      </c>
      <c r="O606" s="1627" t="s">
        <v>1237</v>
      </c>
      <c r="W606" s="1634"/>
      <c r="AG606" s="1640" t="str">
        <f t="shared" si="76"/>
        <v>|</v>
      </c>
      <c r="AI606" s="1627" t="s">
        <v>1095</v>
      </c>
    </row>
    <row r="607" spans="1:35" ht="24" customHeight="1">
      <c r="A607" s="1647">
        <f t="shared" si="73"/>
        <v>415</v>
      </c>
      <c r="B607" s="1627" t="s">
        <v>5611</v>
      </c>
      <c r="C607" s="1640">
        <v>11.8</v>
      </c>
      <c r="D607" s="1627" t="s">
        <v>13</v>
      </c>
      <c r="F607" s="1640">
        <v>0.5</v>
      </c>
      <c r="G607" s="1638" t="s">
        <v>345</v>
      </c>
      <c r="H607" s="1627" t="s">
        <v>1239</v>
      </c>
      <c r="I607" s="1640">
        <f>C41</f>
        <v>979.99999999999989</v>
      </c>
      <c r="J607" s="1627" t="s">
        <v>340</v>
      </c>
      <c r="K607" s="1640">
        <f>(F607*I607)</f>
        <v>489.99999999999994</v>
      </c>
      <c r="O607" s="1636" t="s">
        <v>21</v>
      </c>
      <c r="W607" s="1634"/>
      <c r="AG607" s="1640" t="str">
        <f t="shared" si="76"/>
        <v>|</v>
      </c>
      <c r="AI607" s="1627" t="s">
        <v>1095</v>
      </c>
    </row>
    <row r="608" spans="1:35" ht="24" customHeight="1">
      <c r="A608" s="1647">
        <f t="shared" si="73"/>
        <v>416</v>
      </c>
      <c r="B608" s="1627" t="s">
        <v>5156</v>
      </c>
      <c r="C608" s="1640">
        <f>(22.6+27.25)/2</f>
        <v>24.925000000000001</v>
      </c>
      <c r="D608" s="1627" t="s">
        <v>13</v>
      </c>
      <c r="G608" s="1638" t="s">
        <v>226</v>
      </c>
      <c r="H608" s="1627" t="s">
        <v>1200</v>
      </c>
      <c r="J608" s="1627" t="s">
        <v>226</v>
      </c>
      <c r="K608" s="1640">
        <v>53.5</v>
      </c>
      <c r="M608" s="1640">
        <v>1.3</v>
      </c>
      <c r="N608" s="1627" t="s">
        <v>151</v>
      </c>
      <c r="O608" s="1627" t="s">
        <v>1215</v>
      </c>
      <c r="P608" s="1640">
        <f>(K88)</f>
        <v>314.74333333333334</v>
      </c>
      <c r="Q608" s="1627" t="s">
        <v>151</v>
      </c>
      <c r="R608" s="1640">
        <f>(M608*P608)</f>
        <v>409.16633333333334</v>
      </c>
      <c r="W608" s="1634"/>
      <c r="AG608" s="1640" t="str">
        <f t="shared" si="76"/>
        <v>|</v>
      </c>
      <c r="AI608" s="1627" t="s">
        <v>1095</v>
      </c>
    </row>
    <row r="609" spans="1:35" ht="24" customHeight="1">
      <c r="A609" s="1647"/>
      <c r="B609" s="1627" t="s">
        <v>5157</v>
      </c>
      <c r="C609" s="1640">
        <v>22.6</v>
      </c>
      <c r="D609" s="1627" t="s">
        <v>13</v>
      </c>
      <c r="H609" s="1627" t="s">
        <v>1202</v>
      </c>
      <c r="K609" s="1636" t="s">
        <v>21</v>
      </c>
      <c r="M609" s="1640"/>
      <c r="N609" s="1627"/>
      <c r="O609" s="1627"/>
      <c r="P609" s="1640"/>
      <c r="Q609" s="1627"/>
      <c r="R609" s="1640"/>
      <c r="W609" s="1634"/>
      <c r="AG609" s="1640" t="str">
        <f t="shared" si="76"/>
        <v>|</v>
      </c>
      <c r="AI609" s="1627" t="s">
        <v>1095</v>
      </c>
    </row>
    <row r="610" spans="1:35" ht="24" customHeight="1">
      <c r="A610" s="1647">
        <f>(A608+1)</f>
        <v>417</v>
      </c>
      <c r="B610" s="1627" t="s">
        <v>5158</v>
      </c>
      <c r="C610" s="1640">
        <v>27.25</v>
      </c>
      <c r="D610" s="1627" t="s">
        <v>13</v>
      </c>
      <c r="H610" s="1628" t="s">
        <v>1243</v>
      </c>
      <c r="K610" s="1640">
        <f>SUM(K604:K608)</f>
        <v>2594.75</v>
      </c>
      <c r="M610" s="1658">
        <v>0.216</v>
      </c>
      <c r="N610" s="1627" t="s">
        <v>151</v>
      </c>
      <c r="O610" s="1627" t="s">
        <v>1218</v>
      </c>
      <c r="P610" s="1640">
        <f>(R60)</f>
        <v>5639.2830000000004</v>
      </c>
      <c r="Q610" s="1627" t="s">
        <v>151</v>
      </c>
      <c r="R610" s="1640">
        <f>(M610*P610)</f>
        <v>1218.0851280000002</v>
      </c>
      <c r="W610" s="1634"/>
      <c r="AG610" s="1640">
        <f t="shared" si="76"/>
        <v>0</v>
      </c>
      <c r="AI610" s="1627"/>
    </row>
    <row r="611" spans="1:35" ht="24" customHeight="1">
      <c r="A611" s="1647">
        <f t="shared" si="73"/>
        <v>418</v>
      </c>
      <c r="B611" s="1627" t="s">
        <v>1244</v>
      </c>
      <c r="C611" s="1640">
        <v>7.5</v>
      </c>
      <c r="D611" s="1627" t="s">
        <v>4</v>
      </c>
      <c r="K611" s="1636" t="s">
        <v>21</v>
      </c>
      <c r="M611" s="1658">
        <v>0.60099999999999998</v>
      </c>
      <c r="N611" s="1627" t="s">
        <v>151</v>
      </c>
      <c r="O611" s="1627" t="s">
        <v>1220</v>
      </c>
      <c r="P611" s="1640">
        <f>P597</f>
        <v>8255.0694399999993</v>
      </c>
      <c r="Q611" s="1627" t="s">
        <v>151</v>
      </c>
      <c r="R611" s="1640">
        <f>(M611*P611)</f>
        <v>4961.2967334399991</v>
      </c>
      <c r="W611" s="1634"/>
      <c r="AG611" s="1640" t="str">
        <f t="shared" si="76"/>
        <v>|</v>
      </c>
      <c r="AI611" s="1627" t="s">
        <v>1095</v>
      </c>
    </row>
    <row r="612" spans="1:35" ht="24" customHeight="1">
      <c r="A612" s="1647">
        <f t="shared" si="73"/>
        <v>419</v>
      </c>
      <c r="B612" s="1627" t="s">
        <v>1245</v>
      </c>
      <c r="C612" s="1640">
        <v>16</v>
      </c>
      <c r="D612" s="1627" t="s">
        <v>4</v>
      </c>
      <c r="E612" s="1629" t="s">
        <v>1246</v>
      </c>
      <c r="H612" s="1627" t="s">
        <v>271</v>
      </c>
      <c r="I612" s="1640">
        <f>K610</f>
        <v>2594.75</v>
      </c>
      <c r="J612" s="1627">
        <f>C22*0.04</f>
        <v>6.3616000000000001</v>
      </c>
      <c r="K612" s="1639">
        <f>(K610+C22*0.04)</f>
        <v>2601.1116000000002</v>
      </c>
      <c r="M612" s="1658">
        <v>6.35</v>
      </c>
      <c r="N612" s="1627" t="s">
        <v>152</v>
      </c>
      <c r="O612" s="1627" t="s">
        <v>1224</v>
      </c>
      <c r="P612" s="1640">
        <f>(R304)</f>
        <v>341.63779999999997</v>
      </c>
      <c r="Q612" s="1627" t="s">
        <v>152</v>
      </c>
      <c r="R612" s="1640">
        <f>(M612*P612)</f>
        <v>2169.4000299999998</v>
      </c>
      <c r="W612" s="1634"/>
      <c r="AG612" s="1640" t="str">
        <f t="shared" si="76"/>
        <v>|</v>
      </c>
      <c r="AI612" s="1627" t="s">
        <v>1095</v>
      </c>
    </row>
    <row r="613" spans="1:35" ht="24" customHeight="1">
      <c r="A613" s="1647">
        <f t="shared" si="73"/>
        <v>420</v>
      </c>
      <c r="B613" s="1627" t="s">
        <v>5612</v>
      </c>
      <c r="C613" s="1640">
        <v>3090</v>
      </c>
      <c r="D613" s="1627" t="s">
        <v>1248</v>
      </c>
      <c r="E613" s="1629">
        <v>3484</v>
      </c>
      <c r="H613" s="1627" t="s">
        <v>272</v>
      </c>
      <c r="I613" s="1640">
        <f>K612</f>
        <v>2601.1116000000002</v>
      </c>
      <c r="J613" s="1627">
        <f>C23*0.04</f>
        <v>12.5328</v>
      </c>
      <c r="K613" s="1639">
        <f>(K612+C23*0.04)</f>
        <v>2613.6444000000001</v>
      </c>
      <c r="M613" s="1658">
        <v>3.2000000000000001E-2</v>
      </c>
      <c r="N613" s="1627" t="s">
        <v>151</v>
      </c>
      <c r="O613" s="1627" t="s">
        <v>1226</v>
      </c>
      <c r="P613" s="1640">
        <f>(K643)</f>
        <v>10061</v>
      </c>
      <c r="Q613" s="1627" t="s">
        <v>151</v>
      </c>
      <c r="R613" s="1640">
        <f>(M613*P613)</f>
        <v>321.952</v>
      </c>
      <c r="W613" s="1634"/>
      <c r="AG613" s="1640" t="str">
        <f t="shared" si="76"/>
        <v>|</v>
      </c>
      <c r="AI613" s="1627" t="s">
        <v>1095</v>
      </c>
    </row>
    <row r="614" spans="1:35" ht="24" customHeight="1">
      <c r="A614" s="1647">
        <f t="shared" si="73"/>
        <v>421</v>
      </c>
      <c r="B614" s="1627" t="s">
        <v>1249</v>
      </c>
      <c r="C614" s="1640">
        <v>805</v>
      </c>
      <c r="D614" s="1627" t="s">
        <v>1248</v>
      </c>
      <c r="H614" s="1627" t="s">
        <v>767</v>
      </c>
      <c r="I614" s="1640">
        <f>K613</f>
        <v>2613.6444000000001</v>
      </c>
      <c r="J614" s="1627">
        <f>C23*0.04</f>
        <v>12.5328</v>
      </c>
      <c r="K614" s="1639">
        <f>(K613+C24*0.04)</f>
        <v>2626.1772000000001</v>
      </c>
      <c r="O614" s="1627" t="s">
        <v>1228</v>
      </c>
      <c r="R614" s="1627" t="s">
        <v>150</v>
      </c>
      <c r="W614" s="1634"/>
      <c r="AG614" s="1640" t="str">
        <f t="shared" si="76"/>
        <v>|</v>
      </c>
      <c r="AI614" s="1627" t="s">
        <v>1095</v>
      </c>
    </row>
    <row r="615" spans="1:35" ht="24" customHeight="1">
      <c r="A615" s="1647">
        <f t="shared" si="73"/>
        <v>422</v>
      </c>
      <c r="B615" s="1627" t="s">
        <v>1250</v>
      </c>
      <c r="C615" s="1640">
        <f>204+53</f>
        <v>257</v>
      </c>
      <c r="D615" s="1627" t="s">
        <v>1248</v>
      </c>
      <c r="H615" s="1627" t="s">
        <v>769</v>
      </c>
      <c r="I615" s="1640">
        <f>K614</f>
        <v>2626.1772000000001</v>
      </c>
      <c r="J615" s="1627">
        <f>C23*0.04</f>
        <v>12.5328</v>
      </c>
      <c r="K615" s="1639">
        <f>(K614+C24*0.04)</f>
        <v>2638.71</v>
      </c>
      <c r="N615" s="1627" t="s">
        <v>226</v>
      </c>
      <c r="O615" s="1627" t="s">
        <v>1230</v>
      </c>
      <c r="Q615" s="1627" t="s">
        <v>226</v>
      </c>
      <c r="R615" s="1640">
        <v>2</v>
      </c>
      <c r="W615" s="1634"/>
      <c r="AG615" s="1640" t="str">
        <f t="shared" si="76"/>
        <v>|</v>
      </c>
      <c r="AI615" s="1627" t="s">
        <v>1095</v>
      </c>
    </row>
    <row r="616" spans="1:35" ht="24" customHeight="1">
      <c r="A616" s="1647">
        <f t="shared" si="73"/>
        <v>423</v>
      </c>
      <c r="B616" s="1627" t="s">
        <v>1251</v>
      </c>
      <c r="C616" s="1640">
        <v>53</v>
      </c>
      <c r="D616" s="1627" t="s">
        <v>4</v>
      </c>
      <c r="H616" s="1627" t="s">
        <v>1117</v>
      </c>
      <c r="I616" s="1640">
        <f>K615</f>
        <v>2638.71</v>
      </c>
      <c r="J616" s="1627">
        <f>C24*0.04</f>
        <v>12.5328</v>
      </c>
      <c r="K616" s="1639">
        <f>(K615+C24*0.04)</f>
        <v>2651.2428</v>
      </c>
      <c r="R616" s="1636" t="s">
        <v>21</v>
      </c>
      <c r="W616" s="1634"/>
      <c r="AG616" s="1640" t="str">
        <f t="shared" si="76"/>
        <v>|</v>
      </c>
      <c r="AI616" s="1627" t="s">
        <v>1095</v>
      </c>
    </row>
    <row r="617" spans="1:35" ht="24" customHeight="1">
      <c r="A617" s="1647">
        <f t="shared" si="73"/>
        <v>424</v>
      </c>
      <c r="B617" s="1627" t="s">
        <v>5613</v>
      </c>
      <c r="C617" s="1640">
        <v>1672</v>
      </c>
      <c r="D617" s="1627" t="s">
        <v>4</v>
      </c>
      <c r="F617" s="1683">
        <v>15.1</v>
      </c>
      <c r="G617" s="1638" t="s">
        <v>1253</v>
      </c>
      <c r="H617" s="1627" t="s">
        <v>5614</v>
      </c>
      <c r="O617" s="1627" t="s">
        <v>1233</v>
      </c>
      <c r="R617" s="1640">
        <f>SUM(R608:R615)</f>
        <v>9081.9002247733315</v>
      </c>
      <c r="W617" s="1634"/>
      <c r="AG617" s="1640" t="str">
        <f t="shared" si="76"/>
        <v>|</v>
      </c>
      <c r="AI617" s="1627" t="s">
        <v>1095</v>
      </c>
    </row>
    <row r="618" spans="1:35" ht="24" customHeight="1">
      <c r="A618" s="1647">
        <f t="shared" si="73"/>
        <v>425</v>
      </c>
      <c r="B618" s="1627" t="s">
        <v>1255</v>
      </c>
      <c r="C618" s="1640">
        <v>196</v>
      </c>
      <c r="D618" s="1627" t="s">
        <v>4</v>
      </c>
      <c r="H618" s="1627" t="s">
        <v>1192</v>
      </c>
      <c r="R618" s="1636" t="s">
        <v>21</v>
      </c>
      <c r="W618" s="1634"/>
      <c r="AG618" s="1640" t="str">
        <f t="shared" si="76"/>
        <v>|</v>
      </c>
      <c r="AI618" s="1627" t="s">
        <v>1095</v>
      </c>
    </row>
    <row r="619" spans="1:35" ht="24" customHeight="1">
      <c r="A619" s="1647">
        <f t="shared" si="73"/>
        <v>426</v>
      </c>
      <c r="B619" s="1627" t="s">
        <v>5159</v>
      </c>
      <c r="C619" s="1640">
        <v>940</v>
      </c>
      <c r="D619" s="1627" t="s">
        <v>4</v>
      </c>
      <c r="F619" s="1640">
        <v>10</v>
      </c>
      <c r="G619" s="1638" t="s">
        <v>306</v>
      </c>
      <c r="H619" s="1627" t="s">
        <v>1257</v>
      </c>
      <c r="I619" s="1640">
        <f>C751</f>
        <v>376.7</v>
      </c>
      <c r="J619" s="1627" t="s">
        <v>306</v>
      </c>
      <c r="K619" s="1640">
        <f>(F619*I619)</f>
        <v>3767</v>
      </c>
      <c r="N619" s="1627" t="s">
        <v>249</v>
      </c>
      <c r="O619" s="1627" t="s">
        <v>1258</v>
      </c>
      <c r="W619" s="1634"/>
      <c r="AG619" s="1640" t="str">
        <f t="shared" si="76"/>
        <v>|</v>
      </c>
      <c r="AI619" s="1627" t="s">
        <v>1095</v>
      </c>
    </row>
    <row r="620" spans="1:35" ht="24" customHeight="1">
      <c r="A620" s="1647">
        <f t="shared" si="73"/>
        <v>427</v>
      </c>
      <c r="B620" s="1627" t="s">
        <v>1259</v>
      </c>
      <c r="C620" s="1640">
        <v>193.05</v>
      </c>
      <c r="D620" s="1667">
        <v>120.54</v>
      </c>
      <c r="F620" s="1640">
        <v>0.12</v>
      </c>
      <c r="G620" s="1638" t="s">
        <v>151</v>
      </c>
      <c r="H620" s="1627" t="s">
        <v>1260</v>
      </c>
      <c r="I620" s="1640">
        <f>K32</f>
        <v>5318.7</v>
      </c>
      <c r="J620" s="1627" t="s">
        <v>151</v>
      </c>
      <c r="K620" s="1640">
        <f>(F620*I620)</f>
        <v>638.24399999999991</v>
      </c>
      <c r="O620" s="1627" t="s">
        <v>1261</v>
      </c>
      <c r="W620" s="1634"/>
      <c r="AG620" s="1640" t="str">
        <f t="shared" si="76"/>
        <v>|</v>
      </c>
      <c r="AI620" s="1627" t="s">
        <v>1095</v>
      </c>
    </row>
    <row r="621" spans="1:35" ht="24" customHeight="1">
      <c r="A621" s="1647">
        <f t="shared" si="73"/>
        <v>428</v>
      </c>
      <c r="B621" s="1627" t="s">
        <v>1262</v>
      </c>
      <c r="C621" s="1690">
        <v>115.85</v>
      </c>
      <c r="D621" s="1700" t="s">
        <v>552</v>
      </c>
      <c r="E621" s="1701"/>
      <c r="F621" s="1640">
        <v>1</v>
      </c>
      <c r="G621" s="1638" t="s">
        <v>345</v>
      </c>
      <c r="H621" s="1627" t="s">
        <v>1196</v>
      </c>
      <c r="I621" s="1640">
        <f>C10</f>
        <v>1325.8</v>
      </c>
      <c r="J621" s="1627" t="s">
        <v>340</v>
      </c>
      <c r="K621" s="1640">
        <f>(F621*I621)</f>
        <v>1325.8</v>
      </c>
      <c r="O621" s="1636" t="s">
        <v>21</v>
      </c>
      <c r="W621" s="1634"/>
      <c r="AG621" s="1640" t="str">
        <f t="shared" si="76"/>
        <v>|</v>
      </c>
      <c r="AI621" s="1627" t="s">
        <v>1095</v>
      </c>
    </row>
    <row r="622" spans="1:35" ht="24" customHeight="1">
      <c r="A622" s="1647">
        <f t="shared" si="73"/>
        <v>429</v>
      </c>
      <c r="B622" s="1627" t="s">
        <v>1263</v>
      </c>
      <c r="C622" s="1701"/>
      <c r="D622" s="1700" t="s">
        <v>552</v>
      </c>
      <c r="E622" s="1701"/>
      <c r="F622" s="1640">
        <v>1</v>
      </c>
      <c r="G622" s="1638" t="s">
        <v>345</v>
      </c>
      <c r="H622" s="1627" t="s">
        <v>1198</v>
      </c>
      <c r="I622" s="1640">
        <f>C12</f>
        <v>865.19999999999993</v>
      </c>
      <c r="J622" s="1627" t="s">
        <v>340</v>
      </c>
      <c r="K622" s="1640">
        <f>(F622*I622)</f>
        <v>865.19999999999993</v>
      </c>
      <c r="M622" s="1640">
        <v>10.37</v>
      </c>
      <c r="N622" s="1627" t="s">
        <v>151</v>
      </c>
      <c r="O622" s="1627" t="s">
        <v>1264</v>
      </c>
      <c r="P622" s="1640">
        <f>(C61*2)</f>
        <v>297.5</v>
      </c>
      <c r="Q622" s="1627" t="s">
        <v>151</v>
      </c>
      <c r="R622" s="1640">
        <f t="shared" ref="R622:R630" si="77">(M622*P622)</f>
        <v>3085.0749999999998</v>
      </c>
      <c r="W622" s="1634"/>
      <c r="AG622" s="1640" t="str">
        <f t="shared" si="76"/>
        <v>|</v>
      </c>
      <c r="AI622" s="1627" t="s">
        <v>1095</v>
      </c>
    </row>
    <row r="623" spans="1:35" ht="24" customHeight="1">
      <c r="A623" s="1647">
        <f t="shared" si="73"/>
        <v>430</v>
      </c>
      <c r="B623" s="1627" t="s">
        <v>5615</v>
      </c>
      <c r="C623" s="1690">
        <v>76</v>
      </c>
      <c r="D623" s="1700" t="s">
        <v>153</v>
      </c>
      <c r="E623" s="1701"/>
      <c r="G623" s="1638" t="s">
        <v>226</v>
      </c>
      <c r="H623" s="1627" t="s">
        <v>1200</v>
      </c>
      <c r="J623" s="1627" t="s">
        <v>226</v>
      </c>
      <c r="K623" s="1640">
        <v>0.33</v>
      </c>
      <c r="M623" s="1640">
        <v>0.65</v>
      </c>
      <c r="N623" s="1627" t="s">
        <v>151</v>
      </c>
      <c r="O623" s="1627" t="s">
        <v>1266</v>
      </c>
      <c r="P623" s="1640">
        <f>R60</f>
        <v>5639.2830000000004</v>
      </c>
      <c r="Q623" s="1627" t="s">
        <v>151</v>
      </c>
      <c r="R623" s="1640">
        <f t="shared" si="77"/>
        <v>3665.5339500000005</v>
      </c>
      <c r="W623" s="1634"/>
      <c r="AG623" s="1640" t="str">
        <f t="shared" si="76"/>
        <v>|</v>
      </c>
      <c r="AI623" s="1627" t="s">
        <v>1095</v>
      </c>
    </row>
    <row r="624" spans="1:35" ht="24" customHeight="1">
      <c r="A624" s="1647">
        <f t="shared" si="73"/>
        <v>431</v>
      </c>
      <c r="B624" s="1627" t="s">
        <v>1267</v>
      </c>
      <c r="C624" s="1690">
        <v>45</v>
      </c>
      <c r="D624" s="1700" t="s">
        <v>153</v>
      </c>
      <c r="E624" s="1701"/>
      <c r="H624" s="1627" t="s">
        <v>1202</v>
      </c>
      <c r="K624" s="1636" t="s">
        <v>21</v>
      </c>
      <c r="M624" s="1640">
        <v>1.1399999999999999</v>
      </c>
      <c r="N624" s="1627" t="s">
        <v>151</v>
      </c>
      <c r="O624" s="1627" t="s">
        <v>1268</v>
      </c>
      <c r="P624" s="1640">
        <f>K321</f>
        <v>8114.4986000000008</v>
      </c>
      <c r="Q624" s="1627" t="s">
        <v>151</v>
      </c>
      <c r="R624" s="1640">
        <f t="shared" si="77"/>
        <v>9250.5284040000006</v>
      </c>
      <c r="W624" s="1634"/>
      <c r="AG624" s="1640" t="str">
        <f t="shared" si="76"/>
        <v>|</v>
      </c>
      <c r="AI624" s="1627" t="s">
        <v>1095</v>
      </c>
    </row>
    <row r="625" spans="1:35" ht="24" customHeight="1">
      <c r="A625" s="1647">
        <f t="shared" si="73"/>
        <v>432</v>
      </c>
      <c r="B625" s="1627" t="s">
        <v>1269</v>
      </c>
      <c r="C625" s="1629">
        <v>34.299999999999997</v>
      </c>
      <c r="D625" s="1627" t="s">
        <v>153</v>
      </c>
      <c r="H625" s="1628" t="s">
        <v>1270</v>
      </c>
      <c r="K625" s="1640">
        <f>SUM(K619:K623)</f>
        <v>6596.5739999999996</v>
      </c>
      <c r="M625" s="1640">
        <v>0.85</v>
      </c>
      <c r="N625" s="1627" t="s">
        <v>151</v>
      </c>
      <c r="O625" s="1627" t="s">
        <v>1271</v>
      </c>
      <c r="P625" s="1640">
        <f>K321-K312/10</f>
        <v>7074.7436000000007</v>
      </c>
      <c r="Q625" s="1627" t="s">
        <v>151</v>
      </c>
      <c r="R625" s="1640">
        <f t="shared" si="77"/>
        <v>6013.5320600000005</v>
      </c>
      <c r="W625" s="1634"/>
      <c r="AG625" s="1640">
        <f t="shared" si="76"/>
        <v>0</v>
      </c>
      <c r="AI625" s="1627"/>
    </row>
    <row r="626" spans="1:35" ht="24" customHeight="1">
      <c r="A626" s="1647">
        <f t="shared" si="73"/>
        <v>433</v>
      </c>
      <c r="B626" s="1627" t="s">
        <v>5616</v>
      </c>
      <c r="C626" s="1640">
        <v>83.4</v>
      </c>
      <c r="D626" s="1627" t="s">
        <v>153</v>
      </c>
      <c r="K626" s="1636" t="s">
        <v>21</v>
      </c>
      <c r="M626" s="1640">
        <v>0.98</v>
      </c>
      <c r="N626" s="1627" t="s">
        <v>151</v>
      </c>
      <c r="O626" s="1627" t="s">
        <v>1273</v>
      </c>
      <c r="P626" s="1640">
        <f>(C73)</f>
        <v>2446.7200000000003</v>
      </c>
      <c r="Q626" s="1627" t="s">
        <v>151</v>
      </c>
      <c r="R626" s="1640">
        <f t="shared" si="77"/>
        <v>2397.7856000000002</v>
      </c>
      <c r="W626" s="1634"/>
      <c r="AG626" s="1640" t="str">
        <f t="shared" si="76"/>
        <v>|</v>
      </c>
      <c r="AI626" s="1627" t="s">
        <v>1095</v>
      </c>
    </row>
    <row r="627" spans="1:35" ht="24" customHeight="1">
      <c r="A627" s="1647">
        <f t="shared" si="73"/>
        <v>434</v>
      </c>
      <c r="B627" s="1627" t="s">
        <v>1274</v>
      </c>
      <c r="C627" s="1640">
        <v>36.520000000000003</v>
      </c>
      <c r="D627" s="1627" t="s">
        <v>153</v>
      </c>
      <c r="H627" s="1628" t="s">
        <v>1275</v>
      </c>
      <c r="K627" s="1640">
        <f>K625/10</f>
        <v>659.65739999999994</v>
      </c>
      <c r="M627" s="1640">
        <v>2.68</v>
      </c>
      <c r="N627" s="1627" t="s">
        <v>151</v>
      </c>
      <c r="O627" s="1627" t="s">
        <v>605</v>
      </c>
      <c r="P627" s="1640">
        <f>(C79)</f>
        <v>2265.5</v>
      </c>
      <c r="Q627" s="1627" t="s">
        <v>151</v>
      </c>
      <c r="R627" s="1640">
        <f t="shared" si="77"/>
        <v>6071.54</v>
      </c>
      <c r="W627" s="1634"/>
      <c r="AG627" s="1640" t="str">
        <f t="shared" si="76"/>
        <v>|</v>
      </c>
      <c r="AI627" s="1627" t="s">
        <v>1095</v>
      </c>
    </row>
    <row r="628" spans="1:35" ht="24" customHeight="1">
      <c r="A628" s="1647">
        <f t="shared" si="73"/>
        <v>435</v>
      </c>
      <c r="B628" s="1627" t="s">
        <v>1276</v>
      </c>
      <c r="D628" s="1627" t="s">
        <v>153</v>
      </c>
      <c r="H628" s="1627" t="s">
        <v>271</v>
      </c>
      <c r="I628" s="1629">
        <f>K627</f>
        <v>659.65739999999994</v>
      </c>
      <c r="J628" s="1632">
        <f>C22*0.02</f>
        <v>3.1808000000000001</v>
      </c>
      <c r="K628" s="1639">
        <f>I628+J628</f>
        <v>662.83819999999992</v>
      </c>
      <c r="M628" s="1640">
        <v>7.24</v>
      </c>
      <c r="N628" s="1627" t="s">
        <v>152</v>
      </c>
      <c r="O628" s="1627" t="s">
        <v>1277</v>
      </c>
      <c r="P628" s="1640">
        <f>(K1400)</f>
        <v>325.90227999999996</v>
      </c>
      <c r="Q628" s="1627" t="s">
        <v>152</v>
      </c>
      <c r="R628" s="1640">
        <f t="shared" si="77"/>
        <v>2359.5325071999996</v>
      </c>
      <c r="W628" s="1634"/>
      <c r="AG628" s="1640" t="str">
        <f t="shared" si="76"/>
        <v>|</v>
      </c>
      <c r="AI628" s="1627" t="s">
        <v>1095</v>
      </c>
    </row>
    <row r="629" spans="1:35" ht="24" customHeight="1">
      <c r="A629" s="1647">
        <f t="shared" si="73"/>
        <v>436</v>
      </c>
      <c r="B629" s="1627" t="s">
        <v>1278</v>
      </c>
      <c r="C629" s="1640">
        <v>104.1</v>
      </c>
      <c r="D629" s="1640">
        <v>93.72</v>
      </c>
      <c r="H629" s="1627" t="s">
        <v>272</v>
      </c>
      <c r="I629" s="1629">
        <f>K628</f>
        <v>662.83819999999992</v>
      </c>
      <c r="J629" s="1632">
        <f>C23*0.02</f>
        <v>6.2664</v>
      </c>
      <c r="K629" s="1639">
        <f>I629+J629</f>
        <v>669.10459999999989</v>
      </c>
      <c r="M629" s="1640">
        <v>1</v>
      </c>
      <c r="N629" s="1627" t="s">
        <v>153</v>
      </c>
      <c r="O629" s="1627" t="s">
        <v>1279</v>
      </c>
      <c r="P629" s="1640">
        <f>(C203)</f>
        <v>128</v>
      </c>
      <c r="Q629" s="1627" t="s">
        <v>153</v>
      </c>
      <c r="R629" s="1640">
        <f t="shared" si="77"/>
        <v>128</v>
      </c>
      <c r="W629" s="1634"/>
      <c r="AG629" s="1640" t="str">
        <f t="shared" si="76"/>
        <v>|</v>
      </c>
      <c r="AI629" s="1627" t="s">
        <v>1095</v>
      </c>
    </row>
    <row r="630" spans="1:35" ht="24" customHeight="1">
      <c r="A630" s="1647">
        <f t="shared" si="73"/>
        <v>437</v>
      </c>
      <c r="B630" s="1627" t="s">
        <v>1280</v>
      </c>
      <c r="C630" s="1640">
        <v>69.599999999999994</v>
      </c>
      <c r="D630" s="1627" t="s">
        <v>153</v>
      </c>
      <c r="H630" s="1627" t="s">
        <v>767</v>
      </c>
      <c r="I630" s="1629">
        <f>K629</f>
        <v>669.10459999999989</v>
      </c>
      <c r="J630" s="1632">
        <f>J629</f>
        <v>6.2664</v>
      </c>
      <c r="K630" s="1639">
        <f>I630+J630</f>
        <v>675.37099999999987</v>
      </c>
      <c r="M630" s="1658">
        <v>0.13600000000000001</v>
      </c>
      <c r="N630" s="1627" t="s">
        <v>151</v>
      </c>
      <c r="O630" s="1627" t="s">
        <v>1281</v>
      </c>
      <c r="P630" s="1640">
        <f>(K643)</f>
        <v>10061</v>
      </c>
      <c r="Q630" s="1627" t="s">
        <v>151</v>
      </c>
      <c r="R630" s="1640">
        <f t="shared" si="77"/>
        <v>1368.296</v>
      </c>
      <c r="W630" s="1634"/>
      <c r="AG630" s="1640" t="str">
        <f t="shared" si="76"/>
        <v>|</v>
      </c>
      <c r="AI630" s="1627" t="s">
        <v>1095</v>
      </c>
    </row>
    <row r="631" spans="1:35" ht="24" customHeight="1">
      <c r="A631" s="1647">
        <f t="shared" si="73"/>
        <v>438</v>
      </c>
      <c r="B631" s="1627" t="s">
        <v>1282</v>
      </c>
      <c r="C631" s="1629">
        <v>30.25</v>
      </c>
      <c r="D631" s="1627" t="s">
        <v>153</v>
      </c>
      <c r="H631" s="1627" t="s">
        <v>769</v>
      </c>
      <c r="I631" s="1629">
        <f>K630</f>
        <v>675.37099999999987</v>
      </c>
      <c r="J631" s="1632">
        <f>J630</f>
        <v>6.2664</v>
      </c>
      <c r="K631" s="1639">
        <f>I631+J631</f>
        <v>681.63739999999984</v>
      </c>
      <c r="O631" s="1627" t="s">
        <v>1283</v>
      </c>
      <c r="W631" s="1634"/>
      <c r="AG631" s="1640" t="str">
        <f t="shared" si="76"/>
        <v>|</v>
      </c>
      <c r="AI631" s="1627" t="s">
        <v>1095</v>
      </c>
    </row>
    <row r="632" spans="1:35" ht="24" customHeight="1">
      <c r="A632" s="1647">
        <f t="shared" si="73"/>
        <v>439</v>
      </c>
      <c r="B632" s="1627" t="s">
        <v>1284</v>
      </c>
      <c r="C632" s="1640">
        <v>167.1</v>
      </c>
      <c r="D632" s="1627" t="s">
        <v>153</v>
      </c>
      <c r="H632" s="1627" t="s">
        <v>1117</v>
      </c>
      <c r="I632" s="1629">
        <f>K631</f>
        <v>681.63739999999984</v>
      </c>
      <c r="J632" s="1632">
        <f>J631</f>
        <v>6.2664</v>
      </c>
      <c r="K632" s="1639">
        <f>I632+J632</f>
        <v>687.90379999999982</v>
      </c>
      <c r="N632" s="1627" t="s">
        <v>226</v>
      </c>
      <c r="O632" s="1627" t="s">
        <v>1230</v>
      </c>
      <c r="Q632" s="1627" t="s">
        <v>226</v>
      </c>
      <c r="R632" s="1640">
        <v>2.2400000000000002</v>
      </c>
      <c r="W632" s="1634"/>
      <c r="AG632" s="1640" t="str">
        <f t="shared" si="76"/>
        <v>|</v>
      </c>
      <c r="AI632" s="1627" t="s">
        <v>1095</v>
      </c>
    </row>
    <row r="633" spans="1:35" ht="24" customHeight="1">
      <c r="A633" s="1647">
        <f t="shared" si="73"/>
        <v>440</v>
      </c>
      <c r="B633" s="1627" t="s">
        <v>1285</v>
      </c>
      <c r="C633" s="1640">
        <v>104.1</v>
      </c>
      <c r="D633" s="1627" t="s">
        <v>153</v>
      </c>
      <c r="F633" s="1628" t="s">
        <v>1085</v>
      </c>
      <c r="G633" s="1638" t="s">
        <v>249</v>
      </c>
      <c r="H633" s="1627" t="s">
        <v>1086</v>
      </c>
      <c r="R633" s="1636" t="s">
        <v>21</v>
      </c>
      <c r="W633" s="1634"/>
      <c r="AG633" s="1640" t="str">
        <f t="shared" si="76"/>
        <v>|</v>
      </c>
      <c r="AI633" s="1627" t="s">
        <v>1095</v>
      </c>
    </row>
    <row r="634" spans="1:35" ht="24" customHeight="1">
      <c r="A634" s="1647">
        <f t="shared" si="73"/>
        <v>441</v>
      </c>
      <c r="B634" s="1627" t="s">
        <v>1286</v>
      </c>
      <c r="D634" s="1627" t="s">
        <v>153</v>
      </c>
      <c r="H634" s="1627" t="s">
        <v>1088</v>
      </c>
      <c r="O634" s="1627" t="s">
        <v>1233</v>
      </c>
      <c r="R634" s="1640">
        <f>SUM(R622:R632)</f>
        <v>34342.063521199998</v>
      </c>
      <c r="W634" s="1634"/>
      <c r="AG634" s="1640" t="str">
        <f t="shared" si="76"/>
        <v>|</v>
      </c>
      <c r="AI634" s="1627" t="s">
        <v>1095</v>
      </c>
    </row>
    <row r="635" spans="1:35" ht="24" customHeight="1">
      <c r="A635" s="1647">
        <f t="shared" si="73"/>
        <v>442</v>
      </c>
      <c r="B635" s="1627" t="s">
        <v>1287</v>
      </c>
      <c r="C635" s="1640">
        <v>195.2</v>
      </c>
      <c r="D635" s="1627" t="s">
        <v>153</v>
      </c>
      <c r="H635" s="1627" t="s">
        <v>1288</v>
      </c>
      <c r="R635" s="1636" t="s">
        <v>21</v>
      </c>
      <c r="W635" s="1634"/>
      <c r="AG635" s="1640" t="str">
        <f t="shared" si="76"/>
        <v>|</v>
      </c>
      <c r="AI635" s="1627" t="s">
        <v>1095</v>
      </c>
    </row>
    <row r="636" spans="1:35" ht="24" customHeight="1">
      <c r="A636" s="1647">
        <f t="shared" si="73"/>
        <v>443</v>
      </c>
      <c r="B636" s="1627" t="s">
        <v>1289</v>
      </c>
      <c r="C636" s="1640">
        <v>125.2</v>
      </c>
      <c r="D636" s="1627" t="s">
        <v>153</v>
      </c>
      <c r="H636" s="1636" t="s">
        <v>21</v>
      </c>
      <c r="N636" s="1627" t="s">
        <v>249</v>
      </c>
      <c r="O636" s="1627" t="s">
        <v>1290</v>
      </c>
      <c r="W636" s="1634"/>
      <c r="AG636" s="1640" t="str">
        <f t="shared" si="76"/>
        <v>|</v>
      </c>
      <c r="AI636" s="1627" t="s">
        <v>1095</v>
      </c>
    </row>
    <row r="637" spans="1:35" ht="24" customHeight="1">
      <c r="F637" s="1640">
        <v>0.01</v>
      </c>
      <c r="G637" s="1638" t="s">
        <v>151</v>
      </c>
      <c r="H637" s="1627" t="s">
        <v>1291</v>
      </c>
      <c r="I637" s="1640">
        <f>(K280)</f>
        <v>9946.0249999999996</v>
      </c>
      <c r="J637" s="1627" t="s">
        <v>151</v>
      </c>
      <c r="K637" s="1640">
        <f>(F637*I637)</f>
        <v>99.460250000000002</v>
      </c>
      <c r="W637" s="1634"/>
      <c r="AG637" s="1640" t="str">
        <f t="shared" si="76"/>
        <v>|</v>
      </c>
      <c r="AI637" s="1627" t="s">
        <v>1095</v>
      </c>
    </row>
    <row r="638" spans="1:35" ht="24" customHeight="1">
      <c r="A638" s="1647">
        <f>(A636+1)</f>
        <v>444</v>
      </c>
      <c r="B638" s="1627" t="s">
        <v>1292</v>
      </c>
      <c r="D638" s="1627" t="s">
        <v>153</v>
      </c>
      <c r="F638" s="1640">
        <v>0.01</v>
      </c>
      <c r="G638" s="1638" t="s">
        <v>151</v>
      </c>
      <c r="H638" s="1627" t="s">
        <v>1097</v>
      </c>
      <c r="J638" s="1627" t="s">
        <v>226</v>
      </c>
      <c r="K638" s="1640">
        <v>1.1499999999999999</v>
      </c>
      <c r="O638" s="1627" t="s">
        <v>1293</v>
      </c>
      <c r="S638" s="1628" t="s">
        <v>1294</v>
      </c>
      <c r="T638" s="1638" t="s">
        <v>249</v>
      </c>
      <c r="U638" s="1631" t="s">
        <v>1158</v>
      </c>
      <c r="W638" s="1634"/>
      <c r="AC638" s="1628" t="s">
        <v>1294</v>
      </c>
      <c r="AD638" s="1638" t="s">
        <v>249</v>
      </c>
      <c r="AE638" s="1631" t="s">
        <v>1159</v>
      </c>
      <c r="AG638" s="1632"/>
    </row>
    <row r="639" spans="1:35" ht="24" customHeight="1">
      <c r="A639" s="1647">
        <f t="shared" ref="A639:A702" si="78">(A638+1)</f>
        <v>445</v>
      </c>
      <c r="B639" s="1627" t="s">
        <v>1295</v>
      </c>
      <c r="C639" s="1640">
        <v>298.60000000000002</v>
      </c>
      <c r="D639" s="1627" t="s">
        <v>153</v>
      </c>
      <c r="H639" s="1627" t="s">
        <v>1101</v>
      </c>
      <c r="O639" s="1636" t="s">
        <v>21</v>
      </c>
      <c r="S639" s="1629"/>
      <c r="T639" s="1630"/>
      <c r="U639" s="1627" t="s">
        <v>1296</v>
      </c>
      <c r="W639" s="1634"/>
      <c r="AD639" s="1630"/>
      <c r="AE639" s="1627" t="s">
        <v>1296</v>
      </c>
      <c r="AG639" s="1632"/>
    </row>
    <row r="640" spans="1:35" ht="24" customHeight="1">
      <c r="A640" s="1647">
        <f t="shared" si="78"/>
        <v>446</v>
      </c>
      <c r="B640" s="1627" t="s">
        <v>1297</v>
      </c>
      <c r="C640" s="1640">
        <v>208.1</v>
      </c>
      <c r="D640" s="1627" t="s">
        <v>153</v>
      </c>
      <c r="K640" s="1636" t="s">
        <v>21</v>
      </c>
      <c r="M640" s="1640">
        <v>3</v>
      </c>
      <c r="N640" s="1627" t="s">
        <v>151</v>
      </c>
      <c r="O640" s="1627" t="s">
        <v>1298</v>
      </c>
      <c r="P640" s="1640">
        <f>(C61*2)</f>
        <v>297.5</v>
      </c>
      <c r="Q640" s="1627" t="s">
        <v>151</v>
      </c>
      <c r="R640" s="1640">
        <f>(M640*P640)</f>
        <v>892.5</v>
      </c>
      <c r="S640" s="1629"/>
      <c r="T640" s="1630"/>
      <c r="U640" s="1627" t="s">
        <v>1299</v>
      </c>
      <c r="W640" s="1634"/>
      <c r="AD640" s="1630"/>
      <c r="AE640" s="1627" t="s">
        <v>1299</v>
      </c>
      <c r="AG640" s="1632"/>
    </row>
    <row r="641" spans="1:34" ht="24" customHeight="1">
      <c r="A641" s="1647">
        <f t="shared" si="78"/>
        <v>447</v>
      </c>
      <c r="B641" s="1627" t="s">
        <v>1300</v>
      </c>
      <c r="D641" s="1627" t="s">
        <v>153</v>
      </c>
      <c r="H641" s="1627" t="s">
        <v>1102</v>
      </c>
      <c r="K641" s="1640">
        <f>SUM(K637:K639)</f>
        <v>100.61025000000001</v>
      </c>
      <c r="M641" s="1640">
        <v>2.4</v>
      </c>
      <c r="N641" s="1627" t="s">
        <v>151</v>
      </c>
      <c r="O641" s="1627" t="s">
        <v>1301</v>
      </c>
      <c r="P641" s="1640">
        <f>(C81)</f>
        <v>1451.42</v>
      </c>
      <c r="Q641" s="1627" t="s">
        <v>151</v>
      </c>
      <c r="R641" s="1640">
        <f>(M641*P641)</f>
        <v>3483.4079999999999</v>
      </c>
      <c r="S641" s="1629"/>
      <c r="T641" s="1630"/>
      <c r="U641" s="1636" t="s">
        <v>21</v>
      </c>
      <c r="W641" s="1634"/>
      <c r="AD641" s="1630"/>
      <c r="AE641" s="1636" t="s">
        <v>21</v>
      </c>
      <c r="AG641" s="1632"/>
    </row>
    <row r="642" spans="1:34" ht="24" customHeight="1">
      <c r="A642" s="1647">
        <f t="shared" si="78"/>
        <v>448</v>
      </c>
      <c r="B642" s="1627" t="s">
        <v>1302</v>
      </c>
      <c r="C642" s="1640">
        <v>159.9</v>
      </c>
      <c r="D642" s="1627" t="s">
        <v>153</v>
      </c>
      <c r="K642" s="1636" t="s">
        <v>21</v>
      </c>
      <c r="M642" s="1640">
        <v>5</v>
      </c>
      <c r="N642" s="1627" t="s">
        <v>153</v>
      </c>
      <c r="O642" s="1627" t="s">
        <v>1303</v>
      </c>
      <c r="P642" s="1640">
        <f>(C204)</f>
        <v>63.4</v>
      </c>
      <c r="Q642" s="1627" t="s">
        <v>153</v>
      </c>
      <c r="R642" s="1640">
        <f>(M642*P642)</f>
        <v>317</v>
      </c>
      <c r="S642" s="1658">
        <v>8.3000000000000007</v>
      </c>
      <c r="T642" s="1638" t="s">
        <v>151</v>
      </c>
      <c r="U642" s="1627" t="s">
        <v>1304</v>
      </c>
      <c r="V642" s="1640">
        <f>AE11</f>
        <v>1742.0500000000002</v>
      </c>
      <c r="W642" s="1628" t="s">
        <v>151</v>
      </c>
      <c r="X642" s="1640">
        <f t="shared" ref="X642:X648" si="79">S642*V642</f>
        <v>14459.015000000003</v>
      </c>
      <c r="Y642" s="1640"/>
      <c r="AC642" s="1658">
        <v>8.3000000000000007</v>
      </c>
      <c r="AD642" s="1638" t="s">
        <v>151</v>
      </c>
      <c r="AE642" s="1627" t="s">
        <v>1304</v>
      </c>
      <c r="AF642" s="1640">
        <f>V642</f>
        <v>1742.0500000000002</v>
      </c>
      <c r="AG642" s="1627" t="s">
        <v>151</v>
      </c>
      <c r="AH642" s="1640">
        <f t="shared" ref="AH642:AH648" si="80">AC642*AF642</f>
        <v>14459.015000000003</v>
      </c>
    </row>
    <row r="643" spans="1:34" ht="24" customHeight="1">
      <c r="A643" s="1647">
        <f t="shared" si="78"/>
        <v>449</v>
      </c>
      <c r="B643" s="1627" t="s">
        <v>1305</v>
      </c>
      <c r="C643" s="1640">
        <v>97.3</v>
      </c>
      <c r="D643" s="1627" t="s">
        <v>153</v>
      </c>
      <c r="H643" s="1627" t="s">
        <v>270</v>
      </c>
      <c r="K643" s="1640">
        <f>ROUND(K641*100,0)</f>
        <v>10061</v>
      </c>
      <c r="O643" s="1627" t="s">
        <v>237</v>
      </c>
      <c r="Q643" s="1627" t="s">
        <v>226</v>
      </c>
      <c r="R643" s="1640">
        <v>0.08</v>
      </c>
      <c r="S643" s="1658">
        <v>3.25</v>
      </c>
      <c r="T643" s="1638" t="s">
        <v>251</v>
      </c>
      <c r="U643" s="1627" t="s">
        <v>252</v>
      </c>
      <c r="V643" s="1640">
        <f>I808</f>
        <v>6040</v>
      </c>
      <c r="W643" s="1628" t="s">
        <v>251</v>
      </c>
      <c r="X643" s="1640">
        <f t="shared" si="79"/>
        <v>19630</v>
      </c>
      <c r="Y643" s="1640"/>
      <c r="AC643" s="1658">
        <v>4</v>
      </c>
      <c r="AD643" s="1638" t="s">
        <v>251</v>
      </c>
      <c r="AE643" s="1627" t="s">
        <v>252</v>
      </c>
      <c r="AF643" s="1640">
        <f t="shared" ref="AF643:AF648" si="81">V643</f>
        <v>6040</v>
      </c>
      <c r="AG643" s="1627" t="s">
        <v>251</v>
      </c>
      <c r="AH643" s="1640">
        <f t="shared" si="80"/>
        <v>24160</v>
      </c>
    </row>
    <row r="644" spans="1:34" ht="24" customHeight="1">
      <c r="A644" s="1647">
        <f t="shared" si="78"/>
        <v>450</v>
      </c>
      <c r="B644" s="1627" t="s">
        <v>1306</v>
      </c>
      <c r="D644" s="1627" t="s">
        <v>153</v>
      </c>
      <c r="F644" s="1627" t="s">
        <v>150</v>
      </c>
      <c r="R644" s="1636" t="s">
        <v>21</v>
      </c>
      <c r="S644" s="1658">
        <v>4.79</v>
      </c>
      <c r="T644" s="1638" t="s">
        <v>151</v>
      </c>
      <c r="U644" s="1627" t="s">
        <v>253</v>
      </c>
      <c r="V644" s="1640">
        <f>I809</f>
        <v>2265.5</v>
      </c>
      <c r="W644" s="1628" t="s">
        <v>151</v>
      </c>
      <c r="X644" s="1640">
        <f t="shared" si="79"/>
        <v>10851.745000000001</v>
      </c>
      <c r="Y644" s="1640"/>
      <c r="AC644" s="1658">
        <v>4.79</v>
      </c>
      <c r="AD644" s="1638" t="s">
        <v>151</v>
      </c>
      <c r="AE644" s="1627" t="s">
        <v>253</v>
      </c>
      <c r="AF644" s="1640">
        <f t="shared" si="81"/>
        <v>2265.5</v>
      </c>
      <c r="AG644" s="1627" t="s">
        <v>151</v>
      </c>
      <c r="AH644" s="1640">
        <f t="shared" si="80"/>
        <v>10851.745000000001</v>
      </c>
    </row>
    <row r="645" spans="1:34" ht="24" customHeight="1">
      <c r="A645" s="1647">
        <f t="shared" si="78"/>
        <v>451</v>
      </c>
      <c r="B645" s="1627" t="s">
        <v>1307</v>
      </c>
      <c r="C645" s="1640">
        <v>187.8</v>
      </c>
      <c r="D645" s="1627" t="s">
        <v>153</v>
      </c>
      <c r="K645" s="1636" t="s">
        <v>156</v>
      </c>
      <c r="O645" s="1627" t="s">
        <v>1233</v>
      </c>
      <c r="R645" s="1640">
        <f>SUM(R640:R643)</f>
        <v>4692.9879999999994</v>
      </c>
      <c r="S645" s="1658">
        <v>3.5</v>
      </c>
      <c r="T645" s="1638" t="s">
        <v>153</v>
      </c>
      <c r="U645" s="1627" t="s">
        <v>234</v>
      </c>
      <c r="V645" s="1640">
        <f>C11</f>
        <v>1237.5999999999999</v>
      </c>
      <c r="W645" s="1628" t="s">
        <v>153</v>
      </c>
      <c r="X645" s="1640">
        <f t="shared" si="79"/>
        <v>4331.5999999999995</v>
      </c>
      <c r="Y645" s="1640"/>
      <c r="AC645" s="1658">
        <v>3.5</v>
      </c>
      <c r="AD645" s="1638" t="s">
        <v>153</v>
      </c>
      <c r="AE645" s="1627" t="s">
        <v>234</v>
      </c>
      <c r="AF645" s="1640">
        <f t="shared" si="81"/>
        <v>1237.5999999999999</v>
      </c>
      <c r="AG645" s="1627" t="s">
        <v>153</v>
      </c>
      <c r="AH645" s="1640">
        <f t="shared" si="80"/>
        <v>4331.5999999999995</v>
      </c>
    </row>
    <row r="646" spans="1:34" ht="24" customHeight="1">
      <c r="A646" s="1647">
        <f t="shared" si="78"/>
        <v>452</v>
      </c>
      <c r="B646" s="1627" t="s">
        <v>1308</v>
      </c>
      <c r="C646" s="1640">
        <v>125.2</v>
      </c>
      <c r="D646" s="1627" t="s">
        <v>153</v>
      </c>
      <c r="G646" s="1638" t="s">
        <v>230</v>
      </c>
      <c r="H646" s="1627" t="s">
        <v>1103</v>
      </c>
      <c r="R646" s="1636" t="s">
        <v>21</v>
      </c>
      <c r="S646" s="1658">
        <v>21.2</v>
      </c>
      <c r="T646" s="1638" t="s">
        <v>153</v>
      </c>
      <c r="U646" s="1627" t="s">
        <v>235</v>
      </c>
      <c r="V646" s="1640">
        <f>C12</f>
        <v>865.19999999999993</v>
      </c>
      <c r="W646" s="1628" t="s">
        <v>153</v>
      </c>
      <c r="X646" s="1640">
        <f t="shared" si="79"/>
        <v>18342.239999999998</v>
      </c>
      <c r="Y646" s="1640"/>
      <c r="AC646" s="1658">
        <v>21.2</v>
      </c>
      <c r="AD646" s="1638" t="s">
        <v>153</v>
      </c>
      <c r="AE646" s="1627" t="s">
        <v>235</v>
      </c>
      <c r="AF646" s="1640">
        <f t="shared" si="81"/>
        <v>865.19999999999993</v>
      </c>
      <c r="AG646" s="1627" t="s">
        <v>153</v>
      </c>
      <c r="AH646" s="1640">
        <f t="shared" si="80"/>
        <v>18342.239999999998</v>
      </c>
    </row>
    <row r="647" spans="1:34" ht="24" customHeight="1">
      <c r="A647" s="1647">
        <f t="shared" si="78"/>
        <v>453</v>
      </c>
      <c r="B647" s="1627" t="s">
        <v>1309</v>
      </c>
      <c r="D647" s="1627" t="s">
        <v>153</v>
      </c>
      <c r="H647" s="1627" t="s">
        <v>1104</v>
      </c>
      <c r="S647" s="1658">
        <v>35.299999999999997</v>
      </c>
      <c r="T647" s="1638" t="s">
        <v>153</v>
      </c>
      <c r="U647" s="1627" t="s">
        <v>236</v>
      </c>
      <c r="V647" s="1640">
        <f>C13</f>
        <v>709.8</v>
      </c>
      <c r="W647" s="1628" t="s">
        <v>153</v>
      </c>
      <c r="X647" s="1640">
        <f t="shared" si="79"/>
        <v>25055.939999999995</v>
      </c>
      <c r="Y647" s="1640"/>
      <c r="AC647" s="1658">
        <v>35.299999999999997</v>
      </c>
      <c r="AD647" s="1638" t="s">
        <v>153</v>
      </c>
      <c r="AE647" s="1627" t="s">
        <v>236</v>
      </c>
      <c r="AF647" s="1640">
        <f t="shared" si="81"/>
        <v>709.8</v>
      </c>
      <c r="AG647" s="1627" t="s">
        <v>153</v>
      </c>
      <c r="AH647" s="1640">
        <f t="shared" si="80"/>
        <v>25055.939999999995</v>
      </c>
    </row>
    <row r="648" spans="1:34" ht="24" customHeight="1">
      <c r="A648" s="1647">
        <f t="shared" si="78"/>
        <v>454</v>
      </c>
      <c r="B648" s="1627" t="s">
        <v>1310</v>
      </c>
      <c r="C648" s="1640">
        <v>82.3</v>
      </c>
      <c r="D648" s="1627" t="s">
        <v>153</v>
      </c>
      <c r="H648" s="1636" t="s">
        <v>21</v>
      </c>
      <c r="N648" s="1627" t="s">
        <v>249</v>
      </c>
      <c r="O648" s="1627" t="s">
        <v>1311</v>
      </c>
      <c r="S648" s="1656">
        <v>19.5</v>
      </c>
      <c r="T648" s="1630"/>
      <c r="U648" s="1627" t="s">
        <v>1312</v>
      </c>
      <c r="V648" s="1629">
        <f>C149</f>
        <v>43.2</v>
      </c>
      <c r="W648" s="1628" t="s">
        <v>226</v>
      </c>
      <c r="X648" s="1640">
        <f t="shared" si="79"/>
        <v>842.40000000000009</v>
      </c>
      <c r="Y648" s="1640"/>
      <c r="AC648" s="1656">
        <v>40</v>
      </c>
      <c r="AD648" s="1630"/>
      <c r="AE648" s="1627" t="s">
        <v>1312</v>
      </c>
      <c r="AF648" s="1640">
        <f t="shared" si="81"/>
        <v>43.2</v>
      </c>
      <c r="AG648" s="1627" t="s">
        <v>226</v>
      </c>
      <c r="AH648" s="1640">
        <f t="shared" si="80"/>
        <v>1728</v>
      </c>
    </row>
    <row r="649" spans="1:34" ht="24" customHeight="1">
      <c r="A649" s="1647">
        <f t="shared" si="78"/>
        <v>455</v>
      </c>
      <c r="B649" s="1627" t="s">
        <v>1313</v>
      </c>
      <c r="C649" s="1640">
        <v>55.5</v>
      </c>
      <c r="D649" s="1627" t="s">
        <v>153</v>
      </c>
      <c r="F649" s="1658">
        <v>1.4E-2</v>
      </c>
      <c r="G649" s="1638" t="s">
        <v>151</v>
      </c>
      <c r="H649" s="1627" t="s">
        <v>1105</v>
      </c>
      <c r="I649" s="1640">
        <f>(K643)</f>
        <v>10061</v>
      </c>
      <c r="J649" s="1627" t="s">
        <v>151</v>
      </c>
      <c r="K649" s="1640">
        <f>(F649*I649)</f>
        <v>140.85400000000001</v>
      </c>
      <c r="O649" s="1627" t="s">
        <v>1314</v>
      </c>
      <c r="S649" s="1629"/>
      <c r="T649" s="1630"/>
      <c r="W649" s="1634"/>
      <c r="X649" s="1636" t="s">
        <v>21</v>
      </c>
      <c r="Y649" s="1636"/>
      <c r="AD649" s="1630"/>
      <c r="AG649" s="1632"/>
      <c r="AH649" s="1636" t="s">
        <v>21</v>
      </c>
    </row>
    <row r="650" spans="1:34" ht="24" customHeight="1">
      <c r="A650" s="1647">
        <f t="shared" si="78"/>
        <v>456</v>
      </c>
      <c r="B650" s="1627" t="s">
        <v>1315</v>
      </c>
      <c r="C650" s="1629">
        <v>34.4</v>
      </c>
      <c r="D650" s="1627" t="s">
        <v>153</v>
      </c>
      <c r="F650" s="1658"/>
      <c r="H650" s="1627" t="s">
        <v>1106</v>
      </c>
      <c r="K650" s="1627" t="s">
        <v>150</v>
      </c>
      <c r="O650" s="1627" t="s">
        <v>1316</v>
      </c>
      <c r="S650" s="1629"/>
      <c r="T650" s="1630"/>
      <c r="U650" s="1628" t="s">
        <v>263</v>
      </c>
      <c r="W650" s="1634"/>
      <c r="X650" s="1640">
        <f>SUM(X642:X648)</f>
        <v>93512.94</v>
      </c>
      <c r="Y650" s="1640"/>
      <c r="AD650" s="1630"/>
      <c r="AE650" s="1628" t="s">
        <v>263</v>
      </c>
      <c r="AG650" s="1632"/>
      <c r="AH650" s="1640">
        <f>SUM(AH642:AH648)</f>
        <v>98928.540000000008</v>
      </c>
    </row>
    <row r="651" spans="1:34" ht="24" customHeight="1">
      <c r="A651" s="1647">
        <f t="shared" si="78"/>
        <v>457</v>
      </c>
      <c r="B651" s="1627" t="s">
        <v>1317</v>
      </c>
      <c r="C651" s="1640">
        <v>155.32</v>
      </c>
      <c r="D651" s="1627" t="s">
        <v>153</v>
      </c>
      <c r="F651" s="1640">
        <v>0.5</v>
      </c>
      <c r="G651" s="1638" t="s">
        <v>4</v>
      </c>
      <c r="H651" s="1627" t="s">
        <v>269</v>
      </c>
      <c r="I651" s="1640">
        <f>(C10)</f>
        <v>1325.8</v>
      </c>
      <c r="J651" s="1627" t="s">
        <v>4</v>
      </c>
      <c r="K651" s="1640">
        <f>(F651*I651)</f>
        <v>662.9</v>
      </c>
      <c r="O651" s="1636" t="s">
        <v>21</v>
      </c>
      <c r="S651" s="1629"/>
      <c r="T651" s="1630"/>
      <c r="W651" s="1634"/>
      <c r="X651" s="1636" t="s">
        <v>156</v>
      </c>
      <c r="Y651" s="1636"/>
      <c r="AD651" s="1630"/>
      <c r="AG651" s="1632"/>
      <c r="AH651" s="1636" t="s">
        <v>156</v>
      </c>
    </row>
    <row r="652" spans="1:34" ht="24" customHeight="1">
      <c r="A652" s="1647">
        <f t="shared" si="78"/>
        <v>458</v>
      </c>
      <c r="B652" s="1627" t="s">
        <v>1318</v>
      </c>
      <c r="C652" s="1640">
        <v>91.08</v>
      </c>
      <c r="D652" s="1627" t="s">
        <v>153</v>
      </c>
      <c r="F652" s="1640">
        <v>0.75</v>
      </c>
      <c r="G652" s="1638" t="s">
        <v>4</v>
      </c>
      <c r="H652" s="1627" t="s">
        <v>235</v>
      </c>
      <c r="I652" s="1640">
        <f>(C12)</f>
        <v>865.19999999999993</v>
      </c>
      <c r="J652" s="1627" t="s">
        <v>4</v>
      </c>
      <c r="K652" s="1640">
        <f>(F652*I652)</f>
        <v>648.9</v>
      </c>
      <c r="M652" s="1640">
        <v>9.5</v>
      </c>
      <c r="N652" s="1627" t="s">
        <v>151</v>
      </c>
      <c r="O652" s="1627" t="s">
        <v>1298</v>
      </c>
      <c r="P652" s="1640">
        <f>(C61*2)</f>
        <v>297.5</v>
      </c>
      <c r="Q652" s="1627" t="s">
        <v>151</v>
      </c>
      <c r="R652" s="1640">
        <f t="shared" ref="R652:R660" si="82">(M652*P652)</f>
        <v>2826.25</v>
      </c>
      <c r="S652" s="1629"/>
      <c r="T652" s="1630"/>
      <c r="U652" s="1627" t="s">
        <v>270</v>
      </c>
      <c r="W652" s="1634"/>
      <c r="X652" s="1640">
        <f>X650/10</f>
        <v>9351.2939999999999</v>
      </c>
      <c r="Y652" s="1640"/>
      <c r="AD652" s="1630"/>
      <c r="AE652" s="1627" t="s">
        <v>270</v>
      </c>
      <c r="AG652" s="1632"/>
      <c r="AH652" s="1640">
        <f>AH650/10</f>
        <v>9892.8540000000012</v>
      </c>
    </row>
    <row r="653" spans="1:34" ht="24" customHeight="1">
      <c r="A653" s="1647">
        <f t="shared" si="78"/>
        <v>459</v>
      </c>
      <c r="B653" s="1627" t="s">
        <v>5160</v>
      </c>
      <c r="C653" s="1640">
        <v>42.7</v>
      </c>
      <c r="D653" s="1627" t="s">
        <v>13</v>
      </c>
      <c r="G653" s="1638" t="s">
        <v>226</v>
      </c>
      <c r="H653" s="1627" t="s">
        <v>237</v>
      </c>
      <c r="J653" s="1627" t="s">
        <v>226</v>
      </c>
      <c r="K653" s="1640">
        <v>0</v>
      </c>
      <c r="M653" s="1640">
        <v>0.47</v>
      </c>
      <c r="N653" s="1627" t="s">
        <v>151</v>
      </c>
      <c r="O653" s="1627" t="s">
        <v>1320</v>
      </c>
      <c r="P653" s="1640">
        <f>(R74)</f>
        <v>8002.7729999999992</v>
      </c>
      <c r="Q653" s="1627" t="s">
        <v>151</v>
      </c>
      <c r="R653" s="1640">
        <f t="shared" si="82"/>
        <v>3761.3033099999993</v>
      </c>
      <c r="S653" s="1640">
        <v>1</v>
      </c>
      <c r="T653" s="1638" t="s">
        <v>151</v>
      </c>
      <c r="U653" s="1627" t="s">
        <v>943</v>
      </c>
      <c r="V653" s="1640"/>
      <c r="W653" s="1634"/>
      <c r="X653" s="1640"/>
      <c r="Y653" s="1640"/>
      <c r="AC653" s="1640">
        <v>1</v>
      </c>
      <c r="AD653" s="1638" t="s">
        <v>151</v>
      </c>
      <c r="AE653" s="1627" t="s">
        <v>943</v>
      </c>
      <c r="AF653" s="1640"/>
      <c r="AG653" s="1632"/>
      <c r="AH653" s="1640"/>
    </row>
    <row r="654" spans="1:34" ht="24" customHeight="1">
      <c r="A654" s="1647">
        <f t="shared" si="78"/>
        <v>460</v>
      </c>
      <c r="B654" s="1627" t="s">
        <v>1321</v>
      </c>
      <c r="C654" s="1640">
        <v>0.3</v>
      </c>
      <c r="D654" s="1627" t="s">
        <v>153</v>
      </c>
      <c r="K654" s="1636" t="s">
        <v>21</v>
      </c>
      <c r="M654" s="1640">
        <v>1.62</v>
      </c>
      <c r="N654" s="1627" t="s">
        <v>151</v>
      </c>
      <c r="O654" s="1627" t="s">
        <v>1220</v>
      </c>
      <c r="P654" s="1640">
        <f>(R89)</f>
        <v>8670.0516000000007</v>
      </c>
      <c r="Q654" s="1627" t="s">
        <v>151</v>
      </c>
      <c r="R654" s="1640">
        <f t="shared" si="82"/>
        <v>14045.483592000002</v>
      </c>
      <c r="W654" s="1634"/>
      <c r="X654" s="1629">
        <f>SUM(X652:X653)</f>
        <v>9351.2939999999999</v>
      </c>
      <c r="AC654" s="1633"/>
      <c r="AH654" s="1629">
        <f>SUM(AH652:AH653)</f>
        <v>9892.8540000000012</v>
      </c>
    </row>
    <row r="655" spans="1:34" ht="24" customHeight="1">
      <c r="A655" s="1647">
        <f t="shared" si="78"/>
        <v>461</v>
      </c>
      <c r="B655" s="1627" t="s">
        <v>5161</v>
      </c>
      <c r="C655" s="1640">
        <v>189.65</v>
      </c>
      <c r="D655" s="1627" t="s">
        <v>152</v>
      </c>
      <c r="H655" s="1627" t="s">
        <v>1112</v>
      </c>
      <c r="K655" s="1640">
        <f>SUM(K649:K653)</f>
        <v>1452.654</v>
      </c>
      <c r="M655" s="1640">
        <v>15.22</v>
      </c>
      <c r="N655" s="1627" t="s">
        <v>152</v>
      </c>
      <c r="O655" s="1627" t="s">
        <v>1323</v>
      </c>
      <c r="P655" s="1640">
        <f>(R304)</f>
        <v>341.63779999999997</v>
      </c>
      <c r="Q655" s="1627" t="s">
        <v>152</v>
      </c>
      <c r="R655" s="1640">
        <f t="shared" si="82"/>
        <v>5199.7273159999995</v>
      </c>
      <c r="S655" s="1629"/>
      <c r="T655" s="1630"/>
      <c r="U655" s="1629" t="s">
        <v>1324</v>
      </c>
      <c r="W655" s="1634"/>
      <c r="X655" s="1629">
        <f>X654*0.5%</f>
        <v>46.75647</v>
      </c>
      <c r="AD655" s="1630"/>
      <c r="AE655" s="1629" t="s">
        <v>1324</v>
      </c>
      <c r="AH655" s="1629">
        <f>AH654*0.5%</f>
        <v>49.464270000000006</v>
      </c>
    </row>
    <row r="656" spans="1:34" ht="24" customHeight="1">
      <c r="A656" s="1647">
        <f t="shared" si="78"/>
        <v>462</v>
      </c>
      <c r="B656" s="1627" t="s">
        <v>1325</v>
      </c>
      <c r="C656" s="1640">
        <v>97.31</v>
      </c>
      <c r="D656" s="1627" t="s">
        <v>152</v>
      </c>
      <c r="K656" s="1636" t="s">
        <v>21</v>
      </c>
      <c r="M656" s="1640">
        <v>0.18</v>
      </c>
      <c r="N656" s="1627" t="s">
        <v>151</v>
      </c>
      <c r="O656" s="1627" t="s">
        <v>1326</v>
      </c>
      <c r="P656" s="1640">
        <f>(K280)</f>
        <v>9946.0249999999996</v>
      </c>
      <c r="Q656" s="1627" t="s">
        <v>151</v>
      </c>
      <c r="R656" s="1640">
        <f t="shared" si="82"/>
        <v>1790.2845</v>
      </c>
      <c r="S656" s="1629"/>
      <c r="T656" s="1630"/>
      <c r="W656" s="1634"/>
      <c r="X656" s="1636"/>
      <c r="Y656" s="1636"/>
      <c r="AD656" s="1630"/>
      <c r="AG656" s="1632"/>
      <c r="AH656" s="1636"/>
    </row>
    <row r="657" spans="1:34" ht="24" customHeight="1">
      <c r="A657" s="1647">
        <f t="shared" si="78"/>
        <v>463</v>
      </c>
      <c r="B657" s="1627" t="s">
        <v>5162</v>
      </c>
      <c r="C657" s="1640">
        <v>196.45</v>
      </c>
      <c r="D657" s="1627" t="s">
        <v>953</v>
      </c>
      <c r="H657" s="1627" t="s">
        <v>155</v>
      </c>
      <c r="K657" s="1640">
        <f>(K655/0.372)</f>
        <v>3904.983870967742</v>
      </c>
      <c r="M657" s="1640">
        <v>0.36</v>
      </c>
      <c r="N657" s="1627" t="s">
        <v>152</v>
      </c>
      <c r="O657" s="1627" t="s">
        <v>1328</v>
      </c>
      <c r="P657" s="1640">
        <f>(K467)</f>
        <v>502.38717700000001</v>
      </c>
      <c r="Q657" s="1627" t="s">
        <v>152</v>
      </c>
      <c r="R657" s="1640">
        <f t="shared" si="82"/>
        <v>180.85938371999998</v>
      </c>
      <c r="S657" s="1629"/>
      <c r="T657" s="1630"/>
      <c r="U657" s="1629" t="s">
        <v>289</v>
      </c>
      <c r="W657" s="1634"/>
      <c r="X657" s="1639">
        <f>SUM(X654:X656)</f>
        <v>9398.0504700000001</v>
      </c>
      <c r="Y657" s="1639"/>
      <c r="AD657" s="1630"/>
      <c r="AE657" s="1629" t="s">
        <v>289</v>
      </c>
      <c r="AG657" s="1632"/>
      <c r="AH657" s="1639">
        <f>SUM(AH654:AH656)</f>
        <v>9942.3182700000016</v>
      </c>
    </row>
    <row r="658" spans="1:34" ht="24" customHeight="1">
      <c r="A658" s="1647">
        <f t="shared" si="78"/>
        <v>464</v>
      </c>
      <c r="B658" s="1627" t="s">
        <v>5163</v>
      </c>
      <c r="C658" s="1640">
        <f>C657</f>
        <v>196.45</v>
      </c>
      <c r="D658" s="1627" t="s">
        <v>953</v>
      </c>
      <c r="K658" s="1636" t="s">
        <v>156</v>
      </c>
      <c r="M658" s="1640">
        <v>1</v>
      </c>
      <c r="N658" s="1627" t="s">
        <v>153</v>
      </c>
      <c r="O658" s="1627" t="s">
        <v>1330</v>
      </c>
      <c r="P658" s="1640">
        <f>(C203)</f>
        <v>128</v>
      </c>
      <c r="Q658" s="1627" t="s">
        <v>153</v>
      </c>
      <c r="R658" s="1640">
        <f t="shared" si="82"/>
        <v>128</v>
      </c>
      <c r="S658" s="1629"/>
      <c r="T658" s="1630"/>
      <c r="W658" s="1634"/>
      <c r="X658" s="1636" t="s">
        <v>21</v>
      </c>
      <c r="Y658" s="1636"/>
      <c r="AD658" s="1630"/>
      <c r="AG658" s="1632"/>
      <c r="AH658" s="1636" t="s">
        <v>21</v>
      </c>
    </row>
    <row r="659" spans="1:34" ht="24" customHeight="1">
      <c r="A659" s="1647">
        <f t="shared" si="78"/>
        <v>465</v>
      </c>
      <c r="B659" s="1627" t="s">
        <v>1331</v>
      </c>
      <c r="C659" s="1640">
        <v>3.91</v>
      </c>
      <c r="D659" s="1627" t="s">
        <v>153</v>
      </c>
      <c r="E659" s="1629" t="s">
        <v>1332</v>
      </c>
      <c r="H659" s="1627" t="s">
        <v>271</v>
      </c>
      <c r="I659" s="1629">
        <f>K657</f>
        <v>3904.983870967742</v>
      </c>
      <c r="J659" s="1632">
        <f>C22*0.014/0.372</f>
        <v>5.9853763440860215</v>
      </c>
      <c r="K659" s="1639">
        <f>I659+J659</f>
        <v>3910.969247311828</v>
      </c>
      <c r="M659" s="1640">
        <v>1.8</v>
      </c>
      <c r="N659" s="1627" t="s">
        <v>1333</v>
      </c>
      <c r="O659" s="1627" t="s">
        <v>1334</v>
      </c>
      <c r="P659" s="1640">
        <f>(C325)</f>
        <v>14.91</v>
      </c>
      <c r="Q659" s="1627" t="s">
        <v>1333</v>
      </c>
      <c r="R659" s="1640">
        <f t="shared" si="82"/>
        <v>26.838000000000001</v>
      </c>
      <c r="S659" s="1629"/>
      <c r="T659" s="1630"/>
      <c r="U659" s="1627" t="s">
        <v>271</v>
      </c>
      <c r="W659" s="1634"/>
      <c r="X659" s="1639">
        <f>(X657+C23)</f>
        <v>9711.3704699999998</v>
      </c>
      <c r="Y659" s="1639"/>
      <c r="AD659" s="1630"/>
      <c r="AE659" s="1627" t="s">
        <v>271</v>
      </c>
      <c r="AG659" s="1632"/>
      <c r="AH659" s="1639">
        <f>AH657+C23</f>
        <v>10255.638270000001</v>
      </c>
    </row>
    <row r="660" spans="1:34" ht="24" customHeight="1">
      <c r="A660" s="1647">
        <f t="shared" si="78"/>
        <v>466</v>
      </c>
      <c r="B660" s="1627" t="s">
        <v>5617</v>
      </c>
      <c r="C660" s="1640">
        <v>70.150000000000006</v>
      </c>
      <c r="D660" s="1627">
        <v>69.599999999999994</v>
      </c>
      <c r="E660" s="1629" t="s">
        <v>1336</v>
      </c>
      <c r="H660" s="1627" t="s">
        <v>272</v>
      </c>
      <c r="I660" s="1629">
        <f>K659</f>
        <v>3910.969247311828</v>
      </c>
      <c r="J660" s="1632">
        <f>C23*0.014/0.372</f>
        <v>11.791612903225806</v>
      </c>
      <c r="K660" s="1639">
        <f>I660+J660</f>
        <v>3922.760860215054</v>
      </c>
      <c r="M660" s="1640">
        <v>1</v>
      </c>
      <c r="N660" s="1627" t="s">
        <v>153</v>
      </c>
      <c r="O660" s="1627" t="s">
        <v>1337</v>
      </c>
      <c r="P660" s="1640">
        <f>(C371)</f>
        <v>13.29</v>
      </c>
      <c r="Q660" s="1627" t="s">
        <v>153</v>
      </c>
      <c r="R660" s="1640">
        <f t="shared" si="82"/>
        <v>13.29</v>
      </c>
      <c r="S660" s="1629"/>
      <c r="T660" s="1630"/>
      <c r="U660" s="1627" t="s">
        <v>272</v>
      </c>
      <c r="W660" s="1634"/>
      <c r="X660" s="1639">
        <f>X659+C24</f>
        <v>10024.69047</v>
      </c>
      <c r="Y660" s="1639"/>
      <c r="AD660" s="1630"/>
      <c r="AE660" s="1627" t="s">
        <v>272</v>
      </c>
      <c r="AG660" s="1632"/>
      <c r="AH660" s="1639">
        <f>AH659+C24</f>
        <v>10568.958270000001</v>
      </c>
    </row>
    <row r="661" spans="1:34" ht="32.25" customHeight="1">
      <c r="A661" s="1647">
        <f t="shared" si="78"/>
        <v>467</v>
      </c>
      <c r="B661" s="1702" t="s">
        <v>5164</v>
      </c>
      <c r="C661" s="1640">
        <v>11.2</v>
      </c>
      <c r="D661" s="1627" t="s">
        <v>552</v>
      </c>
      <c r="E661" s="1629">
        <v>17.3</v>
      </c>
      <c r="H661" s="1627" t="s">
        <v>767</v>
      </c>
      <c r="I661" s="1629">
        <f>K660</f>
        <v>3922.760860215054</v>
      </c>
      <c r="J661" s="1632">
        <f>J660</f>
        <v>11.791612903225806</v>
      </c>
      <c r="K661" s="1639">
        <f>I661+J661</f>
        <v>3934.55247311828</v>
      </c>
      <c r="N661" s="1627" t="s">
        <v>226</v>
      </c>
      <c r="O661" s="1627" t="s">
        <v>1230</v>
      </c>
      <c r="Q661" s="1627" t="s">
        <v>226</v>
      </c>
      <c r="R661" s="1640">
        <v>1.72</v>
      </c>
      <c r="S661" s="1629"/>
      <c r="T661" s="1630"/>
      <c r="U661" s="1627" t="s">
        <v>767</v>
      </c>
      <c r="W661" s="1634"/>
      <c r="X661" s="1639">
        <f>X660+C25</f>
        <v>10149.850469999999</v>
      </c>
      <c r="Y661" s="1639"/>
      <c r="AD661" s="1630"/>
      <c r="AE661" s="1627" t="s">
        <v>767</v>
      </c>
      <c r="AG661" s="1632"/>
      <c r="AH661" s="1639">
        <f>AH660+C25</f>
        <v>10694.118270000001</v>
      </c>
    </row>
    <row r="662" spans="1:34" ht="24" customHeight="1">
      <c r="A662" s="1647">
        <f t="shared" si="78"/>
        <v>468</v>
      </c>
      <c r="B662" s="1703" t="s">
        <v>5165</v>
      </c>
      <c r="C662" s="1640">
        <v>17.3</v>
      </c>
      <c r="D662" s="1627" t="s">
        <v>552</v>
      </c>
      <c r="H662" s="1627" t="s">
        <v>769</v>
      </c>
      <c r="I662" s="1629">
        <f>K661</f>
        <v>3934.55247311828</v>
      </c>
      <c r="J662" s="1632">
        <f>J661</f>
        <v>11.791612903225806</v>
      </c>
      <c r="K662" s="1639">
        <f>I662+J662</f>
        <v>3946.344086021506</v>
      </c>
      <c r="R662" s="1627" t="s">
        <v>150</v>
      </c>
      <c r="S662" s="1629"/>
      <c r="T662" s="1630"/>
      <c r="U662" s="1627" t="s">
        <v>769</v>
      </c>
      <c r="W662" s="1634"/>
      <c r="X662" s="1639">
        <f>X661+C25</f>
        <v>10275.010469999999</v>
      </c>
      <c r="Y662" s="1639"/>
      <c r="AD662" s="1630"/>
      <c r="AE662" s="1627" t="s">
        <v>769</v>
      </c>
      <c r="AG662" s="1632"/>
      <c r="AH662" s="1639">
        <f>AH661+C25</f>
        <v>10819.278270000001</v>
      </c>
    </row>
    <row r="663" spans="1:34" ht="24" customHeight="1">
      <c r="A663" s="1647">
        <f t="shared" si="78"/>
        <v>469</v>
      </c>
      <c r="B663" s="1627" t="s">
        <v>1340</v>
      </c>
      <c r="C663" s="1640">
        <v>8.9</v>
      </c>
      <c r="D663" s="1627">
        <v>10.65</v>
      </c>
      <c r="E663" s="1629">
        <v>2</v>
      </c>
      <c r="H663" s="1627" t="s">
        <v>1117</v>
      </c>
      <c r="I663" s="1629">
        <f>K662</f>
        <v>3946.344086021506</v>
      </c>
      <c r="J663" s="1632">
        <f>J662</f>
        <v>11.791612903225806</v>
      </c>
      <c r="K663" s="1639">
        <f>I663+J663</f>
        <v>3958.135698924732</v>
      </c>
      <c r="R663" s="1636" t="s">
        <v>21</v>
      </c>
      <c r="S663" s="1629"/>
      <c r="T663" s="1630"/>
      <c r="U663" s="1627" t="s">
        <v>838</v>
      </c>
      <c r="W663" s="1634"/>
      <c r="X663" s="1639">
        <f>X662+C25</f>
        <v>10400.170469999999</v>
      </c>
      <c r="Y663" s="1639"/>
      <c r="AD663" s="1630"/>
      <c r="AE663" s="1627" t="s">
        <v>838</v>
      </c>
      <c r="AG663" s="1632"/>
      <c r="AH663" s="1639">
        <f>AH662+K25</f>
        <v>10819.278270000001</v>
      </c>
    </row>
    <row r="664" spans="1:34" ht="24" customHeight="1">
      <c r="A664" s="1647"/>
      <c r="B664" s="1627"/>
      <c r="C664" s="1640"/>
      <c r="D664" s="1627"/>
      <c r="H664" s="1627">
        <v>5</v>
      </c>
      <c r="I664" s="1629">
        <f t="shared" ref="I664:I670" si="83">K663</f>
        <v>3958.135698924732</v>
      </c>
      <c r="J664" s="1632">
        <f t="shared" ref="J664:J670" si="84">J663</f>
        <v>11.791612903225806</v>
      </c>
      <c r="K664" s="1639">
        <f t="shared" ref="K664:K670" si="85">I664+J664</f>
        <v>3969.927311827958</v>
      </c>
      <c r="R664" s="1636"/>
      <c r="S664" s="1629"/>
      <c r="T664" s="1630"/>
      <c r="U664" s="1627">
        <v>5</v>
      </c>
      <c r="W664" s="1634"/>
      <c r="X664" s="1639">
        <f>X663+C25</f>
        <v>10525.330469999999</v>
      </c>
      <c r="Y664" s="1639"/>
      <c r="AD664" s="1630"/>
      <c r="AE664" s="1627">
        <v>5</v>
      </c>
      <c r="AG664" s="1632"/>
      <c r="AH664" s="1639">
        <f>AH663+K25</f>
        <v>10819.278270000001</v>
      </c>
    </row>
    <row r="665" spans="1:34" ht="24" customHeight="1">
      <c r="A665" s="1647"/>
      <c r="B665" s="1627"/>
      <c r="C665" s="1640"/>
      <c r="D665" s="1627"/>
      <c r="H665" s="1627">
        <v>6</v>
      </c>
      <c r="I665" s="1629">
        <f t="shared" si="83"/>
        <v>3969.927311827958</v>
      </c>
      <c r="J665" s="1632">
        <f t="shared" si="84"/>
        <v>11.791612903225806</v>
      </c>
      <c r="K665" s="1639">
        <f t="shared" si="85"/>
        <v>3981.718924731184</v>
      </c>
      <c r="R665" s="1636"/>
      <c r="W665" s="1634"/>
      <c r="AC665" s="1633"/>
    </row>
    <row r="666" spans="1:34" ht="24" customHeight="1">
      <c r="A666" s="1647"/>
      <c r="B666" s="1627"/>
      <c r="C666" s="1640"/>
      <c r="D666" s="1627"/>
      <c r="H666" s="1627">
        <v>7</v>
      </c>
      <c r="I666" s="1629">
        <f t="shared" si="83"/>
        <v>3981.718924731184</v>
      </c>
      <c r="J666" s="1632">
        <f t="shared" si="84"/>
        <v>11.791612903225806</v>
      </c>
      <c r="K666" s="1639">
        <f t="shared" si="85"/>
        <v>3993.51053763441</v>
      </c>
      <c r="R666" s="1636"/>
      <c r="W666" s="1634"/>
      <c r="AC666" s="1633"/>
    </row>
    <row r="667" spans="1:34" ht="24" customHeight="1">
      <c r="A667" s="1647"/>
      <c r="B667" s="1627"/>
      <c r="C667" s="1640"/>
      <c r="D667" s="1627"/>
      <c r="H667" s="1627">
        <v>8</v>
      </c>
      <c r="I667" s="1629">
        <f t="shared" si="83"/>
        <v>3993.51053763441</v>
      </c>
      <c r="J667" s="1632">
        <f t="shared" si="84"/>
        <v>11.791612903225806</v>
      </c>
      <c r="K667" s="1639">
        <f t="shared" si="85"/>
        <v>4005.302150537636</v>
      </c>
      <c r="R667" s="1636"/>
      <c r="W667" s="1634"/>
      <c r="AC667" s="1633"/>
    </row>
    <row r="668" spans="1:34" ht="24" customHeight="1">
      <c r="A668" s="1647"/>
      <c r="B668" s="1627"/>
      <c r="C668" s="1640"/>
      <c r="D668" s="1627"/>
      <c r="H668" s="1627">
        <v>9</v>
      </c>
      <c r="I668" s="1629">
        <f t="shared" si="83"/>
        <v>4005.302150537636</v>
      </c>
      <c r="J668" s="1632">
        <f t="shared" si="84"/>
        <v>11.791612903225806</v>
      </c>
      <c r="K668" s="1639">
        <f t="shared" si="85"/>
        <v>4017.0937634408619</v>
      </c>
      <c r="R668" s="1636"/>
      <c r="W668" s="1634"/>
      <c r="AC668" s="1633"/>
    </row>
    <row r="669" spans="1:34" ht="24" customHeight="1">
      <c r="A669" s="1647"/>
      <c r="B669" s="1627"/>
      <c r="C669" s="1640"/>
      <c r="D669" s="1627"/>
      <c r="H669" s="1627">
        <v>10</v>
      </c>
      <c r="I669" s="1629">
        <f t="shared" si="83"/>
        <v>4017.0937634408619</v>
      </c>
      <c r="J669" s="1632">
        <f t="shared" si="84"/>
        <v>11.791612903225806</v>
      </c>
      <c r="K669" s="1639">
        <f t="shared" si="85"/>
        <v>4028.8853763440879</v>
      </c>
      <c r="R669" s="1636"/>
      <c r="W669" s="1634"/>
      <c r="AC669" s="1633"/>
    </row>
    <row r="670" spans="1:34" ht="24" customHeight="1">
      <c r="A670" s="1647"/>
      <c r="B670" s="1627"/>
      <c r="C670" s="1640"/>
      <c r="D670" s="1627"/>
      <c r="H670" s="1627">
        <v>11</v>
      </c>
      <c r="I670" s="1629">
        <f t="shared" si="83"/>
        <v>4028.8853763440879</v>
      </c>
      <c r="J670" s="1632">
        <f t="shared" si="84"/>
        <v>11.791612903225806</v>
      </c>
      <c r="K670" s="1639">
        <f t="shared" si="85"/>
        <v>4040.6769892473139</v>
      </c>
      <c r="R670" s="1636"/>
      <c r="W670" s="1634"/>
      <c r="AC670" s="1633"/>
    </row>
    <row r="671" spans="1:34" ht="24" customHeight="1">
      <c r="A671" s="1647"/>
      <c r="B671" s="1627"/>
      <c r="C671" s="1640"/>
      <c r="D671" s="1627"/>
      <c r="H671" s="1627"/>
      <c r="K671" s="1639"/>
      <c r="R671" s="1636"/>
      <c r="W671" s="1634"/>
      <c r="AC671" s="1633"/>
    </row>
    <row r="672" spans="1:34" ht="28.5" customHeight="1">
      <c r="A672" s="1647">
        <f>(A663+1)</f>
        <v>470</v>
      </c>
      <c r="B672" s="1627" t="s">
        <v>1341</v>
      </c>
      <c r="C672" s="1640">
        <v>12.65</v>
      </c>
      <c r="D672" s="1627">
        <v>12.85</v>
      </c>
      <c r="E672" s="1629">
        <v>3.7</v>
      </c>
      <c r="F672" s="1628" t="s">
        <v>1342</v>
      </c>
      <c r="H672" s="1627" t="s">
        <v>1343</v>
      </c>
      <c r="O672" s="1627" t="s">
        <v>1233</v>
      </c>
      <c r="R672" s="1640">
        <f>SUM(R652:R662)</f>
        <v>27973.756101720002</v>
      </c>
      <c r="W672" s="1634"/>
      <c r="AC672" s="1633"/>
    </row>
    <row r="673" spans="1:35" ht="24" customHeight="1">
      <c r="A673" s="1647">
        <f t="shared" si="78"/>
        <v>471</v>
      </c>
      <c r="B673" s="1627" t="s">
        <v>1344</v>
      </c>
      <c r="C673" s="1640">
        <v>4</v>
      </c>
      <c r="D673" s="1627" t="s">
        <v>226</v>
      </c>
      <c r="H673" s="1627" t="s">
        <v>1345</v>
      </c>
      <c r="R673" s="1636" t="s">
        <v>21</v>
      </c>
      <c r="W673" s="1634"/>
      <c r="AG673" s="1640" t="str">
        <f t="shared" ref="AG673:AG680" si="86">AI673</f>
        <v>|</v>
      </c>
      <c r="AI673" s="1627" t="s">
        <v>1095</v>
      </c>
    </row>
    <row r="674" spans="1:35" ht="24" customHeight="1">
      <c r="A674" s="1647">
        <f t="shared" si="78"/>
        <v>472</v>
      </c>
      <c r="B674" s="1627" t="s">
        <v>1346</v>
      </c>
      <c r="C674" s="1640">
        <v>5</v>
      </c>
      <c r="D674" s="1627" t="s">
        <v>226</v>
      </c>
      <c r="H674" s="1627" t="s">
        <v>1347</v>
      </c>
      <c r="O674" s="1627" t="s">
        <v>1348</v>
      </c>
      <c r="T674" s="1661">
        <v>4.2</v>
      </c>
      <c r="U674" s="1661" t="s">
        <v>1349</v>
      </c>
      <c r="W674" s="1634"/>
      <c r="AG674" s="1640" t="str">
        <f t="shared" si="86"/>
        <v>|</v>
      </c>
      <c r="AI674" s="1627" t="s">
        <v>1095</v>
      </c>
    </row>
    <row r="675" spans="1:35" ht="24" customHeight="1">
      <c r="A675" s="1647">
        <f t="shared" si="78"/>
        <v>473</v>
      </c>
      <c r="B675" s="1627" t="s">
        <v>1350</v>
      </c>
      <c r="C675" s="1640">
        <v>96</v>
      </c>
      <c r="D675" s="1627" t="s">
        <v>153</v>
      </c>
      <c r="H675" s="1627" t="s">
        <v>1351</v>
      </c>
      <c r="N675" s="1627" t="s">
        <v>249</v>
      </c>
      <c r="O675" s="1627" t="s">
        <v>1352</v>
      </c>
      <c r="S675" s="1633">
        <v>5</v>
      </c>
      <c r="T675" s="1629" t="s">
        <v>276</v>
      </c>
      <c r="U675" s="1629" t="s">
        <v>5618</v>
      </c>
      <c r="V675" s="1629">
        <f>V705</f>
        <v>2446.7200000000003</v>
      </c>
      <c r="W675" s="1634"/>
      <c r="X675" s="1629">
        <f>V675*S675</f>
        <v>12233.600000000002</v>
      </c>
      <c r="AG675" s="1640" t="str">
        <f t="shared" si="86"/>
        <v>|</v>
      </c>
      <c r="AI675" s="1627" t="s">
        <v>1095</v>
      </c>
    </row>
    <row r="676" spans="1:35" ht="24" customHeight="1">
      <c r="A676" s="1647">
        <f t="shared" si="78"/>
        <v>474</v>
      </c>
      <c r="B676" s="1627" t="s">
        <v>1354</v>
      </c>
      <c r="C676" s="1640">
        <v>75</v>
      </c>
      <c r="D676" s="1627" t="s">
        <v>153</v>
      </c>
      <c r="H676" s="1627" t="s">
        <v>1355</v>
      </c>
      <c r="O676" s="1627" t="s">
        <v>1356</v>
      </c>
      <c r="S676" s="1633">
        <v>3.3</v>
      </c>
      <c r="T676" s="1629" t="s">
        <v>276</v>
      </c>
      <c r="U676" s="1629" t="s">
        <v>5619</v>
      </c>
      <c r="V676" s="1629">
        <f t="shared" ref="V676:V685" si="87">V706</f>
        <v>2161.2200000000003</v>
      </c>
      <c r="W676" s="1634"/>
      <c r="X676" s="1629">
        <f t="shared" ref="X676:X682" si="88">V676*S676</f>
        <v>7132.0260000000007</v>
      </c>
      <c r="AG676" s="1640" t="str">
        <f t="shared" si="86"/>
        <v>|</v>
      </c>
      <c r="AI676" s="1627" t="s">
        <v>1095</v>
      </c>
    </row>
    <row r="677" spans="1:35" ht="24" customHeight="1">
      <c r="A677" s="1647">
        <f t="shared" si="78"/>
        <v>475</v>
      </c>
      <c r="B677" s="1627" t="s">
        <v>1358</v>
      </c>
      <c r="C677" s="1640">
        <v>26.6</v>
      </c>
      <c r="D677" s="1640">
        <v>40.9</v>
      </c>
      <c r="E677" s="1629">
        <v>3</v>
      </c>
      <c r="H677" s="1627" t="s">
        <v>1359</v>
      </c>
      <c r="O677" s="1636" t="s">
        <v>21</v>
      </c>
      <c r="S677" s="1633">
        <v>4.79</v>
      </c>
      <c r="T677" s="1629" t="s">
        <v>276</v>
      </c>
      <c r="U677" s="1629" t="s">
        <v>5620</v>
      </c>
      <c r="V677" s="1629">
        <f t="shared" si="87"/>
        <v>2265.5</v>
      </c>
      <c r="W677" s="1634"/>
      <c r="X677" s="1629">
        <f t="shared" si="88"/>
        <v>10851.745000000001</v>
      </c>
      <c r="AG677" s="1640" t="str">
        <f t="shared" si="86"/>
        <v>|</v>
      </c>
      <c r="AI677" s="1627" t="s">
        <v>1095</v>
      </c>
    </row>
    <row r="678" spans="1:35" ht="24" customHeight="1">
      <c r="A678" s="1647">
        <f t="shared" si="78"/>
        <v>476</v>
      </c>
      <c r="B678" s="1627" t="s">
        <v>1361</v>
      </c>
      <c r="C678" s="1640">
        <v>80</v>
      </c>
      <c r="D678" s="1627" t="s">
        <v>153</v>
      </c>
      <c r="H678" s="1627" t="s">
        <v>1362</v>
      </c>
      <c r="M678" s="1640">
        <v>1</v>
      </c>
      <c r="N678" s="1627" t="s">
        <v>153</v>
      </c>
      <c r="O678" s="1627" t="s">
        <v>1363</v>
      </c>
      <c r="P678" s="1640">
        <f>(C383)</f>
        <v>14.91</v>
      </c>
      <c r="Q678" s="1627" t="s">
        <v>153</v>
      </c>
      <c r="R678" s="1640">
        <f>(M678*P678)</f>
        <v>14.91</v>
      </c>
      <c r="S678" s="1633">
        <v>4</v>
      </c>
      <c r="T678" s="1629" t="s">
        <v>277</v>
      </c>
      <c r="U678" s="1629" t="s">
        <v>278</v>
      </c>
      <c r="V678" s="1629">
        <f t="shared" si="87"/>
        <v>6040</v>
      </c>
      <c r="W678" s="1634"/>
      <c r="X678" s="1629">
        <f t="shared" si="88"/>
        <v>24160</v>
      </c>
      <c r="AG678" s="1640" t="str">
        <f t="shared" si="86"/>
        <v>|</v>
      </c>
      <c r="AI678" s="1627" t="s">
        <v>1095</v>
      </c>
    </row>
    <row r="679" spans="1:35" ht="24" customHeight="1">
      <c r="A679" s="1647">
        <f t="shared" si="78"/>
        <v>477</v>
      </c>
      <c r="B679" s="1627" t="s">
        <v>1364</v>
      </c>
      <c r="C679" s="1640">
        <v>64</v>
      </c>
      <c r="D679" s="1627" t="s">
        <v>153</v>
      </c>
      <c r="H679" s="1636" t="s">
        <v>21</v>
      </c>
      <c r="I679" s="1636" t="s">
        <v>21</v>
      </c>
      <c r="N679" s="1627" t="s">
        <v>226</v>
      </c>
      <c r="O679" s="1627" t="s">
        <v>1365</v>
      </c>
      <c r="Q679" s="1627" t="s">
        <v>226</v>
      </c>
      <c r="R679" s="1640">
        <v>2.09</v>
      </c>
      <c r="S679" s="1633">
        <v>40</v>
      </c>
      <c r="T679" s="1629" t="s">
        <v>13</v>
      </c>
      <c r="U679" s="1629" t="s">
        <v>1366</v>
      </c>
      <c r="V679" s="1629">
        <f>V648</f>
        <v>43.2</v>
      </c>
      <c r="W679" s="1634"/>
      <c r="X679" s="1629">
        <f t="shared" si="88"/>
        <v>1728</v>
      </c>
      <c r="AG679" s="1640" t="str">
        <f t="shared" si="86"/>
        <v>|</v>
      </c>
      <c r="AI679" s="1627" t="s">
        <v>1095</v>
      </c>
    </row>
    <row r="680" spans="1:35" ht="24" customHeight="1">
      <c r="A680" s="1647">
        <f t="shared" si="78"/>
        <v>478</v>
      </c>
      <c r="B680" s="1627" t="s">
        <v>1367</v>
      </c>
      <c r="C680" s="1640">
        <v>40.5</v>
      </c>
      <c r="D680" s="1627" t="s">
        <v>153</v>
      </c>
      <c r="F680" s="1640">
        <v>1</v>
      </c>
      <c r="G680" s="1638" t="s">
        <v>152</v>
      </c>
      <c r="H680" s="1627" t="s">
        <v>1368</v>
      </c>
      <c r="I680" s="1640">
        <f>D76</f>
        <v>290</v>
      </c>
      <c r="J680" s="1627" t="s">
        <v>152</v>
      </c>
      <c r="K680" s="1640">
        <f>(F680*I680)</f>
        <v>290</v>
      </c>
      <c r="O680" s="1627" t="s">
        <v>1369</v>
      </c>
      <c r="R680" s="1627" t="s">
        <v>150</v>
      </c>
      <c r="S680" s="1633">
        <v>3.5</v>
      </c>
      <c r="T680" s="1629" t="s">
        <v>154</v>
      </c>
      <c r="U680" s="1629" t="s">
        <v>280</v>
      </c>
      <c r="V680" s="1629">
        <f t="shared" si="87"/>
        <v>1237.5999999999999</v>
      </c>
      <c r="W680" s="1634"/>
      <c r="X680" s="1629">
        <f>V680*S680</f>
        <v>4331.5999999999995</v>
      </c>
      <c r="AG680" s="1640" t="str">
        <f t="shared" si="86"/>
        <v>|</v>
      </c>
      <c r="AI680" s="1627" t="s">
        <v>1095</v>
      </c>
    </row>
    <row r="681" spans="1:35" ht="24" customHeight="1">
      <c r="A681" s="1647">
        <f t="shared" si="78"/>
        <v>479</v>
      </c>
      <c r="B681" s="1627" t="s">
        <v>1370</v>
      </c>
      <c r="C681" s="1640">
        <v>92</v>
      </c>
      <c r="D681" s="1627" t="s">
        <v>153</v>
      </c>
      <c r="F681" s="1640">
        <v>1</v>
      </c>
      <c r="G681" s="1638" t="s">
        <v>152</v>
      </c>
      <c r="H681" s="1627" t="s">
        <v>1371</v>
      </c>
      <c r="I681" s="1640">
        <f>C75</f>
        <v>175</v>
      </c>
      <c r="J681" s="1627" t="s">
        <v>152</v>
      </c>
      <c r="K681" s="1640">
        <f>(F681*I681)</f>
        <v>175</v>
      </c>
      <c r="R681" s="1636" t="s">
        <v>21</v>
      </c>
      <c r="S681" s="1633">
        <v>21.2</v>
      </c>
      <c r="T681" s="1629" t="s">
        <v>154</v>
      </c>
      <c r="U681" s="1629" t="s">
        <v>281</v>
      </c>
      <c r="V681" s="1629">
        <f t="shared" si="87"/>
        <v>865.19999999999993</v>
      </c>
      <c r="W681" s="1634"/>
      <c r="X681" s="1629">
        <f t="shared" si="88"/>
        <v>18342.239999999998</v>
      </c>
      <c r="AG681" s="1640">
        <f>32.32*100</f>
        <v>3232</v>
      </c>
      <c r="AI681" s="1627" t="s">
        <v>1095</v>
      </c>
    </row>
    <row r="682" spans="1:35" ht="24" customHeight="1">
      <c r="A682" s="1647">
        <f t="shared" si="78"/>
        <v>480</v>
      </c>
      <c r="B682" s="1627" t="s">
        <v>1372</v>
      </c>
      <c r="C682" s="1640">
        <v>60</v>
      </c>
      <c r="D682" s="1627" t="s">
        <v>153</v>
      </c>
      <c r="F682" s="1640">
        <v>1</v>
      </c>
      <c r="G682" s="1638" t="s">
        <v>226</v>
      </c>
      <c r="H682" s="1627" t="s">
        <v>1373</v>
      </c>
      <c r="I682" s="1690">
        <v>15</v>
      </c>
      <c r="J682" s="1627" t="s">
        <v>226</v>
      </c>
      <c r="K682" s="1640">
        <f>(F682*I682)</f>
        <v>15</v>
      </c>
      <c r="O682" s="1627" t="s">
        <v>1374</v>
      </c>
      <c r="R682" s="1640">
        <f>SUM(R678:R680)</f>
        <v>17</v>
      </c>
      <c r="S682" s="1633">
        <v>35.299999999999997</v>
      </c>
      <c r="T682" s="1629" t="s">
        <v>154</v>
      </c>
      <c r="U682" s="1629" t="s">
        <v>282</v>
      </c>
      <c r="V682" s="1629">
        <f>V712</f>
        <v>709.8</v>
      </c>
      <c r="W682" s="1634"/>
      <c r="X682" s="1629">
        <f t="shared" si="88"/>
        <v>25055.939999999995</v>
      </c>
      <c r="AG682" s="1640">
        <f>48.824*100</f>
        <v>4882.3999999999996</v>
      </c>
      <c r="AI682" s="1627" t="s">
        <v>1095</v>
      </c>
    </row>
    <row r="683" spans="1:35" ht="24" customHeight="1">
      <c r="A683" s="1647">
        <f t="shared" si="78"/>
        <v>481</v>
      </c>
      <c r="B683" s="1627" t="s">
        <v>1375</v>
      </c>
      <c r="C683" s="1640">
        <v>49.87</v>
      </c>
      <c r="D683" s="1627" t="s">
        <v>153</v>
      </c>
      <c r="K683" s="1636" t="s">
        <v>21</v>
      </c>
      <c r="R683" s="1636" t="s">
        <v>21</v>
      </c>
      <c r="U683" s="1661" t="s">
        <v>283</v>
      </c>
      <c r="W683" s="1634"/>
      <c r="X683" s="1661">
        <f>SUM(X675:X682)</f>
        <v>103835.15100000001</v>
      </c>
      <c r="Y683" s="1661"/>
      <c r="AC683" s="1633">
        <f>22.77+26.054</f>
        <v>48.823999999999998</v>
      </c>
      <c r="AG683" s="1640">
        <f>0.52*100</f>
        <v>52</v>
      </c>
      <c r="AI683" s="1627" t="s">
        <v>1095</v>
      </c>
    </row>
    <row r="684" spans="1:35" ht="24" customHeight="1">
      <c r="A684" s="1647">
        <f t="shared" si="78"/>
        <v>482</v>
      </c>
      <c r="B684" s="1627" t="s">
        <v>1376</v>
      </c>
      <c r="C684" s="1640">
        <v>80</v>
      </c>
      <c r="D684" s="1627" t="s">
        <v>153</v>
      </c>
      <c r="H684" s="1627" t="s">
        <v>155</v>
      </c>
      <c r="K684" s="1640">
        <f>SUM(K678:K682)</f>
        <v>480</v>
      </c>
      <c r="U684" s="1661" t="s">
        <v>284</v>
      </c>
      <c r="W684" s="1634"/>
      <c r="X684" s="1661">
        <f>X683/10</f>
        <v>10383.515100000001</v>
      </c>
      <c r="Y684" s="1661"/>
      <c r="Z684" s="1629">
        <f>X684</f>
        <v>10383.515100000001</v>
      </c>
      <c r="AE684" s="1629">
        <f>26.19*0.02</f>
        <v>0.52380000000000004</v>
      </c>
      <c r="AG684" s="1640">
        <f>0.397*100</f>
        <v>39.700000000000003</v>
      </c>
      <c r="AH684" s="1629">
        <f>AG681+AG682+AG683+AG684</f>
        <v>8206.1</v>
      </c>
      <c r="AI684" s="1627" t="s">
        <v>1095</v>
      </c>
    </row>
    <row r="685" spans="1:35" ht="24" customHeight="1">
      <c r="A685" s="1647">
        <f t="shared" si="78"/>
        <v>483</v>
      </c>
      <c r="B685" s="1627" t="s">
        <v>1377</v>
      </c>
      <c r="C685" s="1640">
        <v>52</v>
      </c>
      <c r="D685" s="1627" t="s">
        <v>153</v>
      </c>
      <c r="H685" s="1627" t="s">
        <v>1378</v>
      </c>
      <c r="K685" s="1636" t="s">
        <v>156</v>
      </c>
      <c r="N685" s="1627" t="s">
        <v>249</v>
      </c>
      <c r="O685" s="1627" t="s">
        <v>1379</v>
      </c>
      <c r="S685" s="1633">
        <v>1</v>
      </c>
      <c r="T685" s="1629" t="s">
        <v>276</v>
      </c>
      <c r="U685" s="1629" t="s">
        <v>285</v>
      </c>
      <c r="V685" s="1629">
        <f t="shared" si="87"/>
        <v>125.16</v>
      </c>
      <c r="W685" s="1634"/>
      <c r="X685" s="1629">
        <f>V685</f>
        <v>125.16</v>
      </c>
      <c r="AE685" s="1633">
        <f>9.92*0.04</f>
        <v>0.39679999999999999</v>
      </c>
      <c r="AG685" s="1640" t="str">
        <f t="shared" ref="AG685:AG748" si="89">AI685</f>
        <v>|</v>
      </c>
      <c r="AI685" s="1627" t="s">
        <v>1095</v>
      </c>
    </row>
    <row r="686" spans="1:35" ht="24" customHeight="1">
      <c r="A686" s="1647">
        <f t="shared" si="78"/>
        <v>484</v>
      </c>
      <c r="B686" s="1627" t="s">
        <v>1380</v>
      </c>
      <c r="C686" s="1640">
        <v>39</v>
      </c>
      <c r="D686" s="1627" t="s">
        <v>153</v>
      </c>
      <c r="H686" s="1627" t="s">
        <v>271</v>
      </c>
      <c r="I686" s="1629">
        <f>K684</f>
        <v>480</v>
      </c>
      <c r="J686" s="1632">
        <f>C19*0.05</f>
        <v>5.2359999999999998</v>
      </c>
      <c r="K686" s="1639">
        <f>I686+J686</f>
        <v>485.23599999999999</v>
      </c>
      <c r="O686" s="1627" t="s">
        <v>1356</v>
      </c>
      <c r="U686" s="1629" t="s">
        <v>286</v>
      </c>
      <c r="W686" s="1634"/>
      <c r="X686" s="1661">
        <f>SUM(X684:X685)</f>
        <v>10508.6751</v>
      </c>
      <c r="Y686" s="1661"/>
      <c r="Z686" s="1629">
        <f>SUM(Z684:Z685)</f>
        <v>10383.515100000001</v>
      </c>
      <c r="AG686" s="1640" t="str">
        <f t="shared" si="89"/>
        <v>|</v>
      </c>
      <c r="AH686" s="1629">
        <f>SUM(AH684:AH685)</f>
        <v>8206.1</v>
      </c>
      <c r="AI686" s="1627" t="s">
        <v>1095</v>
      </c>
    </row>
    <row r="687" spans="1:35" ht="24" customHeight="1">
      <c r="A687" s="1647">
        <f t="shared" si="78"/>
        <v>485</v>
      </c>
      <c r="B687" s="1627" t="s">
        <v>1381</v>
      </c>
      <c r="C687" s="1640">
        <v>90</v>
      </c>
      <c r="D687" s="1627" t="s">
        <v>153</v>
      </c>
      <c r="H687" s="1627" t="s">
        <v>272</v>
      </c>
      <c r="I687" s="1629">
        <f>K686</f>
        <v>485.23599999999999</v>
      </c>
      <c r="J687" s="1632">
        <f>C20*0.05</f>
        <v>10.563000000000001</v>
      </c>
      <c r="K687" s="1639">
        <f>I687+J687</f>
        <v>495.79899999999998</v>
      </c>
      <c r="O687" s="1636" t="s">
        <v>21</v>
      </c>
      <c r="S687" s="1704" t="s">
        <v>287</v>
      </c>
      <c r="U687" s="1629" t="s">
        <v>288</v>
      </c>
      <c r="V687" s="1704" t="s">
        <v>287</v>
      </c>
      <c r="W687" s="1634"/>
      <c r="X687" s="1629">
        <f>X686*0.5%</f>
        <v>52.543375500000003</v>
      </c>
      <c r="Z687" s="1629">
        <f>Z686*0.5/100</f>
        <v>51.917575500000005</v>
      </c>
      <c r="AG687" s="1640" t="str">
        <f t="shared" si="89"/>
        <v>|</v>
      </c>
      <c r="AH687" s="1629">
        <f>AH686/185.82</f>
        <v>44.16155419222904</v>
      </c>
      <c r="AI687" s="1627" t="s">
        <v>1095</v>
      </c>
    </row>
    <row r="688" spans="1:35" ht="30.75" customHeight="1">
      <c r="A688" s="1647">
        <f t="shared" si="78"/>
        <v>486</v>
      </c>
      <c r="B688" s="1627" t="s">
        <v>1382</v>
      </c>
      <c r="C688" s="1640">
        <v>60</v>
      </c>
      <c r="D688" s="1627" t="s">
        <v>153</v>
      </c>
      <c r="H688" s="1627" t="s">
        <v>767</v>
      </c>
      <c r="I688" s="1629">
        <f>K687</f>
        <v>495.79899999999998</v>
      </c>
      <c r="J688" s="1632">
        <f>J687</f>
        <v>10.563000000000001</v>
      </c>
      <c r="K688" s="1639">
        <f>I688+J688</f>
        <v>506.36199999999997</v>
      </c>
      <c r="M688" s="1640">
        <v>1</v>
      </c>
      <c r="N688" s="1627" t="s">
        <v>153</v>
      </c>
      <c r="O688" s="1627" t="s">
        <v>1383</v>
      </c>
      <c r="P688" s="1640">
        <f>(C384)</f>
        <v>17.579999999999998</v>
      </c>
      <c r="Q688" s="1627" t="s">
        <v>153</v>
      </c>
      <c r="R688" s="1640">
        <f>(M688*P688)</f>
        <v>17.579999999999998</v>
      </c>
      <c r="T688" s="1630"/>
      <c r="U688" s="1661" t="s">
        <v>289</v>
      </c>
      <c r="W688" s="1634"/>
      <c r="X688" s="1639">
        <f>SUM(X686:X687)</f>
        <v>10561.2184755</v>
      </c>
      <c r="Y688" s="1639"/>
      <c r="Z688" s="1661">
        <f>SUM(Z686:Z687)</f>
        <v>10435.4326755</v>
      </c>
      <c r="AA688" s="1705" t="s">
        <v>1384</v>
      </c>
      <c r="AB688" s="1705"/>
      <c r="AG688" s="1640" t="str">
        <f t="shared" si="89"/>
        <v>|</v>
      </c>
      <c r="AH688" s="1629">
        <f>AH686/1000</f>
        <v>8.2061000000000011</v>
      </c>
      <c r="AI688" s="1627" t="s">
        <v>1095</v>
      </c>
    </row>
    <row r="689" spans="1:35" ht="17.25" customHeight="1">
      <c r="A689" s="1647">
        <f t="shared" si="78"/>
        <v>487</v>
      </c>
      <c r="B689" s="1627" t="s">
        <v>1385</v>
      </c>
      <c r="C689" s="1640">
        <v>43.5</v>
      </c>
      <c r="D689" s="1627" t="s">
        <v>153</v>
      </c>
      <c r="H689" s="1627" t="s">
        <v>769</v>
      </c>
      <c r="I689" s="1629">
        <f>K688</f>
        <v>506.36199999999997</v>
      </c>
      <c r="J689" s="1632">
        <f>J688</f>
        <v>10.563000000000001</v>
      </c>
      <c r="K689" s="1639">
        <f>I689+J689</f>
        <v>516.92499999999995</v>
      </c>
      <c r="N689" s="1627" t="s">
        <v>226</v>
      </c>
      <c r="O689" s="1627" t="s">
        <v>1365</v>
      </c>
      <c r="Q689" s="1627" t="s">
        <v>226</v>
      </c>
      <c r="R689" s="1640">
        <v>2.09</v>
      </c>
      <c r="T689" s="1630"/>
      <c r="W689" s="1634"/>
      <c r="X689" s="1636" t="s">
        <v>21</v>
      </c>
      <c r="Y689" s="1636"/>
      <c r="AG689" s="1640" t="str">
        <f t="shared" si="89"/>
        <v>|</v>
      </c>
      <c r="AH689" s="1629">
        <f>185.82*10.764</f>
        <v>2000.1664799999999</v>
      </c>
      <c r="AI689" s="1627" t="s">
        <v>1095</v>
      </c>
    </row>
    <row r="690" spans="1:35" ht="24" customHeight="1">
      <c r="A690" s="1647">
        <f t="shared" si="78"/>
        <v>488</v>
      </c>
      <c r="B690" s="1627" t="s">
        <v>1386</v>
      </c>
      <c r="C690" s="1640">
        <v>75</v>
      </c>
      <c r="D690" s="1627" t="s">
        <v>153</v>
      </c>
      <c r="H690" s="1627" t="s">
        <v>1117</v>
      </c>
      <c r="I690" s="1629">
        <f>K689</f>
        <v>516.92499999999995</v>
      </c>
      <c r="J690" s="1632">
        <f>J689</f>
        <v>10.563000000000001</v>
      </c>
      <c r="K690" s="1639">
        <f>I690+J690</f>
        <v>527.48799999999994</v>
      </c>
      <c r="O690" s="1627" t="s">
        <v>1369</v>
      </c>
      <c r="R690" s="1627" t="s">
        <v>150</v>
      </c>
      <c r="T690" s="1630"/>
      <c r="U690" s="1627" t="s">
        <v>271</v>
      </c>
      <c r="W690" s="1634"/>
      <c r="X690" s="1639">
        <f>(X688+C22)</f>
        <v>10720.258475500001</v>
      </c>
      <c r="Y690" s="1639"/>
      <c r="AG690" s="1640" t="str">
        <f t="shared" si="89"/>
        <v>|</v>
      </c>
      <c r="AH690" s="1629">
        <f>AH686/AH689</f>
        <v>4.1027084905452478</v>
      </c>
      <c r="AI690" s="1627" t="s">
        <v>1095</v>
      </c>
    </row>
    <row r="691" spans="1:35" ht="24" customHeight="1">
      <c r="A691" s="1647">
        <f t="shared" si="78"/>
        <v>489</v>
      </c>
      <c r="B691" s="1627" t="s">
        <v>1387</v>
      </c>
      <c r="C691" s="1640">
        <v>52</v>
      </c>
      <c r="D691" s="1627" t="s">
        <v>153</v>
      </c>
      <c r="F691" s="1628" t="s">
        <v>1388</v>
      </c>
      <c r="H691" s="1627" t="s">
        <v>1343</v>
      </c>
      <c r="R691" s="1636" t="s">
        <v>21</v>
      </c>
      <c r="T691" s="1630"/>
      <c r="U691" s="1627" t="s">
        <v>272</v>
      </c>
      <c r="W691" s="1634"/>
      <c r="X691" s="1639">
        <f>(X690+C24)</f>
        <v>11033.5784755</v>
      </c>
      <c r="Y691" s="1639"/>
      <c r="AG691" s="1640" t="str">
        <f t="shared" si="89"/>
        <v>|</v>
      </c>
      <c r="AH691" s="1629">
        <f>924.2/8.21</f>
        <v>112.5700365408039</v>
      </c>
      <c r="AI691" s="1627" t="s">
        <v>1095</v>
      </c>
    </row>
    <row r="692" spans="1:35" ht="24" customHeight="1">
      <c r="A692" s="1647">
        <f t="shared" si="78"/>
        <v>490</v>
      </c>
      <c r="B692" s="1627" t="s">
        <v>1380</v>
      </c>
      <c r="C692" s="1640">
        <v>35.25</v>
      </c>
      <c r="D692" s="1627" t="s">
        <v>153</v>
      </c>
      <c r="H692" s="1627" t="s">
        <v>1389</v>
      </c>
      <c r="O692" s="1627" t="s">
        <v>1374</v>
      </c>
      <c r="R692" s="1640">
        <f>SUM(R688:R690)</f>
        <v>19.669999999999998</v>
      </c>
      <c r="T692" s="1630"/>
      <c r="U692" s="1627" t="s">
        <v>767</v>
      </c>
      <c r="W692" s="1634"/>
      <c r="X692" s="1639">
        <f>(X691+C24)</f>
        <v>11346.8984755</v>
      </c>
      <c r="Y692" s="1639"/>
      <c r="AG692" s="1640" t="str">
        <f t="shared" si="89"/>
        <v>|</v>
      </c>
      <c r="AI692" s="1627" t="s">
        <v>1095</v>
      </c>
    </row>
    <row r="693" spans="1:35" ht="24" customHeight="1">
      <c r="A693" s="1647">
        <f t="shared" si="78"/>
        <v>491</v>
      </c>
      <c r="B693" s="1627" t="s">
        <v>1390</v>
      </c>
      <c r="C693" s="1640">
        <v>37.5</v>
      </c>
      <c r="D693" s="1627" t="s">
        <v>153</v>
      </c>
      <c r="H693" s="1627" t="s">
        <v>1347</v>
      </c>
      <c r="R693" s="1636" t="s">
        <v>21</v>
      </c>
      <c r="T693" s="1630"/>
      <c r="U693" s="1627" t="s">
        <v>769</v>
      </c>
      <c r="W693" s="1634"/>
      <c r="X693" s="1639">
        <f>(X692+C24)</f>
        <v>11660.2184755</v>
      </c>
      <c r="Y693" s="1639"/>
      <c r="AG693" s="1640" t="str">
        <f t="shared" si="89"/>
        <v>|</v>
      </c>
      <c r="AI693" s="1627" t="s">
        <v>1095</v>
      </c>
    </row>
    <row r="694" spans="1:35" ht="24" customHeight="1">
      <c r="A694" s="1647">
        <f t="shared" si="78"/>
        <v>492</v>
      </c>
      <c r="B694" s="1627" t="s">
        <v>1391</v>
      </c>
      <c r="C694" s="1640">
        <v>24</v>
      </c>
      <c r="D694" s="1627" t="s">
        <v>153</v>
      </c>
      <c r="H694" s="1627" t="s">
        <v>1351</v>
      </c>
      <c r="O694" s="1629" t="s">
        <v>646</v>
      </c>
      <c r="T694" s="1630"/>
      <c r="U694" s="1627" t="s">
        <v>838</v>
      </c>
      <c r="W694" s="1634"/>
      <c r="X694" s="1639">
        <f>(X693+C24)</f>
        <v>11973.5384755</v>
      </c>
      <c r="Y694" s="1639"/>
      <c r="AG694" s="1640" t="str">
        <f t="shared" si="89"/>
        <v>|</v>
      </c>
      <c r="AI694" s="1627" t="s">
        <v>1095</v>
      </c>
    </row>
    <row r="695" spans="1:35" ht="24" customHeight="1">
      <c r="A695" s="1647">
        <f t="shared" si="78"/>
        <v>493</v>
      </c>
      <c r="B695" s="1627" t="s">
        <v>1392</v>
      </c>
      <c r="C695" s="1640">
        <v>16</v>
      </c>
      <c r="D695" s="1627" t="s">
        <v>153</v>
      </c>
      <c r="H695" s="1627" t="s">
        <v>1355</v>
      </c>
      <c r="N695" s="1627" t="s">
        <v>249</v>
      </c>
      <c r="O695" s="1627" t="s">
        <v>1393</v>
      </c>
      <c r="W695" s="1634"/>
      <c r="X695" s="1629">
        <f>X694+C24</f>
        <v>12286.858475499999</v>
      </c>
      <c r="AG695" s="1640" t="str">
        <f t="shared" si="89"/>
        <v>|</v>
      </c>
      <c r="AI695" s="1627" t="s">
        <v>1095</v>
      </c>
    </row>
    <row r="696" spans="1:35" ht="24" customHeight="1">
      <c r="A696" s="1647">
        <f t="shared" si="78"/>
        <v>494</v>
      </c>
      <c r="B696" s="1627" t="s">
        <v>5166</v>
      </c>
      <c r="C696" s="1640">
        <v>32.1</v>
      </c>
      <c r="D696" s="1627" t="s">
        <v>153</v>
      </c>
      <c r="H696" s="1627" t="s">
        <v>1359</v>
      </c>
      <c r="O696" s="1627" t="s">
        <v>1356</v>
      </c>
      <c r="W696" s="1634"/>
      <c r="X696" s="1629">
        <f>X695+C24</f>
        <v>12600.178475499999</v>
      </c>
      <c r="AG696" s="1640" t="str">
        <f t="shared" si="89"/>
        <v>|</v>
      </c>
      <c r="AI696" s="1627" t="s">
        <v>1095</v>
      </c>
    </row>
    <row r="697" spans="1:35" ht="24" customHeight="1">
      <c r="A697" s="1647">
        <f t="shared" si="78"/>
        <v>495</v>
      </c>
      <c r="B697" s="1627" t="s">
        <v>1395</v>
      </c>
      <c r="C697" s="1640">
        <v>6</v>
      </c>
      <c r="D697" s="1627" t="s">
        <v>153</v>
      </c>
      <c r="H697" s="1627" t="s">
        <v>1396</v>
      </c>
      <c r="O697" s="1636" t="s">
        <v>21</v>
      </c>
      <c r="W697" s="1634"/>
      <c r="X697" s="1629">
        <f>X696+C24</f>
        <v>12913.498475499999</v>
      </c>
      <c r="AG697" s="1640" t="str">
        <f t="shared" si="89"/>
        <v>|</v>
      </c>
      <c r="AI697" s="1627" t="s">
        <v>1095</v>
      </c>
    </row>
    <row r="698" spans="1:35" ht="24" customHeight="1">
      <c r="A698" s="1647">
        <f t="shared" si="78"/>
        <v>496</v>
      </c>
      <c r="B698" s="1627" t="s">
        <v>1397</v>
      </c>
      <c r="C698" s="1640">
        <v>152.5</v>
      </c>
      <c r="D698" s="1627" t="s">
        <v>552</v>
      </c>
      <c r="E698" s="1629">
        <v>98.6</v>
      </c>
      <c r="F698" s="1629" t="s">
        <v>1398</v>
      </c>
      <c r="H698" s="1636" t="s">
        <v>21</v>
      </c>
      <c r="I698" s="1636" t="s">
        <v>21</v>
      </c>
      <c r="M698" s="1640">
        <v>1</v>
      </c>
      <c r="N698" s="1627" t="s">
        <v>153</v>
      </c>
      <c r="O698" s="1627" t="s">
        <v>1399</v>
      </c>
      <c r="P698" s="1640">
        <f>(C385)</f>
        <v>19.3</v>
      </c>
      <c r="Q698" s="1627" t="s">
        <v>153</v>
      </c>
      <c r="R698" s="1640">
        <f>(M698*P698)</f>
        <v>19.3</v>
      </c>
      <c r="W698" s="1634"/>
      <c r="X698" s="1629">
        <f>X697+C24</f>
        <v>13226.818475499998</v>
      </c>
      <c r="AG698" s="1640" t="str">
        <f t="shared" si="89"/>
        <v>|</v>
      </c>
      <c r="AI698" s="1627" t="s">
        <v>1095</v>
      </c>
    </row>
    <row r="699" spans="1:35" ht="24" customHeight="1">
      <c r="A699" s="1647">
        <f t="shared" si="78"/>
        <v>497</v>
      </c>
      <c r="B699" s="1627" t="s">
        <v>5167</v>
      </c>
      <c r="C699" s="1640">
        <v>366</v>
      </c>
      <c r="D699" s="1627" t="s">
        <v>153</v>
      </c>
      <c r="F699" s="1640">
        <v>1</v>
      </c>
      <c r="G699" s="1638" t="s">
        <v>152</v>
      </c>
      <c r="H699" s="1627" t="s">
        <v>1401</v>
      </c>
      <c r="I699" s="1640">
        <f>C76</f>
        <v>460</v>
      </c>
      <c r="J699" s="1627" t="s">
        <v>152</v>
      </c>
      <c r="K699" s="1640">
        <f>(F699*I699)</f>
        <v>460</v>
      </c>
      <c r="N699" s="1627" t="s">
        <v>226</v>
      </c>
      <c r="O699" s="1627" t="s">
        <v>1365</v>
      </c>
      <c r="Q699" s="1627" t="s">
        <v>226</v>
      </c>
      <c r="R699" s="1640">
        <v>2.09</v>
      </c>
      <c r="W699" s="1634"/>
      <c r="X699" s="1629">
        <f>X698+C24</f>
        <v>13540.138475499998</v>
      </c>
      <c r="AG699" s="1640" t="str">
        <f t="shared" si="89"/>
        <v>|</v>
      </c>
      <c r="AI699" s="1627" t="s">
        <v>1095</v>
      </c>
    </row>
    <row r="700" spans="1:35" ht="24" customHeight="1">
      <c r="A700" s="1647">
        <f t="shared" si="78"/>
        <v>498</v>
      </c>
      <c r="B700" s="1627" t="s">
        <v>1402</v>
      </c>
      <c r="C700" s="1640">
        <v>256</v>
      </c>
      <c r="D700" s="1627" t="s">
        <v>153</v>
      </c>
      <c r="F700" s="1640">
        <v>1</v>
      </c>
      <c r="G700" s="1638" t="s">
        <v>152</v>
      </c>
      <c r="H700" s="1627" t="s">
        <v>1371</v>
      </c>
      <c r="I700" s="1640">
        <f>C75</f>
        <v>175</v>
      </c>
      <c r="J700" s="1627" t="s">
        <v>152</v>
      </c>
      <c r="K700" s="1640">
        <f>(F700*I700)</f>
        <v>175</v>
      </c>
      <c r="O700" s="1627" t="s">
        <v>1369</v>
      </c>
      <c r="R700" s="1627" t="s">
        <v>150</v>
      </c>
      <c r="W700" s="1634"/>
      <c r="X700" s="1629">
        <f>X699+C24</f>
        <v>13853.458475499998</v>
      </c>
      <c r="AG700" s="1640" t="str">
        <f t="shared" si="89"/>
        <v>|</v>
      </c>
      <c r="AI700" s="1627" t="s">
        <v>1095</v>
      </c>
    </row>
    <row r="701" spans="1:35" ht="24" customHeight="1">
      <c r="A701" s="1647">
        <f t="shared" si="78"/>
        <v>499</v>
      </c>
      <c r="B701" s="1627" t="s">
        <v>1403</v>
      </c>
      <c r="C701" s="1640">
        <v>768.6</v>
      </c>
      <c r="D701" s="1627" t="s">
        <v>153</v>
      </c>
      <c r="F701" s="1640">
        <v>1</v>
      </c>
      <c r="G701" s="1638" t="s">
        <v>226</v>
      </c>
      <c r="H701" s="1627" t="s">
        <v>1373</v>
      </c>
      <c r="I701" s="1690">
        <v>15</v>
      </c>
      <c r="J701" s="1627" t="s">
        <v>226</v>
      </c>
      <c r="K701" s="1640">
        <f>(F701*I701)</f>
        <v>15</v>
      </c>
      <c r="R701" s="1636" t="s">
        <v>21</v>
      </c>
      <c r="W701" s="1634"/>
      <c r="X701" s="1629">
        <f>X700+C24</f>
        <v>14166.778475499998</v>
      </c>
      <c r="AG701" s="1640" t="str">
        <f t="shared" si="89"/>
        <v>|</v>
      </c>
      <c r="AI701" s="1627" t="s">
        <v>1095</v>
      </c>
    </row>
    <row r="702" spans="1:35" ht="24" customHeight="1">
      <c r="A702" s="1647">
        <f t="shared" si="78"/>
        <v>500</v>
      </c>
      <c r="B702" s="1627" t="s">
        <v>1404</v>
      </c>
      <c r="C702" s="1640">
        <v>129</v>
      </c>
      <c r="D702" s="1627" t="s">
        <v>153</v>
      </c>
      <c r="H702" s="1627" t="s">
        <v>237</v>
      </c>
      <c r="J702" s="1627" t="s">
        <v>226</v>
      </c>
      <c r="K702" s="1640">
        <v>0</v>
      </c>
      <c r="O702" s="1627" t="s">
        <v>1374</v>
      </c>
      <c r="R702" s="1640">
        <f>SUM(R698:R700)</f>
        <v>21.39</v>
      </c>
      <c r="W702" s="1634"/>
      <c r="X702" s="1629">
        <f>X701+C24</f>
        <v>14480.098475499997</v>
      </c>
      <c r="AG702" s="1640" t="str">
        <f t="shared" si="89"/>
        <v>|</v>
      </c>
      <c r="AI702" s="1627" t="s">
        <v>1095</v>
      </c>
    </row>
    <row r="703" spans="1:35" ht="24" customHeight="1">
      <c r="A703" s="1647">
        <f>(A702+1)</f>
        <v>501</v>
      </c>
      <c r="B703" s="1627" t="s">
        <v>1405</v>
      </c>
      <c r="C703" s="1640">
        <v>515.54999999999995</v>
      </c>
      <c r="D703" s="1627" t="s">
        <v>153</v>
      </c>
      <c r="K703" s="1636" t="s">
        <v>21</v>
      </c>
      <c r="R703" s="1636" t="s">
        <v>21</v>
      </c>
      <c r="W703" s="1634"/>
      <c r="AG703" s="1640" t="str">
        <f t="shared" si="89"/>
        <v>|</v>
      </c>
      <c r="AI703" s="1627" t="s">
        <v>1095</v>
      </c>
    </row>
    <row r="704" spans="1:35" ht="24" customHeight="1">
      <c r="B704" s="1629" t="s">
        <v>5168</v>
      </c>
      <c r="C704" s="1629">
        <v>3325</v>
      </c>
      <c r="D704" s="1629" t="s">
        <v>152</v>
      </c>
      <c r="H704" s="1627" t="s">
        <v>155</v>
      </c>
      <c r="K704" s="1640">
        <f>SUM(K699:K702)</f>
        <v>650</v>
      </c>
      <c r="U704" s="1661" t="s">
        <v>275</v>
      </c>
      <c r="W704" s="1634"/>
      <c r="AG704" s="1640" t="str">
        <f t="shared" si="89"/>
        <v>|</v>
      </c>
      <c r="AI704" s="1627" t="s">
        <v>1095</v>
      </c>
    </row>
    <row r="705" spans="1:35" ht="24" customHeight="1">
      <c r="A705" s="1647">
        <f>(A703+1)</f>
        <v>502</v>
      </c>
      <c r="B705" s="1627" t="s">
        <v>1407</v>
      </c>
      <c r="C705" s="1640">
        <v>254</v>
      </c>
      <c r="D705" s="1627" t="s">
        <v>153</v>
      </c>
      <c r="H705" s="1627" t="s">
        <v>1378</v>
      </c>
      <c r="K705" s="1636" t="s">
        <v>156</v>
      </c>
      <c r="S705" s="1633">
        <v>5</v>
      </c>
      <c r="T705" s="1629" t="s">
        <v>276</v>
      </c>
      <c r="U705" s="1629" t="s">
        <v>5618</v>
      </c>
      <c r="V705" s="1629">
        <f>AE14</f>
        <v>2446.7200000000003</v>
      </c>
      <c r="W705" s="1634"/>
      <c r="X705" s="1629">
        <f>V705*S705</f>
        <v>12233.600000000002</v>
      </c>
      <c r="AA705" s="1629">
        <f>X705</f>
        <v>12233.600000000002</v>
      </c>
      <c r="AG705" s="1640" t="str">
        <f t="shared" si="89"/>
        <v>|</v>
      </c>
      <c r="AI705" s="1627" t="s">
        <v>1095</v>
      </c>
    </row>
    <row r="706" spans="1:35" ht="24" customHeight="1">
      <c r="A706" s="1647">
        <f t="shared" ref="A706:A763" si="90">(A705+1)</f>
        <v>503</v>
      </c>
      <c r="B706" s="1627" t="s">
        <v>1408</v>
      </c>
      <c r="C706" s="1640">
        <v>315</v>
      </c>
      <c r="D706" s="1627" t="s">
        <v>153</v>
      </c>
      <c r="H706" s="1627" t="s">
        <v>271</v>
      </c>
      <c r="I706" s="1629">
        <f>K704</f>
        <v>650</v>
      </c>
      <c r="J706" s="1627">
        <f>C19*0.11</f>
        <v>11.519199999999998</v>
      </c>
      <c r="K706" s="1639">
        <f>I706+J706</f>
        <v>661.51919999999996</v>
      </c>
      <c r="N706" s="1627" t="s">
        <v>249</v>
      </c>
      <c r="O706" s="1627" t="s">
        <v>1409</v>
      </c>
      <c r="S706" s="1633">
        <v>3.3</v>
      </c>
      <c r="T706" s="1629" t="s">
        <v>276</v>
      </c>
      <c r="U706" s="1629" t="s">
        <v>5619</v>
      </c>
      <c r="V706" s="1629">
        <f>(AE12+AE13)/2</f>
        <v>2161.2200000000003</v>
      </c>
      <c r="W706" s="1634"/>
      <c r="X706" s="1629">
        <f t="shared" ref="X706:X712" si="91">V706*S706</f>
        <v>7132.0260000000007</v>
      </c>
      <c r="AA706" s="1629">
        <f t="shared" ref="AA706:AA714" si="92">X706</f>
        <v>7132.0260000000007</v>
      </c>
      <c r="AG706" s="1640" t="str">
        <f t="shared" si="89"/>
        <v>|</v>
      </c>
      <c r="AI706" s="1627" t="s">
        <v>1095</v>
      </c>
    </row>
    <row r="707" spans="1:35" ht="24" customHeight="1">
      <c r="A707" s="1647">
        <f t="shared" si="90"/>
        <v>504</v>
      </c>
      <c r="B707" s="1627" t="s">
        <v>1410</v>
      </c>
      <c r="C707" s="1640">
        <v>306</v>
      </c>
      <c r="D707" s="1627" t="s">
        <v>153</v>
      </c>
      <c r="H707" s="1627" t="s">
        <v>272</v>
      </c>
      <c r="I707" s="1629">
        <f>K706</f>
        <v>661.51919999999996</v>
      </c>
      <c r="J707" s="1632">
        <f>C20*0.11</f>
        <v>23.238599999999998</v>
      </c>
      <c r="K707" s="1639">
        <f>I707+J707</f>
        <v>684.75779999999997</v>
      </c>
      <c r="O707" s="1627" t="s">
        <v>1411</v>
      </c>
      <c r="S707" s="1633">
        <v>4.79</v>
      </c>
      <c r="T707" s="1629" t="s">
        <v>276</v>
      </c>
      <c r="U707" s="1629" t="s">
        <v>5620</v>
      </c>
      <c r="V707" s="1629">
        <f>V644</f>
        <v>2265.5</v>
      </c>
      <c r="W707" s="1634"/>
      <c r="X707" s="1629">
        <f t="shared" si="91"/>
        <v>10851.745000000001</v>
      </c>
      <c r="AA707" s="1629">
        <f t="shared" si="92"/>
        <v>10851.745000000001</v>
      </c>
      <c r="AG707" s="1640" t="str">
        <f t="shared" si="89"/>
        <v>|</v>
      </c>
      <c r="AI707" s="1627" t="s">
        <v>1095</v>
      </c>
    </row>
    <row r="708" spans="1:35" ht="24" customHeight="1">
      <c r="A708" s="1647">
        <f t="shared" si="90"/>
        <v>505</v>
      </c>
      <c r="B708" s="1627" t="s">
        <v>1412</v>
      </c>
      <c r="C708" s="1640">
        <v>274</v>
      </c>
      <c r="D708" s="1627" t="s">
        <v>153</v>
      </c>
      <c r="H708" s="1627" t="s">
        <v>767</v>
      </c>
      <c r="I708" s="1629">
        <f>K707</f>
        <v>684.75779999999997</v>
      </c>
      <c r="J708" s="1632">
        <f>J707</f>
        <v>23.238599999999998</v>
      </c>
      <c r="K708" s="1639">
        <f>I708+J708</f>
        <v>707.99639999999999</v>
      </c>
      <c r="O708" s="1636" t="s">
        <v>21</v>
      </c>
      <c r="S708" s="1633">
        <v>3.25</v>
      </c>
      <c r="T708" s="1629" t="s">
        <v>277</v>
      </c>
      <c r="U708" s="1629" t="s">
        <v>278</v>
      </c>
      <c r="V708" s="1629">
        <f>V643</f>
        <v>6040</v>
      </c>
      <c r="W708" s="1634"/>
      <c r="X708" s="1629">
        <f t="shared" si="91"/>
        <v>19630</v>
      </c>
      <c r="AA708" s="1629">
        <f t="shared" si="92"/>
        <v>19630</v>
      </c>
      <c r="AG708" s="1640" t="str">
        <f t="shared" si="89"/>
        <v>|</v>
      </c>
      <c r="AI708" s="1627" t="s">
        <v>1095</v>
      </c>
    </row>
    <row r="709" spans="1:35" ht="30.75" customHeight="1">
      <c r="A709" s="1647">
        <f t="shared" si="90"/>
        <v>506</v>
      </c>
      <c r="B709" s="1627" t="s">
        <v>1413</v>
      </c>
      <c r="C709" s="1640">
        <v>266</v>
      </c>
      <c r="D709" s="1627" t="s">
        <v>153</v>
      </c>
      <c r="H709" s="1627" t="s">
        <v>769</v>
      </c>
      <c r="I709" s="1629">
        <f>K708</f>
        <v>707.99639999999999</v>
      </c>
      <c r="J709" s="1632">
        <f>J708</f>
        <v>23.238599999999998</v>
      </c>
      <c r="K709" s="1639">
        <f>I709+J709</f>
        <v>731.23500000000001</v>
      </c>
      <c r="M709" s="1640">
        <v>1</v>
      </c>
      <c r="N709" s="1627" t="s">
        <v>153</v>
      </c>
      <c r="O709" s="1627" t="s">
        <v>1414</v>
      </c>
      <c r="P709" s="1640">
        <f>(C393/1*0.3)</f>
        <v>38.4</v>
      </c>
      <c r="Q709" s="1627" t="s">
        <v>153</v>
      </c>
      <c r="R709" s="1640">
        <f>(M709*P709)</f>
        <v>38.4</v>
      </c>
      <c r="S709" s="1633">
        <f>3250*0.6%</f>
        <v>19.5</v>
      </c>
      <c r="T709" s="1629" t="s">
        <v>13</v>
      </c>
      <c r="U709" s="1672" t="s">
        <v>279</v>
      </c>
      <c r="V709" s="1629">
        <f>V648</f>
        <v>43.2</v>
      </c>
      <c r="W709" s="1634"/>
      <c r="X709" s="1629">
        <f t="shared" si="91"/>
        <v>842.40000000000009</v>
      </c>
      <c r="AA709" s="1629">
        <f t="shared" si="92"/>
        <v>842.40000000000009</v>
      </c>
      <c r="AG709" s="1640" t="str">
        <f t="shared" si="89"/>
        <v>|</v>
      </c>
      <c r="AI709" s="1627" t="s">
        <v>1095</v>
      </c>
    </row>
    <row r="710" spans="1:35" ht="24" customHeight="1">
      <c r="A710" s="1647">
        <f t="shared" si="90"/>
        <v>507</v>
      </c>
      <c r="B710" s="1627" t="s">
        <v>1415</v>
      </c>
      <c r="C710" s="1640">
        <v>107.64</v>
      </c>
      <c r="D710" s="1627" t="s">
        <v>152</v>
      </c>
      <c r="H710" s="1627" t="s">
        <v>1117</v>
      </c>
      <c r="I710" s="1629">
        <f>K709</f>
        <v>731.23500000000001</v>
      </c>
      <c r="J710" s="1632">
        <f>J709</f>
        <v>23.238599999999998</v>
      </c>
      <c r="K710" s="1639">
        <f>I710+J710</f>
        <v>754.47360000000003</v>
      </c>
      <c r="N710" s="1627" t="s">
        <v>226</v>
      </c>
      <c r="O710" s="1627" t="s">
        <v>1365</v>
      </c>
      <c r="Q710" s="1627" t="s">
        <v>226</v>
      </c>
      <c r="R710" s="1640">
        <v>1.65</v>
      </c>
      <c r="S710" s="1633">
        <v>3.5</v>
      </c>
      <c r="T710" s="1629" t="s">
        <v>154</v>
      </c>
      <c r="U710" s="1629" t="s">
        <v>280</v>
      </c>
      <c r="V710" s="1629">
        <f>C11</f>
        <v>1237.5999999999999</v>
      </c>
      <c r="W710" s="1634">
        <f>J719</f>
        <v>0</v>
      </c>
      <c r="X710" s="1629">
        <f t="shared" si="91"/>
        <v>4331.5999999999995</v>
      </c>
      <c r="AA710" s="1629">
        <f t="shared" si="92"/>
        <v>4331.5999999999995</v>
      </c>
      <c r="AG710" s="1640" t="str">
        <f t="shared" si="89"/>
        <v>|</v>
      </c>
      <c r="AI710" s="1627" t="s">
        <v>1095</v>
      </c>
    </row>
    <row r="711" spans="1:35" ht="24" customHeight="1">
      <c r="A711" s="1647">
        <f t="shared" si="90"/>
        <v>508</v>
      </c>
      <c r="B711" s="1627" t="s">
        <v>1416</v>
      </c>
      <c r="F711" s="1627" t="s">
        <v>150</v>
      </c>
      <c r="O711" s="1627" t="s">
        <v>1369</v>
      </c>
      <c r="R711" s="1627" t="s">
        <v>150</v>
      </c>
      <c r="S711" s="1633">
        <v>21.2</v>
      </c>
      <c r="T711" s="1629" t="s">
        <v>154</v>
      </c>
      <c r="U711" s="1629" t="s">
        <v>281</v>
      </c>
      <c r="V711" s="1629">
        <f>C12</f>
        <v>865.19999999999993</v>
      </c>
      <c r="W711" s="1634"/>
      <c r="X711" s="1629">
        <f t="shared" si="91"/>
        <v>18342.239999999998</v>
      </c>
      <c r="AA711" s="1629">
        <f t="shared" si="92"/>
        <v>18342.239999999998</v>
      </c>
      <c r="AG711" s="1640" t="str">
        <f t="shared" si="89"/>
        <v>|</v>
      </c>
      <c r="AI711" s="1627" t="s">
        <v>1095</v>
      </c>
    </row>
    <row r="712" spans="1:35" ht="24" customHeight="1">
      <c r="A712" s="1647">
        <f t="shared" si="90"/>
        <v>509</v>
      </c>
      <c r="B712" s="1627" t="s">
        <v>1417</v>
      </c>
      <c r="C712" s="1640">
        <v>11.55</v>
      </c>
      <c r="D712" s="1627" t="s">
        <v>153</v>
      </c>
      <c r="R712" s="1636" t="s">
        <v>21</v>
      </c>
      <c r="S712" s="1633">
        <v>35.299999999999997</v>
      </c>
      <c r="T712" s="1629" t="s">
        <v>154</v>
      </c>
      <c r="U712" s="1629" t="s">
        <v>282</v>
      </c>
      <c r="V712" s="1629">
        <f>C13</f>
        <v>709.8</v>
      </c>
      <c r="W712" s="1634"/>
      <c r="X712" s="1629">
        <f t="shared" si="91"/>
        <v>25055.939999999995</v>
      </c>
      <c r="AA712" s="1629">
        <f t="shared" si="92"/>
        <v>25055.939999999995</v>
      </c>
      <c r="AG712" s="1640" t="str">
        <f t="shared" si="89"/>
        <v>|</v>
      </c>
      <c r="AI712" s="1627" t="s">
        <v>1095</v>
      </c>
    </row>
    <row r="713" spans="1:35" ht="24" customHeight="1">
      <c r="A713" s="1647">
        <f t="shared" si="90"/>
        <v>510</v>
      </c>
      <c r="B713" s="1627" t="s">
        <v>1026</v>
      </c>
      <c r="C713" s="1640">
        <v>16.399999999999999</v>
      </c>
      <c r="D713" s="1627" t="s">
        <v>153</v>
      </c>
      <c r="F713" s="1628" t="s">
        <v>451</v>
      </c>
      <c r="H713" s="1627" t="s">
        <v>1418</v>
      </c>
      <c r="O713" s="1627" t="s">
        <v>1374</v>
      </c>
      <c r="R713" s="1640">
        <f>SUM(R709:R711)</f>
        <v>40.049999999999997</v>
      </c>
      <c r="U713" s="1629" t="s">
        <v>283</v>
      </c>
      <c r="V713" s="1629">
        <f>V683</f>
        <v>0</v>
      </c>
      <c r="W713" s="1634"/>
      <c r="X713" s="1661">
        <f>SUM(X705:X712)</f>
        <v>98419.551000000007</v>
      </c>
      <c r="Y713" s="1661"/>
      <c r="AA713" s="1629">
        <f t="shared" si="92"/>
        <v>98419.551000000007</v>
      </c>
      <c r="AG713" s="1640" t="str">
        <f t="shared" si="89"/>
        <v>|</v>
      </c>
      <c r="AI713" s="1627" t="s">
        <v>1095</v>
      </c>
    </row>
    <row r="714" spans="1:35" ht="27" customHeight="1">
      <c r="A714" s="1647">
        <f t="shared" si="90"/>
        <v>511</v>
      </c>
      <c r="B714" s="1627" t="s">
        <v>1028</v>
      </c>
      <c r="C714" s="1640">
        <v>27.85</v>
      </c>
      <c r="D714" s="1627" t="s">
        <v>153</v>
      </c>
      <c r="H714" s="1627" t="s">
        <v>1419</v>
      </c>
      <c r="R714" s="1636" t="s">
        <v>21</v>
      </c>
      <c r="U714" s="1629" t="s">
        <v>284</v>
      </c>
      <c r="V714" s="1629">
        <f>V684</f>
        <v>0</v>
      </c>
      <c r="W714" s="1634"/>
      <c r="X714" s="1661">
        <f>X713/10</f>
        <v>9841.955100000001</v>
      </c>
      <c r="Y714" s="1661"/>
      <c r="AA714" s="1629">
        <f t="shared" si="92"/>
        <v>9841.955100000001</v>
      </c>
      <c r="AG714" s="1640" t="str">
        <f t="shared" si="89"/>
        <v>|</v>
      </c>
      <c r="AI714" s="1627" t="s">
        <v>1095</v>
      </c>
    </row>
    <row r="715" spans="1:35" ht="24" customHeight="1">
      <c r="A715" s="1647">
        <f t="shared" si="90"/>
        <v>512</v>
      </c>
      <c r="B715" s="1627" t="s">
        <v>1029</v>
      </c>
      <c r="C715" s="1640">
        <v>49.9</v>
      </c>
      <c r="D715" s="1627" t="s">
        <v>153</v>
      </c>
      <c r="H715" s="1627" t="s">
        <v>1420</v>
      </c>
      <c r="O715" s="1628" t="s">
        <v>1421</v>
      </c>
      <c r="R715" s="1627" t="s">
        <v>150</v>
      </c>
      <c r="S715" s="1633">
        <v>1</v>
      </c>
      <c r="T715" s="1629" t="s">
        <v>276</v>
      </c>
      <c r="U715" s="1629" t="s">
        <v>285</v>
      </c>
      <c r="V715" s="1629">
        <f>C25</f>
        <v>125.16</v>
      </c>
      <c r="W715" s="1634"/>
      <c r="X715" s="1629">
        <f>V715*S715</f>
        <v>125.16</v>
      </c>
      <c r="AG715" s="1640" t="str">
        <f t="shared" si="89"/>
        <v>|</v>
      </c>
      <c r="AI715" s="1627" t="s">
        <v>1095</v>
      </c>
    </row>
    <row r="716" spans="1:35" ht="24" customHeight="1">
      <c r="A716" s="1647">
        <f t="shared" si="90"/>
        <v>513</v>
      </c>
      <c r="B716" s="1627" t="s">
        <v>1030</v>
      </c>
      <c r="C716" s="1640">
        <v>69.25</v>
      </c>
      <c r="D716" s="1627" t="s">
        <v>153</v>
      </c>
      <c r="H716" s="1636" t="s">
        <v>21</v>
      </c>
      <c r="M716" s="1692"/>
      <c r="O716" s="1628" t="s">
        <v>1422</v>
      </c>
      <c r="U716" s="1629" t="s">
        <v>286</v>
      </c>
      <c r="V716" s="1629">
        <f>V686</f>
        <v>0</v>
      </c>
      <c r="W716" s="1634"/>
      <c r="X716" s="1661">
        <f>SUM(X714:X715)</f>
        <v>9967.1151000000009</v>
      </c>
      <c r="Y716" s="1661"/>
      <c r="AA716" s="1629">
        <f>AA714</f>
        <v>9841.955100000001</v>
      </c>
      <c r="AG716" s="1640" t="str">
        <f t="shared" si="89"/>
        <v>|</v>
      </c>
      <c r="AI716" s="1627" t="s">
        <v>1095</v>
      </c>
    </row>
    <row r="717" spans="1:35" ht="24" customHeight="1">
      <c r="A717" s="1647">
        <f t="shared" si="90"/>
        <v>514</v>
      </c>
      <c r="B717" s="1627" t="s">
        <v>1423</v>
      </c>
      <c r="D717" s="1627" t="s">
        <v>150</v>
      </c>
      <c r="F717" s="1640">
        <v>0.4</v>
      </c>
      <c r="G717" s="1638" t="s">
        <v>151</v>
      </c>
      <c r="H717" s="1627" t="s">
        <v>1424</v>
      </c>
      <c r="I717" s="1640">
        <f>(C268)</f>
        <v>17600</v>
      </c>
      <c r="J717" s="1627" t="s">
        <v>151</v>
      </c>
      <c r="K717" s="1640">
        <f>(F717*I717)</f>
        <v>7040</v>
      </c>
      <c r="M717" s="1628" t="s">
        <v>848</v>
      </c>
      <c r="N717" s="1627" t="s">
        <v>524</v>
      </c>
      <c r="O717" s="1627" t="s">
        <v>1425</v>
      </c>
      <c r="S717" s="1704" t="s">
        <v>287</v>
      </c>
      <c r="U717" s="1629" t="s">
        <v>288</v>
      </c>
      <c r="V717" s="1629" t="str">
        <f>V687</f>
        <v>LS</v>
      </c>
      <c r="W717" s="1634"/>
      <c r="X717" s="1629">
        <f>X716*0.5%</f>
        <v>49.835575500000004</v>
      </c>
      <c r="AA717" s="1629">
        <f>AA716*0.5/100</f>
        <v>49.209775500000006</v>
      </c>
      <c r="AG717" s="1640" t="str">
        <f t="shared" si="89"/>
        <v>|::</v>
      </c>
      <c r="AI717" s="1627" t="s">
        <v>892</v>
      </c>
    </row>
    <row r="718" spans="1:35" ht="24" customHeight="1">
      <c r="A718" s="1647">
        <f t="shared" si="90"/>
        <v>515</v>
      </c>
      <c r="B718" s="1627" t="s">
        <v>980</v>
      </c>
      <c r="C718" s="1640">
        <v>20</v>
      </c>
      <c r="D718" s="1627" t="s">
        <v>153</v>
      </c>
      <c r="F718" s="1640">
        <v>0.12</v>
      </c>
      <c r="G718" s="1638" t="s">
        <v>151</v>
      </c>
      <c r="H718" s="1627" t="s">
        <v>1426</v>
      </c>
      <c r="I718" s="1640">
        <f>(C269)</f>
        <v>15500</v>
      </c>
      <c r="J718" s="1627" t="s">
        <v>151</v>
      </c>
      <c r="K718" s="1640">
        <f>(F718*I718)</f>
        <v>1860</v>
      </c>
      <c r="O718" s="1636" t="s">
        <v>21</v>
      </c>
      <c r="T718" s="1630"/>
      <c r="U718" s="1661" t="s">
        <v>289</v>
      </c>
      <c r="W718" s="1634"/>
      <c r="X718" s="1639">
        <f>SUM(X716:X717)</f>
        <v>10016.9506755</v>
      </c>
      <c r="Y718" s="1639"/>
      <c r="AA718" s="1661">
        <f>SUM(AA716:AA717)</f>
        <v>9891.1648755000006</v>
      </c>
      <c r="AB718" s="1661"/>
      <c r="AG718" s="1640">
        <f t="shared" si="89"/>
        <v>0</v>
      </c>
    </row>
    <row r="719" spans="1:35" ht="24" customHeight="1">
      <c r="A719" s="1647">
        <f t="shared" si="90"/>
        <v>516</v>
      </c>
      <c r="B719" s="1627" t="s">
        <v>1427</v>
      </c>
      <c r="C719" s="1640">
        <v>45</v>
      </c>
      <c r="D719" s="1627" t="s">
        <v>153</v>
      </c>
      <c r="H719" s="1627" t="s">
        <v>1428</v>
      </c>
      <c r="I719" s="1627" t="s">
        <v>150</v>
      </c>
      <c r="K719" s="1627" t="s">
        <v>150</v>
      </c>
      <c r="M719" s="1692">
        <v>2.69E-2</v>
      </c>
      <c r="N719" s="1627" t="s">
        <v>151</v>
      </c>
      <c r="O719" s="1685" t="s">
        <v>1429</v>
      </c>
      <c r="P719" s="1640">
        <f>C86</f>
        <v>34300</v>
      </c>
      <c r="Q719" s="1627" t="s">
        <v>151</v>
      </c>
      <c r="R719" s="1640">
        <f t="shared" ref="R719:R725" si="93">M719*P719</f>
        <v>922.67</v>
      </c>
      <c r="T719" s="1630"/>
      <c r="W719" s="1634"/>
      <c r="X719" s="1636" t="s">
        <v>21</v>
      </c>
      <c r="Y719" s="1636"/>
      <c r="AG719" s="1640">
        <f t="shared" si="89"/>
        <v>0</v>
      </c>
    </row>
    <row r="720" spans="1:35" ht="24" customHeight="1">
      <c r="A720" s="1647">
        <f t="shared" si="90"/>
        <v>517</v>
      </c>
      <c r="B720" s="1627" t="s">
        <v>1430</v>
      </c>
      <c r="D720" s="1627" t="s">
        <v>646</v>
      </c>
      <c r="F720" s="1640">
        <v>98.5</v>
      </c>
      <c r="G720" s="1638" t="s">
        <v>552</v>
      </c>
      <c r="H720" s="1627" t="s">
        <v>1431</v>
      </c>
      <c r="I720" s="1640">
        <f>(C270)</f>
        <v>25.2</v>
      </c>
      <c r="J720" s="1627" t="s">
        <v>552</v>
      </c>
      <c r="K720" s="1640">
        <f>(F720*I720)</f>
        <v>2482.1999999999998</v>
      </c>
      <c r="M720" s="1692">
        <v>1.2949999999999999</v>
      </c>
      <c r="N720" s="1627" t="s">
        <v>152</v>
      </c>
      <c r="O720" s="1627" t="s">
        <v>1432</v>
      </c>
      <c r="P720" s="1640">
        <f>C783</f>
        <v>387.4</v>
      </c>
      <c r="Q720" s="1627" t="s">
        <v>152</v>
      </c>
      <c r="R720" s="1640">
        <f t="shared" si="93"/>
        <v>501.68299999999994</v>
      </c>
      <c r="T720" s="1630"/>
      <c r="U720" s="1627" t="s">
        <v>271</v>
      </c>
      <c r="W720" s="1634"/>
      <c r="X720" s="1639">
        <f>(X718+C22)</f>
        <v>10175.990675500001</v>
      </c>
      <c r="Y720" s="1639"/>
      <c r="AG720" s="1640">
        <f t="shared" si="89"/>
        <v>0</v>
      </c>
    </row>
    <row r="721" spans="1:35" ht="24" customHeight="1">
      <c r="A721" s="1647">
        <f t="shared" si="90"/>
        <v>518</v>
      </c>
      <c r="B721" s="1627" t="s">
        <v>980</v>
      </c>
      <c r="C721" s="1640">
        <v>19.09</v>
      </c>
      <c r="D721" s="1627" t="s">
        <v>153</v>
      </c>
      <c r="H721" s="1627" t="s">
        <v>1433</v>
      </c>
      <c r="I721" s="1627" t="s">
        <v>150</v>
      </c>
      <c r="K721" s="1627" t="s">
        <v>646</v>
      </c>
      <c r="M721" s="1692">
        <v>1.8149999999999999</v>
      </c>
      <c r="N721" s="1627" t="s">
        <v>152</v>
      </c>
      <c r="O721" s="1627" t="s">
        <v>880</v>
      </c>
      <c r="P721" s="1640">
        <f>C31</f>
        <v>2039.8</v>
      </c>
      <c r="Q721" s="1627" t="s">
        <v>152</v>
      </c>
      <c r="R721" s="1640">
        <f t="shared" si="93"/>
        <v>3702.2369999999996</v>
      </c>
      <c r="T721" s="1630"/>
      <c r="U721" s="1627" t="s">
        <v>272</v>
      </c>
      <c r="W721" s="1634"/>
      <c r="X721" s="1639">
        <f>(X720+C24)</f>
        <v>10489.310675500001</v>
      </c>
      <c r="Y721" s="1639"/>
      <c r="AG721" s="1640" t="str">
        <f t="shared" si="89"/>
        <v>|</v>
      </c>
      <c r="AI721" s="1627" t="s">
        <v>1095</v>
      </c>
    </row>
    <row r="722" spans="1:35" ht="24" customHeight="1">
      <c r="A722" s="1647">
        <f t="shared" si="90"/>
        <v>519</v>
      </c>
      <c r="B722" s="1627" t="s">
        <v>1427</v>
      </c>
      <c r="C722" s="1640">
        <v>50.66</v>
      </c>
      <c r="D722" s="1627" t="s">
        <v>153</v>
      </c>
      <c r="K722" s="1636" t="s">
        <v>21</v>
      </c>
      <c r="M722" s="1640">
        <v>2</v>
      </c>
      <c r="N722" s="1627" t="s">
        <v>153</v>
      </c>
      <c r="O722" s="1627" t="s">
        <v>1434</v>
      </c>
      <c r="P722" s="1640">
        <f>C299</f>
        <v>10.5</v>
      </c>
      <c r="Q722" s="1627" t="s">
        <v>153</v>
      </c>
      <c r="R722" s="1640">
        <f t="shared" si="93"/>
        <v>21</v>
      </c>
      <c r="T722" s="1630"/>
      <c r="U722" s="1627" t="s">
        <v>767</v>
      </c>
      <c r="W722" s="1634"/>
      <c r="X722" s="1639">
        <f>(X721+C24)</f>
        <v>10802.630675500001</v>
      </c>
      <c r="Y722" s="1639"/>
      <c r="AG722" s="1640" t="str">
        <f t="shared" si="89"/>
        <v>|</v>
      </c>
      <c r="AI722" s="1627" t="s">
        <v>1095</v>
      </c>
    </row>
    <row r="723" spans="1:35" ht="24" customHeight="1">
      <c r="A723" s="1647">
        <f t="shared" si="90"/>
        <v>520</v>
      </c>
      <c r="B723" s="1627" t="s">
        <v>1435</v>
      </c>
      <c r="C723" s="1640">
        <v>1183.82</v>
      </c>
      <c r="D723" s="1627" t="s">
        <v>152</v>
      </c>
      <c r="H723" s="1627" t="s">
        <v>1436</v>
      </c>
      <c r="K723" s="1640">
        <f>SUM(K717:K721)</f>
        <v>11382.2</v>
      </c>
      <c r="M723" s="1640">
        <v>3</v>
      </c>
      <c r="N723" s="1627" t="s">
        <v>153</v>
      </c>
      <c r="O723" s="1627" t="s">
        <v>1437</v>
      </c>
      <c r="P723" s="1640">
        <f>C295</f>
        <v>8.5</v>
      </c>
      <c r="Q723" s="1627" t="s">
        <v>153</v>
      </c>
      <c r="R723" s="1640">
        <f t="shared" si="93"/>
        <v>25.5</v>
      </c>
      <c r="T723" s="1630"/>
      <c r="U723" s="1627" t="s">
        <v>769</v>
      </c>
      <c r="W723" s="1634"/>
      <c r="X723" s="1639">
        <f>(X722+C24)</f>
        <v>11115.9506755</v>
      </c>
      <c r="Y723" s="1639"/>
      <c r="AG723" s="1640" t="str">
        <f t="shared" si="89"/>
        <v>|</v>
      </c>
      <c r="AI723" s="1627" t="s">
        <v>1095</v>
      </c>
    </row>
    <row r="724" spans="1:35" ht="24" customHeight="1">
      <c r="A724" s="1647">
        <f t="shared" si="90"/>
        <v>521</v>
      </c>
      <c r="B724" s="1627" t="s">
        <v>1438</v>
      </c>
      <c r="C724" s="1640">
        <v>1605</v>
      </c>
      <c r="D724" s="1627" t="s">
        <v>152</v>
      </c>
      <c r="H724" s="1627" t="s">
        <v>150</v>
      </c>
      <c r="K724" s="1636" t="s">
        <v>21</v>
      </c>
      <c r="M724" s="1640">
        <v>1</v>
      </c>
      <c r="N724" s="1627" t="s">
        <v>153</v>
      </c>
      <c r="O724" s="1627" t="s">
        <v>1439</v>
      </c>
      <c r="P724" s="1640">
        <f>C301</f>
        <v>21</v>
      </c>
      <c r="Q724" s="1627" t="s">
        <v>153</v>
      </c>
      <c r="R724" s="1640">
        <f t="shared" si="93"/>
        <v>21</v>
      </c>
      <c r="T724" s="1630"/>
      <c r="U724" s="1627" t="s">
        <v>838</v>
      </c>
      <c r="W724" s="1634"/>
      <c r="X724" s="1639">
        <f>(X723+C24)</f>
        <v>11429.2706755</v>
      </c>
      <c r="Y724" s="1639"/>
      <c r="AG724" s="1640" t="str">
        <f t="shared" si="89"/>
        <v>|</v>
      </c>
      <c r="AI724" s="1627" t="s">
        <v>1095</v>
      </c>
    </row>
    <row r="725" spans="1:35" ht="24" customHeight="1">
      <c r="A725" s="1647">
        <f t="shared" si="90"/>
        <v>522</v>
      </c>
      <c r="B725" s="1627" t="s">
        <v>5621</v>
      </c>
      <c r="C725" s="1656">
        <v>10.050000000000001</v>
      </c>
      <c r="D725" s="1627" t="s">
        <v>1441</v>
      </c>
      <c r="F725" s="1640">
        <v>10</v>
      </c>
      <c r="G725" s="1638" t="s">
        <v>152</v>
      </c>
      <c r="H725" s="1627" t="s">
        <v>1442</v>
      </c>
      <c r="I725" s="1640">
        <f>(K723/50)</f>
        <v>227.64400000000001</v>
      </c>
      <c r="J725" s="1627" t="s">
        <v>152</v>
      </c>
      <c r="K725" s="1640">
        <f>(F725*I725)</f>
        <v>2276.44</v>
      </c>
      <c r="M725" s="1640">
        <v>1</v>
      </c>
      <c r="N725" s="1627" t="s">
        <v>153</v>
      </c>
      <c r="O725" s="1627" t="s">
        <v>884</v>
      </c>
      <c r="P725" s="1640">
        <f>C303</f>
        <v>4</v>
      </c>
      <c r="Q725" s="1627" t="s">
        <v>153</v>
      </c>
      <c r="R725" s="1640">
        <f t="shared" si="93"/>
        <v>4</v>
      </c>
      <c r="W725" s="1634"/>
      <c r="AG725" s="1640" t="str">
        <f t="shared" si="89"/>
        <v>|</v>
      </c>
      <c r="AI725" s="1627" t="s">
        <v>1095</v>
      </c>
    </row>
    <row r="726" spans="1:35" ht="24" customHeight="1">
      <c r="A726" s="1647">
        <f t="shared" si="90"/>
        <v>523</v>
      </c>
      <c r="B726" s="1627" t="s">
        <v>1443</v>
      </c>
      <c r="C726" s="1640">
        <v>147.6</v>
      </c>
      <c r="D726" s="1627" t="s">
        <v>552</v>
      </c>
      <c r="F726" s="1640">
        <v>3.8</v>
      </c>
      <c r="G726" s="1638" t="s">
        <v>4</v>
      </c>
      <c r="H726" s="1627" t="s">
        <v>1444</v>
      </c>
      <c r="I726" s="1640">
        <f>(C16)</f>
        <v>1296.3999999999999</v>
      </c>
      <c r="J726" s="1627" t="s">
        <v>4</v>
      </c>
      <c r="K726" s="1640">
        <f>(F726*I726)</f>
        <v>4926.3199999999988</v>
      </c>
      <c r="N726" s="1627" t="s">
        <v>226</v>
      </c>
      <c r="O726" s="1627" t="s">
        <v>237</v>
      </c>
      <c r="Q726" s="1627" t="s">
        <v>226</v>
      </c>
      <c r="R726" s="1640">
        <v>0</v>
      </c>
      <c r="W726" s="1634"/>
      <c r="AG726" s="1640" t="str">
        <f t="shared" si="89"/>
        <v>|</v>
      </c>
      <c r="AI726" s="1627" t="s">
        <v>1095</v>
      </c>
    </row>
    <row r="727" spans="1:35" ht="24" customHeight="1">
      <c r="A727" s="1647">
        <f t="shared" si="90"/>
        <v>524</v>
      </c>
      <c r="B727" s="1627" t="s">
        <v>1445</v>
      </c>
      <c r="C727" s="1640">
        <v>147.6</v>
      </c>
      <c r="D727" s="1627" t="s">
        <v>552</v>
      </c>
      <c r="F727" s="1640">
        <v>5.4</v>
      </c>
      <c r="G727" s="1638" t="s">
        <v>4</v>
      </c>
      <c r="H727" s="1627" t="s">
        <v>235</v>
      </c>
      <c r="I727" s="1640">
        <f>(C12)</f>
        <v>865.19999999999993</v>
      </c>
      <c r="J727" s="1627" t="s">
        <v>4</v>
      </c>
      <c r="K727" s="1640">
        <f>(F727*I727)</f>
        <v>4672.08</v>
      </c>
      <c r="R727" s="1636" t="s">
        <v>21</v>
      </c>
      <c r="W727" s="1634"/>
      <c r="AG727" s="1640" t="str">
        <f t="shared" si="89"/>
        <v>|</v>
      </c>
      <c r="AI727" s="1627" t="s">
        <v>1095</v>
      </c>
    </row>
    <row r="728" spans="1:35" ht="24" customHeight="1">
      <c r="A728" s="1647">
        <f t="shared" si="90"/>
        <v>525</v>
      </c>
      <c r="B728" s="1627" t="s">
        <v>1446</v>
      </c>
      <c r="C728" s="1640">
        <v>147.6</v>
      </c>
      <c r="D728" s="1627" t="s">
        <v>552</v>
      </c>
      <c r="G728" s="1638" t="s">
        <v>226</v>
      </c>
      <c r="H728" s="1627" t="s">
        <v>1447</v>
      </c>
      <c r="J728" s="1627" t="s">
        <v>226</v>
      </c>
      <c r="K728" s="1640">
        <v>5</v>
      </c>
      <c r="O728" s="1628" t="s">
        <v>1448</v>
      </c>
      <c r="R728" s="1640">
        <f>SUM(R719:R726)</f>
        <v>5198.0899999999992</v>
      </c>
      <c r="T728" s="1661">
        <v>4.2</v>
      </c>
      <c r="U728" s="1661" t="s">
        <v>5169</v>
      </c>
      <c r="W728" s="1634"/>
      <c r="AG728" s="1640" t="str">
        <f t="shared" si="89"/>
        <v>|</v>
      </c>
      <c r="AI728" s="1627" t="s">
        <v>1095</v>
      </c>
    </row>
    <row r="729" spans="1:35" ht="24" customHeight="1">
      <c r="A729" s="1647">
        <f t="shared" si="90"/>
        <v>526</v>
      </c>
      <c r="B729" s="1627" t="s">
        <v>1449</v>
      </c>
      <c r="C729" s="1640">
        <v>1250</v>
      </c>
      <c r="D729" s="1627" t="s">
        <v>152</v>
      </c>
      <c r="K729" s="1636" t="s">
        <v>21</v>
      </c>
      <c r="R729" s="1636" t="s">
        <v>21</v>
      </c>
      <c r="S729" s="1633">
        <v>5</v>
      </c>
      <c r="T729" s="1629" t="s">
        <v>276</v>
      </c>
      <c r="U729" s="1629" t="s">
        <v>5618</v>
      </c>
      <c r="V729" s="1629">
        <f>V675</f>
        <v>2446.7200000000003</v>
      </c>
      <c r="W729" s="1634"/>
      <c r="X729" s="1629">
        <f t="shared" ref="X729:X736" si="94">V729*S729</f>
        <v>12233.600000000002</v>
      </c>
      <c r="AG729" s="1640" t="str">
        <f t="shared" si="89"/>
        <v>|</v>
      </c>
      <c r="AI729" s="1627" t="s">
        <v>1095</v>
      </c>
    </row>
    <row r="730" spans="1:35" ht="24" customHeight="1">
      <c r="A730" s="1647">
        <f t="shared" si="90"/>
        <v>527</v>
      </c>
      <c r="B730" s="1627" t="s">
        <v>1450</v>
      </c>
      <c r="C730" s="1640">
        <v>1250</v>
      </c>
      <c r="D730" s="1627" t="s">
        <v>152</v>
      </c>
      <c r="H730" s="1627" t="s">
        <v>238</v>
      </c>
      <c r="K730" s="1640">
        <f>SUM(K725:K728)</f>
        <v>11879.839999999998</v>
      </c>
      <c r="N730" s="1627" t="s">
        <v>150</v>
      </c>
      <c r="O730" s="1628" t="s">
        <v>155</v>
      </c>
      <c r="R730" s="1640">
        <f>R728/M720</f>
        <v>4013.9691119691115</v>
      </c>
      <c r="S730" s="1633">
        <v>3.3</v>
      </c>
      <c r="T730" s="1629" t="s">
        <v>276</v>
      </c>
      <c r="U730" s="1629" t="s">
        <v>5619</v>
      </c>
      <c r="V730" s="1629">
        <f t="shared" ref="V730:V739" si="95">V676</f>
        <v>2161.2200000000003</v>
      </c>
      <c r="W730" s="1634"/>
      <c r="X730" s="1629">
        <f t="shared" si="94"/>
        <v>7132.0260000000007</v>
      </c>
      <c r="AG730" s="1640" t="str">
        <f t="shared" si="89"/>
        <v>|</v>
      </c>
      <c r="AI730" s="1627" t="s">
        <v>1095</v>
      </c>
    </row>
    <row r="731" spans="1:35" ht="24" customHeight="1">
      <c r="A731" s="1647">
        <f t="shared" si="90"/>
        <v>528</v>
      </c>
      <c r="B731" s="1627" t="s">
        <v>1451</v>
      </c>
      <c r="C731" s="1640">
        <v>1250</v>
      </c>
      <c r="D731" s="1627" t="s">
        <v>152</v>
      </c>
      <c r="K731" s="1636" t="s">
        <v>21</v>
      </c>
      <c r="R731" s="1636" t="s">
        <v>156</v>
      </c>
      <c r="S731" s="1633">
        <v>4.79</v>
      </c>
      <c r="T731" s="1629" t="s">
        <v>276</v>
      </c>
      <c r="U731" s="1629" t="s">
        <v>5620</v>
      </c>
      <c r="V731" s="1629">
        <f t="shared" si="95"/>
        <v>2265.5</v>
      </c>
      <c r="W731" s="1634"/>
      <c r="X731" s="1629">
        <f t="shared" si="94"/>
        <v>10851.745000000001</v>
      </c>
      <c r="AG731" s="1640" t="str">
        <f t="shared" si="89"/>
        <v>|</v>
      </c>
      <c r="AI731" s="1627" t="s">
        <v>1095</v>
      </c>
    </row>
    <row r="732" spans="1:35" ht="24" customHeight="1">
      <c r="A732" s="1647">
        <f t="shared" si="90"/>
        <v>529</v>
      </c>
      <c r="B732" s="1627" t="s">
        <v>1452</v>
      </c>
      <c r="C732" s="1640">
        <v>1250</v>
      </c>
      <c r="D732" s="1627" t="s">
        <v>152</v>
      </c>
      <c r="H732" s="1627" t="s">
        <v>155</v>
      </c>
      <c r="K732" s="1640">
        <f>(K730/10)</f>
        <v>1187.9839999999999</v>
      </c>
      <c r="M732" s="1628" t="s">
        <v>848</v>
      </c>
      <c r="N732" s="1627" t="s">
        <v>520</v>
      </c>
      <c r="O732" s="1627" t="s">
        <v>1453</v>
      </c>
      <c r="S732" s="1633">
        <v>3.5</v>
      </c>
      <c r="T732" s="1629" t="s">
        <v>277</v>
      </c>
      <c r="U732" s="1629" t="s">
        <v>278</v>
      </c>
      <c r="V732" s="1629">
        <f t="shared" si="95"/>
        <v>6040</v>
      </c>
      <c r="W732" s="1634"/>
      <c r="X732" s="1629">
        <f t="shared" si="94"/>
        <v>21140</v>
      </c>
      <c r="AG732" s="1640" t="str">
        <f t="shared" si="89"/>
        <v>|</v>
      </c>
      <c r="AI732" s="1627" t="s">
        <v>1095</v>
      </c>
    </row>
    <row r="733" spans="1:35" ht="24" customHeight="1">
      <c r="A733" s="1647">
        <f t="shared" si="90"/>
        <v>530</v>
      </c>
      <c r="B733" s="1627" t="s">
        <v>1454</v>
      </c>
      <c r="C733" s="1640">
        <v>1250</v>
      </c>
      <c r="D733" s="1627" t="s">
        <v>152</v>
      </c>
      <c r="K733" s="1636" t="s">
        <v>156</v>
      </c>
      <c r="O733" s="1636" t="s">
        <v>21</v>
      </c>
      <c r="S733" s="1633">
        <v>28</v>
      </c>
      <c r="T733" s="1629" t="s">
        <v>13</v>
      </c>
      <c r="U733" s="1629" t="s">
        <v>1366</v>
      </c>
      <c r="V733" s="1629">
        <f t="shared" si="95"/>
        <v>43.2</v>
      </c>
      <c r="W733" s="1634"/>
      <c r="X733" s="1629">
        <f t="shared" si="94"/>
        <v>1209.6000000000001</v>
      </c>
      <c r="AG733" s="1640" t="str">
        <f t="shared" si="89"/>
        <v>|</v>
      </c>
      <c r="AI733" s="1627" t="s">
        <v>1095</v>
      </c>
    </row>
    <row r="734" spans="1:35" ht="24" customHeight="1">
      <c r="A734" s="1647">
        <f t="shared" si="90"/>
        <v>531</v>
      </c>
      <c r="B734" s="1627" t="s">
        <v>1455</v>
      </c>
      <c r="C734" s="1640">
        <v>1250</v>
      </c>
      <c r="D734" s="1627" t="s">
        <v>152</v>
      </c>
      <c r="M734" s="1692">
        <v>2.5499999999999998E-2</v>
      </c>
      <c r="N734" s="1627" t="s">
        <v>151</v>
      </c>
      <c r="O734" s="1627" t="s">
        <v>1456</v>
      </c>
      <c r="P734" s="1640">
        <f>C86</f>
        <v>34300</v>
      </c>
      <c r="Q734" s="1627" t="s">
        <v>151</v>
      </c>
      <c r="R734" s="1640">
        <f t="shared" ref="R734:R740" si="96">M734*P734</f>
        <v>874.65</v>
      </c>
      <c r="S734" s="1633">
        <v>3.5</v>
      </c>
      <c r="T734" s="1629" t="s">
        <v>154</v>
      </c>
      <c r="U734" s="1629" t="s">
        <v>280</v>
      </c>
      <c r="V734" s="1629">
        <f t="shared" si="95"/>
        <v>1237.5999999999999</v>
      </c>
      <c r="W734" s="1634"/>
      <c r="X734" s="1629">
        <f t="shared" si="94"/>
        <v>4331.5999999999995</v>
      </c>
      <c r="AG734" s="1640" t="str">
        <f t="shared" si="89"/>
        <v>|</v>
      </c>
      <c r="AI734" s="1627" t="s">
        <v>1095</v>
      </c>
    </row>
    <row r="735" spans="1:35" ht="24" customHeight="1">
      <c r="A735" s="1647">
        <f t="shared" si="90"/>
        <v>532</v>
      </c>
      <c r="B735" s="1627" t="s">
        <v>1457</v>
      </c>
      <c r="C735" s="1640">
        <v>1250</v>
      </c>
      <c r="D735" s="1627" t="s">
        <v>152</v>
      </c>
      <c r="F735" s="1628" t="s">
        <v>453</v>
      </c>
      <c r="G735" s="1638" t="s">
        <v>249</v>
      </c>
      <c r="H735" s="1627" t="s">
        <v>1458</v>
      </c>
      <c r="M735" s="1692">
        <v>1.1299999999999999</v>
      </c>
      <c r="N735" s="1627" t="s">
        <v>152</v>
      </c>
      <c r="O735" s="1627" t="s">
        <v>1432</v>
      </c>
      <c r="P735" s="1640">
        <f>C783</f>
        <v>387.4</v>
      </c>
      <c r="Q735" s="1627" t="s">
        <v>152</v>
      </c>
      <c r="R735" s="1640">
        <f t="shared" si="96"/>
        <v>437.76199999999994</v>
      </c>
      <c r="S735" s="1633">
        <v>21.2</v>
      </c>
      <c r="T735" s="1629" t="s">
        <v>154</v>
      </c>
      <c r="U735" s="1629" t="s">
        <v>281</v>
      </c>
      <c r="V735" s="1629">
        <f t="shared" si="95"/>
        <v>865.19999999999993</v>
      </c>
      <c r="W735" s="1634"/>
      <c r="X735" s="1629">
        <f t="shared" si="94"/>
        <v>18342.239999999998</v>
      </c>
      <c r="AG735" s="1640" t="str">
        <f t="shared" si="89"/>
        <v>|</v>
      </c>
      <c r="AI735" s="1627" t="s">
        <v>1095</v>
      </c>
    </row>
    <row r="736" spans="1:35" ht="24" customHeight="1">
      <c r="A736" s="1647">
        <f t="shared" si="90"/>
        <v>533</v>
      </c>
      <c r="B736" s="1627" t="s">
        <v>1459</v>
      </c>
      <c r="C736" s="1640">
        <v>1250</v>
      </c>
      <c r="D736" s="1627" t="s">
        <v>152</v>
      </c>
      <c r="H736" s="1627" t="s">
        <v>1460</v>
      </c>
      <c r="M736" s="1692">
        <v>1.6191</v>
      </c>
      <c r="N736" s="1627" t="s">
        <v>152</v>
      </c>
      <c r="O736" s="1627" t="s">
        <v>880</v>
      </c>
      <c r="P736" s="1640">
        <f>C31</f>
        <v>2039.8</v>
      </c>
      <c r="Q736" s="1627" t="s">
        <v>152</v>
      </c>
      <c r="R736" s="1640">
        <f t="shared" si="96"/>
        <v>3302.6401799999999</v>
      </c>
      <c r="S736" s="1633">
        <v>35.299999999999997</v>
      </c>
      <c r="T736" s="1629" t="s">
        <v>154</v>
      </c>
      <c r="U736" s="1629" t="s">
        <v>282</v>
      </c>
      <c r="V736" s="1629">
        <f t="shared" si="95"/>
        <v>709.8</v>
      </c>
      <c r="W736" s="1634"/>
      <c r="X736" s="1629">
        <f t="shared" si="94"/>
        <v>25055.939999999995</v>
      </c>
      <c r="AG736" s="1640" t="str">
        <f t="shared" si="89"/>
        <v>|</v>
      </c>
      <c r="AI736" s="1627" t="s">
        <v>1095</v>
      </c>
    </row>
    <row r="737" spans="1:35" ht="24" customHeight="1">
      <c r="A737" s="1647">
        <f t="shared" si="90"/>
        <v>534</v>
      </c>
      <c r="B737" s="1627" t="s">
        <v>1461</v>
      </c>
      <c r="C737" s="1640">
        <v>1250</v>
      </c>
      <c r="D737" s="1627" t="s">
        <v>152</v>
      </c>
      <c r="H737" s="1627" t="s">
        <v>1462</v>
      </c>
      <c r="M737" s="1640">
        <v>2</v>
      </c>
      <c r="N737" s="1627" t="s">
        <v>153</v>
      </c>
      <c r="O737" s="1627" t="s">
        <v>1434</v>
      </c>
      <c r="P737" s="1640">
        <f>C299</f>
        <v>10.5</v>
      </c>
      <c r="Q737" s="1627" t="s">
        <v>153</v>
      </c>
      <c r="R737" s="1640">
        <f t="shared" si="96"/>
        <v>21</v>
      </c>
      <c r="U737" s="1661" t="s">
        <v>283</v>
      </c>
      <c r="V737" s="1629">
        <f t="shared" si="95"/>
        <v>0</v>
      </c>
      <c r="W737" s="1634"/>
      <c r="X737" s="1661">
        <f>SUM(X729:X736)</f>
        <v>100296.75099999999</v>
      </c>
      <c r="Y737" s="1661"/>
      <c r="AG737" s="1640" t="str">
        <f t="shared" si="89"/>
        <v>|</v>
      </c>
      <c r="AI737" s="1627" t="s">
        <v>1095</v>
      </c>
    </row>
    <row r="738" spans="1:35" ht="24" customHeight="1">
      <c r="A738" s="1647">
        <f t="shared" si="90"/>
        <v>535</v>
      </c>
      <c r="B738" s="1627" t="s">
        <v>1463</v>
      </c>
      <c r="C738" s="1640">
        <v>1250</v>
      </c>
      <c r="D738" s="1627" t="s">
        <v>152</v>
      </c>
      <c r="H738" s="1627" t="s">
        <v>1464</v>
      </c>
      <c r="M738" s="1640">
        <v>3</v>
      </c>
      <c r="N738" s="1627" t="s">
        <v>153</v>
      </c>
      <c r="O738" s="1627" t="s">
        <v>1437</v>
      </c>
      <c r="P738" s="1640">
        <f>C295</f>
        <v>8.5</v>
      </c>
      <c r="Q738" s="1627" t="s">
        <v>153</v>
      </c>
      <c r="R738" s="1640">
        <f t="shared" si="96"/>
        <v>25.5</v>
      </c>
      <c r="U738" s="1661" t="s">
        <v>284</v>
      </c>
      <c r="V738" s="1629">
        <f t="shared" si="95"/>
        <v>0</v>
      </c>
      <c r="W738" s="1634"/>
      <c r="X738" s="1661">
        <f>X737/10</f>
        <v>10029.675099999999</v>
      </c>
      <c r="Y738" s="1661"/>
      <c r="Z738" s="1629">
        <f>X738</f>
        <v>10029.675099999999</v>
      </c>
      <c r="AG738" s="1640" t="str">
        <f t="shared" si="89"/>
        <v>|</v>
      </c>
      <c r="AI738" s="1627" t="s">
        <v>1095</v>
      </c>
    </row>
    <row r="739" spans="1:35" ht="24" customHeight="1">
      <c r="A739" s="1647">
        <f t="shared" si="90"/>
        <v>536</v>
      </c>
      <c r="B739" s="1627" t="s">
        <v>1465</v>
      </c>
      <c r="C739" s="1640">
        <v>1250</v>
      </c>
      <c r="D739" s="1627" t="s">
        <v>152</v>
      </c>
      <c r="H739" s="1627" t="s">
        <v>1466</v>
      </c>
      <c r="M739" s="1640">
        <v>1</v>
      </c>
      <c r="N739" s="1627" t="s">
        <v>153</v>
      </c>
      <c r="O739" s="1627" t="s">
        <v>1439</v>
      </c>
      <c r="P739" s="1640">
        <f>C301</f>
        <v>21</v>
      </c>
      <c r="Q739" s="1627" t="s">
        <v>153</v>
      </c>
      <c r="R739" s="1640">
        <f t="shared" si="96"/>
        <v>21</v>
      </c>
      <c r="S739" s="1633">
        <v>1</v>
      </c>
      <c r="T739" s="1629" t="s">
        <v>276</v>
      </c>
      <c r="U739" s="1629" t="s">
        <v>285</v>
      </c>
      <c r="V739" s="1629">
        <f t="shared" si="95"/>
        <v>125.16</v>
      </c>
      <c r="W739" s="1634"/>
      <c r="X739" s="1629">
        <f>V739</f>
        <v>125.16</v>
      </c>
      <c r="AG739" s="1640" t="str">
        <f t="shared" si="89"/>
        <v>|</v>
      </c>
      <c r="AI739" s="1627" t="s">
        <v>1095</v>
      </c>
    </row>
    <row r="740" spans="1:35" ht="24" customHeight="1">
      <c r="A740" s="1647">
        <f t="shared" si="90"/>
        <v>537</v>
      </c>
      <c r="B740" s="1627" t="s">
        <v>1457</v>
      </c>
      <c r="C740" s="1640">
        <v>1250</v>
      </c>
      <c r="D740" s="1627" t="s">
        <v>152</v>
      </c>
      <c r="H740" s="1627" t="s">
        <v>1467</v>
      </c>
      <c r="M740" s="1640">
        <v>1</v>
      </c>
      <c r="N740" s="1627" t="s">
        <v>153</v>
      </c>
      <c r="O740" s="1627" t="s">
        <v>884</v>
      </c>
      <c r="P740" s="1640">
        <f>C303</f>
        <v>4</v>
      </c>
      <c r="Q740" s="1627" t="s">
        <v>153</v>
      </c>
      <c r="R740" s="1640">
        <f t="shared" si="96"/>
        <v>4</v>
      </c>
      <c r="U740" s="1629" t="s">
        <v>286</v>
      </c>
      <c r="W740" s="1634"/>
      <c r="X740" s="1661">
        <f>SUM(X738:X739)</f>
        <v>10154.835099999998</v>
      </c>
      <c r="Y740" s="1661"/>
      <c r="Z740" s="1629">
        <f>SUM(Z738:Z739)</f>
        <v>10029.675099999999</v>
      </c>
      <c r="AG740" s="1640" t="str">
        <f t="shared" si="89"/>
        <v>|</v>
      </c>
      <c r="AI740" s="1627" t="s">
        <v>1095</v>
      </c>
    </row>
    <row r="741" spans="1:35" ht="24" customHeight="1">
      <c r="A741" s="1647">
        <f t="shared" si="90"/>
        <v>538</v>
      </c>
      <c r="B741" s="1627" t="s">
        <v>1468</v>
      </c>
      <c r="D741" s="1627" t="s">
        <v>150</v>
      </c>
      <c r="H741" s="1627" t="s">
        <v>1469</v>
      </c>
      <c r="N741" s="1627" t="s">
        <v>226</v>
      </c>
      <c r="O741" s="1627" t="s">
        <v>237</v>
      </c>
      <c r="Q741" s="1627" t="s">
        <v>226</v>
      </c>
      <c r="R741" s="1640">
        <v>0</v>
      </c>
      <c r="S741" s="1704" t="s">
        <v>287</v>
      </c>
      <c r="U741" s="1629" t="s">
        <v>288</v>
      </c>
      <c r="V741" s="1704" t="s">
        <v>287</v>
      </c>
      <c r="W741" s="1634"/>
      <c r="X741" s="1629">
        <f>X740*0.5%</f>
        <v>50.774175499999991</v>
      </c>
      <c r="Z741" s="1629">
        <f>Z740*0.5/100</f>
        <v>50.148375499999993</v>
      </c>
      <c r="AG741" s="1640" t="str">
        <f t="shared" si="89"/>
        <v>|</v>
      </c>
      <c r="AI741" s="1627" t="s">
        <v>1095</v>
      </c>
    </row>
    <row r="742" spans="1:35" ht="24" customHeight="1">
      <c r="A742" s="1647">
        <f t="shared" si="90"/>
        <v>539</v>
      </c>
      <c r="B742" s="1627" t="s">
        <v>1470</v>
      </c>
      <c r="C742" s="1640">
        <v>65</v>
      </c>
      <c r="D742" s="1627" t="s">
        <v>566</v>
      </c>
      <c r="H742" s="1636" t="s">
        <v>21</v>
      </c>
      <c r="I742" s="1636" t="s">
        <v>21</v>
      </c>
      <c r="J742" s="1627" t="s">
        <v>21</v>
      </c>
      <c r="R742" s="1636" t="s">
        <v>21</v>
      </c>
      <c r="T742" s="1630"/>
      <c r="U742" s="1661" t="s">
        <v>289</v>
      </c>
      <c r="W742" s="1634"/>
      <c r="X742" s="1639">
        <f>SUM(X740:X741)</f>
        <v>10205.609275499999</v>
      </c>
      <c r="Y742" s="1639"/>
      <c r="Z742" s="1661">
        <f>SUM(Z740:Z741)</f>
        <v>10079.823475499999</v>
      </c>
      <c r="AG742" s="1640" t="str">
        <f t="shared" si="89"/>
        <v>|</v>
      </c>
      <c r="AI742" s="1627" t="s">
        <v>1095</v>
      </c>
    </row>
    <row r="743" spans="1:35" ht="24" customHeight="1">
      <c r="A743" s="1647">
        <f t="shared" si="90"/>
        <v>540</v>
      </c>
      <c r="B743" s="1627" t="s">
        <v>1471</v>
      </c>
      <c r="C743" s="1640">
        <v>21.5</v>
      </c>
      <c r="D743" s="1627" t="s">
        <v>566</v>
      </c>
      <c r="F743" s="1640">
        <v>13.46</v>
      </c>
      <c r="G743" s="1638" t="s">
        <v>1472</v>
      </c>
      <c r="H743" s="1627" t="s">
        <v>1473</v>
      </c>
      <c r="I743" s="1640">
        <f>C34/1000</f>
        <v>53</v>
      </c>
      <c r="J743" s="1627" t="s">
        <v>1472</v>
      </c>
      <c r="K743" s="1640">
        <f>(F743*I743)</f>
        <v>713.38</v>
      </c>
      <c r="O743" s="1628" t="s">
        <v>1474</v>
      </c>
      <c r="R743" s="1640">
        <f>SUM(R734:R741)</f>
        <v>4686.5521799999997</v>
      </c>
      <c r="T743" s="1630"/>
      <c r="W743" s="1634"/>
      <c r="X743" s="1636" t="s">
        <v>21</v>
      </c>
      <c r="Y743" s="1636"/>
      <c r="AG743" s="1640" t="str">
        <f t="shared" si="89"/>
        <v>|</v>
      </c>
      <c r="AI743" s="1627" t="s">
        <v>1095</v>
      </c>
    </row>
    <row r="744" spans="1:35" ht="24" customHeight="1">
      <c r="A744" s="1647">
        <f t="shared" si="90"/>
        <v>541</v>
      </c>
      <c r="B744" s="1627" t="s">
        <v>1475</v>
      </c>
      <c r="C744" s="1640">
        <v>110.95</v>
      </c>
      <c r="D744" s="1627" t="s">
        <v>566</v>
      </c>
      <c r="H744" s="1627" t="s">
        <v>1476</v>
      </c>
      <c r="R744" s="1636" t="s">
        <v>21</v>
      </c>
      <c r="T744" s="1630"/>
      <c r="U744" s="1627" t="s">
        <v>271</v>
      </c>
      <c r="W744" s="1634"/>
      <c r="X744" s="1639">
        <f>(X742+C22)</f>
        <v>10364.6492755</v>
      </c>
      <c r="Y744" s="1639"/>
      <c r="AG744" s="1640" t="str">
        <f t="shared" si="89"/>
        <v>|</v>
      </c>
      <c r="AI744" s="1627" t="s">
        <v>1095</v>
      </c>
    </row>
    <row r="745" spans="1:35" ht="24" customHeight="1">
      <c r="A745" s="1647">
        <f t="shared" si="90"/>
        <v>542</v>
      </c>
      <c r="B745" s="1627" t="s">
        <v>1477</v>
      </c>
      <c r="C745" s="1640">
        <v>399</v>
      </c>
      <c r="D745" s="1627" t="s">
        <v>566</v>
      </c>
      <c r="F745" s="1640">
        <v>4</v>
      </c>
      <c r="G745" s="1638" t="s">
        <v>1472</v>
      </c>
      <c r="H745" s="1627" t="s">
        <v>1478</v>
      </c>
      <c r="I745" s="1640">
        <f>C34/1000</f>
        <v>53</v>
      </c>
      <c r="J745" s="1627" t="s">
        <v>1472</v>
      </c>
      <c r="K745" s="1640">
        <f>(F745*I745)</f>
        <v>212</v>
      </c>
      <c r="O745" s="1628" t="s">
        <v>155</v>
      </c>
      <c r="R745" s="1640">
        <f>R743/M736</f>
        <v>2894.5415230683711</v>
      </c>
      <c r="T745" s="1630"/>
      <c r="U745" s="1627" t="s">
        <v>272</v>
      </c>
      <c r="W745" s="1634"/>
      <c r="X745" s="1639">
        <f>(X744+C24)</f>
        <v>10677.9692755</v>
      </c>
      <c r="Y745" s="1639"/>
      <c r="AG745" s="1640" t="str">
        <f t="shared" si="89"/>
        <v>|</v>
      </c>
      <c r="AI745" s="1627" t="s">
        <v>1095</v>
      </c>
    </row>
    <row r="746" spans="1:35" ht="24" customHeight="1">
      <c r="A746" s="1647">
        <f t="shared" si="90"/>
        <v>543</v>
      </c>
      <c r="B746" s="1627" t="s">
        <v>1479</v>
      </c>
      <c r="C746" s="1640">
        <v>92</v>
      </c>
      <c r="D746" s="1627" t="s">
        <v>566</v>
      </c>
      <c r="H746" s="1627" t="s">
        <v>1480</v>
      </c>
      <c r="R746" s="1636" t="s">
        <v>156</v>
      </c>
      <c r="T746" s="1630"/>
      <c r="U746" s="1627" t="s">
        <v>767</v>
      </c>
      <c r="W746" s="1634"/>
      <c r="X746" s="1639">
        <f>(X745+C24)</f>
        <v>10991.289275499999</v>
      </c>
      <c r="Y746" s="1639"/>
      <c r="Z746" s="1629">
        <f>X746-X745</f>
        <v>313.31999999999971</v>
      </c>
      <c r="AG746" s="1640" t="str">
        <f t="shared" si="89"/>
        <v>|</v>
      </c>
      <c r="AI746" s="1627" t="s">
        <v>1095</v>
      </c>
    </row>
    <row r="747" spans="1:35" ht="24" customHeight="1">
      <c r="A747" s="1647">
        <f t="shared" si="90"/>
        <v>544</v>
      </c>
      <c r="B747" s="1627" t="s">
        <v>1481</v>
      </c>
      <c r="C747" s="1640">
        <v>174.24</v>
      </c>
      <c r="D747" s="1627" t="s">
        <v>566</v>
      </c>
      <c r="F747" s="1640"/>
      <c r="G747" s="1638" t="s">
        <v>226</v>
      </c>
      <c r="H747" s="1627" t="s">
        <v>1482</v>
      </c>
      <c r="J747" s="1627" t="s">
        <v>226</v>
      </c>
      <c r="K747" s="1640">
        <v>40</v>
      </c>
      <c r="T747" s="1630"/>
      <c r="U747" s="1627" t="s">
        <v>769</v>
      </c>
      <c r="W747" s="1634"/>
      <c r="X747" s="1639">
        <f>(X746+C24)</f>
        <v>11304.609275499999</v>
      </c>
      <c r="Y747" s="1639"/>
      <c r="AG747" s="1640" t="str">
        <f t="shared" si="89"/>
        <v>|</v>
      </c>
      <c r="AI747" s="1627" t="s">
        <v>1095</v>
      </c>
    </row>
    <row r="748" spans="1:35" ht="24" customHeight="1">
      <c r="A748" s="1647">
        <f t="shared" si="90"/>
        <v>545</v>
      </c>
      <c r="B748" s="1627" t="s">
        <v>1483</v>
      </c>
      <c r="C748" s="1640">
        <v>215.06</v>
      </c>
      <c r="D748" s="1627" t="s">
        <v>566</v>
      </c>
      <c r="H748" s="1627" t="s">
        <v>1484</v>
      </c>
      <c r="K748" s="1636" t="s">
        <v>21</v>
      </c>
      <c r="M748" s="1628" t="s">
        <v>848</v>
      </c>
      <c r="N748" s="1627" t="s">
        <v>514</v>
      </c>
      <c r="O748" s="1627" t="s">
        <v>1485</v>
      </c>
      <c r="T748" s="1630"/>
      <c r="U748" s="1627" t="s">
        <v>838</v>
      </c>
      <c r="W748" s="1634"/>
      <c r="X748" s="1639">
        <f t="shared" ref="X748:X753" si="97">(X747+C24)</f>
        <v>11617.929275499999</v>
      </c>
      <c r="Y748" s="1639"/>
      <c r="Z748" s="1629">
        <f>X748+Z746</f>
        <v>11931.249275499998</v>
      </c>
      <c r="AG748" s="1640" t="str">
        <f t="shared" si="89"/>
        <v>|</v>
      </c>
      <c r="AI748" s="1627" t="s">
        <v>1095</v>
      </c>
    </row>
    <row r="749" spans="1:35" ht="24" customHeight="1">
      <c r="A749" s="1647">
        <f t="shared" si="90"/>
        <v>546</v>
      </c>
      <c r="B749" s="1627" t="s">
        <v>1486</v>
      </c>
      <c r="C749" s="1640">
        <v>97.24</v>
      </c>
      <c r="D749" s="1627" t="s">
        <v>566</v>
      </c>
      <c r="H749" s="1628" t="s">
        <v>1487</v>
      </c>
      <c r="K749" s="1640">
        <f>SUM(K743:K747)</f>
        <v>965.38</v>
      </c>
      <c r="O749" s="1636" t="s">
        <v>21</v>
      </c>
      <c r="W749" s="1634"/>
      <c r="X749" s="1639">
        <f t="shared" si="97"/>
        <v>11743.089275499999</v>
      </c>
      <c r="Y749" s="1639"/>
      <c r="Z749" s="1629">
        <f>Z748-X748</f>
        <v>313.31999999999971</v>
      </c>
      <c r="AG749" s="1640" t="str">
        <f t="shared" ref="AG749:AG812" si="98">AI749</f>
        <v>|</v>
      </c>
      <c r="AI749" s="1627" t="s">
        <v>1095</v>
      </c>
    </row>
    <row r="750" spans="1:35" ht="24" customHeight="1">
      <c r="A750" s="1647">
        <f t="shared" si="90"/>
        <v>547</v>
      </c>
      <c r="B750" s="1627" t="s">
        <v>1488</v>
      </c>
      <c r="C750" s="1640">
        <v>168.96</v>
      </c>
      <c r="D750" s="1627" t="s">
        <v>566</v>
      </c>
      <c r="K750" s="1636" t="s">
        <v>21</v>
      </c>
      <c r="M750" s="1692">
        <v>2.35E-2</v>
      </c>
      <c r="N750" s="1627" t="s">
        <v>151</v>
      </c>
      <c r="O750" s="1627" t="s">
        <v>1456</v>
      </c>
      <c r="P750" s="1640">
        <f>C86</f>
        <v>34300</v>
      </c>
      <c r="Q750" s="1627" t="s">
        <v>151</v>
      </c>
      <c r="R750" s="1640">
        <f t="shared" ref="R750:R756" si="99">M750*P750</f>
        <v>806.05</v>
      </c>
      <c r="W750" s="1634"/>
      <c r="X750" s="1639">
        <f t="shared" si="97"/>
        <v>11794.819275499998</v>
      </c>
      <c r="Y750" s="1639"/>
      <c r="AG750" s="1640" t="str">
        <f t="shared" si="98"/>
        <v>|</v>
      </c>
      <c r="AI750" s="1627" t="s">
        <v>1095</v>
      </c>
    </row>
    <row r="751" spans="1:35" ht="24" customHeight="1">
      <c r="A751" s="1647">
        <f t="shared" si="90"/>
        <v>548</v>
      </c>
      <c r="B751" s="1627" t="s">
        <v>5622</v>
      </c>
      <c r="C751" s="1640">
        <v>376.7</v>
      </c>
      <c r="D751" s="1640">
        <v>408</v>
      </c>
      <c r="H751" s="1628" t="s">
        <v>1490</v>
      </c>
      <c r="K751" s="1640">
        <f>K749/40</f>
        <v>24.134499999999999</v>
      </c>
      <c r="M751" s="1692">
        <v>0.872</v>
      </c>
      <c r="N751" s="1627" t="s">
        <v>152</v>
      </c>
      <c r="O751" s="1627" t="s">
        <v>1432</v>
      </c>
      <c r="P751" s="1640">
        <f>C783</f>
        <v>387.4</v>
      </c>
      <c r="Q751" s="1627" t="s">
        <v>152</v>
      </c>
      <c r="R751" s="1640">
        <f t="shared" si="99"/>
        <v>337.81279999999998</v>
      </c>
      <c r="W751" s="1634"/>
      <c r="X751" s="1639">
        <f t="shared" si="97"/>
        <v>11840.249275499998</v>
      </c>
      <c r="Y751" s="1639"/>
      <c r="AG751" s="1640" t="str">
        <f t="shared" si="98"/>
        <v>|</v>
      </c>
      <c r="AI751" s="1627" t="s">
        <v>1095</v>
      </c>
    </row>
    <row r="752" spans="1:35" ht="24" customHeight="1">
      <c r="A752" s="1647">
        <f t="shared" si="90"/>
        <v>549</v>
      </c>
      <c r="B752" s="1627" t="s">
        <v>5623</v>
      </c>
      <c r="C752" s="1640">
        <v>769</v>
      </c>
      <c r="D752" s="1627" t="s">
        <v>566</v>
      </c>
      <c r="K752" s="1636" t="s">
        <v>21</v>
      </c>
      <c r="M752" s="1692">
        <v>1.3247</v>
      </c>
      <c r="N752" s="1627" t="s">
        <v>152</v>
      </c>
      <c r="O752" s="1627" t="s">
        <v>880</v>
      </c>
      <c r="P752" s="1640">
        <f>C31</f>
        <v>2039.8</v>
      </c>
      <c r="Q752" s="1627" t="s">
        <v>152</v>
      </c>
      <c r="R752" s="1640">
        <f t="shared" si="99"/>
        <v>2702.1230599999999</v>
      </c>
      <c r="W752" s="1634"/>
      <c r="X752" s="1639">
        <f t="shared" si="97"/>
        <v>11926.649275499998</v>
      </c>
      <c r="Y752" s="1639"/>
      <c r="AG752" s="1640" t="str">
        <f t="shared" si="98"/>
        <v>|</v>
      </c>
      <c r="AI752" s="1627" t="s">
        <v>1095</v>
      </c>
    </row>
    <row r="753" spans="1:35" ht="24" customHeight="1">
      <c r="A753" s="1647">
        <f t="shared" si="90"/>
        <v>550</v>
      </c>
      <c r="B753" s="1627" t="s">
        <v>1492</v>
      </c>
      <c r="C753" s="1640">
        <v>210</v>
      </c>
      <c r="D753" s="1627" t="s">
        <v>566</v>
      </c>
      <c r="H753" s="1627" t="s">
        <v>1493</v>
      </c>
      <c r="M753" s="1640">
        <v>1</v>
      </c>
      <c r="N753" s="1627" t="s">
        <v>153</v>
      </c>
      <c r="O753" s="1627" t="s">
        <v>1434</v>
      </c>
      <c r="P753" s="1640">
        <f>C299</f>
        <v>10.5</v>
      </c>
      <c r="Q753" s="1627" t="s">
        <v>153</v>
      </c>
      <c r="R753" s="1640">
        <f t="shared" si="99"/>
        <v>10.5</v>
      </c>
      <c r="W753" s="1634"/>
      <c r="X753" s="1639">
        <f t="shared" si="97"/>
        <v>12947.249275499998</v>
      </c>
      <c r="Y753" s="1639"/>
      <c r="AG753" s="1640" t="str">
        <f t="shared" si="98"/>
        <v>|</v>
      </c>
      <c r="AI753" s="1627" t="s">
        <v>1095</v>
      </c>
    </row>
    <row r="754" spans="1:35" ht="24" customHeight="1">
      <c r="A754" s="1647">
        <f t="shared" si="90"/>
        <v>551</v>
      </c>
      <c r="B754" s="1627" t="s">
        <v>5170</v>
      </c>
      <c r="C754" s="1640">
        <v>1462</v>
      </c>
      <c r="D754" s="1627" t="s">
        <v>152</v>
      </c>
      <c r="H754" s="1627" t="s">
        <v>1495</v>
      </c>
      <c r="M754" s="1640">
        <v>3</v>
      </c>
      <c r="N754" s="1627" t="s">
        <v>153</v>
      </c>
      <c r="O754" s="1627" t="s">
        <v>1496</v>
      </c>
      <c r="P754" s="1640">
        <f>C294</f>
        <v>5.75</v>
      </c>
      <c r="Q754" s="1627" t="s">
        <v>153</v>
      </c>
      <c r="R754" s="1640">
        <f t="shared" si="99"/>
        <v>17.25</v>
      </c>
      <c r="W754" s="1634"/>
      <c r="AG754" s="1640" t="str">
        <f t="shared" si="98"/>
        <v>|</v>
      </c>
      <c r="AI754" s="1627" t="s">
        <v>1095</v>
      </c>
    </row>
    <row r="755" spans="1:35" ht="24" customHeight="1">
      <c r="A755" s="1647">
        <f t="shared" si="90"/>
        <v>552</v>
      </c>
      <c r="B755" s="1627" t="s">
        <v>1497</v>
      </c>
      <c r="D755" s="1627" t="s">
        <v>150</v>
      </c>
      <c r="H755" s="1627" t="s">
        <v>1498</v>
      </c>
      <c r="M755" s="1640">
        <v>1</v>
      </c>
      <c r="N755" s="1627" t="s">
        <v>153</v>
      </c>
      <c r="O755" s="1627" t="s">
        <v>1499</v>
      </c>
      <c r="P755" s="1640">
        <f>C302</f>
        <v>10</v>
      </c>
      <c r="Q755" s="1627" t="s">
        <v>153</v>
      </c>
      <c r="R755" s="1640">
        <f t="shared" si="99"/>
        <v>10</v>
      </c>
      <c r="W755" s="1634"/>
      <c r="AG755" s="1640" t="str">
        <f t="shared" si="98"/>
        <v>|</v>
      </c>
      <c r="AI755" s="1627" t="s">
        <v>1095</v>
      </c>
    </row>
    <row r="756" spans="1:35" ht="24" customHeight="1">
      <c r="A756" s="1647">
        <f t="shared" si="90"/>
        <v>553</v>
      </c>
      <c r="B756" s="1627" t="s">
        <v>1500</v>
      </c>
      <c r="M756" s="1640">
        <v>1</v>
      </c>
      <c r="N756" s="1627" t="s">
        <v>153</v>
      </c>
      <c r="O756" s="1627" t="s">
        <v>884</v>
      </c>
      <c r="P756" s="1640">
        <f>C303</f>
        <v>4</v>
      </c>
      <c r="Q756" s="1627" t="s">
        <v>153</v>
      </c>
      <c r="R756" s="1640">
        <f t="shared" si="99"/>
        <v>4</v>
      </c>
      <c r="W756" s="1634"/>
      <c r="AG756" s="1640" t="str">
        <f t="shared" si="98"/>
        <v>|</v>
      </c>
      <c r="AI756" s="1627" t="s">
        <v>1095</v>
      </c>
    </row>
    <row r="757" spans="1:35" ht="24" customHeight="1">
      <c r="A757" s="1647">
        <f t="shared" si="90"/>
        <v>554</v>
      </c>
      <c r="B757" s="1627" t="s">
        <v>1501</v>
      </c>
      <c r="C757" s="1640">
        <v>300</v>
      </c>
      <c r="D757" s="1627" t="s">
        <v>1502</v>
      </c>
      <c r="F757" s="1640">
        <v>19</v>
      </c>
      <c r="G757" s="1638" t="s">
        <v>154</v>
      </c>
      <c r="H757" s="1627" t="s">
        <v>1503</v>
      </c>
      <c r="I757" s="1658">
        <f>K751</f>
        <v>24.134499999999999</v>
      </c>
      <c r="J757" s="1627" t="s">
        <v>1504</v>
      </c>
      <c r="K757" s="1640">
        <f>(F757*I757)</f>
        <v>458.55549999999999</v>
      </c>
      <c r="N757" s="1627" t="s">
        <v>226</v>
      </c>
      <c r="O757" s="1627" t="s">
        <v>237</v>
      </c>
      <c r="Q757" s="1627" t="s">
        <v>226</v>
      </c>
      <c r="R757" s="1640">
        <v>0</v>
      </c>
      <c r="W757" s="1634"/>
      <c r="AG757" s="1640" t="str">
        <f t="shared" si="98"/>
        <v>|</v>
      </c>
      <c r="AI757" s="1627" t="s">
        <v>1095</v>
      </c>
    </row>
    <row r="758" spans="1:35" ht="24" customHeight="1">
      <c r="A758" s="1647">
        <f t="shared" si="90"/>
        <v>555</v>
      </c>
      <c r="B758" s="1628" t="s">
        <v>1505</v>
      </c>
      <c r="C758" s="1640">
        <v>302</v>
      </c>
      <c r="D758" s="1627" t="s">
        <v>1502</v>
      </c>
      <c r="H758" s="1627" t="s">
        <v>1506</v>
      </c>
      <c r="R758" s="1636" t="s">
        <v>21</v>
      </c>
      <c r="W758" s="1634"/>
      <c r="AG758" s="1640" t="str">
        <f t="shared" si="98"/>
        <v>|</v>
      </c>
      <c r="AI758" s="1627" t="s">
        <v>1095</v>
      </c>
    </row>
    <row r="759" spans="1:35" ht="24" customHeight="1">
      <c r="A759" s="1647">
        <f t="shared" si="90"/>
        <v>556</v>
      </c>
      <c r="B759" s="1627" t="s">
        <v>1507</v>
      </c>
      <c r="C759" s="1640">
        <v>382</v>
      </c>
      <c r="D759" s="1627" t="s">
        <v>1502</v>
      </c>
      <c r="F759" s="1640">
        <v>0.12</v>
      </c>
      <c r="G759" s="1638" t="s">
        <v>313</v>
      </c>
      <c r="H759" s="1627" t="s">
        <v>1508</v>
      </c>
      <c r="I759" s="1640">
        <f>C269/5</f>
        <v>3100</v>
      </c>
      <c r="J759" s="1627" t="s">
        <v>1504</v>
      </c>
      <c r="K759" s="1640">
        <f t="shared" ref="K759:K766" si="100">(F759*I759)</f>
        <v>372</v>
      </c>
      <c r="O759" s="1628" t="s">
        <v>1509</v>
      </c>
      <c r="R759" s="1640">
        <f>SUM(R750:R757)</f>
        <v>3887.7358599999998</v>
      </c>
      <c r="W759" s="1634"/>
      <c r="AG759" s="1640" t="str">
        <f t="shared" si="98"/>
        <v>|</v>
      </c>
      <c r="AI759" s="1627" t="s">
        <v>1095</v>
      </c>
    </row>
    <row r="760" spans="1:35" ht="24" customHeight="1">
      <c r="A760" s="1647">
        <f t="shared" si="90"/>
        <v>557</v>
      </c>
      <c r="B760" s="1627" t="s">
        <v>1510</v>
      </c>
      <c r="C760" s="1640">
        <v>140</v>
      </c>
      <c r="D760" s="1627" t="s">
        <v>1502</v>
      </c>
      <c r="F760" s="1640">
        <v>98.5</v>
      </c>
      <c r="G760" s="1638" t="s">
        <v>303</v>
      </c>
      <c r="H760" s="1627" t="s">
        <v>1511</v>
      </c>
      <c r="I760" s="1640">
        <f>C270/5</f>
        <v>5.04</v>
      </c>
      <c r="J760" s="1627" t="s">
        <v>1504</v>
      </c>
      <c r="K760" s="1640">
        <f t="shared" si="100"/>
        <v>496.44</v>
      </c>
      <c r="R760" s="1636" t="s">
        <v>21</v>
      </c>
      <c r="T760" s="1661">
        <v>4.2</v>
      </c>
      <c r="U760" s="1661" t="s">
        <v>5624</v>
      </c>
      <c r="W760" s="1634"/>
      <c r="AG760" s="1640" t="str">
        <f t="shared" si="98"/>
        <v>|</v>
      </c>
      <c r="AI760" s="1627" t="s">
        <v>1095</v>
      </c>
    </row>
    <row r="761" spans="1:35" ht="24" customHeight="1">
      <c r="A761" s="1647">
        <f t="shared" si="90"/>
        <v>558</v>
      </c>
      <c r="B761" s="1627" t="s">
        <v>1512</v>
      </c>
      <c r="C761" s="1640">
        <v>222</v>
      </c>
      <c r="D761" s="1627" t="s">
        <v>1502</v>
      </c>
      <c r="F761" s="1640">
        <v>1</v>
      </c>
      <c r="G761" s="1638" t="s">
        <v>226</v>
      </c>
      <c r="H761" s="1627" t="s">
        <v>1513</v>
      </c>
      <c r="I761" s="1690">
        <v>11</v>
      </c>
      <c r="J761" s="1627" t="s">
        <v>226</v>
      </c>
      <c r="K761" s="1640">
        <f t="shared" si="100"/>
        <v>11</v>
      </c>
      <c r="O761" s="1628" t="s">
        <v>155</v>
      </c>
      <c r="R761" s="1640">
        <f>R759/1.3247</f>
        <v>2934.8047557937643</v>
      </c>
      <c r="S761" s="1633">
        <v>5</v>
      </c>
      <c r="T761" s="1629" t="s">
        <v>276</v>
      </c>
      <c r="U761" s="1629" t="s">
        <v>5618</v>
      </c>
      <c r="V761" s="1629">
        <f>V675</f>
        <v>2446.7200000000003</v>
      </c>
      <c r="W761" s="1634"/>
      <c r="X761" s="1629">
        <f t="shared" ref="X761:X768" si="101">V761*S761</f>
        <v>12233.600000000002</v>
      </c>
      <c r="AG761" s="1640" t="str">
        <f t="shared" si="98"/>
        <v>|</v>
      </c>
      <c r="AI761" s="1627" t="s">
        <v>1095</v>
      </c>
    </row>
    <row r="762" spans="1:35" ht="24" customHeight="1">
      <c r="A762" s="1647">
        <f t="shared" si="90"/>
        <v>559</v>
      </c>
      <c r="B762" s="1627" t="s">
        <v>1514</v>
      </c>
      <c r="C762" s="1640">
        <v>505</v>
      </c>
      <c r="D762" s="1627" t="s">
        <v>1502</v>
      </c>
      <c r="F762" s="1640">
        <v>3.8</v>
      </c>
      <c r="G762" s="1638" t="s">
        <v>68</v>
      </c>
      <c r="H762" s="1627" t="s">
        <v>1515</v>
      </c>
      <c r="I762" s="1640">
        <f>C16</f>
        <v>1296.3999999999999</v>
      </c>
      <c r="J762" s="1627" t="s">
        <v>340</v>
      </c>
      <c r="K762" s="1640">
        <f t="shared" si="100"/>
        <v>4926.3199999999988</v>
      </c>
      <c r="R762" s="1636" t="s">
        <v>156</v>
      </c>
      <c r="S762" s="1633">
        <v>3.3</v>
      </c>
      <c r="T762" s="1629" t="s">
        <v>276</v>
      </c>
      <c r="U762" s="1629" t="s">
        <v>5619</v>
      </c>
      <c r="V762" s="1629">
        <f t="shared" ref="V762:V768" si="102">V676</f>
        <v>2161.2200000000003</v>
      </c>
      <c r="W762" s="1634"/>
      <c r="X762" s="1629">
        <f t="shared" si="101"/>
        <v>7132.0260000000007</v>
      </c>
      <c r="AG762" s="1640" t="str">
        <f t="shared" si="98"/>
        <v>|</v>
      </c>
      <c r="AI762" s="1627" t="s">
        <v>1095</v>
      </c>
    </row>
    <row r="763" spans="1:35" ht="24" customHeight="1">
      <c r="A763" s="1647">
        <f t="shared" si="90"/>
        <v>560</v>
      </c>
      <c r="B763" s="1627" t="s">
        <v>1516</v>
      </c>
      <c r="C763" s="1640">
        <v>272.2</v>
      </c>
      <c r="D763" s="1627" t="s">
        <v>566</v>
      </c>
      <c r="F763" s="1640">
        <v>5.4</v>
      </c>
      <c r="G763" s="1638" t="s">
        <v>68</v>
      </c>
      <c r="H763" s="1627" t="s">
        <v>1198</v>
      </c>
      <c r="I763" s="1640">
        <f>C12</f>
        <v>865.19999999999993</v>
      </c>
      <c r="J763" s="1627" t="s">
        <v>340</v>
      </c>
      <c r="K763" s="1640">
        <f t="shared" si="100"/>
        <v>4672.08</v>
      </c>
      <c r="N763" s="1627" t="s">
        <v>249</v>
      </c>
      <c r="S763" s="1633">
        <v>4.79</v>
      </c>
      <c r="T763" s="1629" t="s">
        <v>276</v>
      </c>
      <c r="U763" s="1629" t="s">
        <v>5620</v>
      </c>
      <c r="V763" s="1629">
        <f t="shared" si="102"/>
        <v>2265.5</v>
      </c>
      <c r="W763" s="1634"/>
      <c r="X763" s="1629">
        <f t="shared" si="101"/>
        <v>10851.745000000001</v>
      </c>
      <c r="AG763" s="1640" t="str">
        <f t="shared" si="98"/>
        <v>|</v>
      </c>
      <c r="AI763" s="1627" t="s">
        <v>1095</v>
      </c>
    </row>
    <row r="764" spans="1:35" ht="24" customHeight="1">
      <c r="A764" s="1629" t="s">
        <v>1517</v>
      </c>
      <c r="B764" s="1627" t="s">
        <v>5625</v>
      </c>
      <c r="C764" s="1640">
        <v>1020</v>
      </c>
      <c r="D764" s="1627" t="s">
        <v>566</v>
      </c>
      <c r="F764" s="1640">
        <v>1</v>
      </c>
      <c r="G764" s="1638" t="s">
        <v>68</v>
      </c>
      <c r="H764" s="1627" t="s">
        <v>1519</v>
      </c>
      <c r="I764" s="1640">
        <f>C66</f>
        <v>1136.8</v>
      </c>
      <c r="J764" s="1627" t="s">
        <v>340</v>
      </c>
      <c r="K764" s="1640">
        <f t="shared" si="100"/>
        <v>1136.8</v>
      </c>
      <c r="O764" s="1627" t="s">
        <v>1520</v>
      </c>
      <c r="S764" s="1633">
        <v>4.25</v>
      </c>
      <c r="T764" s="1629" t="s">
        <v>277</v>
      </c>
      <c r="U764" s="1629" t="s">
        <v>278</v>
      </c>
      <c r="V764" s="1629">
        <f t="shared" si="102"/>
        <v>6040</v>
      </c>
      <c r="W764" s="1634"/>
      <c r="X764" s="1629">
        <f t="shared" si="101"/>
        <v>25670</v>
      </c>
      <c r="AG764" s="1640" t="str">
        <f t="shared" si="98"/>
        <v>|</v>
      </c>
      <c r="AI764" s="1627" t="s">
        <v>1095</v>
      </c>
    </row>
    <row r="765" spans="1:35" ht="24" customHeight="1">
      <c r="A765" s="1647">
        <f>(A763+1)</f>
        <v>561</v>
      </c>
      <c r="B765" s="1627" t="s">
        <v>1521</v>
      </c>
      <c r="C765" s="1640">
        <v>43.3</v>
      </c>
      <c r="D765" s="1627" t="s">
        <v>552</v>
      </c>
      <c r="F765" s="1640">
        <v>1</v>
      </c>
      <c r="G765" s="1638" t="s">
        <v>226</v>
      </c>
      <c r="H765" s="1627" t="s">
        <v>1522</v>
      </c>
      <c r="I765" s="1690">
        <v>10</v>
      </c>
      <c r="J765" s="1627" t="s">
        <v>226</v>
      </c>
      <c r="K765" s="1640">
        <f t="shared" si="100"/>
        <v>10</v>
      </c>
      <c r="O765" s="1627" t="s">
        <v>1523</v>
      </c>
      <c r="S765" s="1633">
        <v>40</v>
      </c>
      <c r="T765" s="1629" t="s">
        <v>13</v>
      </c>
      <c r="U765" s="1629" t="s">
        <v>1366</v>
      </c>
      <c r="V765" s="1629">
        <f t="shared" si="102"/>
        <v>43.2</v>
      </c>
      <c r="W765" s="1634"/>
      <c r="X765" s="1629">
        <f t="shared" si="101"/>
        <v>1728</v>
      </c>
      <c r="AG765" s="1640" t="str">
        <f t="shared" si="98"/>
        <v>|</v>
      </c>
      <c r="AI765" s="1627" t="s">
        <v>1095</v>
      </c>
    </row>
    <row r="766" spans="1:35" ht="24" customHeight="1">
      <c r="A766" s="1647">
        <f t="shared" ref="A766:A783" si="103">(A765+1)</f>
        <v>562</v>
      </c>
      <c r="B766" s="1627" t="s">
        <v>1524</v>
      </c>
      <c r="C766" s="1640">
        <v>218</v>
      </c>
      <c r="D766" s="1627" t="s">
        <v>566</v>
      </c>
      <c r="F766" s="1640">
        <v>19</v>
      </c>
      <c r="G766" s="1638" t="s">
        <v>154</v>
      </c>
      <c r="H766" s="1627" t="s">
        <v>1525</v>
      </c>
      <c r="I766" s="1690">
        <v>2</v>
      </c>
      <c r="J766" s="1627" t="s">
        <v>154</v>
      </c>
      <c r="K766" s="1640">
        <f t="shared" si="100"/>
        <v>38</v>
      </c>
      <c r="O766" s="1627" t="s">
        <v>1526</v>
      </c>
      <c r="S766" s="1633">
        <v>3.5</v>
      </c>
      <c r="T766" s="1629" t="s">
        <v>154</v>
      </c>
      <c r="U766" s="1629" t="s">
        <v>280</v>
      </c>
      <c r="V766" s="1629">
        <f t="shared" si="102"/>
        <v>1237.5999999999999</v>
      </c>
      <c r="W766" s="1634"/>
      <c r="X766" s="1629">
        <f t="shared" si="101"/>
        <v>4331.5999999999995</v>
      </c>
      <c r="AG766" s="1640" t="str">
        <f t="shared" si="98"/>
        <v>|</v>
      </c>
      <c r="AI766" s="1627" t="s">
        <v>1095</v>
      </c>
    </row>
    <row r="767" spans="1:35" ht="24" customHeight="1">
      <c r="A767" s="1647">
        <f t="shared" si="103"/>
        <v>563</v>
      </c>
      <c r="B767" s="1627" t="s">
        <v>1527</v>
      </c>
      <c r="C767" s="1640">
        <v>926</v>
      </c>
      <c r="D767" s="1627" t="s">
        <v>566</v>
      </c>
      <c r="H767" s="1627" t="s">
        <v>1528</v>
      </c>
      <c r="K767" s="1636" t="s">
        <v>21</v>
      </c>
      <c r="O767" s="1627" t="s">
        <v>1529</v>
      </c>
      <c r="S767" s="1633">
        <v>21.2</v>
      </c>
      <c r="T767" s="1629" t="s">
        <v>154</v>
      </c>
      <c r="U767" s="1629" t="s">
        <v>281</v>
      </c>
      <c r="V767" s="1629">
        <f t="shared" si="102"/>
        <v>865.19999999999993</v>
      </c>
      <c r="W767" s="1634"/>
      <c r="X767" s="1629">
        <f t="shared" si="101"/>
        <v>18342.239999999998</v>
      </c>
      <c r="AG767" s="1640" t="str">
        <f t="shared" si="98"/>
        <v>|</v>
      </c>
      <c r="AI767" s="1627" t="s">
        <v>1095</v>
      </c>
    </row>
    <row r="768" spans="1:35" ht="24" customHeight="1">
      <c r="A768" s="1647">
        <f t="shared" si="103"/>
        <v>564</v>
      </c>
      <c r="B768" s="1627" t="s">
        <v>1530</v>
      </c>
      <c r="C768" s="1640">
        <v>5.15</v>
      </c>
      <c r="D768" s="1627" t="s">
        <v>552</v>
      </c>
      <c r="H768" s="1628" t="s">
        <v>238</v>
      </c>
      <c r="K768" s="1640">
        <f>SUM(K757:K766)+0.07</f>
        <v>12121.265499999998</v>
      </c>
      <c r="O768" s="1636" t="s">
        <v>21</v>
      </c>
      <c r="S768" s="1633">
        <v>35.299999999999997</v>
      </c>
      <c r="T768" s="1629" t="s">
        <v>154</v>
      </c>
      <c r="U768" s="1629" t="s">
        <v>282</v>
      </c>
      <c r="V768" s="1629">
        <f t="shared" si="102"/>
        <v>709.8</v>
      </c>
      <c r="W768" s="1634"/>
      <c r="X768" s="1629">
        <f t="shared" si="101"/>
        <v>25055.939999999995</v>
      </c>
      <c r="AG768" s="1640" t="str">
        <f t="shared" si="98"/>
        <v>|</v>
      </c>
      <c r="AI768" s="1627" t="s">
        <v>1095</v>
      </c>
    </row>
    <row r="769" spans="1:35" ht="24" customHeight="1">
      <c r="A769" s="1647">
        <f t="shared" si="103"/>
        <v>565</v>
      </c>
      <c r="B769" s="1627" t="s">
        <v>1531</v>
      </c>
      <c r="C769" s="1640">
        <v>550</v>
      </c>
      <c r="D769" s="1627" t="s">
        <v>566</v>
      </c>
      <c r="K769" s="1636" t="s">
        <v>21</v>
      </c>
      <c r="U769" s="1661" t="s">
        <v>283</v>
      </c>
      <c r="W769" s="1634"/>
      <c r="X769" s="1661">
        <f>SUM(X761:X768)</f>
        <v>105345.15100000001</v>
      </c>
      <c r="Y769" s="1661"/>
      <c r="AG769" s="1640" t="str">
        <f t="shared" si="98"/>
        <v>|</v>
      </c>
      <c r="AI769" s="1627" t="s">
        <v>1095</v>
      </c>
    </row>
    <row r="770" spans="1:35" ht="24" customHeight="1">
      <c r="A770" s="1647">
        <f t="shared" si="103"/>
        <v>566</v>
      </c>
      <c r="B770" s="1627" t="s">
        <v>1532</v>
      </c>
      <c r="C770" s="1640">
        <v>286</v>
      </c>
      <c r="D770" s="1627" t="s">
        <v>566</v>
      </c>
      <c r="H770" s="1628" t="s">
        <v>155</v>
      </c>
      <c r="K770" s="1640">
        <f>(K768/10)</f>
        <v>1212.1265499999997</v>
      </c>
      <c r="O770" s="1627" t="s">
        <v>1533</v>
      </c>
      <c r="R770" s="1640">
        <f>(C723)</f>
        <v>1183.82</v>
      </c>
      <c r="U770" s="1661" t="s">
        <v>284</v>
      </c>
      <c r="W770" s="1634"/>
      <c r="X770" s="1661">
        <f>X769/10</f>
        <v>10534.515100000001</v>
      </c>
      <c r="Y770" s="1661"/>
      <c r="AG770" s="1640" t="str">
        <f t="shared" si="98"/>
        <v>|</v>
      </c>
      <c r="AI770" s="1627" t="s">
        <v>1095</v>
      </c>
    </row>
    <row r="771" spans="1:35" ht="24" customHeight="1">
      <c r="A771" s="1647">
        <f t="shared" si="103"/>
        <v>567</v>
      </c>
      <c r="B771" s="1627" t="s">
        <v>1534</v>
      </c>
      <c r="C771" s="1640">
        <v>96.3</v>
      </c>
      <c r="D771" s="1627" t="s">
        <v>552</v>
      </c>
      <c r="F771" s="1627" t="s">
        <v>150</v>
      </c>
      <c r="R771" s="1636" t="s">
        <v>156</v>
      </c>
      <c r="S771" s="1633">
        <v>1</v>
      </c>
      <c r="T771" s="1629" t="s">
        <v>276</v>
      </c>
      <c r="U771" s="1629" t="s">
        <v>285</v>
      </c>
      <c r="V771" s="1629">
        <f>V807</f>
        <v>125.16</v>
      </c>
      <c r="W771" s="1634"/>
      <c r="X771" s="1629">
        <f>V771</f>
        <v>125.16</v>
      </c>
      <c r="AG771" s="1640" t="str">
        <f t="shared" si="98"/>
        <v>|</v>
      </c>
      <c r="AI771" s="1627" t="s">
        <v>1095</v>
      </c>
    </row>
    <row r="772" spans="1:35" ht="24" customHeight="1">
      <c r="A772" s="1647">
        <f t="shared" si="103"/>
        <v>568</v>
      </c>
      <c r="B772" s="1627" t="s">
        <v>1535</v>
      </c>
      <c r="C772" s="1640">
        <v>51</v>
      </c>
      <c r="D772" s="1627" t="s">
        <v>566</v>
      </c>
      <c r="K772" s="1636" t="s">
        <v>156</v>
      </c>
      <c r="U772" s="1629" t="s">
        <v>286</v>
      </c>
      <c r="W772" s="1634"/>
      <c r="X772" s="1661">
        <f>SUM(X770:X771)</f>
        <v>10659.6751</v>
      </c>
      <c r="Y772" s="1661"/>
      <c r="AG772" s="1640" t="str">
        <f t="shared" si="98"/>
        <v>|</v>
      </c>
      <c r="AI772" s="1627" t="s">
        <v>1095</v>
      </c>
    </row>
    <row r="773" spans="1:35" ht="24" customHeight="1">
      <c r="A773" s="1647">
        <f t="shared" si="103"/>
        <v>569</v>
      </c>
      <c r="B773" s="1627" t="s">
        <v>1536</v>
      </c>
      <c r="C773" s="1640">
        <v>181</v>
      </c>
      <c r="D773" s="1627" t="s">
        <v>1248</v>
      </c>
      <c r="F773" s="1628" t="s">
        <v>455</v>
      </c>
      <c r="G773" s="1638" t="s">
        <v>249</v>
      </c>
      <c r="H773" s="1627" t="s">
        <v>1537</v>
      </c>
      <c r="N773" s="1627" t="s">
        <v>249</v>
      </c>
      <c r="O773" s="1627" t="s">
        <v>1538</v>
      </c>
      <c r="S773" s="1704" t="s">
        <v>287</v>
      </c>
      <c r="U773" s="1629" t="s">
        <v>288</v>
      </c>
      <c r="V773" s="1704" t="s">
        <v>287</v>
      </c>
      <c r="W773" s="1634"/>
      <c r="X773" s="1629">
        <f>X772*0.5%</f>
        <v>53.298375500000006</v>
      </c>
      <c r="AG773" s="1640" t="str">
        <f t="shared" si="98"/>
        <v>|</v>
      </c>
      <c r="AI773" s="1627" t="s">
        <v>1095</v>
      </c>
    </row>
    <row r="774" spans="1:35" ht="24" customHeight="1">
      <c r="A774" s="1647">
        <f t="shared" si="103"/>
        <v>570</v>
      </c>
      <c r="B774" s="1627" t="s">
        <v>1539</v>
      </c>
      <c r="C774" s="1640">
        <v>36.200000000000003</v>
      </c>
      <c r="D774" s="1627" t="s">
        <v>552</v>
      </c>
      <c r="H774" s="1627" t="s">
        <v>1540</v>
      </c>
      <c r="O774" s="1636" t="s">
        <v>156</v>
      </c>
      <c r="P774" s="1636" t="s">
        <v>156</v>
      </c>
      <c r="Q774" s="1636" t="s">
        <v>156</v>
      </c>
      <c r="R774" s="1627" t="s">
        <v>1541</v>
      </c>
      <c r="T774" s="1630"/>
      <c r="U774" s="1661" t="s">
        <v>289</v>
      </c>
      <c r="W774" s="1634"/>
      <c r="X774" s="1639">
        <f>SUM(X772:X773)</f>
        <v>10712.973475500001</v>
      </c>
      <c r="Y774" s="1639"/>
      <c r="AG774" s="1640" t="str">
        <f t="shared" si="98"/>
        <v>|</v>
      </c>
      <c r="AI774" s="1627" t="s">
        <v>1095</v>
      </c>
    </row>
    <row r="775" spans="1:35" ht="24" customHeight="1">
      <c r="A775" s="1647">
        <f t="shared" si="103"/>
        <v>571</v>
      </c>
      <c r="B775" s="1627" t="s">
        <v>1542</v>
      </c>
      <c r="C775" s="1640">
        <v>98</v>
      </c>
      <c r="D775" s="1627" t="s">
        <v>566</v>
      </c>
      <c r="H775" s="1627" t="s">
        <v>1543</v>
      </c>
      <c r="O775" s="1627" t="s">
        <v>1544</v>
      </c>
      <c r="Q775" s="1628" t="s">
        <v>303</v>
      </c>
      <c r="R775" s="1640">
        <f>(C726)</f>
        <v>147.6</v>
      </c>
      <c r="T775" s="1630"/>
      <c r="W775" s="1634"/>
      <c r="X775" s="1636" t="s">
        <v>21</v>
      </c>
      <c r="Y775" s="1636"/>
      <c r="AG775" s="1640" t="str">
        <f t="shared" si="98"/>
        <v>|</v>
      </c>
      <c r="AI775" s="1627" t="s">
        <v>1095</v>
      </c>
    </row>
    <row r="776" spans="1:35" ht="24" customHeight="1">
      <c r="A776" s="1647">
        <f t="shared" si="103"/>
        <v>572</v>
      </c>
      <c r="B776" s="1627" t="s">
        <v>1545</v>
      </c>
      <c r="C776" s="1640">
        <v>92</v>
      </c>
      <c r="D776" s="1627" t="s">
        <v>552</v>
      </c>
      <c r="H776" s="1636" t="s">
        <v>21</v>
      </c>
      <c r="O776" s="1627" t="s">
        <v>1546</v>
      </c>
      <c r="T776" s="1630"/>
      <c r="U776" s="1627" t="s">
        <v>271</v>
      </c>
      <c r="W776" s="1634"/>
      <c r="X776" s="1639">
        <f>(X774+C22)</f>
        <v>10872.013475500002</v>
      </c>
      <c r="Y776" s="1639"/>
      <c r="AG776" s="1640" t="str">
        <f t="shared" si="98"/>
        <v>|::</v>
      </c>
      <c r="AI776" s="1627" t="s">
        <v>892</v>
      </c>
    </row>
    <row r="777" spans="1:35" ht="24" customHeight="1">
      <c r="A777" s="1647">
        <f t="shared" si="103"/>
        <v>573</v>
      </c>
      <c r="B777" s="1627" t="s">
        <v>1547</v>
      </c>
      <c r="C777" s="1640">
        <v>49.42</v>
      </c>
      <c r="D777" s="1627" t="s">
        <v>566</v>
      </c>
      <c r="F777" s="1640">
        <v>10</v>
      </c>
      <c r="G777" s="1638" t="s">
        <v>152</v>
      </c>
      <c r="H777" s="1627" t="s">
        <v>1548</v>
      </c>
      <c r="I777" s="1640">
        <f>(K757)*1.2</f>
        <v>550.26659999999993</v>
      </c>
      <c r="J777" s="1627" t="s">
        <v>1504</v>
      </c>
      <c r="K777" s="1640">
        <f>(F777*I777)/10</f>
        <v>550.26659999999993</v>
      </c>
      <c r="O777" s="1627" t="s">
        <v>1549</v>
      </c>
      <c r="T777" s="1630"/>
      <c r="U777" s="1627" t="s">
        <v>272</v>
      </c>
      <c r="W777" s="1634"/>
      <c r="X777" s="1639">
        <f>(X776+C24)</f>
        <v>11185.333475500001</v>
      </c>
      <c r="Y777" s="1639"/>
      <c r="AG777" s="1640">
        <f t="shared" si="98"/>
        <v>0</v>
      </c>
    </row>
    <row r="778" spans="1:35" ht="24" customHeight="1">
      <c r="A778" s="1647">
        <f t="shared" si="103"/>
        <v>574</v>
      </c>
      <c r="B778" s="1627" t="s">
        <v>1550</v>
      </c>
      <c r="C778" s="1640">
        <v>53.2</v>
      </c>
      <c r="D778" s="1627" t="s">
        <v>566</v>
      </c>
      <c r="H778" s="1627" t="s">
        <v>1551</v>
      </c>
      <c r="O778" s="1627" t="s">
        <v>1552</v>
      </c>
      <c r="T778" s="1630"/>
      <c r="U778" s="1627" t="s">
        <v>767</v>
      </c>
      <c r="W778" s="1634"/>
      <c r="X778" s="1639">
        <f>(X777+C24)</f>
        <v>11498.653475500001</v>
      </c>
      <c r="Y778" s="1639"/>
      <c r="AG778" s="1640">
        <f t="shared" si="98"/>
        <v>0</v>
      </c>
    </row>
    <row r="779" spans="1:35" ht="24" customHeight="1">
      <c r="A779" s="1647">
        <f t="shared" si="103"/>
        <v>575</v>
      </c>
      <c r="B779" s="1627" t="s">
        <v>1553</v>
      </c>
      <c r="C779" s="1640">
        <v>59</v>
      </c>
      <c r="D779" s="1627" t="s">
        <v>566</v>
      </c>
      <c r="H779" s="1627" t="s">
        <v>1554</v>
      </c>
      <c r="O779" s="1627" t="s">
        <v>1555</v>
      </c>
      <c r="T779" s="1630"/>
      <c r="U779" s="1627" t="s">
        <v>769</v>
      </c>
      <c r="W779" s="1634"/>
      <c r="X779" s="1639">
        <f>(X778+C24)</f>
        <v>11811.973475500001</v>
      </c>
      <c r="Y779" s="1639"/>
      <c r="AG779" s="1640" t="str">
        <f t="shared" si="98"/>
        <v>|</v>
      </c>
      <c r="AI779" s="1627" t="s">
        <v>1095</v>
      </c>
    </row>
    <row r="780" spans="1:35" ht="24" customHeight="1">
      <c r="A780" s="1647">
        <f t="shared" si="103"/>
        <v>576</v>
      </c>
      <c r="B780" s="1627" t="s">
        <v>1556</v>
      </c>
      <c r="C780" s="1640">
        <v>100</v>
      </c>
      <c r="D780" s="1627" t="s">
        <v>566</v>
      </c>
      <c r="F780" s="1640">
        <v>10</v>
      </c>
      <c r="G780" s="1638" t="s">
        <v>152</v>
      </c>
      <c r="H780" s="1627" t="s">
        <v>1557</v>
      </c>
      <c r="I780" s="1640">
        <f>K759*1.2</f>
        <v>446.4</v>
      </c>
      <c r="J780" s="1627" t="s">
        <v>1504</v>
      </c>
      <c r="K780" s="1640">
        <f>(F780*I780)/10</f>
        <v>446.4</v>
      </c>
      <c r="O780" s="1627" t="s">
        <v>1558</v>
      </c>
      <c r="R780" s="1627" t="s">
        <v>150</v>
      </c>
      <c r="T780" s="1630"/>
      <c r="U780" s="1627" t="s">
        <v>838</v>
      </c>
      <c r="W780" s="1634"/>
      <c r="X780" s="1639">
        <f>(X779+C$24)</f>
        <v>12125.293475500001</v>
      </c>
      <c r="Y780" s="1639"/>
      <c r="AG780" s="1640">
        <f t="shared" si="98"/>
        <v>0</v>
      </c>
    </row>
    <row r="781" spans="1:35" ht="24" customHeight="1">
      <c r="A781" s="1647">
        <f t="shared" si="103"/>
        <v>577</v>
      </c>
      <c r="B781" s="1627" t="s">
        <v>1559</v>
      </c>
      <c r="C781" s="1640">
        <v>49.52</v>
      </c>
      <c r="D781" s="1627" t="s">
        <v>552</v>
      </c>
      <c r="H781" s="1627" t="s">
        <v>1560</v>
      </c>
      <c r="O781" s="1627" t="s">
        <v>150</v>
      </c>
      <c r="W781" s="1634"/>
      <c r="X781" s="1639">
        <f>(X780+C$24)</f>
        <v>12438.6134755</v>
      </c>
      <c r="Y781" s="1639"/>
      <c r="AG781" s="1640" t="str">
        <f t="shared" si="98"/>
        <v>|</v>
      </c>
      <c r="AI781" s="1627" t="s">
        <v>1095</v>
      </c>
    </row>
    <row r="782" spans="1:35" ht="24" customHeight="1">
      <c r="A782" s="1647">
        <f t="shared" si="103"/>
        <v>578</v>
      </c>
      <c r="B782" s="1627" t="s">
        <v>1561</v>
      </c>
      <c r="C782" s="1640">
        <v>1080</v>
      </c>
      <c r="D782" s="1627" t="s">
        <v>566</v>
      </c>
      <c r="H782" s="1627" t="s">
        <v>1562</v>
      </c>
      <c r="W782" s="1634"/>
      <c r="X782" s="1639">
        <f>(X781+C$24)</f>
        <v>12751.9334755</v>
      </c>
      <c r="Y782" s="1639"/>
      <c r="AG782" s="1640" t="str">
        <f t="shared" si="98"/>
        <v>|</v>
      </c>
      <c r="AI782" s="1627" t="s">
        <v>1095</v>
      </c>
    </row>
    <row r="783" spans="1:35" ht="24" customHeight="1">
      <c r="A783" s="1647">
        <f t="shared" si="103"/>
        <v>579</v>
      </c>
      <c r="B783" s="1627" t="s">
        <v>1563</v>
      </c>
      <c r="C783" s="1640">
        <v>387.4</v>
      </c>
      <c r="D783" s="1627" t="s">
        <v>152</v>
      </c>
      <c r="F783" s="1640">
        <v>98.5</v>
      </c>
      <c r="G783" s="1638" t="s">
        <v>303</v>
      </c>
      <c r="H783" s="1627" t="s">
        <v>1511</v>
      </c>
      <c r="I783" s="1640">
        <f>C270/5</f>
        <v>5.04</v>
      </c>
      <c r="J783" s="1627" t="s">
        <v>1504</v>
      </c>
      <c r="K783" s="1640">
        <f t="shared" ref="K783:K789" si="104">(F783*I783)</f>
        <v>496.44</v>
      </c>
      <c r="N783" s="1627" t="s">
        <v>249</v>
      </c>
      <c r="O783" s="1627" t="s">
        <v>1564</v>
      </c>
      <c r="Q783" s="1628" t="s">
        <v>306</v>
      </c>
      <c r="R783" s="1640">
        <f>(C730)</f>
        <v>1250</v>
      </c>
      <c r="W783" s="1634"/>
      <c r="X783" s="1639">
        <f>(X782+C$24)</f>
        <v>13065.2534755</v>
      </c>
      <c r="Y783" s="1639"/>
      <c r="AG783" s="1640" t="str">
        <f t="shared" si="98"/>
        <v>|</v>
      </c>
      <c r="AI783" s="1627" t="s">
        <v>1095</v>
      </c>
    </row>
    <row r="784" spans="1:35" ht="24" customHeight="1">
      <c r="A784" s="1647" t="e">
        <f>(#REF!+1)</f>
        <v>#REF!</v>
      </c>
      <c r="B784" s="1627" t="s">
        <v>1500</v>
      </c>
      <c r="F784" s="1640">
        <v>3.8</v>
      </c>
      <c r="G784" s="1638" t="s">
        <v>4</v>
      </c>
      <c r="H784" s="1627" t="s">
        <v>1444</v>
      </c>
      <c r="I784" s="1640">
        <f>(C16)</f>
        <v>1296.3999999999999</v>
      </c>
      <c r="J784" s="1627" t="s">
        <v>4</v>
      </c>
      <c r="K784" s="1640">
        <f t="shared" si="104"/>
        <v>4926.3199999999988</v>
      </c>
      <c r="O784" s="1627" t="s">
        <v>1565</v>
      </c>
      <c r="W784" s="1634"/>
      <c r="AG784" s="1640" t="str">
        <f t="shared" si="98"/>
        <v>|</v>
      </c>
      <c r="AI784" s="1627" t="s">
        <v>1095</v>
      </c>
    </row>
    <row r="785" spans="1:35" ht="24" customHeight="1">
      <c r="A785" s="1647"/>
      <c r="B785" s="1627" t="s">
        <v>1501</v>
      </c>
      <c r="C785" s="1640">
        <v>300</v>
      </c>
      <c r="F785" s="1640">
        <v>5.4</v>
      </c>
      <c r="G785" s="1638" t="s">
        <v>4</v>
      </c>
      <c r="H785" s="1627" t="s">
        <v>235</v>
      </c>
      <c r="I785" s="1640">
        <f>(C12)</f>
        <v>865.19999999999993</v>
      </c>
      <c r="J785" s="1627" t="s">
        <v>4</v>
      </c>
      <c r="K785" s="1640">
        <f t="shared" si="104"/>
        <v>4672.08</v>
      </c>
      <c r="O785" s="1627" t="s">
        <v>1566</v>
      </c>
      <c r="W785" s="1634"/>
      <c r="AG785" s="1640" t="str">
        <f t="shared" si="98"/>
        <v>|</v>
      </c>
      <c r="AI785" s="1627" t="s">
        <v>1095</v>
      </c>
    </row>
    <row r="786" spans="1:35" ht="24" customHeight="1">
      <c r="A786" s="1647"/>
      <c r="B786" s="1628" t="s">
        <v>1505</v>
      </c>
      <c r="C786" s="1640">
        <v>302</v>
      </c>
      <c r="F786" s="1640">
        <v>1</v>
      </c>
      <c r="G786" s="1638" t="s">
        <v>4</v>
      </c>
      <c r="H786" s="1627" t="s">
        <v>1519</v>
      </c>
      <c r="I786" s="1640">
        <f>C66</f>
        <v>1136.8</v>
      </c>
      <c r="J786" s="1627" t="s">
        <v>340</v>
      </c>
      <c r="K786" s="1640">
        <f t="shared" si="104"/>
        <v>1136.8</v>
      </c>
      <c r="O786" s="1627" t="s">
        <v>1567</v>
      </c>
      <c r="W786" s="1634"/>
      <c r="AG786" s="1640" t="str">
        <f t="shared" si="98"/>
        <v>|</v>
      </c>
      <c r="AI786" s="1627" t="s">
        <v>1095</v>
      </c>
    </row>
    <row r="787" spans="1:35" ht="24" customHeight="1">
      <c r="A787" s="1647"/>
      <c r="B787" s="1627" t="s">
        <v>1568</v>
      </c>
      <c r="C787" s="1640">
        <v>324</v>
      </c>
      <c r="F787" s="1640">
        <v>1</v>
      </c>
      <c r="G787" s="1638" t="s">
        <v>226</v>
      </c>
      <c r="H787" s="1627" t="s">
        <v>1569</v>
      </c>
      <c r="I787" s="1640">
        <f>I761</f>
        <v>11</v>
      </c>
      <c r="J787" s="1627" t="s">
        <v>340</v>
      </c>
      <c r="K787" s="1640">
        <f t="shared" si="104"/>
        <v>11</v>
      </c>
      <c r="W787" s="1634"/>
      <c r="AG787" s="1640" t="str">
        <f t="shared" si="98"/>
        <v>|</v>
      </c>
      <c r="AI787" s="1627" t="s">
        <v>1095</v>
      </c>
    </row>
    <row r="788" spans="1:35" ht="24" customHeight="1">
      <c r="A788" s="1647"/>
      <c r="B788" s="1627" t="s">
        <v>1507</v>
      </c>
      <c r="C788" s="1640">
        <v>382</v>
      </c>
      <c r="F788" s="1640">
        <v>1</v>
      </c>
      <c r="G788" s="1638" t="s">
        <v>226</v>
      </c>
      <c r="H788" s="1627" t="s">
        <v>1447</v>
      </c>
      <c r="I788" s="1690">
        <v>10</v>
      </c>
      <c r="J788" s="1627" t="s">
        <v>226</v>
      </c>
      <c r="K788" s="1640">
        <f t="shared" si="104"/>
        <v>10</v>
      </c>
      <c r="N788" s="1627" t="s">
        <v>249</v>
      </c>
      <c r="O788" s="1627" t="s">
        <v>1570</v>
      </c>
      <c r="W788" s="1634"/>
      <c r="AG788" s="1640" t="str">
        <f t="shared" si="98"/>
        <v>|</v>
      </c>
      <c r="AI788" s="1627" t="s">
        <v>1095</v>
      </c>
    </row>
    <row r="789" spans="1:35" ht="24" customHeight="1">
      <c r="A789" s="1647"/>
      <c r="B789" s="1627" t="s">
        <v>1514</v>
      </c>
      <c r="C789" s="1640">
        <v>505</v>
      </c>
      <c r="F789" s="1640">
        <v>19</v>
      </c>
      <c r="G789" s="1638" t="s">
        <v>154</v>
      </c>
      <c r="H789" s="1627" t="s">
        <v>1571</v>
      </c>
      <c r="I789" s="1690">
        <v>2</v>
      </c>
      <c r="J789" s="1632" t="s">
        <v>154</v>
      </c>
      <c r="K789" s="1640">
        <f t="shared" si="104"/>
        <v>38</v>
      </c>
      <c r="O789" s="1627" t="s">
        <v>1572</v>
      </c>
      <c r="R789" s="1627" t="s">
        <v>150</v>
      </c>
      <c r="W789" s="1634"/>
      <c r="AG789" s="1640" t="str">
        <f t="shared" si="98"/>
        <v>|</v>
      </c>
      <c r="AI789" s="1627" t="s">
        <v>1095</v>
      </c>
    </row>
    <row r="790" spans="1:35" ht="24" customHeight="1">
      <c r="A790" s="1647"/>
      <c r="B790" s="1627" t="s">
        <v>1510</v>
      </c>
      <c r="C790" s="1640">
        <v>140</v>
      </c>
      <c r="H790" s="1627" t="s">
        <v>1573</v>
      </c>
      <c r="O790" s="1627" t="s">
        <v>1574</v>
      </c>
      <c r="W790" s="1634"/>
      <c r="AG790" s="1640" t="str">
        <f t="shared" si="98"/>
        <v>|</v>
      </c>
      <c r="AI790" s="1627" t="s">
        <v>1095</v>
      </c>
    </row>
    <row r="791" spans="1:35" ht="24" customHeight="1">
      <c r="A791" s="1647"/>
      <c r="B791" s="1627" t="s">
        <v>1512</v>
      </c>
      <c r="C791" s="1640">
        <v>222</v>
      </c>
      <c r="K791" s="1636" t="s">
        <v>21</v>
      </c>
      <c r="O791" s="1636" t="s">
        <v>21</v>
      </c>
      <c r="W791" s="1634"/>
      <c r="AG791" s="1640" t="str">
        <f t="shared" si="98"/>
        <v>|</v>
      </c>
      <c r="AI791" s="1627" t="s">
        <v>1095</v>
      </c>
    </row>
    <row r="792" spans="1:35" ht="24" customHeight="1">
      <c r="A792" s="1647"/>
      <c r="B792" s="1627" t="s">
        <v>1575</v>
      </c>
      <c r="C792" s="1640">
        <v>100</v>
      </c>
      <c r="H792" s="1627" t="s">
        <v>238</v>
      </c>
      <c r="K792" s="1640">
        <f>SUM(K777:K790)</f>
        <v>12287.306599999998</v>
      </c>
      <c r="N792" s="1627" t="s">
        <v>533</v>
      </c>
      <c r="O792" s="1627" t="s">
        <v>1576</v>
      </c>
      <c r="P792" s="1640">
        <f>(C272)</f>
        <v>306.89999999999998</v>
      </c>
      <c r="Q792" s="1627" t="s">
        <v>533</v>
      </c>
      <c r="R792" s="1640">
        <f>M792*P792</f>
        <v>0</v>
      </c>
      <c r="W792" s="1634"/>
      <c r="AG792" s="1640" t="str">
        <f t="shared" si="98"/>
        <v>|</v>
      </c>
      <c r="AI792" s="1627" t="s">
        <v>1095</v>
      </c>
    </row>
    <row r="793" spans="1:35" ht="24" customHeight="1">
      <c r="A793" s="1647"/>
      <c r="B793" s="1627" t="s">
        <v>1577</v>
      </c>
      <c r="C793" s="1640">
        <v>75</v>
      </c>
      <c r="K793" s="1636" t="s">
        <v>21</v>
      </c>
      <c r="R793" s="1640"/>
      <c r="W793" s="1634"/>
      <c r="AG793" s="1640" t="str">
        <f t="shared" si="98"/>
        <v>|</v>
      </c>
      <c r="AI793" s="1627" t="s">
        <v>1095</v>
      </c>
    </row>
    <row r="794" spans="1:35" ht="24" customHeight="1">
      <c r="A794" s="1647"/>
      <c r="B794" s="1627" t="s">
        <v>1578</v>
      </c>
      <c r="C794" s="1640">
        <v>218</v>
      </c>
      <c r="H794" s="1627" t="s">
        <v>155</v>
      </c>
      <c r="K794" s="1640">
        <f>(K792/10)</f>
        <v>1228.7306599999997</v>
      </c>
      <c r="N794" s="1627" t="s">
        <v>1579</v>
      </c>
      <c r="O794" s="1627" t="s">
        <v>1580</v>
      </c>
      <c r="P794" s="1640">
        <f>(C16)</f>
        <v>1296.3999999999999</v>
      </c>
      <c r="Q794" s="1627" t="s">
        <v>1579</v>
      </c>
      <c r="R794" s="1640">
        <f>M794*P794</f>
        <v>0</v>
      </c>
      <c r="W794" s="1634"/>
      <c r="AG794" s="1640" t="str">
        <f t="shared" si="98"/>
        <v>|</v>
      </c>
      <c r="AI794" s="1627" t="s">
        <v>1095</v>
      </c>
    </row>
    <row r="795" spans="1:35" ht="24" customHeight="1">
      <c r="A795" s="1647"/>
      <c r="B795" s="1627" t="s">
        <v>1581</v>
      </c>
      <c r="C795" s="1640">
        <v>1854</v>
      </c>
      <c r="K795" s="1636" t="s">
        <v>156</v>
      </c>
      <c r="R795" s="1640"/>
      <c r="W795" s="1634"/>
      <c r="AG795" s="1640" t="str">
        <f t="shared" si="98"/>
        <v>|</v>
      </c>
      <c r="AI795" s="1627" t="s">
        <v>1095</v>
      </c>
    </row>
    <row r="796" spans="1:35" ht="24" customHeight="1">
      <c r="A796" s="1647"/>
      <c r="B796" s="1627" t="s">
        <v>1583</v>
      </c>
      <c r="C796" s="1640">
        <v>51</v>
      </c>
      <c r="O796" s="1627" t="s">
        <v>1584</v>
      </c>
      <c r="P796" s="1656" t="s">
        <v>226</v>
      </c>
      <c r="R796" s="1640">
        <v>0.64</v>
      </c>
      <c r="W796" s="1634"/>
      <c r="AG796" s="1640" t="str">
        <f t="shared" si="98"/>
        <v>|</v>
      </c>
      <c r="AI796" s="1627" t="s">
        <v>1095</v>
      </c>
    </row>
    <row r="797" spans="1:35" ht="24" customHeight="1">
      <c r="A797" s="1647"/>
      <c r="B797" s="1627" t="s">
        <v>1585</v>
      </c>
      <c r="C797" s="1640">
        <v>915</v>
      </c>
      <c r="F797" s="1628" t="s">
        <v>456</v>
      </c>
      <c r="G797" s="1638" t="s">
        <v>249</v>
      </c>
      <c r="H797" s="1627" t="s">
        <v>1537</v>
      </c>
      <c r="R797" s="1636" t="s">
        <v>21</v>
      </c>
      <c r="W797" s="1634"/>
      <c r="AG797" s="1640" t="str">
        <f t="shared" si="98"/>
        <v>|</v>
      </c>
      <c r="AI797" s="1627" t="s">
        <v>1095</v>
      </c>
    </row>
    <row r="798" spans="1:35" ht="24" customHeight="1">
      <c r="A798" s="1647"/>
      <c r="B798" s="1627" t="s">
        <v>1586</v>
      </c>
      <c r="C798" s="1640">
        <v>890</v>
      </c>
      <c r="H798" s="1627" t="s">
        <v>1540</v>
      </c>
      <c r="O798" s="1627" t="s">
        <v>1587</v>
      </c>
      <c r="R798" s="1640">
        <f>SUM(R792:R796)</f>
        <v>0.64</v>
      </c>
      <c r="W798" s="1634"/>
      <c r="AG798" s="1640" t="str">
        <f t="shared" si="98"/>
        <v>|</v>
      </c>
      <c r="AI798" s="1627" t="s">
        <v>1095</v>
      </c>
    </row>
    <row r="799" spans="1:35" ht="24" customHeight="1">
      <c r="A799" s="1647"/>
      <c r="B799" s="1627" t="s">
        <v>1588</v>
      </c>
      <c r="C799" s="1640">
        <v>5.15</v>
      </c>
      <c r="H799" s="1627" t="s">
        <v>1589</v>
      </c>
      <c r="R799" s="1636" t="s">
        <v>21</v>
      </c>
      <c r="U799" s="1661" t="s">
        <v>1590</v>
      </c>
      <c r="W799" s="1634"/>
      <c r="AG799" s="1640" t="str">
        <f t="shared" si="98"/>
        <v>|</v>
      </c>
      <c r="AI799" s="1627" t="s">
        <v>1095</v>
      </c>
    </row>
    <row r="800" spans="1:35" ht="24" customHeight="1">
      <c r="A800" s="1647"/>
      <c r="B800" s="1627" t="s">
        <v>1591</v>
      </c>
      <c r="C800" s="1640">
        <v>43.3</v>
      </c>
      <c r="H800" s="1636" t="s">
        <v>21</v>
      </c>
      <c r="O800" s="1627" t="s">
        <v>1592</v>
      </c>
      <c r="R800" s="1640">
        <f>(R798/0.4)</f>
        <v>1.5999999999999999</v>
      </c>
      <c r="S800" s="1633">
        <v>0.443</v>
      </c>
      <c r="T800" s="1629" t="s">
        <v>276</v>
      </c>
      <c r="U800" s="1629" t="s">
        <v>1593</v>
      </c>
      <c r="V800" s="1629">
        <f>AE14</f>
        <v>2446.7200000000003</v>
      </c>
      <c r="W800" s="1634"/>
      <c r="X800" s="1629">
        <f>V800*S800</f>
        <v>1083.89696</v>
      </c>
      <c r="AG800" s="1640" t="str">
        <f t="shared" si="98"/>
        <v>|</v>
      </c>
      <c r="AI800" s="1627" t="s">
        <v>1095</v>
      </c>
    </row>
    <row r="801" spans="1:35" ht="24" customHeight="1">
      <c r="A801" s="1647"/>
      <c r="B801" s="1627" t="s">
        <v>1594</v>
      </c>
      <c r="C801" s="1640">
        <v>920</v>
      </c>
      <c r="H801" s="1627" t="s">
        <v>1595</v>
      </c>
      <c r="K801" s="1640">
        <f>(K732/2)</f>
        <v>593.99199999999996</v>
      </c>
      <c r="R801" s="1636" t="s">
        <v>156</v>
      </c>
      <c r="S801" s="1633">
        <v>0.29499999999999998</v>
      </c>
      <c r="T801" s="1629" t="s">
        <v>276</v>
      </c>
      <c r="U801" s="1629" t="s">
        <v>1596</v>
      </c>
      <c r="V801" s="1629">
        <f>AE12</f>
        <v>1980.72</v>
      </c>
      <c r="W801" s="1634"/>
      <c r="X801" s="1629">
        <f t="shared" ref="X801:X807" si="105">V801*S801</f>
        <v>584.31240000000003</v>
      </c>
      <c r="AG801" s="1640" t="str">
        <f t="shared" si="98"/>
        <v>|</v>
      </c>
      <c r="AI801" s="1627" t="s">
        <v>1095</v>
      </c>
    </row>
    <row r="802" spans="1:35" ht="24" customHeight="1">
      <c r="A802" s="1647"/>
      <c r="B802" s="1627" t="s">
        <v>1597</v>
      </c>
      <c r="C802" s="1640">
        <v>98</v>
      </c>
      <c r="H802" s="1627" t="s">
        <v>1598</v>
      </c>
      <c r="K802" s="1636" t="s">
        <v>156</v>
      </c>
      <c r="N802" s="1627"/>
      <c r="O802" s="1627"/>
      <c r="S802" s="1633">
        <v>0.43</v>
      </c>
      <c r="T802" s="1629" t="s">
        <v>276</v>
      </c>
      <c r="U802" s="1629" t="s">
        <v>1600</v>
      </c>
      <c r="V802" s="1629">
        <f>I809</f>
        <v>2265.5</v>
      </c>
      <c r="W802" s="1634"/>
      <c r="X802" s="1629">
        <f t="shared" si="105"/>
        <v>974.16499999999996</v>
      </c>
      <c r="AG802" s="1640" t="str">
        <f t="shared" si="98"/>
        <v>|</v>
      </c>
      <c r="AI802" s="1627" t="s">
        <v>1095</v>
      </c>
    </row>
    <row r="803" spans="1:35" ht="24" customHeight="1">
      <c r="A803" s="1647"/>
      <c r="B803" s="1627" t="s">
        <v>1601</v>
      </c>
      <c r="C803" s="1640">
        <v>181</v>
      </c>
      <c r="F803" s="1628" t="s">
        <v>1294</v>
      </c>
      <c r="G803" s="1638" t="s">
        <v>249</v>
      </c>
      <c r="H803" s="1627" t="s">
        <v>1602</v>
      </c>
      <c r="O803" s="1627"/>
      <c r="S803" s="1633">
        <v>0.39</v>
      </c>
      <c r="T803" s="1629" t="s">
        <v>277</v>
      </c>
      <c r="U803" s="1629" t="s">
        <v>278</v>
      </c>
      <c r="V803" s="1629">
        <f>I808</f>
        <v>6040</v>
      </c>
      <c r="W803" s="1634"/>
      <c r="X803" s="1629">
        <f t="shared" si="105"/>
        <v>2355.6</v>
      </c>
      <c r="AG803" s="1640" t="str">
        <f t="shared" si="98"/>
        <v>|</v>
      </c>
      <c r="AI803" s="1627" t="s">
        <v>1095</v>
      </c>
    </row>
    <row r="804" spans="1:35" ht="24" customHeight="1">
      <c r="A804" s="1647"/>
      <c r="B804" s="1627" t="s">
        <v>1604</v>
      </c>
      <c r="C804" s="1640">
        <v>1148.76</v>
      </c>
      <c r="H804" s="1627" t="s">
        <v>1296</v>
      </c>
      <c r="O804" s="1627"/>
      <c r="S804" s="1633">
        <v>0.35</v>
      </c>
      <c r="T804" s="1629" t="s">
        <v>154</v>
      </c>
      <c r="U804" s="1629" t="s">
        <v>280</v>
      </c>
      <c r="V804" s="1629">
        <f>I810</f>
        <v>1237.5999999999999</v>
      </c>
      <c r="W804" s="1634" t="str">
        <f>J810</f>
        <v>NO.</v>
      </c>
      <c r="X804" s="1629">
        <f t="shared" si="105"/>
        <v>433.15999999999997</v>
      </c>
      <c r="AG804" s="1640" t="str">
        <f t="shared" si="98"/>
        <v>|</v>
      </c>
      <c r="AI804" s="1627" t="s">
        <v>1095</v>
      </c>
    </row>
    <row r="805" spans="1:35" ht="24" customHeight="1">
      <c r="A805" s="1647"/>
      <c r="B805" s="1627" t="s">
        <v>1606</v>
      </c>
      <c r="C805" s="1640">
        <v>967</v>
      </c>
      <c r="H805" s="1627" t="s">
        <v>1299</v>
      </c>
      <c r="O805" s="1636"/>
      <c r="S805" s="1633">
        <v>2.12</v>
      </c>
      <c r="T805" s="1629" t="s">
        <v>154</v>
      </c>
      <c r="U805" s="1629" t="s">
        <v>281</v>
      </c>
      <c r="V805" s="1629">
        <f>I811</f>
        <v>865.19999999999993</v>
      </c>
      <c r="W805" s="1634"/>
      <c r="X805" s="1629">
        <f t="shared" si="105"/>
        <v>1834.2239999999999</v>
      </c>
      <c r="AG805" s="1640" t="str">
        <f t="shared" si="98"/>
        <v>|</v>
      </c>
      <c r="AI805" s="1627" t="s">
        <v>1095</v>
      </c>
    </row>
    <row r="806" spans="1:35" ht="24" customHeight="1">
      <c r="A806" s="1647"/>
      <c r="B806" s="1627" t="s">
        <v>5626</v>
      </c>
      <c r="C806" s="1690">
        <v>33.9</v>
      </c>
      <c r="H806" s="1636" t="s">
        <v>21</v>
      </c>
      <c r="N806" s="1656"/>
      <c r="O806" s="1627"/>
      <c r="S806" s="1633">
        <v>3.53</v>
      </c>
      <c r="T806" s="1629" t="s">
        <v>154</v>
      </c>
      <c r="U806" s="1629" t="s">
        <v>282</v>
      </c>
      <c r="V806" s="1629">
        <f>I812</f>
        <v>709.8</v>
      </c>
      <c r="W806" s="1634"/>
      <c r="X806" s="1629">
        <f t="shared" si="105"/>
        <v>2505.5939999999996</v>
      </c>
      <c r="AG806" s="1640" t="str">
        <f t="shared" si="98"/>
        <v>|</v>
      </c>
      <c r="AI806" s="1627" t="s">
        <v>1095</v>
      </c>
    </row>
    <row r="807" spans="1:35" ht="24" customHeight="1">
      <c r="A807" s="1647"/>
      <c r="B807" s="1627" t="s">
        <v>1609</v>
      </c>
      <c r="C807" s="1640">
        <v>2107</v>
      </c>
      <c r="F807" s="1658">
        <v>9</v>
      </c>
      <c r="G807" s="1638" t="s">
        <v>151</v>
      </c>
      <c r="H807" s="1627" t="s">
        <v>1610</v>
      </c>
      <c r="I807" s="1640">
        <f>C73</f>
        <v>2446.7200000000003</v>
      </c>
      <c r="J807" s="1627" t="s">
        <v>151</v>
      </c>
      <c r="K807" s="1640">
        <f t="shared" ref="K807:K812" si="106">F807*I807</f>
        <v>22020.480000000003</v>
      </c>
      <c r="O807" s="1627"/>
      <c r="S807" s="1633">
        <v>1</v>
      </c>
      <c r="T807" s="1629" t="s">
        <v>276</v>
      </c>
      <c r="U807" s="1629" t="s">
        <v>1612</v>
      </c>
      <c r="V807" s="1629">
        <f>K819</f>
        <v>125.16</v>
      </c>
      <c r="W807" s="1634"/>
      <c r="X807" s="1629">
        <f t="shared" si="105"/>
        <v>125.16</v>
      </c>
      <c r="AG807" s="1640" t="str">
        <f t="shared" si="98"/>
        <v>|</v>
      </c>
      <c r="AI807" s="1627" t="s">
        <v>1095</v>
      </c>
    </row>
    <row r="808" spans="1:35" ht="24" customHeight="1">
      <c r="A808" s="1647"/>
      <c r="B808" s="1627" t="s">
        <v>5627</v>
      </c>
      <c r="C808" s="1640">
        <v>940</v>
      </c>
      <c r="F808" s="1658">
        <v>4.3079999999999998</v>
      </c>
      <c r="G808" s="1638" t="s">
        <v>251</v>
      </c>
      <c r="H808" s="1627" t="s">
        <v>252</v>
      </c>
      <c r="I808" s="1640">
        <f>C67</f>
        <v>6040</v>
      </c>
      <c r="J808" s="1627" t="s">
        <v>251</v>
      </c>
      <c r="K808" s="1640">
        <f t="shared" si="106"/>
        <v>26020.32</v>
      </c>
      <c r="N808" s="1627"/>
      <c r="O808" s="1627"/>
      <c r="P808" s="1640"/>
      <c r="R808" s="1640"/>
      <c r="S808" s="1704" t="s">
        <v>287</v>
      </c>
      <c r="U808" s="1629" t="s">
        <v>1615</v>
      </c>
      <c r="V808" s="1704" t="s">
        <v>287</v>
      </c>
      <c r="W808" s="1634"/>
      <c r="X808" s="1629">
        <v>270</v>
      </c>
      <c r="AG808" s="1640" t="str">
        <f t="shared" si="98"/>
        <v>|</v>
      </c>
      <c r="AI808" s="1627" t="s">
        <v>1095</v>
      </c>
    </row>
    <row r="809" spans="1:35" ht="24" customHeight="1">
      <c r="A809" s="1647"/>
      <c r="B809" s="1627" t="s">
        <v>1616</v>
      </c>
      <c r="C809" s="1640">
        <v>783</v>
      </c>
      <c r="F809" s="1658">
        <v>4.5</v>
      </c>
      <c r="G809" s="1638" t="s">
        <v>151</v>
      </c>
      <c r="H809" s="1627" t="s">
        <v>253</v>
      </c>
      <c r="I809" s="1640">
        <f>C78</f>
        <v>2265.5</v>
      </c>
      <c r="J809" s="1627" t="s">
        <v>151</v>
      </c>
      <c r="K809" s="1640">
        <f t="shared" si="106"/>
        <v>10194.75</v>
      </c>
      <c r="O809" s="1627"/>
      <c r="S809" s="1704" t="s">
        <v>287</v>
      </c>
      <c r="U809" s="1629" t="s">
        <v>1618</v>
      </c>
      <c r="V809" s="1704" t="s">
        <v>287</v>
      </c>
      <c r="W809" s="1634"/>
      <c r="X809" s="1629">
        <v>150</v>
      </c>
      <c r="AG809" s="1640" t="str">
        <f t="shared" si="98"/>
        <v>|</v>
      </c>
      <c r="AI809" s="1627" t="s">
        <v>1095</v>
      </c>
    </row>
    <row r="810" spans="1:35" ht="24" customHeight="1">
      <c r="A810" s="1647"/>
      <c r="B810" s="1627" t="s">
        <v>1619</v>
      </c>
      <c r="C810" s="1640">
        <v>611</v>
      </c>
      <c r="F810" s="1658">
        <v>3.5</v>
      </c>
      <c r="G810" s="1638" t="s">
        <v>153</v>
      </c>
      <c r="H810" s="1627" t="s">
        <v>234</v>
      </c>
      <c r="I810" s="1640">
        <f>C11</f>
        <v>1237.5999999999999</v>
      </c>
      <c r="J810" s="1627" t="s">
        <v>153</v>
      </c>
      <c r="K810" s="1640">
        <f t="shared" si="106"/>
        <v>4331.5999999999995</v>
      </c>
      <c r="O810" s="1627"/>
      <c r="S810" s="1704" t="s">
        <v>287</v>
      </c>
      <c r="U810" s="1629" t="s">
        <v>337</v>
      </c>
      <c r="V810" s="1704" t="s">
        <v>287</v>
      </c>
      <c r="W810" s="1634"/>
      <c r="X810" s="1629">
        <v>0.06</v>
      </c>
      <c r="AG810" s="1640" t="str">
        <f t="shared" si="98"/>
        <v>|</v>
      </c>
      <c r="AI810" s="1627" t="s">
        <v>1095</v>
      </c>
    </row>
    <row r="811" spans="1:35" ht="24" customHeight="1">
      <c r="A811" s="1647"/>
      <c r="F811" s="1658">
        <v>21.2</v>
      </c>
      <c r="G811" s="1638" t="s">
        <v>153</v>
      </c>
      <c r="H811" s="1627" t="s">
        <v>235</v>
      </c>
      <c r="I811" s="1640">
        <f>C12</f>
        <v>865.19999999999993</v>
      </c>
      <c r="J811" s="1627" t="s">
        <v>153</v>
      </c>
      <c r="K811" s="1640">
        <f t="shared" si="106"/>
        <v>18342.239999999998</v>
      </c>
      <c r="N811" s="1627"/>
      <c r="O811" s="1627"/>
      <c r="P811" s="1640"/>
      <c r="R811" s="1640"/>
      <c r="W811" s="1634"/>
      <c r="X811" s="1661">
        <f>SUM(X800:X810)</f>
        <v>10316.172359999999</v>
      </c>
      <c r="Y811" s="1661"/>
      <c r="Z811" s="1629">
        <v>59.4</v>
      </c>
      <c r="AA811" s="1629">
        <v>117</v>
      </c>
      <c r="AG811" s="1640" t="str">
        <f t="shared" si="98"/>
        <v>|</v>
      </c>
      <c r="AI811" s="1627" t="s">
        <v>1095</v>
      </c>
    </row>
    <row r="812" spans="1:35" ht="24" customHeight="1">
      <c r="A812" s="1647"/>
      <c r="B812" s="1627" t="s">
        <v>1622</v>
      </c>
      <c r="C812" s="1629">
        <v>3.15</v>
      </c>
      <c r="F812" s="1658">
        <v>35.299999999999997</v>
      </c>
      <c r="G812" s="1638" t="s">
        <v>153</v>
      </c>
      <c r="H812" s="1627" t="s">
        <v>236</v>
      </c>
      <c r="I812" s="1640">
        <f>C13</f>
        <v>709.8</v>
      </c>
      <c r="J812" s="1627" t="s">
        <v>153</v>
      </c>
      <c r="K812" s="1640">
        <f t="shared" si="106"/>
        <v>25055.939999999995</v>
      </c>
      <c r="N812" s="1627"/>
      <c r="O812" s="1627"/>
      <c r="P812" s="1640"/>
      <c r="R812" s="1640"/>
      <c r="W812" s="1634"/>
      <c r="AG812" s="1640" t="str">
        <f t="shared" si="98"/>
        <v>|</v>
      </c>
      <c r="AI812" s="1627" t="s">
        <v>1095</v>
      </c>
    </row>
    <row r="813" spans="1:35" ht="24" customHeight="1">
      <c r="A813" s="1647"/>
      <c r="F813" s="1656" t="s">
        <v>226</v>
      </c>
      <c r="H813" s="1627" t="s">
        <v>237</v>
      </c>
      <c r="J813" s="1627" t="s">
        <v>226</v>
      </c>
      <c r="K813" s="1640">
        <v>0</v>
      </c>
      <c r="N813" s="1627"/>
      <c r="O813" s="1627"/>
      <c r="P813" s="1640"/>
      <c r="R813" s="1640"/>
      <c r="W813" s="1634"/>
      <c r="AG813" s="1640" t="str">
        <f t="shared" ref="AG813:AG876" si="107">AI813</f>
        <v>|</v>
      </c>
      <c r="AI813" s="1627" t="s">
        <v>1095</v>
      </c>
    </row>
    <row r="814" spans="1:35" ht="24" customHeight="1">
      <c r="A814" s="1647"/>
      <c r="B814" s="1627" t="s">
        <v>1625</v>
      </c>
      <c r="C814" s="1629">
        <v>8.5</v>
      </c>
      <c r="K814" s="1636" t="s">
        <v>21</v>
      </c>
      <c r="N814" s="1627"/>
      <c r="O814" s="1627"/>
      <c r="P814" s="1640"/>
      <c r="R814" s="1640"/>
      <c r="U814" s="1661" t="s">
        <v>1627</v>
      </c>
      <c r="W814" s="1634"/>
      <c r="AG814" s="1640" t="str">
        <f t="shared" si="107"/>
        <v>|</v>
      </c>
      <c r="AI814" s="1627" t="s">
        <v>1095</v>
      </c>
    </row>
    <row r="815" spans="1:35" ht="24" customHeight="1">
      <c r="A815" s="1647"/>
      <c r="B815" s="1627" t="s">
        <v>1628</v>
      </c>
      <c r="C815" s="1629">
        <v>21.1</v>
      </c>
      <c r="H815" s="1628" t="s">
        <v>263</v>
      </c>
      <c r="K815" s="1640">
        <f>SUM(K807:K813)</f>
        <v>105965.32999999999</v>
      </c>
      <c r="N815" s="1627"/>
      <c r="O815" s="1627"/>
      <c r="P815" s="1640"/>
      <c r="R815" s="1640"/>
      <c r="S815" s="1633">
        <v>0.45300000000000001</v>
      </c>
      <c r="T815" s="1629" t="s">
        <v>276</v>
      </c>
      <c r="U815" s="1629" t="s">
        <v>1593</v>
      </c>
      <c r="V815" s="1629">
        <f>V800</f>
        <v>2446.7200000000003</v>
      </c>
      <c r="W815" s="1634"/>
      <c r="X815" s="1629">
        <f>V815*S815</f>
        <v>1108.3641600000001</v>
      </c>
      <c r="AA815" s="1629">
        <f>X826+Z811</f>
        <v>10315.8696</v>
      </c>
      <c r="AG815" s="1640" t="str">
        <f t="shared" si="107"/>
        <v>|</v>
      </c>
      <c r="AI815" s="1627" t="s">
        <v>1095</v>
      </c>
    </row>
    <row r="816" spans="1:35" ht="24" customHeight="1">
      <c r="A816" s="1647"/>
      <c r="C816" s="1629" t="s">
        <v>1630</v>
      </c>
      <c r="K816" s="1636" t="s">
        <v>156</v>
      </c>
      <c r="N816" s="1627"/>
      <c r="O816" s="1627"/>
      <c r="P816" s="1640"/>
      <c r="R816" s="1640"/>
      <c r="S816" s="1633">
        <v>0.30199999999999999</v>
      </c>
      <c r="T816" s="1629" t="s">
        <v>276</v>
      </c>
      <c r="U816" s="1629" t="s">
        <v>1596</v>
      </c>
      <c r="V816" s="1629">
        <f t="shared" ref="V816:V825" si="108">V801</f>
        <v>1980.72</v>
      </c>
      <c r="W816" s="1634"/>
      <c r="X816" s="1629">
        <f t="shared" ref="X816:X822" si="109">V816*S816</f>
        <v>598.17743999999993</v>
      </c>
      <c r="AA816" s="1629">
        <f>AA815+AA811</f>
        <v>10432.8696</v>
      </c>
      <c r="AG816" s="1640" t="str">
        <f t="shared" si="107"/>
        <v>|</v>
      </c>
      <c r="AI816" s="1627" t="s">
        <v>1095</v>
      </c>
    </row>
    <row r="817" spans="1:35" ht="24" customHeight="1">
      <c r="A817" s="1647"/>
      <c r="H817" s="1627" t="s">
        <v>270</v>
      </c>
      <c r="K817" s="1640">
        <f>K815/10</f>
        <v>10596.532999999999</v>
      </c>
      <c r="N817" s="1627"/>
      <c r="O817" s="1627"/>
      <c r="P817" s="1640"/>
      <c r="R817" s="1640"/>
      <c r="S817" s="1633">
        <v>0.44</v>
      </c>
      <c r="T817" s="1629" t="s">
        <v>276</v>
      </c>
      <c r="U817" s="1629" t="s">
        <v>1600</v>
      </c>
      <c r="V817" s="1629">
        <f t="shared" si="108"/>
        <v>2265.5</v>
      </c>
      <c r="W817" s="1634"/>
      <c r="X817" s="1629">
        <f t="shared" si="109"/>
        <v>996.82</v>
      </c>
      <c r="AA817" s="1629">
        <f>AA816+AA811</f>
        <v>10549.8696</v>
      </c>
      <c r="AG817" s="1640" t="str">
        <f t="shared" si="107"/>
        <v>|</v>
      </c>
      <c r="AI817" s="1627" t="s">
        <v>1095</v>
      </c>
    </row>
    <row r="818" spans="1:35" ht="24" customHeight="1">
      <c r="A818" s="1647"/>
      <c r="R818" s="1640"/>
      <c r="S818" s="1633">
        <v>0.37</v>
      </c>
      <c r="T818" s="1629" t="s">
        <v>277</v>
      </c>
      <c r="U818" s="1629" t="s">
        <v>278</v>
      </c>
      <c r="V818" s="1629">
        <f t="shared" si="108"/>
        <v>6040</v>
      </c>
      <c r="W818" s="1634"/>
      <c r="X818" s="1629">
        <f t="shared" si="109"/>
        <v>2234.8000000000002</v>
      </c>
      <c r="AA818" s="1629">
        <f>AA817+AA811</f>
        <v>10666.8696</v>
      </c>
      <c r="AG818" s="1640" t="str">
        <f t="shared" si="107"/>
        <v>|</v>
      </c>
      <c r="AI818" s="1627" t="s">
        <v>1095</v>
      </c>
    </row>
    <row r="819" spans="1:35" ht="24" customHeight="1">
      <c r="A819" s="1647"/>
      <c r="F819" s="1640">
        <v>1</v>
      </c>
      <c r="G819" s="1638" t="s">
        <v>151</v>
      </c>
      <c r="H819" s="1627" t="s">
        <v>943</v>
      </c>
      <c r="I819" s="1640">
        <f>C25</f>
        <v>125.16</v>
      </c>
      <c r="K819" s="1640">
        <f>F819*I819</f>
        <v>125.16</v>
      </c>
      <c r="R819" s="1636"/>
      <c r="S819" s="1633">
        <v>0.35</v>
      </c>
      <c r="T819" s="1629" t="s">
        <v>154</v>
      </c>
      <c r="U819" s="1629" t="s">
        <v>280</v>
      </c>
      <c r="V819" s="1629">
        <f t="shared" si="108"/>
        <v>1237.5999999999999</v>
      </c>
      <c r="W819" s="1634">
        <f>J825</f>
        <v>0</v>
      </c>
      <c r="X819" s="1629">
        <f t="shared" si="109"/>
        <v>433.15999999999997</v>
      </c>
      <c r="AA819" s="1629">
        <f>AA811+AA818</f>
        <v>10783.8696</v>
      </c>
      <c r="AG819" s="1640" t="str">
        <f t="shared" si="107"/>
        <v>|</v>
      </c>
      <c r="AI819" s="1627" t="s">
        <v>1095</v>
      </c>
    </row>
    <row r="820" spans="1:35" ht="24" customHeight="1">
      <c r="A820" s="1647"/>
      <c r="K820" s="1636" t="s">
        <v>21</v>
      </c>
      <c r="O820" s="1628"/>
      <c r="R820" s="1640"/>
      <c r="S820" s="1633">
        <v>2.12</v>
      </c>
      <c r="T820" s="1629" t="s">
        <v>154</v>
      </c>
      <c r="U820" s="1629" t="s">
        <v>281</v>
      </c>
      <c r="V820" s="1629">
        <f t="shared" si="108"/>
        <v>865.19999999999993</v>
      </c>
      <c r="W820" s="1634"/>
      <c r="X820" s="1629">
        <f t="shared" si="109"/>
        <v>1834.2239999999999</v>
      </c>
      <c r="AA820" s="1629">
        <f>AA811+AA819</f>
        <v>10900.8696</v>
      </c>
      <c r="AG820" s="1640" t="str">
        <f t="shared" si="107"/>
        <v>|</v>
      </c>
      <c r="AI820" s="1627" t="s">
        <v>1095</v>
      </c>
    </row>
    <row r="821" spans="1:35" ht="24" customHeight="1">
      <c r="K821" s="1640">
        <f>SUM(K817:K819)</f>
        <v>10721.692999999999</v>
      </c>
      <c r="S821" s="1633">
        <v>3.53</v>
      </c>
      <c r="T821" s="1629" t="s">
        <v>154</v>
      </c>
      <c r="U821" s="1629" t="s">
        <v>282</v>
      </c>
      <c r="V821" s="1629">
        <f t="shared" si="108"/>
        <v>709.8</v>
      </c>
      <c r="W821" s="1634"/>
      <c r="X821" s="1629">
        <f t="shared" si="109"/>
        <v>2505.5939999999996</v>
      </c>
      <c r="AA821" s="1629">
        <f>AA811+AA820</f>
        <v>11017.8696</v>
      </c>
      <c r="AG821" s="1640" t="str">
        <f t="shared" si="107"/>
        <v>|</v>
      </c>
      <c r="AI821" s="1627" t="s">
        <v>1095</v>
      </c>
    </row>
    <row r="822" spans="1:35" ht="24" customHeight="1">
      <c r="A822" s="1647"/>
      <c r="K822" s="1636" t="s">
        <v>21</v>
      </c>
      <c r="R822" s="1636"/>
      <c r="S822" s="1633">
        <v>1</v>
      </c>
      <c r="T822" s="1629" t="s">
        <v>276</v>
      </c>
      <c r="U822" s="1629" t="s">
        <v>1612</v>
      </c>
      <c r="V822" s="1629">
        <f t="shared" si="108"/>
        <v>125.16</v>
      </c>
      <c r="W822" s="1634"/>
      <c r="X822" s="1629">
        <f t="shared" si="109"/>
        <v>125.16</v>
      </c>
      <c r="AA822" s="1629">
        <f>AA811+AA821</f>
        <v>11134.8696</v>
      </c>
      <c r="AG822" s="1640" t="str">
        <f t="shared" si="107"/>
        <v>|</v>
      </c>
      <c r="AI822" s="1627" t="s">
        <v>1095</v>
      </c>
    </row>
    <row r="823" spans="1:35" ht="24" customHeight="1">
      <c r="A823" s="1647"/>
      <c r="H823" s="1627" t="s">
        <v>271</v>
      </c>
      <c r="K823" s="1639">
        <f>(K821+C22)</f>
        <v>10880.733</v>
      </c>
      <c r="S823" s="1704" t="s">
        <v>287</v>
      </c>
      <c r="U823" s="1629" t="s">
        <v>1615</v>
      </c>
      <c r="V823" s="1694" t="str">
        <f t="shared" si="108"/>
        <v>LS</v>
      </c>
      <c r="W823" s="1634"/>
      <c r="X823" s="1629">
        <v>270</v>
      </c>
      <c r="AA823" s="1629">
        <f>AA811+AA822</f>
        <v>11251.8696</v>
      </c>
      <c r="AG823" s="1640" t="str">
        <f t="shared" si="107"/>
        <v>|</v>
      </c>
      <c r="AI823" s="1627" t="s">
        <v>1095</v>
      </c>
    </row>
    <row r="824" spans="1:35" ht="24" customHeight="1">
      <c r="A824" s="1647"/>
      <c r="H824" s="1627" t="s">
        <v>272</v>
      </c>
      <c r="K824" s="1639">
        <f>(K823+C23)</f>
        <v>11194.053</v>
      </c>
      <c r="N824" s="1627"/>
      <c r="O824" s="1627"/>
      <c r="S824" s="1704" t="s">
        <v>287</v>
      </c>
      <c r="U824" s="1629" t="s">
        <v>1618</v>
      </c>
      <c r="V824" s="1694" t="str">
        <f t="shared" si="108"/>
        <v>LS</v>
      </c>
      <c r="W824" s="1634"/>
      <c r="X824" s="1629">
        <v>150</v>
      </c>
      <c r="AA824" s="1629">
        <f>AA811+AA823</f>
        <v>11368.8696</v>
      </c>
      <c r="AG824" s="1640" t="str">
        <f t="shared" si="107"/>
        <v>|</v>
      </c>
      <c r="AI824" s="1627" t="s">
        <v>1095</v>
      </c>
    </row>
    <row r="825" spans="1:35" ht="24" customHeight="1">
      <c r="A825" s="1647"/>
      <c r="H825" s="1627" t="s">
        <v>767</v>
      </c>
      <c r="K825" s="1639">
        <f>(K824+C24)</f>
        <v>11507.373</v>
      </c>
      <c r="O825" s="1627"/>
      <c r="S825" s="1704" t="s">
        <v>287</v>
      </c>
      <c r="U825" s="1629" t="s">
        <v>337</v>
      </c>
      <c r="V825" s="1694" t="str">
        <f t="shared" si="108"/>
        <v>LS</v>
      </c>
      <c r="W825" s="1634"/>
      <c r="X825" s="1629">
        <v>0.17</v>
      </c>
      <c r="AG825" s="1640" t="str">
        <f t="shared" si="107"/>
        <v>|</v>
      </c>
      <c r="AI825" s="1627" t="s">
        <v>1095</v>
      </c>
    </row>
    <row r="826" spans="1:35" ht="24" customHeight="1">
      <c r="A826" s="1647"/>
      <c r="H826" s="1627" t="s">
        <v>769</v>
      </c>
      <c r="K826" s="1639">
        <f>(K825+C24)</f>
        <v>11820.692999999999</v>
      </c>
      <c r="N826" s="1627"/>
      <c r="O826" s="1627"/>
      <c r="P826" s="1640"/>
      <c r="R826" s="1640"/>
      <c r="W826" s="1634"/>
      <c r="X826" s="1661">
        <f>SUM(X815:X825)</f>
        <v>10256.4696</v>
      </c>
      <c r="Y826" s="1661"/>
      <c r="AG826" s="1640" t="str">
        <f t="shared" si="107"/>
        <v>|</v>
      </c>
      <c r="AI826" s="1627" t="s">
        <v>1095</v>
      </c>
    </row>
    <row r="827" spans="1:35" ht="24" customHeight="1">
      <c r="H827" s="1627" t="s">
        <v>838</v>
      </c>
      <c r="K827" s="1639">
        <f>(K826+C24)</f>
        <v>12134.012999999999</v>
      </c>
      <c r="O827" s="1627"/>
      <c r="W827" s="1634"/>
      <c r="AG827" s="1640" t="str">
        <f t="shared" si="107"/>
        <v>|</v>
      </c>
      <c r="AI827" s="1627" t="s">
        <v>1095</v>
      </c>
    </row>
    <row r="828" spans="1:35" ht="24" customHeight="1">
      <c r="H828" s="1627">
        <v>5</v>
      </c>
      <c r="K828" s="1639">
        <f>(K827+C24)</f>
        <v>12447.332999999999</v>
      </c>
      <c r="O828" s="1627"/>
      <c r="W828" s="1634"/>
      <c r="AG828" s="1640">
        <f>SUM(AG681:AG685)</f>
        <v>8206.1</v>
      </c>
      <c r="AI828" s="1627"/>
    </row>
    <row r="829" spans="1:35" ht="24" customHeight="1">
      <c r="H829" s="1627">
        <v>6</v>
      </c>
      <c r="K829" s="1639">
        <f>(K828+C24)</f>
        <v>12760.652999999998</v>
      </c>
      <c r="O829" s="1627"/>
      <c r="W829" s="1634"/>
      <c r="AG829" s="1640"/>
      <c r="AI829" s="1627"/>
    </row>
    <row r="830" spans="1:35" ht="24" customHeight="1">
      <c r="H830" s="1627">
        <v>7</v>
      </c>
      <c r="K830" s="1639">
        <f>(K829+C24)</f>
        <v>13073.972999999998</v>
      </c>
      <c r="O830" s="1627"/>
      <c r="W830" s="1634"/>
      <c r="AG830" s="1640"/>
      <c r="AI830" s="1627"/>
    </row>
    <row r="831" spans="1:35" ht="24" customHeight="1">
      <c r="H831" s="1627">
        <v>8</v>
      </c>
      <c r="K831" s="1639">
        <f>(K830+C24)</f>
        <v>13387.292999999998</v>
      </c>
      <c r="O831" s="1627"/>
      <c r="W831" s="1634"/>
      <c r="AG831" s="1640"/>
      <c r="AI831" s="1627"/>
    </row>
    <row r="832" spans="1:35" ht="24" customHeight="1">
      <c r="H832" s="1627">
        <v>9</v>
      </c>
      <c r="K832" s="1639">
        <f>(K831+C24)</f>
        <v>13700.612999999998</v>
      </c>
      <c r="O832" s="1627"/>
      <c r="W832" s="1634"/>
      <c r="AG832" s="1640"/>
      <c r="AI832" s="1627"/>
    </row>
    <row r="833" spans="6:35" ht="24" customHeight="1">
      <c r="H833" s="1627">
        <v>10</v>
      </c>
      <c r="K833" s="1639">
        <f>(K832+C24)</f>
        <v>14013.932999999997</v>
      </c>
      <c r="O833" s="1627"/>
      <c r="W833" s="1634"/>
      <c r="AG833" s="1640"/>
      <c r="AI833" s="1627"/>
    </row>
    <row r="834" spans="6:35" ht="24" customHeight="1">
      <c r="H834" s="1627">
        <v>11</v>
      </c>
      <c r="K834" s="1639">
        <f>(K833+C24)</f>
        <v>14327.252999999997</v>
      </c>
      <c r="O834" s="1627"/>
      <c r="W834" s="1634"/>
      <c r="AG834" s="1640"/>
      <c r="AI834" s="1627"/>
    </row>
    <row r="835" spans="6:35" ht="24" customHeight="1">
      <c r="H835" s="1627">
        <v>12</v>
      </c>
      <c r="K835" s="1639">
        <f>(K834+C24)</f>
        <v>14640.572999999997</v>
      </c>
      <c r="O835" s="1627"/>
      <c r="W835" s="1634"/>
      <c r="AG835" s="1640"/>
      <c r="AI835" s="1627"/>
    </row>
    <row r="836" spans="6:35" ht="24" customHeight="1">
      <c r="H836" s="1627"/>
      <c r="K836" s="1639"/>
      <c r="O836" s="1627"/>
      <c r="W836" s="1634"/>
      <c r="AG836" s="1640"/>
      <c r="AI836" s="1627"/>
    </row>
    <row r="837" spans="6:35" ht="24" customHeight="1">
      <c r="F837" s="1627" t="s">
        <v>150</v>
      </c>
      <c r="O837" s="1627"/>
      <c r="W837" s="1634"/>
      <c r="AG837" s="1640" t="str">
        <f t="shared" si="107"/>
        <v>|</v>
      </c>
      <c r="AI837" s="1627" t="s">
        <v>1095</v>
      </c>
    </row>
    <row r="838" spans="6:35" ht="24" customHeight="1">
      <c r="F838" s="1627" t="s">
        <v>150</v>
      </c>
      <c r="G838" s="1638" t="s">
        <v>249</v>
      </c>
      <c r="H838" s="1628" t="s">
        <v>1635</v>
      </c>
      <c r="N838" s="1627"/>
      <c r="O838" s="1627"/>
      <c r="P838" s="1640"/>
      <c r="R838" s="1640"/>
      <c r="W838" s="1634"/>
      <c r="AG838" s="1640" t="str">
        <f t="shared" si="107"/>
        <v>|</v>
      </c>
      <c r="AI838" s="1627" t="s">
        <v>1095</v>
      </c>
    </row>
    <row r="839" spans="6:35" ht="24" customHeight="1">
      <c r="H839" s="1636" t="s">
        <v>156</v>
      </c>
      <c r="N839" s="1627"/>
      <c r="O839" s="1627"/>
      <c r="P839" s="1640"/>
      <c r="R839" s="1640"/>
      <c r="W839" s="1634"/>
      <c r="AG839" s="1640" t="str">
        <f t="shared" si="107"/>
        <v>|</v>
      </c>
      <c r="AI839" s="1627" t="s">
        <v>1095</v>
      </c>
    </row>
    <row r="840" spans="6:35" ht="24" customHeight="1">
      <c r="N840" s="1627"/>
      <c r="O840" s="1627"/>
      <c r="P840" s="1640"/>
      <c r="R840" s="1640"/>
      <c r="W840" s="1634"/>
      <c r="AG840" s="1640" t="str">
        <f t="shared" si="107"/>
        <v>|</v>
      </c>
      <c r="AI840" s="1627" t="s">
        <v>1095</v>
      </c>
    </row>
    <row r="841" spans="6:35" ht="24" customHeight="1">
      <c r="F841" s="1628" t="s">
        <v>1637</v>
      </c>
      <c r="G841" s="1638" t="s">
        <v>249</v>
      </c>
      <c r="H841" s="1627" t="s">
        <v>1638</v>
      </c>
      <c r="N841" s="1627"/>
      <c r="O841" s="1627"/>
      <c r="P841" s="1640"/>
      <c r="R841" s="1640"/>
      <c r="W841" s="1634"/>
      <c r="AG841" s="1640" t="str">
        <f t="shared" si="107"/>
        <v>|</v>
      </c>
      <c r="AI841" s="1627" t="s">
        <v>1095</v>
      </c>
    </row>
    <row r="842" spans="6:35" ht="24" customHeight="1">
      <c r="H842" s="1627" t="s">
        <v>1639</v>
      </c>
      <c r="N842" s="1627"/>
      <c r="O842" s="1627"/>
      <c r="P842" s="1640"/>
      <c r="R842" s="1640"/>
      <c r="W842" s="1634"/>
      <c r="AG842" s="1640" t="str">
        <f t="shared" si="107"/>
        <v>|</v>
      </c>
      <c r="AI842" s="1627" t="s">
        <v>1095</v>
      </c>
    </row>
    <row r="843" spans="6:35" ht="24" customHeight="1">
      <c r="H843" s="1627" t="s">
        <v>1640</v>
      </c>
      <c r="N843" s="1627"/>
      <c r="O843" s="1627"/>
      <c r="P843" s="1640"/>
      <c r="R843" s="1640"/>
      <c r="W843" s="1634"/>
      <c r="AG843" s="1640" t="str">
        <f t="shared" si="107"/>
        <v>|::</v>
      </c>
      <c r="AI843" s="1627" t="s">
        <v>892</v>
      </c>
    </row>
    <row r="844" spans="6:35" ht="24" customHeight="1">
      <c r="H844" s="1627" t="s">
        <v>1641</v>
      </c>
      <c r="N844" s="1627"/>
      <c r="O844" s="1627"/>
      <c r="P844" s="1640"/>
      <c r="R844" s="1640"/>
      <c r="W844" s="1634"/>
      <c r="AG844" s="1640">
        <f t="shared" si="107"/>
        <v>0</v>
      </c>
    </row>
    <row r="845" spans="6:35" ht="24" customHeight="1">
      <c r="H845" s="1627" t="s">
        <v>1642</v>
      </c>
      <c r="R845" s="1640"/>
      <c r="W845" s="1634"/>
      <c r="AG845" s="1640">
        <f t="shared" si="107"/>
        <v>0</v>
      </c>
    </row>
    <row r="846" spans="6:35" ht="24" customHeight="1">
      <c r="H846" s="1627" t="s">
        <v>1643</v>
      </c>
      <c r="R846" s="1636"/>
      <c r="W846" s="1634"/>
      <c r="AG846" s="1640">
        <f t="shared" si="107"/>
        <v>0</v>
      </c>
    </row>
    <row r="847" spans="6:35" ht="24" customHeight="1">
      <c r="H847" s="1627" t="s">
        <v>1644</v>
      </c>
      <c r="O847" s="1628"/>
      <c r="R847" s="1640"/>
      <c r="W847" s="1634"/>
      <c r="AG847" s="1640" t="str">
        <f t="shared" si="107"/>
        <v>|</v>
      </c>
      <c r="AI847" s="1627" t="s">
        <v>1095</v>
      </c>
    </row>
    <row r="848" spans="6:35" ht="24" customHeight="1">
      <c r="H848" s="1627" t="s">
        <v>1645</v>
      </c>
      <c r="R848" s="1636"/>
      <c r="W848" s="1634"/>
      <c r="AG848" s="1640" t="str">
        <f t="shared" si="107"/>
        <v>|</v>
      </c>
      <c r="AI848" s="1627" t="s">
        <v>1095</v>
      </c>
    </row>
    <row r="849" spans="6:35" ht="24" customHeight="1">
      <c r="H849" s="1627" t="s">
        <v>1646</v>
      </c>
      <c r="O849" s="1661" t="s">
        <v>1647</v>
      </c>
      <c r="R849" s="1636"/>
      <c r="W849" s="1634"/>
      <c r="AG849" s="1640" t="str">
        <f t="shared" si="107"/>
        <v>|</v>
      </c>
      <c r="AI849" s="1627" t="s">
        <v>1095</v>
      </c>
    </row>
    <row r="850" spans="6:35" ht="24" customHeight="1">
      <c r="H850" s="1627" t="s">
        <v>1648</v>
      </c>
      <c r="O850" s="1628" t="s">
        <v>1649</v>
      </c>
      <c r="R850" s="1636"/>
      <c r="W850" s="1634"/>
      <c r="AG850" s="1640" t="str">
        <f t="shared" si="107"/>
        <v>|</v>
      </c>
      <c r="AI850" s="1627" t="s">
        <v>1095</v>
      </c>
    </row>
    <row r="851" spans="6:35" ht="24" customHeight="1">
      <c r="H851" s="1627" t="s">
        <v>1650</v>
      </c>
      <c r="R851" s="1636"/>
      <c r="W851" s="1634"/>
      <c r="AG851" s="1640" t="str">
        <f t="shared" si="107"/>
        <v>|</v>
      </c>
      <c r="AI851" s="1627" t="s">
        <v>1095</v>
      </c>
    </row>
    <row r="852" spans="6:35" ht="24" customHeight="1">
      <c r="H852" s="1627" t="s">
        <v>1651</v>
      </c>
      <c r="M852" s="1691">
        <v>6.5000000000000002E-2</v>
      </c>
      <c r="N852" s="1638" t="s">
        <v>151</v>
      </c>
      <c r="O852" s="1627" t="s">
        <v>1652</v>
      </c>
      <c r="P852" s="1640">
        <f>I859</f>
        <v>9891.1648755000006</v>
      </c>
      <c r="Q852" s="1627" t="s">
        <v>151</v>
      </c>
      <c r="R852" s="1640">
        <f>P852*M852</f>
        <v>642.92571690750003</v>
      </c>
      <c r="W852" s="1634"/>
      <c r="AG852" s="1640" t="str">
        <f t="shared" si="107"/>
        <v>|</v>
      </c>
      <c r="AI852" s="1627" t="s">
        <v>1095</v>
      </c>
    </row>
    <row r="853" spans="6:35" ht="24" customHeight="1">
      <c r="H853" s="1627" t="s">
        <v>1653</v>
      </c>
      <c r="M853" s="1706">
        <v>8.4499999999999993</v>
      </c>
      <c r="N853" s="1638" t="s">
        <v>13</v>
      </c>
      <c r="O853" s="1627" t="s">
        <v>1654</v>
      </c>
      <c r="P853" s="1640">
        <f t="shared" ref="P853:P862" si="110">I860</f>
        <v>98792.5</v>
      </c>
      <c r="Q853" s="1627" t="s">
        <v>251</v>
      </c>
      <c r="R853" s="1640">
        <f>P853*M853/1000</f>
        <v>834.79662499999984</v>
      </c>
      <c r="W853" s="1634"/>
      <c r="AG853" s="1640" t="str">
        <f t="shared" si="107"/>
        <v>|</v>
      </c>
      <c r="AI853" s="1627" t="s">
        <v>1095</v>
      </c>
    </row>
    <row r="854" spans="6:35" ht="24" customHeight="1">
      <c r="H854" s="1627" t="s">
        <v>1655</v>
      </c>
      <c r="M854" s="1640">
        <v>3</v>
      </c>
      <c r="N854" s="1638" t="s">
        <v>153</v>
      </c>
      <c r="O854" s="1627" t="s">
        <v>1656</v>
      </c>
      <c r="P854" s="1640">
        <f t="shared" si="110"/>
        <v>14.8</v>
      </c>
      <c r="Q854" s="1627" t="s">
        <v>153</v>
      </c>
      <c r="R854" s="1640">
        <f t="shared" ref="R854:R861" si="111">P854*M854</f>
        <v>44.400000000000006</v>
      </c>
      <c r="W854" s="1634"/>
      <c r="AG854" s="1640" t="str">
        <f t="shared" si="107"/>
        <v>|</v>
      </c>
      <c r="AI854" s="1627" t="s">
        <v>1095</v>
      </c>
    </row>
    <row r="855" spans="6:35" ht="24" customHeight="1">
      <c r="M855" s="1640">
        <v>12</v>
      </c>
      <c r="N855" s="1638" t="s">
        <v>153</v>
      </c>
      <c r="O855" s="1627" t="s">
        <v>1657</v>
      </c>
      <c r="P855" s="1640">
        <f t="shared" si="110"/>
        <v>2</v>
      </c>
      <c r="Q855" s="1627" t="s">
        <v>153</v>
      </c>
      <c r="R855" s="1640">
        <f t="shared" si="111"/>
        <v>24</v>
      </c>
      <c r="W855" s="1634"/>
      <c r="AG855" s="1640" t="str">
        <f t="shared" si="107"/>
        <v>|</v>
      </c>
      <c r="AI855" s="1627" t="s">
        <v>1095</v>
      </c>
    </row>
    <row r="856" spans="6:35" ht="24" customHeight="1">
      <c r="M856" s="1640">
        <v>2</v>
      </c>
      <c r="N856" s="1638" t="s">
        <v>153</v>
      </c>
      <c r="O856" s="1627" t="s">
        <v>1658</v>
      </c>
      <c r="P856" s="1640">
        <f t="shared" si="110"/>
        <v>4.9000000000000004</v>
      </c>
      <c r="Q856" s="1627" t="s">
        <v>153</v>
      </c>
      <c r="R856" s="1640">
        <f t="shared" si="111"/>
        <v>9.8000000000000007</v>
      </c>
      <c r="W856" s="1634"/>
      <c r="AG856" s="1640" t="str">
        <f t="shared" si="107"/>
        <v>|</v>
      </c>
      <c r="AI856" s="1627" t="s">
        <v>1095</v>
      </c>
    </row>
    <row r="857" spans="6:35" ht="24" customHeight="1">
      <c r="G857" s="1638" t="s">
        <v>514</v>
      </c>
      <c r="H857" s="1628" t="s">
        <v>1659</v>
      </c>
      <c r="M857" s="1640">
        <v>6</v>
      </c>
      <c r="N857" s="1638" t="s">
        <v>153</v>
      </c>
      <c r="O857" s="1627" t="s">
        <v>1660</v>
      </c>
      <c r="P857" s="1640">
        <f t="shared" si="110"/>
        <v>4.45</v>
      </c>
      <c r="Q857" s="1627" t="s">
        <v>153</v>
      </c>
      <c r="R857" s="1640">
        <f t="shared" si="111"/>
        <v>26.700000000000003</v>
      </c>
      <c r="S857" s="1629"/>
      <c r="T857" s="1638" t="s">
        <v>514</v>
      </c>
      <c r="U857" s="1628" t="s">
        <v>1661</v>
      </c>
      <c r="W857" s="1634"/>
      <c r="AG857" s="1640" t="str">
        <f t="shared" si="107"/>
        <v>|</v>
      </c>
      <c r="AI857" s="1627" t="s">
        <v>1095</v>
      </c>
    </row>
    <row r="858" spans="6:35" ht="24" customHeight="1">
      <c r="H858" s="1628" t="s">
        <v>1662</v>
      </c>
      <c r="M858" s="1640">
        <v>1</v>
      </c>
      <c r="N858" s="1638" t="s">
        <v>153</v>
      </c>
      <c r="O858" s="1627" t="s">
        <v>1663</v>
      </c>
      <c r="P858" s="1640">
        <f t="shared" si="110"/>
        <v>1325.8</v>
      </c>
      <c r="Q858" s="1627" t="s">
        <v>153</v>
      </c>
      <c r="R858" s="1640">
        <f t="shared" si="111"/>
        <v>1325.8</v>
      </c>
      <c r="S858" s="1629"/>
      <c r="T858" s="1630"/>
      <c r="U858" s="1628" t="s">
        <v>1662</v>
      </c>
      <c r="W858" s="1634"/>
      <c r="AG858" s="1640" t="str">
        <f t="shared" si="107"/>
        <v>|</v>
      </c>
      <c r="AI858" s="1627" t="s">
        <v>1095</v>
      </c>
    </row>
    <row r="859" spans="6:35" ht="24" customHeight="1">
      <c r="F859" s="1691">
        <v>3.8100000000000002E-2</v>
      </c>
      <c r="G859" s="1638" t="s">
        <v>151</v>
      </c>
      <c r="H859" s="1627" t="s">
        <v>5628</v>
      </c>
      <c r="I859" s="1640">
        <f>I877</f>
        <v>9891.1648755000006</v>
      </c>
      <c r="J859" s="1627" t="s">
        <v>151</v>
      </c>
      <c r="K859" s="1640">
        <f>F859*I859</f>
        <v>376.85338175655005</v>
      </c>
      <c r="M859" s="1640">
        <v>1</v>
      </c>
      <c r="N859" s="1638" t="s">
        <v>153</v>
      </c>
      <c r="O859" s="1627" t="s">
        <v>1664</v>
      </c>
      <c r="P859" s="1640">
        <f t="shared" si="110"/>
        <v>865.19999999999993</v>
      </c>
      <c r="Q859" s="1627" t="s">
        <v>153</v>
      </c>
      <c r="R859" s="1640">
        <f t="shared" si="111"/>
        <v>865.19999999999993</v>
      </c>
      <c r="S859" s="1691">
        <v>4.9500000000000002E-2</v>
      </c>
      <c r="T859" s="1638" t="s">
        <v>151</v>
      </c>
      <c r="U859" s="1627" t="s">
        <v>1652</v>
      </c>
      <c r="V859" s="1640">
        <f>I859</f>
        <v>9891.1648755000006</v>
      </c>
      <c r="W859" s="1628" t="s">
        <v>151</v>
      </c>
      <c r="X859" s="1640">
        <f>S859*V859</f>
        <v>489.61266133725007</v>
      </c>
      <c r="Y859" s="1640"/>
      <c r="AG859" s="1640" t="str">
        <f t="shared" si="107"/>
        <v>|</v>
      </c>
      <c r="AI859" s="1627" t="s">
        <v>1095</v>
      </c>
    </row>
    <row r="860" spans="6:35" ht="24" customHeight="1">
      <c r="F860" s="1707">
        <v>5.01</v>
      </c>
      <c r="G860" s="1638" t="s">
        <v>13</v>
      </c>
      <c r="H860" s="1627" t="s">
        <v>1654</v>
      </c>
      <c r="I860" s="1640">
        <f>I878</f>
        <v>98792.5</v>
      </c>
      <c r="J860" s="1627" t="s">
        <v>251</v>
      </c>
      <c r="K860" s="1640">
        <f>F860*I860/1000</f>
        <v>494.950425</v>
      </c>
      <c r="M860" s="1640">
        <v>1</v>
      </c>
      <c r="N860" s="1638" t="s">
        <v>153</v>
      </c>
      <c r="O860" s="1627" t="s">
        <v>1665</v>
      </c>
      <c r="P860" s="1640">
        <f t="shared" si="110"/>
        <v>25</v>
      </c>
      <c r="Q860" s="1627" t="s">
        <v>153</v>
      </c>
      <c r="R860" s="1640">
        <f t="shared" si="111"/>
        <v>25</v>
      </c>
      <c r="S860" s="1707">
        <v>5.66</v>
      </c>
      <c r="T860" s="1638" t="s">
        <v>13</v>
      </c>
      <c r="U860" s="1627" t="s">
        <v>1654</v>
      </c>
      <c r="V860" s="1640">
        <f t="shared" ref="V860:V868" si="112">I860</f>
        <v>98792.5</v>
      </c>
      <c r="W860" s="1628" t="s">
        <v>251</v>
      </c>
      <c r="X860" s="1640">
        <f>S860*V860/1000</f>
        <v>559.16555000000005</v>
      </c>
      <c r="Y860" s="1640"/>
      <c r="AG860" s="1640" t="str">
        <f t="shared" si="107"/>
        <v>|</v>
      </c>
      <c r="AI860" s="1627" t="s">
        <v>1095</v>
      </c>
    </row>
    <row r="861" spans="6:35" ht="24" customHeight="1">
      <c r="F861" s="1640">
        <v>3</v>
      </c>
      <c r="G861" s="1638" t="s">
        <v>153</v>
      </c>
      <c r="H861" s="1627" t="s">
        <v>1656</v>
      </c>
      <c r="I861" s="1690">
        <v>14.8</v>
      </c>
      <c r="J861" s="1627" t="s">
        <v>153</v>
      </c>
      <c r="K861" s="1640">
        <f t="shared" ref="K861:K868" si="113">F861*I861</f>
        <v>44.400000000000006</v>
      </c>
      <c r="M861" s="1640">
        <v>0.5</v>
      </c>
      <c r="N861" s="1638" t="s">
        <v>153</v>
      </c>
      <c r="O861" s="1627" t="s">
        <v>1666</v>
      </c>
      <c r="P861" s="1640">
        <f t="shared" si="110"/>
        <v>709.8</v>
      </c>
      <c r="Q861" s="1627" t="s">
        <v>153</v>
      </c>
      <c r="R861" s="1640">
        <f t="shared" si="111"/>
        <v>354.9</v>
      </c>
      <c r="S861" s="1640">
        <v>3</v>
      </c>
      <c r="T861" s="1638" t="s">
        <v>153</v>
      </c>
      <c r="U861" s="1627" t="s">
        <v>1656</v>
      </c>
      <c r="V861" s="1640">
        <f t="shared" si="112"/>
        <v>14.8</v>
      </c>
      <c r="W861" s="1628" t="s">
        <v>153</v>
      </c>
      <c r="X861" s="1640">
        <f t="shared" ref="X861:X868" si="114">S861*V861</f>
        <v>44.400000000000006</v>
      </c>
      <c r="Y861" s="1640"/>
      <c r="AG861" s="1640" t="str">
        <f t="shared" si="107"/>
        <v>|</v>
      </c>
      <c r="AI861" s="1627" t="s">
        <v>1095</v>
      </c>
    </row>
    <row r="862" spans="6:35" ht="24" customHeight="1">
      <c r="F862" s="1640">
        <v>12</v>
      </c>
      <c r="G862" s="1638" t="s">
        <v>153</v>
      </c>
      <c r="H862" s="1627" t="s">
        <v>1657</v>
      </c>
      <c r="I862" s="1690">
        <v>2</v>
      </c>
      <c r="J862" s="1627" t="s">
        <v>153</v>
      </c>
      <c r="K862" s="1640">
        <f t="shared" si="113"/>
        <v>24</v>
      </c>
      <c r="N862" s="1638" t="s">
        <v>226</v>
      </c>
      <c r="O862" s="1627" t="s">
        <v>1667</v>
      </c>
      <c r="P862" s="1640">
        <f t="shared" si="110"/>
        <v>0</v>
      </c>
      <c r="Q862" s="1627" t="s">
        <v>226</v>
      </c>
      <c r="R862" s="1640">
        <v>2.1</v>
      </c>
      <c r="S862" s="1640">
        <v>12</v>
      </c>
      <c r="T862" s="1638" t="s">
        <v>153</v>
      </c>
      <c r="U862" s="1627" t="s">
        <v>1657</v>
      </c>
      <c r="V862" s="1640">
        <f t="shared" si="112"/>
        <v>2</v>
      </c>
      <c r="W862" s="1628" t="s">
        <v>153</v>
      </c>
      <c r="X862" s="1640">
        <f t="shared" si="114"/>
        <v>24</v>
      </c>
      <c r="Y862" s="1640"/>
      <c r="AG862" s="1640" t="str">
        <f t="shared" si="107"/>
        <v>|</v>
      </c>
      <c r="AI862" s="1627" t="s">
        <v>1095</v>
      </c>
    </row>
    <row r="863" spans="6:35" ht="24" customHeight="1">
      <c r="F863" s="1640">
        <v>2</v>
      </c>
      <c r="G863" s="1638" t="s">
        <v>153</v>
      </c>
      <c r="H863" s="1627" t="s">
        <v>1658</v>
      </c>
      <c r="I863" s="1690">
        <v>4.9000000000000004</v>
      </c>
      <c r="J863" s="1627" t="s">
        <v>153</v>
      </c>
      <c r="K863" s="1640">
        <f t="shared" si="113"/>
        <v>9.8000000000000007</v>
      </c>
      <c r="N863" s="1630"/>
      <c r="Q863" s="1632"/>
      <c r="R863" s="1636" t="s">
        <v>21</v>
      </c>
      <c r="S863" s="1640">
        <v>2</v>
      </c>
      <c r="T863" s="1638" t="s">
        <v>153</v>
      </c>
      <c r="U863" s="1627" t="s">
        <v>1658</v>
      </c>
      <c r="V863" s="1640">
        <f t="shared" si="112"/>
        <v>4.9000000000000004</v>
      </c>
      <c r="W863" s="1628" t="s">
        <v>153</v>
      </c>
      <c r="X863" s="1640">
        <f t="shared" si="114"/>
        <v>9.8000000000000007</v>
      </c>
      <c r="Y863" s="1640"/>
      <c r="AG863" s="1640" t="str">
        <f t="shared" si="107"/>
        <v>|</v>
      </c>
      <c r="AI863" s="1627" t="s">
        <v>1095</v>
      </c>
    </row>
    <row r="864" spans="6:35" ht="24" customHeight="1">
      <c r="F864" s="1640">
        <v>6</v>
      </c>
      <c r="G864" s="1638" t="s">
        <v>153</v>
      </c>
      <c r="H864" s="1627" t="s">
        <v>1660</v>
      </c>
      <c r="I864" s="1690">
        <v>4.45</v>
      </c>
      <c r="J864" s="1627" t="s">
        <v>153</v>
      </c>
      <c r="K864" s="1640">
        <f t="shared" si="113"/>
        <v>26.700000000000003</v>
      </c>
      <c r="N864" s="1630"/>
      <c r="O864" s="1641" t="s">
        <v>1668</v>
      </c>
      <c r="Q864" s="1632"/>
      <c r="R864" s="1635">
        <f>SUM(R852:R862)</f>
        <v>4155.6223419074995</v>
      </c>
      <c r="S864" s="1640">
        <v>6</v>
      </c>
      <c r="T864" s="1638" t="s">
        <v>153</v>
      </c>
      <c r="U864" s="1627" t="s">
        <v>1660</v>
      </c>
      <c r="V864" s="1640">
        <f t="shared" si="112"/>
        <v>4.45</v>
      </c>
      <c r="W864" s="1628" t="s">
        <v>153</v>
      </c>
      <c r="X864" s="1640">
        <f t="shared" si="114"/>
        <v>26.700000000000003</v>
      </c>
      <c r="Y864" s="1640"/>
      <c r="AG864" s="1640" t="str">
        <f t="shared" si="107"/>
        <v>|</v>
      </c>
      <c r="AI864" s="1627" t="s">
        <v>1095</v>
      </c>
    </row>
    <row r="865" spans="2:35" ht="24" customHeight="1">
      <c r="F865" s="1640">
        <v>1</v>
      </c>
      <c r="G865" s="1638" t="s">
        <v>153</v>
      </c>
      <c r="H865" s="1627" t="s">
        <v>1663</v>
      </c>
      <c r="I865" s="1640">
        <f>C10</f>
        <v>1325.8</v>
      </c>
      <c r="J865" s="1627" t="s">
        <v>153</v>
      </c>
      <c r="K865" s="1640">
        <f t="shared" si="113"/>
        <v>1325.8</v>
      </c>
      <c r="N865" s="1630"/>
      <c r="Q865" s="1632"/>
      <c r="R865" s="1636" t="s">
        <v>21</v>
      </c>
      <c r="S865" s="1640">
        <v>1</v>
      </c>
      <c r="T865" s="1638" t="s">
        <v>153</v>
      </c>
      <c r="U865" s="1627" t="s">
        <v>1663</v>
      </c>
      <c r="V865" s="1640">
        <f t="shared" si="112"/>
        <v>1325.8</v>
      </c>
      <c r="W865" s="1628" t="s">
        <v>153</v>
      </c>
      <c r="X865" s="1640">
        <f t="shared" si="114"/>
        <v>1325.8</v>
      </c>
      <c r="Y865" s="1640"/>
      <c r="AG865" s="1640">
        <f t="shared" si="107"/>
        <v>0</v>
      </c>
      <c r="AI865" s="1627"/>
    </row>
    <row r="866" spans="2:35" ht="24" customHeight="1">
      <c r="F866" s="1640">
        <v>1</v>
      </c>
      <c r="G866" s="1638" t="s">
        <v>153</v>
      </c>
      <c r="H866" s="1627" t="s">
        <v>1664</v>
      </c>
      <c r="I866" s="1640">
        <f>C12</f>
        <v>865.19999999999993</v>
      </c>
      <c r="J866" s="1627" t="s">
        <v>153</v>
      </c>
      <c r="K866" s="1640">
        <f t="shared" si="113"/>
        <v>865.19999999999993</v>
      </c>
      <c r="S866" s="1640">
        <v>1</v>
      </c>
      <c r="T866" s="1638" t="s">
        <v>153</v>
      </c>
      <c r="U866" s="1627" t="s">
        <v>1664</v>
      </c>
      <c r="V866" s="1640">
        <f t="shared" si="112"/>
        <v>865.19999999999993</v>
      </c>
      <c r="W866" s="1628" t="s">
        <v>153</v>
      </c>
      <c r="X866" s="1640">
        <f t="shared" si="114"/>
        <v>865.19999999999993</v>
      </c>
      <c r="Y866" s="1640"/>
      <c r="AG866" s="1640">
        <f t="shared" si="107"/>
        <v>0</v>
      </c>
      <c r="AI866" s="1627"/>
    </row>
    <row r="867" spans="2:35" ht="24" customHeight="1">
      <c r="F867" s="1640">
        <v>1</v>
      </c>
      <c r="G867" s="1638" t="s">
        <v>153</v>
      </c>
      <c r="H867" s="1627" t="s">
        <v>1665</v>
      </c>
      <c r="I867" s="1690">
        <v>25</v>
      </c>
      <c r="J867" s="1627" t="s">
        <v>153</v>
      </c>
      <c r="K867" s="1640">
        <f t="shared" si="113"/>
        <v>25</v>
      </c>
      <c r="R867" s="1636"/>
      <c r="S867" s="1640">
        <v>1</v>
      </c>
      <c r="T867" s="1638" t="s">
        <v>153</v>
      </c>
      <c r="U867" s="1627" t="s">
        <v>1665</v>
      </c>
      <c r="V867" s="1640">
        <f t="shared" si="112"/>
        <v>25</v>
      </c>
      <c r="W867" s="1628" t="s">
        <v>153</v>
      </c>
      <c r="X867" s="1640">
        <f t="shared" si="114"/>
        <v>25</v>
      </c>
      <c r="Y867" s="1640"/>
      <c r="AG867" s="1640">
        <f t="shared" si="107"/>
        <v>0</v>
      </c>
      <c r="AI867" s="1627"/>
    </row>
    <row r="868" spans="2:35" ht="24" customHeight="1">
      <c r="F868" s="1640">
        <v>0.5</v>
      </c>
      <c r="G868" s="1638" t="s">
        <v>153</v>
      </c>
      <c r="H868" s="1627" t="s">
        <v>1666</v>
      </c>
      <c r="I868" s="1640">
        <f>C13</f>
        <v>709.8</v>
      </c>
      <c r="J868" s="1627" t="s">
        <v>153</v>
      </c>
      <c r="K868" s="1640">
        <f t="shared" si="113"/>
        <v>354.9</v>
      </c>
      <c r="R868" s="1627" t="s">
        <v>150</v>
      </c>
      <c r="S868" s="1640">
        <v>0.5</v>
      </c>
      <c r="T868" s="1638" t="s">
        <v>153</v>
      </c>
      <c r="U868" s="1627" t="s">
        <v>1666</v>
      </c>
      <c r="V868" s="1640">
        <f t="shared" si="112"/>
        <v>709.8</v>
      </c>
      <c r="W868" s="1628" t="s">
        <v>153</v>
      </c>
      <c r="X868" s="1640">
        <f t="shared" si="114"/>
        <v>354.9</v>
      </c>
      <c r="Y868" s="1640"/>
      <c r="AG868" s="1640">
        <f t="shared" si="107"/>
        <v>0</v>
      </c>
      <c r="AI868" s="1627"/>
    </row>
    <row r="869" spans="2:35" ht="24" customHeight="1">
      <c r="G869" s="1638" t="s">
        <v>226</v>
      </c>
      <c r="H869" s="1627" t="s">
        <v>1667</v>
      </c>
      <c r="J869" s="1627" t="s">
        <v>226</v>
      </c>
      <c r="K869" s="1640">
        <v>1.1299999999999999</v>
      </c>
      <c r="N869" s="1627"/>
      <c r="O869" s="1627"/>
      <c r="S869" s="1629"/>
      <c r="T869" s="1638" t="s">
        <v>226</v>
      </c>
      <c r="U869" s="1627" t="s">
        <v>1667</v>
      </c>
      <c r="W869" s="1628" t="s">
        <v>226</v>
      </c>
      <c r="X869" s="1640">
        <v>0.06</v>
      </c>
      <c r="Y869" s="1640"/>
      <c r="AG869" s="1640">
        <f t="shared" si="107"/>
        <v>0</v>
      </c>
      <c r="AI869" s="1627"/>
    </row>
    <row r="870" spans="2:35" ht="24" customHeight="1">
      <c r="K870" s="1636" t="s">
        <v>21</v>
      </c>
      <c r="O870" s="1627"/>
      <c r="S870" s="1629"/>
      <c r="T870" s="1630"/>
      <c r="W870" s="1634"/>
      <c r="X870" s="1636" t="s">
        <v>21</v>
      </c>
      <c r="Y870" s="1636"/>
      <c r="AG870" s="1640">
        <f t="shared" si="107"/>
        <v>0</v>
      </c>
      <c r="AI870" s="1627"/>
    </row>
    <row r="871" spans="2:35" ht="24" customHeight="1">
      <c r="H871" s="1641" t="s">
        <v>1668</v>
      </c>
      <c r="K871" s="1639">
        <f>SUM(K859:K869)</f>
        <v>3548.7338067565502</v>
      </c>
      <c r="N871" s="1627"/>
      <c r="O871" s="1627"/>
      <c r="P871" s="1640"/>
      <c r="R871" s="1640"/>
      <c r="S871" s="1629"/>
      <c r="T871" s="1630"/>
      <c r="U871" s="1641" t="s">
        <v>1668</v>
      </c>
      <c r="W871" s="1634"/>
      <c r="X871" s="1639">
        <f>SUM(X859:X869)</f>
        <v>3724.6382113372501</v>
      </c>
      <c r="Y871" s="1639"/>
      <c r="AG871" s="1640">
        <f t="shared" si="107"/>
        <v>0</v>
      </c>
      <c r="AI871" s="1627"/>
    </row>
    <row r="872" spans="2:35" ht="24" customHeight="1">
      <c r="K872" s="1636" t="s">
        <v>21</v>
      </c>
      <c r="O872" s="1627"/>
      <c r="W872" s="1634"/>
      <c r="AG872" s="1640">
        <f t="shared" si="107"/>
        <v>0</v>
      </c>
      <c r="AI872" s="1627"/>
    </row>
    <row r="873" spans="2:35" ht="24" customHeight="1">
      <c r="O873" s="1627"/>
      <c r="W873" s="1634"/>
      <c r="AG873" s="1640">
        <f t="shared" si="107"/>
        <v>0</v>
      </c>
      <c r="AI873" s="1627"/>
    </row>
    <row r="874" spans="2:35" ht="24" customHeight="1">
      <c r="N874" s="1627"/>
      <c r="O874" s="1627"/>
      <c r="P874" s="1640"/>
      <c r="R874" s="1640"/>
      <c r="W874" s="1634"/>
      <c r="AG874" s="1640">
        <f t="shared" si="107"/>
        <v>0</v>
      </c>
      <c r="AI874" s="1627"/>
    </row>
    <row r="875" spans="2:35" ht="24" customHeight="1">
      <c r="G875" s="1638" t="s">
        <v>524</v>
      </c>
      <c r="H875" s="1628" t="s">
        <v>1671</v>
      </c>
      <c r="N875" s="1627"/>
      <c r="O875" s="1627"/>
      <c r="P875" s="1640"/>
      <c r="R875" s="1640"/>
      <c r="S875" s="1629"/>
      <c r="T875" s="1638" t="s">
        <v>514</v>
      </c>
      <c r="U875" s="1628" t="s">
        <v>1672</v>
      </c>
      <c r="W875" s="1634"/>
      <c r="AG875" s="1640">
        <f t="shared" si="107"/>
        <v>0</v>
      </c>
      <c r="AI875" s="1627"/>
    </row>
    <row r="876" spans="2:35" ht="24" customHeight="1">
      <c r="H876" s="1628" t="s">
        <v>1662</v>
      </c>
      <c r="N876" s="1627"/>
      <c r="O876" s="1627"/>
      <c r="P876" s="1640"/>
      <c r="R876" s="1640"/>
      <c r="S876" s="1629"/>
      <c r="T876" s="1630"/>
      <c r="U876" s="1628" t="s">
        <v>1662</v>
      </c>
      <c r="W876" s="1634"/>
      <c r="AG876" s="1640">
        <f t="shared" si="107"/>
        <v>0</v>
      </c>
      <c r="AI876" s="1627"/>
    </row>
    <row r="877" spans="2:35" ht="64.5" customHeight="1">
      <c r="B877" s="1680" t="s">
        <v>5629</v>
      </c>
      <c r="C877" s="1640">
        <f>Z688</f>
        <v>10435.4326755</v>
      </c>
      <c r="F877" s="1691">
        <v>3.6799999999999999E-2</v>
      </c>
      <c r="G877" s="1638" t="s">
        <v>151</v>
      </c>
      <c r="H877" s="1680" t="s">
        <v>5629</v>
      </c>
      <c r="I877" s="1640">
        <f>AA718</f>
        <v>9891.1648755000006</v>
      </c>
      <c r="J877" s="1627" t="s">
        <v>151</v>
      </c>
      <c r="K877" s="1640">
        <f>F877*I877</f>
        <v>363.99486741840002</v>
      </c>
      <c r="N877" s="1627"/>
      <c r="O877" s="1627"/>
      <c r="P877" s="1640"/>
      <c r="R877" s="1640"/>
      <c r="S877" s="1691">
        <v>5.4699999999999999E-2</v>
      </c>
      <c r="T877" s="1638" t="s">
        <v>151</v>
      </c>
      <c r="U877" s="1627" t="s">
        <v>1652</v>
      </c>
      <c r="V877" s="1640">
        <f>I877</f>
        <v>9891.1648755000006</v>
      </c>
      <c r="W877" s="1628" t="s">
        <v>151</v>
      </c>
      <c r="X877" s="1640">
        <f>S877*V877</f>
        <v>541.04671868984997</v>
      </c>
      <c r="Y877" s="1640"/>
      <c r="AG877" s="1640">
        <f t="shared" ref="AG877:AG949" si="115">AI877</f>
        <v>0</v>
      </c>
      <c r="AI877" s="1627"/>
    </row>
    <row r="878" spans="2:35" ht="34.5" customHeight="1">
      <c r="B878" s="1627" t="s">
        <v>1654</v>
      </c>
      <c r="C878" s="1640">
        <f>R1609</f>
        <v>98943.28571428571</v>
      </c>
      <c r="F878" s="1640">
        <v>4.87</v>
      </c>
      <c r="G878" s="1638" t="s">
        <v>13</v>
      </c>
      <c r="H878" s="1627" t="s">
        <v>1654</v>
      </c>
      <c r="I878" s="1640">
        <f>K1608</f>
        <v>98792.5</v>
      </c>
      <c r="J878" s="1627" t="s">
        <v>251</v>
      </c>
      <c r="K878" s="1640">
        <f>F878*I878/1000</f>
        <v>481.11947500000002</v>
      </c>
      <c r="N878" s="1627"/>
      <c r="O878" s="1627"/>
      <c r="P878" s="1640"/>
      <c r="R878" s="1640"/>
      <c r="S878" s="1707">
        <v>6.16</v>
      </c>
      <c r="T878" s="1638" t="s">
        <v>13</v>
      </c>
      <c r="U878" s="1627" t="s">
        <v>1654</v>
      </c>
      <c r="V878" s="1640">
        <f t="shared" ref="V878:V886" si="116">I878</f>
        <v>98792.5</v>
      </c>
      <c r="W878" s="1628" t="s">
        <v>251</v>
      </c>
      <c r="X878" s="1640">
        <f>S878*V878/1000</f>
        <v>608.56180000000006</v>
      </c>
      <c r="Y878" s="1640"/>
      <c r="AG878" s="1640">
        <f t="shared" si="115"/>
        <v>0</v>
      </c>
      <c r="AI878" s="1627"/>
    </row>
    <row r="879" spans="2:35" ht="24" customHeight="1">
      <c r="F879" s="1640">
        <v>3</v>
      </c>
      <c r="G879" s="1638" t="s">
        <v>153</v>
      </c>
      <c r="H879" s="1627" t="s">
        <v>1656</v>
      </c>
      <c r="I879" s="1690">
        <f>I861</f>
        <v>14.8</v>
      </c>
      <c r="J879" s="1627" t="s">
        <v>153</v>
      </c>
      <c r="K879" s="1640">
        <f t="shared" ref="K879:K886" si="117">F879*I879</f>
        <v>44.400000000000006</v>
      </c>
      <c r="N879" s="1627"/>
      <c r="O879" s="1627"/>
      <c r="P879" s="1640"/>
      <c r="R879" s="1640"/>
      <c r="S879" s="1640">
        <v>3</v>
      </c>
      <c r="T879" s="1638" t="s">
        <v>153</v>
      </c>
      <c r="U879" s="1627" t="s">
        <v>1656</v>
      </c>
      <c r="V879" s="1640">
        <f t="shared" si="116"/>
        <v>14.8</v>
      </c>
      <c r="W879" s="1628" t="s">
        <v>153</v>
      </c>
      <c r="X879" s="1640">
        <f t="shared" ref="X879:X886" si="118">S879*V879</f>
        <v>44.400000000000006</v>
      </c>
      <c r="Y879" s="1640"/>
      <c r="AG879" s="1640">
        <f t="shared" si="115"/>
        <v>0</v>
      </c>
      <c r="AI879" s="1627"/>
    </row>
    <row r="880" spans="2:35" ht="24" customHeight="1">
      <c r="F880" s="1640">
        <v>12</v>
      </c>
      <c r="G880" s="1638" t="s">
        <v>153</v>
      </c>
      <c r="H880" s="1627" t="s">
        <v>1657</v>
      </c>
      <c r="I880" s="1690">
        <f>I862</f>
        <v>2</v>
      </c>
      <c r="J880" s="1627" t="s">
        <v>153</v>
      </c>
      <c r="K880" s="1640">
        <f t="shared" si="117"/>
        <v>24</v>
      </c>
      <c r="N880" s="1627"/>
      <c r="O880" s="1627"/>
      <c r="P880" s="1640"/>
      <c r="R880" s="1640"/>
      <c r="S880" s="1640">
        <v>12</v>
      </c>
      <c r="T880" s="1638" t="s">
        <v>153</v>
      </c>
      <c r="U880" s="1627" t="s">
        <v>1657</v>
      </c>
      <c r="V880" s="1640">
        <f t="shared" si="116"/>
        <v>2</v>
      </c>
      <c r="W880" s="1628" t="s">
        <v>153</v>
      </c>
      <c r="X880" s="1640">
        <f t="shared" si="118"/>
        <v>24</v>
      </c>
      <c r="Y880" s="1640"/>
      <c r="AG880" s="1640">
        <f t="shared" si="115"/>
        <v>0</v>
      </c>
      <c r="AI880" s="1627"/>
    </row>
    <row r="881" spans="6:35" ht="24" customHeight="1">
      <c r="F881" s="1640">
        <v>2</v>
      </c>
      <c r="G881" s="1638" t="s">
        <v>153</v>
      </c>
      <c r="H881" s="1627" t="s">
        <v>1658</v>
      </c>
      <c r="I881" s="1690">
        <f>I863</f>
        <v>4.9000000000000004</v>
      </c>
      <c r="J881" s="1627" t="s">
        <v>153</v>
      </c>
      <c r="K881" s="1640">
        <f t="shared" si="117"/>
        <v>9.8000000000000007</v>
      </c>
      <c r="R881" s="1640"/>
      <c r="S881" s="1640">
        <v>2</v>
      </c>
      <c r="T881" s="1638" t="s">
        <v>153</v>
      </c>
      <c r="U881" s="1627" t="s">
        <v>1658</v>
      </c>
      <c r="V881" s="1640">
        <f t="shared" si="116"/>
        <v>4.9000000000000004</v>
      </c>
      <c r="W881" s="1628" t="s">
        <v>153</v>
      </c>
      <c r="X881" s="1640">
        <f t="shared" si="118"/>
        <v>9.8000000000000007</v>
      </c>
      <c r="Y881" s="1640"/>
      <c r="AG881" s="1640">
        <f t="shared" si="115"/>
        <v>0</v>
      </c>
      <c r="AI881" s="1627"/>
    </row>
    <row r="882" spans="6:35" ht="24" customHeight="1">
      <c r="F882" s="1640">
        <v>6</v>
      </c>
      <c r="G882" s="1638" t="s">
        <v>153</v>
      </c>
      <c r="H882" s="1627" t="s">
        <v>1660</v>
      </c>
      <c r="I882" s="1690">
        <f>I864</f>
        <v>4.45</v>
      </c>
      <c r="J882" s="1627" t="s">
        <v>153</v>
      </c>
      <c r="K882" s="1640">
        <f t="shared" si="117"/>
        <v>26.700000000000003</v>
      </c>
      <c r="R882" s="1636"/>
      <c r="S882" s="1640">
        <v>6</v>
      </c>
      <c r="T882" s="1638" t="s">
        <v>153</v>
      </c>
      <c r="U882" s="1627" t="s">
        <v>1660</v>
      </c>
      <c r="V882" s="1640">
        <f t="shared" si="116"/>
        <v>4.45</v>
      </c>
      <c r="W882" s="1628" t="s">
        <v>153</v>
      </c>
      <c r="X882" s="1640">
        <f t="shared" si="118"/>
        <v>26.700000000000003</v>
      </c>
      <c r="Y882" s="1640"/>
      <c r="AG882" s="1640">
        <f t="shared" si="115"/>
        <v>0</v>
      </c>
      <c r="AI882" s="1627"/>
    </row>
    <row r="883" spans="6:35" ht="24" customHeight="1">
      <c r="F883" s="1640">
        <v>1</v>
      </c>
      <c r="G883" s="1638" t="s">
        <v>153</v>
      </c>
      <c r="H883" s="1627" t="s">
        <v>1663</v>
      </c>
      <c r="I883" s="1640">
        <f>C10</f>
        <v>1325.8</v>
      </c>
      <c r="J883" s="1627" t="s">
        <v>153</v>
      </c>
      <c r="K883" s="1640">
        <f t="shared" si="117"/>
        <v>1325.8</v>
      </c>
      <c r="O883" s="1628"/>
      <c r="R883" s="1640"/>
      <c r="S883" s="1640">
        <v>1</v>
      </c>
      <c r="T883" s="1638" t="s">
        <v>153</v>
      </c>
      <c r="U883" s="1627" t="s">
        <v>1663</v>
      </c>
      <c r="V883" s="1640">
        <f t="shared" si="116"/>
        <v>1325.8</v>
      </c>
      <c r="W883" s="1628" t="s">
        <v>153</v>
      </c>
      <c r="X883" s="1640">
        <f t="shared" si="118"/>
        <v>1325.8</v>
      </c>
      <c r="Y883" s="1640"/>
      <c r="AG883" s="1640">
        <f t="shared" si="115"/>
        <v>0</v>
      </c>
      <c r="AI883" s="1627"/>
    </row>
    <row r="884" spans="6:35" ht="24" customHeight="1">
      <c r="F884" s="1640">
        <v>1</v>
      </c>
      <c r="G884" s="1638" t="s">
        <v>153</v>
      </c>
      <c r="H884" s="1627" t="s">
        <v>1664</v>
      </c>
      <c r="I884" s="1640">
        <f>C12</f>
        <v>865.19999999999993</v>
      </c>
      <c r="J884" s="1627" t="s">
        <v>153</v>
      </c>
      <c r="K884" s="1640">
        <f t="shared" si="117"/>
        <v>865.19999999999993</v>
      </c>
      <c r="R884" s="1636"/>
      <c r="S884" s="1640">
        <v>1</v>
      </c>
      <c r="T884" s="1638" t="s">
        <v>153</v>
      </c>
      <c r="U884" s="1627" t="s">
        <v>1664</v>
      </c>
      <c r="V884" s="1640">
        <f t="shared" si="116"/>
        <v>865.19999999999993</v>
      </c>
      <c r="W884" s="1628" t="s">
        <v>153</v>
      </c>
      <c r="X884" s="1640">
        <f t="shared" si="118"/>
        <v>865.19999999999993</v>
      </c>
      <c r="Y884" s="1640"/>
      <c r="AG884" s="1640" t="str">
        <f t="shared" si="115"/>
        <v>|</v>
      </c>
      <c r="AI884" s="1627" t="s">
        <v>1095</v>
      </c>
    </row>
    <row r="885" spans="6:35" ht="24" customHeight="1">
      <c r="F885" s="1640">
        <v>1</v>
      </c>
      <c r="G885" s="1638" t="s">
        <v>153</v>
      </c>
      <c r="H885" s="1627" t="s">
        <v>1665</v>
      </c>
      <c r="I885" s="1690">
        <v>25</v>
      </c>
      <c r="J885" s="1627" t="s">
        <v>153</v>
      </c>
      <c r="K885" s="1640">
        <f t="shared" si="117"/>
        <v>25</v>
      </c>
      <c r="S885" s="1640">
        <v>1</v>
      </c>
      <c r="T885" s="1638" t="s">
        <v>153</v>
      </c>
      <c r="U885" s="1627" t="s">
        <v>1665</v>
      </c>
      <c r="V885" s="1640">
        <f t="shared" si="116"/>
        <v>25</v>
      </c>
      <c r="W885" s="1628" t="s">
        <v>153</v>
      </c>
      <c r="X885" s="1640">
        <f t="shared" si="118"/>
        <v>25</v>
      </c>
      <c r="Y885" s="1640"/>
      <c r="AG885" s="1640" t="str">
        <f t="shared" si="115"/>
        <v>|</v>
      </c>
      <c r="AI885" s="1627" t="s">
        <v>1095</v>
      </c>
    </row>
    <row r="886" spans="6:35" ht="24" customHeight="1">
      <c r="F886" s="1640">
        <v>0.5</v>
      </c>
      <c r="G886" s="1638" t="s">
        <v>153</v>
      </c>
      <c r="H886" s="1627" t="s">
        <v>1666</v>
      </c>
      <c r="I886" s="1640">
        <f>C13</f>
        <v>709.8</v>
      </c>
      <c r="J886" s="1627" t="s">
        <v>153</v>
      </c>
      <c r="K886" s="1640">
        <f t="shared" si="117"/>
        <v>354.9</v>
      </c>
      <c r="M886" s="1628" t="s">
        <v>1674</v>
      </c>
      <c r="N886" s="1627" t="s">
        <v>249</v>
      </c>
      <c r="O886" s="1627" t="s">
        <v>1675</v>
      </c>
      <c r="S886" s="1640">
        <v>0.5</v>
      </c>
      <c r="T886" s="1638" t="s">
        <v>153</v>
      </c>
      <c r="U886" s="1627" t="s">
        <v>1666</v>
      </c>
      <c r="V886" s="1640">
        <f t="shared" si="116"/>
        <v>709.8</v>
      </c>
      <c r="W886" s="1628" t="s">
        <v>153</v>
      </c>
      <c r="X886" s="1640">
        <f t="shared" si="118"/>
        <v>354.9</v>
      </c>
      <c r="Y886" s="1640"/>
      <c r="AG886" s="1640" t="str">
        <f t="shared" si="115"/>
        <v>|</v>
      </c>
      <c r="AI886" s="1627" t="s">
        <v>1095</v>
      </c>
    </row>
    <row r="887" spans="6:35" ht="24" customHeight="1">
      <c r="G887" s="1638" t="s">
        <v>226</v>
      </c>
      <c r="H887" s="1627" t="s">
        <v>1667</v>
      </c>
      <c r="J887" s="1627" t="s">
        <v>226</v>
      </c>
      <c r="K887" s="1640">
        <v>1.98</v>
      </c>
      <c r="O887" s="1627" t="s">
        <v>1676</v>
      </c>
      <c r="S887" s="1629"/>
      <c r="T887" s="1638" t="s">
        <v>226</v>
      </c>
      <c r="U887" s="1627" t="s">
        <v>1667</v>
      </c>
      <c r="W887" s="1628" t="s">
        <v>226</v>
      </c>
      <c r="X887" s="1640">
        <v>0.27</v>
      </c>
      <c r="Y887" s="1640"/>
      <c r="AG887" s="1640" t="str">
        <f t="shared" si="115"/>
        <v>|</v>
      </c>
      <c r="AI887" s="1627" t="s">
        <v>1095</v>
      </c>
    </row>
    <row r="888" spans="6:35" ht="24" customHeight="1">
      <c r="K888" s="1636" t="s">
        <v>21</v>
      </c>
      <c r="O888" s="1636" t="s">
        <v>21</v>
      </c>
      <c r="P888" s="1636" t="s">
        <v>21</v>
      </c>
      <c r="S888" s="1629"/>
      <c r="T888" s="1630"/>
      <c r="W888" s="1634"/>
      <c r="X888" s="1636" t="s">
        <v>21</v>
      </c>
      <c r="Y888" s="1636"/>
      <c r="AG888" s="1640" t="str">
        <f t="shared" si="115"/>
        <v>|</v>
      </c>
      <c r="AI888" s="1627" t="s">
        <v>1095</v>
      </c>
    </row>
    <row r="889" spans="6:35" ht="24" customHeight="1">
      <c r="H889" s="1641" t="s">
        <v>1668</v>
      </c>
      <c r="K889" s="1639">
        <f>SUM(K877:K887)</f>
        <v>3522.8943424183999</v>
      </c>
      <c r="L889" s="1629">
        <f>K889-1729</f>
        <v>1793.8943424183999</v>
      </c>
      <c r="O889" s="1627" t="s">
        <v>1677</v>
      </c>
      <c r="S889" s="1629"/>
      <c r="T889" s="1630"/>
      <c r="U889" s="1641" t="s">
        <v>1668</v>
      </c>
      <c r="W889" s="1634"/>
      <c r="X889" s="1639">
        <f>SUM(X877:X887)</f>
        <v>3825.6785186898496</v>
      </c>
      <c r="Y889" s="1639"/>
      <c r="AG889" s="1640" t="str">
        <f t="shared" si="115"/>
        <v>|</v>
      </c>
      <c r="AI889" s="1627" t="s">
        <v>1095</v>
      </c>
    </row>
    <row r="890" spans="6:35" ht="24" customHeight="1">
      <c r="K890" s="1636" t="s">
        <v>21</v>
      </c>
      <c r="M890" s="1640">
        <v>0.5</v>
      </c>
      <c r="N890" s="1628" t="s">
        <v>4</v>
      </c>
      <c r="O890" s="1627" t="s">
        <v>438</v>
      </c>
      <c r="P890" s="1640">
        <f>C16</f>
        <v>1296.3999999999999</v>
      </c>
      <c r="Q890" s="1628" t="s">
        <v>566</v>
      </c>
      <c r="R890" s="1640">
        <f>(M890*P890)</f>
        <v>648.19999999999993</v>
      </c>
      <c r="W890" s="1634"/>
      <c r="AG890" s="1640" t="str">
        <f t="shared" si="115"/>
        <v>|</v>
      </c>
      <c r="AI890" s="1627" t="s">
        <v>1095</v>
      </c>
    </row>
    <row r="891" spans="6:35" ht="24" customHeight="1">
      <c r="F891" s="1628"/>
      <c r="G891" s="1638" t="s">
        <v>520</v>
      </c>
      <c r="H891" s="1628" t="s">
        <v>1678</v>
      </c>
      <c r="K891" s="1629">
        <f>K889-1800.2</f>
        <v>1722.6943424183999</v>
      </c>
      <c r="M891" s="1640">
        <v>0.25</v>
      </c>
      <c r="N891" s="1628" t="s">
        <v>4</v>
      </c>
      <c r="O891" s="1627" t="s">
        <v>415</v>
      </c>
      <c r="P891" s="1640">
        <f>C12</f>
        <v>865.19999999999993</v>
      </c>
      <c r="Q891" s="1628" t="s">
        <v>566</v>
      </c>
      <c r="R891" s="1640">
        <f>(M891*P891)</f>
        <v>216.29999999999998</v>
      </c>
      <c r="S891" s="1629"/>
      <c r="T891" s="1638" t="s">
        <v>514</v>
      </c>
      <c r="U891" s="1628" t="s">
        <v>1679</v>
      </c>
      <c r="W891" s="1634"/>
      <c r="AG891" s="1640" t="str">
        <f t="shared" si="115"/>
        <v>|</v>
      </c>
      <c r="AI891" s="1627" t="s">
        <v>1095</v>
      </c>
    </row>
    <row r="892" spans="6:35" ht="24" customHeight="1">
      <c r="H892" s="1628" t="s">
        <v>1662</v>
      </c>
      <c r="R892" s="1636" t="s">
        <v>21</v>
      </c>
      <c r="S892" s="1629"/>
      <c r="T892" s="1630"/>
      <c r="U892" s="1628" t="s">
        <v>1662</v>
      </c>
      <c r="W892" s="1634"/>
      <c r="AG892" s="1640" t="str">
        <f t="shared" si="115"/>
        <v>|</v>
      </c>
      <c r="AI892" s="1627" t="s">
        <v>1095</v>
      </c>
    </row>
    <row r="893" spans="6:35" ht="24" customHeight="1">
      <c r="F893" s="1691">
        <v>3.5299999999999998E-2</v>
      </c>
      <c r="G893" s="1638" t="s">
        <v>151</v>
      </c>
      <c r="H893" s="1627" t="s">
        <v>1652</v>
      </c>
      <c r="I893" s="1640">
        <f t="shared" ref="I893:I898" si="119">I877</f>
        <v>9891.1648755000006</v>
      </c>
      <c r="J893" s="1627" t="s">
        <v>151</v>
      </c>
      <c r="K893" s="1640">
        <f>F893*I893</f>
        <v>349.15812010514998</v>
      </c>
      <c r="O893" s="1628" t="s">
        <v>1680</v>
      </c>
      <c r="R893" s="1640">
        <f>SUM(R890:R891)</f>
        <v>864.49999999999989</v>
      </c>
      <c r="S893" s="1691">
        <v>5.91E-2</v>
      </c>
      <c r="T893" s="1638" t="s">
        <v>151</v>
      </c>
      <c r="U893" s="1627" t="s">
        <v>1652</v>
      </c>
      <c r="V893" s="1640">
        <f>V877</f>
        <v>9891.1648755000006</v>
      </c>
      <c r="W893" s="1628" t="s">
        <v>151</v>
      </c>
      <c r="X893" s="1640">
        <f>S893*V893</f>
        <v>584.56784414205003</v>
      </c>
      <c r="Y893" s="1640"/>
      <c r="AG893" s="1640" t="str">
        <f t="shared" si="115"/>
        <v>|</v>
      </c>
      <c r="AI893" s="1627" t="s">
        <v>1095</v>
      </c>
    </row>
    <row r="894" spans="6:35" ht="24" customHeight="1">
      <c r="F894" s="1640">
        <v>4.59</v>
      </c>
      <c r="G894" s="1638" t="s">
        <v>13</v>
      </c>
      <c r="H894" s="1627" t="s">
        <v>1654</v>
      </c>
      <c r="I894" s="1640">
        <f t="shared" si="119"/>
        <v>98792.5</v>
      </c>
      <c r="J894" s="1627" t="s">
        <v>251</v>
      </c>
      <c r="K894" s="1640">
        <f>F894*I894/1000</f>
        <v>453.45757500000002</v>
      </c>
      <c r="R894" s="1636" t="s">
        <v>21</v>
      </c>
      <c r="S894" s="1707">
        <v>6.58</v>
      </c>
      <c r="T894" s="1638" t="s">
        <v>13</v>
      </c>
      <c r="U894" s="1627" t="s">
        <v>1654</v>
      </c>
      <c r="V894" s="1640">
        <f t="shared" ref="V894:V902" si="120">V878</f>
        <v>98792.5</v>
      </c>
      <c r="W894" s="1628" t="s">
        <v>251</v>
      </c>
      <c r="X894" s="1640">
        <f>S894*V894/1000</f>
        <v>650.05465000000004</v>
      </c>
      <c r="Y894" s="1640"/>
      <c r="AG894" s="1640" t="str">
        <f t="shared" si="115"/>
        <v>|</v>
      </c>
      <c r="AI894" s="1627" t="s">
        <v>1095</v>
      </c>
    </row>
    <row r="895" spans="6:35" ht="24" customHeight="1">
      <c r="F895" s="1640">
        <v>3</v>
      </c>
      <c r="G895" s="1638" t="s">
        <v>153</v>
      </c>
      <c r="H895" s="1627" t="s">
        <v>1656</v>
      </c>
      <c r="I895" s="1690">
        <f t="shared" si="119"/>
        <v>14.8</v>
      </c>
      <c r="J895" s="1627" t="s">
        <v>153</v>
      </c>
      <c r="K895" s="1640">
        <f t="shared" ref="K895:K902" si="121">F895*I895</f>
        <v>44.400000000000006</v>
      </c>
      <c r="O895" s="1628" t="s">
        <v>1681</v>
      </c>
      <c r="R895" s="1640">
        <f>R893/0.0283</f>
        <v>30547.703180212011</v>
      </c>
      <c r="S895" s="1640">
        <v>3</v>
      </c>
      <c r="T895" s="1638" t="s">
        <v>153</v>
      </c>
      <c r="U895" s="1627" t="s">
        <v>1656</v>
      </c>
      <c r="V895" s="1640">
        <f t="shared" si="120"/>
        <v>14.8</v>
      </c>
      <c r="W895" s="1628" t="s">
        <v>153</v>
      </c>
      <c r="X895" s="1640">
        <f t="shared" ref="X895:X902" si="122">S895*V895</f>
        <v>44.400000000000006</v>
      </c>
      <c r="Y895" s="1640"/>
      <c r="AG895" s="1640" t="str">
        <f t="shared" si="115"/>
        <v>|</v>
      </c>
      <c r="AI895" s="1627" t="s">
        <v>1095</v>
      </c>
    </row>
    <row r="896" spans="6:35" ht="24" customHeight="1">
      <c r="F896" s="1640">
        <v>12</v>
      </c>
      <c r="G896" s="1638" t="s">
        <v>153</v>
      </c>
      <c r="H896" s="1627" t="s">
        <v>1657</v>
      </c>
      <c r="I896" s="1690">
        <f t="shared" si="119"/>
        <v>2</v>
      </c>
      <c r="J896" s="1627" t="s">
        <v>153</v>
      </c>
      <c r="K896" s="1640">
        <f t="shared" si="121"/>
        <v>24</v>
      </c>
      <c r="R896" s="1636" t="s">
        <v>21</v>
      </c>
      <c r="S896" s="1640">
        <v>12</v>
      </c>
      <c r="T896" s="1638" t="s">
        <v>153</v>
      </c>
      <c r="U896" s="1627" t="s">
        <v>1657</v>
      </c>
      <c r="V896" s="1640">
        <f t="shared" si="120"/>
        <v>2</v>
      </c>
      <c r="W896" s="1628" t="s">
        <v>153</v>
      </c>
      <c r="X896" s="1640">
        <f t="shared" si="122"/>
        <v>24</v>
      </c>
      <c r="Y896" s="1640"/>
      <c r="AG896" s="1640" t="str">
        <f t="shared" si="115"/>
        <v>|</v>
      </c>
      <c r="AI896" s="1627" t="s">
        <v>1095</v>
      </c>
    </row>
    <row r="897" spans="6:35" ht="24" customHeight="1">
      <c r="F897" s="1640">
        <v>2</v>
      </c>
      <c r="G897" s="1638" t="s">
        <v>153</v>
      </c>
      <c r="H897" s="1640" t="str">
        <f>H881</f>
        <v>TOWER BOLT RECEIVER</v>
      </c>
      <c r="I897" s="1690">
        <f t="shared" si="119"/>
        <v>4.9000000000000004</v>
      </c>
      <c r="J897" s="1627" t="s">
        <v>153</v>
      </c>
      <c r="K897" s="1640">
        <f t="shared" si="121"/>
        <v>9.8000000000000007</v>
      </c>
      <c r="S897" s="1640">
        <v>2</v>
      </c>
      <c r="T897" s="1638" t="s">
        <v>153</v>
      </c>
      <c r="U897" s="1627" t="s">
        <v>1658</v>
      </c>
      <c r="V897" s="1640">
        <f t="shared" si="120"/>
        <v>4.9000000000000004</v>
      </c>
      <c r="W897" s="1628" t="s">
        <v>153</v>
      </c>
      <c r="X897" s="1640">
        <f t="shared" si="122"/>
        <v>9.8000000000000007</v>
      </c>
      <c r="Y897" s="1640"/>
      <c r="AG897" s="1640" t="str">
        <f t="shared" si="115"/>
        <v>|</v>
      </c>
      <c r="AI897" s="1627" t="s">
        <v>1095</v>
      </c>
    </row>
    <row r="898" spans="6:35" ht="24" customHeight="1">
      <c r="F898" s="1640">
        <v>6</v>
      </c>
      <c r="G898" s="1638" t="s">
        <v>153</v>
      </c>
      <c r="H898" s="1627" t="s">
        <v>1660</v>
      </c>
      <c r="I898" s="1690">
        <f t="shared" si="119"/>
        <v>4.45</v>
      </c>
      <c r="J898" s="1627" t="s">
        <v>153</v>
      </c>
      <c r="K898" s="1640">
        <f t="shared" si="121"/>
        <v>26.700000000000003</v>
      </c>
      <c r="S898" s="1640">
        <v>6</v>
      </c>
      <c r="T898" s="1638" t="s">
        <v>153</v>
      </c>
      <c r="U898" s="1627" t="s">
        <v>1660</v>
      </c>
      <c r="V898" s="1640">
        <f t="shared" si="120"/>
        <v>4.45</v>
      </c>
      <c r="W898" s="1628" t="s">
        <v>153</v>
      </c>
      <c r="X898" s="1640">
        <f t="shared" si="122"/>
        <v>26.700000000000003</v>
      </c>
      <c r="Y898" s="1640"/>
      <c r="AG898" s="1640" t="str">
        <f t="shared" si="115"/>
        <v>|</v>
      </c>
      <c r="AI898" s="1627" t="s">
        <v>1095</v>
      </c>
    </row>
    <row r="899" spans="6:35" ht="24" customHeight="1">
      <c r="F899" s="1640">
        <v>1</v>
      </c>
      <c r="G899" s="1638" t="s">
        <v>153</v>
      </c>
      <c r="H899" s="1627" t="s">
        <v>1663</v>
      </c>
      <c r="I899" s="1640">
        <f>C10</f>
        <v>1325.8</v>
      </c>
      <c r="J899" s="1627" t="s">
        <v>153</v>
      </c>
      <c r="K899" s="1640">
        <f t="shared" si="121"/>
        <v>1325.8</v>
      </c>
      <c r="S899" s="1640">
        <v>1</v>
      </c>
      <c r="T899" s="1638" t="s">
        <v>153</v>
      </c>
      <c r="U899" s="1627" t="s">
        <v>1663</v>
      </c>
      <c r="V899" s="1640">
        <f t="shared" si="120"/>
        <v>1325.8</v>
      </c>
      <c r="W899" s="1628" t="s">
        <v>153</v>
      </c>
      <c r="X899" s="1640">
        <f t="shared" si="122"/>
        <v>1325.8</v>
      </c>
      <c r="Y899" s="1640"/>
      <c r="AG899" s="1640" t="str">
        <f t="shared" si="115"/>
        <v>|</v>
      </c>
      <c r="AI899" s="1627" t="s">
        <v>1095</v>
      </c>
    </row>
    <row r="900" spans="6:35" ht="24" customHeight="1">
      <c r="F900" s="1640">
        <v>1</v>
      </c>
      <c r="G900" s="1638" t="s">
        <v>153</v>
      </c>
      <c r="H900" s="1627" t="s">
        <v>1664</v>
      </c>
      <c r="I900" s="1640">
        <f>C12</f>
        <v>865.19999999999993</v>
      </c>
      <c r="J900" s="1627" t="s">
        <v>153</v>
      </c>
      <c r="K900" s="1640">
        <f t="shared" si="121"/>
        <v>865.19999999999993</v>
      </c>
      <c r="S900" s="1640">
        <v>1</v>
      </c>
      <c r="T900" s="1638" t="s">
        <v>153</v>
      </c>
      <c r="U900" s="1627" t="s">
        <v>1664</v>
      </c>
      <c r="V900" s="1640">
        <f t="shared" si="120"/>
        <v>865.19999999999993</v>
      </c>
      <c r="W900" s="1628" t="s">
        <v>153</v>
      </c>
      <c r="X900" s="1640">
        <f t="shared" si="122"/>
        <v>865.19999999999993</v>
      </c>
      <c r="Y900" s="1640"/>
      <c r="AG900" s="1640" t="str">
        <f t="shared" si="115"/>
        <v>|</v>
      </c>
      <c r="AI900" s="1627" t="s">
        <v>1095</v>
      </c>
    </row>
    <row r="901" spans="6:35" ht="101.25" customHeight="1">
      <c r="F901" s="1640">
        <v>1</v>
      </c>
      <c r="G901" s="1638" t="s">
        <v>153</v>
      </c>
      <c r="H901" s="1640" t="str">
        <f>H885</f>
        <v>MOULDING CHARGES</v>
      </c>
      <c r="I901" s="1690">
        <v>25</v>
      </c>
      <c r="J901" s="1627" t="s">
        <v>153</v>
      </c>
      <c r="K901" s="1640">
        <f t="shared" si="121"/>
        <v>25</v>
      </c>
      <c r="S901" s="1640">
        <v>1</v>
      </c>
      <c r="T901" s="1638" t="s">
        <v>153</v>
      </c>
      <c r="U901" s="1627" t="s">
        <v>1665</v>
      </c>
      <c r="V901" s="1640">
        <f t="shared" si="120"/>
        <v>25</v>
      </c>
      <c r="W901" s="1628" t="s">
        <v>153</v>
      </c>
      <c r="X901" s="1640">
        <f t="shared" si="122"/>
        <v>25</v>
      </c>
      <c r="Y901" s="1640"/>
      <c r="AG901" s="1640">
        <f t="shared" si="115"/>
        <v>0</v>
      </c>
    </row>
    <row r="902" spans="6:35" ht="44.25" customHeight="1">
      <c r="F902" s="1640">
        <v>0.5</v>
      </c>
      <c r="G902" s="1638" t="s">
        <v>153</v>
      </c>
      <c r="H902" s="1627" t="s">
        <v>1666</v>
      </c>
      <c r="I902" s="1640">
        <f>C13</f>
        <v>709.8</v>
      </c>
      <c r="J902" s="1627" t="s">
        <v>153</v>
      </c>
      <c r="K902" s="1640">
        <f t="shared" si="121"/>
        <v>354.9</v>
      </c>
      <c r="M902" s="1640"/>
      <c r="N902" s="1627"/>
      <c r="O902" s="1627"/>
      <c r="P902" s="1640"/>
      <c r="R902" s="1640"/>
      <c r="S902" s="1640">
        <v>0.5</v>
      </c>
      <c r="T902" s="1638" t="s">
        <v>153</v>
      </c>
      <c r="U902" s="1627" t="s">
        <v>1666</v>
      </c>
      <c r="V902" s="1640">
        <f t="shared" si="120"/>
        <v>709.8</v>
      </c>
      <c r="W902" s="1628" t="s">
        <v>153</v>
      </c>
      <c r="X902" s="1640">
        <f t="shared" si="122"/>
        <v>354.9</v>
      </c>
      <c r="Y902" s="1640"/>
      <c r="AG902" s="1640">
        <f t="shared" si="115"/>
        <v>0</v>
      </c>
    </row>
    <row r="903" spans="6:35" ht="39.75" customHeight="1">
      <c r="G903" s="1638" t="s">
        <v>226</v>
      </c>
      <c r="H903" s="1627" t="s">
        <v>1667</v>
      </c>
      <c r="J903" s="1627" t="s">
        <v>226</v>
      </c>
      <c r="K903" s="1640">
        <v>1.39</v>
      </c>
      <c r="M903" s="1692"/>
      <c r="N903" s="1627"/>
      <c r="O903" s="1627"/>
      <c r="P903" s="1640"/>
      <c r="R903" s="1640"/>
      <c r="S903" s="1629"/>
      <c r="T903" s="1638" t="s">
        <v>226</v>
      </c>
      <c r="U903" s="1627" t="s">
        <v>1667</v>
      </c>
      <c r="W903" s="1628" t="s">
        <v>226</v>
      </c>
      <c r="X903" s="1640">
        <v>0.21</v>
      </c>
      <c r="Y903" s="1640"/>
      <c r="AG903" s="1640">
        <f t="shared" si="115"/>
        <v>0</v>
      </c>
    </row>
    <row r="904" spans="6:35" ht="24" customHeight="1">
      <c r="K904" s="1636" t="s">
        <v>21</v>
      </c>
      <c r="M904" s="1640"/>
      <c r="N904" s="1627"/>
      <c r="O904" s="1627"/>
      <c r="P904" s="1640"/>
      <c r="R904" s="1640"/>
      <c r="S904" s="1629"/>
      <c r="T904" s="1630"/>
      <c r="W904" s="1634"/>
      <c r="X904" s="1636" t="s">
        <v>21</v>
      </c>
      <c r="Y904" s="1636"/>
      <c r="AG904" s="1640">
        <f t="shared" si="115"/>
        <v>0</v>
      </c>
    </row>
    <row r="905" spans="6:35" ht="24" customHeight="1">
      <c r="H905" s="1641" t="s">
        <v>1668</v>
      </c>
      <c r="K905" s="1639">
        <f>SUM(K893:K903)</f>
        <v>3479.8056951051499</v>
      </c>
      <c r="R905" s="1640"/>
      <c r="S905" s="1629"/>
      <c r="T905" s="1630"/>
      <c r="U905" s="1641" t="s">
        <v>1668</v>
      </c>
      <c r="W905" s="1634"/>
      <c r="X905" s="1639">
        <f>SUM(X893:X903)</f>
        <v>3910.6324941420503</v>
      </c>
      <c r="Y905" s="1639"/>
      <c r="AG905" s="1640">
        <f t="shared" si="115"/>
        <v>0</v>
      </c>
    </row>
    <row r="906" spans="6:35" ht="24" customHeight="1">
      <c r="K906" s="1636" t="s">
        <v>21</v>
      </c>
      <c r="W906" s="1634"/>
      <c r="AG906" s="1640">
        <f t="shared" si="115"/>
        <v>0</v>
      </c>
    </row>
    <row r="907" spans="6:35" ht="24" customHeight="1">
      <c r="R907" s="1636"/>
      <c r="W907" s="1634"/>
      <c r="AG907" s="1640">
        <f t="shared" si="115"/>
        <v>0</v>
      </c>
    </row>
    <row r="908" spans="6:35" ht="55.5" customHeight="1">
      <c r="F908" s="1708">
        <v>21.3</v>
      </c>
      <c r="G908" s="1638" t="s">
        <v>249</v>
      </c>
      <c r="H908" s="1709" t="s">
        <v>1682</v>
      </c>
      <c r="O908" s="1628"/>
      <c r="R908" s="1640"/>
      <c r="W908" s="1634"/>
      <c r="AG908" s="1640">
        <f t="shared" si="115"/>
        <v>0</v>
      </c>
    </row>
    <row r="909" spans="6:35" ht="24" customHeight="1">
      <c r="H909" s="1627" t="s">
        <v>1683</v>
      </c>
      <c r="W909" s="1634"/>
      <c r="AG909" s="1640">
        <f t="shared" si="115"/>
        <v>0</v>
      </c>
    </row>
    <row r="910" spans="6:35" ht="24" customHeight="1">
      <c r="H910" s="1636" t="s">
        <v>21</v>
      </c>
      <c r="J910" s="1632" t="s">
        <v>1684</v>
      </c>
      <c r="W910" s="1634"/>
      <c r="AG910" s="1640">
        <f t="shared" si="115"/>
        <v>0</v>
      </c>
    </row>
    <row r="911" spans="6:35" ht="24" customHeight="1">
      <c r="W911" s="1634"/>
      <c r="AG911" s="1640">
        <f t="shared" si="115"/>
        <v>0</v>
      </c>
    </row>
    <row r="912" spans="6:35" ht="24" customHeight="1">
      <c r="H912" s="1685" t="s">
        <v>5171</v>
      </c>
      <c r="J912" s="1627" t="s">
        <v>152</v>
      </c>
      <c r="K912" s="1639">
        <v>2135</v>
      </c>
      <c r="W912" s="1634"/>
      <c r="AG912" s="1640">
        <f t="shared" si="115"/>
        <v>0</v>
      </c>
    </row>
    <row r="913" spans="6:35" ht="24" customHeight="1">
      <c r="F913" s="1627" t="s">
        <v>150</v>
      </c>
      <c r="W913" s="1634"/>
      <c r="AG913" s="1640">
        <f t="shared" si="115"/>
        <v>0</v>
      </c>
    </row>
    <row r="914" spans="6:35" ht="24" customHeight="1">
      <c r="H914" s="1628" t="s">
        <v>1686</v>
      </c>
      <c r="K914" s="1636" t="s">
        <v>156</v>
      </c>
      <c r="W914" s="1634"/>
      <c r="AG914" s="1640">
        <f t="shared" si="115"/>
        <v>0</v>
      </c>
    </row>
    <row r="915" spans="6:35" ht="24" customHeight="1">
      <c r="H915" s="1628" t="s">
        <v>1687</v>
      </c>
      <c r="W915" s="1634"/>
      <c r="AG915" s="1640">
        <f t="shared" si="115"/>
        <v>0</v>
      </c>
    </row>
    <row r="916" spans="6:35" ht="24" customHeight="1">
      <c r="F916" s="1683">
        <v>21.2</v>
      </c>
      <c r="H916" s="1661" t="s">
        <v>1688</v>
      </c>
      <c r="W916" s="1634"/>
      <c r="AG916" s="1640">
        <f t="shared" si="115"/>
        <v>0</v>
      </c>
    </row>
    <row r="917" spans="6:35" ht="24" customHeight="1">
      <c r="F917" s="1683"/>
      <c r="H917" s="1636" t="s">
        <v>21</v>
      </c>
      <c r="W917" s="1634"/>
      <c r="AG917" s="1640" t="str">
        <f t="shared" si="115"/>
        <v>|</v>
      </c>
      <c r="AI917" s="1627" t="s">
        <v>1095</v>
      </c>
    </row>
    <row r="918" spans="6:35" ht="24" customHeight="1">
      <c r="G918" s="1638" t="s">
        <v>1056</v>
      </c>
      <c r="H918" s="1627" t="s">
        <v>1689</v>
      </c>
      <c r="K918" s="1627" t="s">
        <v>150</v>
      </c>
      <c r="W918" s="1634"/>
      <c r="AG918" s="1640" t="str">
        <f t="shared" si="115"/>
        <v>|</v>
      </c>
      <c r="AI918" s="1627" t="s">
        <v>1095</v>
      </c>
    </row>
    <row r="919" spans="6:35" ht="24" customHeight="1">
      <c r="H919" s="1636" t="s">
        <v>21</v>
      </c>
      <c r="K919" s="1627" t="s">
        <v>150</v>
      </c>
      <c r="W919" s="1634"/>
      <c r="AG919" s="1640" t="str">
        <f t="shared" si="115"/>
        <v>|</v>
      </c>
      <c r="AI919" s="1627" t="s">
        <v>1095</v>
      </c>
    </row>
    <row r="920" spans="6:35" ht="24" customHeight="1">
      <c r="F920" s="1640">
        <v>1</v>
      </c>
      <c r="G920" s="1638" t="s">
        <v>151</v>
      </c>
      <c r="H920" s="1627" t="s">
        <v>1690</v>
      </c>
      <c r="I920" s="1640">
        <f>C30</f>
        <v>18172</v>
      </c>
      <c r="J920" s="1627" t="s">
        <v>151</v>
      </c>
      <c r="K920" s="1640">
        <f>(F920*I920)</f>
        <v>18172</v>
      </c>
      <c r="W920" s="1634"/>
      <c r="AG920" s="1640" t="str">
        <f t="shared" si="115"/>
        <v>|</v>
      </c>
      <c r="AI920" s="1627" t="s">
        <v>1095</v>
      </c>
    </row>
    <row r="921" spans="6:35" ht="24" customHeight="1">
      <c r="F921" s="1640">
        <v>1</v>
      </c>
      <c r="G921" s="1638" t="s">
        <v>151</v>
      </c>
      <c r="H921" s="1627" t="s">
        <v>1689</v>
      </c>
      <c r="I921" s="1640">
        <f>C88</f>
        <v>111600</v>
      </c>
      <c r="J921" s="1627" t="s">
        <v>151</v>
      </c>
      <c r="K921" s="1640">
        <f>(F921*I921)</f>
        <v>111600</v>
      </c>
      <c r="W921" s="1634"/>
      <c r="AG921" s="1640" t="str">
        <f t="shared" si="115"/>
        <v>|</v>
      </c>
      <c r="AI921" s="1627" t="s">
        <v>1095</v>
      </c>
    </row>
    <row r="922" spans="6:35" ht="24" customHeight="1">
      <c r="K922" s="1636" t="s">
        <v>156</v>
      </c>
      <c r="W922" s="1634"/>
      <c r="AG922" s="1640">
        <f t="shared" si="115"/>
        <v>0</v>
      </c>
    </row>
    <row r="923" spans="6:35" ht="24" customHeight="1">
      <c r="H923" s="1627" t="s">
        <v>1691</v>
      </c>
      <c r="K923" s="1639">
        <f>SUM(K920:K921)</f>
        <v>129772</v>
      </c>
      <c r="W923" s="1634"/>
      <c r="AG923" s="1640" t="str">
        <f t="shared" si="115"/>
        <v>|</v>
      </c>
      <c r="AI923" s="1627" t="s">
        <v>1095</v>
      </c>
    </row>
    <row r="924" spans="6:35" ht="24" customHeight="1">
      <c r="K924" s="1636" t="s">
        <v>156</v>
      </c>
      <c r="W924" s="1634"/>
      <c r="AG924" s="1640" t="str">
        <f t="shared" si="115"/>
        <v>|</v>
      </c>
      <c r="AI924" s="1627" t="s">
        <v>1095</v>
      </c>
    </row>
    <row r="925" spans="6:35" ht="24" customHeight="1">
      <c r="G925" s="1638" t="s">
        <v>6</v>
      </c>
      <c r="H925" s="1627" t="s">
        <v>1692</v>
      </c>
      <c r="K925" s="1627" t="s">
        <v>150</v>
      </c>
      <c r="W925" s="1634"/>
      <c r="AG925" s="1640" t="str">
        <f t="shared" si="115"/>
        <v>|</v>
      </c>
      <c r="AI925" s="1627" t="s">
        <v>1095</v>
      </c>
    </row>
    <row r="926" spans="6:35" ht="24" customHeight="1">
      <c r="H926" s="1636" t="s">
        <v>21</v>
      </c>
      <c r="M926" s="1628" t="s">
        <v>1693</v>
      </c>
      <c r="N926" s="1638" t="s">
        <v>249</v>
      </c>
      <c r="O926" s="1627" t="s">
        <v>1694</v>
      </c>
      <c r="Q926" s="1632"/>
      <c r="W926" s="1634"/>
      <c r="AG926" s="1640">
        <f t="shared" si="115"/>
        <v>0</v>
      </c>
      <c r="AI926" s="1627"/>
    </row>
    <row r="927" spans="6:35" ht="24" customHeight="1">
      <c r="F927" s="1640">
        <v>1</v>
      </c>
      <c r="G927" s="1638" t="s">
        <v>151</v>
      </c>
      <c r="H927" s="1627" t="s">
        <v>1690</v>
      </c>
      <c r="I927" s="1640">
        <f>C30</f>
        <v>18172</v>
      </c>
      <c r="J927" s="1627" t="s">
        <v>151</v>
      </c>
      <c r="K927" s="1640">
        <f>(F927*I927)</f>
        <v>18172</v>
      </c>
      <c r="N927" s="1630"/>
      <c r="O927" s="1627" t="s">
        <v>1695</v>
      </c>
      <c r="Q927" s="1632"/>
      <c r="W927" s="1634"/>
      <c r="AG927" s="1640" t="str">
        <f t="shared" si="115"/>
        <v>|</v>
      </c>
      <c r="AI927" s="1627" t="s">
        <v>1095</v>
      </c>
    </row>
    <row r="928" spans="6:35" ht="24" customHeight="1">
      <c r="F928" s="1640">
        <v>1</v>
      </c>
      <c r="G928" s="1638" t="s">
        <v>151</v>
      </c>
      <c r="H928" s="1627" t="s">
        <v>1689</v>
      </c>
      <c r="I928" s="1640">
        <f>C89</f>
        <v>99400</v>
      </c>
      <c r="J928" s="1627" t="s">
        <v>151</v>
      </c>
      <c r="K928" s="1640">
        <f>(F928*I928)</f>
        <v>99400</v>
      </c>
      <c r="N928" s="1630"/>
      <c r="O928" s="1627" t="s">
        <v>1696</v>
      </c>
      <c r="Q928" s="1632"/>
      <c r="W928" s="1634"/>
      <c r="AG928" s="1640" t="str">
        <f t="shared" si="115"/>
        <v>|</v>
      </c>
      <c r="AI928" s="1627" t="s">
        <v>1095</v>
      </c>
    </row>
    <row r="929" spans="6:35" ht="24" customHeight="1">
      <c r="K929" s="1636" t="s">
        <v>156</v>
      </c>
      <c r="N929" s="1630"/>
      <c r="O929" s="1636" t="s">
        <v>21</v>
      </c>
      <c r="Q929" s="1632"/>
      <c r="W929" s="1634"/>
      <c r="AG929" s="1640" t="str">
        <f t="shared" si="115"/>
        <v>|</v>
      </c>
      <c r="AI929" s="1627" t="s">
        <v>1095</v>
      </c>
    </row>
    <row r="930" spans="6:35" ht="24" customHeight="1">
      <c r="H930" s="1627" t="s">
        <v>1697</v>
      </c>
      <c r="K930" s="1639">
        <f>SUM(K927:K928)</f>
        <v>117572</v>
      </c>
      <c r="N930" s="1630"/>
      <c r="O930" s="1627" t="s">
        <v>1698</v>
      </c>
      <c r="Q930" s="1632"/>
      <c r="W930" s="1634"/>
      <c r="AG930" s="1640" t="str">
        <f t="shared" si="115"/>
        <v>|</v>
      </c>
      <c r="AI930" s="1627" t="s">
        <v>1095</v>
      </c>
    </row>
    <row r="931" spans="6:35" ht="24" customHeight="1">
      <c r="K931" s="1636" t="s">
        <v>156</v>
      </c>
      <c r="N931" s="1630"/>
      <c r="O931" s="1627" t="s">
        <v>1699</v>
      </c>
      <c r="Q931" s="1632"/>
      <c r="W931" s="1634"/>
      <c r="AG931" s="1640" t="str">
        <f t="shared" si="115"/>
        <v>|</v>
      </c>
      <c r="AI931" s="1627" t="s">
        <v>1095</v>
      </c>
    </row>
    <row r="932" spans="6:35" ht="24" customHeight="1">
      <c r="N932" s="1630"/>
      <c r="Q932" s="1627" t="s">
        <v>21</v>
      </c>
      <c r="W932" s="1634"/>
      <c r="AG932" s="1640" t="str">
        <f t="shared" si="115"/>
        <v>|</v>
      </c>
      <c r="AI932" s="1627" t="s">
        <v>1095</v>
      </c>
    </row>
    <row r="933" spans="6:35" ht="24" customHeight="1">
      <c r="F933" s="1628" t="s">
        <v>1693</v>
      </c>
      <c r="G933" s="1638" t="s">
        <v>249</v>
      </c>
      <c r="H933" s="1627" t="s">
        <v>1700</v>
      </c>
      <c r="N933" s="1630"/>
      <c r="O933" s="1627" t="s">
        <v>1701</v>
      </c>
      <c r="Q933" s="1632"/>
      <c r="W933" s="1634"/>
      <c r="AG933" s="1640" t="str">
        <f t="shared" si="115"/>
        <v>|</v>
      </c>
      <c r="AI933" s="1627" t="s">
        <v>1095</v>
      </c>
    </row>
    <row r="934" spans="6:35" ht="24" customHeight="1">
      <c r="H934" s="1627" t="s">
        <v>1695</v>
      </c>
      <c r="N934" s="1630"/>
      <c r="O934" s="1627" t="s">
        <v>1702</v>
      </c>
      <c r="Q934" s="1632"/>
      <c r="R934" s="1691">
        <v>2.4299999999999999E-2</v>
      </c>
      <c r="W934" s="1634"/>
      <c r="AG934" s="1640" t="str">
        <f t="shared" si="115"/>
        <v>|</v>
      </c>
      <c r="AI934" s="1627" t="s">
        <v>1095</v>
      </c>
    </row>
    <row r="935" spans="6:35" ht="24" customHeight="1">
      <c r="H935" s="1627" t="s">
        <v>1696</v>
      </c>
      <c r="N935" s="1630"/>
      <c r="Q935" s="1627" t="s">
        <v>150</v>
      </c>
      <c r="R935" s="1636" t="s">
        <v>21</v>
      </c>
      <c r="W935" s="1634"/>
      <c r="AG935" s="1640" t="str">
        <f t="shared" si="115"/>
        <v>|</v>
      </c>
      <c r="AI935" s="1627" t="s">
        <v>1095</v>
      </c>
    </row>
    <row r="936" spans="6:35" ht="24" customHeight="1">
      <c r="H936" s="1636" t="s">
        <v>21</v>
      </c>
      <c r="N936" s="1630"/>
      <c r="O936" s="1627" t="s">
        <v>1703</v>
      </c>
      <c r="Q936" s="1710" t="s">
        <v>150</v>
      </c>
      <c r="R936" s="1691">
        <v>1.47E-2</v>
      </c>
      <c r="W936" s="1634"/>
      <c r="AG936" s="1640" t="str">
        <f t="shared" si="115"/>
        <v>|</v>
      </c>
      <c r="AI936" s="1627" t="s">
        <v>1095</v>
      </c>
    </row>
    <row r="937" spans="6:35" ht="24" customHeight="1">
      <c r="H937" s="1627" t="s">
        <v>1698</v>
      </c>
      <c r="N937" s="1630"/>
      <c r="O937" s="1627" t="s">
        <v>1704</v>
      </c>
      <c r="Q937" s="1627" t="s">
        <v>150</v>
      </c>
      <c r="R937" s="1691">
        <v>4.5999999999999999E-3</v>
      </c>
      <c r="W937" s="1634"/>
      <c r="AG937" s="1640" t="str">
        <f t="shared" si="115"/>
        <v>|</v>
      </c>
      <c r="AI937" s="1627" t="s">
        <v>1095</v>
      </c>
    </row>
    <row r="938" spans="6:35" ht="24" customHeight="1">
      <c r="H938" s="1627" t="s">
        <v>1699</v>
      </c>
      <c r="N938" s="1630"/>
      <c r="Q938" s="1632"/>
      <c r="R938" s="1636" t="s">
        <v>21</v>
      </c>
      <c r="W938" s="1634"/>
      <c r="AG938" s="1640" t="str">
        <f t="shared" si="115"/>
        <v>|</v>
      </c>
      <c r="AI938" s="1627" t="s">
        <v>1095</v>
      </c>
    </row>
    <row r="939" spans="6:35" ht="24" customHeight="1">
      <c r="J939" s="1627" t="s">
        <v>21</v>
      </c>
      <c r="N939" s="1630"/>
      <c r="Q939" s="1632"/>
      <c r="R939" s="1691">
        <v>1.9300000000000001E-2</v>
      </c>
      <c r="W939" s="1634"/>
      <c r="AG939" s="1640" t="str">
        <f t="shared" si="115"/>
        <v>|</v>
      </c>
      <c r="AI939" s="1627" t="s">
        <v>1095</v>
      </c>
    </row>
    <row r="940" spans="6:35" ht="24" customHeight="1">
      <c r="H940" s="1627" t="s">
        <v>1701</v>
      </c>
      <c r="N940" s="1630"/>
      <c r="Q940" s="1632"/>
      <c r="R940" s="1636" t="s">
        <v>21</v>
      </c>
      <c r="W940" s="1634"/>
      <c r="AG940" s="1640" t="str">
        <f t="shared" si="115"/>
        <v>|</v>
      </c>
      <c r="AI940" s="1627" t="s">
        <v>1095</v>
      </c>
    </row>
    <row r="941" spans="6:35" ht="24" customHeight="1">
      <c r="H941" s="1627" t="s">
        <v>1702</v>
      </c>
      <c r="K941" s="1691">
        <v>2.4299999999999999E-2</v>
      </c>
      <c r="N941" s="1630"/>
      <c r="Q941" s="1632"/>
      <c r="W941" s="1634"/>
      <c r="AG941" s="1640" t="str">
        <f t="shared" si="115"/>
        <v>|</v>
      </c>
      <c r="AI941" s="1627" t="s">
        <v>1095</v>
      </c>
    </row>
    <row r="942" spans="6:35" ht="24" customHeight="1">
      <c r="J942" s="1627" t="s">
        <v>150</v>
      </c>
      <c r="K942" s="1636" t="s">
        <v>21</v>
      </c>
      <c r="N942" s="1630"/>
      <c r="Q942" s="1632"/>
      <c r="W942" s="1634"/>
      <c r="AG942" s="1640" t="str">
        <f t="shared" si="115"/>
        <v>|</v>
      </c>
      <c r="AI942" s="1627" t="s">
        <v>1095</v>
      </c>
    </row>
    <row r="943" spans="6:35" ht="24" customHeight="1">
      <c r="H943" s="1627" t="s">
        <v>1703</v>
      </c>
      <c r="J943" s="1710" t="s">
        <v>150</v>
      </c>
      <c r="K943" s="1691">
        <v>1.47E-2</v>
      </c>
      <c r="M943" s="1691">
        <v>1.14E-2</v>
      </c>
      <c r="N943" s="1638" t="s">
        <v>151</v>
      </c>
      <c r="O943" s="1627" t="s">
        <v>1705</v>
      </c>
      <c r="P943" s="1640">
        <f>C86</f>
        <v>34300</v>
      </c>
      <c r="Q943" s="1627" t="s">
        <v>151</v>
      </c>
      <c r="R943" s="1640">
        <f>(M943*P943)</f>
        <v>391.02000000000004</v>
      </c>
      <c r="W943" s="1634"/>
      <c r="AG943" s="1640" t="str">
        <f t="shared" si="115"/>
        <v>|</v>
      </c>
      <c r="AI943" s="1627" t="s">
        <v>1095</v>
      </c>
    </row>
    <row r="944" spans="6:35" ht="24" customHeight="1">
      <c r="H944" s="1627" t="s">
        <v>1704</v>
      </c>
      <c r="J944" s="1627" t="s">
        <v>150</v>
      </c>
      <c r="K944" s="1691">
        <v>4.5999999999999999E-3</v>
      </c>
      <c r="M944" s="1691">
        <v>2.4299999999999999E-2</v>
      </c>
      <c r="N944" s="1638" t="s">
        <v>151</v>
      </c>
      <c r="O944" s="1627" t="s">
        <v>1706</v>
      </c>
      <c r="P944" s="1640">
        <f>P943</f>
        <v>34300</v>
      </c>
      <c r="Q944" s="1627" t="s">
        <v>151</v>
      </c>
      <c r="R944" s="1640">
        <f>(M944*P944)</f>
        <v>833.49</v>
      </c>
      <c r="W944" s="1634"/>
      <c r="AG944" s="1640" t="str">
        <f t="shared" si="115"/>
        <v>|</v>
      </c>
      <c r="AI944" s="1627" t="s">
        <v>1095</v>
      </c>
    </row>
    <row r="945" spans="6:35" ht="24" customHeight="1">
      <c r="K945" s="1636" t="s">
        <v>21</v>
      </c>
      <c r="M945" s="1691">
        <v>1.9300000000000001E-2</v>
      </c>
      <c r="N945" s="1638" t="s">
        <v>151</v>
      </c>
      <c r="O945" s="1627" t="s">
        <v>1707</v>
      </c>
      <c r="P945" s="1640">
        <f>C87</f>
        <v>39400</v>
      </c>
      <c r="Q945" s="1627" t="s">
        <v>151</v>
      </c>
      <c r="R945" s="1640">
        <f>(M945*P945)</f>
        <v>760.42000000000007</v>
      </c>
      <c r="W945" s="1634"/>
      <c r="AG945" s="1640" t="str">
        <f t="shared" si="115"/>
        <v>|</v>
      </c>
      <c r="AI945" s="1627" t="s">
        <v>1095</v>
      </c>
    </row>
    <row r="946" spans="6:35" ht="24" customHeight="1">
      <c r="K946" s="1691">
        <v>1.9300000000000001E-2</v>
      </c>
      <c r="M946" s="1692"/>
      <c r="N946" s="1630"/>
      <c r="O946" s="1627"/>
      <c r="P946" s="1627" t="s">
        <v>150</v>
      </c>
      <c r="Q946" s="1632"/>
      <c r="R946" s="1627" t="s">
        <v>150</v>
      </c>
      <c r="W946" s="1634"/>
      <c r="AG946" s="1640">
        <f t="shared" si="115"/>
        <v>0</v>
      </c>
    </row>
    <row r="947" spans="6:35" ht="24" customHeight="1">
      <c r="K947" s="1636" t="s">
        <v>21</v>
      </c>
      <c r="M947" s="1692">
        <v>1.823</v>
      </c>
      <c r="N947" s="1638" t="s">
        <v>152</v>
      </c>
      <c r="O947" s="1627" t="s">
        <v>1708</v>
      </c>
      <c r="P947" s="1640">
        <f>I954</f>
        <v>2039.8</v>
      </c>
      <c r="Q947" s="1627" t="s">
        <v>152</v>
      </c>
      <c r="R947" s="1640">
        <f t="shared" ref="R947:R953" si="123">(M947*P947)</f>
        <v>3718.5553999999997</v>
      </c>
      <c r="W947" s="1634"/>
      <c r="AG947" s="1640">
        <f t="shared" si="115"/>
        <v>0</v>
      </c>
    </row>
    <row r="948" spans="6:35" ht="24" customHeight="1">
      <c r="M948" s="1640">
        <v>1</v>
      </c>
      <c r="N948" s="1638" t="s">
        <v>4</v>
      </c>
      <c r="O948" s="1627" t="s">
        <v>1709</v>
      </c>
      <c r="P948" s="1640">
        <f t="shared" ref="P948:P953" si="124">I955</f>
        <v>57.65</v>
      </c>
      <c r="Q948" s="1627" t="s">
        <v>153</v>
      </c>
      <c r="R948" s="1640">
        <f t="shared" si="123"/>
        <v>57.65</v>
      </c>
      <c r="W948" s="1634"/>
      <c r="AG948" s="1640">
        <f t="shared" si="115"/>
        <v>0</v>
      </c>
    </row>
    <row r="949" spans="6:35" ht="24" customHeight="1">
      <c r="M949" s="1640">
        <v>3</v>
      </c>
      <c r="N949" s="1638" t="s">
        <v>153</v>
      </c>
      <c r="O949" s="1627" t="s">
        <v>391</v>
      </c>
      <c r="P949" s="1640">
        <f t="shared" si="124"/>
        <v>89.6</v>
      </c>
      <c r="Q949" s="1627" t="s">
        <v>153</v>
      </c>
      <c r="R949" s="1640">
        <f t="shared" si="123"/>
        <v>268.79999999999995</v>
      </c>
      <c r="W949" s="1634"/>
      <c r="AG949" s="1640">
        <f t="shared" si="115"/>
        <v>0</v>
      </c>
    </row>
    <row r="950" spans="6:35" ht="24" customHeight="1">
      <c r="F950" s="1691">
        <v>1.14E-2</v>
      </c>
      <c r="G950" s="1638" t="s">
        <v>151</v>
      </c>
      <c r="H950" s="1627" t="s">
        <v>1710</v>
      </c>
      <c r="I950" s="1640">
        <f>C88</f>
        <v>111600</v>
      </c>
      <c r="J950" s="1627" t="s">
        <v>151</v>
      </c>
      <c r="K950" s="1640">
        <f>(F950*I950)</f>
        <v>1272.24</v>
      </c>
      <c r="M950" s="1640">
        <v>2</v>
      </c>
      <c r="N950" s="1638" t="s">
        <v>153</v>
      </c>
      <c r="O950" s="1627" t="s">
        <v>392</v>
      </c>
      <c r="P950" s="1640">
        <f t="shared" si="124"/>
        <v>64.8</v>
      </c>
      <c r="Q950" s="1627" t="s">
        <v>153</v>
      </c>
      <c r="R950" s="1640">
        <f t="shared" si="123"/>
        <v>129.6</v>
      </c>
      <c r="W950" s="1634"/>
      <c r="AG950" s="1640">
        <f t="shared" ref="AG950:AG1013" si="125">AI950</f>
        <v>0</v>
      </c>
    </row>
    <row r="951" spans="6:35" ht="24" customHeight="1">
      <c r="F951" s="1691">
        <v>2.4299999999999999E-2</v>
      </c>
      <c r="G951" s="1638" t="s">
        <v>151</v>
      </c>
      <c r="H951" s="1627" t="s">
        <v>1711</v>
      </c>
      <c r="I951" s="1640">
        <f>C89</f>
        <v>99400</v>
      </c>
      <c r="J951" s="1627" t="s">
        <v>151</v>
      </c>
      <c r="K951" s="1640">
        <f>(F951*I951)</f>
        <v>2415.42</v>
      </c>
      <c r="M951" s="1640">
        <v>1</v>
      </c>
      <c r="N951" s="1638" t="s">
        <v>153</v>
      </c>
      <c r="O951" s="1627" t="s">
        <v>393</v>
      </c>
      <c r="P951" s="1640">
        <f t="shared" si="124"/>
        <v>181</v>
      </c>
      <c r="Q951" s="1627" t="s">
        <v>153</v>
      </c>
      <c r="R951" s="1640">
        <f t="shared" si="123"/>
        <v>181</v>
      </c>
      <c r="W951" s="1634"/>
      <c r="AG951" s="1640">
        <f t="shared" si="125"/>
        <v>0</v>
      </c>
    </row>
    <row r="952" spans="6:35" ht="24" customHeight="1">
      <c r="F952" s="1691">
        <v>1.9300000000000001E-2</v>
      </c>
      <c r="G952" s="1638" t="s">
        <v>151</v>
      </c>
      <c r="H952" s="1627" t="s">
        <v>1712</v>
      </c>
      <c r="I952" s="1640">
        <f>C90</f>
        <v>95000</v>
      </c>
      <c r="J952" s="1627" t="s">
        <v>151</v>
      </c>
      <c r="K952" s="1640">
        <f>(F952*I952)</f>
        <v>1833.5</v>
      </c>
      <c r="M952" s="1640">
        <v>1</v>
      </c>
      <c r="N952" s="1638" t="s">
        <v>153</v>
      </c>
      <c r="O952" s="1627" t="s">
        <v>1713</v>
      </c>
      <c r="P952" s="1640">
        <f t="shared" si="124"/>
        <v>7.3</v>
      </c>
      <c r="Q952" s="1627" t="s">
        <v>153</v>
      </c>
      <c r="R952" s="1640">
        <f t="shared" si="123"/>
        <v>7.3</v>
      </c>
      <c r="W952" s="1634"/>
      <c r="AG952" s="1640">
        <f t="shared" si="125"/>
        <v>0</v>
      </c>
    </row>
    <row r="953" spans="6:35" ht="24" customHeight="1">
      <c r="F953" s="1692"/>
      <c r="H953" s="1627" t="s">
        <v>1714</v>
      </c>
      <c r="I953" s="1627" t="s">
        <v>150</v>
      </c>
      <c r="K953" s="1627" t="s">
        <v>150</v>
      </c>
      <c r="M953" s="1640">
        <v>1</v>
      </c>
      <c r="N953" s="1638" t="s">
        <v>153</v>
      </c>
      <c r="O953" s="1627" t="s">
        <v>886</v>
      </c>
      <c r="P953" s="1640">
        <f t="shared" si="124"/>
        <v>49.55</v>
      </c>
      <c r="Q953" s="1627" t="s">
        <v>153</v>
      </c>
      <c r="R953" s="1640">
        <f t="shared" si="123"/>
        <v>49.55</v>
      </c>
      <c r="W953" s="1634"/>
      <c r="AG953" s="1640">
        <f t="shared" si="125"/>
        <v>0</v>
      </c>
    </row>
    <row r="954" spans="6:35" ht="24" customHeight="1">
      <c r="F954" s="1692">
        <v>1.823</v>
      </c>
      <c r="G954" s="1638" t="s">
        <v>152</v>
      </c>
      <c r="H954" s="1627" t="s">
        <v>1708</v>
      </c>
      <c r="I954" s="1640">
        <f>C31</f>
        <v>2039.8</v>
      </c>
      <c r="J954" s="1627" t="s">
        <v>152</v>
      </c>
      <c r="K954" s="1640">
        <f t="shared" ref="K954:K961" si="126">(F954*I954)</f>
        <v>3718.5553999999997</v>
      </c>
      <c r="N954" s="1630"/>
      <c r="Q954" s="1632"/>
      <c r="R954" s="1636" t="s">
        <v>21</v>
      </c>
      <c r="W954" s="1634"/>
      <c r="AG954" s="1640">
        <f t="shared" si="125"/>
        <v>0</v>
      </c>
    </row>
    <row r="955" spans="6:35" ht="24" customHeight="1">
      <c r="F955" s="1640">
        <v>1</v>
      </c>
      <c r="G955" s="1638" t="s">
        <v>4</v>
      </c>
      <c r="H955" s="1627" t="s">
        <v>5630</v>
      </c>
      <c r="I955" s="1640">
        <f>C598</f>
        <v>57.65</v>
      </c>
      <c r="J955" s="1627" t="s">
        <v>153</v>
      </c>
      <c r="K955" s="1640">
        <f t="shared" si="126"/>
        <v>57.65</v>
      </c>
      <c r="N955" s="1630"/>
      <c r="O955" s="1627" t="s">
        <v>1716</v>
      </c>
      <c r="Q955" s="1632"/>
      <c r="R955" s="1640">
        <f>SUM(R943:R953)</f>
        <v>6397.3854000000001</v>
      </c>
      <c r="W955" s="1634"/>
      <c r="AG955" s="1640">
        <f t="shared" si="125"/>
        <v>0</v>
      </c>
    </row>
    <row r="956" spans="6:35" ht="24" customHeight="1">
      <c r="F956" s="1640">
        <v>3</v>
      </c>
      <c r="G956" s="1638" t="s">
        <v>153</v>
      </c>
      <c r="H956" s="1627" t="s">
        <v>5631</v>
      </c>
      <c r="I956" s="1640">
        <f>C279</f>
        <v>89.6</v>
      </c>
      <c r="J956" s="1627" t="s">
        <v>153</v>
      </c>
      <c r="K956" s="1640">
        <f t="shared" si="126"/>
        <v>268.79999999999995</v>
      </c>
      <c r="N956" s="1630"/>
      <c r="Q956" s="1632"/>
      <c r="R956" s="1636" t="s">
        <v>21</v>
      </c>
      <c r="W956" s="1634"/>
      <c r="AG956" s="1640">
        <f t="shared" si="125"/>
        <v>0</v>
      </c>
    </row>
    <row r="957" spans="6:35" ht="24" customHeight="1">
      <c r="F957" s="1640">
        <v>2</v>
      </c>
      <c r="G957" s="1638" t="s">
        <v>153</v>
      </c>
      <c r="H957" s="1627" t="s">
        <v>5632</v>
      </c>
      <c r="I957" s="1640">
        <f>C284</f>
        <v>64.8</v>
      </c>
      <c r="J957" s="1627" t="s">
        <v>153</v>
      </c>
      <c r="K957" s="1640">
        <f t="shared" si="126"/>
        <v>129.6</v>
      </c>
      <c r="N957" s="1630"/>
      <c r="O957" s="1641" t="s">
        <v>155</v>
      </c>
      <c r="Q957" s="1632"/>
      <c r="R957" s="1639">
        <f>R955/M947</f>
        <v>3509.2624245748766</v>
      </c>
      <c r="W957" s="1634"/>
      <c r="AG957" s="1640">
        <f t="shared" si="125"/>
        <v>0</v>
      </c>
    </row>
    <row r="958" spans="6:35" ht="24" customHeight="1">
      <c r="F958" s="1640">
        <v>1</v>
      </c>
      <c r="G958" s="1638" t="s">
        <v>153</v>
      </c>
      <c r="H958" s="1627" t="s">
        <v>5633</v>
      </c>
      <c r="I958" s="1640">
        <f>C286</f>
        <v>181</v>
      </c>
      <c r="J958" s="1627" t="s">
        <v>153</v>
      </c>
      <c r="K958" s="1640">
        <f t="shared" si="126"/>
        <v>181</v>
      </c>
      <c r="M958" s="1627" t="s">
        <v>150</v>
      </c>
      <c r="N958" s="1630"/>
      <c r="Q958" s="1632"/>
      <c r="W958" s="1634"/>
      <c r="AG958" s="1640">
        <f t="shared" si="125"/>
        <v>0</v>
      </c>
    </row>
    <row r="959" spans="6:35" ht="24" customHeight="1">
      <c r="F959" s="1640">
        <v>1</v>
      </c>
      <c r="G959" s="1638" t="s">
        <v>153</v>
      </c>
      <c r="H959" s="1627" t="s">
        <v>1713</v>
      </c>
      <c r="I959" s="1640">
        <f>C288</f>
        <v>7.3</v>
      </c>
      <c r="J959" s="1627" t="s">
        <v>153</v>
      </c>
      <c r="K959" s="1640">
        <f t="shared" si="126"/>
        <v>7.3</v>
      </c>
      <c r="N959" s="1630"/>
      <c r="Q959" s="1632"/>
      <c r="R959" s="1636" t="s">
        <v>156</v>
      </c>
      <c r="W959" s="1634"/>
      <c r="AG959" s="1640" t="str">
        <f t="shared" si="125"/>
        <v>|</v>
      </c>
      <c r="AI959" s="1627" t="s">
        <v>1095</v>
      </c>
    </row>
    <row r="960" spans="6:35" ht="24" customHeight="1">
      <c r="F960" s="1640">
        <v>1</v>
      </c>
      <c r="G960" s="1638" t="s">
        <v>153</v>
      </c>
      <c r="H960" s="1627" t="s">
        <v>5634</v>
      </c>
      <c r="I960" s="1640">
        <f>D598</f>
        <v>49.55</v>
      </c>
      <c r="J960" s="1627" t="s">
        <v>153</v>
      </c>
      <c r="K960" s="1640">
        <f t="shared" si="126"/>
        <v>49.55</v>
      </c>
      <c r="W960" s="1634"/>
      <c r="AG960" s="1640" t="str">
        <f t="shared" si="125"/>
        <v>|</v>
      </c>
      <c r="AI960" s="1627" t="s">
        <v>1095</v>
      </c>
    </row>
    <row r="961" spans="6:35" ht="24" customHeight="1">
      <c r="F961" s="1640">
        <v>64</v>
      </c>
      <c r="G961" s="1638" t="s">
        <v>1717</v>
      </c>
      <c r="H961" s="1685" t="s">
        <v>5635</v>
      </c>
      <c r="I961" s="1629">
        <v>2.41</v>
      </c>
      <c r="J961" s="1632" t="s">
        <v>1719</v>
      </c>
      <c r="K961" s="1640">
        <f t="shared" si="126"/>
        <v>154.24</v>
      </c>
      <c r="W961" s="1634"/>
      <c r="AG961" s="1640" t="str">
        <f t="shared" si="125"/>
        <v>|</v>
      </c>
      <c r="AI961" s="1627" t="s">
        <v>1095</v>
      </c>
    </row>
    <row r="962" spans="6:35" ht="24" customHeight="1">
      <c r="H962" s="1627" t="s">
        <v>1716</v>
      </c>
      <c r="K962" s="1640">
        <f>SUM(K950:K961)</f>
        <v>10087.855399999997</v>
      </c>
      <c r="W962" s="1634"/>
      <c r="AG962" s="1640" t="str">
        <f t="shared" si="125"/>
        <v>|</v>
      </c>
      <c r="AI962" s="1627" t="s">
        <v>1095</v>
      </c>
    </row>
    <row r="963" spans="6:35" ht="24" customHeight="1">
      <c r="K963" s="1636" t="s">
        <v>21</v>
      </c>
      <c r="W963" s="1634"/>
      <c r="AG963" s="1640" t="str">
        <f t="shared" si="125"/>
        <v>|</v>
      </c>
      <c r="AI963" s="1627" t="s">
        <v>1095</v>
      </c>
    </row>
    <row r="964" spans="6:35" ht="24" customHeight="1">
      <c r="H964" s="1641" t="s">
        <v>155</v>
      </c>
      <c r="K964" s="1639">
        <f>K962/F954</f>
        <v>5533.656280855731</v>
      </c>
      <c r="W964" s="1634"/>
      <c r="AG964" s="1640" t="str">
        <f t="shared" si="125"/>
        <v>|</v>
      </c>
      <c r="AI964" s="1627" t="s">
        <v>1095</v>
      </c>
    </row>
    <row r="965" spans="6:35" ht="24" customHeight="1">
      <c r="F965" s="1627" t="s">
        <v>150</v>
      </c>
      <c r="W965" s="1634"/>
      <c r="AG965" s="1640" t="str">
        <f t="shared" si="125"/>
        <v>|</v>
      </c>
      <c r="AI965" s="1627" t="s">
        <v>1095</v>
      </c>
    </row>
    <row r="966" spans="6:35" ht="24" customHeight="1">
      <c r="K966" s="1636" t="s">
        <v>156</v>
      </c>
      <c r="W966" s="1634"/>
      <c r="AG966" s="1640" t="str">
        <f t="shared" si="125"/>
        <v>|</v>
      </c>
      <c r="AI966" s="1627" t="s">
        <v>1095</v>
      </c>
    </row>
    <row r="967" spans="6:35" ht="24" customHeight="1">
      <c r="W967" s="1634"/>
      <c r="AG967" s="1640" t="str">
        <f t="shared" si="125"/>
        <v>|</v>
      </c>
      <c r="AI967" s="1627" t="s">
        <v>1095</v>
      </c>
    </row>
    <row r="968" spans="6:35" ht="24" customHeight="1">
      <c r="W968" s="1634"/>
      <c r="AG968" s="1640" t="str">
        <f t="shared" si="125"/>
        <v>|</v>
      </c>
      <c r="AI968" s="1627" t="s">
        <v>1095</v>
      </c>
    </row>
    <row r="969" spans="6:35" ht="24" customHeight="1">
      <c r="F969" s="1628" t="s">
        <v>1720</v>
      </c>
      <c r="G969" s="1638" t="s">
        <v>249</v>
      </c>
      <c r="H969" s="1627" t="s">
        <v>1700</v>
      </c>
      <c r="W969" s="1634"/>
      <c r="AG969" s="1640" t="str">
        <f t="shared" si="125"/>
        <v>|</v>
      </c>
      <c r="AI969" s="1627" t="s">
        <v>1095</v>
      </c>
    </row>
    <row r="970" spans="6:35" ht="24" customHeight="1">
      <c r="H970" s="1627" t="s">
        <v>1695</v>
      </c>
      <c r="W970" s="1634"/>
      <c r="AG970" s="1640" t="str">
        <f t="shared" si="125"/>
        <v>|</v>
      </c>
      <c r="AI970" s="1627" t="s">
        <v>1095</v>
      </c>
    </row>
    <row r="971" spans="6:35" ht="24" customHeight="1">
      <c r="H971" s="1627" t="s">
        <v>1721</v>
      </c>
      <c r="W971" s="1634"/>
      <c r="AG971" s="1640" t="str">
        <f t="shared" si="125"/>
        <v>|</v>
      </c>
      <c r="AI971" s="1627" t="s">
        <v>1095</v>
      </c>
    </row>
    <row r="972" spans="6:35" ht="24" customHeight="1">
      <c r="H972" s="1636" t="s">
        <v>21</v>
      </c>
      <c r="W972" s="1634"/>
      <c r="AG972" s="1640" t="str">
        <f t="shared" si="125"/>
        <v>|</v>
      </c>
      <c r="AI972" s="1627" t="s">
        <v>1095</v>
      </c>
    </row>
    <row r="973" spans="6:35" ht="24" customHeight="1">
      <c r="W973" s="1634"/>
      <c r="AG973" s="1640" t="str">
        <f t="shared" si="125"/>
        <v>|</v>
      </c>
      <c r="AI973" s="1627" t="s">
        <v>1095</v>
      </c>
    </row>
    <row r="974" spans="6:35" ht="24" customHeight="1">
      <c r="H974" s="1627" t="s">
        <v>1722</v>
      </c>
      <c r="W974" s="1634"/>
      <c r="AG974" s="1640">
        <f t="shared" si="125"/>
        <v>0</v>
      </c>
    </row>
    <row r="975" spans="6:35" ht="24" customHeight="1">
      <c r="H975" s="1627" t="s">
        <v>1723</v>
      </c>
      <c r="W975" s="1634"/>
      <c r="AG975" s="1640" t="str">
        <f t="shared" si="125"/>
        <v>|</v>
      </c>
      <c r="AI975" s="1627" t="s">
        <v>1095</v>
      </c>
    </row>
    <row r="976" spans="6:35" ht="24" customHeight="1">
      <c r="J976" s="1627" t="s">
        <v>21</v>
      </c>
      <c r="W976" s="1634"/>
      <c r="AG976" s="1640">
        <f t="shared" si="125"/>
        <v>0</v>
      </c>
    </row>
    <row r="977" spans="6:35" ht="24" customHeight="1">
      <c r="H977" s="1627" t="s">
        <v>1724</v>
      </c>
      <c r="W977" s="1634"/>
      <c r="AG977" s="1640">
        <f t="shared" si="125"/>
        <v>0</v>
      </c>
    </row>
    <row r="978" spans="6:35" ht="24" customHeight="1">
      <c r="H978" s="1627" t="s">
        <v>1725</v>
      </c>
      <c r="K978" s="1691">
        <v>2.1999999999999999E-2</v>
      </c>
      <c r="W978" s="1634"/>
      <c r="AG978" s="1640" t="str">
        <f t="shared" si="125"/>
        <v>|</v>
      </c>
      <c r="AI978" s="1627" t="s">
        <v>1095</v>
      </c>
    </row>
    <row r="979" spans="6:35" ht="24" customHeight="1">
      <c r="J979" s="1627" t="s">
        <v>150</v>
      </c>
      <c r="K979" s="1636" t="s">
        <v>21</v>
      </c>
      <c r="W979" s="1634"/>
      <c r="AG979" s="1640" t="str">
        <f t="shared" si="125"/>
        <v>|</v>
      </c>
      <c r="AI979" s="1627" t="s">
        <v>1095</v>
      </c>
    </row>
    <row r="980" spans="6:35" ht="24" customHeight="1">
      <c r="H980" s="1627" t="s">
        <v>1726</v>
      </c>
      <c r="J980" s="1710" t="s">
        <v>150</v>
      </c>
      <c r="K980" s="1691">
        <v>1.3100000000000001E-2</v>
      </c>
      <c r="W980" s="1634"/>
      <c r="AG980" s="1640" t="str">
        <f t="shared" si="125"/>
        <v>|</v>
      </c>
      <c r="AI980" s="1627" t="s">
        <v>1095</v>
      </c>
    </row>
    <row r="981" spans="6:35" ht="24" customHeight="1">
      <c r="H981" s="1627" t="s">
        <v>1727</v>
      </c>
      <c r="J981" s="1627" t="s">
        <v>150</v>
      </c>
      <c r="K981" s="1691">
        <v>3.3999999999999998E-3</v>
      </c>
      <c r="W981" s="1634"/>
      <c r="AG981" s="1640" t="str">
        <f t="shared" si="125"/>
        <v>|</v>
      </c>
      <c r="AI981" s="1627" t="s">
        <v>1095</v>
      </c>
    </row>
    <row r="982" spans="6:35" ht="24" customHeight="1">
      <c r="K982" s="1636" t="s">
        <v>21</v>
      </c>
      <c r="W982" s="1634"/>
      <c r="AG982" s="1640">
        <f t="shared" si="125"/>
        <v>0</v>
      </c>
    </row>
    <row r="983" spans="6:35" ht="24" customHeight="1">
      <c r="K983" s="1691">
        <v>1.6500000000000001E-2</v>
      </c>
      <c r="W983" s="1634"/>
      <c r="AG983" s="1640">
        <f t="shared" si="125"/>
        <v>0</v>
      </c>
    </row>
    <row r="984" spans="6:35" ht="24" customHeight="1">
      <c r="K984" s="1636" t="s">
        <v>21</v>
      </c>
      <c r="O984" s="1629" t="s">
        <v>1728</v>
      </c>
      <c r="W984" s="1634"/>
      <c r="AG984" s="1640">
        <f t="shared" si="125"/>
        <v>0</v>
      </c>
    </row>
    <row r="985" spans="6:35" ht="24" customHeight="1">
      <c r="F985" s="1691">
        <v>1.15E-2</v>
      </c>
      <c r="G985" s="1638" t="s">
        <v>151</v>
      </c>
      <c r="H985" s="1627" t="s">
        <v>1710</v>
      </c>
      <c r="I985" s="1640">
        <f>C88</f>
        <v>111600</v>
      </c>
      <c r="J985" s="1627" t="s">
        <v>151</v>
      </c>
      <c r="K985" s="1640">
        <f>(F985*I985)</f>
        <v>1283.4000000000001</v>
      </c>
      <c r="M985" s="1628" t="s">
        <v>1729</v>
      </c>
      <c r="N985" s="1638"/>
      <c r="O985" s="1627" t="s">
        <v>1730</v>
      </c>
      <c r="Q985" s="1632"/>
      <c r="R985" s="1627" t="s">
        <v>150</v>
      </c>
      <c r="W985" s="1634"/>
      <c r="AG985" s="1640">
        <f t="shared" si="125"/>
        <v>0</v>
      </c>
    </row>
    <row r="986" spans="6:35" ht="24" customHeight="1">
      <c r="F986" s="1691">
        <v>2.1999999999999999E-2</v>
      </c>
      <c r="G986" s="1638" t="s">
        <v>151</v>
      </c>
      <c r="H986" s="1627" t="s">
        <v>1711</v>
      </c>
      <c r="I986" s="1640">
        <f>C89</f>
        <v>99400</v>
      </c>
      <c r="J986" s="1627" t="s">
        <v>151</v>
      </c>
      <c r="K986" s="1640">
        <f>(F986*I986)</f>
        <v>2186.7999999999997</v>
      </c>
      <c r="N986" s="1630"/>
      <c r="O986" s="1636" t="s">
        <v>21</v>
      </c>
      <c r="Q986" s="1632"/>
      <c r="W986" s="1634"/>
      <c r="AG986" s="1640">
        <f t="shared" si="125"/>
        <v>0</v>
      </c>
    </row>
    <row r="987" spans="6:35" ht="24" customHeight="1">
      <c r="F987" s="1691">
        <v>1.6500000000000001E-2</v>
      </c>
      <c r="G987" s="1638" t="s">
        <v>151</v>
      </c>
      <c r="H987" s="1627" t="s">
        <v>1712</v>
      </c>
      <c r="I987" s="1640">
        <f>C90</f>
        <v>95000</v>
      </c>
      <c r="J987" s="1627" t="s">
        <v>151</v>
      </c>
      <c r="K987" s="1640">
        <f>(F987*I987)</f>
        <v>1567.5</v>
      </c>
      <c r="L987" s="1629" t="s">
        <v>5636</v>
      </c>
      <c r="M987" s="1711">
        <v>1.153E-2</v>
      </c>
      <c r="N987" s="1712" t="s">
        <v>151</v>
      </c>
      <c r="O987" s="1713" t="s">
        <v>877</v>
      </c>
      <c r="P987" s="1714">
        <f t="shared" ref="P987:P997" si="127">I1053</f>
        <v>111600</v>
      </c>
      <c r="Q987" s="1713" t="s">
        <v>151</v>
      </c>
      <c r="R987" s="1714">
        <f t="shared" ref="R987:R997" si="128">(M987*P987)</f>
        <v>1286.748</v>
      </c>
      <c r="W987" s="1634"/>
      <c r="AG987" s="1640">
        <f t="shared" si="125"/>
        <v>0</v>
      </c>
    </row>
    <row r="988" spans="6:35" ht="24" customHeight="1">
      <c r="F988" s="1691"/>
      <c r="H988" s="1627" t="s">
        <v>1714</v>
      </c>
      <c r="I988" s="1627" t="s">
        <v>150</v>
      </c>
      <c r="K988" s="1627" t="s">
        <v>150</v>
      </c>
      <c r="M988" s="1715">
        <v>1.013E-2</v>
      </c>
      <c r="N988" s="1638" t="s">
        <v>151</v>
      </c>
      <c r="O988" s="1627" t="s">
        <v>878</v>
      </c>
      <c r="P988" s="1714">
        <f t="shared" si="127"/>
        <v>99400</v>
      </c>
      <c r="Q988" s="1627" t="s">
        <v>151</v>
      </c>
      <c r="R988" s="1640">
        <f t="shared" si="128"/>
        <v>1006.922</v>
      </c>
      <c r="W988" s="1634"/>
      <c r="AG988" s="1640">
        <f t="shared" si="125"/>
        <v>0</v>
      </c>
    </row>
    <row r="989" spans="6:35" ht="24" customHeight="1">
      <c r="F989" s="1691">
        <v>1.64</v>
      </c>
      <c r="G989" s="1638" t="s">
        <v>152</v>
      </c>
      <c r="H989" s="1627" t="s">
        <v>1708</v>
      </c>
      <c r="I989" s="1640">
        <f>C31</f>
        <v>2039.8</v>
      </c>
      <c r="J989" s="1627" t="s">
        <v>152</v>
      </c>
      <c r="K989" s="1640">
        <f t="shared" ref="K989:K996" si="129">(F989*I989)</f>
        <v>3345.2719999999999</v>
      </c>
      <c r="M989" s="1715">
        <v>0.77780000000000005</v>
      </c>
      <c r="N989" s="1638" t="s">
        <v>152</v>
      </c>
      <c r="O989" s="1627" t="s">
        <v>879</v>
      </c>
      <c r="P989" s="1714">
        <f t="shared" si="127"/>
        <v>387.4</v>
      </c>
      <c r="Q989" s="1627" t="s">
        <v>152</v>
      </c>
      <c r="R989" s="1640">
        <f t="shared" si="128"/>
        <v>301.31972000000002</v>
      </c>
      <c r="W989" s="1634"/>
      <c r="AG989" s="1640">
        <f t="shared" si="125"/>
        <v>0</v>
      </c>
    </row>
    <row r="990" spans="6:35" ht="24" customHeight="1">
      <c r="F990" s="1640">
        <v>1</v>
      </c>
      <c r="G990" s="1638" t="s">
        <v>4</v>
      </c>
      <c r="H990" s="1627" t="s">
        <v>1715</v>
      </c>
      <c r="I990" s="1640">
        <f>C598</f>
        <v>57.65</v>
      </c>
      <c r="J990" s="1627" t="s">
        <v>153</v>
      </c>
      <c r="K990" s="1640">
        <f t="shared" si="129"/>
        <v>57.65</v>
      </c>
      <c r="M990" s="1715">
        <v>1.23</v>
      </c>
      <c r="N990" s="1638" t="s">
        <v>152</v>
      </c>
      <c r="O990" s="1627" t="s">
        <v>880</v>
      </c>
      <c r="P990" s="1714">
        <f t="shared" si="127"/>
        <v>1701</v>
      </c>
      <c r="Q990" s="1627" t="s">
        <v>152</v>
      </c>
      <c r="R990" s="1640">
        <f t="shared" si="128"/>
        <v>2092.23</v>
      </c>
      <c r="W990" s="1634"/>
      <c r="AG990" s="1640">
        <f t="shared" si="125"/>
        <v>0</v>
      </c>
    </row>
    <row r="991" spans="6:35" ht="24" customHeight="1">
      <c r="F991" s="1640">
        <v>3</v>
      </c>
      <c r="G991" s="1638" t="s">
        <v>153</v>
      </c>
      <c r="H991" s="1627" t="str">
        <f>H956</f>
        <v xml:space="preserve">  5"BUTT HINGS (p-40)</v>
      </c>
      <c r="I991" s="1640">
        <f>C279</f>
        <v>89.6</v>
      </c>
      <c r="J991" s="1627" t="s">
        <v>153</v>
      </c>
      <c r="K991" s="1640">
        <f t="shared" si="129"/>
        <v>268.79999999999995</v>
      </c>
      <c r="M991" s="1640">
        <v>2</v>
      </c>
      <c r="N991" s="1638" t="s">
        <v>153</v>
      </c>
      <c r="O991" s="1627" t="s">
        <v>881</v>
      </c>
      <c r="P991" s="1714">
        <f t="shared" si="127"/>
        <v>64.8</v>
      </c>
      <c r="Q991" s="1627" t="s">
        <v>153</v>
      </c>
      <c r="R991" s="1640">
        <f t="shared" si="128"/>
        <v>129.6</v>
      </c>
      <c r="W991" s="1634"/>
      <c r="AG991" s="1640">
        <f t="shared" si="125"/>
        <v>0</v>
      </c>
    </row>
    <row r="992" spans="6:35" ht="24" customHeight="1">
      <c r="F992" s="1640">
        <v>2</v>
      </c>
      <c r="G992" s="1638" t="s">
        <v>153</v>
      </c>
      <c r="H992" s="1627" t="str">
        <f t="shared" ref="H992:H996" si="130">H957</f>
        <v xml:space="preserve"> 6"X1/2"TOWER BOLT (p-40)</v>
      </c>
      <c r="I992" s="1640">
        <f>C284</f>
        <v>64.8</v>
      </c>
      <c r="J992" s="1627" t="s">
        <v>153</v>
      </c>
      <c r="K992" s="1640">
        <f t="shared" si="129"/>
        <v>129.6</v>
      </c>
      <c r="M992" s="1640">
        <v>3</v>
      </c>
      <c r="N992" s="1638" t="s">
        <v>153</v>
      </c>
      <c r="O992" s="1627" t="s">
        <v>1731</v>
      </c>
      <c r="P992" s="1714">
        <f t="shared" si="127"/>
        <v>89.6</v>
      </c>
      <c r="Q992" s="1627" t="s">
        <v>153</v>
      </c>
      <c r="R992" s="1640">
        <f t="shared" si="128"/>
        <v>268.79999999999995</v>
      </c>
      <c r="W992" s="1634"/>
      <c r="AG992" s="1640">
        <f t="shared" si="125"/>
        <v>0</v>
      </c>
    </row>
    <row r="993" spans="6:35" ht="24" customHeight="1">
      <c r="F993" s="1640">
        <v>1</v>
      </c>
      <c r="G993" s="1638" t="s">
        <v>153</v>
      </c>
      <c r="H993" s="1627" t="str">
        <f t="shared" si="130"/>
        <v>10"X5/8"ALDROP (p-41)</v>
      </c>
      <c r="I993" s="1640">
        <f>C286</f>
        <v>181</v>
      </c>
      <c r="J993" s="1627" t="s">
        <v>153</v>
      </c>
      <c r="K993" s="1640">
        <f t="shared" si="129"/>
        <v>181</v>
      </c>
      <c r="M993" s="1640">
        <v>1</v>
      </c>
      <c r="N993" s="1638" t="s">
        <v>153</v>
      </c>
      <c r="O993" s="1627" t="s">
        <v>883</v>
      </c>
      <c r="P993" s="1714">
        <f t="shared" si="127"/>
        <v>181</v>
      </c>
      <c r="Q993" s="1627" t="s">
        <v>153</v>
      </c>
      <c r="R993" s="1640">
        <f t="shared" si="128"/>
        <v>181</v>
      </c>
      <c r="W993" s="1634"/>
      <c r="AG993" s="1640">
        <f t="shared" si="125"/>
        <v>0</v>
      </c>
    </row>
    <row r="994" spans="6:35" ht="24" customHeight="1">
      <c r="F994" s="1640">
        <v>1</v>
      </c>
      <c r="G994" s="1638" t="s">
        <v>153</v>
      </c>
      <c r="H994" s="1627" t="str">
        <f t="shared" si="130"/>
        <v>NYLONBUSH</v>
      </c>
      <c r="I994" s="1640">
        <f>C288</f>
        <v>7.3</v>
      </c>
      <c r="J994" s="1627" t="s">
        <v>153</v>
      </c>
      <c r="K994" s="1640">
        <f t="shared" si="129"/>
        <v>7.3</v>
      </c>
      <c r="M994" s="1640">
        <v>1</v>
      </c>
      <c r="N994" s="1638" t="s">
        <v>153</v>
      </c>
      <c r="O994" s="1627" t="s">
        <v>884</v>
      </c>
      <c r="P994" s="1714">
        <f t="shared" si="127"/>
        <v>7.3</v>
      </c>
      <c r="Q994" s="1627" t="s">
        <v>153</v>
      </c>
      <c r="R994" s="1640">
        <f t="shared" si="128"/>
        <v>7.3</v>
      </c>
      <c r="W994" s="1634"/>
      <c r="AG994" s="1640" t="str">
        <f t="shared" si="125"/>
        <v>|</v>
      </c>
      <c r="AI994" s="1627" t="s">
        <v>1095</v>
      </c>
    </row>
    <row r="995" spans="6:35" ht="24" customHeight="1">
      <c r="F995" s="1640">
        <v>1</v>
      </c>
      <c r="G995" s="1638" t="s">
        <v>153</v>
      </c>
      <c r="H995" s="1627" t="str">
        <f t="shared" si="130"/>
        <v>DOOR STOPPER (p-41)</v>
      </c>
      <c r="I995" s="1640">
        <f>D598</f>
        <v>49.55</v>
      </c>
      <c r="J995" s="1627" t="s">
        <v>153</v>
      </c>
      <c r="K995" s="1640">
        <f t="shared" si="129"/>
        <v>49.55</v>
      </c>
      <c r="M995" s="1640">
        <v>1</v>
      </c>
      <c r="N995" s="1638" t="s">
        <v>153</v>
      </c>
      <c r="O995" s="1627" t="s">
        <v>1732</v>
      </c>
      <c r="P995" s="1714">
        <f t="shared" si="127"/>
        <v>57.65</v>
      </c>
      <c r="Q995" s="1627" t="s">
        <v>153</v>
      </c>
      <c r="R995" s="1640">
        <f t="shared" si="128"/>
        <v>57.65</v>
      </c>
      <c r="W995" s="1634"/>
      <c r="AG995" s="1640" t="str">
        <f t="shared" si="125"/>
        <v>|</v>
      </c>
      <c r="AI995" s="1627" t="s">
        <v>1095</v>
      </c>
    </row>
    <row r="996" spans="6:35" ht="24" customHeight="1">
      <c r="F996" s="1640">
        <v>10</v>
      </c>
      <c r="G996" s="1638" t="s">
        <v>1717</v>
      </c>
      <c r="H996" s="1627" t="str">
        <f t="shared" si="130"/>
        <v>Brass screw p-55 it-232</v>
      </c>
      <c r="I996" s="1640">
        <f>I961</f>
        <v>2.41</v>
      </c>
      <c r="J996" s="1627" t="s">
        <v>153</v>
      </c>
      <c r="K996" s="1640">
        <f t="shared" si="129"/>
        <v>24.1</v>
      </c>
      <c r="M996" s="1640">
        <v>1</v>
      </c>
      <c r="N996" s="1638" t="s">
        <v>153</v>
      </c>
      <c r="O996" s="1627" t="s">
        <v>886</v>
      </c>
      <c r="P996" s="1714">
        <f t="shared" si="127"/>
        <v>49.55</v>
      </c>
      <c r="Q996" s="1627" t="s">
        <v>153</v>
      </c>
      <c r="R996" s="1640">
        <f t="shared" si="128"/>
        <v>49.55</v>
      </c>
      <c r="W996" s="1634"/>
      <c r="AG996" s="1640" t="str">
        <f t="shared" si="125"/>
        <v>|</v>
      </c>
      <c r="AI996" s="1627" t="s">
        <v>1095</v>
      </c>
    </row>
    <row r="997" spans="6:35" ht="24" customHeight="1">
      <c r="K997" s="1636" t="s">
        <v>21</v>
      </c>
      <c r="M997" s="1640">
        <v>58</v>
      </c>
      <c r="N997" s="1630"/>
      <c r="O997" s="1627" t="s">
        <v>1734</v>
      </c>
      <c r="P997" s="1714">
        <f t="shared" si="127"/>
        <v>2.41</v>
      </c>
      <c r="Q997" s="1632"/>
      <c r="R997" s="1640">
        <f t="shared" si="128"/>
        <v>139.78</v>
      </c>
      <c r="W997" s="1634"/>
      <c r="AG997" s="1640" t="str">
        <f t="shared" si="125"/>
        <v>|</v>
      </c>
      <c r="AI997" s="1627" t="s">
        <v>1095</v>
      </c>
    </row>
    <row r="998" spans="6:35" ht="24" customHeight="1">
      <c r="H998" s="1627" t="s">
        <v>1735</v>
      </c>
      <c r="K998" s="1640">
        <f>SUM(K985:K996)</f>
        <v>9100.9719999999979</v>
      </c>
      <c r="N998" s="1630"/>
      <c r="O998" s="1628" t="s">
        <v>887</v>
      </c>
      <c r="Q998" s="1632"/>
      <c r="R998" s="1640">
        <f>SUM(R987:R997)</f>
        <v>5520.8997200000003</v>
      </c>
      <c r="W998" s="1634"/>
      <c r="AG998" s="1640" t="str">
        <f t="shared" si="125"/>
        <v>|</v>
      </c>
      <c r="AI998" s="1627" t="s">
        <v>1095</v>
      </c>
    </row>
    <row r="999" spans="6:35" ht="24" customHeight="1">
      <c r="K999" s="1636" t="s">
        <v>21</v>
      </c>
      <c r="N999" s="1638" t="s">
        <v>150</v>
      </c>
      <c r="Q999" s="1632"/>
      <c r="R999" s="1636" t="s">
        <v>21</v>
      </c>
      <c r="W999" s="1634"/>
      <c r="AG999" s="1640" t="str">
        <f t="shared" si="125"/>
        <v>|</v>
      </c>
      <c r="AI999" s="1627" t="s">
        <v>1095</v>
      </c>
    </row>
    <row r="1000" spans="6:35" ht="24" customHeight="1">
      <c r="H1000" s="1641" t="s">
        <v>5637</v>
      </c>
      <c r="K1000" s="1639">
        <f>K998/F989</f>
        <v>5549.3731707317065</v>
      </c>
      <c r="N1000" s="1630"/>
      <c r="O1000" s="1641" t="s">
        <v>155</v>
      </c>
      <c r="Q1000" s="1632"/>
      <c r="R1000" s="1639">
        <f>R998/M990</f>
        <v>4488.5363577235776</v>
      </c>
      <c r="W1000" s="1634"/>
      <c r="AG1000" s="1640" t="str">
        <f t="shared" si="125"/>
        <v>|</v>
      </c>
      <c r="AI1000" s="1627" t="s">
        <v>1095</v>
      </c>
    </row>
    <row r="1001" spans="6:35" ht="24" customHeight="1">
      <c r="K1001" s="1636" t="s">
        <v>156</v>
      </c>
      <c r="N1001" s="1630"/>
      <c r="Q1001" s="1632"/>
      <c r="R1001" s="1636" t="s">
        <v>156</v>
      </c>
      <c r="W1001" s="1634"/>
      <c r="AG1001" s="1640" t="str">
        <f t="shared" si="125"/>
        <v>|::</v>
      </c>
      <c r="AI1001" s="1627" t="s">
        <v>892</v>
      </c>
    </row>
    <row r="1002" spans="6:35" ht="24" customHeight="1">
      <c r="F1002" s="1628" t="s">
        <v>1736</v>
      </c>
      <c r="G1002" s="1638" t="s">
        <v>249</v>
      </c>
      <c r="H1002" s="1627" t="s">
        <v>1700</v>
      </c>
      <c r="W1002" s="1634"/>
      <c r="AG1002" s="1640">
        <f t="shared" si="125"/>
        <v>0</v>
      </c>
    </row>
    <row r="1003" spans="6:35" ht="24" customHeight="1">
      <c r="H1003" s="1627" t="s">
        <v>1695</v>
      </c>
      <c r="W1003" s="1634"/>
      <c r="AG1003" s="1640">
        <f t="shared" si="125"/>
        <v>0</v>
      </c>
    </row>
    <row r="1004" spans="6:35" ht="24" customHeight="1">
      <c r="H1004" s="1627" t="s">
        <v>1737</v>
      </c>
      <c r="W1004" s="1634"/>
      <c r="AG1004" s="1640" t="str">
        <f t="shared" si="125"/>
        <v>|</v>
      </c>
      <c r="AI1004" s="1627" t="s">
        <v>1095</v>
      </c>
    </row>
    <row r="1005" spans="6:35" ht="24" customHeight="1">
      <c r="H1005" s="1636" t="s">
        <v>21</v>
      </c>
      <c r="W1005" s="1634"/>
      <c r="AG1005" s="1640"/>
      <c r="AI1005" s="1627"/>
    </row>
    <row r="1006" spans="6:35" ht="24" customHeight="1">
      <c r="H1006" s="1627" t="s">
        <v>1738</v>
      </c>
      <c r="W1006" s="1634"/>
      <c r="AG1006" s="1640" t="str">
        <f t="shared" si="125"/>
        <v>|</v>
      </c>
      <c r="AI1006" s="1627" t="s">
        <v>1095</v>
      </c>
    </row>
    <row r="1007" spans="6:35" ht="24" customHeight="1">
      <c r="H1007" s="1627" t="s">
        <v>1699</v>
      </c>
      <c r="W1007" s="1634"/>
      <c r="AG1007" s="1640" t="str">
        <f t="shared" si="125"/>
        <v>|</v>
      </c>
      <c r="AI1007" s="1627" t="s">
        <v>1095</v>
      </c>
    </row>
    <row r="1008" spans="6:35" ht="24" customHeight="1">
      <c r="J1008" s="1627" t="s">
        <v>21</v>
      </c>
      <c r="W1008" s="1634"/>
      <c r="AG1008" s="1640" t="str">
        <f t="shared" si="125"/>
        <v>|</v>
      </c>
      <c r="AI1008" s="1627" t="s">
        <v>1095</v>
      </c>
    </row>
    <row r="1009" spans="6:35" ht="24" customHeight="1">
      <c r="H1009" s="1627" t="s">
        <v>1739</v>
      </c>
      <c r="W1009" s="1634"/>
      <c r="AG1009" s="1640" t="str">
        <f t="shared" si="125"/>
        <v>|</v>
      </c>
      <c r="AI1009" s="1627" t="s">
        <v>1095</v>
      </c>
    </row>
    <row r="1010" spans="6:35" ht="24" customHeight="1">
      <c r="H1010" s="1627" t="s">
        <v>1740</v>
      </c>
      <c r="K1010" s="1691">
        <v>1.1900000000000001E-2</v>
      </c>
      <c r="W1010" s="1634"/>
      <c r="AG1010" s="1640" t="str">
        <f t="shared" si="125"/>
        <v>|</v>
      </c>
      <c r="AI1010" s="1627" t="s">
        <v>1095</v>
      </c>
    </row>
    <row r="1011" spans="6:35" ht="24" customHeight="1">
      <c r="J1011" s="1627" t="s">
        <v>150</v>
      </c>
      <c r="K1011" s="1636" t="s">
        <v>21</v>
      </c>
      <c r="W1011" s="1634"/>
      <c r="AG1011" s="1640">
        <f t="shared" si="125"/>
        <v>0</v>
      </c>
    </row>
    <row r="1012" spans="6:35" ht="24" customHeight="1">
      <c r="H1012" s="1627" t="s">
        <v>1741</v>
      </c>
      <c r="J1012" s="1710" t="s">
        <v>150</v>
      </c>
      <c r="K1012" s="1691">
        <v>1.18E-2</v>
      </c>
      <c r="W1012" s="1634"/>
      <c r="AG1012" s="1640">
        <f t="shared" si="125"/>
        <v>0</v>
      </c>
    </row>
    <row r="1013" spans="6:35" ht="24" customHeight="1">
      <c r="H1013" s="1627" t="s">
        <v>646</v>
      </c>
      <c r="J1013" s="1627" t="s">
        <v>150</v>
      </c>
      <c r="K1013" s="1716" t="s">
        <v>21</v>
      </c>
      <c r="W1013" s="1634"/>
      <c r="AG1013" s="1640">
        <f t="shared" si="125"/>
        <v>0</v>
      </c>
    </row>
    <row r="1014" spans="6:35" ht="24" customHeight="1">
      <c r="W1014" s="1634"/>
      <c r="AG1014" s="1640">
        <f t="shared" ref="AG1014:AG1034" si="131">AI1014</f>
        <v>0</v>
      </c>
    </row>
    <row r="1015" spans="6:35" ht="24" customHeight="1">
      <c r="F1015" s="1691">
        <v>1.14E-2</v>
      </c>
      <c r="G1015" s="1638" t="s">
        <v>151</v>
      </c>
      <c r="H1015" s="1627" t="s">
        <v>1710</v>
      </c>
      <c r="I1015" s="1640">
        <f>C88</f>
        <v>111600</v>
      </c>
      <c r="J1015" s="1627" t="s">
        <v>151</v>
      </c>
      <c r="K1015" s="1640">
        <f>(F1015*I1015)</f>
        <v>1272.24</v>
      </c>
      <c r="W1015" s="1634"/>
      <c r="AG1015" s="1640">
        <f t="shared" si="131"/>
        <v>0</v>
      </c>
    </row>
    <row r="1016" spans="6:35" ht="24" customHeight="1">
      <c r="F1016" s="1691">
        <v>1.1900000000000001E-2</v>
      </c>
      <c r="G1016" s="1638" t="s">
        <v>151</v>
      </c>
      <c r="H1016" s="1627" t="s">
        <v>1711</v>
      </c>
      <c r="I1016" s="1640">
        <f>C89</f>
        <v>99400</v>
      </c>
      <c r="J1016" s="1627" t="s">
        <v>151</v>
      </c>
      <c r="K1016" s="1640">
        <f>(F1016*I1016)</f>
        <v>1182.8600000000001</v>
      </c>
      <c r="W1016" s="1634"/>
      <c r="AG1016" s="1640">
        <f t="shared" si="131"/>
        <v>0</v>
      </c>
    </row>
    <row r="1017" spans="6:35" ht="24" customHeight="1">
      <c r="F1017" s="1691">
        <v>1.18E-2</v>
      </c>
      <c r="G1017" s="1638" t="s">
        <v>151</v>
      </c>
      <c r="H1017" s="1627" t="s">
        <v>1712</v>
      </c>
      <c r="I1017" s="1640">
        <f>C90</f>
        <v>95000</v>
      </c>
      <c r="J1017" s="1627" t="s">
        <v>151</v>
      </c>
      <c r="K1017" s="1640">
        <f>(F1017*I1017)</f>
        <v>1121</v>
      </c>
      <c r="W1017" s="1634"/>
      <c r="AG1017" s="1640">
        <f t="shared" si="131"/>
        <v>0</v>
      </c>
    </row>
    <row r="1018" spans="6:35" ht="24" customHeight="1">
      <c r="F1018" s="1691"/>
      <c r="H1018" s="1627" t="s">
        <v>1714</v>
      </c>
      <c r="I1018" s="1627" t="s">
        <v>150</v>
      </c>
      <c r="K1018" s="1627" t="s">
        <v>150</v>
      </c>
      <c r="W1018" s="1634"/>
      <c r="AG1018" s="1640">
        <f t="shared" si="131"/>
        <v>0</v>
      </c>
    </row>
    <row r="1019" spans="6:35" ht="24" customHeight="1">
      <c r="F1019" s="1691">
        <v>1.2150000000000001</v>
      </c>
      <c r="G1019" s="1638" t="s">
        <v>152</v>
      </c>
      <c r="H1019" s="1627" t="s">
        <v>1708</v>
      </c>
      <c r="I1019" s="1640">
        <f>C31</f>
        <v>2039.8</v>
      </c>
      <c r="J1019" s="1627" t="s">
        <v>152</v>
      </c>
      <c r="K1019" s="1640">
        <f t="shared" ref="K1019:K1026" si="132">(F1019*I1019)</f>
        <v>2478.357</v>
      </c>
      <c r="W1019" s="1634"/>
      <c r="AG1019" s="1640">
        <f t="shared" si="131"/>
        <v>0</v>
      </c>
    </row>
    <row r="1020" spans="6:35" ht="24" customHeight="1">
      <c r="F1020" s="1640">
        <v>1</v>
      </c>
      <c r="G1020" s="1638" t="s">
        <v>4</v>
      </c>
      <c r="H1020" s="1627" t="s">
        <v>1715</v>
      </c>
      <c r="I1020" s="1640">
        <f>C598</f>
        <v>57.65</v>
      </c>
      <c r="J1020" s="1627" t="s">
        <v>153</v>
      </c>
      <c r="K1020" s="1640">
        <f t="shared" si="132"/>
        <v>57.65</v>
      </c>
      <c r="W1020" s="1634"/>
      <c r="AG1020" s="1640">
        <f t="shared" si="131"/>
        <v>0</v>
      </c>
    </row>
    <row r="1021" spans="6:35" ht="24" customHeight="1">
      <c r="F1021" s="1640">
        <v>3</v>
      </c>
      <c r="G1021" s="1638" t="s">
        <v>153</v>
      </c>
      <c r="H1021" s="1627" t="str">
        <f>H991</f>
        <v xml:space="preserve">  5"BUTT HINGS (p-40)</v>
      </c>
      <c r="I1021" s="1640">
        <f>C279</f>
        <v>89.6</v>
      </c>
      <c r="J1021" s="1627" t="s">
        <v>153</v>
      </c>
      <c r="K1021" s="1640">
        <f t="shared" si="132"/>
        <v>268.79999999999995</v>
      </c>
      <c r="W1021" s="1634"/>
      <c r="AG1021" s="1640">
        <f t="shared" si="131"/>
        <v>0</v>
      </c>
    </row>
    <row r="1022" spans="6:35" ht="24" customHeight="1">
      <c r="F1022" s="1640">
        <v>2</v>
      </c>
      <c r="G1022" s="1638" t="s">
        <v>153</v>
      </c>
      <c r="H1022" s="1627" t="str">
        <f t="shared" ref="H1022:H1026" si="133">H992</f>
        <v xml:space="preserve"> 6"X1/2"TOWER BOLT (p-40)</v>
      </c>
      <c r="I1022" s="1640">
        <f>C284</f>
        <v>64.8</v>
      </c>
      <c r="J1022" s="1627" t="s">
        <v>153</v>
      </c>
      <c r="K1022" s="1640">
        <f t="shared" si="132"/>
        <v>129.6</v>
      </c>
      <c r="W1022" s="1634"/>
      <c r="AG1022" s="1640">
        <f t="shared" si="131"/>
        <v>0</v>
      </c>
    </row>
    <row r="1023" spans="6:35" ht="24" customHeight="1">
      <c r="F1023" s="1640">
        <v>1</v>
      </c>
      <c r="G1023" s="1638" t="s">
        <v>153</v>
      </c>
      <c r="H1023" s="1627" t="str">
        <f t="shared" si="133"/>
        <v>10"X5/8"ALDROP (p-41)</v>
      </c>
      <c r="I1023" s="1640">
        <f>C286</f>
        <v>181</v>
      </c>
      <c r="J1023" s="1627" t="s">
        <v>153</v>
      </c>
      <c r="K1023" s="1640">
        <f t="shared" si="132"/>
        <v>181</v>
      </c>
      <c r="W1023" s="1634"/>
      <c r="AG1023" s="1640">
        <f t="shared" si="131"/>
        <v>0</v>
      </c>
    </row>
    <row r="1024" spans="6:35" ht="24" customHeight="1">
      <c r="F1024" s="1640">
        <v>1</v>
      </c>
      <c r="G1024" s="1638" t="s">
        <v>153</v>
      </c>
      <c r="H1024" s="1627" t="str">
        <f t="shared" si="133"/>
        <v>NYLONBUSH</v>
      </c>
      <c r="I1024" s="1640">
        <f>C288</f>
        <v>7.3</v>
      </c>
      <c r="J1024" s="1627" t="s">
        <v>153</v>
      </c>
      <c r="K1024" s="1640">
        <f t="shared" si="132"/>
        <v>7.3</v>
      </c>
      <c r="W1024" s="1634"/>
      <c r="AG1024" s="1640">
        <f t="shared" si="131"/>
        <v>0</v>
      </c>
    </row>
    <row r="1025" spans="6:33" ht="24" customHeight="1">
      <c r="F1025" s="1640">
        <v>1</v>
      </c>
      <c r="G1025" s="1638" t="s">
        <v>153</v>
      </c>
      <c r="H1025" s="1627" t="str">
        <f t="shared" si="133"/>
        <v>DOOR STOPPER (p-41)</v>
      </c>
      <c r="I1025" s="1640">
        <f>D598</f>
        <v>49.55</v>
      </c>
      <c r="J1025" s="1627" t="s">
        <v>153</v>
      </c>
      <c r="K1025" s="1640">
        <f t="shared" si="132"/>
        <v>49.55</v>
      </c>
      <c r="W1025" s="1634"/>
      <c r="AG1025" s="1640">
        <f t="shared" si="131"/>
        <v>0</v>
      </c>
    </row>
    <row r="1026" spans="6:33" ht="24" customHeight="1">
      <c r="F1026" s="1640">
        <v>10</v>
      </c>
      <c r="G1026" s="1638" t="s">
        <v>1717</v>
      </c>
      <c r="H1026" s="1627" t="str">
        <f t="shared" si="133"/>
        <v>Brass screw p-55 it-232</v>
      </c>
      <c r="I1026" s="1640">
        <f>I996</f>
        <v>2.41</v>
      </c>
      <c r="J1026" s="1627" t="s">
        <v>153</v>
      </c>
      <c r="K1026" s="1640">
        <f t="shared" si="132"/>
        <v>24.1</v>
      </c>
      <c r="M1026" s="1628" t="s">
        <v>1742</v>
      </c>
      <c r="N1026" s="1638" t="s">
        <v>249</v>
      </c>
      <c r="O1026" s="1627" t="s">
        <v>1743</v>
      </c>
      <c r="Q1026" s="1632"/>
      <c r="W1026" s="1634"/>
      <c r="AG1026" s="1640">
        <f t="shared" si="131"/>
        <v>0</v>
      </c>
    </row>
    <row r="1027" spans="6:33" ht="24" customHeight="1">
      <c r="K1027" s="1636" t="s">
        <v>21</v>
      </c>
      <c r="N1027" s="1630"/>
      <c r="O1027" s="1627" t="s">
        <v>1744</v>
      </c>
      <c r="Q1027" s="1632"/>
      <c r="W1027" s="1634"/>
      <c r="AG1027" s="1640">
        <f t="shared" si="131"/>
        <v>0</v>
      </c>
    </row>
    <row r="1028" spans="6:33" ht="24" customHeight="1">
      <c r="H1028" s="1627" t="s">
        <v>1745</v>
      </c>
      <c r="K1028" s="1640">
        <f>SUM(K1015:K1026)</f>
        <v>6772.4570000000012</v>
      </c>
      <c r="N1028" s="1630"/>
      <c r="O1028" s="1627" t="s">
        <v>1746</v>
      </c>
      <c r="Q1028" s="1632"/>
      <c r="W1028" s="1634"/>
      <c r="AG1028" s="1640">
        <f t="shared" si="131"/>
        <v>0</v>
      </c>
    </row>
    <row r="1029" spans="6:33" ht="24" customHeight="1">
      <c r="K1029" s="1636" t="s">
        <v>21</v>
      </c>
      <c r="N1029" s="1630"/>
      <c r="O1029" s="1627" t="s">
        <v>1747</v>
      </c>
      <c r="Q1029" s="1632"/>
      <c r="W1029" s="1634"/>
      <c r="AG1029" s="1640">
        <f t="shared" si="131"/>
        <v>0</v>
      </c>
    </row>
    <row r="1030" spans="6:33" ht="24" customHeight="1">
      <c r="H1030" s="1641" t="s">
        <v>155</v>
      </c>
      <c r="K1030" s="1639">
        <f>K1028/F1019</f>
        <v>5574.0386831275728</v>
      </c>
      <c r="N1030" s="1630"/>
      <c r="O1030" s="1627" t="s">
        <v>1748</v>
      </c>
      <c r="Q1030" s="1632"/>
      <c r="W1030" s="1634"/>
      <c r="AG1030" s="1640">
        <f t="shared" si="131"/>
        <v>0</v>
      </c>
    </row>
    <row r="1031" spans="6:33" ht="24" customHeight="1">
      <c r="K1031" s="1636" t="s">
        <v>156</v>
      </c>
      <c r="N1031" s="1630"/>
      <c r="O1031" s="1627" t="s">
        <v>1749</v>
      </c>
      <c r="Q1031" s="1632"/>
      <c r="W1031" s="1634"/>
      <c r="AG1031" s="1640">
        <f t="shared" si="131"/>
        <v>0</v>
      </c>
    </row>
    <row r="1032" spans="6:33" ht="24" customHeight="1">
      <c r="H1032" s="1717" t="s">
        <v>1750</v>
      </c>
      <c r="I1032" s="1717"/>
      <c r="J1032" s="1718"/>
      <c r="K1032" s="1717">
        <f>K912</f>
        <v>2135</v>
      </c>
      <c r="N1032" s="1630"/>
      <c r="O1032" s="1636" t="s">
        <v>21</v>
      </c>
      <c r="Q1032" s="1632"/>
      <c r="W1032" s="1634"/>
      <c r="AG1032" s="1640">
        <f t="shared" si="131"/>
        <v>0</v>
      </c>
    </row>
    <row r="1033" spans="6:33" ht="24" customHeight="1">
      <c r="F1033" s="1628" t="s">
        <v>1742</v>
      </c>
      <c r="G1033" s="1638" t="s">
        <v>249</v>
      </c>
      <c r="H1033" s="1627" t="s">
        <v>1743</v>
      </c>
      <c r="N1033" s="1630"/>
      <c r="O1033" s="1627" t="s">
        <v>1722</v>
      </c>
      <c r="Q1033" s="1632"/>
      <c r="W1033" s="1634"/>
      <c r="AG1033" s="1640">
        <f t="shared" si="131"/>
        <v>0</v>
      </c>
    </row>
    <row r="1034" spans="6:33" ht="24" customHeight="1">
      <c r="H1034" s="1627" t="s">
        <v>1744</v>
      </c>
      <c r="N1034" s="1630"/>
      <c r="O1034" s="1627" t="s">
        <v>1751</v>
      </c>
      <c r="Q1034" s="1632"/>
      <c r="W1034" s="1634"/>
      <c r="AG1034" s="1640">
        <f t="shared" si="131"/>
        <v>0</v>
      </c>
    </row>
    <row r="1035" spans="6:33" ht="24" customHeight="1">
      <c r="H1035" s="1627" t="s">
        <v>1746</v>
      </c>
      <c r="N1035" s="1630"/>
      <c r="Q1035" s="1627" t="s">
        <v>21</v>
      </c>
      <c r="W1035" s="1634"/>
      <c r="AG1035" s="1640"/>
    </row>
    <row r="1036" spans="6:33" ht="24" customHeight="1">
      <c r="H1036" s="1627" t="s">
        <v>1747</v>
      </c>
      <c r="N1036" s="1630"/>
      <c r="O1036" s="1627" t="s">
        <v>1752</v>
      </c>
      <c r="Q1036" s="1632"/>
      <c r="W1036" s="1634"/>
      <c r="AG1036" s="1640">
        <f t="shared" ref="AG1036:AG1041" si="134">AI1036</f>
        <v>0</v>
      </c>
    </row>
    <row r="1037" spans="6:33" ht="24" customHeight="1">
      <c r="H1037" s="1627" t="s">
        <v>1748</v>
      </c>
      <c r="N1037" s="1630"/>
      <c r="O1037" s="1627" t="s">
        <v>150</v>
      </c>
      <c r="P1037" s="1627" t="s">
        <v>150</v>
      </c>
      <c r="Q1037" s="1632"/>
      <c r="R1037" s="1710" t="s">
        <v>150</v>
      </c>
      <c r="W1037" s="1634"/>
      <c r="AG1037" s="1640">
        <f t="shared" si="134"/>
        <v>0</v>
      </c>
    </row>
    <row r="1038" spans="6:33" ht="24" customHeight="1">
      <c r="H1038" s="1627" t="s">
        <v>1749</v>
      </c>
      <c r="N1038" s="1630"/>
      <c r="Q1038" s="1627" t="s">
        <v>150</v>
      </c>
      <c r="R1038" s="1627" t="s">
        <v>150</v>
      </c>
      <c r="W1038" s="1634"/>
      <c r="AG1038" s="1640">
        <f t="shared" si="134"/>
        <v>0</v>
      </c>
    </row>
    <row r="1039" spans="6:33" ht="24" customHeight="1">
      <c r="H1039" s="1636" t="s">
        <v>21</v>
      </c>
      <c r="N1039" s="1630"/>
      <c r="O1039" s="1627" t="s">
        <v>1753</v>
      </c>
      <c r="Q1039" s="1710" t="s">
        <v>150</v>
      </c>
      <c r="R1039" s="1710" t="s">
        <v>150</v>
      </c>
      <c r="W1039" s="1634"/>
      <c r="AG1039" s="1640">
        <f t="shared" si="134"/>
        <v>0</v>
      </c>
    </row>
    <row r="1040" spans="6:33" ht="24" customHeight="1">
      <c r="H1040" s="1627" t="s">
        <v>1722</v>
      </c>
      <c r="N1040" s="1630"/>
      <c r="O1040" s="1627" t="s">
        <v>1754</v>
      </c>
      <c r="Q1040" s="1632"/>
      <c r="R1040" s="1710" t="s">
        <v>1755</v>
      </c>
      <c r="W1040" s="1634"/>
      <c r="AG1040" s="1640">
        <f t="shared" si="134"/>
        <v>0</v>
      </c>
    </row>
    <row r="1041" spans="6:35" ht="24" customHeight="1">
      <c r="H1041" s="1627" t="s">
        <v>1751</v>
      </c>
      <c r="N1041" s="1630"/>
      <c r="Q1041" s="1632"/>
      <c r="R1041" s="1627" t="s">
        <v>150</v>
      </c>
      <c r="W1041" s="1634"/>
      <c r="AG1041" s="1640">
        <f t="shared" si="134"/>
        <v>0</v>
      </c>
    </row>
    <row r="1042" spans="6:35" ht="24" customHeight="1">
      <c r="J1042" s="1627" t="s">
        <v>21</v>
      </c>
      <c r="N1042" s="1630"/>
      <c r="Q1042" s="1632"/>
      <c r="R1042" s="1710" t="s">
        <v>150</v>
      </c>
      <c r="W1042" s="1634"/>
      <c r="AD1042" s="1628" t="s">
        <v>1742</v>
      </c>
      <c r="AE1042" s="1638" t="s">
        <v>249</v>
      </c>
      <c r="AF1042" s="1627" t="s">
        <v>5638</v>
      </c>
      <c r="AH1042" s="1632"/>
    </row>
    <row r="1043" spans="6:35" ht="24" customHeight="1">
      <c r="H1043" s="1627" t="s">
        <v>1752</v>
      </c>
      <c r="N1043" s="1630"/>
      <c r="Q1043" s="1632"/>
      <c r="R1043" s="1627" t="s">
        <v>150</v>
      </c>
      <c r="W1043" s="1634"/>
      <c r="AE1043" s="1630"/>
      <c r="AF1043" s="1627" t="s">
        <v>1744</v>
      </c>
      <c r="AH1043" s="1632"/>
    </row>
    <row r="1044" spans="6:35" ht="24" customHeight="1">
      <c r="H1044" s="1627" t="s">
        <v>150</v>
      </c>
      <c r="I1044" s="1627" t="s">
        <v>150</v>
      </c>
      <c r="K1044" s="1710" t="s">
        <v>150</v>
      </c>
      <c r="M1044" s="1628" t="s">
        <v>1729</v>
      </c>
      <c r="N1044" s="1638"/>
      <c r="O1044" s="1627" t="s">
        <v>1757</v>
      </c>
      <c r="Q1044" s="1632"/>
      <c r="R1044" s="1627" t="s">
        <v>150</v>
      </c>
      <c r="W1044" s="1634"/>
      <c r="AE1044" s="1630"/>
      <c r="AF1044" s="1627" t="s">
        <v>1746</v>
      </c>
      <c r="AH1044" s="1632"/>
    </row>
    <row r="1045" spans="6:35" ht="24" customHeight="1">
      <c r="J1045" s="1627" t="s">
        <v>150</v>
      </c>
      <c r="K1045" s="1627" t="s">
        <v>150</v>
      </c>
      <c r="N1045" s="1630"/>
      <c r="O1045" s="1636" t="s">
        <v>21</v>
      </c>
      <c r="Q1045" s="1632"/>
      <c r="W1045" s="1634"/>
      <c r="AE1045" s="1630"/>
      <c r="AF1045" s="1627" t="s">
        <v>1747</v>
      </c>
      <c r="AH1045" s="1632"/>
    </row>
    <row r="1046" spans="6:35" s="1719" customFormat="1" ht="24" customHeight="1">
      <c r="F1046" s="1629"/>
      <c r="G1046" s="1630"/>
      <c r="H1046" s="1627" t="s">
        <v>1753</v>
      </c>
      <c r="I1046" s="1629"/>
      <c r="J1046" s="1710" t="s">
        <v>150</v>
      </c>
      <c r="K1046" s="1710" t="s">
        <v>150</v>
      </c>
      <c r="M1046" s="1711">
        <v>1.153E-2</v>
      </c>
      <c r="N1046" s="1712" t="s">
        <v>151</v>
      </c>
      <c r="O1046" s="1713" t="s">
        <v>1758</v>
      </c>
      <c r="P1046" s="1714">
        <f>C86</f>
        <v>34300</v>
      </c>
      <c r="Q1046" s="1713" t="s">
        <v>151</v>
      </c>
      <c r="R1046" s="1714">
        <f t="shared" ref="R1046:R1055" si="135">(M1046*P1046)</f>
        <v>395.47899999999998</v>
      </c>
      <c r="S1046" s="1720"/>
      <c r="W1046" s="1721"/>
      <c r="AD1046" s="1629"/>
      <c r="AE1046" s="1630"/>
      <c r="AF1046" s="1627" t="s">
        <v>1748</v>
      </c>
      <c r="AG1046" s="1629"/>
      <c r="AH1046" s="1632"/>
      <c r="AI1046" s="1629"/>
    </row>
    <row r="1047" spans="6:35" ht="24" customHeight="1">
      <c r="H1047" s="1627" t="s">
        <v>1754</v>
      </c>
      <c r="K1047" s="1710" t="s">
        <v>1755</v>
      </c>
      <c r="M1047" s="1715">
        <v>1.35E-2</v>
      </c>
      <c r="N1047" s="1638" t="s">
        <v>151</v>
      </c>
      <c r="O1047" s="1627" t="s">
        <v>1758</v>
      </c>
      <c r="P1047" s="1640">
        <f>P1046</f>
        <v>34300</v>
      </c>
      <c r="Q1047" s="1627" t="s">
        <v>151</v>
      </c>
      <c r="R1047" s="1640">
        <f t="shared" si="135"/>
        <v>463.05</v>
      </c>
      <c r="S1047" s="1658"/>
      <c r="W1047" s="1634"/>
      <c r="AE1047" s="1630"/>
      <c r="AF1047" s="1627" t="s">
        <v>5639</v>
      </c>
      <c r="AH1047" s="1632"/>
    </row>
    <row r="1048" spans="6:35" ht="24" customHeight="1">
      <c r="K1048" s="1627" t="s">
        <v>150</v>
      </c>
      <c r="M1048" s="1715">
        <v>1.016</v>
      </c>
      <c r="N1048" s="1638" t="s">
        <v>152</v>
      </c>
      <c r="O1048" s="1627" t="s">
        <v>879</v>
      </c>
      <c r="P1048" s="1640">
        <f>I1055</f>
        <v>387.4</v>
      </c>
      <c r="Q1048" s="1627" t="s">
        <v>152</v>
      </c>
      <c r="R1048" s="1640">
        <f t="shared" si="135"/>
        <v>393.59839999999997</v>
      </c>
      <c r="S1048" s="1658"/>
      <c r="W1048" s="1634"/>
      <c r="AE1048" s="1630"/>
      <c r="AF1048" s="1636" t="s">
        <v>21</v>
      </c>
      <c r="AH1048" s="1632"/>
    </row>
    <row r="1049" spans="6:35" ht="24" customHeight="1">
      <c r="K1049" s="1710" t="s">
        <v>150</v>
      </c>
      <c r="M1049" s="1715">
        <v>1.64</v>
      </c>
      <c r="N1049" s="1638" t="s">
        <v>152</v>
      </c>
      <c r="O1049" s="1627" t="s">
        <v>880</v>
      </c>
      <c r="P1049" s="1640">
        <f t="shared" ref="P1049:P1054" si="136">I1056</f>
        <v>1701</v>
      </c>
      <c r="Q1049" s="1627" t="s">
        <v>152</v>
      </c>
      <c r="R1049" s="1640">
        <f t="shared" si="135"/>
        <v>2789.64</v>
      </c>
      <c r="S1049" s="1658"/>
      <c r="W1049" s="1634"/>
      <c r="AE1049" s="1630"/>
      <c r="AF1049" s="1627" t="s">
        <v>1760</v>
      </c>
      <c r="AH1049" s="1632"/>
    </row>
    <row r="1050" spans="6:35" ht="24" customHeight="1">
      <c r="K1050" s="1627" t="s">
        <v>150</v>
      </c>
      <c r="M1050" s="1640">
        <v>2</v>
      </c>
      <c r="N1050" s="1638" t="s">
        <v>153</v>
      </c>
      <c r="O1050" s="1627" t="s">
        <v>881</v>
      </c>
      <c r="P1050" s="1640">
        <f t="shared" si="136"/>
        <v>64.8</v>
      </c>
      <c r="Q1050" s="1627" t="s">
        <v>153</v>
      </c>
      <c r="R1050" s="1640">
        <f t="shared" si="135"/>
        <v>129.6</v>
      </c>
      <c r="S1050" s="1658"/>
      <c r="W1050" s="1634"/>
      <c r="AE1050" s="1630"/>
      <c r="AF1050" s="1627" t="s">
        <v>1761</v>
      </c>
      <c r="AH1050" s="1632"/>
    </row>
    <row r="1051" spans="6:35" ht="24" customHeight="1">
      <c r="F1051" s="1628" t="s">
        <v>1729</v>
      </c>
      <c r="G1051" s="1638"/>
      <c r="H1051" s="1627" t="s">
        <v>1757</v>
      </c>
      <c r="K1051" s="1627" t="s">
        <v>150</v>
      </c>
      <c r="M1051" s="1640">
        <v>3</v>
      </c>
      <c r="N1051" s="1638" t="s">
        <v>153</v>
      </c>
      <c r="O1051" s="1627" t="s">
        <v>1731</v>
      </c>
      <c r="P1051" s="1640">
        <f t="shared" si="136"/>
        <v>89.6</v>
      </c>
      <c r="Q1051" s="1627" t="s">
        <v>153</v>
      </c>
      <c r="R1051" s="1640">
        <f t="shared" si="135"/>
        <v>268.79999999999995</v>
      </c>
      <c r="S1051" s="1658"/>
      <c r="W1051" s="1634"/>
      <c r="AE1051" s="1630"/>
      <c r="AH1051" s="1627" t="s">
        <v>21</v>
      </c>
    </row>
    <row r="1052" spans="6:35" ht="24" customHeight="1">
      <c r="H1052" s="1636" t="s">
        <v>21</v>
      </c>
      <c r="M1052" s="1640">
        <v>1</v>
      </c>
      <c r="N1052" s="1638" t="s">
        <v>153</v>
      </c>
      <c r="O1052" s="1627" t="s">
        <v>883</v>
      </c>
      <c r="P1052" s="1640">
        <f t="shared" si="136"/>
        <v>181</v>
      </c>
      <c r="Q1052" s="1627" t="s">
        <v>153</v>
      </c>
      <c r="R1052" s="1640">
        <f t="shared" si="135"/>
        <v>181</v>
      </c>
      <c r="S1052" s="1658"/>
      <c r="W1052" s="1634"/>
      <c r="AE1052" s="1630"/>
      <c r="AF1052" s="1627" t="s">
        <v>1762</v>
      </c>
      <c r="AH1052" s="1632"/>
    </row>
    <row r="1053" spans="6:35" ht="24" customHeight="1">
      <c r="F1053" s="1711">
        <v>1.153E-2</v>
      </c>
      <c r="G1053" s="1712" t="s">
        <v>151</v>
      </c>
      <c r="H1053" s="1713" t="s">
        <v>877</v>
      </c>
      <c r="I1053" s="1714">
        <f>C88</f>
        <v>111600</v>
      </c>
      <c r="J1053" s="1713" t="s">
        <v>151</v>
      </c>
      <c r="K1053" s="1714">
        <f t="shared" ref="K1053:K1063" si="137">(F1053*I1053)</f>
        <v>1286.748</v>
      </c>
      <c r="M1053" s="1640">
        <v>1</v>
      </c>
      <c r="N1053" s="1638" t="s">
        <v>153</v>
      </c>
      <c r="O1053" s="1627" t="s">
        <v>884</v>
      </c>
      <c r="P1053" s="1640">
        <f t="shared" si="136"/>
        <v>7.3</v>
      </c>
      <c r="Q1053" s="1627" t="s">
        <v>153</v>
      </c>
      <c r="R1053" s="1640">
        <f t="shared" si="135"/>
        <v>7.3</v>
      </c>
      <c r="S1053" s="1658"/>
      <c r="W1053" s="1634"/>
      <c r="AE1053" s="1630"/>
      <c r="AF1053" s="1627" t="s">
        <v>150</v>
      </c>
      <c r="AG1053" s="1627" t="s">
        <v>150</v>
      </c>
      <c r="AH1053" s="1632"/>
      <c r="AI1053" s="1710" t="s">
        <v>150</v>
      </c>
    </row>
    <row r="1054" spans="6:35" ht="24" customHeight="1">
      <c r="F1054" s="1715">
        <v>1.35E-2</v>
      </c>
      <c r="G1054" s="1638" t="s">
        <v>151</v>
      </c>
      <c r="H1054" s="1627" t="s">
        <v>878</v>
      </c>
      <c r="I1054" s="1640">
        <f>C89</f>
        <v>99400</v>
      </c>
      <c r="J1054" s="1627" t="s">
        <v>151</v>
      </c>
      <c r="K1054" s="1640">
        <f t="shared" si="137"/>
        <v>1341.9</v>
      </c>
      <c r="M1054" s="1640">
        <v>1</v>
      </c>
      <c r="N1054" s="1638" t="s">
        <v>153</v>
      </c>
      <c r="O1054" s="1627" t="s">
        <v>1763</v>
      </c>
      <c r="P1054" s="1640">
        <f t="shared" si="136"/>
        <v>57.65</v>
      </c>
      <c r="Q1054" s="1627" t="s">
        <v>153</v>
      </c>
      <c r="R1054" s="1640">
        <f t="shared" si="135"/>
        <v>57.65</v>
      </c>
      <c r="S1054" s="1658"/>
      <c r="W1054" s="1634"/>
      <c r="AE1054" s="1630"/>
      <c r="AH1054" s="1627" t="s">
        <v>150</v>
      </c>
      <c r="AI1054" s="1627" t="s">
        <v>150</v>
      </c>
    </row>
    <row r="1055" spans="6:35" ht="24" customHeight="1">
      <c r="F1055" s="1715">
        <v>1.016</v>
      </c>
      <c r="G1055" s="1638" t="s">
        <v>152</v>
      </c>
      <c r="H1055" s="1627" t="s">
        <v>879</v>
      </c>
      <c r="I1055" s="1640">
        <f>C783</f>
        <v>387.4</v>
      </c>
      <c r="J1055" s="1627" t="s">
        <v>152</v>
      </c>
      <c r="K1055" s="1640">
        <f t="shared" si="137"/>
        <v>393.59839999999997</v>
      </c>
      <c r="M1055" s="1640">
        <v>1</v>
      </c>
      <c r="N1055" s="1638" t="s">
        <v>153</v>
      </c>
      <c r="O1055" s="1627" t="s">
        <v>886</v>
      </c>
      <c r="P1055" s="1640">
        <f>P953</f>
        <v>49.55</v>
      </c>
      <c r="Q1055" s="1627" t="s">
        <v>153</v>
      </c>
      <c r="R1055" s="1640">
        <f t="shared" si="135"/>
        <v>49.55</v>
      </c>
      <c r="S1055" s="1658"/>
      <c r="W1055" s="1634"/>
      <c r="AE1055" s="1630"/>
      <c r="AF1055" s="1627" t="s">
        <v>1764</v>
      </c>
      <c r="AH1055" s="1710" t="s">
        <v>150</v>
      </c>
      <c r="AI1055" s="1710" t="s">
        <v>150</v>
      </c>
    </row>
    <row r="1056" spans="6:35" ht="24" customHeight="1">
      <c r="F1056" s="1715">
        <v>1.64</v>
      </c>
      <c r="G1056" s="1638" t="s">
        <v>152</v>
      </c>
      <c r="H1056" s="1627" t="s">
        <v>880</v>
      </c>
      <c r="I1056" s="1640">
        <f>D30</f>
        <v>1701</v>
      </c>
      <c r="J1056" s="1627" t="s">
        <v>152</v>
      </c>
      <c r="K1056" s="1640">
        <f t="shared" si="137"/>
        <v>2789.64</v>
      </c>
      <c r="N1056" s="1630"/>
      <c r="Q1056" s="1632"/>
      <c r="R1056" s="1636" t="s">
        <v>21</v>
      </c>
      <c r="S1056" s="1722"/>
      <c r="W1056" s="1634"/>
      <c r="AE1056" s="1630"/>
      <c r="AF1056" s="1627" t="s">
        <v>1765</v>
      </c>
      <c r="AH1056" s="1632"/>
      <c r="AI1056" s="1710" t="s">
        <v>1766</v>
      </c>
    </row>
    <row r="1057" spans="6:35" ht="24" customHeight="1">
      <c r="F1057" s="1640">
        <v>2</v>
      </c>
      <c r="G1057" s="1638" t="s">
        <v>153</v>
      </c>
      <c r="H1057" s="1627" t="str">
        <f>H1022</f>
        <v xml:space="preserve"> 6"X1/2"TOWER BOLT (p-40)</v>
      </c>
      <c r="I1057" s="1640">
        <f>C284</f>
        <v>64.8</v>
      </c>
      <c r="J1057" s="1627" t="s">
        <v>153</v>
      </c>
      <c r="K1057" s="1640">
        <f t="shared" si="137"/>
        <v>129.6</v>
      </c>
      <c r="N1057" s="1630"/>
      <c r="O1057" s="1628" t="s">
        <v>1767</v>
      </c>
      <c r="Q1057" s="1632"/>
      <c r="R1057" s="1640">
        <f>SUM(R1046:R1055)</f>
        <v>4735.6674000000003</v>
      </c>
      <c r="S1057" s="1658"/>
      <c r="W1057" s="1634"/>
      <c r="AE1057" s="1630"/>
      <c r="AH1057" s="1632"/>
      <c r="AI1057" s="1627" t="s">
        <v>150</v>
      </c>
    </row>
    <row r="1058" spans="6:35" ht="24" customHeight="1">
      <c r="F1058" s="1640">
        <v>3</v>
      </c>
      <c r="G1058" s="1638" t="s">
        <v>153</v>
      </c>
      <c r="H1058" s="1627" t="s">
        <v>1731</v>
      </c>
      <c r="I1058" s="1640">
        <f>C279</f>
        <v>89.6</v>
      </c>
      <c r="J1058" s="1627" t="s">
        <v>153</v>
      </c>
      <c r="K1058" s="1640">
        <f t="shared" si="137"/>
        <v>268.79999999999995</v>
      </c>
      <c r="N1058" s="1638" t="s">
        <v>150</v>
      </c>
      <c r="Q1058" s="1632"/>
      <c r="R1058" s="1636" t="s">
        <v>21</v>
      </c>
      <c r="S1058" s="1722"/>
      <c r="W1058" s="1634"/>
      <c r="AE1058" s="1630"/>
      <c r="AH1058" s="1632"/>
      <c r="AI1058" s="1710" t="s">
        <v>150</v>
      </c>
    </row>
    <row r="1059" spans="6:35" ht="24" customHeight="1">
      <c r="F1059" s="1640">
        <v>1</v>
      </c>
      <c r="G1059" s="1638" t="s">
        <v>153</v>
      </c>
      <c r="H1059" s="1627" t="s">
        <v>883</v>
      </c>
      <c r="I1059" s="1640">
        <f>C286</f>
        <v>181</v>
      </c>
      <c r="J1059" s="1627" t="s">
        <v>153</v>
      </c>
      <c r="K1059" s="1640">
        <f t="shared" si="137"/>
        <v>181</v>
      </c>
      <c r="N1059" s="1630"/>
      <c r="O1059" s="1641" t="s">
        <v>155</v>
      </c>
      <c r="Q1059" s="1632"/>
      <c r="R1059" s="1639">
        <f>R1057/M1049</f>
        <v>2887.6020731707322</v>
      </c>
      <c r="S1059" s="1658"/>
      <c r="W1059" s="1634"/>
      <c r="AE1059" s="1630"/>
      <c r="AH1059" s="1632"/>
      <c r="AI1059" s="1627" t="s">
        <v>150</v>
      </c>
    </row>
    <row r="1060" spans="6:35" ht="24" customHeight="1">
      <c r="F1060" s="1640">
        <v>1</v>
      </c>
      <c r="G1060" s="1638" t="s">
        <v>153</v>
      </c>
      <c r="H1060" s="1627" t="s">
        <v>884</v>
      </c>
      <c r="I1060" s="1640">
        <f>C288</f>
        <v>7.3</v>
      </c>
      <c r="J1060" s="1627" t="s">
        <v>153</v>
      </c>
      <c r="K1060" s="1640">
        <f t="shared" si="137"/>
        <v>7.3</v>
      </c>
      <c r="N1060" s="1630"/>
      <c r="Q1060" s="1632"/>
      <c r="R1060" s="1636" t="s">
        <v>156</v>
      </c>
      <c r="S1060" s="1722" t="s">
        <v>156</v>
      </c>
      <c r="W1060" s="1634"/>
      <c r="AD1060" s="1628" t="s">
        <v>1729</v>
      </c>
      <c r="AE1060" s="1638"/>
      <c r="AF1060" s="1627" t="s">
        <v>1768</v>
      </c>
      <c r="AH1060" s="1632"/>
      <c r="AI1060" s="1627" t="s">
        <v>150</v>
      </c>
    </row>
    <row r="1061" spans="6:35" ht="24" customHeight="1">
      <c r="F1061" s="1640">
        <v>1</v>
      </c>
      <c r="G1061" s="1638" t="s">
        <v>153</v>
      </c>
      <c r="H1061" s="1627" t="s">
        <v>1732</v>
      </c>
      <c r="I1061" s="1640">
        <f>C598</f>
        <v>57.65</v>
      </c>
      <c r="J1061" s="1627" t="s">
        <v>153</v>
      </c>
      <c r="K1061" s="1640">
        <f t="shared" si="137"/>
        <v>57.65</v>
      </c>
      <c r="M1061" s="1628"/>
      <c r="N1061" s="1638"/>
      <c r="O1061" s="1627"/>
      <c r="Q1061" s="1632"/>
      <c r="R1061" s="1627" t="s">
        <v>150</v>
      </c>
      <c r="W1061" s="1634"/>
      <c r="AE1061" s="1630"/>
      <c r="AF1061" s="1636" t="s">
        <v>21</v>
      </c>
      <c r="AH1061" s="1632"/>
    </row>
    <row r="1062" spans="6:35" ht="24" customHeight="1">
      <c r="F1062" s="1640">
        <v>1</v>
      </c>
      <c r="G1062" s="1638" t="s">
        <v>153</v>
      </c>
      <c r="H1062" s="1627" t="s">
        <v>886</v>
      </c>
      <c r="I1062" s="1640">
        <f>D598</f>
        <v>49.55</v>
      </c>
      <c r="J1062" s="1627" t="s">
        <v>153</v>
      </c>
      <c r="K1062" s="1640">
        <f t="shared" si="137"/>
        <v>49.55</v>
      </c>
      <c r="M1062" s="1628" t="s">
        <v>1729</v>
      </c>
      <c r="N1062" s="1638"/>
      <c r="O1062" s="1627" t="s">
        <v>1769</v>
      </c>
      <c r="Q1062" s="1632"/>
      <c r="R1062" s="1627" t="s">
        <v>150</v>
      </c>
      <c r="W1062" s="1634"/>
      <c r="AD1062" s="1711">
        <v>2.3060000000000001E-2</v>
      </c>
      <c r="AE1062" s="1712" t="s">
        <v>151</v>
      </c>
      <c r="AF1062" s="1713" t="s">
        <v>877</v>
      </c>
      <c r="AG1062" s="1714">
        <f>I1053</f>
        <v>111600</v>
      </c>
      <c r="AH1062" s="1713" t="s">
        <v>151</v>
      </c>
      <c r="AI1062" s="1714">
        <f t="shared" ref="AI1062:AI1072" si="138">(AD1062*AG1062)</f>
        <v>2573.4960000000001</v>
      </c>
    </row>
    <row r="1063" spans="6:35" ht="24" customHeight="1">
      <c r="F1063" s="1640">
        <v>58</v>
      </c>
      <c r="G1063" s="1638" t="s">
        <v>1717</v>
      </c>
      <c r="H1063" s="1627" t="s">
        <v>1733</v>
      </c>
      <c r="I1063" s="1629">
        <f>I1026</f>
        <v>2.41</v>
      </c>
      <c r="J1063" s="1627" t="s">
        <v>153</v>
      </c>
      <c r="K1063" s="1640">
        <f t="shared" si="137"/>
        <v>139.78</v>
      </c>
      <c r="N1063" s="1630"/>
      <c r="O1063" s="1636" t="s">
        <v>21</v>
      </c>
      <c r="Q1063" s="1632"/>
      <c r="W1063" s="1634"/>
      <c r="AD1063" s="1715">
        <v>1.856E-2</v>
      </c>
      <c r="AE1063" s="1638" t="s">
        <v>151</v>
      </c>
      <c r="AF1063" s="1627" t="s">
        <v>878</v>
      </c>
      <c r="AG1063" s="1714">
        <f t="shared" ref="AG1063:AG1071" si="139">I1054</f>
        <v>99400</v>
      </c>
      <c r="AH1063" s="1627" t="s">
        <v>151</v>
      </c>
      <c r="AI1063" s="1640">
        <f t="shared" si="138"/>
        <v>1844.864</v>
      </c>
    </row>
    <row r="1064" spans="6:35" ht="24" customHeight="1">
      <c r="H1064" s="1628" t="s">
        <v>1767</v>
      </c>
      <c r="K1064" s="1640">
        <f>SUM(K1053:K1063)</f>
        <v>6645.5663999999997</v>
      </c>
      <c r="M1064" s="1711">
        <v>1.153E-2</v>
      </c>
      <c r="N1064" s="1712" t="s">
        <v>151</v>
      </c>
      <c r="O1064" s="1713" t="s">
        <v>877</v>
      </c>
      <c r="P1064" s="1714">
        <f>I1053</f>
        <v>111600</v>
      </c>
      <c r="Q1064" s="1713" t="s">
        <v>151</v>
      </c>
      <c r="R1064" s="1714">
        <f t="shared" ref="R1064:R1074" si="140">(M1064*P1064)</f>
        <v>1286.748</v>
      </c>
      <c r="W1064" s="1634"/>
      <c r="AD1064" s="1715">
        <v>1.4</v>
      </c>
      <c r="AE1064" s="1638" t="s">
        <v>152</v>
      </c>
      <c r="AF1064" s="1627" t="s">
        <v>879</v>
      </c>
      <c r="AG1064" s="1714">
        <f t="shared" si="139"/>
        <v>387.4</v>
      </c>
      <c r="AH1064" s="1627" t="s">
        <v>152</v>
      </c>
      <c r="AI1064" s="1640">
        <f t="shared" si="138"/>
        <v>542.3599999999999</v>
      </c>
    </row>
    <row r="1065" spans="6:35" ht="24" customHeight="1">
      <c r="G1065" s="1638" t="s">
        <v>150</v>
      </c>
      <c r="K1065" s="1636" t="s">
        <v>21</v>
      </c>
      <c r="M1065" s="1715">
        <v>1.52E-2</v>
      </c>
      <c r="N1065" s="1638" t="s">
        <v>151</v>
      </c>
      <c r="O1065" s="1627" t="s">
        <v>878</v>
      </c>
      <c r="P1065" s="1714">
        <f t="shared" ref="P1065:P1073" si="141">I1054</f>
        <v>99400</v>
      </c>
      <c r="Q1065" s="1627" t="s">
        <v>151</v>
      </c>
      <c r="R1065" s="1640">
        <f t="shared" si="140"/>
        <v>1510.88</v>
      </c>
      <c r="W1065" s="1634"/>
      <c r="AD1065" s="1715">
        <v>2.2549999999999999</v>
      </c>
      <c r="AE1065" s="1638" t="s">
        <v>152</v>
      </c>
      <c r="AF1065" s="1627" t="s">
        <v>880</v>
      </c>
      <c r="AG1065" s="1714">
        <f t="shared" si="139"/>
        <v>1701</v>
      </c>
      <c r="AH1065" s="1627" t="s">
        <v>152</v>
      </c>
      <c r="AI1065" s="1640">
        <f t="shared" si="138"/>
        <v>3835.7549999999997</v>
      </c>
    </row>
    <row r="1066" spans="6:35" ht="24" customHeight="1">
      <c r="H1066" s="1641" t="s">
        <v>155</v>
      </c>
      <c r="K1066" s="1639">
        <f>K1064/F1056</f>
        <v>4052.1746341463413</v>
      </c>
      <c r="M1066" s="1715">
        <v>1.26</v>
      </c>
      <c r="N1066" s="1638" t="s">
        <v>152</v>
      </c>
      <c r="O1066" s="1627" t="s">
        <v>879</v>
      </c>
      <c r="P1066" s="1714">
        <f t="shared" si="141"/>
        <v>387.4</v>
      </c>
      <c r="Q1066" s="1627" t="s">
        <v>152</v>
      </c>
      <c r="R1066" s="1640">
        <f t="shared" si="140"/>
        <v>488.12399999999997</v>
      </c>
      <c r="W1066" s="1634"/>
      <c r="AD1066" s="1640">
        <v>4</v>
      </c>
      <c r="AE1066" s="1638" t="s">
        <v>153</v>
      </c>
      <c r="AF1066" s="1627" t="s">
        <v>881</v>
      </c>
      <c r="AG1066" s="1714">
        <f t="shared" si="139"/>
        <v>64.8</v>
      </c>
      <c r="AH1066" s="1627" t="s">
        <v>153</v>
      </c>
      <c r="AI1066" s="1640">
        <f t="shared" si="138"/>
        <v>259.2</v>
      </c>
    </row>
    <row r="1067" spans="6:35" ht="24" customHeight="1">
      <c r="K1067" s="1636" t="s">
        <v>156</v>
      </c>
      <c r="M1067" s="1715">
        <v>1.845</v>
      </c>
      <c r="N1067" s="1638" t="s">
        <v>152</v>
      </c>
      <c r="O1067" s="1627" t="s">
        <v>880</v>
      </c>
      <c r="P1067" s="1714">
        <f t="shared" si="141"/>
        <v>1701</v>
      </c>
      <c r="Q1067" s="1627" t="s">
        <v>152</v>
      </c>
      <c r="R1067" s="1640">
        <f t="shared" si="140"/>
        <v>3138.3449999999998</v>
      </c>
      <c r="W1067" s="1634"/>
      <c r="AD1067" s="1640">
        <v>6</v>
      </c>
      <c r="AE1067" s="1638" t="s">
        <v>153</v>
      </c>
      <c r="AF1067" s="1627" t="s">
        <v>1731</v>
      </c>
      <c r="AG1067" s="1714">
        <f t="shared" si="139"/>
        <v>89.6</v>
      </c>
      <c r="AH1067" s="1627" t="s">
        <v>153</v>
      </c>
      <c r="AI1067" s="1640">
        <f t="shared" si="138"/>
        <v>537.59999999999991</v>
      </c>
    </row>
    <row r="1068" spans="6:35" ht="24" customHeight="1">
      <c r="F1068" s="1628" t="s">
        <v>1770</v>
      </c>
      <c r="H1068" s="1627" t="s">
        <v>1771</v>
      </c>
      <c r="M1068" s="1640">
        <v>2</v>
      </c>
      <c r="N1068" s="1638" t="s">
        <v>153</v>
      </c>
      <c r="O1068" s="1627" t="s">
        <v>881</v>
      </c>
      <c r="P1068" s="1714">
        <f t="shared" si="141"/>
        <v>64.8</v>
      </c>
      <c r="Q1068" s="1627" t="s">
        <v>153</v>
      </c>
      <c r="R1068" s="1640">
        <f t="shared" si="140"/>
        <v>129.6</v>
      </c>
      <c r="W1068" s="1634"/>
      <c r="AD1068" s="1640">
        <v>1</v>
      </c>
      <c r="AE1068" s="1638" t="s">
        <v>153</v>
      </c>
      <c r="AF1068" s="1627" t="s">
        <v>883</v>
      </c>
      <c r="AG1068" s="1714">
        <f t="shared" si="139"/>
        <v>181</v>
      </c>
      <c r="AH1068" s="1627" t="s">
        <v>153</v>
      </c>
      <c r="AI1068" s="1640">
        <f t="shared" si="138"/>
        <v>181</v>
      </c>
    </row>
    <row r="1069" spans="6:35" ht="24" customHeight="1">
      <c r="H1069" s="1627" t="s">
        <v>1772</v>
      </c>
      <c r="M1069" s="1640">
        <v>3</v>
      </c>
      <c r="N1069" s="1638" t="s">
        <v>153</v>
      </c>
      <c r="O1069" s="1627" t="s">
        <v>1731</v>
      </c>
      <c r="P1069" s="1714">
        <f t="shared" si="141"/>
        <v>89.6</v>
      </c>
      <c r="Q1069" s="1627" t="s">
        <v>153</v>
      </c>
      <c r="R1069" s="1640">
        <f t="shared" si="140"/>
        <v>268.79999999999995</v>
      </c>
      <c r="W1069" s="1634"/>
      <c r="AD1069" s="1640">
        <v>2</v>
      </c>
      <c r="AE1069" s="1638" t="s">
        <v>153</v>
      </c>
      <c r="AF1069" s="1627" t="s">
        <v>884</v>
      </c>
      <c r="AG1069" s="1714">
        <f t="shared" si="139"/>
        <v>7.3</v>
      </c>
      <c r="AH1069" s="1627" t="s">
        <v>153</v>
      </c>
      <c r="AI1069" s="1640">
        <f t="shared" si="138"/>
        <v>14.6</v>
      </c>
    </row>
    <row r="1070" spans="6:35" ht="24" customHeight="1">
      <c r="H1070" s="1636" t="s">
        <v>21</v>
      </c>
      <c r="M1070" s="1640">
        <v>1</v>
      </c>
      <c r="N1070" s="1638" t="s">
        <v>153</v>
      </c>
      <c r="O1070" s="1627" t="s">
        <v>883</v>
      </c>
      <c r="P1070" s="1714">
        <f t="shared" si="141"/>
        <v>181</v>
      </c>
      <c r="Q1070" s="1627" t="s">
        <v>153</v>
      </c>
      <c r="R1070" s="1640">
        <f t="shared" si="140"/>
        <v>181</v>
      </c>
      <c r="W1070" s="1634"/>
      <c r="AD1070" s="1640">
        <v>2</v>
      </c>
      <c r="AE1070" s="1638" t="s">
        <v>153</v>
      </c>
      <c r="AF1070" s="1627" t="s">
        <v>1732</v>
      </c>
      <c r="AG1070" s="1714">
        <f t="shared" si="139"/>
        <v>57.65</v>
      </c>
      <c r="AH1070" s="1627" t="s">
        <v>153</v>
      </c>
      <c r="AI1070" s="1640">
        <f t="shared" si="138"/>
        <v>115.3</v>
      </c>
    </row>
    <row r="1071" spans="6:35" ht="24" customHeight="1">
      <c r="F1071" s="1715">
        <v>6.6499999999999997E-3</v>
      </c>
      <c r="G1071" s="1638" t="s">
        <v>276</v>
      </c>
      <c r="H1071" s="1627" t="s">
        <v>1773</v>
      </c>
      <c r="I1071" s="1640">
        <f>C89</f>
        <v>99400</v>
      </c>
      <c r="J1071" s="1627" t="s">
        <v>151</v>
      </c>
      <c r="K1071" s="1640">
        <f t="shared" ref="K1071:K1078" si="142">(F1071*I1071)</f>
        <v>661.01</v>
      </c>
      <c r="M1071" s="1640">
        <v>1</v>
      </c>
      <c r="N1071" s="1638" t="s">
        <v>153</v>
      </c>
      <c r="O1071" s="1627" t="s">
        <v>884</v>
      </c>
      <c r="P1071" s="1714">
        <f t="shared" si="141"/>
        <v>7.3</v>
      </c>
      <c r="Q1071" s="1627" t="s">
        <v>153</v>
      </c>
      <c r="R1071" s="1640">
        <f t="shared" si="140"/>
        <v>7.3</v>
      </c>
      <c r="W1071" s="1634"/>
      <c r="AD1071" s="1640">
        <v>2</v>
      </c>
      <c r="AE1071" s="1638" t="s">
        <v>153</v>
      </c>
      <c r="AF1071" s="1627" t="s">
        <v>886</v>
      </c>
      <c r="AG1071" s="1714">
        <f t="shared" si="139"/>
        <v>49.55</v>
      </c>
      <c r="AH1071" s="1627" t="s">
        <v>153</v>
      </c>
      <c r="AI1071" s="1640">
        <f t="shared" si="138"/>
        <v>99.1</v>
      </c>
    </row>
    <row r="1072" spans="6:35" ht="24" customHeight="1">
      <c r="F1072" s="1715">
        <v>0.32346000000000003</v>
      </c>
      <c r="G1072" s="1638" t="s">
        <v>152</v>
      </c>
      <c r="H1072" s="1627" t="s">
        <v>1774</v>
      </c>
      <c r="I1072" s="1640">
        <v>208.8</v>
      </c>
      <c r="J1072" s="1627" t="s">
        <v>151</v>
      </c>
      <c r="K1072" s="1640">
        <f t="shared" si="142"/>
        <v>67.538448000000002</v>
      </c>
      <c r="M1072" s="1640">
        <v>1</v>
      </c>
      <c r="N1072" s="1638" t="s">
        <v>153</v>
      </c>
      <c r="O1072" s="1627" t="s">
        <v>1732</v>
      </c>
      <c r="P1072" s="1714">
        <f t="shared" si="141"/>
        <v>57.65</v>
      </c>
      <c r="Q1072" s="1627" t="s">
        <v>153</v>
      </c>
      <c r="R1072" s="1640">
        <f t="shared" si="140"/>
        <v>57.65</v>
      </c>
      <c r="W1072" s="1634"/>
      <c r="AD1072" s="1640">
        <v>118</v>
      </c>
      <c r="AE1072" s="1638" t="s">
        <v>153</v>
      </c>
      <c r="AF1072" s="1627" t="s">
        <v>1733</v>
      </c>
      <c r="AG1072" s="1714">
        <f>I1063</f>
        <v>2.41</v>
      </c>
      <c r="AH1072" s="1632"/>
      <c r="AI1072" s="1640">
        <f t="shared" si="138"/>
        <v>284.38</v>
      </c>
    </row>
    <row r="1073" spans="6:35" ht="24" customHeight="1">
      <c r="F1073" s="1715">
        <v>0.47660000000000002</v>
      </c>
      <c r="G1073" s="1638" t="s">
        <v>152</v>
      </c>
      <c r="H1073" s="1627" t="s">
        <v>880</v>
      </c>
      <c r="I1073" s="1640">
        <f>D31</f>
        <v>1906.8</v>
      </c>
      <c r="J1073" s="1627" t="s">
        <v>152</v>
      </c>
      <c r="K1073" s="1640">
        <f t="shared" si="142"/>
        <v>908.78088000000002</v>
      </c>
      <c r="M1073" s="1640">
        <v>1</v>
      </c>
      <c r="N1073" s="1638" t="s">
        <v>153</v>
      </c>
      <c r="O1073" s="1627" t="s">
        <v>886</v>
      </c>
      <c r="P1073" s="1714">
        <f t="shared" si="141"/>
        <v>49.55</v>
      </c>
      <c r="Q1073" s="1627" t="s">
        <v>153</v>
      </c>
      <c r="R1073" s="1640">
        <f t="shared" si="140"/>
        <v>49.55</v>
      </c>
      <c r="W1073" s="1634"/>
      <c r="AE1073" s="1630"/>
      <c r="AF1073" s="1628" t="s">
        <v>1775</v>
      </c>
      <c r="AH1073" s="1632"/>
      <c r="AI1073" s="1640">
        <f>SUM(AI1062:AI1072)</f>
        <v>10287.655000000001</v>
      </c>
    </row>
    <row r="1074" spans="6:35" ht="24" customHeight="1">
      <c r="F1074" s="1640">
        <v>3</v>
      </c>
      <c r="G1074" s="1638" t="s">
        <v>153</v>
      </c>
      <c r="H1074" s="1627" t="s">
        <v>1776</v>
      </c>
      <c r="I1074" s="1640">
        <f>C282</f>
        <v>49.35</v>
      </c>
      <c r="J1074" s="1627" t="s">
        <v>153</v>
      </c>
      <c r="K1074" s="1640">
        <f t="shared" si="142"/>
        <v>148.05000000000001</v>
      </c>
      <c r="M1074" s="1640">
        <v>58</v>
      </c>
      <c r="N1074" s="1630"/>
      <c r="O1074" s="1627" t="s">
        <v>1734</v>
      </c>
      <c r="P1074" s="1714">
        <f>I1078</f>
        <v>2.41</v>
      </c>
      <c r="Q1074" s="1632"/>
      <c r="R1074" s="1640">
        <f t="shared" si="140"/>
        <v>139.78</v>
      </c>
      <c r="W1074" s="1634"/>
      <c r="AE1074" s="1638" t="s">
        <v>150</v>
      </c>
      <c r="AH1074" s="1632"/>
      <c r="AI1074" s="1636" t="s">
        <v>21</v>
      </c>
    </row>
    <row r="1075" spans="6:35" ht="24" customHeight="1">
      <c r="F1075" s="1640">
        <v>2</v>
      </c>
      <c r="G1075" s="1638" t="s">
        <v>153</v>
      </c>
      <c r="H1075" s="1627" t="s">
        <v>1777</v>
      </c>
      <c r="I1075" s="1640">
        <f>C285</f>
        <v>39.700000000000003</v>
      </c>
      <c r="J1075" s="1627" t="s">
        <v>153</v>
      </c>
      <c r="K1075" s="1640">
        <f t="shared" si="142"/>
        <v>79.400000000000006</v>
      </c>
      <c r="N1075" s="1630"/>
      <c r="O1075" s="1628" t="s">
        <v>1778</v>
      </c>
      <c r="Q1075" s="1632"/>
      <c r="R1075" s="1640">
        <f>SUM(R1064:R1074)</f>
        <v>7257.777</v>
      </c>
      <c r="W1075" s="1634"/>
      <c r="AE1075" s="1630"/>
      <c r="AF1075" s="1641" t="s">
        <v>155</v>
      </c>
      <c r="AH1075" s="1632"/>
      <c r="AI1075" s="1639">
        <f>AI1073/AD1065</f>
        <v>4562.1529933481161</v>
      </c>
    </row>
    <row r="1076" spans="6:35" ht="24" customHeight="1">
      <c r="F1076" s="1640">
        <v>1</v>
      </c>
      <c r="G1076" s="1638" t="s">
        <v>153</v>
      </c>
      <c r="H1076" s="1627" t="s">
        <v>1779</v>
      </c>
      <c r="I1076" s="1690">
        <f>I1060</f>
        <v>7.3</v>
      </c>
      <c r="J1076" s="1627" t="s">
        <v>153</v>
      </c>
      <c r="K1076" s="1640">
        <f t="shared" si="142"/>
        <v>7.3</v>
      </c>
      <c r="N1076" s="1638" t="s">
        <v>150</v>
      </c>
      <c r="Q1076" s="1632"/>
      <c r="R1076" s="1636" t="s">
        <v>21</v>
      </c>
      <c r="W1076" s="1634"/>
      <c r="AE1076" s="1630"/>
      <c r="AH1076" s="1632"/>
      <c r="AI1076" s="1636" t="s">
        <v>156</v>
      </c>
    </row>
    <row r="1077" spans="6:35" ht="24" customHeight="1">
      <c r="F1077" s="1640">
        <v>1</v>
      </c>
      <c r="G1077" s="1638" t="s">
        <v>153</v>
      </c>
      <c r="H1077" s="1627" t="s">
        <v>1780</v>
      </c>
      <c r="I1077" s="1640">
        <f>C292</f>
        <v>8.9</v>
      </c>
      <c r="J1077" s="1627" t="s">
        <v>153</v>
      </c>
      <c r="K1077" s="1640">
        <f t="shared" si="142"/>
        <v>8.9</v>
      </c>
      <c r="N1077" s="1630"/>
      <c r="O1077" s="1641" t="s">
        <v>155</v>
      </c>
      <c r="Q1077" s="1632"/>
      <c r="R1077" s="1639">
        <f>R1075/M1067</f>
        <v>3933.7544715447157</v>
      </c>
      <c r="W1077" s="1634"/>
      <c r="AG1077" s="1640"/>
    </row>
    <row r="1078" spans="6:35" ht="24" customHeight="1">
      <c r="F1078" s="1640">
        <v>24</v>
      </c>
      <c r="H1078" s="1627" t="s">
        <v>1733</v>
      </c>
      <c r="I1078" s="1629">
        <f>I1063</f>
        <v>2.41</v>
      </c>
      <c r="J1078" s="1627" t="s">
        <v>153</v>
      </c>
      <c r="K1078" s="1640">
        <f t="shared" si="142"/>
        <v>57.84</v>
      </c>
      <c r="N1078" s="1630"/>
      <c r="Q1078" s="1632"/>
      <c r="R1078" s="1636" t="s">
        <v>156</v>
      </c>
      <c r="W1078" s="1634"/>
      <c r="AG1078" s="1640"/>
    </row>
    <row r="1079" spans="6:35" ht="24" customHeight="1">
      <c r="H1079" s="1628" t="s">
        <v>1781</v>
      </c>
      <c r="K1079" s="1640">
        <f>SUM(K1071:K1078)</f>
        <v>1938.819328</v>
      </c>
      <c r="W1079" s="1634"/>
      <c r="AG1079" s="1640"/>
    </row>
    <row r="1080" spans="6:35" ht="24" customHeight="1">
      <c r="K1080" s="1636" t="s">
        <v>21</v>
      </c>
      <c r="W1080" s="1634"/>
      <c r="AG1080" s="1640"/>
    </row>
    <row r="1081" spans="6:35" ht="24" customHeight="1">
      <c r="H1081" s="1641" t="s">
        <v>155</v>
      </c>
      <c r="I1081" s="1627" t="s">
        <v>150</v>
      </c>
      <c r="K1081" s="1639">
        <f>K1079/F1073</f>
        <v>4068.0220898027696</v>
      </c>
      <c r="W1081" s="1634"/>
      <c r="AG1081" s="1640"/>
    </row>
    <row r="1082" spans="6:35" ht="24" customHeight="1">
      <c r="K1082" s="1636" t="s">
        <v>156</v>
      </c>
      <c r="W1082" s="1634"/>
      <c r="AG1082" s="1640"/>
    </row>
    <row r="1083" spans="6:35" ht="24" customHeight="1">
      <c r="F1083" s="1628" t="s">
        <v>1782</v>
      </c>
      <c r="G1083" s="1638" t="s">
        <v>249</v>
      </c>
      <c r="H1083" s="1627" t="s">
        <v>1771</v>
      </c>
      <c r="W1083" s="1634"/>
      <c r="AG1083" s="1640"/>
    </row>
    <row r="1084" spans="6:35" ht="24" customHeight="1">
      <c r="H1084" s="1627" t="s">
        <v>1783</v>
      </c>
      <c r="N1084" s="1627" t="s">
        <v>1700</v>
      </c>
      <c r="W1084" s="1634"/>
      <c r="AG1084" s="1640"/>
    </row>
    <row r="1085" spans="6:35" ht="24" customHeight="1">
      <c r="H1085" s="1636" t="s">
        <v>21</v>
      </c>
      <c r="N1085" s="1627" t="s">
        <v>1695</v>
      </c>
      <c r="W1085" s="1634"/>
      <c r="AG1085" s="1640"/>
    </row>
    <row r="1086" spans="6:35" ht="24" customHeight="1">
      <c r="F1086" s="1715">
        <v>5.4000000000000003E-3</v>
      </c>
      <c r="G1086" s="1638" t="s">
        <v>276</v>
      </c>
      <c r="H1086" s="1627" t="s">
        <v>1773</v>
      </c>
      <c r="I1086" s="1640">
        <f>C89</f>
        <v>99400</v>
      </c>
      <c r="J1086" s="1627" t="s">
        <v>151</v>
      </c>
      <c r="K1086" s="1640">
        <f t="shared" ref="K1086:K1093" si="143">(F1086*I1086)</f>
        <v>536.76</v>
      </c>
      <c r="N1086" s="1627" t="s">
        <v>1784</v>
      </c>
      <c r="W1086" s="1634"/>
      <c r="AG1086" s="1640"/>
    </row>
    <row r="1087" spans="6:35" ht="24" customHeight="1">
      <c r="F1087" s="1715">
        <v>0.23871000000000001</v>
      </c>
      <c r="G1087" s="1638" t="s">
        <v>152</v>
      </c>
      <c r="H1087" s="1685" t="str">
        <f>H1072</f>
        <v>frosted glass 4mmthick</v>
      </c>
      <c r="I1087" s="1690">
        <f>I1072</f>
        <v>208.8</v>
      </c>
      <c r="J1087" s="1627" t="s">
        <v>151</v>
      </c>
      <c r="K1087" s="1640">
        <f t="shared" si="143"/>
        <v>49.842648000000004</v>
      </c>
      <c r="W1087" s="1634"/>
      <c r="AG1087" s="1640"/>
    </row>
    <row r="1088" spans="6:35" ht="24" customHeight="1">
      <c r="F1088" s="1715">
        <v>0.36199999999999999</v>
      </c>
      <c r="G1088" s="1638" t="s">
        <v>152</v>
      </c>
      <c r="H1088" s="1627" t="s">
        <v>880</v>
      </c>
      <c r="I1088" s="1640">
        <f>D31</f>
        <v>1906.8</v>
      </c>
      <c r="J1088" s="1627" t="s">
        <v>152</v>
      </c>
      <c r="K1088" s="1640">
        <f t="shared" si="143"/>
        <v>690.26159999999993</v>
      </c>
      <c r="W1088" s="1634"/>
      <c r="AG1088" s="1640"/>
    </row>
    <row r="1089" spans="6:33" ht="24" customHeight="1">
      <c r="F1089" s="1640">
        <v>3</v>
      </c>
      <c r="G1089" s="1638" t="s">
        <v>153</v>
      </c>
      <c r="H1089" s="1627" t="s">
        <v>1776</v>
      </c>
      <c r="I1089" s="1640">
        <f>C282</f>
        <v>49.35</v>
      </c>
      <c r="J1089" s="1627" t="s">
        <v>153</v>
      </c>
      <c r="K1089" s="1640">
        <f t="shared" si="143"/>
        <v>148.05000000000001</v>
      </c>
      <c r="M1089" s="1691">
        <v>2.2800000000000001E-2</v>
      </c>
      <c r="N1089" s="1638" t="s">
        <v>151</v>
      </c>
      <c r="O1089" s="1627" t="s">
        <v>1710</v>
      </c>
      <c r="P1089" s="1640">
        <f>I1053</f>
        <v>111600</v>
      </c>
      <c r="Q1089" s="1627" t="s">
        <v>151</v>
      </c>
      <c r="R1089" s="1640">
        <f>P1089*M1089</f>
        <v>2544.48</v>
      </c>
      <c r="W1089" s="1634"/>
      <c r="AG1089" s="1640"/>
    </row>
    <row r="1090" spans="6:33" ht="24" customHeight="1">
      <c r="F1090" s="1640">
        <v>2</v>
      </c>
      <c r="G1090" s="1638" t="s">
        <v>153</v>
      </c>
      <c r="H1090" s="1627" t="s">
        <v>1777</v>
      </c>
      <c r="I1090" s="1640">
        <f>C285</f>
        <v>39.700000000000003</v>
      </c>
      <c r="J1090" s="1627" t="s">
        <v>153</v>
      </c>
      <c r="K1090" s="1640">
        <f t="shared" si="143"/>
        <v>79.400000000000006</v>
      </c>
      <c r="M1090" s="1691">
        <v>4.2999999999999997E-2</v>
      </c>
      <c r="N1090" s="1638" t="s">
        <v>151</v>
      </c>
      <c r="O1090" s="1627" t="s">
        <v>1711</v>
      </c>
      <c r="P1090" s="1640">
        <f>I1054</f>
        <v>99400</v>
      </c>
      <c r="Q1090" s="1627" t="s">
        <v>151</v>
      </c>
      <c r="R1090" s="1640">
        <f t="shared" ref="R1090:R1100" si="144">P1090*M1090</f>
        <v>4274.2</v>
      </c>
      <c r="W1090" s="1634"/>
      <c r="AG1090" s="1640"/>
    </row>
    <row r="1091" spans="6:33" ht="24" customHeight="1">
      <c r="F1091" s="1640">
        <v>1</v>
      </c>
      <c r="G1091" s="1638" t="s">
        <v>153</v>
      </c>
      <c r="H1091" s="1627" t="s">
        <v>1779</v>
      </c>
      <c r="I1091" s="1690">
        <f>I1076</f>
        <v>7.3</v>
      </c>
      <c r="J1091" s="1627" t="s">
        <v>153</v>
      </c>
      <c r="K1091" s="1640">
        <f t="shared" si="143"/>
        <v>7.3</v>
      </c>
      <c r="M1091" s="1691">
        <v>4.0800000000000003E-2</v>
      </c>
      <c r="N1091" s="1638" t="s">
        <v>151</v>
      </c>
      <c r="O1091" s="1627" t="s">
        <v>1712</v>
      </c>
      <c r="P1091" s="1640">
        <f>I1017</f>
        <v>95000</v>
      </c>
      <c r="Q1091" s="1627" t="s">
        <v>151</v>
      </c>
      <c r="R1091" s="1640">
        <f t="shared" si="144"/>
        <v>3876.0000000000005</v>
      </c>
      <c r="W1091" s="1634"/>
      <c r="AG1091" s="1640"/>
    </row>
    <row r="1092" spans="6:33" ht="24" customHeight="1">
      <c r="F1092" s="1640">
        <v>1</v>
      </c>
      <c r="G1092" s="1638" t="s">
        <v>153</v>
      </c>
      <c r="H1092" s="1627" t="s">
        <v>1780</v>
      </c>
      <c r="I1092" s="1640">
        <f>C292</f>
        <v>8.9</v>
      </c>
      <c r="J1092" s="1627" t="s">
        <v>153</v>
      </c>
      <c r="K1092" s="1640">
        <f t="shared" si="143"/>
        <v>8.9</v>
      </c>
      <c r="M1092" s="1691"/>
      <c r="N1092" s="1630"/>
      <c r="O1092" s="1627" t="s">
        <v>1785</v>
      </c>
      <c r="P1092" s="1640"/>
      <c r="Q1092" s="1632"/>
      <c r="R1092" s="1640">
        <f t="shared" si="144"/>
        <v>0</v>
      </c>
      <c r="W1092" s="1634"/>
      <c r="AG1092" s="1640"/>
    </row>
    <row r="1093" spans="6:33" ht="24" customHeight="1">
      <c r="F1093" s="1640">
        <v>10</v>
      </c>
      <c r="H1093" s="1627" t="s">
        <v>1733</v>
      </c>
      <c r="I1093" s="1640">
        <f>I1078</f>
        <v>2.41</v>
      </c>
      <c r="J1093" s="1627" t="s">
        <v>153</v>
      </c>
      <c r="K1093" s="1640">
        <f t="shared" si="143"/>
        <v>24.1</v>
      </c>
      <c r="M1093" s="1691">
        <v>3.4424999999999999</v>
      </c>
      <c r="N1093" s="1638" t="s">
        <v>152</v>
      </c>
      <c r="O1093" s="1627" t="s">
        <v>1708</v>
      </c>
      <c r="P1093" s="1640">
        <f>I1019</f>
        <v>2039.8</v>
      </c>
      <c r="Q1093" s="1627" t="s">
        <v>152</v>
      </c>
      <c r="R1093" s="1640">
        <f t="shared" si="144"/>
        <v>7022.0114999999996</v>
      </c>
      <c r="W1093" s="1634"/>
      <c r="AG1093" s="1640"/>
    </row>
    <row r="1094" spans="6:33" ht="24" customHeight="1">
      <c r="K1094" s="1636" t="s">
        <v>21</v>
      </c>
      <c r="M1094" s="1640">
        <v>2</v>
      </c>
      <c r="N1094" s="1638" t="s">
        <v>4</v>
      </c>
      <c r="O1094" s="1627" t="s">
        <v>1715</v>
      </c>
      <c r="P1094" s="1640">
        <f t="shared" ref="P1094:P1099" si="145">I1020</f>
        <v>57.65</v>
      </c>
      <c r="Q1094" s="1627" t="s">
        <v>153</v>
      </c>
      <c r="R1094" s="1640">
        <f t="shared" si="144"/>
        <v>115.3</v>
      </c>
      <c r="W1094" s="1634"/>
      <c r="AG1094" s="1640"/>
    </row>
    <row r="1095" spans="6:33" ht="24" customHeight="1">
      <c r="H1095" s="1628" t="s">
        <v>1786</v>
      </c>
      <c r="K1095" s="1640">
        <f>SUM(K1082:K1093)</f>
        <v>1544.6142479999999</v>
      </c>
      <c r="M1095" s="1640">
        <v>6</v>
      </c>
      <c r="N1095" s="1638" t="s">
        <v>153</v>
      </c>
      <c r="O1095" s="1627" t="s">
        <v>391</v>
      </c>
      <c r="P1095" s="1640">
        <f t="shared" si="145"/>
        <v>89.6</v>
      </c>
      <c r="Q1095" s="1627" t="s">
        <v>153</v>
      </c>
      <c r="R1095" s="1640">
        <f t="shared" si="144"/>
        <v>537.59999999999991</v>
      </c>
      <c r="W1095" s="1634"/>
      <c r="AG1095" s="1640"/>
    </row>
    <row r="1096" spans="6:33" ht="24" customHeight="1">
      <c r="K1096" s="1636" t="s">
        <v>21</v>
      </c>
      <c r="M1096" s="1640">
        <v>4</v>
      </c>
      <c r="N1096" s="1638" t="s">
        <v>153</v>
      </c>
      <c r="O1096" s="1627" t="s">
        <v>392</v>
      </c>
      <c r="P1096" s="1640">
        <f t="shared" si="145"/>
        <v>64.8</v>
      </c>
      <c r="Q1096" s="1627" t="s">
        <v>153</v>
      </c>
      <c r="R1096" s="1640">
        <f t="shared" si="144"/>
        <v>259.2</v>
      </c>
      <c r="W1096" s="1634"/>
      <c r="AG1096" s="1640"/>
    </row>
    <row r="1097" spans="6:33" ht="24" customHeight="1">
      <c r="H1097" s="1641" t="s">
        <v>155</v>
      </c>
      <c r="I1097" s="1627" t="s">
        <v>150</v>
      </c>
      <c r="K1097" s="1639">
        <f>K1095/F1088</f>
        <v>4266.8901878453034</v>
      </c>
      <c r="M1097" s="1640">
        <v>1</v>
      </c>
      <c r="N1097" s="1638" t="s">
        <v>153</v>
      </c>
      <c r="O1097" s="1627" t="s">
        <v>393</v>
      </c>
      <c r="P1097" s="1640">
        <f t="shared" si="145"/>
        <v>181</v>
      </c>
      <c r="Q1097" s="1627" t="s">
        <v>153</v>
      </c>
      <c r="R1097" s="1640">
        <f t="shared" si="144"/>
        <v>181</v>
      </c>
      <c r="W1097" s="1634"/>
      <c r="AG1097" s="1640"/>
    </row>
    <row r="1098" spans="6:33" ht="24" customHeight="1">
      <c r="K1098" s="1636" t="s">
        <v>156</v>
      </c>
      <c r="M1098" s="1640">
        <v>2</v>
      </c>
      <c r="N1098" s="1638" t="s">
        <v>153</v>
      </c>
      <c r="O1098" s="1627" t="s">
        <v>1713</v>
      </c>
      <c r="P1098" s="1640">
        <f t="shared" si="145"/>
        <v>7.3</v>
      </c>
      <c r="Q1098" s="1627" t="s">
        <v>153</v>
      </c>
      <c r="R1098" s="1640">
        <f t="shared" si="144"/>
        <v>14.6</v>
      </c>
      <c r="W1098" s="1634"/>
      <c r="AG1098" s="1640"/>
    </row>
    <row r="1099" spans="6:33" ht="24" customHeight="1">
      <c r="F1099" s="1628" t="s">
        <v>1787</v>
      </c>
      <c r="G1099" s="1638" t="s">
        <v>249</v>
      </c>
      <c r="H1099" s="1627" t="s">
        <v>1788</v>
      </c>
      <c r="M1099" s="1640">
        <v>2</v>
      </c>
      <c r="N1099" s="1638" t="s">
        <v>153</v>
      </c>
      <c r="O1099" s="1627" t="s">
        <v>886</v>
      </c>
      <c r="P1099" s="1640">
        <f t="shared" si="145"/>
        <v>49.55</v>
      </c>
      <c r="Q1099" s="1627" t="s">
        <v>153</v>
      </c>
      <c r="R1099" s="1640">
        <f t="shared" si="144"/>
        <v>99.1</v>
      </c>
      <c r="W1099" s="1634"/>
      <c r="AG1099" s="1640"/>
    </row>
    <row r="1100" spans="6:33" ht="24" customHeight="1">
      <c r="H1100" s="1627" t="s">
        <v>1789</v>
      </c>
      <c r="M1100" s="1640">
        <v>10</v>
      </c>
      <c r="N1100" s="1630"/>
      <c r="O1100" s="1627" t="s">
        <v>1734</v>
      </c>
      <c r="P1100" s="1640">
        <f>P1074</f>
        <v>2.41</v>
      </c>
      <c r="Q1100" s="1632"/>
      <c r="R1100" s="1640">
        <f t="shared" si="144"/>
        <v>24.1</v>
      </c>
      <c r="W1100" s="1634"/>
      <c r="AG1100" s="1640"/>
    </row>
    <row r="1101" spans="6:33" ht="24" customHeight="1">
      <c r="H1101" s="1636" t="s">
        <v>21</v>
      </c>
      <c r="N1101" s="1630"/>
      <c r="O1101" s="1627" t="s">
        <v>1735</v>
      </c>
      <c r="Q1101" s="1632"/>
      <c r="R1101" s="1640">
        <f>SUM(R1089:R1100)+0.31</f>
        <v>18947.901499999996</v>
      </c>
      <c r="W1101" s="1634"/>
      <c r="AG1101" s="1640"/>
    </row>
    <row r="1102" spans="6:33" ht="24" customHeight="1">
      <c r="F1102" s="1715">
        <v>5.3E-3</v>
      </c>
      <c r="G1102" s="1638" t="s">
        <v>276</v>
      </c>
      <c r="H1102" s="1627" t="s">
        <v>1773</v>
      </c>
      <c r="I1102" s="1640">
        <f>C89</f>
        <v>99400</v>
      </c>
      <c r="J1102" s="1627" t="s">
        <v>151</v>
      </c>
      <c r="K1102" s="1640">
        <f t="shared" ref="K1102:K1108" si="146">(F1102*I1102)</f>
        <v>526.82000000000005</v>
      </c>
      <c r="N1102" s="1630"/>
      <c r="Q1102" s="1632"/>
      <c r="R1102" s="1636" t="s">
        <v>21</v>
      </c>
      <c r="W1102" s="1634"/>
      <c r="AG1102" s="1640"/>
    </row>
    <row r="1103" spans="6:33" ht="24" customHeight="1">
      <c r="F1103" s="1715">
        <v>0.27450000000000002</v>
      </c>
      <c r="G1103" s="1638" t="s">
        <v>152</v>
      </c>
      <c r="H1103" s="1627" t="str">
        <f>H1087</f>
        <v>frosted glass 4mmthick</v>
      </c>
      <c r="I1103" s="1640">
        <f>I1072</f>
        <v>208.8</v>
      </c>
      <c r="J1103" s="1627" t="s">
        <v>151</v>
      </c>
      <c r="K1103" s="1640">
        <f t="shared" si="146"/>
        <v>57.315600000000011</v>
      </c>
      <c r="N1103" s="1630"/>
      <c r="O1103" s="1641" t="s">
        <v>155</v>
      </c>
      <c r="Q1103" s="1632"/>
      <c r="R1103" s="1639">
        <f>R1101/M1093</f>
        <v>5504.1108206245453</v>
      </c>
      <c r="W1103" s="1634"/>
      <c r="AG1103" s="1640"/>
    </row>
    <row r="1104" spans="6:33" ht="24" customHeight="1">
      <c r="F1104" s="1715">
        <v>0.4</v>
      </c>
      <c r="G1104" s="1638" t="s">
        <v>152</v>
      </c>
      <c r="H1104" s="1627" t="s">
        <v>880</v>
      </c>
      <c r="I1104" s="1640">
        <f>D32</f>
        <v>1589</v>
      </c>
      <c r="J1104" s="1627" t="s">
        <v>152</v>
      </c>
      <c r="K1104" s="1640">
        <f t="shared" si="146"/>
        <v>635.6</v>
      </c>
      <c r="N1104" s="1630"/>
      <c r="Q1104" s="1632"/>
      <c r="R1104" s="1636" t="s">
        <v>156</v>
      </c>
      <c r="W1104" s="1634"/>
      <c r="AG1104" s="1640"/>
    </row>
    <row r="1105" spans="6:33" ht="24" customHeight="1">
      <c r="F1105" s="1640">
        <v>2</v>
      </c>
      <c r="G1105" s="1638" t="s">
        <v>1790</v>
      </c>
      <c r="H1105" s="1627" t="s">
        <v>1791</v>
      </c>
      <c r="I1105" s="1640">
        <f>C305</f>
        <v>8.5</v>
      </c>
      <c r="J1105" s="1627" t="s">
        <v>1790</v>
      </c>
      <c r="K1105" s="1640">
        <f t="shared" si="146"/>
        <v>17</v>
      </c>
      <c r="W1105" s="1634"/>
      <c r="AG1105" s="1640"/>
    </row>
    <row r="1106" spans="6:33" ht="24" customHeight="1">
      <c r="F1106" s="1640">
        <v>1</v>
      </c>
      <c r="G1106" s="1638" t="s">
        <v>153</v>
      </c>
      <c r="H1106" s="1627" t="s">
        <v>1792</v>
      </c>
      <c r="I1106" s="1640">
        <f>C293</f>
        <v>6.1</v>
      </c>
      <c r="J1106" s="1627" t="s">
        <v>153</v>
      </c>
      <c r="K1106" s="1640">
        <f t="shared" si="146"/>
        <v>6.1</v>
      </c>
      <c r="W1106" s="1634"/>
      <c r="AG1106" s="1640"/>
    </row>
    <row r="1107" spans="6:33" ht="24" customHeight="1">
      <c r="F1107" s="1640">
        <v>1</v>
      </c>
      <c r="G1107" s="1638" t="s">
        <v>153</v>
      </c>
      <c r="H1107" s="1627" t="s">
        <v>1793</v>
      </c>
      <c r="I1107" s="1640">
        <f>C291</f>
        <v>11.8</v>
      </c>
      <c r="J1107" s="1627" t="s">
        <v>153</v>
      </c>
      <c r="K1107" s="1640">
        <f t="shared" si="146"/>
        <v>11.8</v>
      </c>
      <c r="O1107" s="1627" t="s">
        <v>1794</v>
      </c>
      <c r="W1107" s="1634"/>
      <c r="AG1107" s="1640"/>
    </row>
    <row r="1108" spans="6:33" ht="24" customHeight="1">
      <c r="F1108" s="1640">
        <v>10</v>
      </c>
      <c r="H1108" s="1627" t="s">
        <v>1733</v>
      </c>
      <c r="I1108" s="1640">
        <f>I1093</f>
        <v>2.41</v>
      </c>
      <c r="J1108" s="1627" t="s">
        <v>153</v>
      </c>
      <c r="K1108" s="1640">
        <f t="shared" si="146"/>
        <v>24.1</v>
      </c>
      <c r="W1108" s="1634"/>
      <c r="AG1108" s="1640"/>
    </row>
    <row r="1109" spans="6:33" ht="24" customHeight="1">
      <c r="K1109" s="1636" t="s">
        <v>21</v>
      </c>
      <c r="W1109" s="1634"/>
      <c r="AG1109" s="1640"/>
    </row>
    <row r="1110" spans="6:33" ht="24" customHeight="1">
      <c r="H1110" s="1628" t="s">
        <v>1795</v>
      </c>
      <c r="K1110" s="1640">
        <f>SUM(K1098:K1108)</f>
        <v>1278.7355999999997</v>
      </c>
      <c r="W1110" s="1634"/>
      <c r="AG1110" s="1640"/>
    </row>
    <row r="1111" spans="6:33" ht="24" customHeight="1">
      <c r="K1111" s="1636" t="s">
        <v>21</v>
      </c>
      <c r="M1111" s="1698">
        <v>2.2800000000000001E-2</v>
      </c>
      <c r="N1111" s="1630" t="s">
        <v>151</v>
      </c>
      <c r="O1111" s="1629" t="s">
        <v>1796</v>
      </c>
      <c r="P1111" s="1629">
        <f>P1089</f>
        <v>111600</v>
      </c>
      <c r="Q1111" s="1632" t="s">
        <v>151</v>
      </c>
      <c r="R1111" s="1629">
        <f>P1111*M1111</f>
        <v>2544.48</v>
      </c>
      <c r="W1111" s="1634"/>
      <c r="AG1111" s="1640"/>
    </row>
    <row r="1112" spans="6:33" ht="24" customHeight="1">
      <c r="H1112" s="1641" t="s">
        <v>155</v>
      </c>
      <c r="I1112" s="1627" t="s">
        <v>150</v>
      </c>
      <c r="K1112" s="1639">
        <f>K1110/F1104</f>
        <v>3196.838999999999</v>
      </c>
      <c r="M1112" s="1698">
        <v>3.5400000000000001E-2</v>
      </c>
      <c r="N1112" s="1630" t="s">
        <v>151</v>
      </c>
      <c r="O1112" s="1629" t="s">
        <v>1797</v>
      </c>
      <c r="P1112" s="1629">
        <f>P1090</f>
        <v>99400</v>
      </c>
      <c r="Q1112" s="1632" t="s">
        <v>151</v>
      </c>
      <c r="R1112" s="1629">
        <f t="shared" ref="R1112:R1121" si="147">P1112*M1112</f>
        <v>3518.76</v>
      </c>
      <c r="W1112" s="1634"/>
      <c r="AG1112" s="1640"/>
    </row>
    <row r="1113" spans="6:33" ht="24" customHeight="1">
      <c r="F1113" s="1627" t="s">
        <v>150</v>
      </c>
      <c r="M1113" s="1723">
        <v>3.2300000000000002E-2</v>
      </c>
      <c r="N1113" s="1630" t="s">
        <v>151</v>
      </c>
      <c r="O1113" s="1629" t="s">
        <v>1798</v>
      </c>
      <c r="P1113" s="1629">
        <f>P1091</f>
        <v>95000</v>
      </c>
      <c r="Q1113" s="1632" t="s">
        <v>151</v>
      </c>
      <c r="R1113" s="1629">
        <f t="shared" si="147"/>
        <v>3068.5</v>
      </c>
      <c r="W1113" s="1634"/>
      <c r="AG1113" s="1640"/>
    </row>
    <row r="1114" spans="6:33" ht="24" customHeight="1">
      <c r="K1114" s="1636" t="s">
        <v>156</v>
      </c>
      <c r="M1114" s="1633">
        <v>2.835</v>
      </c>
      <c r="N1114" s="1630" t="s">
        <v>152</v>
      </c>
      <c r="O1114" s="1629" t="s">
        <v>1799</v>
      </c>
      <c r="P1114" s="1629">
        <f t="shared" ref="P1114:P1120" si="148">P1093</f>
        <v>2039.8</v>
      </c>
      <c r="Q1114" s="1632" t="s">
        <v>152</v>
      </c>
      <c r="R1114" s="1629">
        <f t="shared" si="147"/>
        <v>5782.8329999999996</v>
      </c>
      <c r="W1114" s="1634"/>
      <c r="AG1114" s="1640"/>
    </row>
    <row r="1115" spans="6:33" ht="24" customHeight="1">
      <c r="F1115" s="1662">
        <v>22.3</v>
      </c>
      <c r="H1115" s="1627" t="s">
        <v>1800</v>
      </c>
      <c r="L1115" s="1627" t="s">
        <v>150</v>
      </c>
      <c r="M1115" s="1629">
        <v>2</v>
      </c>
      <c r="N1115" s="1630" t="s">
        <v>295</v>
      </c>
      <c r="O1115" s="1629" t="s">
        <v>1801</v>
      </c>
      <c r="P1115" s="1629">
        <f t="shared" si="148"/>
        <v>57.65</v>
      </c>
      <c r="Q1115" s="1632" t="s">
        <v>340</v>
      </c>
      <c r="R1115" s="1629">
        <f t="shared" si="147"/>
        <v>115.3</v>
      </c>
      <c r="W1115" s="1634"/>
      <c r="AG1115" s="1640"/>
    </row>
    <row r="1116" spans="6:33" ht="24" customHeight="1">
      <c r="H1116" s="1636" t="s">
        <v>21</v>
      </c>
      <c r="I1116" s="1636" t="s">
        <v>21</v>
      </c>
      <c r="J1116" s="1627" t="s">
        <v>21</v>
      </c>
      <c r="M1116" s="1629">
        <v>6</v>
      </c>
      <c r="N1116" s="1630" t="s">
        <v>295</v>
      </c>
      <c r="O1116" s="1629" t="s">
        <v>1802</v>
      </c>
      <c r="P1116" s="1629">
        <f t="shared" si="148"/>
        <v>89.6</v>
      </c>
      <c r="Q1116" s="1632" t="s">
        <v>340</v>
      </c>
      <c r="R1116" s="1629">
        <f t="shared" si="147"/>
        <v>537.59999999999991</v>
      </c>
      <c r="W1116" s="1634"/>
      <c r="AG1116" s="1640"/>
    </row>
    <row r="1117" spans="6:33" ht="24" customHeight="1">
      <c r="M1117" s="1629">
        <v>4</v>
      </c>
      <c r="N1117" s="1630" t="s">
        <v>295</v>
      </c>
      <c r="O1117" s="1629" t="s">
        <v>1803</v>
      </c>
      <c r="P1117" s="1629">
        <f t="shared" si="148"/>
        <v>64.8</v>
      </c>
      <c r="Q1117" s="1632" t="s">
        <v>340</v>
      </c>
      <c r="R1117" s="1629">
        <f t="shared" si="147"/>
        <v>259.2</v>
      </c>
      <c r="W1117" s="1634"/>
      <c r="AG1117" s="1640"/>
    </row>
    <row r="1118" spans="6:33" ht="24" customHeight="1">
      <c r="H1118" s="1627" t="s">
        <v>1804</v>
      </c>
      <c r="M1118" s="1629">
        <v>1</v>
      </c>
      <c r="N1118" s="1630" t="s">
        <v>295</v>
      </c>
      <c r="O1118" s="1629" t="s">
        <v>1805</v>
      </c>
      <c r="P1118" s="1629">
        <f t="shared" si="148"/>
        <v>181</v>
      </c>
      <c r="Q1118" s="1632" t="s">
        <v>340</v>
      </c>
      <c r="R1118" s="1629">
        <f t="shared" si="147"/>
        <v>181</v>
      </c>
      <c r="W1118" s="1634"/>
      <c r="AG1118" s="1640"/>
    </row>
    <row r="1119" spans="6:33" ht="24" customHeight="1">
      <c r="H1119" s="1627" t="s">
        <v>1806</v>
      </c>
      <c r="M1119" s="1629">
        <v>2</v>
      </c>
      <c r="N1119" s="1630" t="s">
        <v>295</v>
      </c>
      <c r="O1119" s="1629" t="s">
        <v>884</v>
      </c>
      <c r="P1119" s="1629">
        <f t="shared" si="148"/>
        <v>7.3</v>
      </c>
      <c r="Q1119" s="1632" t="s">
        <v>340</v>
      </c>
      <c r="R1119" s="1629">
        <f t="shared" si="147"/>
        <v>14.6</v>
      </c>
      <c r="W1119" s="1634"/>
      <c r="AG1119" s="1640"/>
    </row>
    <row r="1120" spans="6:33" ht="24" customHeight="1">
      <c r="H1120" s="1627" t="s">
        <v>1807</v>
      </c>
      <c r="M1120" s="1629">
        <v>2</v>
      </c>
      <c r="N1120" s="1630" t="s">
        <v>295</v>
      </c>
      <c r="O1120" s="1629" t="s">
        <v>886</v>
      </c>
      <c r="P1120" s="1629">
        <f t="shared" si="148"/>
        <v>49.55</v>
      </c>
      <c r="Q1120" s="1632" t="s">
        <v>340</v>
      </c>
      <c r="R1120" s="1629">
        <f t="shared" si="147"/>
        <v>99.1</v>
      </c>
      <c r="W1120" s="1634"/>
      <c r="AG1120" s="1640"/>
    </row>
    <row r="1121" spans="6:64" ht="24" customHeight="1">
      <c r="H1121" s="1627" t="s">
        <v>1808</v>
      </c>
      <c r="M1121" s="1640">
        <v>118</v>
      </c>
      <c r="N1121" s="1630"/>
      <c r="O1121" s="1627" t="s">
        <v>1734</v>
      </c>
      <c r="P1121" s="1640">
        <f>P1100</f>
        <v>2.41</v>
      </c>
      <c r="Q1121" s="1632"/>
      <c r="R1121" s="1640">
        <f t="shared" si="147"/>
        <v>284.38</v>
      </c>
      <c r="W1121" s="1634"/>
      <c r="AG1121" s="1640"/>
    </row>
    <row r="1122" spans="6:64" ht="24" customHeight="1">
      <c r="H1122" s="1627" t="s">
        <v>1809</v>
      </c>
      <c r="N1122" s="1688"/>
      <c r="O1122" s="1661" t="s">
        <v>155</v>
      </c>
      <c r="Q1122" s="1632"/>
      <c r="R1122" s="1661">
        <f>SUM(R1111:R1121)</f>
        <v>16405.753000000001</v>
      </c>
      <c r="W1122" s="1634"/>
      <c r="AG1122" s="1640"/>
    </row>
    <row r="1123" spans="6:64" ht="24" customHeight="1">
      <c r="J1123" s="1627" t="s">
        <v>150</v>
      </c>
      <c r="K1123" s="1691">
        <v>3.32E-2</v>
      </c>
      <c r="N1123" s="1688"/>
      <c r="O1123" s="1661"/>
      <c r="Q1123" s="1632"/>
      <c r="R1123" s="1664" t="s">
        <v>1810</v>
      </c>
      <c r="W1123" s="1634"/>
      <c r="AG1123" s="1640"/>
      <c r="BL1123" s="1629" t="s">
        <v>1811</v>
      </c>
    </row>
    <row r="1124" spans="6:64" ht="24" customHeight="1">
      <c r="H1124" s="1627" t="s">
        <v>1812</v>
      </c>
      <c r="J1124" s="1710" t="s">
        <v>150</v>
      </c>
      <c r="K1124" s="1710" t="s">
        <v>150</v>
      </c>
      <c r="N1124" s="1688"/>
      <c r="O1124" s="1661" t="s">
        <v>1813</v>
      </c>
      <c r="Q1124" s="1632"/>
      <c r="R1124" s="1661">
        <f>R1122/2.835</f>
        <v>5786.8617283950616</v>
      </c>
      <c r="W1124" s="1634"/>
      <c r="AG1124" s="1640"/>
    </row>
    <row r="1125" spans="6:64" ht="24" customHeight="1">
      <c r="H1125" s="1627" t="s">
        <v>1814</v>
      </c>
      <c r="K1125" s="1710" t="s">
        <v>150</v>
      </c>
      <c r="N1125" s="1688"/>
      <c r="Q1125" s="1632"/>
      <c r="R1125" s="1664" t="s">
        <v>1810</v>
      </c>
      <c r="W1125" s="1634"/>
      <c r="AG1125" s="1640"/>
    </row>
    <row r="1126" spans="6:64" ht="24" customHeight="1">
      <c r="W1126" s="1634"/>
      <c r="AG1126" s="1640"/>
    </row>
    <row r="1127" spans="6:64" ht="24" customHeight="1">
      <c r="F1127" s="1715">
        <v>1.18E-2</v>
      </c>
      <c r="G1127" s="1638" t="s">
        <v>151</v>
      </c>
      <c r="H1127" s="1627" t="s">
        <v>877</v>
      </c>
      <c r="I1127" s="1640">
        <f>C88</f>
        <v>111600</v>
      </c>
      <c r="J1127" s="1627" t="s">
        <v>151</v>
      </c>
      <c r="K1127" s="1640">
        <f t="shared" ref="K1127:K1136" si="149">(F1127*I1127)</f>
        <v>1316.8799999999999</v>
      </c>
      <c r="W1127" s="1634"/>
      <c r="AG1127" s="1640"/>
    </row>
    <row r="1128" spans="6:64" ht="24" customHeight="1">
      <c r="F1128" s="1715">
        <v>3.32E-2</v>
      </c>
      <c r="G1128" s="1638" t="s">
        <v>151</v>
      </c>
      <c r="H1128" s="1627" t="s">
        <v>878</v>
      </c>
      <c r="I1128" s="1640">
        <f>C89</f>
        <v>99400</v>
      </c>
      <c r="J1128" s="1627" t="s">
        <v>151</v>
      </c>
      <c r="K1128" s="1640">
        <f t="shared" si="149"/>
        <v>3300.08</v>
      </c>
      <c r="W1128" s="1634"/>
      <c r="AG1128" s="1640"/>
    </row>
    <row r="1129" spans="6:64" ht="24" customHeight="1">
      <c r="F1129" s="1715">
        <v>1.8550000000000001E-2</v>
      </c>
      <c r="G1129" s="1638" t="s">
        <v>151</v>
      </c>
      <c r="H1129" s="1627" t="s">
        <v>1815</v>
      </c>
      <c r="I1129" s="1640">
        <f>C30</f>
        <v>18172</v>
      </c>
      <c r="J1129" s="1627" t="s">
        <v>151</v>
      </c>
      <c r="K1129" s="1640">
        <f t="shared" si="149"/>
        <v>337.09059999999999</v>
      </c>
      <c r="W1129" s="1634"/>
      <c r="AG1129" s="1640"/>
    </row>
    <row r="1130" spans="6:64" ht="24" customHeight="1">
      <c r="F1130" s="1715">
        <v>1.46</v>
      </c>
      <c r="G1130" s="1638" t="s">
        <v>152</v>
      </c>
      <c r="H1130" s="1627" t="s">
        <v>1816</v>
      </c>
      <c r="I1130" s="1690">
        <v>269.10000000000002</v>
      </c>
      <c r="J1130" s="1627" t="s">
        <v>152</v>
      </c>
      <c r="K1130" s="1640">
        <f t="shared" si="149"/>
        <v>392.88600000000002</v>
      </c>
      <c r="W1130" s="1634"/>
      <c r="AG1130" s="1640"/>
    </row>
    <row r="1131" spans="6:64" ht="24" customHeight="1">
      <c r="F1131" s="1715">
        <v>2.0499999999999998</v>
      </c>
      <c r="G1131" s="1638" t="s">
        <v>152</v>
      </c>
      <c r="H1131" s="1627" t="s">
        <v>1817</v>
      </c>
      <c r="I1131" s="1640">
        <f>D30</f>
        <v>1701</v>
      </c>
      <c r="J1131" s="1627" t="s">
        <v>152</v>
      </c>
      <c r="K1131" s="1640">
        <f t="shared" si="149"/>
        <v>3487.0499999999997</v>
      </c>
      <c r="W1131" s="1634"/>
      <c r="AG1131" s="1640"/>
    </row>
    <row r="1132" spans="6:64" ht="24" customHeight="1">
      <c r="F1132" s="1640">
        <v>2</v>
      </c>
      <c r="G1132" s="1638" t="s">
        <v>153</v>
      </c>
      <c r="H1132" s="1627" t="s">
        <v>1818</v>
      </c>
      <c r="I1132" s="1640">
        <f>C285</f>
        <v>39.700000000000003</v>
      </c>
      <c r="J1132" s="1627" t="s">
        <v>153</v>
      </c>
      <c r="K1132" s="1640">
        <f t="shared" si="149"/>
        <v>79.400000000000006</v>
      </c>
      <c r="W1132" s="1634"/>
      <c r="AG1132" s="1640"/>
    </row>
    <row r="1133" spans="6:64" ht="24" customHeight="1">
      <c r="F1133" s="1640">
        <v>6</v>
      </c>
      <c r="G1133" s="1638" t="s">
        <v>153</v>
      </c>
      <c r="H1133" s="1627" t="s">
        <v>1776</v>
      </c>
      <c r="I1133" s="1640">
        <f>C282</f>
        <v>49.35</v>
      </c>
      <c r="J1133" s="1627" t="s">
        <v>153</v>
      </c>
      <c r="K1133" s="1640">
        <f t="shared" si="149"/>
        <v>296.10000000000002</v>
      </c>
      <c r="W1133" s="1634"/>
      <c r="AG1133" s="1640"/>
    </row>
    <row r="1134" spans="6:64" ht="24" customHeight="1">
      <c r="F1134" s="1640">
        <v>2</v>
      </c>
      <c r="G1134" s="1638" t="s">
        <v>153</v>
      </c>
      <c r="H1134" s="1627" t="s">
        <v>5172</v>
      </c>
      <c r="I1134" s="1640">
        <v>60.9</v>
      </c>
      <c r="J1134" s="1627" t="s">
        <v>153</v>
      </c>
      <c r="K1134" s="1640">
        <f t="shared" si="149"/>
        <v>121.8</v>
      </c>
      <c r="W1134" s="1634"/>
      <c r="AG1134" s="1640"/>
    </row>
    <row r="1135" spans="6:64" ht="24" customHeight="1">
      <c r="F1135" s="1640">
        <v>1</v>
      </c>
      <c r="G1135" s="1638" t="s">
        <v>153</v>
      </c>
      <c r="H1135" s="1690" t="s">
        <v>1820</v>
      </c>
      <c r="I1135" s="1690">
        <v>63.2</v>
      </c>
      <c r="J1135" s="1627" t="s">
        <v>153</v>
      </c>
      <c r="K1135" s="1640">
        <f t="shared" si="149"/>
        <v>63.2</v>
      </c>
      <c r="W1135" s="1634"/>
      <c r="AG1135" s="1640"/>
    </row>
    <row r="1136" spans="6:64" ht="24" customHeight="1">
      <c r="F1136" s="1640">
        <v>2.52</v>
      </c>
      <c r="G1136" s="1638" t="s">
        <v>152</v>
      </c>
      <c r="H1136" s="1627" t="s">
        <v>1821</v>
      </c>
      <c r="I1136" s="1640">
        <f>K1167</f>
        <v>246.54000000000002</v>
      </c>
      <c r="J1136" s="1627" t="s">
        <v>152</v>
      </c>
      <c r="K1136" s="1640">
        <f t="shared" si="149"/>
        <v>621.2808</v>
      </c>
      <c r="W1136" s="1634"/>
      <c r="AG1136" s="1640"/>
    </row>
    <row r="1137" spans="6:33" ht="24" customHeight="1">
      <c r="H1137" s="1627" t="s">
        <v>1822</v>
      </c>
      <c r="I1137" s="1628" t="s">
        <v>226</v>
      </c>
      <c r="K1137" s="1640">
        <v>0.21</v>
      </c>
      <c r="W1137" s="1634"/>
      <c r="AG1137" s="1640"/>
    </row>
    <row r="1138" spans="6:33" ht="24" customHeight="1">
      <c r="K1138" s="1636" t="s">
        <v>21</v>
      </c>
      <c r="W1138" s="1634"/>
      <c r="AG1138" s="1640"/>
    </row>
    <row r="1139" spans="6:33" ht="24" customHeight="1">
      <c r="H1139" s="1628" t="s">
        <v>1823</v>
      </c>
      <c r="K1139" s="1640">
        <f>SUM(K1127:K1137)</f>
        <v>10015.9774</v>
      </c>
      <c r="M1139" s="1635" t="s">
        <v>1824</v>
      </c>
      <c r="N1139" s="1635"/>
      <c r="O1139" s="1635"/>
      <c r="P1139" s="1635"/>
      <c r="Q1139" s="1635"/>
      <c r="R1139" s="1635"/>
      <c r="S1139" s="1635"/>
      <c r="W1139" s="1634"/>
      <c r="AG1139" s="1640"/>
    </row>
    <row r="1140" spans="6:33" ht="24" customHeight="1">
      <c r="G1140" s="1638" t="s">
        <v>150</v>
      </c>
      <c r="K1140" s="1636" t="s">
        <v>21</v>
      </c>
      <c r="O1140" s="1636" t="s">
        <v>21</v>
      </c>
      <c r="Q1140" s="1632"/>
      <c r="W1140" s="1634"/>
      <c r="AG1140" s="1640"/>
    </row>
    <row r="1141" spans="6:33" ht="24" customHeight="1">
      <c r="H1141" s="1641" t="s">
        <v>155</v>
      </c>
      <c r="K1141" s="1639">
        <f>K1139/2.52</f>
        <v>3974.5942063492062</v>
      </c>
      <c r="N1141" s="1633">
        <v>0.45300000000000001</v>
      </c>
      <c r="O1141" s="1627" t="s">
        <v>1610</v>
      </c>
      <c r="P1141" s="1640">
        <f>C73</f>
        <v>2446.7200000000003</v>
      </c>
      <c r="Q1141" s="1627" t="s">
        <v>151</v>
      </c>
      <c r="R1141" s="1640">
        <f>P1141*N1141</f>
        <v>1108.3641600000001</v>
      </c>
      <c r="W1141" s="1634"/>
      <c r="AG1141" s="1640"/>
    </row>
    <row r="1142" spans="6:33" ht="24" customHeight="1">
      <c r="K1142" s="1636" t="s">
        <v>156</v>
      </c>
      <c r="N1142" s="1633">
        <v>0.30199999999999999</v>
      </c>
      <c r="O1142" s="1627" t="s">
        <v>1825</v>
      </c>
      <c r="P1142" s="1640">
        <f>C71</f>
        <v>1980.72</v>
      </c>
      <c r="Q1142" s="1627" t="str">
        <f>Q1141</f>
        <v>CUM</v>
      </c>
      <c r="R1142" s="1640">
        <f t="shared" ref="R1142:R1147" si="150">P1142*N1142</f>
        <v>598.17743999999993</v>
      </c>
      <c r="W1142" s="1634"/>
      <c r="AG1142" s="1640"/>
    </row>
    <row r="1143" spans="6:33" ht="24" customHeight="1">
      <c r="G1143" s="1638" t="s">
        <v>249</v>
      </c>
      <c r="H1143" s="1627" t="s">
        <v>1826</v>
      </c>
      <c r="N1143" s="1629">
        <v>0.44</v>
      </c>
      <c r="O1143" s="1627" t="s">
        <v>253</v>
      </c>
      <c r="P1143" s="1640">
        <f>C78</f>
        <v>2265.5</v>
      </c>
      <c r="Q1143" s="1627" t="s">
        <v>151</v>
      </c>
      <c r="R1143" s="1640">
        <f t="shared" si="150"/>
        <v>996.82</v>
      </c>
      <c r="W1143" s="1634"/>
      <c r="AG1143" s="1640"/>
    </row>
    <row r="1144" spans="6:33" ht="24" customHeight="1">
      <c r="H1144" s="1636" t="s">
        <v>21</v>
      </c>
      <c r="I1144" s="1636" t="s">
        <v>21</v>
      </c>
      <c r="N1144" s="1629">
        <v>0.37</v>
      </c>
      <c r="O1144" s="1627" t="s">
        <v>278</v>
      </c>
      <c r="P1144" s="1640">
        <f>I808</f>
        <v>6040</v>
      </c>
      <c r="Q1144" s="1627" t="s">
        <v>277</v>
      </c>
      <c r="R1144" s="1640">
        <f t="shared" si="150"/>
        <v>2234.8000000000002</v>
      </c>
      <c r="W1144" s="1634"/>
      <c r="AG1144" s="1640"/>
    </row>
    <row r="1145" spans="6:33" ht="24" customHeight="1">
      <c r="F1145" s="1640">
        <v>0.77</v>
      </c>
      <c r="G1145" s="1638" t="s">
        <v>1827</v>
      </c>
      <c r="H1145" s="1627" t="s">
        <v>1828</v>
      </c>
      <c r="I1145" s="1640">
        <f>C194</f>
        <v>271.2</v>
      </c>
      <c r="J1145" s="1627" t="s">
        <v>1827</v>
      </c>
      <c r="K1145" s="1640">
        <f>(F1145*I1145)</f>
        <v>208.82399999999998</v>
      </c>
      <c r="N1145" s="1629">
        <v>0.35</v>
      </c>
      <c r="O1145" s="1627" t="s">
        <v>280</v>
      </c>
      <c r="P1145" s="1640">
        <f>C11</f>
        <v>1237.5999999999999</v>
      </c>
      <c r="Q1145" s="1627" t="s">
        <v>153</v>
      </c>
      <c r="R1145" s="1640">
        <f t="shared" si="150"/>
        <v>433.15999999999997</v>
      </c>
      <c r="W1145" s="1634"/>
      <c r="AG1145" s="1640"/>
    </row>
    <row r="1146" spans="6:33" ht="24" customHeight="1">
      <c r="F1146" s="1640">
        <v>0.61</v>
      </c>
      <c r="G1146" s="1638" t="s">
        <v>1827</v>
      </c>
      <c r="H1146" s="1627" t="s">
        <v>1829</v>
      </c>
      <c r="I1146" s="1640">
        <f>C193</f>
        <v>25</v>
      </c>
      <c r="J1146" s="1627" t="s">
        <v>1827</v>
      </c>
      <c r="K1146" s="1640">
        <f>(F1146*I1146)</f>
        <v>15.25</v>
      </c>
      <c r="N1146" s="1629">
        <v>2.12</v>
      </c>
      <c r="O1146" s="1627" t="s">
        <v>1830</v>
      </c>
      <c r="P1146" s="1640">
        <f>C12</f>
        <v>865.19999999999993</v>
      </c>
      <c r="Q1146" s="1627" t="s">
        <v>153</v>
      </c>
      <c r="R1146" s="1640">
        <f t="shared" si="150"/>
        <v>1834.2239999999999</v>
      </c>
      <c r="W1146" s="1634"/>
      <c r="AG1146" s="1640"/>
    </row>
    <row r="1147" spans="6:33" ht="24" customHeight="1">
      <c r="F1147" s="1640">
        <v>0.7</v>
      </c>
      <c r="G1147" s="1638" t="s">
        <v>345</v>
      </c>
      <c r="H1147" s="1627" t="s">
        <v>421</v>
      </c>
      <c r="I1147" s="1640">
        <f>C14</f>
        <v>1058.3999999999999</v>
      </c>
      <c r="J1147" s="1627" t="s">
        <v>566</v>
      </c>
      <c r="K1147" s="1640">
        <f>(F1147*I1147)</f>
        <v>740.87999999999988</v>
      </c>
      <c r="N1147" s="1629">
        <v>3.53</v>
      </c>
      <c r="O1147" s="1627" t="s">
        <v>1831</v>
      </c>
      <c r="P1147" s="1640">
        <f>C13</f>
        <v>709.8</v>
      </c>
      <c r="Q1147" s="1627" t="s">
        <v>153</v>
      </c>
      <c r="R1147" s="1640">
        <f t="shared" si="150"/>
        <v>2505.5939999999996</v>
      </c>
      <c r="W1147" s="1634"/>
      <c r="AG1147" s="1640"/>
    </row>
    <row r="1148" spans="6:33" ht="24" customHeight="1">
      <c r="F1148" s="1640"/>
      <c r="G1148" s="1638"/>
      <c r="H1148" s="1627"/>
      <c r="I1148" s="1640"/>
      <c r="J1148" s="1627"/>
      <c r="K1148" s="1640"/>
      <c r="O1148" s="1627" t="s">
        <v>943</v>
      </c>
      <c r="P1148" s="1640"/>
      <c r="Q1148" s="1632"/>
      <c r="R1148" s="1656">
        <f>K819</f>
        <v>125.16</v>
      </c>
      <c r="W1148" s="1634"/>
      <c r="AG1148" s="1640"/>
    </row>
    <row r="1149" spans="6:33" ht="24" customHeight="1">
      <c r="F1149" s="1640">
        <v>0.7</v>
      </c>
      <c r="G1149" s="1638" t="s">
        <v>345</v>
      </c>
      <c r="H1149" s="1627" t="s">
        <v>415</v>
      </c>
      <c r="I1149" s="1640">
        <f>C12</f>
        <v>865.19999999999993</v>
      </c>
      <c r="J1149" s="1627" t="s">
        <v>566</v>
      </c>
      <c r="K1149" s="1640">
        <f>(F1149*I1149)</f>
        <v>605.63999999999987</v>
      </c>
      <c r="M1149" s="1704" t="s">
        <v>287</v>
      </c>
      <c r="O1149" s="1629" t="s">
        <v>1615</v>
      </c>
      <c r="P1149" s="1694">
        <f>V1134</f>
        <v>0</v>
      </c>
      <c r="R1149" s="1629">
        <v>270</v>
      </c>
      <c r="W1149" s="1634"/>
      <c r="AG1149" s="1640"/>
    </row>
    <row r="1150" spans="6:33" ht="43.5" customHeight="1">
      <c r="G1150" s="1638" t="s">
        <v>226</v>
      </c>
      <c r="H1150" s="1627" t="s">
        <v>323</v>
      </c>
      <c r="J1150" s="1627" t="s">
        <v>226</v>
      </c>
      <c r="K1150" s="1640">
        <v>1.5</v>
      </c>
      <c r="M1150" s="1704" t="s">
        <v>287</v>
      </c>
      <c r="O1150" s="1629" t="s">
        <v>1618</v>
      </c>
      <c r="P1150" s="1694">
        <f>V1135</f>
        <v>0</v>
      </c>
      <c r="R1150" s="1629">
        <v>150</v>
      </c>
      <c r="W1150" s="1634"/>
      <c r="AG1150" s="1640"/>
    </row>
    <row r="1151" spans="6:33" ht="24" customHeight="1">
      <c r="K1151" s="1636" t="s">
        <v>21</v>
      </c>
      <c r="M1151" s="1704" t="s">
        <v>287</v>
      </c>
      <c r="O1151" s="1629" t="s">
        <v>337</v>
      </c>
      <c r="P1151" s="1694">
        <f>V1136</f>
        <v>0</v>
      </c>
      <c r="R1151" s="1629">
        <v>0.35</v>
      </c>
      <c r="W1151" s="1634"/>
      <c r="AG1151" s="1640"/>
    </row>
    <row r="1152" spans="6:33" ht="24" customHeight="1">
      <c r="H1152" s="1628" t="s">
        <v>1832</v>
      </c>
      <c r="K1152" s="1640">
        <f>SUM(K1145:K1150)</f>
        <v>1572.0939999999996</v>
      </c>
      <c r="Q1152" s="1632"/>
      <c r="R1152" s="1629">
        <f>SUM(R1141:R1151)</f>
        <v>10256.649600000001</v>
      </c>
      <c r="W1152" s="1634"/>
      <c r="AG1152" s="1640"/>
    </row>
    <row r="1153" spans="6:33" ht="24" customHeight="1">
      <c r="K1153" s="1636" t="s">
        <v>21</v>
      </c>
      <c r="W1153" s="1634"/>
      <c r="X1153" s="1661">
        <f>SUM(X1141:X1152)</f>
        <v>0</v>
      </c>
      <c r="Y1153" s="1661"/>
      <c r="AG1153" s="1640"/>
    </row>
    <row r="1154" spans="6:33" ht="24" customHeight="1">
      <c r="H1154" s="1641" t="s">
        <v>155</v>
      </c>
      <c r="K1154" s="1639">
        <f>(K1152/10)</f>
        <v>157.20939999999996</v>
      </c>
      <c r="W1154" s="1634"/>
      <c r="AG1154" s="1640"/>
    </row>
    <row r="1155" spans="6:33" ht="24" customHeight="1">
      <c r="K1155" s="1636" t="s">
        <v>156</v>
      </c>
      <c r="Q1155" s="1632"/>
      <c r="R1155" s="1656"/>
      <c r="W1155" s="1634"/>
      <c r="AG1155" s="1640"/>
    </row>
    <row r="1156" spans="6:33" ht="24" customHeight="1">
      <c r="O1156" s="1629" t="s">
        <v>1833</v>
      </c>
      <c r="Q1156" s="1632"/>
      <c r="R1156" s="1640">
        <f>SUM(R1152:R1155)</f>
        <v>10256.649600000001</v>
      </c>
      <c r="W1156" s="1634"/>
      <c r="AG1156" s="1640"/>
    </row>
    <row r="1157" spans="6:33" ht="24" customHeight="1">
      <c r="F1157" s="1627" t="s">
        <v>150</v>
      </c>
      <c r="G1157" s="1638" t="s">
        <v>249</v>
      </c>
      <c r="H1157" s="1627" t="s">
        <v>1834</v>
      </c>
      <c r="Q1157" s="1632"/>
      <c r="R1157" s="1636" t="s">
        <v>21</v>
      </c>
      <c r="W1157" s="1634"/>
      <c r="AG1157" s="1640"/>
    </row>
    <row r="1158" spans="6:33" ht="24" customHeight="1">
      <c r="H1158" s="1636" t="s">
        <v>21</v>
      </c>
      <c r="I1158" s="1636" t="s">
        <v>21</v>
      </c>
      <c r="O1158" s="1627" t="s">
        <v>271</v>
      </c>
      <c r="Q1158" s="1632"/>
      <c r="R1158" s="1639">
        <f>R1156+C22</f>
        <v>10415.689600000002</v>
      </c>
      <c r="S1158" s="1633">
        <f>C22</f>
        <v>159.04</v>
      </c>
      <c r="T1158" s="1633">
        <f>C23</f>
        <v>313.32</v>
      </c>
      <c r="W1158" s="1634"/>
      <c r="AG1158" s="1640"/>
    </row>
    <row r="1159" spans="6:33" ht="24" customHeight="1">
      <c r="F1159" s="1640">
        <v>1.2</v>
      </c>
      <c r="G1159" s="1638" t="s">
        <v>1827</v>
      </c>
      <c r="H1159" s="1627" t="s">
        <v>5173</v>
      </c>
      <c r="I1159" s="1640">
        <f>C194</f>
        <v>271.2</v>
      </c>
      <c r="J1159" s="1627" t="s">
        <v>1827</v>
      </c>
      <c r="K1159" s="1640">
        <f>(F1159*I1159)</f>
        <v>325.44</v>
      </c>
      <c r="O1159" s="1627" t="s">
        <v>272</v>
      </c>
      <c r="Q1159" s="1632"/>
      <c r="R1159" s="1639">
        <f>R1158+C23</f>
        <v>10729.009600000001</v>
      </c>
      <c r="S1159" s="1633">
        <f>R1156-5363.9</f>
        <v>4892.749600000001</v>
      </c>
      <c r="W1159" s="1634"/>
      <c r="AG1159" s="1640"/>
    </row>
    <row r="1160" spans="6:33" ht="24" customHeight="1">
      <c r="F1160" s="1640">
        <v>0.9</v>
      </c>
      <c r="G1160" s="1638" t="s">
        <v>1827</v>
      </c>
      <c r="H1160" s="1627" t="s">
        <v>1829</v>
      </c>
      <c r="I1160" s="1640">
        <f>C193</f>
        <v>25</v>
      </c>
      <c r="J1160" s="1627" t="s">
        <v>1827</v>
      </c>
      <c r="K1160" s="1640">
        <f>(F1160*I1160)</f>
        <v>22.5</v>
      </c>
      <c r="O1160" s="1627" t="s">
        <v>767</v>
      </c>
      <c r="Q1160" s="1632"/>
      <c r="R1160" s="1639">
        <f>R1159+C23</f>
        <v>11042.329600000001</v>
      </c>
      <c r="W1160" s="1634"/>
      <c r="AG1160" s="1640"/>
    </row>
    <row r="1161" spans="6:33" ht="24" customHeight="1">
      <c r="F1161" s="1640">
        <v>1.1000000000000001</v>
      </c>
      <c r="G1161" s="1638" t="s">
        <v>345</v>
      </c>
      <c r="H1161" s="1627" t="s">
        <v>421</v>
      </c>
      <c r="I1161" s="1640">
        <f>C14</f>
        <v>1058.3999999999999</v>
      </c>
      <c r="J1161" s="1627" t="s">
        <v>566</v>
      </c>
      <c r="K1161" s="1640">
        <f>(F1161*I1161)</f>
        <v>1164.24</v>
      </c>
      <c r="O1161" s="1627" t="s">
        <v>769</v>
      </c>
      <c r="Q1161" s="1632"/>
      <c r="R1161" s="1639">
        <f>R1160+C23</f>
        <v>11355.649600000001</v>
      </c>
      <c r="W1161" s="1634"/>
      <c r="AG1161" s="1640"/>
    </row>
    <row r="1162" spans="6:33" ht="24" customHeight="1">
      <c r="F1162" s="1640">
        <v>1.1000000000000001</v>
      </c>
      <c r="G1162" s="1638" t="s">
        <v>345</v>
      </c>
      <c r="H1162" s="1627" t="s">
        <v>415</v>
      </c>
      <c r="I1162" s="1640">
        <f>C12</f>
        <v>865.19999999999993</v>
      </c>
      <c r="J1162" s="1627" t="s">
        <v>566</v>
      </c>
      <c r="K1162" s="1640">
        <f>(F1162*I1162)</f>
        <v>951.72</v>
      </c>
      <c r="O1162" s="1627" t="s">
        <v>838</v>
      </c>
      <c r="Q1162" s="1632"/>
      <c r="R1162" s="1639">
        <f>R1161+C23</f>
        <v>11668.9696</v>
      </c>
      <c r="W1162" s="1634"/>
      <c r="AG1162" s="1640"/>
    </row>
    <row r="1163" spans="6:33" ht="24" customHeight="1">
      <c r="G1163" s="1638" t="s">
        <v>226</v>
      </c>
      <c r="H1163" s="1627" t="s">
        <v>323</v>
      </c>
      <c r="J1163" s="1627" t="s">
        <v>226</v>
      </c>
      <c r="K1163" s="1640">
        <v>1.5</v>
      </c>
      <c r="O1163" s="1627" t="s">
        <v>1044</v>
      </c>
      <c r="R1163" s="1639">
        <f>R1162+C23</f>
        <v>11982.2896</v>
      </c>
      <c r="W1163" s="1634"/>
      <c r="AG1163" s="1640"/>
    </row>
    <row r="1164" spans="6:33" ht="24" customHeight="1">
      <c r="K1164" s="1636" t="s">
        <v>21</v>
      </c>
      <c r="O1164" s="1627" t="s">
        <v>1045</v>
      </c>
      <c r="R1164" s="1639">
        <f>R1163+C23</f>
        <v>12295.6096</v>
      </c>
      <c r="W1164" s="1634"/>
      <c r="AG1164" s="1640"/>
    </row>
    <row r="1165" spans="6:33" ht="24" customHeight="1">
      <c r="H1165" s="1628" t="s">
        <v>1832</v>
      </c>
      <c r="K1165" s="1640">
        <f>SUM(K1159:K1163)</f>
        <v>2465.4</v>
      </c>
      <c r="O1165" s="1627" t="s">
        <v>1046</v>
      </c>
      <c r="R1165" s="1639">
        <f>R1164+C23</f>
        <v>12608.929599999999</v>
      </c>
      <c r="W1165" s="1634"/>
      <c r="AG1165" s="1640"/>
    </row>
    <row r="1166" spans="6:33" ht="24" customHeight="1">
      <c r="K1166" s="1636" t="s">
        <v>21</v>
      </c>
      <c r="O1166" s="1627" t="s">
        <v>1223</v>
      </c>
      <c r="R1166" s="1639">
        <f>R1165+C23</f>
        <v>12922.249599999999</v>
      </c>
      <c r="W1166" s="1634"/>
      <c r="AG1166" s="1640"/>
    </row>
    <row r="1167" spans="6:33" ht="24" customHeight="1">
      <c r="H1167" s="1641" t="s">
        <v>155</v>
      </c>
      <c r="K1167" s="1639">
        <f>(K1165/10)</f>
        <v>246.54000000000002</v>
      </c>
      <c r="O1167" s="1627" t="s">
        <v>1048</v>
      </c>
      <c r="R1167" s="1639">
        <f>R1166+C23</f>
        <v>13235.569599999999</v>
      </c>
      <c r="W1167" s="1634"/>
      <c r="AG1167" s="1640"/>
    </row>
    <row r="1168" spans="6:33" ht="24" customHeight="1">
      <c r="K1168" s="1636" t="s">
        <v>156</v>
      </c>
      <c r="O1168" s="1629" t="s">
        <v>1836</v>
      </c>
      <c r="R1168" s="1639">
        <f>R1167+C23</f>
        <v>13548.889599999999</v>
      </c>
      <c r="W1168" s="1634"/>
      <c r="AG1168" s="1640"/>
    </row>
    <row r="1169" spans="6:35" ht="24" customHeight="1">
      <c r="R1169" s="1639">
        <f>R1168+C23</f>
        <v>13862.209599999998</v>
      </c>
      <c r="W1169" s="1634"/>
      <c r="AG1169" s="1640"/>
    </row>
    <row r="1170" spans="6:35" ht="24" customHeight="1">
      <c r="F1170" s="1683">
        <v>23.3</v>
      </c>
      <c r="H1170" s="1629" t="s">
        <v>1837</v>
      </c>
      <c r="I1170" s="1629" t="s">
        <v>763</v>
      </c>
      <c r="K1170" s="1661">
        <v>52</v>
      </c>
      <c r="R1170" s="1639">
        <f>R1169+C23</f>
        <v>14175.529599999998</v>
      </c>
      <c r="S1170" s="1629"/>
      <c r="W1170" s="1634"/>
      <c r="AG1170" s="1640"/>
    </row>
    <row r="1171" spans="6:35" ht="24" customHeight="1">
      <c r="M1171" s="1633"/>
      <c r="O1171" s="1661" t="s">
        <v>1590</v>
      </c>
      <c r="R1171" s="1639">
        <f>R1170+C23</f>
        <v>14488.849599999998</v>
      </c>
      <c r="S1171" s="1629"/>
      <c r="W1171" s="1634"/>
      <c r="AG1171" s="1640"/>
    </row>
    <row r="1172" spans="6:35" ht="24" customHeight="1">
      <c r="M1172" s="1633">
        <v>0.443</v>
      </c>
      <c r="N1172" s="1629" t="s">
        <v>276</v>
      </c>
      <c r="O1172" s="1629" t="s">
        <v>1593</v>
      </c>
      <c r="P1172" s="1629">
        <f t="shared" ref="P1172:P1178" si="151">P1141</f>
        <v>2446.7200000000003</v>
      </c>
      <c r="R1172" s="1629">
        <f>P1172*M1172</f>
        <v>1083.89696</v>
      </c>
      <c r="S1172" s="1629"/>
      <c r="W1172" s="1634"/>
      <c r="AG1172" s="1640"/>
    </row>
    <row r="1173" spans="6:35" ht="24" customHeight="1">
      <c r="F1173" s="1628" t="s">
        <v>341</v>
      </c>
      <c r="G1173" s="1638" t="s">
        <v>249</v>
      </c>
      <c r="H1173" s="1627" t="s">
        <v>5640</v>
      </c>
      <c r="M1173" s="1633">
        <v>0.29499999999999998</v>
      </c>
      <c r="N1173" s="1629" t="s">
        <v>276</v>
      </c>
      <c r="O1173" s="1629" t="s">
        <v>1596</v>
      </c>
      <c r="P1173" s="1629">
        <f t="shared" si="151"/>
        <v>1980.72</v>
      </c>
      <c r="R1173" s="1629">
        <f t="shared" ref="R1173:R1179" si="152">P1173*M1173</f>
        <v>584.31240000000003</v>
      </c>
      <c r="S1173" s="1629"/>
      <c r="W1173" s="1634"/>
      <c r="AG1173" s="1640"/>
    </row>
    <row r="1174" spans="6:35" ht="24" customHeight="1">
      <c r="H1174" s="1627" t="s">
        <v>342</v>
      </c>
      <c r="M1174" s="1633">
        <v>0.43</v>
      </c>
      <c r="N1174" s="1629" t="s">
        <v>276</v>
      </c>
      <c r="O1174" s="1629" t="s">
        <v>1600</v>
      </c>
      <c r="P1174" s="1629">
        <f t="shared" si="151"/>
        <v>2265.5</v>
      </c>
      <c r="R1174" s="1629">
        <f t="shared" si="152"/>
        <v>974.16499999999996</v>
      </c>
      <c r="S1174" s="1629"/>
      <c r="W1174" s="1634"/>
      <c r="AG1174" s="1640"/>
    </row>
    <row r="1175" spans="6:35" ht="24" customHeight="1">
      <c r="H1175" s="1636" t="s">
        <v>21</v>
      </c>
      <c r="I1175" s="1636" t="s">
        <v>21</v>
      </c>
      <c r="M1175" s="1633">
        <v>0.39</v>
      </c>
      <c r="N1175" s="1629" t="s">
        <v>277</v>
      </c>
      <c r="O1175" s="1629" t="s">
        <v>278</v>
      </c>
      <c r="P1175" s="1629">
        <f t="shared" si="151"/>
        <v>6040</v>
      </c>
      <c r="R1175" s="1629">
        <f t="shared" si="152"/>
        <v>2355.6</v>
      </c>
      <c r="S1175" s="1629"/>
      <c r="W1175" s="1634"/>
      <c r="AG1175" s="1640"/>
    </row>
    <row r="1176" spans="6:35" ht="24" customHeight="1">
      <c r="F1176" s="1692">
        <v>0.53339999999999999</v>
      </c>
      <c r="G1176" s="1638" t="s">
        <v>306</v>
      </c>
      <c r="H1176" s="1685" t="s">
        <v>5641</v>
      </c>
      <c r="I1176" s="1640">
        <v>306.89999999999998</v>
      </c>
      <c r="J1176" s="1627" t="s">
        <v>306</v>
      </c>
      <c r="K1176" s="1640">
        <f>(F1176*I1176)</f>
        <v>163.70045999999999</v>
      </c>
      <c r="M1176" s="1633">
        <v>0.35</v>
      </c>
      <c r="N1176" s="1629" t="s">
        <v>154</v>
      </c>
      <c r="O1176" s="1629" t="s">
        <v>280</v>
      </c>
      <c r="P1176" s="1629">
        <f t="shared" si="151"/>
        <v>1237.5999999999999</v>
      </c>
      <c r="Q1176" s="1629">
        <f>D1174</f>
        <v>0</v>
      </c>
      <c r="R1176" s="1629">
        <f t="shared" si="152"/>
        <v>433.15999999999997</v>
      </c>
      <c r="S1176" s="1629"/>
      <c r="W1176" s="1634"/>
      <c r="AG1176" s="1640"/>
    </row>
    <row r="1177" spans="6:35" ht="24" customHeight="1">
      <c r="F1177" s="1640">
        <v>4.24</v>
      </c>
      <c r="G1177" s="1638" t="s">
        <v>303</v>
      </c>
      <c r="H1177" s="1685" t="s">
        <v>344</v>
      </c>
      <c r="I1177" s="1640">
        <v>35.61</v>
      </c>
      <c r="J1177" s="1627" t="s">
        <v>303</v>
      </c>
      <c r="K1177" s="1640">
        <f>(F1177*I1177)</f>
        <v>150.9864</v>
      </c>
      <c r="M1177" s="1633">
        <v>2.12</v>
      </c>
      <c r="N1177" s="1629" t="s">
        <v>154</v>
      </c>
      <c r="O1177" s="1629" t="s">
        <v>281</v>
      </c>
      <c r="P1177" s="1629">
        <f t="shared" si="151"/>
        <v>865.19999999999993</v>
      </c>
      <c r="R1177" s="1629">
        <f t="shared" si="152"/>
        <v>1834.2239999999999</v>
      </c>
      <c r="S1177" s="1629"/>
      <c r="W1177" s="1634"/>
      <c r="AG1177" s="1640"/>
    </row>
    <row r="1178" spans="6:35" ht="24" customHeight="1">
      <c r="F1178" s="1640">
        <v>16</v>
      </c>
      <c r="G1178" s="1638" t="s">
        <v>345</v>
      </c>
      <c r="H1178" s="1685" t="s">
        <v>346</v>
      </c>
      <c r="I1178" s="1640">
        <v>1</v>
      </c>
      <c r="J1178" s="1627" t="s">
        <v>340</v>
      </c>
      <c r="K1178" s="1640">
        <f>(F1178*I1178)</f>
        <v>16</v>
      </c>
      <c r="M1178" s="1633">
        <v>3.53</v>
      </c>
      <c r="N1178" s="1629" t="s">
        <v>154</v>
      </c>
      <c r="O1178" s="1629" t="s">
        <v>282</v>
      </c>
      <c r="P1178" s="1629">
        <f t="shared" si="151"/>
        <v>709.8</v>
      </c>
      <c r="R1178" s="1629">
        <f t="shared" si="152"/>
        <v>2505.5939999999996</v>
      </c>
      <c r="S1178" s="1629"/>
      <c r="W1178" s="1634"/>
      <c r="AG1178" s="1640"/>
    </row>
    <row r="1179" spans="6:35" ht="24" customHeight="1">
      <c r="F1179" s="1692">
        <v>0.53339999999999999</v>
      </c>
      <c r="G1179" s="1638" t="s">
        <v>306</v>
      </c>
      <c r="H1179" s="1627" t="s">
        <v>347</v>
      </c>
      <c r="I1179" s="1640">
        <f>0.25/1.08*D16</f>
        <v>286.48148148148141</v>
      </c>
      <c r="J1179" s="1627" t="s">
        <v>306</v>
      </c>
      <c r="K1179" s="1640">
        <f>(F1179*I1179)</f>
        <v>152.80922222222219</v>
      </c>
      <c r="M1179" s="1633">
        <v>1</v>
      </c>
      <c r="N1179" s="1629" t="s">
        <v>276</v>
      </c>
      <c r="O1179" s="1629" t="s">
        <v>1612</v>
      </c>
      <c r="P1179" s="1629">
        <f>R1148</f>
        <v>125.16</v>
      </c>
      <c r="R1179" s="1629">
        <f t="shared" si="152"/>
        <v>125.16</v>
      </c>
      <c r="S1179" s="1629"/>
      <c r="W1179" s="1634"/>
      <c r="AG1179" s="1640"/>
    </row>
    <row r="1180" spans="6:35" ht="24" customHeight="1">
      <c r="G1180" s="1638" t="s">
        <v>226</v>
      </c>
      <c r="H1180" s="1627" t="s">
        <v>337</v>
      </c>
      <c r="J1180" s="1627" t="s">
        <v>226</v>
      </c>
      <c r="K1180" s="1640"/>
      <c r="M1180" s="1704" t="s">
        <v>287</v>
      </c>
      <c r="O1180" s="1629" t="s">
        <v>1615</v>
      </c>
      <c r="P1180" s="1704" t="s">
        <v>287</v>
      </c>
      <c r="R1180" s="1629">
        <v>270</v>
      </c>
      <c r="S1180" s="1629"/>
      <c r="W1180" s="1634"/>
      <c r="AG1180" s="1640"/>
    </row>
    <row r="1181" spans="6:35" ht="24" customHeight="1">
      <c r="H1181" s="1627" t="s">
        <v>348</v>
      </c>
      <c r="M1181" s="1704" t="s">
        <v>287</v>
      </c>
      <c r="O1181" s="1629" t="s">
        <v>1618</v>
      </c>
      <c r="P1181" s="1704" t="s">
        <v>287</v>
      </c>
      <c r="R1181" s="1629">
        <v>150</v>
      </c>
      <c r="S1181" s="1629"/>
      <c r="W1181" s="1634"/>
      <c r="AG1181" s="1640"/>
    </row>
    <row r="1182" spans="6:35" ht="24" customHeight="1">
      <c r="K1182" s="1636" t="s">
        <v>21</v>
      </c>
      <c r="M1182" s="1704" t="s">
        <v>287</v>
      </c>
      <c r="O1182" s="1629" t="s">
        <v>337</v>
      </c>
      <c r="P1182" s="1704" t="s">
        <v>287</v>
      </c>
      <c r="R1182" s="1629">
        <v>0.45</v>
      </c>
      <c r="S1182" s="1629">
        <f>C22</f>
        <v>159.04</v>
      </c>
      <c r="T1182" s="1629">
        <f>C23</f>
        <v>313.32</v>
      </c>
      <c r="W1182" s="1634"/>
      <c r="AG1182" s="1640"/>
      <c r="AI1182" s="1627" t="s">
        <v>1095</v>
      </c>
    </row>
    <row r="1183" spans="6:35" ht="24" customHeight="1">
      <c r="H1183" s="1628" t="s">
        <v>349</v>
      </c>
      <c r="K1183" s="1640">
        <f>SUM(K1176:K1180)</f>
        <v>483.49608222222219</v>
      </c>
      <c r="M1183" s="1633"/>
      <c r="O1183" s="1629" t="s">
        <v>289</v>
      </c>
      <c r="R1183" s="1661">
        <f>SUM(R1172:R1182)</f>
        <v>10316.56236</v>
      </c>
      <c r="S1183" s="1629"/>
      <c r="W1183" s="1634"/>
      <c r="AG1183" s="1640"/>
      <c r="AI1183" s="1627" t="s">
        <v>1095</v>
      </c>
    </row>
    <row r="1184" spans="6:35" ht="24" customHeight="1">
      <c r="K1184" s="1636" t="s">
        <v>21</v>
      </c>
      <c r="M1184" s="1633"/>
      <c r="O1184" s="1629" t="s">
        <v>271</v>
      </c>
      <c r="R1184" s="1629">
        <f>R1183+C22</f>
        <v>10475.602360000001</v>
      </c>
      <c r="W1184" s="1634"/>
      <c r="AG1184" s="1640"/>
      <c r="AI1184" s="1627" t="s">
        <v>1095</v>
      </c>
    </row>
    <row r="1185" spans="6:39" ht="24" customHeight="1">
      <c r="H1185" s="1628" t="s">
        <v>350</v>
      </c>
      <c r="K1185" s="1639">
        <f>ROUND(K1183/0.5334,1)</f>
        <v>906.4</v>
      </c>
      <c r="R1185" s="1629">
        <f>R1184+C23</f>
        <v>10788.92236</v>
      </c>
      <c r="W1185" s="1634"/>
      <c r="AG1185" s="1640"/>
      <c r="AI1185" s="1627" t="s">
        <v>1095</v>
      </c>
    </row>
    <row r="1186" spans="6:39" ht="24" customHeight="1">
      <c r="F1186" s="1627" t="s">
        <v>150</v>
      </c>
      <c r="K1186" s="1636" t="s">
        <v>156</v>
      </c>
      <c r="R1186" s="1629">
        <f>R1185+C23</f>
        <v>11102.24236</v>
      </c>
      <c r="W1186" s="1634"/>
      <c r="Z1186" s="1683">
        <v>15.1</v>
      </c>
      <c r="AA1186" s="1638" t="s">
        <v>1253</v>
      </c>
      <c r="AB1186" s="1638"/>
      <c r="AC1186" s="1631" t="s">
        <v>1839</v>
      </c>
      <c r="AE1186" s="1634"/>
      <c r="AG1186" s="1640"/>
      <c r="AH1186" s="1683">
        <v>15.1</v>
      </c>
      <c r="AI1186" s="1638" t="s">
        <v>1253</v>
      </c>
      <c r="AJ1186" s="1724" t="s">
        <v>1840</v>
      </c>
      <c r="AL1186" s="1634"/>
    </row>
    <row r="1187" spans="6:39" ht="24" customHeight="1">
      <c r="F1187" s="1627" t="s">
        <v>150</v>
      </c>
      <c r="G1187" s="1638" t="s">
        <v>150</v>
      </c>
      <c r="H1187" s="1627" t="s">
        <v>150</v>
      </c>
      <c r="W1187" s="1634"/>
      <c r="AA1187" s="1630"/>
      <c r="AB1187" s="1630"/>
      <c r="AC1187" s="1627" t="s">
        <v>1192</v>
      </c>
      <c r="AE1187" s="1634"/>
      <c r="AG1187" s="1640"/>
      <c r="AI1187" s="1630"/>
      <c r="AJ1187" s="1627" t="s">
        <v>1192</v>
      </c>
      <c r="AL1187" s="1634"/>
    </row>
    <row r="1188" spans="6:39" ht="53.25" customHeight="1">
      <c r="F1188" s="1628" t="s">
        <v>461</v>
      </c>
      <c r="G1188" s="1638" t="s">
        <v>249</v>
      </c>
      <c r="H1188" s="1627" t="s">
        <v>1841</v>
      </c>
      <c r="M1188" s="1628" t="s">
        <v>341</v>
      </c>
      <c r="N1188" s="1638" t="s">
        <v>249</v>
      </c>
      <c r="O1188" s="1627" t="s">
        <v>5642</v>
      </c>
      <c r="Q1188" s="1632"/>
      <c r="W1188" s="1634"/>
      <c r="Z1188" s="1640">
        <v>10</v>
      </c>
      <c r="AA1188" s="1638" t="s">
        <v>306</v>
      </c>
      <c r="AB1188" s="1638"/>
      <c r="AC1188" s="1680" t="s">
        <v>5174</v>
      </c>
      <c r="AD1188" s="1640">
        <v>1737</v>
      </c>
      <c r="AE1188" s="1628" t="s">
        <v>306</v>
      </c>
      <c r="AF1188" s="1640">
        <f>(Z1188*AD1188)</f>
        <v>17370</v>
      </c>
      <c r="AG1188" s="1640" t="str">
        <f>AI1188</f>
        <v>Sqm</v>
      </c>
      <c r="AH1188" s="1640">
        <v>10</v>
      </c>
      <c r="AI1188" s="1638" t="s">
        <v>306</v>
      </c>
      <c r="AJ1188" s="1680" t="s">
        <v>5175</v>
      </c>
      <c r="AK1188" s="1640">
        <v>886</v>
      </c>
      <c r="AL1188" s="1628" t="s">
        <v>306</v>
      </c>
      <c r="AM1188" s="1640">
        <f>(AH1188*AK1188)</f>
        <v>8860</v>
      </c>
    </row>
    <row r="1189" spans="6:39" ht="24" customHeight="1">
      <c r="H1189" s="1627" t="s">
        <v>1844</v>
      </c>
      <c r="N1189" s="1630"/>
      <c r="O1189" s="1627" t="s">
        <v>342</v>
      </c>
      <c r="Q1189" s="1632"/>
      <c r="W1189" s="1634"/>
      <c r="Z1189" s="1640">
        <v>0.12</v>
      </c>
      <c r="AA1189" s="1638" t="s">
        <v>151</v>
      </c>
      <c r="AB1189" s="1638"/>
      <c r="AC1189" s="1627" t="s">
        <v>1260</v>
      </c>
      <c r="AD1189" s="1651">
        <f>P1333</f>
        <v>5318.7</v>
      </c>
      <c r="AE1189" s="1628" t="s">
        <v>151</v>
      </c>
      <c r="AF1189" s="1640">
        <f>(Z1189*AD1189)</f>
        <v>638.24399999999991</v>
      </c>
      <c r="AG1189" s="1640" t="str">
        <f>AI1189</f>
        <v>CUM</v>
      </c>
      <c r="AH1189" s="1640">
        <v>0.12</v>
      </c>
      <c r="AI1189" s="1638" t="s">
        <v>151</v>
      </c>
      <c r="AJ1189" s="1627" t="s">
        <v>1260</v>
      </c>
      <c r="AK1189" s="1640">
        <f>AD1189</f>
        <v>5318.7</v>
      </c>
      <c r="AL1189" s="1628" t="s">
        <v>151</v>
      </c>
      <c r="AM1189" s="1640">
        <f>(AH1189*AK1189)</f>
        <v>638.24399999999991</v>
      </c>
    </row>
    <row r="1190" spans="6:39" ht="24" customHeight="1">
      <c r="H1190" s="1636" t="s">
        <v>21</v>
      </c>
      <c r="N1190" s="1630"/>
      <c r="O1190" s="1636" t="s">
        <v>21</v>
      </c>
      <c r="P1190" s="1636" t="s">
        <v>21</v>
      </c>
      <c r="Q1190" s="1632"/>
      <c r="W1190" s="1634"/>
      <c r="Z1190" s="1640">
        <v>1</v>
      </c>
      <c r="AA1190" s="1638" t="s">
        <v>345</v>
      </c>
      <c r="AB1190" s="1638"/>
      <c r="AC1190" s="1627" t="s">
        <v>1196</v>
      </c>
      <c r="AD1190" s="1651">
        <f>P1334</f>
        <v>1325.8</v>
      </c>
      <c r="AE1190" s="1628" t="s">
        <v>340</v>
      </c>
      <c r="AF1190" s="1640">
        <f>(Z1190*AD1190)</f>
        <v>1325.8</v>
      </c>
      <c r="AG1190" s="1640" t="str">
        <f>AI1190</f>
        <v>No.</v>
      </c>
      <c r="AH1190" s="1640">
        <v>1</v>
      </c>
      <c r="AI1190" s="1638" t="s">
        <v>345</v>
      </c>
      <c r="AJ1190" s="1627" t="s">
        <v>1196</v>
      </c>
      <c r="AK1190" s="1640">
        <f>AD1190</f>
        <v>1325.8</v>
      </c>
      <c r="AL1190" s="1628" t="s">
        <v>340</v>
      </c>
      <c r="AM1190" s="1640">
        <f>(AH1190*AK1190)</f>
        <v>1325.8</v>
      </c>
    </row>
    <row r="1191" spans="6:39" ht="24" customHeight="1">
      <c r="F1191" s="1640">
        <v>1</v>
      </c>
      <c r="G1191" s="1638" t="s">
        <v>13</v>
      </c>
      <c r="H1191" s="1627" t="s">
        <v>5176</v>
      </c>
      <c r="I1191" s="1690">
        <f>D660</f>
        <v>69.599999999999994</v>
      </c>
      <c r="J1191" s="1627" t="s">
        <v>13</v>
      </c>
      <c r="K1191" s="1639">
        <f>(F1191*I1191)</f>
        <v>69.599999999999994</v>
      </c>
      <c r="M1191" s="1692">
        <v>0.53339999999999999</v>
      </c>
      <c r="N1191" s="1638" t="s">
        <v>306</v>
      </c>
      <c r="O1191" s="1685" t="s">
        <v>5643</v>
      </c>
      <c r="P1191" s="1640">
        <v>362.5</v>
      </c>
      <c r="Q1191" s="1627" t="s">
        <v>306</v>
      </c>
      <c r="R1191" s="1640">
        <f>(M1191*P1191)</f>
        <v>193.35749999999999</v>
      </c>
      <c r="W1191" s="1634"/>
      <c r="Z1191" s="1640">
        <v>1</v>
      </c>
      <c r="AA1191" s="1638" t="s">
        <v>345</v>
      </c>
      <c r="AB1191" s="1638"/>
      <c r="AC1191" s="1627" t="s">
        <v>5177</v>
      </c>
      <c r="AD1191" s="1651">
        <f>P1335</f>
        <v>865.19999999999993</v>
      </c>
      <c r="AE1191" s="1628" t="s">
        <v>340</v>
      </c>
      <c r="AF1191" s="1640">
        <f>(Z1191*AD1191)</f>
        <v>865.19999999999993</v>
      </c>
      <c r="AG1191" s="1640" t="str">
        <f>AI1191</f>
        <v>No.</v>
      </c>
      <c r="AH1191" s="1640">
        <v>1</v>
      </c>
      <c r="AI1191" s="1638" t="s">
        <v>345</v>
      </c>
      <c r="AJ1191" s="1627" t="s">
        <v>5178</v>
      </c>
      <c r="AK1191" s="1640">
        <f>AD1191</f>
        <v>865.19999999999993</v>
      </c>
      <c r="AL1191" s="1628" t="s">
        <v>340</v>
      </c>
      <c r="AM1191" s="1640">
        <f>(AH1191*AK1191)</f>
        <v>865.19999999999993</v>
      </c>
    </row>
    <row r="1192" spans="6:39" ht="24" customHeight="1">
      <c r="K1192" s="1636" t="s">
        <v>156</v>
      </c>
      <c r="M1192" s="1640">
        <v>4.24</v>
      </c>
      <c r="N1192" s="1638" t="s">
        <v>303</v>
      </c>
      <c r="O1192" s="1685" t="s">
        <v>344</v>
      </c>
      <c r="P1192" s="1640">
        <f>I1177</f>
        <v>35.61</v>
      </c>
      <c r="Q1192" s="1627" t="s">
        <v>303</v>
      </c>
      <c r="R1192" s="1640">
        <f>(M1192*P1192)</f>
        <v>150.9864</v>
      </c>
      <c r="W1192" s="1634"/>
      <c r="Z1192" s="1640"/>
      <c r="AA1192" s="1638" t="s">
        <v>226</v>
      </c>
      <c r="AB1192" s="1638"/>
      <c r="AC1192" s="1627" t="s">
        <v>1200</v>
      </c>
      <c r="AE1192" s="1628" t="s">
        <v>226</v>
      </c>
      <c r="AF1192" s="1640">
        <v>0.33</v>
      </c>
      <c r="AH1192" s="1640"/>
      <c r="AI1192" s="1638" t="s">
        <v>226</v>
      </c>
      <c r="AJ1192" s="1627" t="s">
        <v>1200</v>
      </c>
      <c r="AL1192" s="1628" t="s">
        <v>226</v>
      </c>
      <c r="AM1192" s="1640">
        <v>0.33</v>
      </c>
    </row>
    <row r="1193" spans="6:39" ht="24" customHeight="1">
      <c r="F1193" s="1628">
        <v>39</v>
      </c>
      <c r="H1193" s="1685" t="s">
        <v>5179</v>
      </c>
      <c r="I1193" s="1690">
        <f>C660</f>
        <v>70.150000000000006</v>
      </c>
      <c r="J1193" s="1627" t="s">
        <v>13</v>
      </c>
      <c r="K1193" s="1639">
        <f>I1193</f>
        <v>70.150000000000006</v>
      </c>
      <c r="M1193" s="1640">
        <v>16</v>
      </c>
      <c r="N1193" s="1638" t="s">
        <v>345</v>
      </c>
      <c r="O1193" s="1685" t="s">
        <v>346</v>
      </c>
      <c r="P1193" s="1640">
        <f t="shared" ref="P1193:P1194" si="153">I1178</f>
        <v>1</v>
      </c>
      <c r="Q1193" s="1627" t="s">
        <v>340</v>
      </c>
      <c r="R1193" s="1640">
        <f>(M1193*P1193)</f>
        <v>16</v>
      </c>
      <c r="W1193" s="1634"/>
      <c r="Z1193" s="1640"/>
      <c r="AA1193" s="1630"/>
      <c r="AB1193" s="1630"/>
      <c r="AC1193" s="1627" t="s">
        <v>1202</v>
      </c>
      <c r="AF1193" s="1634"/>
      <c r="AG1193" s="1636" t="s">
        <v>21</v>
      </c>
      <c r="AH1193" s="1640"/>
      <c r="AI1193" s="1630"/>
      <c r="AJ1193" s="1627" t="s">
        <v>1202</v>
      </c>
      <c r="AM1193" s="1634"/>
    </row>
    <row r="1194" spans="6:39" ht="24" customHeight="1">
      <c r="F1194" s="1628" t="s">
        <v>463</v>
      </c>
      <c r="G1194" s="1638" t="s">
        <v>249</v>
      </c>
      <c r="H1194" s="1627" t="s">
        <v>1847</v>
      </c>
      <c r="I1194" s="1627" t="s">
        <v>150</v>
      </c>
      <c r="J1194" s="1627" t="s">
        <v>566</v>
      </c>
      <c r="K1194" s="1639">
        <v>9.6</v>
      </c>
      <c r="M1194" s="1692">
        <v>0.53339999999999999</v>
      </c>
      <c r="N1194" s="1638" t="s">
        <v>306</v>
      </c>
      <c r="O1194" s="1627" t="s">
        <v>347</v>
      </c>
      <c r="P1194" s="1640">
        <f t="shared" si="153"/>
        <v>286.48148148148141</v>
      </c>
      <c r="Q1194" s="1627" t="s">
        <v>306</v>
      </c>
      <c r="R1194" s="1640">
        <f>(M1194*P1194)</f>
        <v>152.80922222222219</v>
      </c>
      <c r="W1194" s="1634"/>
      <c r="Z1194" s="1640"/>
      <c r="AA1194" s="1630"/>
      <c r="AB1194" s="1630"/>
      <c r="AC1194" s="1628" t="s">
        <v>1270</v>
      </c>
      <c r="AE1194" s="1634"/>
      <c r="AF1194" s="1640">
        <f>SUM(AF1188:AF1193)</f>
        <v>20199.574000000001</v>
      </c>
      <c r="AG1194" s="1640">
        <f>SUM(AG1188:AG1192)</f>
        <v>0</v>
      </c>
      <c r="AH1194" s="1640"/>
      <c r="AI1194" s="1630"/>
      <c r="AJ1194" s="1628" t="s">
        <v>1270</v>
      </c>
      <c r="AL1194" s="1634"/>
      <c r="AM1194" s="1640">
        <f>SUM(AM1188:AM1193)</f>
        <v>11689.574000000001</v>
      </c>
    </row>
    <row r="1195" spans="6:39" ht="24" customHeight="1">
      <c r="H1195" s="1627" t="s">
        <v>1848</v>
      </c>
      <c r="K1195" s="1636" t="s">
        <v>156</v>
      </c>
      <c r="N1195" s="1638" t="s">
        <v>226</v>
      </c>
      <c r="O1195" s="1627" t="s">
        <v>337</v>
      </c>
      <c r="Q1195" s="1627" t="s">
        <v>226</v>
      </c>
      <c r="R1195" s="1640"/>
      <c r="W1195" s="1634"/>
      <c r="AA1195" s="1630"/>
      <c r="AB1195" s="1630"/>
      <c r="AE1195" s="1634"/>
      <c r="AF1195" s="1636" t="s">
        <v>21</v>
      </c>
      <c r="AG1195" s="1636" t="s">
        <v>21</v>
      </c>
      <c r="AI1195" s="1630"/>
      <c r="AL1195" s="1634"/>
      <c r="AM1195" s="1636" t="s">
        <v>21</v>
      </c>
    </row>
    <row r="1196" spans="6:39" ht="24" customHeight="1">
      <c r="N1196" s="1630"/>
      <c r="O1196" s="1627" t="s">
        <v>348</v>
      </c>
      <c r="Q1196" s="1632"/>
      <c r="W1196" s="1634"/>
      <c r="AA1196" s="1630"/>
      <c r="AB1196" s="1630"/>
      <c r="AC1196" s="1628" t="s">
        <v>1275</v>
      </c>
      <c r="AF1196" s="1639">
        <f>AF1194/10</f>
        <v>2019.9574</v>
      </c>
      <c r="AI1196" s="1630"/>
      <c r="AJ1196" s="1628" t="s">
        <v>1275</v>
      </c>
      <c r="AM1196" s="1639">
        <f>AM1194/10</f>
        <v>1168.9574</v>
      </c>
    </row>
    <row r="1197" spans="6:39" ht="24" customHeight="1">
      <c r="F1197" s="1628" t="s">
        <v>469</v>
      </c>
      <c r="G1197" s="1638" t="s">
        <v>249</v>
      </c>
      <c r="H1197" s="1627" t="s">
        <v>1849</v>
      </c>
      <c r="N1197" s="1630"/>
      <c r="Q1197" s="1632"/>
      <c r="R1197" s="1636" t="s">
        <v>21</v>
      </c>
      <c r="W1197" s="1634"/>
      <c r="AA1197" s="1630"/>
      <c r="AB1197" s="1630"/>
      <c r="AC1197" s="1627" t="s">
        <v>271</v>
      </c>
      <c r="AE1197" s="1634">
        <f>C22*0.02</f>
        <v>3.1808000000000001</v>
      </c>
      <c r="AF1197" s="1640">
        <f>AF1196+AE1197</f>
        <v>2023.1382000000001</v>
      </c>
      <c r="AI1197" s="1630"/>
      <c r="AJ1197" s="1627" t="s">
        <v>271</v>
      </c>
      <c r="AL1197" s="1634">
        <f>C22*0.01</f>
        <v>1.5904</v>
      </c>
      <c r="AM1197" s="1640">
        <f>AM1196+AL1197</f>
        <v>1170.5478000000001</v>
      </c>
    </row>
    <row r="1198" spans="6:39" ht="24" customHeight="1">
      <c r="H1198" s="1627" t="s">
        <v>1850</v>
      </c>
      <c r="N1198" s="1630"/>
      <c r="O1198" s="1628" t="s">
        <v>349</v>
      </c>
      <c r="Q1198" s="1632"/>
      <c r="R1198" s="1640">
        <f>SUM(R1191:R1195)</f>
        <v>513.15312222222212</v>
      </c>
      <c r="W1198" s="1634"/>
      <c r="AA1198" s="1630"/>
      <c r="AB1198" s="1630"/>
      <c r="AC1198" s="1627" t="s">
        <v>272</v>
      </c>
      <c r="AE1198" s="1634">
        <f>C23*0.02</f>
        <v>6.2664</v>
      </c>
      <c r="AF1198" s="1640">
        <f>AF1197+AE1198</f>
        <v>2029.4046000000001</v>
      </c>
      <c r="AI1198" s="1630"/>
      <c r="AJ1198" s="1627" t="s">
        <v>272</v>
      </c>
      <c r="AL1198" s="1634">
        <f>C23*0.01</f>
        <v>3.1332</v>
      </c>
      <c r="AM1198" s="1640">
        <f>AM1197+AL1198</f>
        <v>1173.681</v>
      </c>
    </row>
    <row r="1199" spans="6:39" ht="24" customHeight="1">
      <c r="H1199" s="1636" t="s">
        <v>21</v>
      </c>
      <c r="N1199" s="1630"/>
      <c r="Q1199" s="1632"/>
      <c r="R1199" s="1636" t="s">
        <v>21</v>
      </c>
      <c r="W1199" s="1634"/>
      <c r="AA1199" s="1630"/>
      <c r="AB1199" s="1630"/>
      <c r="AC1199" s="1627" t="s">
        <v>767</v>
      </c>
      <c r="AE1199" s="1634">
        <f t="shared" ref="AE1199:AE1208" si="154">AE1198</f>
        <v>6.2664</v>
      </c>
      <c r="AF1199" s="1640">
        <f t="shared" ref="AF1199:AF1208" si="155">+AF1198+AE1199</f>
        <v>2035.671</v>
      </c>
      <c r="AI1199" s="1630"/>
      <c r="AJ1199" s="1627" t="s">
        <v>767</v>
      </c>
      <c r="AL1199" s="1634">
        <f>C24*0.01</f>
        <v>3.1332</v>
      </c>
      <c r="AM1199" s="1640">
        <f t="shared" ref="AM1199:AM1206" si="156">+AM1198+AL1199</f>
        <v>1176.8142</v>
      </c>
    </row>
    <row r="1200" spans="6:39" ht="24" customHeight="1">
      <c r="F1200" s="1640">
        <v>0.22</v>
      </c>
      <c r="G1200" s="1638" t="s">
        <v>151</v>
      </c>
      <c r="H1200" s="1627" t="s">
        <v>258</v>
      </c>
      <c r="I1200" s="1640">
        <f>K40</f>
        <v>4593.8999999999996</v>
      </c>
      <c r="J1200" s="1627" t="s">
        <v>151</v>
      </c>
      <c r="K1200" s="1640">
        <f>(F1200*I1200)</f>
        <v>1010.6579999999999</v>
      </c>
      <c r="N1200" s="1630"/>
      <c r="O1200" s="1628" t="s">
        <v>350</v>
      </c>
      <c r="Q1200" s="1632"/>
      <c r="R1200" s="1639">
        <f>ROUND(R1198/0.5334,1)</f>
        <v>962</v>
      </c>
      <c r="W1200" s="1634"/>
      <c r="AA1200" s="1630"/>
      <c r="AB1200" s="1630"/>
      <c r="AC1200" s="1627" t="s">
        <v>769</v>
      </c>
      <c r="AE1200" s="1634">
        <f t="shared" si="154"/>
        <v>6.2664</v>
      </c>
      <c r="AF1200" s="1640">
        <f t="shared" si="155"/>
        <v>2041.9374</v>
      </c>
      <c r="AI1200" s="1630"/>
      <c r="AJ1200" s="1627" t="s">
        <v>769</v>
      </c>
      <c r="AL1200" s="1634">
        <v>1.95</v>
      </c>
      <c r="AM1200" s="1640">
        <f t="shared" si="156"/>
        <v>1178.7642000000001</v>
      </c>
    </row>
    <row r="1201" spans="6:39" ht="24" customHeight="1">
      <c r="F1201" s="1640">
        <v>2.2000000000000002</v>
      </c>
      <c r="G1201" s="1638" t="s">
        <v>4</v>
      </c>
      <c r="H1201" s="1627" t="s">
        <v>269</v>
      </c>
      <c r="I1201" s="1640">
        <f>(C10)</f>
        <v>1325.8</v>
      </c>
      <c r="J1201" s="1627" t="s">
        <v>4</v>
      </c>
      <c r="K1201" s="1640">
        <f>(F1201*I1201)</f>
        <v>2916.76</v>
      </c>
      <c r="M1201" s="1627" t="s">
        <v>150</v>
      </c>
      <c r="N1201" s="1630"/>
      <c r="Q1201" s="1632"/>
      <c r="R1201" s="1636" t="s">
        <v>156</v>
      </c>
      <c r="W1201" s="1634"/>
      <c r="AA1201" s="1630"/>
      <c r="AB1201" s="1630"/>
      <c r="AC1201" s="1627" t="s">
        <v>1117</v>
      </c>
      <c r="AE1201" s="1634">
        <f t="shared" si="154"/>
        <v>6.2664</v>
      </c>
      <c r="AF1201" s="1640">
        <f t="shared" si="155"/>
        <v>2048.2038000000002</v>
      </c>
      <c r="AI1201" s="1630"/>
      <c r="AJ1201" s="1627" t="s">
        <v>1117</v>
      </c>
      <c r="AL1201" s="1634">
        <v>1.95</v>
      </c>
      <c r="AM1201" s="1640">
        <f t="shared" si="156"/>
        <v>1180.7142000000001</v>
      </c>
    </row>
    <row r="1202" spans="6:39" ht="24" customHeight="1">
      <c r="F1202" s="1640">
        <v>0.5</v>
      </c>
      <c r="G1202" s="1638" t="s">
        <v>4</v>
      </c>
      <c r="H1202" s="1627" t="s">
        <v>1851</v>
      </c>
      <c r="I1202" s="1640">
        <f>(C12)</f>
        <v>865.19999999999993</v>
      </c>
      <c r="J1202" s="1627" t="s">
        <v>4</v>
      </c>
      <c r="K1202" s="1640">
        <f>(F1202*I1202)</f>
        <v>432.59999999999997</v>
      </c>
      <c r="W1202" s="1634"/>
      <c r="AA1202" s="1630"/>
      <c r="AB1202" s="1630"/>
      <c r="AC1202" s="1629">
        <v>5</v>
      </c>
      <c r="AE1202" s="1634">
        <f t="shared" si="154"/>
        <v>6.2664</v>
      </c>
      <c r="AF1202" s="1640">
        <f t="shared" si="155"/>
        <v>2054.4702000000002</v>
      </c>
      <c r="AG1202" s="1640">
        <f>AI1202</f>
        <v>0</v>
      </c>
      <c r="AI1202" s="1630"/>
      <c r="AJ1202" s="1629">
        <v>5</v>
      </c>
      <c r="AL1202" s="1634">
        <f>AE1202</f>
        <v>6.2664</v>
      </c>
      <c r="AM1202" s="1640">
        <f t="shared" si="156"/>
        <v>1186.9806000000001</v>
      </c>
    </row>
    <row r="1203" spans="6:39" ht="24" customHeight="1">
      <c r="F1203" s="1640">
        <v>3.2</v>
      </c>
      <c r="G1203" s="1638" t="s">
        <v>4</v>
      </c>
      <c r="H1203" s="1627" t="s">
        <v>236</v>
      </c>
      <c r="I1203" s="1640">
        <f>(C13)</f>
        <v>709.8</v>
      </c>
      <c r="J1203" s="1627" t="s">
        <v>4</v>
      </c>
      <c r="K1203" s="1640">
        <f>(F1203*I1203)</f>
        <v>2271.36</v>
      </c>
      <c r="W1203" s="1634"/>
      <c r="AC1203" s="1629">
        <v>6</v>
      </c>
      <c r="AE1203" s="1634">
        <f t="shared" si="154"/>
        <v>6.2664</v>
      </c>
      <c r="AF1203" s="1640">
        <f t="shared" si="155"/>
        <v>2060.7366000000002</v>
      </c>
      <c r="AG1203" s="1640">
        <f>AI1203</f>
        <v>0</v>
      </c>
      <c r="AJ1203" s="1629">
        <v>6</v>
      </c>
      <c r="AL1203" s="1634">
        <f>AE1203</f>
        <v>6.2664</v>
      </c>
      <c r="AM1203" s="1640">
        <f t="shared" si="156"/>
        <v>1193.2470000000001</v>
      </c>
    </row>
    <row r="1204" spans="6:39" ht="24" customHeight="1">
      <c r="F1204" s="1640"/>
      <c r="G1204" s="1638"/>
      <c r="H1204" s="1627"/>
      <c r="I1204" s="1640"/>
      <c r="J1204" s="1627"/>
      <c r="K1204" s="1640"/>
      <c r="W1204" s="1634"/>
      <c r="AC1204" s="1629">
        <v>7</v>
      </c>
      <c r="AE1204" s="1634">
        <f t="shared" si="154"/>
        <v>6.2664</v>
      </c>
      <c r="AF1204" s="1640">
        <f t="shared" si="155"/>
        <v>2067.0030000000002</v>
      </c>
      <c r="AG1204" s="1640"/>
      <c r="AJ1204" s="1629">
        <v>7</v>
      </c>
      <c r="AL1204" s="1634">
        <f>AE1204</f>
        <v>6.2664</v>
      </c>
      <c r="AM1204" s="1640">
        <f t="shared" si="156"/>
        <v>1199.5134</v>
      </c>
    </row>
    <row r="1205" spans="6:39" ht="24" customHeight="1">
      <c r="F1205" s="1640"/>
      <c r="G1205" s="1638"/>
      <c r="H1205" s="1627"/>
      <c r="I1205" s="1640"/>
      <c r="J1205" s="1627"/>
      <c r="K1205" s="1640"/>
      <c r="W1205" s="1634"/>
      <c r="AC1205" s="1629">
        <v>8</v>
      </c>
      <c r="AE1205" s="1634">
        <f t="shared" si="154"/>
        <v>6.2664</v>
      </c>
      <c r="AF1205" s="1640">
        <f t="shared" si="155"/>
        <v>2073.2694000000001</v>
      </c>
      <c r="AG1205" s="1640"/>
      <c r="AJ1205" s="1629">
        <v>8</v>
      </c>
      <c r="AL1205" s="1634">
        <f>AE1205</f>
        <v>6.2664</v>
      </c>
      <c r="AM1205" s="1640">
        <f t="shared" si="156"/>
        <v>1205.7798</v>
      </c>
    </row>
    <row r="1206" spans="6:39" ht="24" customHeight="1">
      <c r="F1206" s="1640"/>
      <c r="G1206" s="1638"/>
      <c r="H1206" s="1627"/>
      <c r="I1206" s="1640"/>
      <c r="J1206" s="1627"/>
      <c r="K1206" s="1640"/>
      <c r="W1206" s="1634"/>
      <c r="AC1206" s="1629">
        <v>9</v>
      </c>
      <c r="AE1206" s="1634">
        <f t="shared" si="154"/>
        <v>6.2664</v>
      </c>
      <c r="AF1206" s="1640">
        <f t="shared" si="155"/>
        <v>2079.5358000000001</v>
      </c>
      <c r="AG1206" s="1640"/>
      <c r="AH1206" s="1629" t="s">
        <v>5180</v>
      </c>
      <c r="AJ1206" s="1629">
        <v>9</v>
      </c>
      <c r="AL1206" s="1634">
        <f>AE1206</f>
        <v>6.2664</v>
      </c>
      <c r="AM1206" s="1640">
        <f t="shared" si="156"/>
        <v>1212.0462</v>
      </c>
    </row>
    <row r="1207" spans="6:39" ht="24" customHeight="1">
      <c r="F1207" s="1640"/>
      <c r="G1207" s="1638"/>
      <c r="H1207" s="1627"/>
      <c r="I1207" s="1640"/>
      <c r="J1207" s="1627"/>
      <c r="K1207" s="1640"/>
      <c r="W1207" s="1634"/>
      <c r="AC1207" s="1629">
        <v>10</v>
      </c>
      <c r="AE1207" s="1634">
        <f t="shared" si="154"/>
        <v>6.2664</v>
      </c>
      <c r="AF1207" s="1640">
        <f t="shared" si="155"/>
        <v>2085.8022000000001</v>
      </c>
      <c r="AG1207" s="1640"/>
      <c r="AI1207" s="1627"/>
    </row>
    <row r="1208" spans="6:39" ht="24" customHeight="1">
      <c r="F1208" s="1640"/>
      <c r="G1208" s="1638"/>
      <c r="H1208" s="1627"/>
      <c r="I1208" s="1640"/>
      <c r="J1208" s="1627"/>
      <c r="K1208" s="1640"/>
      <c r="W1208" s="1634"/>
      <c r="AC1208" s="1629">
        <v>11</v>
      </c>
      <c r="AE1208" s="1634">
        <f t="shared" si="154"/>
        <v>6.2664</v>
      </c>
      <c r="AF1208" s="1640">
        <f t="shared" si="155"/>
        <v>2092.0686000000001</v>
      </c>
      <c r="AG1208" s="1640"/>
      <c r="AI1208" s="1627"/>
    </row>
    <row r="1209" spans="6:39" ht="24" customHeight="1">
      <c r="G1209" s="1638" t="s">
        <v>226</v>
      </c>
      <c r="H1209" s="1627" t="s">
        <v>237</v>
      </c>
      <c r="I1209" s="1627" t="s">
        <v>150</v>
      </c>
      <c r="J1209" s="1627" t="s">
        <v>226</v>
      </c>
      <c r="K1209" s="1640">
        <v>5</v>
      </c>
      <c r="N1209" s="1630"/>
      <c r="Q1209" s="1634"/>
      <c r="W1209" s="1634"/>
      <c r="Z1209" s="1662">
        <v>29.5</v>
      </c>
      <c r="AA1209" s="1638" t="s">
        <v>249</v>
      </c>
      <c r="AB1209" s="1638"/>
      <c r="AC1209" s="1631" t="s">
        <v>5644</v>
      </c>
      <c r="AG1209" s="1640" t="str">
        <f t="shared" ref="AG1209:AG1277" si="157">AI1209</f>
        <v>|</v>
      </c>
      <c r="AI1209" s="1627" t="s">
        <v>1095</v>
      </c>
    </row>
    <row r="1210" spans="6:39" ht="24" customHeight="1">
      <c r="K1210" s="1636" t="s">
        <v>21</v>
      </c>
      <c r="N1210" s="1630"/>
      <c r="Q1210" s="1634"/>
      <c r="W1210" s="1634"/>
      <c r="AA1210" s="1630"/>
      <c r="AB1210" s="1630"/>
      <c r="AC1210" s="1631" t="s">
        <v>1853</v>
      </c>
      <c r="AG1210" s="1640" t="str">
        <f t="shared" si="157"/>
        <v>|</v>
      </c>
      <c r="AI1210" s="1627" t="s">
        <v>1095</v>
      </c>
    </row>
    <row r="1211" spans="6:39" ht="24" customHeight="1">
      <c r="H1211" s="1627" t="s">
        <v>238</v>
      </c>
      <c r="K1211" s="1640">
        <f>SUM(K1200:K1209)</f>
        <v>6636.3780000000006</v>
      </c>
      <c r="N1211" s="1630"/>
      <c r="Q1211" s="1634"/>
      <c r="W1211" s="1634"/>
      <c r="AA1211" s="1630"/>
      <c r="AB1211" s="1630"/>
      <c r="AC1211" s="1627"/>
      <c r="AG1211" s="1640" t="str">
        <f t="shared" si="157"/>
        <v>|</v>
      </c>
      <c r="AI1211" s="1627" t="s">
        <v>1095</v>
      </c>
    </row>
    <row r="1212" spans="6:39" ht="36.75" customHeight="1">
      <c r="F1212" s="1629" t="s">
        <v>150</v>
      </c>
      <c r="K1212" s="1636" t="s">
        <v>21</v>
      </c>
      <c r="N1212" s="1630"/>
      <c r="O1212" s="1661" t="s">
        <v>1854</v>
      </c>
      <c r="Q1212" s="1634"/>
      <c r="W1212" s="1634"/>
      <c r="AA1212" s="1630"/>
      <c r="AB1212" s="1630"/>
      <c r="AC1212" s="1636" t="s">
        <v>21</v>
      </c>
      <c r="AD1212" s="1636" t="s">
        <v>21</v>
      </c>
      <c r="AE1212" s="1632">
        <f>54.96*10.764</f>
        <v>591.58943999999997</v>
      </c>
      <c r="AG1212" s="1640" t="str">
        <f t="shared" si="157"/>
        <v>|</v>
      </c>
      <c r="AI1212" s="1627" t="s">
        <v>1095</v>
      </c>
    </row>
    <row r="1213" spans="6:39" ht="30" customHeight="1">
      <c r="H1213" s="1641" t="s">
        <v>155</v>
      </c>
      <c r="K1213" s="1639">
        <f>(K1211/10)</f>
        <v>663.63780000000008</v>
      </c>
      <c r="N1213" s="1630"/>
      <c r="Q1213" s="1634"/>
      <c r="W1213" s="1634"/>
      <c r="Z1213" s="1640">
        <v>10</v>
      </c>
      <c r="AA1213" s="1638" t="s">
        <v>152</v>
      </c>
      <c r="AB1213" s="1638"/>
      <c r="AC1213" s="1657" t="s">
        <v>5645</v>
      </c>
      <c r="AD1213" s="1640">
        <v>1462</v>
      </c>
      <c r="AE1213" s="1627" t="s">
        <v>152</v>
      </c>
      <c r="AF1213" s="1640">
        <f>(Z1213*AD1213)</f>
        <v>14620</v>
      </c>
      <c r="AG1213" s="1640" t="str">
        <f t="shared" si="157"/>
        <v>|</v>
      </c>
      <c r="AI1213" s="1627" t="s">
        <v>1095</v>
      </c>
    </row>
    <row r="1214" spans="6:39" ht="24" customHeight="1">
      <c r="K1214" s="1636" t="s">
        <v>156</v>
      </c>
      <c r="N1214" s="1630"/>
      <c r="Q1214" s="1634"/>
      <c r="S1214" s="1725" t="s">
        <v>1856</v>
      </c>
      <c r="W1214" s="1634"/>
      <c r="Z1214" s="1640">
        <v>0.21</v>
      </c>
      <c r="AA1214" s="1638" t="s">
        <v>151</v>
      </c>
      <c r="AB1214" s="1638"/>
      <c r="AC1214" s="1627" t="s">
        <v>298</v>
      </c>
      <c r="AD1214" s="1640">
        <f t="shared" ref="AD1214:AD1226" si="158">AD1242</f>
        <v>5318.7</v>
      </c>
      <c r="AE1214" s="1627" t="s">
        <v>151</v>
      </c>
      <c r="AF1214" s="1640">
        <f>(Z1214*AD1214)</f>
        <v>1116.9269999999999</v>
      </c>
      <c r="AG1214" s="1640" t="str">
        <f t="shared" si="157"/>
        <v>|</v>
      </c>
      <c r="AI1214" s="1627" t="s">
        <v>1095</v>
      </c>
    </row>
    <row r="1215" spans="6:39" ht="24" customHeight="1">
      <c r="F1215" s="1628" t="s">
        <v>1857</v>
      </c>
      <c r="G1215" s="1638" t="s">
        <v>249</v>
      </c>
      <c r="H1215" s="1627" t="s">
        <v>1858</v>
      </c>
      <c r="M1215" s="1640">
        <v>10</v>
      </c>
      <c r="N1215" s="1638" t="s">
        <v>152</v>
      </c>
      <c r="O1215" s="1685" t="s">
        <v>5646</v>
      </c>
      <c r="P1215" s="1656">
        <v>653</v>
      </c>
      <c r="Q1215" s="1628" t="s">
        <v>152</v>
      </c>
      <c r="R1215" s="1640">
        <f>M1215*P1215</f>
        <v>6530</v>
      </c>
      <c r="S1215" s="1633">
        <v>694.02</v>
      </c>
      <c r="T1215" s="1629">
        <f>S1215*M1215</f>
        <v>6940.2</v>
      </c>
      <c r="W1215" s="1634"/>
      <c r="AA1215" s="1630"/>
      <c r="AB1215" s="1630"/>
      <c r="AC1215" s="1627" t="s">
        <v>1860</v>
      </c>
      <c r="AD1215" s="1640" t="str">
        <f t="shared" si="158"/>
        <v/>
      </c>
      <c r="AE1215" s="1632"/>
      <c r="AF1215" s="1627" t="s">
        <v>150</v>
      </c>
      <c r="AG1215" s="1640" t="str">
        <f t="shared" si="157"/>
        <v>|</v>
      </c>
      <c r="AI1215" s="1627" t="s">
        <v>1095</v>
      </c>
    </row>
    <row r="1216" spans="6:39" ht="24" customHeight="1">
      <c r="H1216" s="1627" t="s">
        <v>1861</v>
      </c>
      <c r="M1216" s="1640">
        <v>0.21</v>
      </c>
      <c r="N1216" s="1638" t="s">
        <v>151</v>
      </c>
      <c r="O1216" s="1627" t="s">
        <v>298</v>
      </c>
      <c r="P1216" s="1640">
        <f>I1220</f>
        <v>5318.7</v>
      </c>
      <c r="Q1216" s="1628" t="s">
        <v>151</v>
      </c>
      <c r="R1216" s="1640">
        <f t="shared" ref="R1216:R1225" si="159">(M1216*P1216)</f>
        <v>1116.9269999999999</v>
      </c>
      <c r="T1216" s="1629">
        <f>R1216</f>
        <v>1116.9269999999999</v>
      </c>
      <c r="W1216" s="1634"/>
      <c r="Z1216" s="1640">
        <v>1.1000000000000001</v>
      </c>
      <c r="AA1216" s="1638" t="s">
        <v>4</v>
      </c>
      <c r="AB1216" s="1638"/>
      <c r="AC1216" s="1627" t="s">
        <v>269</v>
      </c>
      <c r="AD1216" s="1640">
        <f t="shared" si="158"/>
        <v>1325.8</v>
      </c>
      <c r="AE1216" s="1627" t="s">
        <v>4</v>
      </c>
      <c r="AF1216" s="1640">
        <f>(Z1216*AD1216)</f>
        <v>1458.38</v>
      </c>
      <c r="AG1216" s="1640" t="str">
        <f t="shared" si="157"/>
        <v>|</v>
      </c>
      <c r="AI1216" s="1627" t="s">
        <v>1095</v>
      </c>
    </row>
    <row r="1217" spans="6:35" ht="24" customHeight="1">
      <c r="H1217" s="1636" t="s">
        <v>21</v>
      </c>
      <c r="M1217" s="1640">
        <v>1.1000000000000001</v>
      </c>
      <c r="N1217" s="1638" t="s">
        <v>4</v>
      </c>
      <c r="O1217" s="1627" t="s">
        <v>269</v>
      </c>
      <c r="P1217" s="1640">
        <f>I1222</f>
        <v>1325.8</v>
      </c>
      <c r="Q1217" s="1628" t="s">
        <v>4</v>
      </c>
      <c r="R1217" s="1640">
        <f t="shared" si="159"/>
        <v>1458.38</v>
      </c>
      <c r="T1217" s="1629">
        <f t="shared" ref="T1217:T1225" si="160">R1217</f>
        <v>1458.38</v>
      </c>
      <c r="W1217" s="1634"/>
      <c r="Z1217" s="1640">
        <v>1.1000000000000001</v>
      </c>
      <c r="AA1217" s="1638" t="s">
        <v>4</v>
      </c>
      <c r="AB1217" s="1638"/>
      <c r="AC1217" s="1627" t="s">
        <v>234</v>
      </c>
      <c r="AD1217" s="1640">
        <f t="shared" si="158"/>
        <v>1237.5999999999999</v>
      </c>
      <c r="AE1217" s="1627" t="s">
        <v>4</v>
      </c>
      <c r="AF1217" s="1640">
        <f>(Z1217*AD1217)</f>
        <v>1361.36</v>
      </c>
      <c r="AG1217" s="1640" t="str">
        <f t="shared" si="157"/>
        <v>|</v>
      </c>
      <c r="AI1217" s="1627" t="s">
        <v>1095</v>
      </c>
    </row>
    <row r="1218" spans="6:35" ht="24" customHeight="1">
      <c r="F1218" s="1640">
        <v>160</v>
      </c>
      <c r="G1218" s="1638" t="s">
        <v>295</v>
      </c>
      <c r="H1218" s="1627" t="s">
        <v>1862</v>
      </c>
      <c r="I1218" s="1640">
        <f>(C137)</f>
        <v>11907</v>
      </c>
      <c r="J1218" s="1627" t="s">
        <v>297</v>
      </c>
      <c r="K1218" s="1640">
        <f>(F1218*I1218)/1000</f>
        <v>1905.12</v>
      </c>
      <c r="M1218" s="1640">
        <v>1.1000000000000001</v>
      </c>
      <c r="N1218" s="1638" t="s">
        <v>4</v>
      </c>
      <c r="O1218" s="1627" t="s">
        <v>234</v>
      </c>
      <c r="P1218" s="1640">
        <f>I1223</f>
        <v>1237.5999999999999</v>
      </c>
      <c r="Q1218" s="1628" t="s">
        <v>4</v>
      </c>
      <c r="R1218" s="1640">
        <f t="shared" si="159"/>
        <v>1361.36</v>
      </c>
      <c r="T1218" s="1629">
        <f t="shared" si="160"/>
        <v>1361.36</v>
      </c>
      <c r="W1218" s="1634"/>
      <c r="Z1218" s="1640">
        <v>2.2000000000000002</v>
      </c>
      <c r="AA1218" s="1638" t="s">
        <v>4</v>
      </c>
      <c r="AB1218" s="1638"/>
      <c r="AC1218" s="1627" t="s">
        <v>235</v>
      </c>
      <c r="AD1218" s="1640">
        <f t="shared" si="158"/>
        <v>865.19999999999993</v>
      </c>
      <c r="AE1218" s="1627" t="s">
        <v>4</v>
      </c>
      <c r="AF1218" s="1640">
        <f>(Z1218*AD1218)</f>
        <v>1903.44</v>
      </c>
      <c r="AG1218" s="1640" t="str">
        <f t="shared" si="157"/>
        <v>|</v>
      </c>
      <c r="AI1218" s="1627" t="s">
        <v>1095</v>
      </c>
    </row>
    <row r="1219" spans="6:35" ht="24" customHeight="1">
      <c r="H1219" s="1627" t="s">
        <v>1863</v>
      </c>
      <c r="I1219" s="1627" t="s">
        <v>150</v>
      </c>
      <c r="K1219" s="1627" t="s">
        <v>150</v>
      </c>
      <c r="M1219" s="1640">
        <v>2.2000000000000002</v>
      </c>
      <c r="N1219" s="1638" t="s">
        <v>4</v>
      </c>
      <c r="O1219" s="1627" t="s">
        <v>235</v>
      </c>
      <c r="P1219" s="1640">
        <f>I1224</f>
        <v>865.19999999999993</v>
      </c>
      <c r="Q1219" s="1628" t="s">
        <v>4</v>
      </c>
      <c r="R1219" s="1640">
        <f t="shared" si="159"/>
        <v>1903.44</v>
      </c>
      <c r="T1219" s="1629">
        <f t="shared" si="160"/>
        <v>1903.44</v>
      </c>
      <c r="W1219" s="1634"/>
      <c r="Z1219" s="1640">
        <v>2.2000000000000002</v>
      </c>
      <c r="AA1219" s="1638" t="s">
        <v>4</v>
      </c>
      <c r="AB1219" s="1638"/>
      <c r="AC1219" s="1627" t="s">
        <v>236</v>
      </c>
      <c r="AD1219" s="1640">
        <f t="shared" si="158"/>
        <v>709.8</v>
      </c>
      <c r="AE1219" s="1627" t="s">
        <v>4</v>
      </c>
      <c r="AF1219" s="1640">
        <f>(Z1219*AD1219)</f>
        <v>1561.56</v>
      </c>
      <c r="AG1219" s="1640" t="str">
        <f t="shared" si="157"/>
        <v>|</v>
      </c>
      <c r="AI1219" s="1627" t="s">
        <v>1095</v>
      </c>
    </row>
    <row r="1220" spans="6:35" ht="24" customHeight="1">
      <c r="F1220" s="1640">
        <v>0.21</v>
      </c>
      <c r="G1220" s="1638" t="s">
        <v>151</v>
      </c>
      <c r="H1220" s="1627" t="s">
        <v>298</v>
      </c>
      <c r="I1220" s="1640">
        <f>(K32)</f>
        <v>5318.7</v>
      </c>
      <c r="J1220" s="1627" t="s">
        <v>151</v>
      </c>
      <c r="K1220" s="1640">
        <f>(F1220*I1220)</f>
        <v>1116.9269999999999</v>
      </c>
      <c r="M1220" s="1640">
        <v>2.2000000000000002</v>
      </c>
      <c r="N1220" s="1638" t="s">
        <v>4</v>
      </c>
      <c r="O1220" s="1627" t="s">
        <v>236</v>
      </c>
      <c r="P1220" s="1640">
        <f>I1225</f>
        <v>709.8</v>
      </c>
      <c r="Q1220" s="1628" t="s">
        <v>4</v>
      </c>
      <c r="R1220" s="1640">
        <f t="shared" si="159"/>
        <v>1561.56</v>
      </c>
      <c r="T1220" s="1629">
        <f t="shared" si="160"/>
        <v>1561.56</v>
      </c>
      <c r="W1220" s="1634"/>
      <c r="Z1220" s="1658">
        <v>20</v>
      </c>
      <c r="AA1220" s="1638" t="s">
        <v>13</v>
      </c>
      <c r="AB1220" s="1638"/>
      <c r="AC1220" s="1627" t="s">
        <v>252</v>
      </c>
      <c r="AD1220" s="1640">
        <f t="shared" si="158"/>
        <v>6040</v>
      </c>
      <c r="AE1220" s="1627" t="s">
        <v>251</v>
      </c>
      <c r="AF1220" s="1640">
        <f>(Z1220*AD1220)/1000</f>
        <v>120.8</v>
      </c>
      <c r="AG1220" s="1640" t="str">
        <f t="shared" si="157"/>
        <v>|</v>
      </c>
      <c r="AI1220" s="1627" t="s">
        <v>1095</v>
      </c>
    </row>
    <row r="1221" spans="6:35" ht="24" customHeight="1">
      <c r="H1221" s="1627" t="s">
        <v>1860</v>
      </c>
      <c r="I1221" s="1627" t="s">
        <v>150</v>
      </c>
      <c r="K1221" s="1627" t="s">
        <v>150</v>
      </c>
      <c r="M1221" s="1658">
        <v>20</v>
      </c>
      <c r="N1221" s="1638" t="s">
        <v>13</v>
      </c>
      <c r="O1221" s="1627" t="s">
        <v>252</v>
      </c>
      <c r="P1221" s="1640">
        <f>I1226</f>
        <v>6040</v>
      </c>
      <c r="Q1221" s="1628" t="s">
        <v>251</v>
      </c>
      <c r="R1221" s="1640">
        <f>(M1221*P1221)/1000</f>
        <v>120.8</v>
      </c>
      <c r="T1221" s="1629">
        <f t="shared" si="160"/>
        <v>120.8</v>
      </c>
      <c r="W1221" s="1634"/>
      <c r="Z1221" s="1658">
        <v>2</v>
      </c>
      <c r="AA1221" s="1638" t="s">
        <v>13</v>
      </c>
      <c r="AB1221" s="1638"/>
      <c r="AC1221" s="1627" t="s">
        <v>1864</v>
      </c>
      <c r="AD1221" s="1640">
        <f t="shared" si="158"/>
        <v>36.1</v>
      </c>
      <c r="AE1221" s="1627" t="s">
        <v>13</v>
      </c>
      <c r="AF1221" s="1640">
        <f>(Z1221*AD1221)</f>
        <v>72.2</v>
      </c>
      <c r="AG1221" s="1640" t="str">
        <f t="shared" si="157"/>
        <v>|</v>
      </c>
      <c r="AI1221" s="1627" t="s">
        <v>1095</v>
      </c>
    </row>
    <row r="1222" spans="6:35" ht="24" customHeight="1">
      <c r="F1222" s="1640">
        <v>1.1000000000000001</v>
      </c>
      <c r="G1222" s="1638" t="s">
        <v>4</v>
      </c>
      <c r="H1222" s="1627" t="s">
        <v>269</v>
      </c>
      <c r="I1222" s="1640">
        <f>(C10)</f>
        <v>1325.8</v>
      </c>
      <c r="J1222" s="1627" t="s">
        <v>4</v>
      </c>
      <c r="K1222" s="1640">
        <f>(F1222*I1222)</f>
        <v>1458.38</v>
      </c>
      <c r="M1222" s="1658">
        <v>2</v>
      </c>
      <c r="N1222" s="1638" t="s">
        <v>13</v>
      </c>
      <c r="O1222" s="1685" t="s">
        <v>1865</v>
      </c>
      <c r="P1222" s="1640">
        <f>C608</f>
        <v>24.925000000000001</v>
      </c>
      <c r="Q1222" s="1628" t="s">
        <v>13</v>
      </c>
      <c r="R1222" s="1640">
        <f t="shared" si="159"/>
        <v>49.85</v>
      </c>
      <c r="T1222" s="1629">
        <f t="shared" si="160"/>
        <v>49.85</v>
      </c>
      <c r="W1222" s="1634"/>
      <c r="Z1222" s="1640">
        <v>1.6</v>
      </c>
      <c r="AA1222" s="1638" t="s">
        <v>4</v>
      </c>
      <c r="AB1222" s="1638"/>
      <c r="AC1222" s="1627" t="s">
        <v>234</v>
      </c>
      <c r="AD1222" s="1640">
        <f t="shared" si="158"/>
        <v>1237.5999999999999</v>
      </c>
      <c r="AE1222" s="1627" t="s">
        <v>4</v>
      </c>
      <c r="AF1222" s="1640">
        <f>(Z1222*AD1222)</f>
        <v>1980.1599999999999</v>
      </c>
      <c r="AG1222" s="1640" t="str">
        <f t="shared" si="157"/>
        <v>|</v>
      </c>
      <c r="AI1222" s="1627" t="s">
        <v>1095</v>
      </c>
    </row>
    <row r="1223" spans="6:35" ht="24" customHeight="1">
      <c r="F1223" s="1640">
        <v>1.1000000000000001</v>
      </c>
      <c r="G1223" s="1638" t="s">
        <v>4</v>
      </c>
      <c r="H1223" s="1627" t="s">
        <v>234</v>
      </c>
      <c r="I1223" s="1640">
        <f>(C11)</f>
        <v>1237.5999999999999</v>
      </c>
      <c r="J1223" s="1627" t="s">
        <v>4</v>
      </c>
      <c r="K1223" s="1640">
        <f>(F1223*I1223)</f>
        <v>1361.36</v>
      </c>
      <c r="M1223" s="1640">
        <v>1.6</v>
      </c>
      <c r="N1223" s="1638" t="s">
        <v>4</v>
      </c>
      <c r="O1223" s="1627" t="s">
        <v>234</v>
      </c>
      <c r="P1223" s="1640">
        <f>P1218</f>
        <v>1237.5999999999999</v>
      </c>
      <c r="Q1223" s="1628" t="s">
        <v>4</v>
      </c>
      <c r="R1223" s="1640">
        <f t="shared" si="159"/>
        <v>1980.1599999999999</v>
      </c>
      <c r="T1223" s="1629">
        <f t="shared" si="160"/>
        <v>1980.1599999999999</v>
      </c>
      <c r="W1223" s="1634"/>
      <c r="Z1223" s="1640">
        <v>0.5</v>
      </c>
      <c r="AA1223" s="1638" t="s">
        <v>4</v>
      </c>
      <c r="AB1223" s="1638"/>
      <c r="AC1223" s="1627" t="s">
        <v>235</v>
      </c>
      <c r="AD1223" s="1640">
        <f t="shared" si="158"/>
        <v>865.19999999999993</v>
      </c>
      <c r="AE1223" s="1627" t="s">
        <v>4</v>
      </c>
      <c r="AF1223" s="1640">
        <f>(Z1223*AD1223)</f>
        <v>432.59999999999997</v>
      </c>
      <c r="AG1223" s="1640" t="str">
        <f t="shared" si="157"/>
        <v>|</v>
      </c>
      <c r="AI1223" s="1627" t="s">
        <v>1095</v>
      </c>
    </row>
    <row r="1224" spans="6:35" ht="24" customHeight="1">
      <c r="F1224" s="1640">
        <v>2.2000000000000002</v>
      </c>
      <c r="G1224" s="1638" t="s">
        <v>4</v>
      </c>
      <c r="H1224" s="1627" t="s">
        <v>235</v>
      </c>
      <c r="I1224" s="1640">
        <f>(C12)</f>
        <v>865.19999999999993</v>
      </c>
      <c r="J1224" s="1627" t="s">
        <v>4</v>
      </c>
      <c r="K1224" s="1640">
        <f>(F1224*I1224)</f>
        <v>1903.44</v>
      </c>
      <c r="M1224" s="1640">
        <v>0.5</v>
      </c>
      <c r="N1224" s="1638" t="s">
        <v>4</v>
      </c>
      <c r="O1224" s="1627" t="s">
        <v>235</v>
      </c>
      <c r="P1224" s="1640">
        <f>P1219</f>
        <v>865.19999999999993</v>
      </c>
      <c r="Q1224" s="1628" t="s">
        <v>4</v>
      </c>
      <c r="R1224" s="1640">
        <f t="shared" si="159"/>
        <v>432.59999999999997</v>
      </c>
      <c r="T1224" s="1629">
        <f t="shared" si="160"/>
        <v>432.59999999999997</v>
      </c>
      <c r="W1224" s="1634"/>
      <c r="Z1224" s="1640">
        <v>1.1000000000000001</v>
      </c>
      <c r="AA1224" s="1638" t="s">
        <v>4</v>
      </c>
      <c r="AB1224" s="1638"/>
      <c r="AC1224" s="1627" t="s">
        <v>236</v>
      </c>
      <c r="AD1224" s="1640">
        <f t="shared" si="158"/>
        <v>709.8</v>
      </c>
      <c r="AE1224" s="1627" t="s">
        <v>4</v>
      </c>
      <c r="AF1224" s="1640">
        <f>(Z1224*AD1224)</f>
        <v>780.78</v>
      </c>
      <c r="AG1224" s="1640" t="str">
        <f t="shared" si="157"/>
        <v>|</v>
      </c>
      <c r="AI1224" s="1627" t="s">
        <v>1095</v>
      </c>
    </row>
    <row r="1225" spans="6:35" ht="24" customHeight="1">
      <c r="F1225" s="1640">
        <v>2.2000000000000002</v>
      </c>
      <c r="G1225" s="1638" t="s">
        <v>4</v>
      </c>
      <c r="H1225" s="1627" t="s">
        <v>236</v>
      </c>
      <c r="I1225" s="1640">
        <f>(C13)</f>
        <v>709.8</v>
      </c>
      <c r="J1225" s="1627" t="s">
        <v>4</v>
      </c>
      <c r="K1225" s="1640">
        <f>(F1225*I1225)</f>
        <v>1561.56</v>
      </c>
      <c r="M1225" s="1640">
        <v>1.1000000000000001</v>
      </c>
      <c r="N1225" s="1638" t="s">
        <v>4</v>
      </c>
      <c r="O1225" s="1627" t="s">
        <v>236</v>
      </c>
      <c r="P1225" s="1640">
        <f>P1220</f>
        <v>709.8</v>
      </c>
      <c r="Q1225" s="1628" t="s">
        <v>4</v>
      </c>
      <c r="R1225" s="1640">
        <f t="shared" si="159"/>
        <v>780.78</v>
      </c>
      <c r="T1225" s="1629">
        <f t="shared" si="160"/>
        <v>780.78</v>
      </c>
      <c r="W1225" s="1634"/>
      <c r="AA1225" s="1638" t="s">
        <v>226</v>
      </c>
      <c r="AB1225" s="1638"/>
      <c r="AC1225" s="1627" t="s">
        <v>237</v>
      </c>
      <c r="AD1225" s="1640">
        <f t="shared" si="158"/>
        <v>0</v>
      </c>
      <c r="AE1225" s="1627" t="s">
        <v>226</v>
      </c>
      <c r="AF1225" s="1640">
        <v>0</v>
      </c>
      <c r="AG1225" s="1640" t="str">
        <f t="shared" si="157"/>
        <v>|</v>
      </c>
      <c r="AI1225" s="1627" t="s">
        <v>1095</v>
      </c>
    </row>
    <row r="1226" spans="6:35" ht="24" customHeight="1">
      <c r="F1226" s="1658">
        <v>22</v>
      </c>
      <c r="G1226" s="1638" t="s">
        <v>13</v>
      </c>
      <c r="H1226" s="1627" t="s">
        <v>252</v>
      </c>
      <c r="I1226" s="1640">
        <f>(C67)</f>
        <v>6040</v>
      </c>
      <c r="J1226" s="1627" t="s">
        <v>251</v>
      </c>
      <c r="K1226" s="1640">
        <f>(F1226*I1226)/1000</f>
        <v>132.88</v>
      </c>
      <c r="N1226" s="1638" t="s">
        <v>226</v>
      </c>
      <c r="O1226" s="1627" t="s">
        <v>237</v>
      </c>
      <c r="Q1226" s="1628" t="s">
        <v>226</v>
      </c>
      <c r="R1226" s="1640">
        <v>4.5999999999999996</v>
      </c>
      <c r="S1226" s="1633">
        <f>3.27-0.52</f>
        <v>2.75</v>
      </c>
      <c r="T1226" s="1629">
        <v>2.74</v>
      </c>
      <c r="W1226" s="1634"/>
      <c r="AA1226" s="1630"/>
      <c r="AB1226" s="1630"/>
      <c r="AD1226" s="1640">
        <f t="shared" si="158"/>
        <v>0</v>
      </c>
      <c r="AE1226" s="1632"/>
      <c r="AF1226" s="1636" t="s">
        <v>21</v>
      </c>
      <c r="AG1226" s="1640" t="str">
        <f t="shared" si="157"/>
        <v>|</v>
      </c>
      <c r="AI1226" s="1627" t="s">
        <v>1095</v>
      </c>
    </row>
    <row r="1227" spans="6:35" ht="24" customHeight="1">
      <c r="F1227" s="1640">
        <v>1.6</v>
      </c>
      <c r="G1227" s="1638" t="s">
        <v>4</v>
      </c>
      <c r="H1227" s="1627" t="s">
        <v>234</v>
      </c>
      <c r="I1227" s="1640">
        <f>(C11)</f>
        <v>1237.5999999999999</v>
      </c>
      <c r="J1227" s="1627" t="s">
        <v>4</v>
      </c>
      <c r="K1227" s="1640">
        <f>(F1227*I1227)</f>
        <v>1980.1599999999999</v>
      </c>
      <c r="N1227" s="1630"/>
      <c r="Q1227" s="1634"/>
      <c r="R1227" s="1636" t="s">
        <v>21</v>
      </c>
      <c r="W1227" s="1634"/>
      <c r="AA1227" s="1630"/>
      <c r="AB1227" s="1630"/>
      <c r="AC1227" s="1627" t="s">
        <v>238</v>
      </c>
      <c r="AE1227" s="1632"/>
      <c r="AF1227" s="1640">
        <f>SUM(AF1213:AF1225)</f>
        <v>25408.206999999999</v>
      </c>
      <c r="AG1227" s="1640" t="str">
        <f t="shared" si="157"/>
        <v>|::</v>
      </c>
      <c r="AI1227" s="1627" t="s">
        <v>892</v>
      </c>
    </row>
    <row r="1228" spans="6:35" ht="24" customHeight="1">
      <c r="F1228" s="1640">
        <v>0.5</v>
      </c>
      <c r="G1228" s="1638" t="s">
        <v>4</v>
      </c>
      <c r="H1228" s="1627" t="s">
        <v>235</v>
      </c>
      <c r="I1228" s="1640">
        <f>(C12)</f>
        <v>865.19999999999993</v>
      </c>
      <c r="J1228" s="1627" t="s">
        <v>4</v>
      </c>
      <c r="K1228" s="1640">
        <f>(F1228*I1228)</f>
        <v>432.59999999999997</v>
      </c>
      <c r="N1228" s="1630"/>
      <c r="O1228" s="1627" t="s">
        <v>238</v>
      </c>
      <c r="Q1228" s="1634"/>
      <c r="R1228" s="1640">
        <f>SUM(R1215:R1226)</f>
        <v>17300.456999999999</v>
      </c>
      <c r="T1228" s="1640">
        <f>SUM(T1215:T1227)</f>
        <v>17708.796999999999</v>
      </c>
      <c r="W1228" s="1634"/>
      <c r="AA1228" s="1630"/>
      <c r="AB1228" s="1630"/>
      <c r="AE1228" s="1632"/>
      <c r="AF1228" s="1636" t="s">
        <v>21</v>
      </c>
      <c r="AG1228" s="1640">
        <f t="shared" si="157"/>
        <v>0</v>
      </c>
    </row>
    <row r="1229" spans="6:35" ht="24" customHeight="1">
      <c r="F1229" s="1640">
        <v>1.1000000000000001</v>
      </c>
      <c r="G1229" s="1638" t="s">
        <v>4</v>
      </c>
      <c r="H1229" s="1627" t="s">
        <v>236</v>
      </c>
      <c r="I1229" s="1640">
        <f>(C13)</f>
        <v>709.8</v>
      </c>
      <c r="J1229" s="1627" t="s">
        <v>4</v>
      </c>
      <c r="K1229" s="1640">
        <f>(F1229*I1229)</f>
        <v>780.78</v>
      </c>
      <c r="N1229" s="1630"/>
      <c r="Q1229" s="1634"/>
      <c r="R1229" s="1636" t="s">
        <v>21</v>
      </c>
      <c r="W1229" s="1634"/>
      <c r="AA1229" s="1630"/>
      <c r="AB1229" s="1630"/>
      <c r="AC1229" s="1641" t="s">
        <v>155</v>
      </c>
      <c r="AE1229" s="1632"/>
      <c r="AF1229" s="1639">
        <f>(AF1227/10)</f>
        <v>2540.8206999999998</v>
      </c>
      <c r="AG1229" s="1640">
        <f t="shared" si="157"/>
        <v>0</v>
      </c>
    </row>
    <row r="1230" spans="6:35" ht="24" customHeight="1">
      <c r="F1230" s="1627" t="s">
        <v>646</v>
      </c>
      <c r="H1230" s="1627" t="s">
        <v>1866</v>
      </c>
      <c r="I1230" s="1627" t="s">
        <v>150</v>
      </c>
      <c r="K1230" s="1627" t="s">
        <v>150</v>
      </c>
      <c r="N1230" s="1630"/>
      <c r="O1230" s="1631" t="s">
        <v>155</v>
      </c>
      <c r="Q1230" s="1634"/>
      <c r="R1230" s="1639">
        <f>(R1228/10)</f>
        <v>1730.0456999999999</v>
      </c>
      <c r="S1230" s="1633">
        <f>R1230-975.62</f>
        <v>754.42569999999989</v>
      </c>
      <c r="T1230" s="1639">
        <f>(T1228/10)</f>
        <v>1770.8797</v>
      </c>
      <c r="W1230" s="1634"/>
      <c r="AA1230" s="1630"/>
      <c r="AB1230" s="1630"/>
      <c r="AE1230" s="1632"/>
      <c r="AF1230" s="1636" t="s">
        <v>156</v>
      </c>
      <c r="AG1230" s="1640" t="str">
        <f t="shared" si="157"/>
        <v>|</v>
      </c>
      <c r="AI1230" s="1627" t="s">
        <v>1095</v>
      </c>
    </row>
    <row r="1231" spans="6:35" ht="24" customHeight="1">
      <c r="F1231" s="1640">
        <v>1</v>
      </c>
      <c r="G1231" s="1638" t="s">
        <v>226</v>
      </c>
      <c r="H1231" s="1627" t="s">
        <v>1867</v>
      </c>
      <c r="I1231" s="1640">
        <f>(C57)</f>
        <v>28.574999999999999</v>
      </c>
      <c r="J1231" s="1627" t="s">
        <v>226</v>
      </c>
      <c r="K1231" s="1640">
        <f>(F1231*I1231)</f>
        <v>28.574999999999999</v>
      </c>
      <c r="N1231" s="1630"/>
      <c r="O1231" s="1661" t="s">
        <v>1868</v>
      </c>
      <c r="P1231" s="1661"/>
      <c r="Q1231" s="1634"/>
      <c r="W1231" s="1634"/>
      <c r="AG1231" s="1640" t="str">
        <f t="shared" si="157"/>
        <v>|</v>
      </c>
      <c r="AI1231" s="1627" t="s">
        <v>1095</v>
      </c>
    </row>
    <row r="1232" spans="6:35" ht="24" customHeight="1">
      <c r="F1232" s="1640">
        <v>1</v>
      </c>
      <c r="G1232" s="1638" t="s">
        <v>226</v>
      </c>
      <c r="H1232" s="1627" t="s">
        <v>1870</v>
      </c>
      <c r="I1232" s="1640">
        <f>(C58)</f>
        <v>11.9</v>
      </c>
      <c r="J1232" s="1627" t="s">
        <v>226</v>
      </c>
      <c r="K1232" s="1640">
        <f>(F1232*I1232)</f>
        <v>11.9</v>
      </c>
      <c r="N1232" s="1630"/>
      <c r="Q1232" s="1634"/>
      <c r="W1232" s="1634"/>
      <c r="AG1232" s="1640" t="str">
        <f t="shared" si="157"/>
        <v>|</v>
      </c>
      <c r="AI1232" s="1627" t="s">
        <v>1095</v>
      </c>
    </row>
    <row r="1233" spans="6:35" ht="24" customHeight="1">
      <c r="F1233" s="1640">
        <v>1</v>
      </c>
      <c r="G1233" s="1638" t="s">
        <v>226</v>
      </c>
      <c r="H1233" s="1627" t="s">
        <v>1871</v>
      </c>
      <c r="I1233" s="1640">
        <f>(C28)</f>
        <v>86.399999999999991</v>
      </c>
      <c r="J1233" s="1627" t="s">
        <v>226</v>
      </c>
      <c r="K1233" s="1640">
        <f>(F1233*I1233)</f>
        <v>86.399999999999991</v>
      </c>
      <c r="M1233" s="1726"/>
      <c r="N1233" s="1727"/>
      <c r="O1233" s="1726"/>
      <c r="P1233" s="1726"/>
      <c r="Q1233" s="1634"/>
      <c r="W1233" s="1634"/>
      <c r="AG1233" s="1640" t="str">
        <f t="shared" si="157"/>
        <v>|</v>
      </c>
      <c r="AI1233" s="1627" t="s">
        <v>1095</v>
      </c>
    </row>
    <row r="1234" spans="6:35" ht="24" customHeight="1">
      <c r="F1234" s="1640">
        <v>1.1000000000000001</v>
      </c>
      <c r="G1234" s="1638" t="s">
        <v>4</v>
      </c>
      <c r="H1234" s="1627" t="s">
        <v>1872</v>
      </c>
      <c r="I1234" s="1640">
        <f>(C29)</f>
        <v>1020.5999999999999</v>
      </c>
      <c r="J1234" s="1627" t="s">
        <v>4</v>
      </c>
      <c r="K1234" s="1640">
        <f>(F1234*I1234)</f>
        <v>1122.6600000000001</v>
      </c>
      <c r="M1234" s="1640">
        <v>10</v>
      </c>
      <c r="N1234" s="1638" t="s">
        <v>152</v>
      </c>
      <c r="O1234" s="1627" t="s">
        <v>5181</v>
      </c>
      <c r="P1234" s="1640">
        <v>658</v>
      </c>
      <c r="Q1234" s="1628" t="s">
        <v>152</v>
      </c>
      <c r="R1234" s="1640">
        <f>M1234*P1234</f>
        <v>6580</v>
      </c>
      <c r="T1234" s="1630"/>
      <c r="U1234" s="1661" t="s">
        <v>1874</v>
      </c>
      <c r="W1234" s="1634"/>
      <c r="AG1234" s="1640" t="str">
        <f t="shared" si="157"/>
        <v>|</v>
      </c>
      <c r="AI1234" s="1627" t="s">
        <v>1095</v>
      </c>
    </row>
    <row r="1235" spans="6:35" ht="24" customHeight="1">
      <c r="F1235" s="1640">
        <v>2.2000000000000002</v>
      </c>
      <c r="G1235" s="1638" t="s">
        <v>4</v>
      </c>
      <c r="H1235" s="1627" t="s">
        <v>1875</v>
      </c>
      <c r="I1235" s="1640">
        <f>(C13)</f>
        <v>709.8</v>
      </c>
      <c r="J1235" s="1627" t="s">
        <v>4</v>
      </c>
      <c r="K1235" s="1640">
        <f>(F1235*I1235)</f>
        <v>1561.56</v>
      </c>
      <c r="M1235" s="1640">
        <v>0.21</v>
      </c>
      <c r="N1235" s="1638" t="s">
        <v>151</v>
      </c>
      <c r="O1235" s="1627" t="s">
        <v>298</v>
      </c>
      <c r="P1235" s="1640">
        <f>P1258</f>
        <v>5318.7</v>
      </c>
      <c r="Q1235" s="1628" t="s">
        <v>151</v>
      </c>
      <c r="R1235" s="1640">
        <f>(M1235*P1235)</f>
        <v>1116.9269999999999</v>
      </c>
      <c r="T1235" s="1630"/>
      <c r="W1235" s="1634"/>
      <c r="AG1235" s="1640" t="str">
        <f t="shared" si="157"/>
        <v>|</v>
      </c>
      <c r="AI1235" s="1627" t="s">
        <v>1095</v>
      </c>
    </row>
    <row r="1236" spans="6:35" ht="24" customHeight="1">
      <c r="G1236" s="1638" t="s">
        <v>226</v>
      </c>
      <c r="H1236" s="1627" t="s">
        <v>237</v>
      </c>
      <c r="J1236" s="1627" t="s">
        <v>226</v>
      </c>
      <c r="K1236" s="1640">
        <v>0</v>
      </c>
      <c r="M1236" s="1640">
        <v>1.1000000000000001</v>
      </c>
      <c r="N1236" s="1638" t="s">
        <v>4</v>
      </c>
      <c r="O1236" s="1627" t="s">
        <v>269</v>
      </c>
      <c r="P1236" s="1640">
        <f t="shared" ref="P1236:P1244" si="161">P1259</f>
        <v>1325.8</v>
      </c>
      <c r="Q1236" s="1628" t="s">
        <v>4</v>
      </c>
      <c r="R1236" s="1640">
        <f>(M1236*P1236)</f>
        <v>1458.38</v>
      </c>
      <c r="T1236" s="1630"/>
      <c r="W1236" s="1634"/>
      <c r="AG1236" s="1640" t="str">
        <f t="shared" si="157"/>
        <v>|</v>
      </c>
      <c r="AI1236" s="1627" t="s">
        <v>1095</v>
      </c>
    </row>
    <row r="1237" spans="6:35" ht="24" customHeight="1">
      <c r="K1237" s="1636" t="s">
        <v>21</v>
      </c>
      <c r="M1237" s="1640">
        <v>1.1000000000000001</v>
      </c>
      <c r="N1237" s="1638" t="s">
        <v>4</v>
      </c>
      <c r="O1237" s="1627" t="s">
        <v>234</v>
      </c>
      <c r="P1237" s="1640">
        <f t="shared" si="161"/>
        <v>1237.5999999999999</v>
      </c>
      <c r="Q1237" s="1628" t="s">
        <v>4</v>
      </c>
      <c r="R1237" s="1640">
        <f>(M1237*P1237)</f>
        <v>1361.36</v>
      </c>
      <c r="S1237" s="1658">
        <v>10</v>
      </c>
      <c r="T1237" s="1638" t="s">
        <v>152</v>
      </c>
      <c r="U1237" s="1627" t="s">
        <v>5647</v>
      </c>
      <c r="V1237" s="1656">
        <v>658</v>
      </c>
      <c r="W1237" s="1628" t="s">
        <v>152</v>
      </c>
      <c r="X1237" s="1640">
        <f>S1237*V1237</f>
        <v>6580</v>
      </c>
      <c r="Y1237" s="1640"/>
      <c r="Z1237" s="1662">
        <v>29.5</v>
      </c>
      <c r="AA1237" s="1638" t="s">
        <v>249</v>
      </c>
      <c r="AB1237" s="1638"/>
      <c r="AC1237" s="1631" t="s">
        <v>1877</v>
      </c>
      <c r="AG1237" s="1640" t="str">
        <f t="shared" si="157"/>
        <v>|</v>
      </c>
      <c r="AI1237" s="1627" t="s">
        <v>1095</v>
      </c>
    </row>
    <row r="1238" spans="6:35" ht="24" customHeight="1">
      <c r="H1238" s="1627" t="s">
        <v>238</v>
      </c>
      <c r="K1238" s="1640">
        <f>SUM(K1218:K1236)</f>
        <v>15444.301999999998</v>
      </c>
      <c r="M1238" s="1640">
        <v>2.2000000000000002</v>
      </c>
      <c r="N1238" s="1638" t="s">
        <v>4</v>
      </c>
      <c r="O1238" s="1627" t="s">
        <v>235</v>
      </c>
      <c r="P1238" s="1640">
        <f t="shared" si="161"/>
        <v>865.19999999999993</v>
      </c>
      <c r="Q1238" s="1628" t="s">
        <v>4</v>
      </c>
      <c r="R1238" s="1640">
        <f>(M1238*P1238)</f>
        <v>1903.44</v>
      </c>
      <c r="S1238" s="1658">
        <v>0.21</v>
      </c>
      <c r="T1238" s="1638" t="s">
        <v>151</v>
      </c>
      <c r="U1238" s="1627" t="s">
        <v>298</v>
      </c>
      <c r="V1238" s="1640">
        <f t="shared" ref="V1238:V1247" si="162">P1258</f>
        <v>5318.7</v>
      </c>
      <c r="W1238" s="1628" t="s">
        <v>151</v>
      </c>
      <c r="X1238" s="1640">
        <f>(S1238*V1238)</f>
        <v>1116.9269999999999</v>
      </c>
      <c r="Y1238" s="1640"/>
      <c r="AA1238" s="1630"/>
      <c r="AB1238" s="1630"/>
      <c r="AC1238" s="1627"/>
      <c r="AG1238" s="1640" t="str">
        <f t="shared" si="157"/>
        <v>|</v>
      </c>
      <c r="AI1238" s="1627" t="s">
        <v>1095</v>
      </c>
    </row>
    <row r="1239" spans="6:35" ht="24" customHeight="1">
      <c r="K1239" s="1636" t="s">
        <v>21</v>
      </c>
      <c r="M1239" s="1640">
        <v>2.2000000000000002</v>
      </c>
      <c r="N1239" s="1638" t="s">
        <v>4</v>
      </c>
      <c r="O1239" s="1627" t="s">
        <v>236</v>
      </c>
      <c r="P1239" s="1640">
        <f t="shared" si="161"/>
        <v>709.8</v>
      </c>
      <c r="Q1239" s="1628" t="s">
        <v>4</v>
      </c>
      <c r="R1239" s="1640">
        <f>(M1239*P1239)</f>
        <v>1561.56</v>
      </c>
      <c r="S1239" s="1658">
        <v>1.1000000000000001</v>
      </c>
      <c r="T1239" s="1638" t="s">
        <v>4</v>
      </c>
      <c r="U1239" s="1627" t="s">
        <v>269</v>
      </c>
      <c r="V1239" s="1640">
        <f t="shared" si="162"/>
        <v>1325.8</v>
      </c>
      <c r="W1239" s="1628" t="s">
        <v>4</v>
      </c>
      <c r="X1239" s="1640">
        <f>(S1239*V1239)</f>
        <v>1458.38</v>
      </c>
      <c r="Y1239" s="1640"/>
      <c r="AA1239" s="1630"/>
      <c r="AB1239" s="1630"/>
      <c r="AC1239" s="1627"/>
      <c r="AG1239" s="1640" t="str">
        <f t="shared" si="157"/>
        <v>|</v>
      </c>
      <c r="AI1239" s="1627" t="s">
        <v>1095</v>
      </c>
    </row>
    <row r="1240" spans="6:35" ht="24" customHeight="1">
      <c r="F1240" s="1627" t="s">
        <v>150</v>
      </c>
      <c r="M1240" s="1658">
        <v>20</v>
      </c>
      <c r="N1240" s="1638" t="s">
        <v>13</v>
      </c>
      <c r="O1240" s="1627" t="s">
        <v>252</v>
      </c>
      <c r="P1240" s="1640">
        <f t="shared" si="161"/>
        <v>6040</v>
      </c>
      <c r="Q1240" s="1628" t="s">
        <v>251</v>
      </c>
      <c r="R1240" s="1640">
        <f>(M1240*P1240)/1000</f>
        <v>120.8</v>
      </c>
      <c r="S1240" s="1658">
        <v>1.1000000000000001</v>
      </c>
      <c r="T1240" s="1638" t="s">
        <v>4</v>
      </c>
      <c r="U1240" s="1627" t="s">
        <v>234</v>
      </c>
      <c r="V1240" s="1640">
        <f t="shared" si="162"/>
        <v>1237.5999999999999</v>
      </c>
      <c r="W1240" s="1628" t="s">
        <v>4</v>
      </c>
      <c r="X1240" s="1640">
        <f>(S1240*V1240)</f>
        <v>1361.36</v>
      </c>
      <c r="Y1240" s="1640"/>
      <c r="AA1240" s="1630"/>
      <c r="AB1240" s="1630"/>
      <c r="AC1240" s="1636" t="s">
        <v>21</v>
      </c>
      <c r="AD1240" s="1636" t="s">
        <v>21</v>
      </c>
      <c r="AE1240" s="1632"/>
      <c r="AG1240" s="1640" t="str">
        <f t="shared" si="157"/>
        <v>|</v>
      </c>
      <c r="AI1240" s="1627" t="s">
        <v>1095</v>
      </c>
    </row>
    <row r="1241" spans="6:35" ht="45.75" customHeight="1">
      <c r="H1241" s="1641" t="s">
        <v>155</v>
      </c>
      <c r="K1241" s="1639">
        <f>(K1238/10)</f>
        <v>1544.4301999999998</v>
      </c>
      <c r="M1241" s="1658">
        <v>2</v>
      </c>
      <c r="N1241" s="1638" t="s">
        <v>13</v>
      </c>
      <c r="O1241" s="1627" t="s">
        <v>1878</v>
      </c>
      <c r="P1241" s="1640">
        <f t="shared" si="161"/>
        <v>36.1</v>
      </c>
      <c r="Q1241" s="1628" t="s">
        <v>13</v>
      </c>
      <c r="R1241" s="1640">
        <f>(M1241*P1241)</f>
        <v>72.2</v>
      </c>
      <c r="S1241" s="1658">
        <v>2.2000000000000002</v>
      </c>
      <c r="T1241" s="1638" t="s">
        <v>4</v>
      </c>
      <c r="U1241" s="1627" t="s">
        <v>235</v>
      </c>
      <c r="V1241" s="1640">
        <f t="shared" si="162"/>
        <v>865.19999999999993</v>
      </c>
      <c r="W1241" s="1628" t="s">
        <v>4</v>
      </c>
      <c r="X1241" s="1640">
        <f>(S1241*V1241)</f>
        <v>1903.44</v>
      </c>
      <c r="Y1241" s="1640"/>
      <c r="Z1241" s="1640">
        <v>10</v>
      </c>
      <c r="AA1241" s="1638" t="s">
        <v>152</v>
      </c>
      <c r="AB1241" s="1638"/>
      <c r="AC1241" s="1657" t="s">
        <v>5182</v>
      </c>
      <c r="AD1241" s="1640">
        <v>793</v>
      </c>
      <c r="AE1241" s="1627" t="s">
        <v>152</v>
      </c>
      <c r="AF1241" s="1640">
        <f>(Z1241*AD1241)</f>
        <v>7930</v>
      </c>
      <c r="AG1241" s="1640" t="str">
        <f t="shared" si="157"/>
        <v>|</v>
      </c>
      <c r="AI1241" s="1627" t="s">
        <v>1095</v>
      </c>
    </row>
    <row r="1242" spans="6:35" ht="24" customHeight="1">
      <c r="F1242" s="1627" t="s">
        <v>150</v>
      </c>
      <c r="M1242" s="1640">
        <v>1.6</v>
      </c>
      <c r="N1242" s="1638" t="s">
        <v>4</v>
      </c>
      <c r="O1242" s="1627" t="s">
        <v>234</v>
      </c>
      <c r="P1242" s="1640">
        <f t="shared" si="161"/>
        <v>1237.5999999999999</v>
      </c>
      <c r="Q1242" s="1628" t="s">
        <v>4</v>
      </c>
      <c r="R1242" s="1640">
        <f>(M1242*P1242)</f>
        <v>1980.1599999999999</v>
      </c>
      <c r="S1242" s="1658">
        <v>2.2000000000000002</v>
      </c>
      <c r="T1242" s="1638" t="s">
        <v>4</v>
      </c>
      <c r="U1242" s="1627" t="s">
        <v>236</v>
      </c>
      <c r="V1242" s="1640">
        <f t="shared" si="162"/>
        <v>709.8</v>
      </c>
      <c r="W1242" s="1628" t="s">
        <v>4</v>
      </c>
      <c r="X1242" s="1640">
        <f>(S1242*V1242)</f>
        <v>1561.56</v>
      </c>
      <c r="Y1242" s="1640"/>
      <c r="Z1242" s="1640">
        <v>0.21</v>
      </c>
      <c r="AA1242" s="1638" t="s">
        <v>151</v>
      </c>
      <c r="AB1242" s="1638"/>
      <c r="AC1242" s="1627" t="s">
        <v>298</v>
      </c>
      <c r="AD1242" s="1640">
        <f>V1238</f>
        <v>5318.7</v>
      </c>
      <c r="AE1242" s="1627" t="s">
        <v>151</v>
      </c>
      <c r="AF1242" s="1640">
        <f>(Z1242*AD1242)</f>
        <v>1116.9269999999999</v>
      </c>
      <c r="AG1242" s="1640" t="str">
        <f t="shared" si="157"/>
        <v>|</v>
      </c>
      <c r="AI1242" s="1627" t="s">
        <v>1095</v>
      </c>
    </row>
    <row r="1243" spans="6:35" ht="24" customHeight="1">
      <c r="K1243" s="1636" t="s">
        <v>156</v>
      </c>
      <c r="M1243" s="1640">
        <v>0.5</v>
      </c>
      <c r="N1243" s="1638" t="s">
        <v>4</v>
      </c>
      <c r="O1243" s="1627" t="s">
        <v>235</v>
      </c>
      <c r="P1243" s="1640">
        <f t="shared" si="161"/>
        <v>865.19999999999993</v>
      </c>
      <c r="Q1243" s="1628" t="s">
        <v>4</v>
      </c>
      <c r="R1243" s="1640">
        <f>(M1243*P1243)</f>
        <v>432.59999999999997</v>
      </c>
      <c r="S1243" s="1658">
        <v>20</v>
      </c>
      <c r="T1243" s="1638" t="s">
        <v>13</v>
      </c>
      <c r="U1243" s="1627" t="s">
        <v>252</v>
      </c>
      <c r="V1243" s="1640">
        <f t="shared" si="162"/>
        <v>6040</v>
      </c>
      <c r="W1243" s="1628" t="s">
        <v>251</v>
      </c>
      <c r="X1243" s="1640">
        <f>(S1243*V1243)/1000</f>
        <v>120.8</v>
      </c>
      <c r="Y1243" s="1640"/>
      <c r="AA1243" s="1630"/>
      <c r="AB1243" s="1630"/>
      <c r="AC1243" s="1627" t="s">
        <v>1860</v>
      </c>
      <c r="AD1243" s="1627" t="s">
        <v>150</v>
      </c>
      <c r="AE1243" s="1632"/>
      <c r="AF1243" s="1627" t="s">
        <v>150</v>
      </c>
      <c r="AG1243" s="1640" t="str">
        <f t="shared" si="157"/>
        <v>|</v>
      </c>
      <c r="AI1243" s="1627" t="s">
        <v>1095</v>
      </c>
    </row>
    <row r="1244" spans="6:35" ht="24" customHeight="1">
      <c r="F1244" s="1662">
        <v>29.5</v>
      </c>
      <c r="G1244" s="1638" t="s">
        <v>249</v>
      </c>
      <c r="H1244" s="1627" t="s">
        <v>1880</v>
      </c>
      <c r="M1244" s="1640">
        <v>1.1000000000000001</v>
      </c>
      <c r="N1244" s="1638" t="s">
        <v>4</v>
      </c>
      <c r="O1244" s="1627" t="s">
        <v>236</v>
      </c>
      <c r="P1244" s="1640">
        <f t="shared" si="161"/>
        <v>709.8</v>
      </c>
      <c r="Q1244" s="1628" t="s">
        <v>4</v>
      </c>
      <c r="R1244" s="1640">
        <f>(M1244*P1244)</f>
        <v>780.78</v>
      </c>
      <c r="S1244" s="1658">
        <v>2</v>
      </c>
      <c r="T1244" s="1638" t="s">
        <v>13</v>
      </c>
      <c r="U1244" s="1627" t="s">
        <v>1878</v>
      </c>
      <c r="V1244" s="1640">
        <f t="shared" si="162"/>
        <v>36.1</v>
      </c>
      <c r="W1244" s="1628" t="s">
        <v>13</v>
      </c>
      <c r="X1244" s="1640">
        <f>(S1244*V1244)</f>
        <v>72.2</v>
      </c>
      <c r="Y1244" s="1640"/>
      <c r="Z1244" s="1640">
        <v>1.1000000000000001</v>
      </c>
      <c r="AA1244" s="1638" t="s">
        <v>4</v>
      </c>
      <c r="AB1244" s="1638"/>
      <c r="AC1244" s="1627" t="s">
        <v>269</v>
      </c>
      <c r="AD1244" s="1640">
        <f>V1239</f>
        <v>1325.8</v>
      </c>
      <c r="AE1244" s="1627" t="s">
        <v>4</v>
      </c>
      <c r="AF1244" s="1640">
        <f>(Z1244*AD1244)</f>
        <v>1458.38</v>
      </c>
      <c r="AG1244" s="1640" t="str">
        <f t="shared" si="157"/>
        <v>|</v>
      </c>
      <c r="AI1244" s="1627" t="s">
        <v>1095</v>
      </c>
    </row>
    <row r="1245" spans="6:35" ht="24" customHeight="1">
      <c r="H1245" s="1627" t="s">
        <v>1881</v>
      </c>
      <c r="N1245" s="1638" t="s">
        <v>226</v>
      </c>
      <c r="O1245" s="1627" t="s">
        <v>237</v>
      </c>
      <c r="Q1245" s="1628" t="s">
        <v>226</v>
      </c>
      <c r="R1245" s="1640">
        <v>0</v>
      </c>
      <c r="S1245" s="1658">
        <v>1.6</v>
      </c>
      <c r="T1245" s="1638" t="s">
        <v>4</v>
      </c>
      <c r="U1245" s="1627" t="s">
        <v>234</v>
      </c>
      <c r="V1245" s="1640">
        <f t="shared" si="162"/>
        <v>1237.5999999999999</v>
      </c>
      <c r="W1245" s="1628" t="s">
        <v>4</v>
      </c>
      <c r="X1245" s="1640">
        <f>(S1245*V1245)</f>
        <v>1980.1599999999999</v>
      </c>
      <c r="Y1245" s="1640"/>
      <c r="Z1245" s="1640">
        <v>1.1000000000000001</v>
      </c>
      <c r="AA1245" s="1638" t="s">
        <v>4</v>
      </c>
      <c r="AB1245" s="1638"/>
      <c r="AC1245" s="1627" t="s">
        <v>234</v>
      </c>
      <c r="AD1245" s="1640">
        <f>V1240</f>
        <v>1237.5999999999999</v>
      </c>
      <c r="AE1245" s="1627" t="s">
        <v>4</v>
      </c>
      <c r="AF1245" s="1640">
        <f>(Z1245*AD1245)</f>
        <v>1361.36</v>
      </c>
      <c r="AG1245" s="1640" t="str">
        <f t="shared" si="157"/>
        <v>|</v>
      </c>
      <c r="AI1245" s="1627" t="s">
        <v>1095</v>
      </c>
    </row>
    <row r="1246" spans="6:35" ht="24" customHeight="1">
      <c r="H1246" s="1627" t="s">
        <v>1882</v>
      </c>
      <c r="N1246" s="1630"/>
      <c r="Q1246" s="1634"/>
      <c r="R1246" s="1636"/>
      <c r="S1246" s="1658">
        <v>0.5</v>
      </c>
      <c r="T1246" s="1638" t="s">
        <v>4</v>
      </c>
      <c r="U1246" s="1627" t="s">
        <v>235</v>
      </c>
      <c r="V1246" s="1640">
        <f t="shared" si="162"/>
        <v>865.19999999999993</v>
      </c>
      <c r="W1246" s="1628" t="s">
        <v>4</v>
      </c>
      <c r="X1246" s="1640">
        <f>(S1246*V1246)</f>
        <v>432.59999999999997</v>
      </c>
      <c r="Y1246" s="1640"/>
      <c r="Z1246" s="1640">
        <v>2.2000000000000002</v>
      </c>
      <c r="AA1246" s="1638" t="s">
        <v>4</v>
      </c>
      <c r="AB1246" s="1638"/>
      <c r="AC1246" s="1627" t="s">
        <v>235</v>
      </c>
      <c r="AD1246" s="1640">
        <f>V1241</f>
        <v>865.19999999999993</v>
      </c>
      <c r="AE1246" s="1627" t="s">
        <v>4</v>
      </c>
      <c r="AF1246" s="1640">
        <f>(Z1246*AD1246)</f>
        <v>1903.44</v>
      </c>
      <c r="AG1246" s="1640" t="str">
        <f t="shared" si="157"/>
        <v>|</v>
      </c>
      <c r="AI1246" s="1627" t="s">
        <v>1095</v>
      </c>
    </row>
    <row r="1247" spans="6:35" ht="24" customHeight="1">
      <c r="H1247" s="1636" t="s">
        <v>21</v>
      </c>
      <c r="I1247" s="1636" t="s">
        <v>21</v>
      </c>
      <c r="N1247" s="1630"/>
      <c r="O1247" s="1627" t="s">
        <v>238</v>
      </c>
      <c r="Q1247" s="1634"/>
      <c r="R1247" s="1640">
        <f>SUM(R1234:R1245)</f>
        <v>17368.206999999999</v>
      </c>
      <c r="S1247" s="1658">
        <v>1.1000000000000001</v>
      </c>
      <c r="T1247" s="1638" t="s">
        <v>4</v>
      </c>
      <c r="U1247" s="1627" t="s">
        <v>236</v>
      </c>
      <c r="V1247" s="1640">
        <f t="shared" si="162"/>
        <v>709.8</v>
      </c>
      <c r="W1247" s="1628" t="s">
        <v>4</v>
      </c>
      <c r="X1247" s="1640">
        <f>(S1247*V1247)</f>
        <v>780.78</v>
      </c>
      <c r="Y1247" s="1640"/>
      <c r="Z1247" s="1640">
        <v>2.2000000000000002</v>
      </c>
      <c r="AA1247" s="1638" t="s">
        <v>4</v>
      </c>
      <c r="AB1247" s="1638"/>
      <c r="AC1247" s="1627" t="s">
        <v>236</v>
      </c>
      <c r="AD1247" s="1640">
        <f>V1242</f>
        <v>709.8</v>
      </c>
      <c r="AE1247" s="1627" t="s">
        <v>4</v>
      </c>
      <c r="AF1247" s="1640">
        <f>(Z1247*AD1247)</f>
        <v>1561.56</v>
      </c>
      <c r="AG1247" s="1640" t="str">
        <f t="shared" si="157"/>
        <v>|</v>
      </c>
      <c r="AI1247" s="1627" t="s">
        <v>1095</v>
      </c>
    </row>
    <row r="1248" spans="6:35" ht="24" customHeight="1">
      <c r="F1248" s="1640">
        <v>10</v>
      </c>
      <c r="G1248" s="1638" t="s">
        <v>152</v>
      </c>
      <c r="H1248" s="1627" t="s">
        <v>1883</v>
      </c>
      <c r="I1248" s="1640">
        <f>C601</f>
        <v>377.86</v>
      </c>
      <c r="J1248" s="1627" t="s">
        <v>152</v>
      </c>
      <c r="K1248" s="1640">
        <f>(F1248*I1248)</f>
        <v>3778.6000000000004</v>
      </c>
      <c r="N1248" s="1630"/>
      <c r="Q1248" s="1634"/>
      <c r="R1248" s="1636" t="s">
        <v>21</v>
      </c>
      <c r="T1248" s="1638" t="s">
        <v>226</v>
      </c>
      <c r="U1248" s="1627" t="s">
        <v>237</v>
      </c>
      <c r="W1248" s="1628" t="s">
        <v>226</v>
      </c>
      <c r="X1248" s="1640">
        <v>0.18</v>
      </c>
      <c r="Y1248" s="1640"/>
      <c r="Z1248" s="1658">
        <v>20</v>
      </c>
      <c r="AA1248" s="1638" t="s">
        <v>13</v>
      </c>
      <c r="AB1248" s="1638"/>
      <c r="AC1248" s="1627" t="s">
        <v>252</v>
      </c>
      <c r="AD1248" s="1640">
        <f>V1243</f>
        <v>6040</v>
      </c>
      <c r="AE1248" s="1627" t="s">
        <v>251</v>
      </c>
      <c r="AF1248" s="1640">
        <f>(Z1248*AD1248)/1000</f>
        <v>120.8</v>
      </c>
      <c r="AG1248" s="1640" t="str">
        <f t="shared" si="157"/>
        <v>|</v>
      </c>
      <c r="AI1248" s="1627" t="s">
        <v>1095</v>
      </c>
    </row>
    <row r="1249" spans="6:35" ht="24" customHeight="1">
      <c r="F1249" s="1640">
        <v>0.21</v>
      </c>
      <c r="G1249" s="1638" t="s">
        <v>151</v>
      </c>
      <c r="H1249" s="1627" t="s">
        <v>298</v>
      </c>
      <c r="I1249" s="1640">
        <f>(K32)</f>
        <v>5318.7</v>
      </c>
      <c r="J1249" s="1627" t="s">
        <v>151</v>
      </c>
      <c r="K1249" s="1640">
        <f>(F1249*I1249)</f>
        <v>1116.9269999999999</v>
      </c>
      <c r="N1249" s="1630"/>
      <c r="O1249" s="1631" t="s">
        <v>155</v>
      </c>
      <c r="Q1249" s="1634"/>
      <c r="R1249" s="1639">
        <f>(R1247/10)</f>
        <v>1736.8206999999998</v>
      </c>
      <c r="T1249" s="1630"/>
      <c r="W1249" s="1634"/>
      <c r="X1249" s="1636" t="s">
        <v>21</v>
      </c>
      <c r="Y1249" s="1636"/>
      <c r="Z1249" s="1658">
        <v>2</v>
      </c>
      <c r="AA1249" s="1638" t="s">
        <v>13</v>
      </c>
      <c r="AB1249" s="1638"/>
      <c r="AC1249" s="1627" t="s">
        <v>1864</v>
      </c>
      <c r="AD1249" s="1640">
        <v>36.1</v>
      </c>
      <c r="AE1249" s="1627" t="s">
        <v>13</v>
      </c>
      <c r="AF1249" s="1640">
        <f>(Z1249*AD1249)</f>
        <v>72.2</v>
      </c>
      <c r="AG1249" s="1640">
        <f t="shared" si="157"/>
        <v>0</v>
      </c>
    </row>
    <row r="1250" spans="6:35" ht="24" customHeight="1">
      <c r="H1250" s="1627" t="s">
        <v>1860</v>
      </c>
      <c r="I1250" s="1627" t="s">
        <v>150</v>
      </c>
      <c r="K1250" s="1627" t="s">
        <v>150</v>
      </c>
      <c r="N1250" s="1630"/>
      <c r="Q1250" s="1634"/>
      <c r="R1250" s="1636"/>
      <c r="T1250" s="1630"/>
      <c r="U1250" s="1627" t="s">
        <v>238</v>
      </c>
      <c r="W1250" s="1634"/>
      <c r="X1250" s="1640">
        <f>SUM(X1237:X1248)</f>
        <v>17368.386999999999</v>
      </c>
      <c r="Y1250" s="1640"/>
      <c r="Z1250" s="1640">
        <v>1.6</v>
      </c>
      <c r="AA1250" s="1638" t="s">
        <v>4</v>
      </c>
      <c r="AB1250" s="1638"/>
      <c r="AC1250" s="1627" t="s">
        <v>234</v>
      </c>
      <c r="AD1250" s="1640">
        <f>V1245</f>
        <v>1237.5999999999999</v>
      </c>
      <c r="AE1250" s="1627" t="s">
        <v>4</v>
      </c>
      <c r="AF1250" s="1640">
        <f>(Z1250*AD1250)</f>
        <v>1980.1599999999999</v>
      </c>
      <c r="AG1250" s="1640" t="str">
        <f t="shared" si="157"/>
        <v>|</v>
      </c>
      <c r="AI1250" s="1627" t="s">
        <v>1095</v>
      </c>
    </row>
    <row r="1251" spans="6:35" ht="24" customHeight="1">
      <c r="F1251" s="1640">
        <v>1.1000000000000001</v>
      </c>
      <c r="G1251" s="1638" t="s">
        <v>4</v>
      </c>
      <c r="H1251" s="1627" t="s">
        <v>269</v>
      </c>
      <c r="I1251" s="1640">
        <f>(C10)</f>
        <v>1325.8</v>
      </c>
      <c r="J1251" s="1627" t="s">
        <v>4</v>
      </c>
      <c r="K1251" s="1640">
        <f>(F1251*I1251)</f>
        <v>1458.38</v>
      </c>
      <c r="N1251" s="1630"/>
      <c r="Q1251" s="1634"/>
      <c r="R1251" s="1636"/>
      <c r="T1251" s="1630"/>
      <c r="W1251" s="1634"/>
      <c r="X1251" s="1636" t="s">
        <v>21</v>
      </c>
      <c r="Y1251" s="1636"/>
      <c r="Z1251" s="1640">
        <v>0.5</v>
      </c>
      <c r="AA1251" s="1638" t="s">
        <v>4</v>
      </c>
      <c r="AB1251" s="1638"/>
      <c r="AC1251" s="1627" t="s">
        <v>235</v>
      </c>
      <c r="AD1251" s="1640">
        <f>V1246</f>
        <v>865.19999999999993</v>
      </c>
      <c r="AE1251" s="1627" t="s">
        <v>4</v>
      </c>
      <c r="AF1251" s="1640">
        <f>(Z1251*AD1251)</f>
        <v>432.59999999999997</v>
      </c>
      <c r="AG1251" s="1640">
        <f t="shared" si="157"/>
        <v>0</v>
      </c>
    </row>
    <row r="1252" spans="6:35" ht="24" customHeight="1">
      <c r="F1252" s="1640">
        <v>1.1000000000000001</v>
      </c>
      <c r="G1252" s="1638" t="s">
        <v>4</v>
      </c>
      <c r="H1252" s="1627" t="s">
        <v>234</v>
      </c>
      <c r="I1252" s="1640">
        <f>(C11)</f>
        <v>1237.5999999999999</v>
      </c>
      <c r="J1252" s="1627" t="s">
        <v>4</v>
      </c>
      <c r="K1252" s="1640">
        <f>(F1252*I1252)</f>
        <v>1361.36</v>
      </c>
      <c r="N1252" s="1630"/>
      <c r="Q1252" s="1634"/>
      <c r="R1252" s="1636"/>
      <c r="T1252" s="1630"/>
      <c r="U1252" s="1631" t="s">
        <v>155</v>
      </c>
      <c r="W1252" s="1634"/>
      <c r="X1252" s="1639">
        <f>(X1250/10)</f>
        <v>1736.8386999999998</v>
      </c>
      <c r="Y1252" s="1639"/>
      <c r="Z1252" s="1640">
        <v>1.1000000000000001</v>
      </c>
      <c r="AA1252" s="1638" t="s">
        <v>4</v>
      </c>
      <c r="AB1252" s="1638"/>
      <c r="AC1252" s="1627" t="s">
        <v>236</v>
      </c>
      <c r="AD1252" s="1640">
        <f>V1247</f>
        <v>709.8</v>
      </c>
      <c r="AE1252" s="1627" t="s">
        <v>4</v>
      </c>
      <c r="AF1252" s="1640">
        <f>(Z1252*AD1252)</f>
        <v>780.78</v>
      </c>
      <c r="AG1252" s="1640" t="str">
        <f t="shared" si="157"/>
        <v>|</v>
      </c>
      <c r="AI1252" s="1627" t="s">
        <v>1095</v>
      </c>
    </row>
    <row r="1253" spans="6:35" ht="24" customHeight="1">
      <c r="F1253" s="1640">
        <v>2.2000000000000002</v>
      </c>
      <c r="G1253" s="1638" t="s">
        <v>4</v>
      </c>
      <c r="H1253" s="1627" t="s">
        <v>235</v>
      </c>
      <c r="I1253" s="1640">
        <f>(C12)</f>
        <v>865.19999999999993</v>
      </c>
      <c r="J1253" s="1627" t="s">
        <v>4</v>
      </c>
      <c r="K1253" s="1640">
        <f>(F1253*I1253)</f>
        <v>1903.44</v>
      </c>
      <c r="N1253" s="1630"/>
      <c r="Q1253" s="1634"/>
      <c r="R1253" s="1636"/>
      <c r="W1253" s="1634"/>
      <c r="AA1253" s="1638" t="s">
        <v>226</v>
      </c>
      <c r="AB1253" s="1638"/>
      <c r="AC1253" s="1627" t="s">
        <v>237</v>
      </c>
      <c r="AD1253" s="1640">
        <f>V1248</f>
        <v>0</v>
      </c>
      <c r="AE1253" s="1627" t="s">
        <v>226</v>
      </c>
      <c r="AF1253" s="1640">
        <v>0</v>
      </c>
      <c r="AG1253" s="1640" t="str">
        <f t="shared" si="157"/>
        <v>|</v>
      </c>
      <c r="AI1253" s="1627" t="s">
        <v>1095</v>
      </c>
    </row>
    <row r="1254" spans="6:35" ht="24" customHeight="1">
      <c r="F1254" s="1640">
        <v>2.2000000000000002</v>
      </c>
      <c r="G1254" s="1638" t="s">
        <v>4</v>
      </c>
      <c r="H1254" s="1627" t="s">
        <v>236</v>
      </c>
      <c r="I1254" s="1640">
        <f>(C13)</f>
        <v>709.8</v>
      </c>
      <c r="J1254" s="1627" t="s">
        <v>4</v>
      </c>
      <c r="K1254" s="1640">
        <f>(F1254*I1254)</f>
        <v>1561.56</v>
      </c>
      <c r="N1254" s="1630"/>
      <c r="O1254" s="1661" t="s">
        <v>1884</v>
      </c>
      <c r="Q1254" s="1634" t="s">
        <v>1885</v>
      </c>
      <c r="W1254" s="1634"/>
      <c r="AA1254" s="1630"/>
      <c r="AB1254" s="1630"/>
      <c r="AE1254" s="1632"/>
      <c r="AF1254" s="1636" t="s">
        <v>21</v>
      </c>
      <c r="AG1254" s="1640" t="str">
        <f t="shared" si="157"/>
        <v>|</v>
      </c>
      <c r="AI1254" s="1627" t="s">
        <v>1095</v>
      </c>
    </row>
    <row r="1255" spans="6:35" ht="24" customHeight="1">
      <c r="F1255" s="1658">
        <v>20</v>
      </c>
      <c r="G1255" s="1638" t="s">
        <v>13</v>
      </c>
      <c r="H1255" s="1627" t="s">
        <v>252</v>
      </c>
      <c r="I1255" s="1640">
        <f>(C67)</f>
        <v>6040</v>
      </c>
      <c r="J1255" s="1627" t="s">
        <v>251</v>
      </c>
      <c r="K1255" s="1640">
        <f>(F1255*I1255)/1000</f>
        <v>120.8</v>
      </c>
      <c r="N1255" s="1630"/>
      <c r="Q1255" s="1634"/>
      <c r="W1255" s="1634"/>
      <c r="AA1255" s="1630"/>
      <c r="AB1255" s="1630"/>
      <c r="AC1255" s="1627" t="s">
        <v>238</v>
      </c>
      <c r="AE1255" s="1632"/>
      <c r="AF1255" s="1640">
        <f>SUM(AF1241:AF1253)</f>
        <v>18718.206999999999</v>
      </c>
      <c r="AG1255" s="1640" t="str">
        <f t="shared" si="157"/>
        <v>|</v>
      </c>
      <c r="AI1255" s="1627" t="s">
        <v>1095</v>
      </c>
    </row>
    <row r="1256" spans="6:35" ht="24" customHeight="1">
      <c r="F1256" s="1658">
        <v>2</v>
      </c>
      <c r="G1256" s="1638" t="s">
        <v>13</v>
      </c>
      <c r="H1256" s="1627" t="s">
        <v>1886</v>
      </c>
      <c r="I1256" s="1690">
        <v>36.1</v>
      </c>
      <c r="J1256" s="1627" t="s">
        <v>13</v>
      </c>
      <c r="K1256" s="1640">
        <f>(F1256*I1256)</f>
        <v>72.2</v>
      </c>
      <c r="M1256" s="1695"/>
      <c r="N1256" s="1728"/>
      <c r="O1256" s="1695"/>
      <c r="P1256" s="1695"/>
      <c r="Q1256" s="1634"/>
      <c r="W1256" s="1634"/>
      <c r="AA1256" s="1630"/>
      <c r="AB1256" s="1630"/>
      <c r="AE1256" s="1632"/>
      <c r="AF1256" s="1636" t="s">
        <v>21</v>
      </c>
      <c r="AG1256" s="1640" t="str">
        <f t="shared" si="157"/>
        <v>|</v>
      </c>
      <c r="AI1256" s="1627" t="s">
        <v>1095</v>
      </c>
    </row>
    <row r="1257" spans="6:35" ht="24" customHeight="1">
      <c r="F1257" s="1640">
        <v>1.6</v>
      </c>
      <c r="G1257" s="1638" t="s">
        <v>4</v>
      </c>
      <c r="H1257" s="1627" t="s">
        <v>234</v>
      </c>
      <c r="I1257" s="1640">
        <f>(C11)</f>
        <v>1237.5999999999999</v>
      </c>
      <c r="J1257" s="1627" t="s">
        <v>4</v>
      </c>
      <c r="K1257" s="1640">
        <f>(F1257*I1257)</f>
        <v>1980.1599999999999</v>
      </c>
      <c r="M1257" s="1686">
        <v>10</v>
      </c>
      <c r="N1257" s="1729" t="s">
        <v>152</v>
      </c>
      <c r="O1257" s="1693" t="s">
        <v>5648</v>
      </c>
      <c r="P1257" s="1730">
        <v>421.3</v>
      </c>
      <c r="Q1257" s="1628" t="s">
        <v>152</v>
      </c>
      <c r="R1257" s="1640">
        <f>M1257*P1257</f>
        <v>4213</v>
      </c>
      <c r="W1257" s="1634"/>
      <c r="AA1257" s="1630"/>
      <c r="AB1257" s="1630"/>
      <c r="AC1257" s="1641" t="s">
        <v>155</v>
      </c>
      <c r="AE1257" s="1632"/>
      <c r="AF1257" s="1639">
        <f>(AF1255/10)</f>
        <v>1871.8206999999998</v>
      </c>
      <c r="AG1257" s="1637" t="s">
        <v>1888</v>
      </c>
      <c r="AI1257" s="1627" t="s">
        <v>1095</v>
      </c>
    </row>
    <row r="1258" spans="6:35" ht="24" customHeight="1">
      <c r="F1258" s="1640">
        <v>0.5</v>
      </c>
      <c r="G1258" s="1638" t="s">
        <v>4</v>
      </c>
      <c r="H1258" s="1627" t="s">
        <v>235</v>
      </c>
      <c r="I1258" s="1640">
        <f>(C12)</f>
        <v>865.19999999999993</v>
      </c>
      <c r="J1258" s="1627" t="s">
        <v>4</v>
      </c>
      <c r="K1258" s="1640">
        <f>(F1258*I1258)</f>
        <v>432.59999999999997</v>
      </c>
      <c r="M1258" s="1640">
        <v>0.21</v>
      </c>
      <c r="N1258" s="1638" t="s">
        <v>151</v>
      </c>
      <c r="O1258" s="1627" t="s">
        <v>298</v>
      </c>
      <c r="P1258" s="1640">
        <f t="shared" ref="P1258:P1263" si="163">P1216</f>
        <v>5318.7</v>
      </c>
      <c r="Q1258" s="1628" t="s">
        <v>151</v>
      </c>
      <c r="R1258" s="1640">
        <f t="shared" ref="R1258:R1267" si="164">(M1258*P1258)</f>
        <v>1116.9269999999999</v>
      </c>
      <c r="W1258" s="1634"/>
      <c r="AA1258" s="1630"/>
      <c r="AB1258" s="1630"/>
      <c r="AE1258" s="1632"/>
      <c r="AF1258" s="1636" t="s">
        <v>156</v>
      </c>
      <c r="AG1258" s="1640" t="str">
        <f t="shared" si="157"/>
        <v>|</v>
      </c>
      <c r="AI1258" s="1627" t="s">
        <v>1095</v>
      </c>
    </row>
    <row r="1259" spans="6:35" ht="24" customHeight="1">
      <c r="F1259" s="1640">
        <v>1.1000000000000001</v>
      </c>
      <c r="G1259" s="1638" t="s">
        <v>4</v>
      </c>
      <c r="H1259" s="1627" t="s">
        <v>236</v>
      </c>
      <c r="I1259" s="1640">
        <f>(C13)</f>
        <v>709.8</v>
      </c>
      <c r="J1259" s="1627" t="s">
        <v>4</v>
      </c>
      <c r="K1259" s="1640">
        <f>(F1259*I1259)</f>
        <v>780.78</v>
      </c>
      <c r="M1259" s="1640">
        <v>1.1000000000000001</v>
      </c>
      <c r="N1259" s="1638" t="s">
        <v>4</v>
      </c>
      <c r="O1259" s="1627" t="s">
        <v>269</v>
      </c>
      <c r="P1259" s="1640">
        <f t="shared" si="163"/>
        <v>1325.8</v>
      </c>
      <c r="Q1259" s="1628" t="s">
        <v>4</v>
      </c>
      <c r="R1259" s="1640">
        <f t="shared" si="164"/>
        <v>1458.38</v>
      </c>
      <c r="W1259" s="1634"/>
      <c r="Z1259" s="1662">
        <v>29.4</v>
      </c>
      <c r="AA1259" s="1638" t="s">
        <v>249</v>
      </c>
      <c r="AB1259" s="1638"/>
      <c r="AC1259" s="1627" t="s">
        <v>1889</v>
      </c>
      <c r="AG1259" s="1640" t="str">
        <f t="shared" si="157"/>
        <v>|</v>
      </c>
      <c r="AI1259" s="1627" t="s">
        <v>1095</v>
      </c>
    </row>
    <row r="1260" spans="6:35" ht="24" customHeight="1">
      <c r="G1260" s="1638" t="s">
        <v>226</v>
      </c>
      <c r="H1260" s="1627" t="s">
        <v>237</v>
      </c>
      <c r="J1260" s="1627" t="s">
        <v>226</v>
      </c>
      <c r="K1260" s="1640">
        <v>0</v>
      </c>
      <c r="M1260" s="1640">
        <v>1.1000000000000001</v>
      </c>
      <c r="N1260" s="1638" t="s">
        <v>4</v>
      </c>
      <c r="O1260" s="1627" t="s">
        <v>234</v>
      </c>
      <c r="P1260" s="1640">
        <f t="shared" si="163"/>
        <v>1237.5999999999999</v>
      </c>
      <c r="Q1260" s="1628" t="s">
        <v>4</v>
      </c>
      <c r="R1260" s="1640">
        <f t="shared" si="164"/>
        <v>1361.36</v>
      </c>
      <c r="W1260" s="1634"/>
      <c r="AA1260" s="1630"/>
      <c r="AB1260" s="1630"/>
      <c r="AC1260" s="1627" t="s">
        <v>1890</v>
      </c>
      <c r="AG1260" s="1640" t="str">
        <f t="shared" si="157"/>
        <v>|</v>
      </c>
      <c r="AI1260" s="1627" t="s">
        <v>1095</v>
      </c>
    </row>
    <row r="1261" spans="6:35" ht="24" customHeight="1">
      <c r="K1261" s="1636" t="s">
        <v>21</v>
      </c>
      <c r="M1261" s="1640">
        <v>2.2000000000000002</v>
      </c>
      <c r="N1261" s="1638" t="s">
        <v>4</v>
      </c>
      <c r="O1261" s="1627" t="s">
        <v>235</v>
      </c>
      <c r="P1261" s="1640">
        <f t="shared" si="163"/>
        <v>865.19999999999993</v>
      </c>
      <c r="Q1261" s="1628" t="s">
        <v>4</v>
      </c>
      <c r="R1261" s="1640">
        <f t="shared" si="164"/>
        <v>1903.44</v>
      </c>
      <c r="W1261" s="1634"/>
      <c r="AA1261" s="1630"/>
      <c r="AB1261" s="1630"/>
      <c r="AC1261" s="1636" t="s">
        <v>21</v>
      </c>
      <c r="AG1261" s="1640" t="str">
        <f t="shared" si="157"/>
        <v>|</v>
      </c>
      <c r="AI1261" s="1627" t="s">
        <v>1095</v>
      </c>
    </row>
    <row r="1262" spans="6:35" ht="24" customHeight="1">
      <c r="H1262" s="1627" t="s">
        <v>238</v>
      </c>
      <c r="K1262" s="1640">
        <f>SUM(K1248:K1260)</f>
        <v>14566.807000000001</v>
      </c>
      <c r="M1262" s="1640">
        <v>2.2000000000000002</v>
      </c>
      <c r="N1262" s="1638" t="s">
        <v>4</v>
      </c>
      <c r="O1262" s="1627" t="s">
        <v>236</v>
      </c>
      <c r="P1262" s="1640">
        <f t="shared" si="163"/>
        <v>709.8</v>
      </c>
      <c r="Q1262" s="1628" t="s">
        <v>4</v>
      </c>
      <c r="R1262" s="1640">
        <f t="shared" si="164"/>
        <v>1561.56</v>
      </c>
      <c r="W1262" s="1634"/>
      <c r="Z1262" s="1640">
        <v>1.86</v>
      </c>
      <c r="AA1262" s="1638" t="s">
        <v>152</v>
      </c>
      <c r="AB1262" s="1638"/>
      <c r="AC1262" s="1627" t="s">
        <v>1891</v>
      </c>
      <c r="AD1262" s="1640">
        <f>AD1241</f>
        <v>793</v>
      </c>
      <c r="AE1262" s="1627" t="str">
        <f>J1269</f>
        <v>SQM</v>
      </c>
      <c r="AF1262" s="1640">
        <f t="shared" ref="AF1262:AF1267" si="165">(Z1262*AD1262)</f>
        <v>1474.98</v>
      </c>
      <c r="AG1262" s="1640" t="str">
        <f t="shared" si="157"/>
        <v>|</v>
      </c>
      <c r="AI1262" s="1627" t="s">
        <v>1095</v>
      </c>
    </row>
    <row r="1263" spans="6:35" ht="24" customHeight="1">
      <c r="K1263" s="1636" t="s">
        <v>21</v>
      </c>
      <c r="M1263" s="1658">
        <v>20</v>
      </c>
      <c r="N1263" s="1638" t="s">
        <v>13</v>
      </c>
      <c r="O1263" s="1627" t="s">
        <v>252</v>
      </c>
      <c r="P1263" s="1640">
        <f t="shared" si="163"/>
        <v>6040</v>
      </c>
      <c r="Q1263" s="1628" t="s">
        <v>251</v>
      </c>
      <c r="R1263" s="1640">
        <f>(M1263*P1263)/1000</f>
        <v>120.8</v>
      </c>
      <c r="W1263" s="1634"/>
      <c r="Z1263" s="1640">
        <v>0.4</v>
      </c>
      <c r="AA1263" s="1638" t="s">
        <v>13</v>
      </c>
      <c r="AB1263" s="1638"/>
      <c r="AC1263" s="1627" t="s">
        <v>1864</v>
      </c>
      <c r="AD1263" s="1640">
        <f>AD1249</f>
        <v>36.1</v>
      </c>
      <c r="AE1263" s="1627" t="str">
        <f>J1270</f>
        <v>Kg</v>
      </c>
      <c r="AF1263" s="1640">
        <f t="shared" si="165"/>
        <v>14.440000000000001</v>
      </c>
      <c r="AG1263" s="1640">
        <f t="shared" si="157"/>
        <v>0</v>
      </c>
    </row>
    <row r="1264" spans="6:35" ht="24" customHeight="1">
      <c r="H1264" s="1641" t="s">
        <v>155</v>
      </c>
      <c r="K1264" s="1639">
        <f>(K1262/10)</f>
        <v>1456.6807000000001</v>
      </c>
      <c r="M1264" s="1658">
        <v>2</v>
      </c>
      <c r="N1264" s="1638" t="s">
        <v>13</v>
      </c>
      <c r="O1264" s="1627" t="s">
        <v>1878</v>
      </c>
      <c r="P1264" s="1640">
        <f>I1256</f>
        <v>36.1</v>
      </c>
      <c r="Q1264" s="1628" t="s">
        <v>13</v>
      </c>
      <c r="R1264" s="1640">
        <f t="shared" si="164"/>
        <v>72.2</v>
      </c>
      <c r="W1264" s="1634"/>
      <c r="Z1264" s="1640">
        <v>0.02</v>
      </c>
      <c r="AA1264" s="1638" t="s">
        <v>151</v>
      </c>
      <c r="AB1264" s="1638"/>
      <c r="AC1264" s="1627" t="s">
        <v>1892</v>
      </c>
      <c r="AD1264" s="1640">
        <f>I1271</f>
        <v>6768.3</v>
      </c>
      <c r="AE1264" s="1627" t="str">
        <f>J1271</f>
        <v>CUM</v>
      </c>
      <c r="AF1264" s="1640">
        <f t="shared" si="165"/>
        <v>135.36600000000001</v>
      </c>
      <c r="AG1264" s="1640">
        <f t="shared" si="157"/>
        <v>0</v>
      </c>
    </row>
    <row r="1265" spans="6:35" ht="24" customHeight="1">
      <c r="K1265" s="1636" t="s">
        <v>156</v>
      </c>
      <c r="M1265" s="1640">
        <v>1.6</v>
      </c>
      <c r="N1265" s="1638" t="s">
        <v>4</v>
      </c>
      <c r="O1265" s="1627" t="s">
        <v>234</v>
      </c>
      <c r="P1265" s="1640">
        <f>P1223</f>
        <v>1237.5999999999999</v>
      </c>
      <c r="Q1265" s="1628" t="s">
        <v>4</v>
      </c>
      <c r="R1265" s="1640">
        <f t="shared" si="164"/>
        <v>1980.1599999999999</v>
      </c>
      <c r="W1265" s="1634"/>
      <c r="Z1265" s="1640">
        <v>1</v>
      </c>
      <c r="AA1265" s="1638" t="s">
        <v>4</v>
      </c>
      <c r="AB1265" s="1638"/>
      <c r="AC1265" s="1627" t="s">
        <v>269</v>
      </c>
      <c r="AD1265" s="1640">
        <f>I1272</f>
        <v>1325.8</v>
      </c>
      <c r="AE1265" s="1627" t="str">
        <f>J1272</f>
        <v>NO</v>
      </c>
      <c r="AF1265" s="1640">
        <f t="shared" si="165"/>
        <v>1325.8</v>
      </c>
      <c r="AG1265" s="1640" t="str">
        <f t="shared" si="157"/>
        <v/>
      </c>
      <c r="AI1265" s="1627" t="s">
        <v>150</v>
      </c>
    </row>
    <row r="1266" spans="6:35" ht="24" customHeight="1">
      <c r="F1266" s="1662">
        <v>29.4</v>
      </c>
      <c r="G1266" s="1638" t="s">
        <v>249</v>
      </c>
      <c r="H1266" s="1627" t="s">
        <v>1893</v>
      </c>
      <c r="M1266" s="1640">
        <v>0.5</v>
      </c>
      <c r="N1266" s="1638" t="s">
        <v>4</v>
      </c>
      <c r="O1266" s="1627" t="s">
        <v>235</v>
      </c>
      <c r="P1266" s="1640">
        <f>P1224</f>
        <v>865.19999999999993</v>
      </c>
      <c r="Q1266" s="1628" t="s">
        <v>4</v>
      </c>
      <c r="R1266" s="1640">
        <f t="shared" si="164"/>
        <v>432.59999999999997</v>
      </c>
      <c r="W1266" s="1634"/>
      <c r="Z1266" s="1640">
        <v>1</v>
      </c>
      <c r="AA1266" s="1638" t="s">
        <v>4</v>
      </c>
      <c r="AB1266" s="1638"/>
      <c r="AC1266" s="1627" t="s">
        <v>1894</v>
      </c>
      <c r="AD1266" s="1640">
        <f>I1273</f>
        <v>865.19999999999993</v>
      </c>
      <c r="AE1266" s="1627" t="str">
        <f>J1273</f>
        <v>NO</v>
      </c>
      <c r="AF1266" s="1640">
        <f t="shared" si="165"/>
        <v>865.19999999999993</v>
      </c>
      <c r="AG1266" s="1640">
        <f t="shared" si="157"/>
        <v>0</v>
      </c>
    </row>
    <row r="1267" spans="6:35" ht="24" customHeight="1">
      <c r="H1267" s="1627" t="s">
        <v>1895</v>
      </c>
      <c r="M1267" s="1640">
        <v>1.1000000000000001</v>
      </c>
      <c r="N1267" s="1638" t="s">
        <v>4</v>
      </c>
      <c r="O1267" s="1627" t="s">
        <v>236</v>
      </c>
      <c r="P1267" s="1640">
        <f>P1225</f>
        <v>709.8</v>
      </c>
      <c r="Q1267" s="1628" t="s">
        <v>4</v>
      </c>
      <c r="R1267" s="1640">
        <f t="shared" si="164"/>
        <v>780.78</v>
      </c>
      <c r="W1267" s="1634"/>
      <c r="AA1267" s="1638" t="s">
        <v>226</v>
      </c>
      <c r="AB1267" s="1638"/>
      <c r="AC1267" s="1627" t="s">
        <v>237</v>
      </c>
      <c r="AE1267" s="1627" t="s">
        <v>226</v>
      </c>
      <c r="AF1267" s="1640">
        <f t="shared" si="165"/>
        <v>0</v>
      </c>
      <c r="AG1267" s="1640">
        <f t="shared" si="157"/>
        <v>0</v>
      </c>
    </row>
    <row r="1268" spans="6:35" ht="24" customHeight="1">
      <c r="H1268" s="1636" t="s">
        <v>21</v>
      </c>
      <c r="N1268" s="1638" t="s">
        <v>226</v>
      </c>
      <c r="O1268" s="1627" t="s">
        <v>237</v>
      </c>
      <c r="Q1268" s="1628" t="s">
        <v>226</v>
      </c>
      <c r="R1268" s="1640">
        <v>0</v>
      </c>
      <c r="W1268" s="1634"/>
      <c r="AA1268" s="1630"/>
      <c r="AB1268" s="1630"/>
      <c r="AE1268" s="1632"/>
      <c r="AF1268" s="1636" t="s">
        <v>21</v>
      </c>
      <c r="AG1268" s="1640">
        <f t="shared" si="157"/>
        <v>0</v>
      </c>
    </row>
    <row r="1269" spans="6:35" ht="24" customHeight="1">
      <c r="F1269" s="1640">
        <v>1.86</v>
      </c>
      <c r="G1269" s="1638" t="s">
        <v>152</v>
      </c>
      <c r="H1269" s="1627" t="s">
        <v>1896</v>
      </c>
      <c r="I1269" s="1640">
        <f>C602</f>
        <v>415</v>
      </c>
      <c r="J1269" s="1627" t="s">
        <v>152</v>
      </c>
      <c r="K1269" s="1640">
        <f>(F1269*I1269)</f>
        <v>771.90000000000009</v>
      </c>
      <c r="M1269" s="1629">
        <f>9.3/0.02</f>
        <v>465</v>
      </c>
      <c r="N1269" s="1630"/>
      <c r="Q1269" s="1634"/>
      <c r="R1269" s="1636"/>
      <c r="W1269" s="1634"/>
      <c r="AA1269" s="1630"/>
      <c r="AB1269" s="1630"/>
      <c r="AC1269" s="1627" t="s">
        <v>1897</v>
      </c>
      <c r="AE1269" s="1632"/>
      <c r="AF1269" s="1640">
        <f>SUM(AF1262:AF1267)</f>
        <v>3815.7860000000001</v>
      </c>
      <c r="AG1269" s="1640">
        <f t="shared" si="157"/>
        <v>0</v>
      </c>
    </row>
    <row r="1270" spans="6:35" ht="24" customHeight="1">
      <c r="F1270" s="1640">
        <v>0.4</v>
      </c>
      <c r="G1270" s="1638" t="s">
        <v>13</v>
      </c>
      <c r="H1270" s="1627" t="s">
        <v>1864</v>
      </c>
      <c r="I1270" s="1690">
        <f>I1256</f>
        <v>36.1</v>
      </c>
      <c r="J1270" s="1627" t="s">
        <v>13</v>
      </c>
      <c r="K1270" s="1640">
        <f>(F1270*I1270)</f>
        <v>14.440000000000001</v>
      </c>
      <c r="N1270" s="1630"/>
      <c r="O1270" s="1627" t="s">
        <v>238</v>
      </c>
      <c r="Q1270" s="1634"/>
      <c r="R1270" s="1640">
        <f>SUM(R1257:R1268)</f>
        <v>15001.207</v>
      </c>
      <c r="W1270" s="1634"/>
      <c r="AA1270" s="1630"/>
      <c r="AB1270" s="1630"/>
      <c r="AE1270" s="1632"/>
      <c r="AF1270" s="1636" t="s">
        <v>21</v>
      </c>
      <c r="AG1270" s="1640">
        <f t="shared" si="157"/>
        <v>0</v>
      </c>
    </row>
    <row r="1271" spans="6:35" ht="24" customHeight="1">
      <c r="F1271" s="1640">
        <v>0.02</v>
      </c>
      <c r="G1271" s="1638" t="s">
        <v>151</v>
      </c>
      <c r="H1271" s="1627" t="s">
        <v>1892</v>
      </c>
      <c r="I1271" s="1640">
        <f>K23</f>
        <v>6768.3</v>
      </c>
      <c r="J1271" s="1627" t="s">
        <v>151</v>
      </c>
      <c r="K1271" s="1640">
        <f>(F1271*I1271)</f>
        <v>135.36600000000001</v>
      </c>
      <c r="N1271" s="1630"/>
      <c r="Q1271" s="1634"/>
      <c r="R1271" s="1636" t="s">
        <v>21</v>
      </c>
      <c r="W1271" s="1634"/>
      <c r="AA1271" s="1630"/>
      <c r="AB1271" s="1630"/>
      <c r="AC1271" s="1641" t="s">
        <v>155</v>
      </c>
      <c r="AE1271" s="1632"/>
      <c r="AF1271" s="1639">
        <f>(AF1269/1.86)</f>
        <v>2051.4978494623656</v>
      </c>
      <c r="AG1271" s="1640">
        <f t="shared" si="157"/>
        <v>0</v>
      </c>
    </row>
    <row r="1272" spans="6:35" ht="24" customHeight="1">
      <c r="F1272" s="1640">
        <v>1</v>
      </c>
      <c r="G1272" s="1638" t="s">
        <v>4</v>
      </c>
      <c r="H1272" s="1627" t="s">
        <v>269</v>
      </c>
      <c r="I1272" s="1640">
        <f>C10</f>
        <v>1325.8</v>
      </c>
      <c r="J1272" s="1627" t="s">
        <v>4</v>
      </c>
      <c r="K1272" s="1640">
        <f>(F1272*I1272)</f>
        <v>1325.8</v>
      </c>
      <c r="N1272" s="1630"/>
      <c r="O1272" s="1631" t="s">
        <v>155</v>
      </c>
      <c r="Q1272" s="1634"/>
      <c r="R1272" s="1639">
        <f>(R1270/10)</f>
        <v>1500.1206999999999</v>
      </c>
      <c r="W1272" s="1634"/>
      <c r="AA1272" s="1630"/>
      <c r="AB1272" s="1630"/>
      <c r="AE1272" s="1632"/>
      <c r="AF1272" s="1636" t="s">
        <v>156</v>
      </c>
      <c r="AG1272" s="1640">
        <f t="shared" si="157"/>
        <v>0</v>
      </c>
    </row>
    <row r="1273" spans="6:35" ht="24" customHeight="1">
      <c r="F1273" s="1640">
        <v>1</v>
      </c>
      <c r="G1273" s="1638" t="s">
        <v>4</v>
      </c>
      <c r="H1273" s="1627" t="s">
        <v>1894</v>
      </c>
      <c r="I1273" s="1640">
        <f>C12</f>
        <v>865.19999999999993</v>
      </c>
      <c r="J1273" s="1627" t="s">
        <v>4</v>
      </c>
      <c r="K1273" s="1640">
        <f>(F1273*I1273)</f>
        <v>865.19999999999993</v>
      </c>
      <c r="S1273" s="1662">
        <v>29.5</v>
      </c>
      <c r="T1273" s="1638" t="s">
        <v>249</v>
      </c>
      <c r="U1273" s="1627" t="s">
        <v>5649</v>
      </c>
      <c r="W1273" s="1634"/>
      <c r="AG1273" s="1640">
        <f t="shared" si="157"/>
        <v>0</v>
      </c>
    </row>
    <row r="1274" spans="6:35" ht="24" customHeight="1">
      <c r="G1274" s="1638" t="s">
        <v>226</v>
      </c>
      <c r="H1274" s="1627" t="s">
        <v>237</v>
      </c>
      <c r="J1274" s="1627" t="s">
        <v>226</v>
      </c>
      <c r="K1274" s="1640"/>
      <c r="S1274" s="1629"/>
      <c r="T1274" s="1630"/>
      <c r="U1274" s="1627"/>
      <c r="W1274" s="1634"/>
      <c r="AG1274" s="1640">
        <f t="shared" si="157"/>
        <v>0</v>
      </c>
    </row>
    <row r="1275" spans="6:35" ht="24" customHeight="1">
      <c r="K1275" s="1636" t="s">
        <v>21</v>
      </c>
      <c r="S1275" s="1629"/>
      <c r="T1275" s="1630"/>
      <c r="U1275" s="1627"/>
      <c r="W1275" s="1634"/>
      <c r="AE1275" s="1632"/>
      <c r="AG1275" s="1640">
        <f t="shared" si="157"/>
        <v>0</v>
      </c>
    </row>
    <row r="1276" spans="6:35" ht="24" customHeight="1">
      <c r="H1276" s="1627" t="s">
        <v>1897</v>
      </c>
      <c r="K1276" s="1640">
        <f>SUM(K1269:K1274)</f>
        <v>3112.7060000000001</v>
      </c>
      <c r="S1276" s="1629"/>
      <c r="T1276" s="1630"/>
      <c r="U1276" s="1636" t="s">
        <v>21</v>
      </c>
      <c r="V1276" s="1636" t="s">
        <v>21</v>
      </c>
      <c r="W1276" s="1634"/>
      <c r="AE1276" s="1632"/>
      <c r="AG1276" s="1640">
        <f t="shared" si="157"/>
        <v>0</v>
      </c>
    </row>
    <row r="1277" spans="6:35" ht="40.5" customHeight="1">
      <c r="K1277" s="1636" t="s">
        <v>21</v>
      </c>
      <c r="S1277" s="1640">
        <v>10</v>
      </c>
      <c r="T1277" s="1638" t="s">
        <v>152</v>
      </c>
      <c r="U1277" s="1657" t="s">
        <v>1899</v>
      </c>
      <c r="V1277" s="1640">
        <v>538.21</v>
      </c>
      <c r="W1277" s="1628" t="s">
        <v>152</v>
      </c>
      <c r="X1277" s="1640">
        <f>(S1277*V1277)</f>
        <v>5382.1</v>
      </c>
      <c r="Y1277" s="1640"/>
      <c r="AE1277" s="1632"/>
      <c r="AG1277" s="1640">
        <f t="shared" si="157"/>
        <v>0</v>
      </c>
    </row>
    <row r="1278" spans="6:35" ht="24" customHeight="1">
      <c r="H1278" s="1641" t="s">
        <v>155</v>
      </c>
      <c r="K1278" s="1639">
        <f>(K1276/1.86)</f>
        <v>1673.4978494623656</v>
      </c>
      <c r="S1278" s="1640">
        <v>0.21</v>
      </c>
      <c r="T1278" s="1638" t="s">
        <v>151</v>
      </c>
      <c r="U1278" s="1627" t="s">
        <v>298</v>
      </c>
      <c r="V1278" s="1640">
        <f t="shared" ref="V1278:V1288" si="166">I1249</f>
        <v>5318.7</v>
      </c>
      <c r="W1278" s="1628" t="s">
        <v>151</v>
      </c>
      <c r="X1278" s="1640">
        <f>(S1278*V1278)</f>
        <v>1116.9269999999999</v>
      </c>
      <c r="Y1278" s="1640"/>
      <c r="AG1278" s="1640">
        <f t="shared" ref="AG1278:AG1341" si="167">AI1278</f>
        <v>0</v>
      </c>
    </row>
    <row r="1279" spans="6:35" ht="24" customHeight="1">
      <c r="K1279" s="1636" t="s">
        <v>156</v>
      </c>
      <c r="S1279" s="1629"/>
      <c r="T1279" s="1630"/>
      <c r="U1279" s="1627" t="s">
        <v>1860</v>
      </c>
      <c r="V1279" s="1640" t="str">
        <f t="shared" si="166"/>
        <v/>
      </c>
      <c r="W1279" s="1634"/>
      <c r="X1279" s="1627" t="s">
        <v>150</v>
      </c>
      <c r="Y1279" s="1627"/>
      <c r="AG1279" s="1640">
        <f t="shared" si="167"/>
        <v>0</v>
      </c>
    </row>
    <row r="1280" spans="6:35" ht="24" customHeight="1">
      <c r="F1280" s="1662"/>
      <c r="G1280" s="1638" t="s">
        <v>249</v>
      </c>
      <c r="H1280" s="1627" t="s">
        <v>5650</v>
      </c>
      <c r="S1280" s="1640">
        <v>1.1000000000000001</v>
      </c>
      <c r="T1280" s="1638" t="s">
        <v>4</v>
      </c>
      <c r="U1280" s="1627" t="s">
        <v>269</v>
      </c>
      <c r="V1280" s="1640">
        <f t="shared" si="166"/>
        <v>1325.8</v>
      </c>
      <c r="W1280" s="1628" t="s">
        <v>4</v>
      </c>
      <c r="X1280" s="1640">
        <f>(S1280*V1280)</f>
        <v>1458.38</v>
      </c>
      <c r="Y1280" s="1640"/>
      <c r="AG1280" s="1640">
        <f t="shared" si="167"/>
        <v>0</v>
      </c>
    </row>
    <row r="1281" spans="6:33" ht="24" customHeight="1">
      <c r="H1281" s="1627"/>
      <c r="S1281" s="1640">
        <v>1.1000000000000001</v>
      </c>
      <c r="T1281" s="1638" t="s">
        <v>4</v>
      </c>
      <c r="U1281" s="1627" t="s">
        <v>234</v>
      </c>
      <c r="V1281" s="1640">
        <f t="shared" si="166"/>
        <v>1237.5999999999999</v>
      </c>
      <c r="W1281" s="1628" t="s">
        <v>4</v>
      </c>
      <c r="X1281" s="1640">
        <f>(S1281*V1281)</f>
        <v>1361.36</v>
      </c>
      <c r="Y1281" s="1640"/>
      <c r="AG1281" s="1640">
        <f t="shared" si="167"/>
        <v>0</v>
      </c>
    </row>
    <row r="1282" spans="6:33" ht="24" customHeight="1">
      <c r="H1282" s="1636" t="s">
        <v>21</v>
      </c>
      <c r="S1282" s="1640">
        <v>2.2000000000000002</v>
      </c>
      <c r="T1282" s="1638" t="s">
        <v>4</v>
      </c>
      <c r="U1282" s="1627" t="s">
        <v>235</v>
      </c>
      <c r="V1282" s="1640">
        <f t="shared" si="166"/>
        <v>865.19999999999993</v>
      </c>
      <c r="W1282" s="1628" t="s">
        <v>4</v>
      </c>
      <c r="X1282" s="1640">
        <f>(S1282*V1282)</f>
        <v>1903.44</v>
      </c>
      <c r="Y1282" s="1640"/>
      <c r="AG1282" s="1640">
        <f t="shared" si="167"/>
        <v>0</v>
      </c>
    </row>
    <row r="1283" spans="6:33" ht="24" customHeight="1">
      <c r="F1283" s="1640">
        <v>1.86</v>
      </c>
      <c r="G1283" s="1638" t="s">
        <v>152</v>
      </c>
      <c r="H1283" s="1627" t="s">
        <v>1901</v>
      </c>
      <c r="I1283" s="1640">
        <v>699.4</v>
      </c>
      <c r="J1283" s="1627" t="s">
        <v>152</v>
      </c>
      <c r="K1283" s="1640">
        <f>(F1283*I1283)</f>
        <v>1300.884</v>
      </c>
      <c r="S1283" s="1640">
        <v>2.2000000000000002</v>
      </c>
      <c r="T1283" s="1638" t="s">
        <v>4</v>
      </c>
      <c r="U1283" s="1627" t="s">
        <v>236</v>
      </c>
      <c r="V1283" s="1640">
        <f t="shared" si="166"/>
        <v>709.8</v>
      </c>
      <c r="W1283" s="1628" t="s">
        <v>4</v>
      </c>
      <c r="X1283" s="1640">
        <f>(S1283*V1283)</f>
        <v>1561.56</v>
      </c>
      <c r="Y1283" s="1640"/>
      <c r="AG1283" s="1640">
        <f t="shared" si="167"/>
        <v>0</v>
      </c>
    </row>
    <row r="1284" spans="6:33" ht="24" customHeight="1">
      <c r="F1284" s="1640">
        <v>0.4</v>
      </c>
      <c r="G1284" s="1638" t="s">
        <v>13</v>
      </c>
      <c r="H1284" s="1627" t="s">
        <v>278</v>
      </c>
      <c r="I1284" s="1690">
        <f>C67</f>
        <v>6040</v>
      </c>
      <c r="J1284" s="1627" t="s">
        <v>13</v>
      </c>
      <c r="K1284" s="1640">
        <f>(F1284*I1284)</f>
        <v>2416</v>
      </c>
      <c r="S1284" s="1658">
        <v>20</v>
      </c>
      <c r="T1284" s="1638" t="s">
        <v>13</v>
      </c>
      <c r="U1284" s="1627" t="s">
        <v>252</v>
      </c>
      <c r="V1284" s="1640">
        <f t="shared" si="166"/>
        <v>6040</v>
      </c>
      <c r="W1284" s="1628" t="s">
        <v>251</v>
      </c>
      <c r="X1284" s="1640">
        <f>(S1284*V1284)/1000</f>
        <v>120.8</v>
      </c>
      <c r="Y1284" s="1640"/>
      <c r="AG1284" s="1640">
        <f t="shared" si="167"/>
        <v>0</v>
      </c>
    </row>
    <row r="1285" spans="6:33" ht="24" customHeight="1">
      <c r="F1285" s="1640">
        <v>0.02</v>
      </c>
      <c r="G1285" s="1638" t="s">
        <v>151</v>
      </c>
      <c r="H1285" s="1627" t="s">
        <v>1892</v>
      </c>
      <c r="I1285" s="1640">
        <f>I1271</f>
        <v>6768.3</v>
      </c>
      <c r="J1285" s="1627" t="s">
        <v>151</v>
      </c>
      <c r="K1285" s="1640">
        <f>(F1285*I1285)</f>
        <v>135.36600000000001</v>
      </c>
      <c r="S1285" s="1658">
        <v>2</v>
      </c>
      <c r="T1285" s="1638" t="s">
        <v>13</v>
      </c>
      <c r="U1285" s="1627" t="s">
        <v>1864</v>
      </c>
      <c r="V1285" s="1640">
        <f t="shared" si="166"/>
        <v>36.1</v>
      </c>
      <c r="W1285" s="1628" t="s">
        <v>13</v>
      </c>
      <c r="X1285" s="1640">
        <f>(S1285*V1285)</f>
        <v>72.2</v>
      </c>
      <c r="Y1285" s="1640"/>
      <c r="AG1285" s="1640">
        <f t="shared" si="167"/>
        <v>0</v>
      </c>
    </row>
    <row r="1286" spans="6:33" ht="24" customHeight="1">
      <c r="F1286" s="1640">
        <v>1</v>
      </c>
      <c r="G1286" s="1638" t="s">
        <v>4</v>
      </c>
      <c r="H1286" s="1627" t="s">
        <v>269</v>
      </c>
      <c r="I1286" s="1640">
        <f>I1272</f>
        <v>1325.8</v>
      </c>
      <c r="J1286" s="1627" t="s">
        <v>4</v>
      </c>
      <c r="K1286" s="1640">
        <f>(F1286*I1286)</f>
        <v>1325.8</v>
      </c>
      <c r="S1286" s="1640">
        <v>1.6</v>
      </c>
      <c r="T1286" s="1638" t="s">
        <v>4</v>
      </c>
      <c r="U1286" s="1627" t="s">
        <v>234</v>
      </c>
      <c r="V1286" s="1640">
        <f t="shared" si="166"/>
        <v>1237.5999999999999</v>
      </c>
      <c r="W1286" s="1628" t="s">
        <v>4</v>
      </c>
      <c r="X1286" s="1640">
        <f>(S1286*V1286)</f>
        <v>1980.1599999999999</v>
      </c>
      <c r="Y1286" s="1640"/>
      <c r="AG1286" s="1640">
        <f t="shared" si="167"/>
        <v>0</v>
      </c>
    </row>
    <row r="1287" spans="6:33" ht="24" customHeight="1">
      <c r="F1287" s="1640">
        <v>1</v>
      </c>
      <c r="G1287" s="1638" t="s">
        <v>4</v>
      </c>
      <c r="H1287" s="1627" t="s">
        <v>1894</v>
      </c>
      <c r="I1287" s="1640">
        <f>I1273</f>
        <v>865.19999999999993</v>
      </c>
      <c r="J1287" s="1627" t="s">
        <v>4</v>
      </c>
      <c r="K1287" s="1640">
        <f>(F1287*I1287)</f>
        <v>865.19999999999993</v>
      </c>
      <c r="S1287" s="1640">
        <v>0.5</v>
      </c>
      <c r="T1287" s="1638" t="s">
        <v>4</v>
      </c>
      <c r="U1287" s="1627" t="s">
        <v>235</v>
      </c>
      <c r="V1287" s="1640">
        <f t="shared" si="166"/>
        <v>865.19999999999993</v>
      </c>
      <c r="W1287" s="1628" t="s">
        <v>4</v>
      </c>
      <c r="X1287" s="1640">
        <f>(S1287*V1287)</f>
        <v>432.59999999999997</v>
      </c>
      <c r="Y1287" s="1640"/>
      <c r="AG1287" s="1640">
        <f t="shared" si="167"/>
        <v>0</v>
      </c>
    </row>
    <row r="1288" spans="6:33" ht="24" customHeight="1">
      <c r="G1288" s="1638" t="s">
        <v>226</v>
      </c>
      <c r="H1288" s="1627" t="s">
        <v>237</v>
      </c>
      <c r="J1288" s="1627" t="s">
        <v>226</v>
      </c>
      <c r="K1288" s="1640"/>
      <c r="S1288" s="1640">
        <v>1.1000000000000001</v>
      </c>
      <c r="T1288" s="1638" t="s">
        <v>4</v>
      </c>
      <c r="U1288" s="1627" t="s">
        <v>236</v>
      </c>
      <c r="V1288" s="1640">
        <f t="shared" si="166"/>
        <v>709.8</v>
      </c>
      <c r="W1288" s="1628" t="s">
        <v>4</v>
      </c>
      <c r="X1288" s="1640">
        <f>(S1288*V1288)</f>
        <v>780.78</v>
      </c>
      <c r="Y1288" s="1640"/>
      <c r="AG1288" s="1640">
        <f t="shared" si="167"/>
        <v>0</v>
      </c>
    </row>
    <row r="1289" spans="6:33" ht="24" customHeight="1">
      <c r="K1289" s="1636" t="s">
        <v>21</v>
      </c>
      <c r="S1289" s="1629"/>
      <c r="T1289" s="1638" t="s">
        <v>226</v>
      </c>
      <c r="U1289" s="1627" t="s">
        <v>237</v>
      </c>
      <c r="W1289" s="1628" t="s">
        <v>226</v>
      </c>
      <c r="X1289" s="1640">
        <v>0</v>
      </c>
      <c r="Y1289" s="1640"/>
      <c r="AG1289" s="1640">
        <f t="shared" si="167"/>
        <v>0</v>
      </c>
    </row>
    <row r="1290" spans="6:33" ht="24" customHeight="1">
      <c r="H1290" s="1627" t="s">
        <v>1897</v>
      </c>
      <c r="K1290" s="1640">
        <f>SUM(K1283:K1288)</f>
        <v>6043.25</v>
      </c>
      <c r="S1290" s="1629"/>
      <c r="T1290" s="1630"/>
      <c r="W1290" s="1634"/>
      <c r="X1290" s="1636" t="s">
        <v>21</v>
      </c>
      <c r="Y1290" s="1636"/>
      <c r="AG1290" s="1640">
        <f t="shared" si="167"/>
        <v>0</v>
      </c>
    </row>
    <row r="1291" spans="6:33" ht="24" customHeight="1">
      <c r="K1291" s="1636" t="s">
        <v>21</v>
      </c>
      <c r="S1291" s="1629"/>
      <c r="T1291" s="1630"/>
      <c r="U1291" s="1627" t="s">
        <v>238</v>
      </c>
      <c r="W1291" s="1634"/>
      <c r="X1291" s="1640">
        <f>SUM(X1277:X1289)</f>
        <v>16170.307000000001</v>
      </c>
      <c r="Y1291" s="1640"/>
      <c r="AG1291" s="1640">
        <f t="shared" si="167"/>
        <v>0</v>
      </c>
    </row>
    <row r="1292" spans="6:33" ht="24" customHeight="1">
      <c r="H1292" s="1641" t="s">
        <v>155</v>
      </c>
      <c r="K1292" s="1639">
        <f>(K1290/1.86)</f>
        <v>3249.0591397849462</v>
      </c>
      <c r="S1292" s="1629"/>
      <c r="T1292" s="1630"/>
      <c r="W1292" s="1634"/>
      <c r="X1292" s="1636" t="s">
        <v>21</v>
      </c>
      <c r="Y1292" s="1636"/>
      <c r="AG1292" s="1640">
        <f t="shared" si="167"/>
        <v>0</v>
      </c>
    </row>
    <row r="1293" spans="6:33" ht="24" customHeight="1">
      <c r="K1293" s="1636" t="s">
        <v>156</v>
      </c>
      <c r="U1293" s="1641" t="s">
        <v>155</v>
      </c>
      <c r="W1293" s="1634"/>
      <c r="X1293" s="1639">
        <f>(X1291/10)</f>
        <v>1617.0307</v>
      </c>
      <c r="Y1293" s="1639"/>
      <c r="AG1293" s="1640">
        <f t="shared" si="167"/>
        <v>0</v>
      </c>
    </row>
    <row r="1294" spans="6:33" ht="24" customHeight="1">
      <c r="K1294" s="1636"/>
      <c r="W1294" s="1634"/>
      <c r="X1294" s="1636" t="s">
        <v>156</v>
      </c>
      <c r="Y1294" s="1636"/>
      <c r="AG1294" s="1640">
        <f t="shared" si="167"/>
        <v>0</v>
      </c>
    </row>
    <row r="1295" spans="6:33" ht="24" customHeight="1">
      <c r="K1295" s="1636"/>
      <c r="W1295" s="1634"/>
      <c r="AG1295" s="1640">
        <f t="shared" si="167"/>
        <v>0</v>
      </c>
    </row>
    <row r="1296" spans="6:33" ht="24" customHeight="1">
      <c r="K1296" s="1636"/>
      <c r="M1296" s="1628"/>
      <c r="N1296" s="1638" t="s">
        <v>249</v>
      </c>
      <c r="O1296" s="1627" t="s">
        <v>5651</v>
      </c>
      <c r="Q1296" s="1634"/>
      <c r="S1296" s="1683">
        <v>15.1</v>
      </c>
      <c r="T1296" s="1638" t="s">
        <v>1253</v>
      </c>
      <c r="U1296" s="1627" t="s">
        <v>5652</v>
      </c>
      <c r="W1296" s="1634"/>
      <c r="AG1296" s="1640">
        <f t="shared" si="167"/>
        <v>0</v>
      </c>
    </row>
    <row r="1297" spans="6:33" ht="24" customHeight="1">
      <c r="K1297" s="1636"/>
      <c r="N1297" s="1630"/>
      <c r="O1297" s="1627" t="s">
        <v>394</v>
      </c>
      <c r="Q1297" s="1634"/>
      <c r="S1297" s="1629"/>
      <c r="T1297" s="1630"/>
      <c r="U1297" s="1627" t="s">
        <v>1192</v>
      </c>
      <c r="W1297" s="1634"/>
      <c r="AG1297" s="1640">
        <f t="shared" si="167"/>
        <v>0</v>
      </c>
    </row>
    <row r="1298" spans="6:33" ht="24" customHeight="1">
      <c r="F1298" s="1628" t="s">
        <v>473</v>
      </c>
      <c r="G1298" s="1638" t="s">
        <v>249</v>
      </c>
      <c r="H1298" s="1627" t="s">
        <v>1849</v>
      </c>
      <c r="N1298" s="1630"/>
      <c r="O1298" s="1631" t="s">
        <v>5653</v>
      </c>
      <c r="Q1298" s="1634"/>
      <c r="S1298" s="1640">
        <v>10</v>
      </c>
      <c r="T1298" s="1638" t="s">
        <v>306</v>
      </c>
      <c r="U1298" s="1627" t="s">
        <v>5654</v>
      </c>
      <c r="V1298" s="1640">
        <v>1626</v>
      </c>
      <c r="W1298" s="1628" t="s">
        <v>306</v>
      </c>
      <c r="X1298" s="1640">
        <f t="shared" ref="X1298:X1304" si="168">(S1298*V1298)</f>
        <v>16260</v>
      </c>
      <c r="Y1298" s="1640"/>
      <c r="AG1298" s="1640">
        <f t="shared" si="167"/>
        <v>0</v>
      </c>
    </row>
    <row r="1299" spans="6:33" ht="24" customHeight="1">
      <c r="H1299" s="1627" t="s">
        <v>1906</v>
      </c>
      <c r="N1299" s="1630"/>
      <c r="O1299" s="1636" t="s">
        <v>21</v>
      </c>
      <c r="Q1299" s="1634"/>
      <c r="S1299" s="1640">
        <v>0.21</v>
      </c>
      <c r="T1299" s="1638" t="s">
        <v>151</v>
      </c>
      <c r="U1299" s="1627" t="s">
        <v>1260</v>
      </c>
      <c r="V1299" s="1656">
        <f>P1333</f>
        <v>5318.7</v>
      </c>
      <c r="W1299" s="1628" t="s">
        <v>151</v>
      </c>
      <c r="X1299" s="1640">
        <f t="shared" si="168"/>
        <v>1116.9269999999999</v>
      </c>
      <c r="Y1299" s="1640"/>
      <c r="AG1299" s="1640">
        <f t="shared" si="167"/>
        <v>0</v>
      </c>
    </row>
    <row r="1300" spans="6:33" ht="24" customHeight="1">
      <c r="H1300" s="1627" t="s">
        <v>1907</v>
      </c>
      <c r="M1300" s="1640">
        <v>3.2</v>
      </c>
      <c r="N1300" s="1638" t="s">
        <v>13</v>
      </c>
      <c r="O1300" s="1685" t="s">
        <v>1908</v>
      </c>
      <c r="P1300" s="1640">
        <v>225</v>
      </c>
      <c r="Q1300" s="1628" t="s">
        <v>13</v>
      </c>
      <c r="R1300" s="1640">
        <f>(M1300*P1300)</f>
        <v>720</v>
      </c>
      <c r="S1300" s="1640">
        <v>1.1000000000000001</v>
      </c>
      <c r="T1300" s="1638" t="s">
        <v>345</v>
      </c>
      <c r="U1300" s="1627" t="s">
        <v>1196</v>
      </c>
      <c r="V1300" s="1656">
        <f>P1334</f>
        <v>1325.8</v>
      </c>
      <c r="W1300" s="1628" t="s">
        <v>340</v>
      </c>
      <c r="X1300" s="1640">
        <f t="shared" si="168"/>
        <v>1458.38</v>
      </c>
      <c r="Y1300" s="1640"/>
      <c r="AG1300" s="1640">
        <f t="shared" si="167"/>
        <v>0</v>
      </c>
    </row>
    <row r="1301" spans="6:33" ht="24" customHeight="1">
      <c r="H1301" s="1627" t="s">
        <v>5655</v>
      </c>
      <c r="M1301" s="1640">
        <v>0.98</v>
      </c>
      <c r="N1301" s="1638" t="s">
        <v>320</v>
      </c>
      <c r="O1301" s="1627" t="s">
        <v>1910</v>
      </c>
      <c r="P1301" s="1640">
        <f>P1320</f>
        <v>147.5</v>
      </c>
      <c r="Q1301" s="1628" t="s">
        <v>320</v>
      </c>
      <c r="R1301" s="1640">
        <f t="shared" ref="R1301:R1306" si="169">(M1301*P1301)</f>
        <v>144.55000000000001</v>
      </c>
      <c r="S1301" s="1640">
        <v>1.1000000000000001</v>
      </c>
      <c r="T1301" s="1638" t="s">
        <v>345</v>
      </c>
      <c r="U1301" s="1627" t="s">
        <v>1846</v>
      </c>
      <c r="V1301" s="1656">
        <f>P1260</f>
        <v>1237.5999999999999</v>
      </c>
      <c r="W1301" s="1628" t="s">
        <v>340</v>
      </c>
      <c r="X1301" s="1640">
        <f t="shared" si="168"/>
        <v>1361.36</v>
      </c>
      <c r="Y1301" s="1640"/>
      <c r="AG1301" s="1640">
        <f t="shared" si="167"/>
        <v>0</v>
      </c>
    </row>
    <row r="1302" spans="6:33" ht="24" customHeight="1">
      <c r="H1302" s="1636" t="s">
        <v>21</v>
      </c>
      <c r="M1302" s="1640">
        <v>0.5</v>
      </c>
      <c r="N1302" s="1638" t="s">
        <v>4</v>
      </c>
      <c r="O1302" s="1627" t="s">
        <v>322</v>
      </c>
      <c r="P1302" s="1640">
        <f>AG13</f>
        <v>1058.3999999999999</v>
      </c>
      <c r="Q1302" s="1638" t="s">
        <v>4</v>
      </c>
      <c r="R1302" s="1640">
        <f t="shared" si="169"/>
        <v>529.19999999999993</v>
      </c>
      <c r="S1302" s="1640">
        <v>2.2000000000000002</v>
      </c>
      <c r="T1302" s="1638" t="s">
        <v>345</v>
      </c>
      <c r="U1302" s="1627" t="s">
        <v>1198</v>
      </c>
      <c r="V1302" s="1656">
        <f>P1335</f>
        <v>865.19999999999993</v>
      </c>
      <c r="W1302" s="1628" t="s">
        <v>340</v>
      </c>
      <c r="X1302" s="1640">
        <f t="shared" si="168"/>
        <v>1903.44</v>
      </c>
      <c r="Y1302" s="1640"/>
      <c r="AG1302" s="1640">
        <f t="shared" si="167"/>
        <v>0</v>
      </c>
    </row>
    <row r="1303" spans="6:33" ht="24" customHeight="1">
      <c r="F1303" s="1640">
        <v>0.24</v>
      </c>
      <c r="G1303" s="1638" t="s">
        <v>151</v>
      </c>
      <c r="H1303" s="1627" t="s">
        <v>1911</v>
      </c>
      <c r="I1303" s="1640">
        <f>(C70)</f>
        <v>1742.0500000000002</v>
      </c>
      <c r="J1303" s="1627" t="s">
        <v>151</v>
      </c>
      <c r="K1303" s="1640">
        <f>(F1303*I1303)</f>
        <v>418.09200000000004</v>
      </c>
      <c r="M1303" s="1640">
        <v>0.7</v>
      </c>
      <c r="N1303" s="1638" t="s">
        <v>4</v>
      </c>
      <c r="O1303" s="1627" t="s">
        <v>1912</v>
      </c>
      <c r="P1303" s="1640">
        <f>AG14</f>
        <v>1024.8</v>
      </c>
      <c r="Q1303" s="1638" t="s">
        <v>4</v>
      </c>
      <c r="R1303" s="1640">
        <f t="shared" si="169"/>
        <v>717.3599999999999</v>
      </c>
      <c r="S1303" s="1640">
        <v>2.2000000000000002</v>
      </c>
      <c r="T1303" s="1638" t="s">
        <v>345</v>
      </c>
      <c r="U1303" s="1627" t="s">
        <v>1913</v>
      </c>
      <c r="V1303" s="1656">
        <f>P1305</f>
        <v>709.8</v>
      </c>
      <c r="W1303" s="1628" t="s">
        <v>340</v>
      </c>
      <c r="X1303" s="1640">
        <f t="shared" si="168"/>
        <v>1561.56</v>
      </c>
      <c r="Y1303" s="1640"/>
      <c r="AG1303" s="1640">
        <f t="shared" si="167"/>
        <v>0</v>
      </c>
    </row>
    <row r="1304" spans="6:33" ht="24" customHeight="1">
      <c r="F1304" s="1658">
        <v>0.11700000000000001</v>
      </c>
      <c r="G1304" s="1638" t="s">
        <v>251</v>
      </c>
      <c r="H1304" s="1627" t="s">
        <v>252</v>
      </c>
      <c r="I1304" s="1640">
        <f>(C67)</f>
        <v>6040</v>
      </c>
      <c r="J1304" s="1627" t="s">
        <v>251</v>
      </c>
      <c r="K1304" s="1640">
        <f>(F1304*I1304)</f>
        <v>706.68000000000006</v>
      </c>
      <c r="M1304" s="1640">
        <v>0.5</v>
      </c>
      <c r="N1304" s="1638" t="s">
        <v>4</v>
      </c>
      <c r="O1304" s="1627" t="s">
        <v>235</v>
      </c>
      <c r="P1304" s="1640">
        <f>I1306</f>
        <v>865.19999999999993</v>
      </c>
      <c r="Q1304" s="1638" t="s">
        <v>4</v>
      </c>
      <c r="R1304" s="1640">
        <f t="shared" si="169"/>
        <v>432.59999999999997</v>
      </c>
      <c r="S1304" s="1640">
        <v>10</v>
      </c>
      <c r="T1304" s="1638" t="s">
        <v>226</v>
      </c>
      <c r="U1304" s="1627" t="s">
        <v>1914</v>
      </c>
      <c r="V1304" s="1656">
        <v>153.47</v>
      </c>
      <c r="W1304" s="1628" t="s">
        <v>226</v>
      </c>
      <c r="X1304" s="1640">
        <f t="shared" si="168"/>
        <v>1534.7</v>
      </c>
      <c r="Y1304" s="1640"/>
      <c r="AG1304" s="1640">
        <f t="shared" si="167"/>
        <v>0</v>
      </c>
    </row>
    <row r="1305" spans="6:33" ht="24" customHeight="1">
      <c r="F1305" s="1640">
        <v>0.5</v>
      </c>
      <c r="G1305" s="1638" t="s">
        <v>4</v>
      </c>
      <c r="H1305" s="1627" t="s">
        <v>269</v>
      </c>
      <c r="I1305" s="1640">
        <f>(C10)</f>
        <v>1325.8</v>
      </c>
      <c r="J1305" s="1627" t="s">
        <v>4</v>
      </c>
      <c r="K1305" s="1640">
        <f>(F1305*I1305)</f>
        <v>662.9</v>
      </c>
      <c r="M1305" s="1640">
        <v>0.8</v>
      </c>
      <c r="N1305" s="1638" t="s">
        <v>4</v>
      </c>
      <c r="O1305" s="1627" t="s">
        <v>236</v>
      </c>
      <c r="P1305" s="1640">
        <f>I1307</f>
        <v>709.8</v>
      </c>
      <c r="Q1305" s="1638" t="s">
        <v>4</v>
      </c>
      <c r="R1305" s="1640">
        <f t="shared" si="169"/>
        <v>567.84</v>
      </c>
      <c r="S1305" s="1629"/>
      <c r="T1305" s="1630"/>
      <c r="U1305" s="1627"/>
      <c r="V1305" s="1656">
        <f>P1337</f>
        <v>0</v>
      </c>
      <c r="W1305" s="1634"/>
      <c r="X1305" s="1636" t="s">
        <v>21</v>
      </c>
      <c r="Y1305" s="1636"/>
      <c r="AG1305" s="1640">
        <f t="shared" si="167"/>
        <v>0</v>
      </c>
    </row>
    <row r="1306" spans="6:33" ht="24" customHeight="1">
      <c r="F1306" s="1640">
        <v>1.1000000000000001</v>
      </c>
      <c r="G1306" s="1638" t="s">
        <v>4</v>
      </c>
      <c r="H1306" s="1627" t="s">
        <v>1851</v>
      </c>
      <c r="I1306" s="1640">
        <f>(C12)</f>
        <v>865.19999999999993</v>
      </c>
      <c r="J1306" s="1627" t="s">
        <v>4</v>
      </c>
      <c r="K1306" s="1640">
        <f>(F1306*I1306)</f>
        <v>951.72</v>
      </c>
      <c r="M1306" s="1640">
        <v>10</v>
      </c>
      <c r="N1306" s="1638" t="s">
        <v>306</v>
      </c>
      <c r="O1306" s="1627" t="s">
        <v>1915</v>
      </c>
      <c r="P1306" s="1640">
        <f>C460</f>
        <v>5.6</v>
      </c>
      <c r="Q1306" s="1638" t="s">
        <v>306</v>
      </c>
      <c r="R1306" s="1640">
        <f t="shared" si="169"/>
        <v>56</v>
      </c>
      <c r="S1306" s="1629"/>
      <c r="T1306" s="1630"/>
      <c r="U1306" s="1628" t="s">
        <v>1270</v>
      </c>
      <c r="V1306" s="1656"/>
      <c r="W1306" s="1634"/>
      <c r="X1306" s="1640">
        <f>SUM(X1298:X1304)</f>
        <v>25196.367000000002</v>
      </c>
      <c r="Y1306" s="1640"/>
      <c r="AG1306" s="1640">
        <f t="shared" si="167"/>
        <v>0</v>
      </c>
    </row>
    <row r="1307" spans="6:33" ht="24" customHeight="1">
      <c r="F1307" s="1640">
        <v>4.3</v>
      </c>
      <c r="G1307" s="1638" t="s">
        <v>4</v>
      </c>
      <c r="H1307" s="1627" t="s">
        <v>236</v>
      </c>
      <c r="I1307" s="1640">
        <f>(C13)</f>
        <v>709.8</v>
      </c>
      <c r="J1307" s="1627" t="s">
        <v>4</v>
      </c>
      <c r="K1307" s="1640">
        <f>(F1307*I1307)</f>
        <v>3052.14</v>
      </c>
      <c r="N1307" s="1638" t="s">
        <v>226</v>
      </c>
      <c r="O1307" s="1627" t="s">
        <v>323</v>
      </c>
      <c r="P1307" s="1627" t="s">
        <v>150</v>
      </c>
      <c r="Q1307" s="1628" t="s">
        <v>226</v>
      </c>
      <c r="R1307" s="1640">
        <v>0</v>
      </c>
      <c r="S1307" s="1629"/>
      <c r="T1307" s="1630"/>
      <c r="W1307" s="1634"/>
      <c r="X1307" s="1636" t="s">
        <v>21</v>
      </c>
      <c r="Y1307" s="1636"/>
      <c r="AG1307" s="1640">
        <f t="shared" si="167"/>
        <v>0</v>
      </c>
    </row>
    <row r="1308" spans="6:33" ht="24" customHeight="1">
      <c r="G1308" s="1638" t="s">
        <v>226</v>
      </c>
      <c r="H1308" s="1627" t="s">
        <v>237</v>
      </c>
      <c r="J1308" s="1627" t="s">
        <v>226</v>
      </c>
      <c r="K1308" s="1640">
        <v>0</v>
      </c>
      <c r="N1308" s="1630"/>
      <c r="Q1308" s="1634"/>
      <c r="R1308" s="1636" t="s">
        <v>21</v>
      </c>
      <c r="S1308" s="1629"/>
      <c r="T1308" s="1630"/>
      <c r="U1308" s="1628" t="s">
        <v>1275</v>
      </c>
      <c r="W1308" s="1634"/>
      <c r="X1308" s="1639">
        <f>X1306/10</f>
        <v>2519.6367</v>
      </c>
      <c r="Y1308" s="1639"/>
      <c r="AG1308" s="1640">
        <f t="shared" si="167"/>
        <v>0</v>
      </c>
    </row>
    <row r="1309" spans="6:33" ht="24" customHeight="1">
      <c r="K1309" s="1636" t="s">
        <v>21</v>
      </c>
      <c r="N1309" s="1630"/>
      <c r="O1309" s="1627" t="s">
        <v>238</v>
      </c>
      <c r="Q1309" s="1634"/>
      <c r="R1309" s="1640">
        <f>SUM(R1300:R1307)</f>
        <v>3167.5499999999997</v>
      </c>
      <c r="S1309" s="1629"/>
      <c r="T1309" s="1630"/>
      <c r="U1309" s="1627" t="s">
        <v>271</v>
      </c>
      <c r="W1309" s="1634">
        <f>X1313+Z1308</f>
        <v>2521.8567000000003</v>
      </c>
      <c r="X1309" s="1640">
        <f>X1308+Z1306</f>
        <v>2519.6367</v>
      </c>
      <c r="Y1309" s="1640"/>
      <c r="AG1309" s="1640">
        <f t="shared" si="167"/>
        <v>0</v>
      </c>
    </row>
    <row r="1310" spans="6:33" ht="24" customHeight="1">
      <c r="H1310" s="1627" t="s">
        <v>238</v>
      </c>
      <c r="K1310" s="1640">
        <f>SUM(K1303:K1308)</f>
        <v>5791.5319999999992</v>
      </c>
      <c r="N1310" s="1630"/>
      <c r="Q1310" s="1634"/>
      <c r="R1310" s="1636" t="s">
        <v>21</v>
      </c>
      <c r="S1310" s="1629"/>
      <c r="T1310" s="1630"/>
      <c r="U1310" s="1627" t="s">
        <v>272</v>
      </c>
      <c r="W1310" s="1634">
        <f>W1309+Z1308</f>
        <v>2521.8567000000003</v>
      </c>
      <c r="X1310" s="1640">
        <f>X1309+1.11</f>
        <v>2520.7467000000001</v>
      </c>
      <c r="Y1310" s="1640"/>
      <c r="AG1310" s="1640">
        <f t="shared" si="167"/>
        <v>0</v>
      </c>
    </row>
    <row r="1311" spans="6:33" ht="24" customHeight="1">
      <c r="K1311" s="1636" t="s">
        <v>21</v>
      </c>
      <c r="N1311" s="1630"/>
      <c r="O1311" s="1631" t="s">
        <v>155</v>
      </c>
      <c r="Q1311" s="1634"/>
      <c r="R1311" s="1639">
        <f>(R1309/10)</f>
        <v>316.755</v>
      </c>
      <c r="S1311" s="1629"/>
      <c r="T1311" s="1630"/>
      <c r="U1311" s="1627" t="s">
        <v>767</v>
      </c>
      <c r="W1311" s="1634"/>
      <c r="X1311" s="1640">
        <f>X1310+1.11</f>
        <v>2521.8567000000003</v>
      </c>
      <c r="Y1311" s="1640"/>
      <c r="AG1311" s="1640">
        <f t="shared" si="167"/>
        <v>0</v>
      </c>
    </row>
    <row r="1312" spans="6:33" ht="24" customHeight="1">
      <c r="H1312" s="1641" t="s">
        <v>155</v>
      </c>
      <c r="K1312" s="1639">
        <f>(K1310/10)</f>
        <v>579.15319999999997</v>
      </c>
      <c r="M1312" s="1627" t="s">
        <v>150</v>
      </c>
      <c r="N1312" s="1630"/>
      <c r="Q1312" s="1634"/>
      <c r="S1312" s="1629"/>
      <c r="T1312" s="1630"/>
      <c r="U1312" s="1627" t="s">
        <v>769</v>
      </c>
      <c r="W1312" s="1634"/>
      <c r="X1312" s="1640">
        <f>X1311+Z1308</f>
        <v>2521.8567000000003</v>
      </c>
      <c r="Y1312" s="1640"/>
      <c r="AG1312" s="1640">
        <f t="shared" si="167"/>
        <v>0</v>
      </c>
    </row>
    <row r="1313" spans="6:33" ht="24" customHeight="1">
      <c r="F1313" s="1627" t="s">
        <v>150</v>
      </c>
      <c r="N1313" s="1630"/>
      <c r="Q1313" s="1634"/>
      <c r="R1313" s="1636" t="s">
        <v>156</v>
      </c>
      <c r="S1313" s="1629"/>
      <c r="T1313" s="1630"/>
      <c r="U1313" s="1627" t="s">
        <v>1117</v>
      </c>
      <c r="W1313" s="1634"/>
      <c r="X1313" s="1640">
        <f>X1312+Z1308</f>
        <v>2521.8567000000003</v>
      </c>
      <c r="Y1313" s="1640"/>
      <c r="AG1313" s="1640">
        <f t="shared" si="167"/>
        <v>0</v>
      </c>
    </row>
    <row r="1314" spans="6:33" ht="24" customHeight="1">
      <c r="K1314" s="1636" t="s">
        <v>156</v>
      </c>
      <c r="N1314" s="1630"/>
      <c r="Q1314" s="1634"/>
      <c r="S1314" s="1629"/>
      <c r="T1314" s="1630"/>
      <c r="W1314" s="1634"/>
      <c r="AG1314" s="1640">
        <f t="shared" si="167"/>
        <v>0</v>
      </c>
    </row>
    <row r="1315" spans="6:33" ht="24" customHeight="1">
      <c r="F1315" s="1628" t="s">
        <v>1916</v>
      </c>
      <c r="G1315" s="1638" t="s">
        <v>249</v>
      </c>
      <c r="H1315" s="1631" t="s">
        <v>5656</v>
      </c>
      <c r="M1315" s="1628" t="s">
        <v>358</v>
      </c>
      <c r="N1315" s="1638" t="s">
        <v>249</v>
      </c>
      <c r="O1315" s="1627" t="s">
        <v>5657</v>
      </c>
      <c r="Q1315" s="1634"/>
      <c r="W1315" s="1634"/>
      <c r="AG1315" s="1640">
        <f t="shared" si="167"/>
        <v>0</v>
      </c>
    </row>
    <row r="1316" spans="6:33" ht="24" customHeight="1">
      <c r="H1316" s="1627" t="s">
        <v>1919</v>
      </c>
      <c r="N1316" s="1630"/>
      <c r="O1316" s="1627" t="s">
        <v>394</v>
      </c>
      <c r="Q1316" s="1634"/>
      <c r="S1316" s="1683">
        <v>15.1</v>
      </c>
      <c r="T1316" s="1638" t="s">
        <v>1253</v>
      </c>
      <c r="U1316" s="1627" t="s">
        <v>5658</v>
      </c>
      <c r="W1316" s="1634"/>
      <c r="AG1316" s="1640">
        <f t="shared" si="167"/>
        <v>0</v>
      </c>
    </row>
    <row r="1317" spans="6:33" ht="24" customHeight="1">
      <c r="H1317" s="1627" t="s">
        <v>1921</v>
      </c>
      <c r="N1317" s="1630"/>
      <c r="O1317" s="1631" t="s">
        <v>304</v>
      </c>
      <c r="Q1317" s="1634"/>
      <c r="S1317" s="1629"/>
      <c r="T1317" s="1630"/>
      <c r="U1317" s="1627" t="s">
        <v>1192</v>
      </c>
      <c r="W1317" s="1634"/>
      <c r="AG1317" s="1640">
        <f t="shared" si="167"/>
        <v>0</v>
      </c>
    </row>
    <row r="1318" spans="6:33" ht="24" customHeight="1">
      <c r="H1318" s="1627" t="s">
        <v>1922</v>
      </c>
      <c r="N1318" s="1630"/>
      <c r="O1318" s="1636" t="s">
        <v>21</v>
      </c>
      <c r="Q1318" s="1634"/>
      <c r="S1318" s="1640">
        <v>10</v>
      </c>
      <c r="T1318" s="1638" t="s">
        <v>306</v>
      </c>
      <c r="U1318" s="1627" t="s">
        <v>5659</v>
      </c>
      <c r="V1318" s="1640">
        <f>AD1188</f>
        <v>1737</v>
      </c>
      <c r="W1318" s="1628" t="s">
        <v>306</v>
      </c>
      <c r="X1318" s="1640">
        <f>(S1318*V1318)</f>
        <v>17370</v>
      </c>
      <c r="Y1318" s="1640"/>
      <c r="AG1318" s="1640">
        <f t="shared" si="167"/>
        <v>0</v>
      </c>
    </row>
    <row r="1319" spans="6:33" ht="24" customHeight="1">
      <c r="H1319" s="1627" t="s">
        <v>1924</v>
      </c>
      <c r="M1319" s="1640">
        <v>1.4</v>
      </c>
      <c r="N1319" s="1638" t="s">
        <v>320</v>
      </c>
      <c r="O1319" s="1731" t="s">
        <v>3411</v>
      </c>
      <c r="P1319" s="1656">
        <v>295.60000000000002</v>
      </c>
      <c r="Q1319" s="1628" t="s">
        <v>320</v>
      </c>
      <c r="R1319" s="1640">
        <f>P1319*M1319</f>
        <v>413.84000000000003</v>
      </c>
      <c r="S1319" s="1640">
        <v>0.21</v>
      </c>
      <c r="T1319" s="1638" t="s">
        <v>151</v>
      </c>
      <c r="U1319" s="1627" t="s">
        <v>1260</v>
      </c>
      <c r="V1319" s="1656">
        <f>V1299</f>
        <v>5318.7</v>
      </c>
      <c r="W1319" s="1628" t="s">
        <v>151</v>
      </c>
      <c r="X1319" s="1640">
        <f t="shared" ref="X1319:X1324" si="170">(S1319*V1319)</f>
        <v>1116.9269999999999</v>
      </c>
      <c r="Y1319" s="1640"/>
      <c r="AG1319" s="1640">
        <f t="shared" si="167"/>
        <v>0</v>
      </c>
    </row>
    <row r="1320" spans="6:33" ht="24" customHeight="1">
      <c r="H1320" s="1636" t="s">
        <v>21</v>
      </c>
      <c r="M1320" s="1640">
        <v>0.98</v>
      </c>
      <c r="N1320" s="1638" t="s">
        <v>320</v>
      </c>
      <c r="O1320" s="1685" t="s">
        <v>3412</v>
      </c>
      <c r="P1320" s="1640">
        <f>C196</f>
        <v>147.5</v>
      </c>
      <c r="Q1320" s="1628" t="s">
        <v>320</v>
      </c>
      <c r="R1320" s="1640">
        <f>(M1320*P1320)</f>
        <v>144.55000000000001</v>
      </c>
      <c r="S1320" s="1640">
        <v>1.1000000000000001</v>
      </c>
      <c r="T1320" s="1638" t="s">
        <v>345</v>
      </c>
      <c r="U1320" s="1627" t="s">
        <v>1196</v>
      </c>
      <c r="V1320" s="1640">
        <f t="shared" ref="V1320:V1325" si="171">V1300</f>
        <v>1325.8</v>
      </c>
      <c r="W1320" s="1628" t="s">
        <v>340</v>
      </c>
      <c r="X1320" s="1640">
        <f t="shared" si="170"/>
        <v>1458.38</v>
      </c>
      <c r="Y1320" s="1640"/>
      <c r="AG1320" s="1640">
        <f t="shared" si="167"/>
        <v>0</v>
      </c>
    </row>
    <row r="1321" spans="6:33" ht="24" customHeight="1">
      <c r="F1321" s="1640">
        <v>12.8</v>
      </c>
      <c r="G1321" s="1638" t="s">
        <v>151</v>
      </c>
      <c r="H1321" s="1627" t="s">
        <v>1925</v>
      </c>
      <c r="I1321" s="1640">
        <f>(C82)</f>
        <v>1532.42</v>
      </c>
      <c r="J1321" s="1627" t="s">
        <v>151</v>
      </c>
      <c r="K1321" s="1640">
        <f>(F1321*I1321)</f>
        <v>19614.976000000002</v>
      </c>
      <c r="M1321" s="1640">
        <v>2.2000000000000002</v>
      </c>
      <c r="N1321" s="1638" t="s">
        <v>4</v>
      </c>
      <c r="O1321" s="1627" t="s">
        <v>322</v>
      </c>
      <c r="P1321" s="1640">
        <f>P1302</f>
        <v>1058.3999999999999</v>
      </c>
      <c r="Q1321" s="1628" t="s">
        <v>4</v>
      </c>
      <c r="R1321" s="1640">
        <f>(M1321*P1321)</f>
        <v>2328.48</v>
      </c>
      <c r="S1321" s="1640">
        <v>1.1000000000000001</v>
      </c>
      <c r="T1321" s="1638" t="s">
        <v>345</v>
      </c>
      <c r="U1321" s="1627" t="s">
        <v>1846</v>
      </c>
      <c r="V1321" s="1640">
        <f t="shared" si="171"/>
        <v>1237.5999999999999</v>
      </c>
      <c r="W1321" s="1628" t="s">
        <v>340</v>
      </c>
      <c r="X1321" s="1640">
        <f t="shared" si="170"/>
        <v>1361.36</v>
      </c>
      <c r="Y1321" s="1640"/>
      <c r="AG1321" s="1640">
        <f t="shared" si="167"/>
        <v>0</v>
      </c>
    </row>
    <row r="1322" spans="6:33" ht="24" customHeight="1">
      <c r="F1322" s="1640">
        <v>5</v>
      </c>
      <c r="G1322" s="1638" t="s">
        <v>151</v>
      </c>
      <c r="H1322" s="1627" t="s">
        <v>1926</v>
      </c>
      <c r="I1322" s="1640">
        <f>(C85)</f>
        <v>993</v>
      </c>
      <c r="J1322" s="1627" t="s">
        <v>151</v>
      </c>
      <c r="K1322" s="1640">
        <f>(F1322*I1322)</f>
        <v>4965</v>
      </c>
      <c r="N1322" s="1638" t="s">
        <v>226</v>
      </c>
      <c r="O1322" s="1627" t="s">
        <v>323</v>
      </c>
      <c r="P1322" s="1627" t="s">
        <v>150</v>
      </c>
      <c r="Q1322" s="1628" t="s">
        <v>226</v>
      </c>
      <c r="R1322" s="1640">
        <v>2.5499999999999998</v>
      </c>
      <c r="S1322" s="1640">
        <v>2.2000000000000002</v>
      </c>
      <c r="T1322" s="1638" t="s">
        <v>345</v>
      </c>
      <c r="U1322" s="1627" t="s">
        <v>1198</v>
      </c>
      <c r="V1322" s="1640">
        <f t="shared" si="171"/>
        <v>865.19999999999993</v>
      </c>
      <c r="W1322" s="1628" t="s">
        <v>340</v>
      </c>
      <c r="X1322" s="1640">
        <f t="shared" si="170"/>
        <v>1903.44</v>
      </c>
      <c r="Y1322" s="1640"/>
      <c r="AG1322" s="1640">
        <f t="shared" si="167"/>
        <v>0</v>
      </c>
    </row>
    <row r="1323" spans="6:33" ht="24" customHeight="1">
      <c r="F1323" s="1640">
        <v>1.8</v>
      </c>
      <c r="G1323" s="1638" t="s">
        <v>4</v>
      </c>
      <c r="H1323" s="1627" t="s">
        <v>269</v>
      </c>
      <c r="I1323" s="1640">
        <f>(C10)</f>
        <v>1325.8</v>
      </c>
      <c r="J1323" s="1627" t="s">
        <v>4</v>
      </c>
      <c r="K1323" s="1640">
        <f>(F1323*I1323)</f>
        <v>2386.44</v>
      </c>
      <c r="N1323" s="1630"/>
      <c r="Q1323" s="1634"/>
      <c r="R1323" s="1636"/>
      <c r="S1323" s="1640">
        <v>2.2000000000000002</v>
      </c>
      <c r="T1323" s="1638" t="s">
        <v>345</v>
      </c>
      <c r="U1323" s="1627" t="s">
        <v>1913</v>
      </c>
      <c r="V1323" s="1640">
        <f t="shared" si="171"/>
        <v>709.8</v>
      </c>
      <c r="W1323" s="1628" t="s">
        <v>340</v>
      </c>
      <c r="X1323" s="1640">
        <f t="shared" si="170"/>
        <v>1561.56</v>
      </c>
      <c r="Y1323" s="1640"/>
      <c r="AG1323" s="1640">
        <f t="shared" si="167"/>
        <v>0</v>
      </c>
    </row>
    <row r="1324" spans="6:33" ht="24" customHeight="1">
      <c r="F1324" s="1640">
        <v>17.7</v>
      </c>
      <c r="G1324" s="1638" t="s">
        <v>4</v>
      </c>
      <c r="H1324" s="1627" t="s">
        <v>1851</v>
      </c>
      <c r="I1324" s="1640">
        <f>(C12)</f>
        <v>865.19999999999993</v>
      </c>
      <c r="J1324" s="1627" t="s">
        <v>4</v>
      </c>
      <c r="K1324" s="1640">
        <f>(F1324*I1324)</f>
        <v>15314.039999999999</v>
      </c>
      <c r="N1324" s="1630"/>
      <c r="O1324" s="1627" t="s">
        <v>238</v>
      </c>
      <c r="Q1324" s="1634"/>
      <c r="R1324" s="1640">
        <f>SUM(R1319:R1322)</f>
        <v>2889.42</v>
      </c>
      <c r="S1324" s="1640">
        <v>10</v>
      </c>
      <c r="T1324" s="1638" t="s">
        <v>226</v>
      </c>
      <c r="U1324" s="1627" t="s">
        <v>1914</v>
      </c>
      <c r="V1324" s="1640">
        <f t="shared" si="171"/>
        <v>153.47</v>
      </c>
      <c r="W1324" s="1628" t="s">
        <v>226</v>
      </c>
      <c r="X1324" s="1640">
        <f t="shared" si="170"/>
        <v>1534.7</v>
      </c>
      <c r="Y1324" s="1640"/>
      <c r="AG1324" s="1640">
        <f t="shared" si="167"/>
        <v>0</v>
      </c>
    </row>
    <row r="1325" spans="6:33" ht="24" customHeight="1">
      <c r="F1325" s="1640">
        <v>14.1</v>
      </c>
      <c r="G1325" s="1638" t="s">
        <v>4</v>
      </c>
      <c r="H1325" s="1627" t="s">
        <v>236</v>
      </c>
      <c r="I1325" s="1640">
        <f>(C13)</f>
        <v>709.8</v>
      </c>
      <c r="J1325" s="1627" t="s">
        <v>4</v>
      </c>
      <c r="K1325" s="1640">
        <f>(F1325*I1325)</f>
        <v>10008.179999999998</v>
      </c>
      <c r="N1325" s="1630"/>
      <c r="Q1325" s="1634"/>
      <c r="R1325" s="1636" t="s">
        <v>21</v>
      </c>
      <c r="S1325" s="1629"/>
      <c r="T1325" s="1630"/>
      <c r="U1325" s="1627"/>
      <c r="V1325" s="1640">
        <f t="shared" si="171"/>
        <v>0</v>
      </c>
      <c r="W1325" s="1634"/>
      <c r="X1325" s="1636" t="s">
        <v>21</v>
      </c>
      <c r="Y1325" s="1636"/>
      <c r="AG1325" s="1640">
        <f t="shared" si="167"/>
        <v>0</v>
      </c>
    </row>
    <row r="1326" spans="6:33" ht="24" customHeight="1">
      <c r="G1326" s="1638" t="s">
        <v>226</v>
      </c>
      <c r="H1326" s="1627" t="s">
        <v>237</v>
      </c>
      <c r="J1326" s="1627" t="s">
        <v>226</v>
      </c>
      <c r="K1326" s="1640">
        <v>0</v>
      </c>
      <c r="N1326" s="1630"/>
      <c r="O1326" s="1627" t="s">
        <v>155</v>
      </c>
      <c r="Q1326" s="1634"/>
      <c r="R1326" s="1639">
        <f>(R1324/10)</f>
        <v>288.94200000000001</v>
      </c>
      <c r="S1326" s="1629">
        <f>R1326-157</f>
        <v>131.94200000000001</v>
      </c>
      <c r="T1326" s="1630"/>
      <c r="U1326" s="1628" t="s">
        <v>1270</v>
      </c>
      <c r="W1326" s="1634"/>
      <c r="X1326" s="1640">
        <f>SUM(X1318:X1324)</f>
        <v>26306.367000000002</v>
      </c>
      <c r="Y1326" s="1640"/>
      <c r="AG1326" s="1640">
        <f t="shared" si="167"/>
        <v>0</v>
      </c>
    </row>
    <row r="1327" spans="6:33" ht="24" customHeight="1">
      <c r="K1327" s="1636" t="s">
        <v>21</v>
      </c>
      <c r="M1327" s="1627" t="s">
        <v>150</v>
      </c>
      <c r="N1327" s="1630"/>
      <c r="Q1327" s="1634"/>
      <c r="S1327" s="1629"/>
      <c r="T1327" s="1630"/>
      <c r="W1327" s="1634"/>
      <c r="X1327" s="1636" t="s">
        <v>21</v>
      </c>
      <c r="Y1327" s="1636"/>
      <c r="AG1327" s="1640">
        <f t="shared" si="167"/>
        <v>0</v>
      </c>
    </row>
    <row r="1328" spans="6:33" ht="24" customHeight="1">
      <c r="H1328" s="1627" t="s">
        <v>263</v>
      </c>
      <c r="K1328" s="1640">
        <f>SUM(K1321:K1327)</f>
        <v>52288.635999999999</v>
      </c>
      <c r="N1328" s="1630"/>
      <c r="Q1328" s="1634"/>
      <c r="R1328" s="1636" t="s">
        <v>156</v>
      </c>
      <c r="S1328" s="1629"/>
      <c r="T1328" s="1630"/>
      <c r="U1328" s="1628" t="s">
        <v>1275</v>
      </c>
      <c r="W1328" s="1634"/>
      <c r="X1328" s="1639">
        <f>X1326/10</f>
        <v>2630.6367</v>
      </c>
      <c r="Y1328" s="1639"/>
      <c r="AG1328" s="1640">
        <f t="shared" si="167"/>
        <v>0</v>
      </c>
    </row>
    <row r="1329" spans="6:33" ht="24" customHeight="1">
      <c r="K1329" s="1636" t="s">
        <v>21</v>
      </c>
      <c r="N1329" s="1630"/>
      <c r="Q1329" s="1634"/>
      <c r="W1329" s="1634"/>
      <c r="AG1329" s="1640">
        <f t="shared" si="167"/>
        <v>0</v>
      </c>
    </row>
    <row r="1330" spans="6:33" ht="24" customHeight="1">
      <c r="H1330" s="1641" t="s">
        <v>270</v>
      </c>
      <c r="K1330" s="1639">
        <f>(K1328/10)</f>
        <v>5228.8635999999997</v>
      </c>
      <c r="M1330" s="1683">
        <v>15.1</v>
      </c>
      <c r="N1330" s="1638" t="s">
        <v>1253</v>
      </c>
      <c r="O1330" s="1627" t="s">
        <v>5658</v>
      </c>
      <c r="Q1330" s="1634"/>
      <c r="T1330" s="1631" t="s">
        <v>1927</v>
      </c>
      <c r="W1330" s="1634"/>
      <c r="AG1330" s="1640">
        <f t="shared" si="167"/>
        <v>0</v>
      </c>
    </row>
    <row r="1331" spans="6:33" ht="24" customHeight="1">
      <c r="K1331" s="1636" t="s">
        <v>156</v>
      </c>
      <c r="N1331" s="1630"/>
      <c r="O1331" s="1627" t="s">
        <v>1192</v>
      </c>
      <c r="Q1331" s="1634"/>
      <c r="S1331" s="1640">
        <v>10</v>
      </c>
      <c r="T1331" s="1638" t="s">
        <v>152</v>
      </c>
      <c r="U1331" s="1627" t="s">
        <v>5183</v>
      </c>
      <c r="V1331" s="1640">
        <v>506</v>
      </c>
      <c r="W1331" s="1628" t="s">
        <v>152</v>
      </c>
      <c r="X1331" s="1640">
        <f>(S1331*V1331)</f>
        <v>5060</v>
      </c>
      <c r="Y1331" s="1640"/>
      <c r="AA1331" s="1629">
        <v>9</v>
      </c>
      <c r="AC1331" s="1629" t="s">
        <v>1929</v>
      </c>
      <c r="AD1331" s="1629">
        <f>AE44</f>
        <v>1818.72</v>
      </c>
      <c r="AE1331" s="1629">
        <f>AD1331*AA1331</f>
        <v>16368.48</v>
      </c>
      <c r="AG1331" s="1640">
        <f t="shared" si="167"/>
        <v>0</v>
      </c>
    </row>
    <row r="1332" spans="6:33" ht="38.25" customHeight="1">
      <c r="M1332" s="1640">
        <v>10</v>
      </c>
      <c r="N1332" s="1638" t="s">
        <v>306</v>
      </c>
      <c r="O1332" s="1685" t="s">
        <v>5660</v>
      </c>
      <c r="P1332" s="1640">
        <v>1626</v>
      </c>
      <c r="Q1332" s="1628" t="s">
        <v>306</v>
      </c>
      <c r="R1332" s="1640">
        <f>(M1332*P1332)</f>
        <v>16260</v>
      </c>
      <c r="S1332" s="1640">
        <v>0.21</v>
      </c>
      <c r="T1332" s="1638" t="s">
        <v>151</v>
      </c>
      <c r="U1332" s="1627" t="s">
        <v>298</v>
      </c>
      <c r="V1332" s="1640">
        <f>P1333</f>
        <v>5318.7</v>
      </c>
      <c r="W1332" s="1628" t="s">
        <v>151</v>
      </c>
      <c r="X1332" s="1640">
        <f>(S1332*V1332)</f>
        <v>1116.9269999999999</v>
      </c>
      <c r="Y1332" s="1640"/>
      <c r="AA1332" s="1629">
        <v>4.5</v>
      </c>
      <c r="AC1332" s="1627" t="s">
        <v>1892</v>
      </c>
      <c r="AD1332" s="1629">
        <f>K23</f>
        <v>6768.3</v>
      </c>
      <c r="AE1332" s="1629">
        <f>AD1332*AA1332</f>
        <v>30457.350000000002</v>
      </c>
      <c r="AG1332" s="1640">
        <f t="shared" si="167"/>
        <v>0</v>
      </c>
    </row>
    <row r="1333" spans="6:33" ht="24" customHeight="1">
      <c r="G1333" s="1638" t="s">
        <v>230</v>
      </c>
      <c r="H1333" s="1627" t="s">
        <v>231</v>
      </c>
      <c r="M1333" s="1640">
        <v>0.12</v>
      </c>
      <c r="N1333" s="1638" t="s">
        <v>151</v>
      </c>
      <c r="O1333" s="1627" t="s">
        <v>1260</v>
      </c>
      <c r="P1333" s="1640">
        <f>K32</f>
        <v>5318.7</v>
      </c>
      <c r="Q1333" s="1628" t="s">
        <v>151</v>
      </c>
      <c r="R1333" s="1640">
        <f>(M1333*P1333)</f>
        <v>638.24399999999991</v>
      </c>
      <c r="S1333" s="1629">
        <v>10</v>
      </c>
      <c r="T1333" s="1630"/>
      <c r="U1333" s="1627" t="s">
        <v>1931</v>
      </c>
      <c r="V1333" s="1656">
        <f>K1344</f>
        <v>414.88479999999998</v>
      </c>
      <c r="W1333" s="1634"/>
      <c r="X1333" s="1640">
        <f>(S1333*V1333)</f>
        <v>4148.848</v>
      </c>
      <c r="Y1333" s="1640"/>
      <c r="AA1333" s="1629">
        <v>1.8</v>
      </c>
      <c r="AC1333" s="1627" t="s">
        <v>234</v>
      </c>
      <c r="AD1333" s="1629">
        <f>V1335</f>
        <v>1237.5999999999999</v>
      </c>
      <c r="AE1333" s="1629">
        <f>AD1333*AA1333</f>
        <v>2227.6799999999998</v>
      </c>
      <c r="AG1333" s="1640">
        <f t="shared" si="167"/>
        <v>0</v>
      </c>
    </row>
    <row r="1334" spans="6:33" ht="31.5" customHeight="1">
      <c r="H1334" s="1627" t="s">
        <v>232</v>
      </c>
      <c r="M1334" s="1640">
        <v>1</v>
      </c>
      <c r="N1334" s="1638" t="s">
        <v>345</v>
      </c>
      <c r="O1334" s="1627" t="s">
        <v>1196</v>
      </c>
      <c r="P1334" s="1640">
        <f>I1305</f>
        <v>1325.8</v>
      </c>
      <c r="Q1334" s="1628" t="s">
        <v>340</v>
      </c>
      <c r="R1334" s="1640">
        <f>(M1334*P1334)</f>
        <v>1325.8</v>
      </c>
      <c r="S1334" s="1640">
        <v>1.1000000000000001</v>
      </c>
      <c r="T1334" s="1732" t="s">
        <v>4</v>
      </c>
      <c r="U1334" s="1627" t="s">
        <v>269</v>
      </c>
      <c r="V1334" s="1640">
        <f>AG9</f>
        <v>1325.8</v>
      </c>
      <c r="W1334" s="1628" t="s">
        <v>4</v>
      </c>
      <c r="X1334" s="1640">
        <f t="shared" ref="X1334:X1341" si="172">S1334*V1334</f>
        <v>1458.38</v>
      </c>
      <c r="Y1334" s="1640"/>
      <c r="AA1334" s="1629">
        <v>17.7</v>
      </c>
      <c r="AC1334" s="1627" t="s">
        <v>235</v>
      </c>
      <c r="AD1334" s="1629">
        <f>V1336</f>
        <v>865.19999999999993</v>
      </c>
      <c r="AE1334" s="1629">
        <f>AD1334*AA1334</f>
        <v>15314.039999999999</v>
      </c>
      <c r="AG1334" s="1640">
        <f t="shared" si="167"/>
        <v>0</v>
      </c>
    </row>
    <row r="1335" spans="6:33" ht="38.25" customHeight="1">
      <c r="H1335" s="1636" t="s">
        <v>21</v>
      </c>
      <c r="L1335" s="1629">
        <f>SUM(K1355:K1360)</f>
        <v>10956.166000000001</v>
      </c>
      <c r="M1335" s="1640">
        <v>1</v>
      </c>
      <c r="N1335" s="1638" t="s">
        <v>345</v>
      </c>
      <c r="O1335" s="1627" t="s">
        <v>1198</v>
      </c>
      <c r="P1335" s="1640">
        <f>I1306</f>
        <v>865.19999999999993</v>
      </c>
      <c r="Q1335" s="1628" t="s">
        <v>340</v>
      </c>
      <c r="R1335" s="1640">
        <f>(M1335*P1335)</f>
        <v>865.19999999999993</v>
      </c>
      <c r="S1335" s="1640">
        <v>2.1</v>
      </c>
      <c r="T1335" s="1732" t="s">
        <v>4</v>
      </c>
      <c r="U1335" s="1627" t="s">
        <v>234</v>
      </c>
      <c r="V1335" s="1640">
        <f>AG10</f>
        <v>1237.5999999999999</v>
      </c>
      <c r="W1335" s="1628" t="s">
        <v>4</v>
      </c>
      <c r="X1335" s="1640">
        <f t="shared" si="172"/>
        <v>2598.96</v>
      </c>
      <c r="Y1335" s="1640"/>
      <c r="AA1335" s="1629">
        <v>14.1</v>
      </c>
      <c r="AC1335" s="1627" t="s">
        <v>236</v>
      </c>
      <c r="AD1335" s="1629">
        <f>V1337</f>
        <v>709.8</v>
      </c>
      <c r="AE1335" s="1629">
        <f>AD1335*AA1335</f>
        <v>10008.179999999998</v>
      </c>
      <c r="AG1335" s="1640">
        <f t="shared" si="167"/>
        <v>0</v>
      </c>
    </row>
    <row r="1336" spans="6:33" ht="24" customHeight="1">
      <c r="F1336" s="1640">
        <v>0.04</v>
      </c>
      <c r="G1336" s="1638" t="s">
        <v>151</v>
      </c>
      <c r="H1336" s="1627" t="s">
        <v>233</v>
      </c>
      <c r="I1336" s="1640">
        <f>(K32)</f>
        <v>5318.7</v>
      </c>
      <c r="J1336" s="1627" t="s">
        <v>151</v>
      </c>
      <c r="K1336" s="1640">
        <f>(F1336*I1336)</f>
        <v>212.74799999999999</v>
      </c>
      <c r="N1336" s="1638" t="s">
        <v>226</v>
      </c>
      <c r="O1336" s="1627" t="s">
        <v>1200</v>
      </c>
      <c r="Q1336" s="1628" t="s">
        <v>226</v>
      </c>
      <c r="R1336" s="1640">
        <v>0.33</v>
      </c>
      <c r="S1336" s="1640">
        <v>2.2000000000000002</v>
      </c>
      <c r="T1336" s="1732" t="s">
        <v>4</v>
      </c>
      <c r="U1336" s="1627" t="s">
        <v>235</v>
      </c>
      <c r="V1336" s="1640">
        <f>AG11</f>
        <v>865.19999999999993</v>
      </c>
      <c r="W1336" s="1628" t="s">
        <v>4</v>
      </c>
      <c r="X1336" s="1640">
        <f t="shared" si="172"/>
        <v>1903.44</v>
      </c>
      <c r="Y1336" s="1640"/>
      <c r="AE1336" s="1629">
        <f>SUM(AE1331:AE1335)</f>
        <v>74375.73</v>
      </c>
      <c r="AG1336" s="1640">
        <f t="shared" si="167"/>
        <v>0</v>
      </c>
    </row>
    <row r="1337" spans="6:33" ht="24" customHeight="1">
      <c r="F1337" s="1640">
        <v>2.2000000000000002</v>
      </c>
      <c r="G1337" s="1638" t="s">
        <v>4</v>
      </c>
      <c r="H1337" s="1627" t="s">
        <v>234</v>
      </c>
      <c r="I1337" s="1640">
        <f>(C11)</f>
        <v>1237.5999999999999</v>
      </c>
      <c r="J1337" s="1627" t="s">
        <v>4</v>
      </c>
      <c r="K1337" s="1640">
        <f>(F1337*I1337)</f>
        <v>2722.72</v>
      </c>
      <c r="L1337" s="1629">
        <f>SUM(K1355:K1360)</f>
        <v>10956.166000000001</v>
      </c>
      <c r="N1337" s="1630"/>
      <c r="O1337" s="1627" t="s">
        <v>1202</v>
      </c>
      <c r="Q1337" s="1634"/>
      <c r="R1337" s="1636" t="s">
        <v>21</v>
      </c>
      <c r="S1337" s="1640">
        <v>1.1000000000000001</v>
      </c>
      <c r="T1337" s="1732" t="s">
        <v>4</v>
      </c>
      <c r="U1337" s="1627" t="s">
        <v>236</v>
      </c>
      <c r="V1337" s="1640">
        <f>AG12</f>
        <v>709.8</v>
      </c>
      <c r="W1337" s="1628" t="s">
        <v>4</v>
      </c>
      <c r="X1337" s="1640">
        <f t="shared" si="172"/>
        <v>780.78</v>
      </c>
      <c r="Y1337" s="1640"/>
      <c r="AE1337" s="1629">
        <f>AE1336/10</f>
        <v>7437.5729999999994</v>
      </c>
      <c r="AG1337" s="1640">
        <f t="shared" si="167"/>
        <v>0</v>
      </c>
    </row>
    <row r="1338" spans="6:33" ht="24" customHeight="1">
      <c r="F1338" s="1640">
        <v>0.5</v>
      </c>
      <c r="G1338" s="1638" t="s">
        <v>4</v>
      </c>
      <c r="H1338" s="1627" t="s">
        <v>235</v>
      </c>
      <c r="I1338" s="1640">
        <f>(C12)</f>
        <v>865.19999999999993</v>
      </c>
      <c r="J1338" s="1627" t="s">
        <v>4</v>
      </c>
      <c r="K1338" s="1640">
        <f>(F1338*I1338)</f>
        <v>432.59999999999997</v>
      </c>
      <c r="N1338" s="1630"/>
      <c r="O1338" s="1628" t="s">
        <v>1270</v>
      </c>
      <c r="Q1338" s="1634"/>
      <c r="R1338" s="1640">
        <f>SUM(R1332:R1336)</f>
        <v>19089.574000000001</v>
      </c>
      <c r="S1338" s="1658">
        <v>6.5</v>
      </c>
      <c r="T1338" s="1732" t="s">
        <v>13</v>
      </c>
      <c r="U1338" s="1627" t="s">
        <v>1932</v>
      </c>
      <c r="V1338" s="1640">
        <v>17.18</v>
      </c>
      <c r="W1338" s="1628" t="s">
        <v>251</v>
      </c>
      <c r="X1338" s="1640">
        <f t="shared" si="172"/>
        <v>111.67</v>
      </c>
      <c r="Y1338" s="1640"/>
      <c r="AG1338" s="1640">
        <f t="shared" si="167"/>
        <v>0</v>
      </c>
    </row>
    <row r="1339" spans="6:33" ht="24" customHeight="1">
      <c r="F1339" s="1640">
        <v>1.1000000000000001</v>
      </c>
      <c r="G1339" s="1638" t="s">
        <v>4</v>
      </c>
      <c r="H1339" s="1627" t="s">
        <v>236</v>
      </c>
      <c r="I1339" s="1640">
        <f>(C13)</f>
        <v>709.8</v>
      </c>
      <c r="J1339" s="1627" t="s">
        <v>4</v>
      </c>
      <c r="K1339" s="1640">
        <f>(F1339*I1339)</f>
        <v>780.78</v>
      </c>
      <c r="N1339" s="1630"/>
      <c r="Q1339" s="1634"/>
      <c r="R1339" s="1636" t="s">
        <v>21</v>
      </c>
      <c r="S1339" s="1658">
        <v>3</v>
      </c>
      <c r="T1339" s="1732" t="s">
        <v>13</v>
      </c>
      <c r="U1339" s="1627" t="s">
        <v>1933</v>
      </c>
      <c r="V1339" s="1640">
        <f>C610</f>
        <v>27.25</v>
      </c>
      <c r="W1339" s="1628" t="s">
        <v>13</v>
      </c>
      <c r="X1339" s="1640">
        <f t="shared" si="172"/>
        <v>81.75</v>
      </c>
      <c r="Y1339" s="1640"/>
      <c r="AG1339" s="1640">
        <f t="shared" si="167"/>
        <v>0</v>
      </c>
    </row>
    <row r="1340" spans="6:33" ht="24" customHeight="1">
      <c r="G1340" s="1638" t="s">
        <v>226</v>
      </c>
      <c r="H1340" s="1627" t="s">
        <v>237</v>
      </c>
      <c r="J1340" s="1627" t="s">
        <v>226</v>
      </c>
      <c r="K1340" s="1640">
        <v>0</v>
      </c>
      <c r="N1340" s="1630"/>
      <c r="O1340" s="1628" t="s">
        <v>1275</v>
      </c>
      <c r="Q1340" s="1634"/>
      <c r="R1340" s="1639">
        <f>R1338/10</f>
        <v>1908.9574</v>
      </c>
      <c r="S1340" s="1640">
        <v>2.15</v>
      </c>
      <c r="T1340" s="1732" t="s">
        <v>4</v>
      </c>
      <c r="U1340" s="1627" t="s">
        <v>1934</v>
      </c>
      <c r="V1340" s="1640">
        <v>45.8</v>
      </c>
      <c r="W1340" s="1628" t="s">
        <v>4</v>
      </c>
      <c r="X1340" s="1640">
        <f t="shared" si="172"/>
        <v>98.469999999999985</v>
      </c>
      <c r="Y1340" s="1640"/>
      <c r="AG1340" s="1640">
        <f t="shared" si="167"/>
        <v>0</v>
      </c>
    </row>
    <row r="1341" spans="6:33" ht="24" customHeight="1">
      <c r="K1341" s="1636" t="s">
        <v>21</v>
      </c>
      <c r="N1341" s="1630"/>
      <c r="O1341" s="1627" t="s">
        <v>271</v>
      </c>
      <c r="Q1341" s="1634">
        <f>R1345+S1302</f>
        <v>1917.9874</v>
      </c>
      <c r="R1341" s="1640">
        <f>R1340+S1299</f>
        <v>1909.1674</v>
      </c>
      <c r="S1341" s="1640">
        <v>0.4</v>
      </c>
      <c r="T1341" s="1732" t="s">
        <v>4</v>
      </c>
      <c r="U1341" s="1627" t="s">
        <v>1935</v>
      </c>
      <c r="V1341" s="1640">
        <f>AE1337</f>
        <v>7437.5729999999994</v>
      </c>
      <c r="W1341" s="1628" t="s">
        <v>4</v>
      </c>
      <c r="X1341" s="1640">
        <f t="shared" si="172"/>
        <v>2975.0291999999999</v>
      </c>
      <c r="Y1341" s="1640"/>
      <c r="AG1341" s="1640">
        <f t="shared" si="167"/>
        <v>0</v>
      </c>
    </row>
    <row r="1342" spans="6:33" ht="24" customHeight="1">
      <c r="H1342" s="1627" t="s">
        <v>238</v>
      </c>
      <c r="K1342" s="1640">
        <f>SUM(K1336:K1340)</f>
        <v>4148.848</v>
      </c>
      <c r="N1342" s="1630"/>
      <c r="O1342" s="1627" t="s">
        <v>272</v>
      </c>
      <c r="Q1342" s="1634">
        <f>Q1341+S1302</f>
        <v>1920.1874</v>
      </c>
      <c r="R1342" s="1640">
        <f>R1341+1.11</f>
        <v>1910.2773999999999</v>
      </c>
      <c r="S1342" s="1640"/>
      <c r="T1342" s="1732"/>
      <c r="U1342" s="1627"/>
      <c r="V1342" s="1640"/>
      <c r="W1342" s="1628" t="s">
        <v>4</v>
      </c>
      <c r="X1342" s="1640">
        <f>(S1342*V1342)</f>
        <v>0</v>
      </c>
      <c r="Y1342" s="1640"/>
      <c r="AG1342" s="1640">
        <f t="shared" ref="AG1342:AG1405" si="173">AI1342</f>
        <v>0</v>
      </c>
    </row>
    <row r="1343" spans="6:33" ht="24" customHeight="1">
      <c r="K1343" s="1636" t="s">
        <v>21</v>
      </c>
      <c r="N1343" s="1630"/>
      <c r="O1343" s="1627" t="s">
        <v>767</v>
      </c>
      <c r="Q1343" s="1634"/>
      <c r="R1343" s="1640">
        <f>R1342+1.11</f>
        <v>1911.3873999999998</v>
      </c>
      <c r="S1343" s="1629"/>
      <c r="T1343" s="1732" t="s">
        <v>226</v>
      </c>
      <c r="U1343" s="1627" t="s">
        <v>237</v>
      </c>
      <c r="V1343" s="1640"/>
      <c r="W1343" s="1628" t="s">
        <v>226</v>
      </c>
      <c r="X1343" s="1640">
        <v>0.8</v>
      </c>
      <c r="Y1343" s="1640"/>
      <c r="AG1343" s="1640">
        <f t="shared" si="173"/>
        <v>0</v>
      </c>
    </row>
    <row r="1344" spans="6:33" ht="24" customHeight="1">
      <c r="H1344" s="1641" t="s">
        <v>155</v>
      </c>
      <c r="K1344" s="1639">
        <f>(K1342/10)</f>
        <v>414.88479999999998</v>
      </c>
      <c r="N1344" s="1630"/>
      <c r="O1344" s="1627" t="s">
        <v>769</v>
      </c>
      <c r="Q1344" s="1634"/>
      <c r="R1344" s="1640">
        <f>R1343+S1302</f>
        <v>1913.5873999999999</v>
      </c>
      <c r="S1344" s="1629"/>
      <c r="T1344" s="1733"/>
      <c r="W1344" s="1634"/>
      <c r="X1344" s="1636" t="s">
        <v>21</v>
      </c>
      <c r="Y1344" s="1636"/>
      <c r="AG1344" s="1640">
        <f t="shared" si="173"/>
        <v>0</v>
      </c>
    </row>
    <row r="1345" spans="6:33" ht="24" customHeight="1">
      <c r="K1345" s="1636" t="s">
        <v>156</v>
      </c>
      <c r="N1345" s="1630"/>
      <c r="O1345" s="1627" t="s">
        <v>1117</v>
      </c>
      <c r="Q1345" s="1634"/>
      <c r="R1345" s="1640">
        <f>R1344+S1302</f>
        <v>1915.7873999999999</v>
      </c>
      <c r="S1345" s="1629"/>
      <c r="T1345" s="1733"/>
      <c r="U1345" s="1627" t="s">
        <v>238</v>
      </c>
      <c r="W1345" s="1634"/>
      <c r="X1345" s="1640">
        <f>SUM(X1331:X1344)</f>
        <v>20335.054199999999</v>
      </c>
      <c r="Y1345" s="1640"/>
      <c r="AG1345" s="1640">
        <f t="shared" si="173"/>
        <v>0</v>
      </c>
    </row>
    <row r="1346" spans="6:33" ht="24" customHeight="1">
      <c r="N1346" s="1630"/>
      <c r="Q1346" s="1634"/>
      <c r="S1346" s="1629"/>
      <c r="T1346" s="1733"/>
      <c r="W1346" s="1634"/>
      <c r="X1346" s="1636" t="s">
        <v>21</v>
      </c>
      <c r="Y1346" s="1636"/>
      <c r="AG1346" s="1640">
        <f t="shared" si="173"/>
        <v>0</v>
      </c>
    </row>
    <row r="1347" spans="6:33" ht="24" customHeight="1">
      <c r="F1347" s="1662">
        <v>32.1</v>
      </c>
      <c r="G1347" s="1638" t="s">
        <v>249</v>
      </c>
      <c r="H1347" s="1627" t="s">
        <v>290</v>
      </c>
      <c r="N1347" s="1630"/>
      <c r="Q1347" s="1632"/>
      <c r="S1347" s="1629"/>
      <c r="T1347" s="1733"/>
      <c r="U1347" s="1627" t="s">
        <v>155</v>
      </c>
      <c r="W1347" s="1634"/>
      <c r="X1347" s="1639">
        <f>(X1345/10)</f>
        <v>2033.50542</v>
      </c>
      <c r="Y1347" s="1639"/>
      <c r="Z1347" s="1629">
        <f>0.8-0.77</f>
        <v>3.0000000000000027E-2</v>
      </c>
      <c r="AG1347" s="1640">
        <f t="shared" si="173"/>
        <v>0</v>
      </c>
    </row>
    <row r="1348" spans="6:33" ht="24" customHeight="1">
      <c r="H1348" s="1627" t="s">
        <v>291</v>
      </c>
      <c r="N1348" s="1630"/>
      <c r="Q1348" s="1632"/>
      <c r="S1348" s="1629"/>
      <c r="T1348" s="1733"/>
      <c r="W1348" s="1634"/>
      <c r="X1348" s="1636" t="s">
        <v>156</v>
      </c>
      <c r="Y1348" s="1636"/>
      <c r="AG1348" s="1640">
        <f t="shared" si="173"/>
        <v>0</v>
      </c>
    </row>
    <row r="1349" spans="6:33" ht="24" customHeight="1">
      <c r="H1349" s="1627" t="s">
        <v>292</v>
      </c>
      <c r="N1349" s="1630"/>
      <c r="Q1349" s="1632"/>
      <c r="W1349" s="1634"/>
      <c r="AG1349" s="1640">
        <f t="shared" si="173"/>
        <v>0</v>
      </c>
    </row>
    <row r="1350" spans="6:33" ht="24" customHeight="1">
      <c r="H1350" s="1627" t="s">
        <v>293</v>
      </c>
      <c r="N1350" s="1630"/>
      <c r="Q1350" s="1632"/>
      <c r="W1350" s="1634"/>
      <c r="Z1350" s="1692">
        <v>3.02</v>
      </c>
      <c r="AA1350" s="1638" t="s">
        <v>534</v>
      </c>
      <c r="AB1350" s="1638"/>
      <c r="AC1350" s="1627" t="s">
        <v>1936</v>
      </c>
      <c r="AD1350" s="1640">
        <f t="shared" ref="AD1350:AD1361" si="174">V1352</f>
        <v>325</v>
      </c>
      <c r="AE1350" s="1638" t="s">
        <v>534</v>
      </c>
      <c r="AF1350" s="1640">
        <f t="shared" ref="AF1350:AF1361" si="175">AD1350*Z1350</f>
        <v>981.5</v>
      </c>
      <c r="AG1350" s="1640">
        <f t="shared" si="173"/>
        <v>0</v>
      </c>
    </row>
    <row r="1351" spans="6:33" ht="24" customHeight="1">
      <c r="H1351" s="1627" t="s">
        <v>294</v>
      </c>
      <c r="N1351" s="1630"/>
      <c r="O1351" s="1629" t="s">
        <v>1937</v>
      </c>
      <c r="Q1351" s="1634"/>
      <c r="T1351" s="1630"/>
      <c r="U1351" s="1661" t="s">
        <v>1938</v>
      </c>
      <c r="W1351" s="1634"/>
      <c r="Z1351" s="1692">
        <v>2.19</v>
      </c>
      <c r="AA1351" s="1638" t="s">
        <v>534</v>
      </c>
      <c r="AB1351" s="1638"/>
      <c r="AC1351" s="1627" t="s">
        <v>1936</v>
      </c>
      <c r="AD1351" s="1640">
        <f t="shared" si="174"/>
        <v>325</v>
      </c>
      <c r="AE1351" s="1638" t="s">
        <v>534</v>
      </c>
      <c r="AF1351" s="1640">
        <f t="shared" si="175"/>
        <v>711.75</v>
      </c>
      <c r="AG1351" s="1640">
        <f t="shared" si="173"/>
        <v>0</v>
      </c>
    </row>
    <row r="1352" spans="6:33" ht="24" customHeight="1">
      <c r="H1352" s="1636" t="s">
        <v>21</v>
      </c>
      <c r="N1352" s="1630"/>
      <c r="Q1352" s="1634"/>
      <c r="S1352" s="1658">
        <v>3.72</v>
      </c>
      <c r="T1352" s="1638" t="s">
        <v>534</v>
      </c>
      <c r="U1352" s="1627" t="s">
        <v>1936</v>
      </c>
      <c r="V1352" s="1640">
        <f>P1391</f>
        <v>325</v>
      </c>
      <c r="W1352" s="1628" t="s">
        <v>534</v>
      </c>
      <c r="X1352" s="1640">
        <f>V1352*S1352</f>
        <v>1209</v>
      </c>
      <c r="Y1352" s="1640"/>
      <c r="Z1352" s="1692">
        <v>4.96</v>
      </c>
      <c r="AA1352" s="1638" t="s">
        <v>534</v>
      </c>
      <c r="AB1352" s="1638"/>
      <c r="AC1352" s="1627" t="s">
        <v>1936</v>
      </c>
      <c r="AD1352" s="1640">
        <f t="shared" si="174"/>
        <v>325</v>
      </c>
      <c r="AE1352" s="1638" t="s">
        <v>534</v>
      </c>
      <c r="AF1352" s="1640">
        <f t="shared" si="175"/>
        <v>1612</v>
      </c>
      <c r="AG1352" s="1640">
        <f t="shared" si="173"/>
        <v>0</v>
      </c>
    </row>
    <row r="1353" spans="6:33" ht="24" customHeight="1">
      <c r="F1353" s="1640">
        <v>190</v>
      </c>
      <c r="G1353" s="1638" t="s">
        <v>295</v>
      </c>
      <c r="H1353" s="1627" t="s">
        <v>296</v>
      </c>
      <c r="I1353" s="1640">
        <f>(C83)</f>
        <v>16106</v>
      </c>
      <c r="J1353" s="1627" t="s">
        <v>297</v>
      </c>
      <c r="K1353" s="1640">
        <f>(F1353*I1353)/1000</f>
        <v>3060.14</v>
      </c>
      <c r="M1353" s="1629">
        <v>70</v>
      </c>
      <c r="N1353" s="1630" t="s">
        <v>303</v>
      </c>
      <c r="O1353" s="1734" t="s">
        <v>5184</v>
      </c>
      <c r="P1353" s="1629">
        <v>33</v>
      </c>
      <c r="Q1353" s="1634" t="s">
        <v>303</v>
      </c>
      <c r="R1353" s="1629">
        <f>P1353*M1353</f>
        <v>2310</v>
      </c>
      <c r="S1353" s="1658">
        <v>3.87</v>
      </c>
      <c r="T1353" s="1638" t="s">
        <v>534</v>
      </c>
      <c r="U1353" s="1627" t="s">
        <v>1936</v>
      </c>
      <c r="V1353" s="1640">
        <f t="shared" ref="V1353:V1363" si="176">P1392</f>
        <v>325</v>
      </c>
      <c r="W1353" s="1628" t="s">
        <v>534</v>
      </c>
      <c r="X1353" s="1640">
        <f t="shared" ref="X1353:X1363" si="177">V1353*S1353</f>
        <v>1257.75</v>
      </c>
      <c r="Y1353" s="1640"/>
      <c r="Z1353" s="1692">
        <v>0.85</v>
      </c>
      <c r="AA1353" s="1638" t="s">
        <v>534</v>
      </c>
      <c r="AB1353" s="1638"/>
      <c r="AC1353" s="1627" t="s">
        <v>1936</v>
      </c>
      <c r="AD1353" s="1640">
        <f t="shared" si="174"/>
        <v>325</v>
      </c>
      <c r="AE1353" s="1638" t="s">
        <v>534</v>
      </c>
      <c r="AF1353" s="1640">
        <f t="shared" si="175"/>
        <v>276.25</v>
      </c>
      <c r="AG1353" s="1640">
        <f t="shared" si="173"/>
        <v>0</v>
      </c>
    </row>
    <row r="1354" spans="6:33" ht="24" customHeight="1">
      <c r="F1354" s="1640">
        <v>0.12</v>
      </c>
      <c r="G1354" s="1638" t="s">
        <v>151</v>
      </c>
      <c r="H1354" s="1627" t="s">
        <v>298</v>
      </c>
      <c r="I1354" s="1640">
        <f>(K32)</f>
        <v>5318.7</v>
      </c>
      <c r="J1354" s="1627" t="s">
        <v>151</v>
      </c>
      <c r="K1354" s="1638">
        <f t="shared" ref="K1354:K1360" si="178">(F1354*I1354)</f>
        <v>638.24399999999991</v>
      </c>
      <c r="N1354" s="1630"/>
      <c r="Q1354" s="1634"/>
      <c r="S1354" s="1658">
        <v>7.46</v>
      </c>
      <c r="T1354" s="1638" t="s">
        <v>534</v>
      </c>
      <c r="U1354" s="1627" t="s">
        <v>1936</v>
      </c>
      <c r="V1354" s="1640">
        <f t="shared" si="176"/>
        <v>325</v>
      </c>
      <c r="W1354" s="1628" t="s">
        <v>534</v>
      </c>
      <c r="X1354" s="1640">
        <f t="shared" si="177"/>
        <v>2424.5</v>
      </c>
      <c r="Y1354" s="1640"/>
      <c r="Z1354" s="1692">
        <v>0.73199999999999998</v>
      </c>
      <c r="AA1354" s="1638" t="s">
        <v>533</v>
      </c>
      <c r="AB1354" s="1638"/>
      <c r="AC1354" s="1627" t="s">
        <v>1940</v>
      </c>
      <c r="AD1354" s="1640">
        <f>V1356</f>
        <v>306.89999999999998</v>
      </c>
      <c r="AE1354" s="1638" t="s">
        <v>533</v>
      </c>
      <c r="AF1354" s="1640">
        <f t="shared" si="175"/>
        <v>224.65079999999998</v>
      </c>
      <c r="AG1354" s="1640">
        <f t="shared" si="173"/>
        <v>0</v>
      </c>
    </row>
    <row r="1355" spans="6:33" ht="24" customHeight="1">
      <c r="F1355" s="1640">
        <v>10</v>
      </c>
      <c r="G1355" s="1638" t="s">
        <v>152</v>
      </c>
      <c r="H1355" s="1627" t="s">
        <v>299</v>
      </c>
      <c r="I1355" s="1640">
        <f>(K1344)</f>
        <v>414.88479999999998</v>
      </c>
      <c r="J1355" s="1627" t="s">
        <v>152</v>
      </c>
      <c r="K1355" s="1638">
        <f t="shared" si="178"/>
        <v>4148.848</v>
      </c>
      <c r="M1355" s="1629">
        <v>0.3</v>
      </c>
      <c r="N1355" s="1630" t="s">
        <v>313</v>
      </c>
      <c r="O1355" s="1734" t="s">
        <v>5185</v>
      </c>
      <c r="P1355" s="1629">
        <v>17600</v>
      </c>
      <c r="Q1355" s="1634" t="s">
        <v>313</v>
      </c>
      <c r="R1355" s="1629">
        <f>P1355*M1355</f>
        <v>5280</v>
      </c>
      <c r="S1355" s="1658">
        <v>1.28</v>
      </c>
      <c r="T1355" s="1638" t="s">
        <v>534</v>
      </c>
      <c r="U1355" s="1627" t="s">
        <v>1936</v>
      </c>
      <c r="V1355" s="1640">
        <f t="shared" si="176"/>
        <v>325</v>
      </c>
      <c r="W1355" s="1628" t="s">
        <v>534</v>
      </c>
      <c r="X1355" s="1640">
        <f t="shared" si="177"/>
        <v>416</v>
      </c>
      <c r="Y1355" s="1640"/>
      <c r="Z1355" s="1692">
        <v>6.8719999999999999</v>
      </c>
      <c r="AA1355" s="1638" t="s">
        <v>303</v>
      </c>
      <c r="AB1355" s="1638"/>
      <c r="AC1355" s="1627" t="s">
        <v>1942</v>
      </c>
      <c r="AD1355" s="1640">
        <f t="shared" si="174"/>
        <v>29.05</v>
      </c>
      <c r="AE1355" s="1638" t="s">
        <v>303</v>
      </c>
      <c r="AF1355" s="1640">
        <f t="shared" si="175"/>
        <v>199.63159999999999</v>
      </c>
      <c r="AG1355" s="1640">
        <f t="shared" si="173"/>
        <v>0</v>
      </c>
    </row>
    <row r="1356" spans="6:33" ht="24" customHeight="1">
      <c r="F1356" s="1658">
        <v>1.54</v>
      </c>
      <c r="G1356" s="1638" t="s">
        <v>13</v>
      </c>
      <c r="H1356" s="1627" t="s">
        <v>300</v>
      </c>
      <c r="I1356" s="1640">
        <f>C653</f>
        <v>42.7</v>
      </c>
      <c r="J1356" s="1627" t="s">
        <v>13</v>
      </c>
      <c r="K1356" s="1640">
        <f t="shared" si="178"/>
        <v>65.75800000000001</v>
      </c>
      <c r="N1356" s="1630"/>
      <c r="Q1356" s="1634"/>
      <c r="S1356" s="1658">
        <v>1.107</v>
      </c>
      <c r="T1356" s="1638" t="s">
        <v>533</v>
      </c>
      <c r="U1356" s="1627" t="s">
        <v>1940</v>
      </c>
      <c r="V1356" s="1640">
        <f t="shared" si="176"/>
        <v>306.89999999999998</v>
      </c>
      <c r="W1356" s="1628" t="s">
        <v>533</v>
      </c>
      <c r="X1356" s="1640">
        <f t="shared" si="177"/>
        <v>339.73829999999998</v>
      </c>
      <c r="Y1356" s="1640"/>
      <c r="Z1356" s="1692">
        <v>8</v>
      </c>
      <c r="AA1356" s="1638" t="s">
        <v>4</v>
      </c>
      <c r="AB1356" s="1638"/>
      <c r="AC1356" s="1627" t="s">
        <v>1943</v>
      </c>
      <c r="AD1356" s="1640">
        <f t="shared" si="174"/>
        <v>71.900000000000006</v>
      </c>
      <c r="AE1356" s="1638" t="s">
        <v>4</v>
      </c>
      <c r="AF1356" s="1640">
        <f t="shared" si="175"/>
        <v>575.20000000000005</v>
      </c>
      <c r="AG1356" s="1640">
        <f t="shared" si="173"/>
        <v>0</v>
      </c>
    </row>
    <row r="1357" spans="6:33" ht="24" customHeight="1">
      <c r="F1357" s="1640">
        <v>1.1000000000000001</v>
      </c>
      <c r="G1357" s="1638" t="s">
        <v>4</v>
      </c>
      <c r="H1357" s="1627" t="s">
        <v>269</v>
      </c>
      <c r="I1357" s="1640">
        <f>(C10)</f>
        <v>1325.8</v>
      </c>
      <c r="J1357" s="1627" t="s">
        <v>4</v>
      </c>
      <c r="K1357" s="1640">
        <f t="shared" si="178"/>
        <v>1458.38</v>
      </c>
      <c r="N1357" s="1630"/>
      <c r="O1357" s="1629" t="s">
        <v>1944</v>
      </c>
      <c r="Q1357" s="1634"/>
      <c r="R1357" s="1629">
        <f>SUM(R1353:R1355)</f>
        <v>7590</v>
      </c>
      <c r="S1357" s="1658">
        <v>10.343999999999999</v>
      </c>
      <c r="T1357" s="1638" t="s">
        <v>303</v>
      </c>
      <c r="U1357" s="1627" t="s">
        <v>1942</v>
      </c>
      <c r="V1357" s="1640">
        <f t="shared" si="176"/>
        <v>29.05</v>
      </c>
      <c r="W1357" s="1628" t="s">
        <v>303</v>
      </c>
      <c r="X1357" s="1640">
        <f t="shared" si="177"/>
        <v>300.4932</v>
      </c>
      <c r="Y1357" s="1640"/>
      <c r="Z1357" s="1692">
        <v>4</v>
      </c>
      <c r="AA1357" s="1638" t="s">
        <v>4</v>
      </c>
      <c r="AB1357" s="1638"/>
      <c r="AC1357" s="1627" t="s">
        <v>1945</v>
      </c>
      <c r="AD1357" s="1640">
        <f t="shared" si="174"/>
        <v>57.65</v>
      </c>
      <c r="AE1357" s="1638" t="s">
        <v>4</v>
      </c>
      <c r="AF1357" s="1640">
        <f t="shared" si="175"/>
        <v>230.6</v>
      </c>
      <c r="AG1357" s="1640">
        <f t="shared" si="173"/>
        <v>0</v>
      </c>
    </row>
    <row r="1358" spans="6:33" ht="24" customHeight="1">
      <c r="F1358" s="1640">
        <v>2.1</v>
      </c>
      <c r="G1358" s="1638" t="s">
        <v>4</v>
      </c>
      <c r="H1358" s="1627" t="s">
        <v>234</v>
      </c>
      <c r="I1358" s="1640">
        <f>(C11)</f>
        <v>1237.5999999999999</v>
      </c>
      <c r="J1358" s="1627" t="s">
        <v>4</v>
      </c>
      <c r="K1358" s="1640">
        <f t="shared" si="178"/>
        <v>2598.96</v>
      </c>
      <c r="N1358" s="1630"/>
      <c r="O1358" s="1735" t="s">
        <v>1946</v>
      </c>
      <c r="Q1358" s="1634"/>
      <c r="R1358" s="1661">
        <f>R1357/10</f>
        <v>759</v>
      </c>
      <c r="S1358" s="1658">
        <v>12</v>
      </c>
      <c r="T1358" s="1638" t="s">
        <v>4</v>
      </c>
      <c r="U1358" s="1627" t="s">
        <v>1947</v>
      </c>
      <c r="V1358" s="1640">
        <f t="shared" si="176"/>
        <v>71.900000000000006</v>
      </c>
      <c r="W1358" s="1628" t="s">
        <v>4</v>
      </c>
      <c r="X1358" s="1640">
        <f t="shared" si="177"/>
        <v>862.80000000000007</v>
      </c>
      <c r="Y1358" s="1640"/>
      <c r="Z1358" s="1692">
        <v>4</v>
      </c>
      <c r="AA1358" s="1638" t="s">
        <v>4</v>
      </c>
      <c r="AB1358" s="1638"/>
      <c r="AC1358" s="1627" t="s">
        <v>1948</v>
      </c>
      <c r="AD1358" s="1640">
        <f t="shared" si="174"/>
        <v>30</v>
      </c>
      <c r="AE1358" s="1638" t="s">
        <v>4</v>
      </c>
      <c r="AF1358" s="1640">
        <f t="shared" si="175"/>
        <v>120</v>
      </c>
      <c r="AG1358" s="1640">
        <f t="shared" si="173"/>
        <v>0</v>
      </c>
    </row>
    <row r="1359" spans="6:33" ht="24" customHeight="1">
      <c r="F1359" s="1640">
        <v>2.2000000000000002</v>
      </c>
      <c r="G1359" s="1638" t="s">
        <v>4</v>
      </c>
      <c r="H1359" s="1627" t="s">
        <v>235</v>
      </c>
      <c r="I1359" s="1640">
        <f>(C12)</f>
        <v>865.19999999999993</v>
      </c>
      <c r="J1359" s="1627" t="s">
        <v>4</v>
      </c>
      <c r="K1359" s="1640">
        <f t="shared" si="178"/>
        <v>1903.44</v>
      </c>
      <c r="N1359" s="1630"/>
      <c r="Q1359" s="1634"/>
      <c r="S1359" s="1658">
        <v>6</v>
      </c>
      <c r="T1359" s="1638" t="s">
        <v>4</v>
      </c>
      <c r="U1359" s="1627" t="s">
        <v>1945</v>
      </c>
      <c r="V1359" s="1640">
        <f t="shared" si="176"/>
        <v>57.65</v>
      </c>
      <c r="W1359" s="1628" t="s">
        <v>4</v>
      </c>
      <c r="X1359" s="1640">
        <f t="shared" si="177"/>
        <v>345.9</v>
      </c>
      <c r="Y1359" s="1640"/>
      <c r="Z1359" s="1692">
        <v>4</v>
      </c>
      <c r="AA1359" s="1638" t="s">
        <v>4</v>
      </c>
      <c r="AB1359" s="1638"/>
      <c r="AC1359" s="1627" t="s">
        <v>1949</v>
      </c>
      <c r="AD1359" s="1640">
        <f t="shared" si="174"/>
        <v>20</v>
      </c>
      <c r="AE1359" s="1638" t="s">
        <v>4</v>
      </c>
      <c r="AF1359" s="1640">
        <f t="shared" si="175"/>
        <v>80</v>
      </c>
      <c r="AG1359" s="1640">
        <f t="shared" si="173"/>
        <v>0</v>
      </c>
    </row>
    <row r="1360" spans="6:33" ht="24" customHeight="1">
      <c r="F1360" s="1640">
        <v>1.1000000000000001</v>
      </c>
      <c r="G1360" s="1638" t="s">
        <v>4</v>
      </c>
      <c r="H1360" s="1627" t="s">
        <v>236</v>
      </c>
      <c r="I1360" s="1640">
        <f>(C13)</f>
        <v>709.8</v>
      </c>
      <c r="J1360" s="1627" t="s">
        <v>4</v>
      </c>
      <c r="K1360" s="1640">
        <f t="shared" si="178"/>
        <v>780.78</v>
      </c>
      <c r="M1360" s="1629">
        <v>2</v>
      </c>
      <c r="N1360" s="1630" t="s">
        <v>154</v>
      </c>
      <c r="O1360" s="1629" t="s">
        <v>1830</v>
      </c>
      <c r="P1360" s="1629">
        <f>C12</f>
        <v>865.19999999999993</v>
      </c>
      <c r="Q1360" s="1634" t="s">
        <v>1950</v>
      </c>
      <c r="R1360" s="1629">
        <f>P1360*M1360</f>
        <v>1730.3999999999999</v>
      </c>
      <c r="S1360" s="1658">
        <v>6</v>
      </c>
      <c r="T1360" s="1638" t="s">
        <v>4</v>
      </c>
      <c r="U1360" s="1627" t="s">
        <v>1948</v>
      </c>
      <c r="V1360" s="1640">
        <f t="shared" si="176"/>
        <v>30</v>
      </c>
      <c r="W1360" s="1628" t="s">
        <v>4</v>
      </c>
      <c r="X1360" s="1640">
        <f t="shared" si="177"/>
        <v>180</v>
      </c>
      <c r="Y1360" s="1640"/>
      <c r="Z1360" s="1692">
        <v>4</v>
      </c>
      <c r="AA1360" s="1638" t="s">
        <v>4</v>
      </c>
      <c r="AB1360" s="1638"/>
      <c r="AC1360" s="1627" t="s">
        <v>1951</v>
      </c>
      <c r="AD1360" s="1640">
        <f t="shared" si="174"/>
        <v>15</v>
      </c>
      <c r="AE1360" s="1638" t="s">
        <v>4</v>
      </c>
      <c r="AF1360" s="1640">
        <f t="shared" si="175"/>
        <v>60</v>
      </c>
      <c r="AG1360" s="1640">
        <f t="shared" si="173"/>
        <v>0</v>
      </c>
    </row>
    <row r="1361" spans="6:33" ht="24" customHeight="1">
      <c r="G1361" s="1638" t="s">
        <v>226</v>
      </c>
      <c r="H1361" s="1627" t="s">
        <v>237</v>
      </c>
      <c r="J1361" s="1627" t="s">
        <v>226</v>
      </c>
      <c r="K1361" s="1640">
        <v>0</v>
      </c>
      <c r="N1361" s="1630"/>
      <c r="Q1361" s="1634"/>
      <c r="S1361" s="1658">
        <v>6</v>
      </c>
      <c r="T1361" s="1638" t="s">
        <v>4</v>
      </c>
      <c r="U1361" s="1627" t="s">
        <v>1949</v>
      </c>
      <c r="V1361" s="1640">
        <f t="shared" si="176"/>
        <v>20</v>
      </c>
      <c r="W1361" s="1628" t="s">
        <v>4</v>
      </c>
      <c r="X1361" s="1640">
        <f t="shared" si="177"/>
        <v>120</v>
      </c>
      <c r="Y1361" s="1640"/>
      <c r="Z1361" s="1692">
        <v>0.94499999999999995</v>
      </c>
      <c r="AA1361" s="1638" t="s">
        <v>306</v>
      </c>
      <c r="AB1361" s="1638"/>
      <c r="AC1361" s="1627" t="s">
        <v>1952</v>
      </c>
      <c r="AD1361" s="1640">
        <f t="shared" si="174"/>
        <v>2654.4</v>
      </c>
      <c r="AE1361" s="1638" t="s">
        <v>306</v>
      </c>
      <c r="AF1361" s="1640">
        <f t="shared" si="175"/>
        <v>2508.4079999999999</v>
      </c>
      <c r="AG1361" s="1640">
        <f t="shared" si="173"/>
        <v>0</v>
      </c>
    </row>
    <row r="1362" spans="6:33" ht="24" customHeight="1">
      <c r="K1362" s="1636" t="s">
        <v>21</v>
      </c>
      <c r="N1362" s="1630"/>
      <c r="O1362" s="1629" t="s">
        <v>1953</v>
      </c>
      <c r="P1362" s="1629" t="s">
        <v>287</v>
      </c>
      <c r="Q1362" s="1634"/>
      <c r="R1362" s="1629">
        <v>11.5</v>
      </c>
      <c r="S1362" s="1658">
        <v>4</v>
      </c>
      <c r="T1362" s="1638" t="s">
        <v>4</v>
      </c>
      <c r="U1362" s="1627" t="s">
        <v>1951</v>
      </c>
      <c r="V1362" s="1640">
        <f t="shared" si="176"/>
        <v>15</v>
      </c>
      <c r="W1362" s="1628" t="s">
        <v>4</v>
      </c>
      <c r="X1362" s="1640">
        <f t="shared" si="177"/>
        <v>60</v>
      </c>
      <c r="Y1362" s="1640"/>
      <c r="AA1362" s="1630"/>
      <c r="AB1362" s="1630"/>
      <c r="AC1362" s="1627" t="s">
        <v>1954</v>
      </c>
      <c r="AE1362" s="1634"/>
      <c r="AF1362" s="1640">
        <v>0.81</v>
      </c>
      <c r="AG1362" s="1640">
        <f t="shared" si="173"/>
        <v>0</v>
      </c>
    </row>
    <row r="1363" spans="6:33" ht="24" customHeight="1">
      <c r="H1363" s="1627" t="s">
        <v>238</v>
      </c>
      <c r="K1363" s="1640">
        <f>SUM(K1353:K1361)</f>
        <v>14654.55</v>
      </c>
      <c r="N1363" s="1630"/>
      <c r="O1363" s="1735" t="s">
        <v>1955</v>
      </c>
      <c r="Q1363" s="1634"/>
      <c r="R1363" s="1629">
        <f>SUM(R1358:R1362)</f>
        <v>2500.8999999999996</v>
      </c>
      <c r="S1363" s="1658">
        <v>1.4179999999999999</v>
      </c>
      <c r="T1363" s="1638" t="s">
        <v>306</v>
      </c>
      <c r="U1363" s="1627" t="s">
        <v>1952</v>
      </c>
      <c r="V1363" s="1640">
        <f t="shared" si="176"/>
        <v>2654.4</v>
      </c>
      <c r="W1363" s="1628" t="s">
        <v>306</v>
      </c>
      <c r="X1363" s="1640">
        <f t="shared" si="177"/>
        <v>3763.9391999999998</v>
      </c>
      <c r="Y1363" s="1640"/>
      <c r="AC1363" s="1637" t="s">
        <v>1956</v>
      </c>
      <c r="AF1363" s="1639">
        <f>SUM(AF1350:AF1362)</f>
        <v>7580.800400000001</v>
      </c>
      <c r="AG1363" s="1640">
        <f t="shared" si="173"/>
        <v>0</v>
      </c>
    </row>
    <row r="1364" spans="6:33" ht="24" customHeight="1">
      <c r="K1364" s="1636" t="s">
        <v>21</v>
      </c>
      <c r="N1364" s="1630"/>
      <c r="Q1364" s="1634"/>
      <c r="T1364" s="1630"/>
      <c r="U1364" s="1627" t="s">
        <v>1954</v>
      </c>
      <c r="W1364" s="1634"/>
      <c r="X1364" s="1640"/>
      <c r="Y1364" s="1640"/>
      <c r="AG1364" s="1640">
        <f t="shared" si="173"/>
        <v>0</v>
      </c>
    </row>
    <row r="1365" spans="6:33" ht="24" customHeight="1">
      <c r="H1365" s="1641" t="s">
        <v>155</v>
      </c>
      <c r="K1365" s="1639">
        <f>(K1363/10)</f>
        <v>1465.4549999999999</v>
      </c>
      <c r="N1365" s="1630"/>
      <c r="O1365" s="1735" t="s">
        <v>1957</v>
      </c>
      <c r="Q1365" s="1634"/>
      <c r="R1365" s="1661">
        <f>R1363/6</f>
        <v>416.81666666666661</v>
      </c>
      <c r="U1365" s="1637" t="s">
        <v>1956</v>
      </c>
      <c r="W1365" s="1634"/>
      <c r="X1365" s="1639">
        <f>SUM(X1352:X1364)</f>
        <v>11280.120699999999</v>
      </c>
      <c r="Y1365" s="1639"/>
      <c r="AG1365" s="1640">
        <f t="shared" si="173"/>
        <v>0</v>
      </c>
    </row>
    <row r="1366" spans="6:33" ht="24" customHeight="1">
      <c r="K1366" s="1636" t="s">
        <v>156</v>
      </c>
      <c r="N1366" s="1630"/>
      <c r="Q1366" s="1634"/>
      <c r="W1366" s="1634"/>
      <c r="AA1366" s="1630"/>
      <c r="AB1366" s="1630"/>
      <c r="AC1366" s="1661" t="s">
        <v>1958</v>
      </c>
      <c r="AE1366" s="1632"/>
      <c r="AG1366" s="1640">
        <f t="shared" si="173"/>
        <v>0</v>
      </c>
    </row>
    <row r="1367" spans="6:33" ht="24" customHeight="1">
      <c r="K1367" s="1636"/>
      <c r="N1367" s="1630"/>
      <c r="Q1367" s="1632"/>
      <c r="W1367" s="1634"/>
      <c r="Z1367" s="1692">
        <v>3.72</v>
      </c>
      <c r="AA1367" s="1638" t="s">
        <v>534</v>
      </c>
      <c r="AB1367" s="1638"/>
      <c r="AC1367" s="1627" t="s">
        <v>1936</v>
      </c>
      <c r="AD1367" s="1640">
        <f>AD1350</f>
        <v>325</v>
      </c>
      <c r="AE1367" s="1638" t="s">
        <v>534</v>
      </c>
      <c r="AF1367" s="1640">
        <f t="shared" ref="AF1367:AF1378" si="179">AD1367*Z1367</f>
        <v>1209</v>
      </c>
      <c r="AG1367" s="1640">
        <f t="shared" si="173"/>
        <v>0</v>
      </c>
    </row>
    <row r="1368" spans="6:33" ht="24" customHeight="1">
      <c r="K1368" s="1636"/>
      <c r="M1368" s="1662">
        <v>29.5</v>
      </c>
      <c r="N1368" s="1638" t="s">
        <v>249</v>
      </c>
      <c r="O1368" s="1627" t="s">
        <v>1959</v>
      </c>
      <c r="Q1368" s="1634"/>
      <c r="T1368" s="1630"/>
      <c r="U1368" s="1661" t="s">
        <v>1960</v>
      </c>
      <c r="W1368" s="1634"/>
      <c r="Z1368" s="1692">
        <v>2.69</v>
      </c>
      <c r="AA1368" s="1638" t="s">
        <v>534</v>
      </c>
      <c r="AB1368" s="1638"/>
      <c r="AC1368" s="1627" t="s">
        <v>1936</v>
      </c>
      <c r="AD1368" s="1640">
        <f t="shared" ref="AD1368:AD1378" si="180">AD1351</f>
        <v>325</v>
      </c>
      <c r="AE1368" s="1638" t="s">
        <v>534</v>
      </c>
      <c r="AF1368" s="1640">
        <f t="shared" si="179"/>
        <v>874.25</v>
      </c>
      <c r="AG1368" s="1640">
        <f t="shared" si="173"/>
        <v>0</v>
      </c>
    </row>
    <row r="1369" spans="6:33" ht="24" customHeight="1">
      <c r="F1369" s="1662">
        <v>32.200000000000003</v>
      </c>
      <c r="G1369" s="1638" t="s">
        <v>249</v>
      </c>
      <c r="H1369" s="1627" t="s">
        <v>290</v>
      </c>
      <c r="K1369" s="1636"/>
      <c r="N1369" s="1630"/>
      <c r="O1369" s="1627" t="s">
        <v>1881</v>
      </c>
      <c r="Q1369" s="1634"/>
      <c r="S1369" s="1658">
        <v>3.49</v>
      </c>
      <c r="T1369" s="1638" t="s">
        <v>534</v>
      </c>
      <c r="U1369" s="1627" t="s">
        <v>1936</v>
      </c>
      <c r="V1369" s="1640">
        <f>P1408</f>
        <v>325</v>
      </c>
      <c r="W1369" s="1628" t="s">
        <v>534</v>
      </c>
      <c r="X1369" s="1640">
        <f>V1369*S1369</f>
        <v>1134.25</v>
      </c>
      <c r="Y1369" s="1640"/>
      <c r="Z1369" s="1692">
        <v>6.15</v>
      </c>
      <c r="AA1369" s="1638" t="s">
        <v>534</v>
      </c>
      <c r="AB1369" s="1638"/>
      <c r="AC1369" s="1627" t="s">
        <v>1936</v>
      </c>
      <c r="AD1369" s="1640">
        <f t="shared" si="180"/>
        <v>325</v>
      </c>
      <c r="AE1369" s="1638" t="s">
        <v>534</v>
      </c>
      <c r="AF1369" s="1640">
        <f t="shared" si="179"/>
        <v>1998.7500000000002</v>
      </c>
      <c r="AG1369" s="1640">
        <f t="shared" si="173"/>
        <v>0</v>
      </c>
    </row>
    <row r="1370" spans="6:33" ht="24" customHeight="1">
      <c r="H1370" s="1627" t="s">
        <v>291</v>
      </c>
      <c r="K1370" s="1636"/>
      <c r="N1370" s="1630"/>
      <c r="O1370" s="1627" t="s">
        <v>1882</v>
      </c>
      <c r="Q1370" s="1634"/>
      <c r="S1370" s="1658">
        <v>2.5299999999999998</v>
      </c>
      <c r="T1370" s="1638" t="s">
        <v>534</v>
      </c>
      <c r="U1370" s="1627" t="s">
        <v>1936</v>
      </c>
      <c r="V1370" s="1640">
        <f t="shared" ref="V1370:V1380" si="181">P1409</f>
        <v>325</v>
      </c>
      <c r="W1370" s="1628" t="s">
        <v>534</v>
      </c>
      <c r="X1370" s="1640">
        <f t="shared" ref="X1370:X1380" si="182">V1370*S1370</f>
        <v>822.24999999999989</v>
      </c>
      <c r="Y1370" s="1640"/>
      <c r="Z1370" s="1692">
        <v>1.07</v>
      </c>
      <c r="AA1370" s="1638" t="s">
        <v>534</v>
      </c>
      <c r="AB1370" s="1638"/>
      <c r="AC1370" s="1627" t="s">
        <v>1936</v>
      </c>
      <c r="AD1370" s="1640">
        <f t="shared" si="180"/>
        <v>325</v>
      </c>
      <c r="AE1370" s="1638" t="s">
        <v>534</v>
      </c>
      <c r="AF1370" s="1640">
        <f t="shared" si="179"/>
        <v>347.75</v>
      </c>
      <c r="AG1370" s="1640">
        <f t="shared" si="173"/>
        <v>0</v>
      </c>
    </row>
    <row r="1371" spans="6:33" ht="24" customHeight="1">
      <c r="H1371" s="1627" t="s">
        <v>292</v>
      </c>
      <c r="K1371" s="1636"/>
      <c r="N1371" s="1630"/>
      <c r="O1371" s="1636" t="s">
        <v>21</v>
      </c>
      <c r="P1371" s="1636" t="s">
        <v>21</v>
      </c>
      <c r="Q1371" s="1634"/>
      <c r="R1371" s="1640"/>
      <c r="S1371" s="1658">
        <v>5.75</v>
      </c>
      <c r="T1371" s="1638" t="s">
        <v>534</v>
      </c>
      <c r="U1371" s="1627" t="s">
        <v>1936</v>
      </c>
      <c r="V1371" s="1640">
        <f t="shared" si="181"/>
        <v>325</v>
      </c>
      <c r="W1371" s="1628" t="s">
        <v>534</v>
      </c>
      <c r="X1371" s="1640">
        <f t="shared" si="182"/>
        <v>1868.75</v>
      </c>
      <c r="Y1371" s="1640"/>
      <c r="Z1371" s="1692">
        <v>1.153</v>
      </c>
      <c r="AA1371" s="1638" t="s">
        <v>533</v>
      </c>
      <c r="AB1371" s="1638"/>
      <c r="AC1371" s="1627" t="s">
        <v>1940</v>
      </c>
      <c r="AD1371" s="1640">
        <f t="shared" si="180"/>
        <v>306.89999999999998</v>
      </c>
      <c r="AE1371" s="1638" t="s">
        <v>533</v>
      </c>
      <c r="AF1371" s="1640">
        <f t="shared" si="179"/>
        <v>353.85569999999996</v>
      </c>
      <c r="AG1371" s="1640">
        <f t="shared" si="173"/>
        <v>0</v>
      </c>
    </row>
    <row r="1372" spans="6:33" ht="24" customHeight="1">
      <c r="H1372" s="1627" t="s">
        <v>293</v>
      </c>
      <c r="K1372" s="1636"/>
      <c r="M1372" s="1640">
        <v>10</v>
      </c>
      <c r="N1372" s="1638" t="s">
        <v>152</v>
      </c>
      <c r="O1372" s="1627" t="s">
        <v>1961</v>
      </c>
      <c r="P1372" s="1656">
        <f>P1332</f>
        <v>1626</v>
      </c>
      <c r="Q1372" s="1628" t="s">
        <v>152</v>
      </c>
      <c r="R1372" s="1640">
        <f>M1372*P1372</f>
        <v>16260</v>
      </c>
      <c r="S1372" s="1658">
        <v>1</v>
      </c>
      <c r="T1372" s="1638" t="s">
        <v>534</v>
      </c>
      <c r="U1372" s="1627" t="s">
        <v>1936</v>
      </c>
      <c r="V1372" s="1640">
        <f t="shared" si="181"/>
        <v>325</v>
      </c>
      <c r="W1372" s="1628" t="s">
        <v>534</v>
      </c>
      <c r="X1372" s="1640">
        <f t="shared" si="182"/>
        <v>325</v>
      </c>
      <c r="Y1372" s="1640"/>
      <c r="Z1372" s="1692">
        <v>8.6720000000000006</v>
      </c>
      <c r="AA1372" s="1638" t="s">
        <v>303</v>
      </c>
      <c r="AB1372" s="1638"/>
      <c r="AC1372" s="1627" t="s">
        <v>1942</v>
      </c>
      <c r="AD1372" s="1640">
        <f t="shared" si="180"/>
        <v>29.05</v>
      </c>
      <c r="AE1372" s="1638" t="s">
        <v>303</v>
      </c>
      <c r="AF1372" s="1640">
        <f t="shared" si="179"/>
        <v>251.92160000000001</v>
      </c>
      <c r="AG1372" s="1640">
        <f t="shared" si="173"/>
        <v>0</v>
      </c>
    </row>
    <row r="1373" spans="6:33" ht="24" customHeight="1">
      <c r="H1373" s="1627" t="s">
        <v>294</v>
      </c>
      <c r="K1373" s="1636"/>
      <c r="M1373" s="1640">
        <v>0.21</v>
      </c>
      <c r="N1373" s="1638" t="s">
        <v>151</v>
      </c>
      <c r="O1373" s="1627" t="s">
        <v>298</v>
      </c>
      <c r="P1373" s="1640">
        <f>P1333</f>
        <v>5318.7</v>
      </c>
      <c r="Q1373" s="1628" t="s">
        <v>151</v>
      </c>
      <c r="R1373" s="1640">
        <f>(M1373*P1373)</f>
        <v>1116.9269999999999</v>
      </c>
      <c r="S1373" s="1658">
        <v>0.96699999999999997</v>
      </c>
      <c r="T1373" s="1638" t="s">
        <v>533</v>
      </c>
      <c r="U1373" s="1627" t="s">
        <v>1940</v>
      </c>
      <c r="V1373" s="1640">
        <f t="shared" si="181"/>
        <v>306.89999999999998</v>
      </c>
      <c r="W1373" s="1628" t="s">
        <v>533</v>
      </c>
      <c r="X1373" s="1640">
        <f t="shared" si="182"/>
        <v>296.77229999999997</v>
      </c>
      <c r="Y1373" s="1640"/>
      <c r="Z1373" s="1692">
        <v>8</v>
      </c>
      <c r="AA1373" s="1638" t="s">
        <v>4</v>
      </c>
      <c r="AB1373" s="1638"/>
      <c r="AC1373" s="1627" t="s">
        <v>1943</v>
      </c>
      <c r="AD1373" s="1640">
        <f t="shared" si="180"/>
        <v>71.900000000000006</v>
      </c>
      <c r="AE1373" s="1638" t="s">
        <v>4</v>
      </c>
      <c r="AF1373" s="1640">
        <f t="shared" si="179"/>
        <v>575.20000000000005</v>
      </c>
      <c r="AG1373" s="1640">
        <f t="shared" si="173"/>
        <v>0</v>
      </c>
    </row>
    <row r="1374" spans="6:33" ht="24" customHeight="1">
      <c r="H1374" s="1636" t="s">
        <v>21</v>
      </c>
      <c r="K1374" s="1636"/>
      <c r="N1374" s="1630"/>
      <c r="O1374" s="1627" t="s">
        <v>1860</v>
      </c>
      <c r="P1374" s="1627" t="s">
        <v>150</v>
      </c>
      <c r="Q1374" s="1634"/>
      <c r="R1374" s="1627" t="s">
        <v>150</v>
      </c>
      <c r="S1374" s="1658">
        <v>8.0719999999999992</v>
      </c>
      <c r="T1374" s="1638" t="s">
        <v>303</v>
      </c>
      <c r="U1374" s="1627" t="s">
        <v>1942</v>
      </c>
      <c r="V1374" s="1640">
        <f t="shared" si="181"/>
        <v>29.05</v>
      </c>
      <c r="W1374" s="1628" t="s">
        <v>303</v>
      </c>
      <c r="X1374" s="1640">
        <f t="shared" si="182"/>
        <v>234.49159999999998</v>
      </c>
      <c r="Y1374" s="1640"/>
      <c r="Z1374" s="1692">
        <v>4</v>
      </c>
      <c r="AA1374" s="1638" t="s">
        <v>4</v>
      </c>
      <c r="AB1374" s="1638"/>
      <c r="AC1374" s="1627" t="s">
        <v>1945</v>
      </c>
      <c r="AD1374" s="1640">
        <f t="shared" si="180"/>
        <v>57.65</v>
      </c>
      <c r="AE1374" s="1638" t="s">
        <v>4</v>
      </c>
      <c r="AF1374" s="1640">
        <f t="shared" si="179"/>
        <v>230.6</v>
      </c>
      <c r="AG1374" s="1640">
        <f t="shared" si="173"/>
        <v>0</v>
      </c>
    </row>
    <row r="1375" spans="6:33" ht="24" customHeight="1">
      <c r="F1375" s="1640">
        <v>190</v>
      </c>
      <c r="G1375" s="1638" t="s">
        <v>295</v>
      </c>
      <c r="H1375" s="1627" t="s">
        <v>1962</v>
      </c>
      <c r="I1375" s="1629">
        <f>C83</f>
        <v>16106</v>
      </c>
      <c r="J1375" s="1627" t="s">
        <v>297</v>
      </c>
      <c r="K1375" s="1640">
        <f>(F1375*I1375)/1000</f>
        <v>3060.14</v>
      </c>
      <c r="M1375" s="1640">
        <v>1.1000000000000001</v>
      </c>
      <c r="N1375" s="1638" t="s">
        <v>4</v>
      </c>
      <c r="O1375" s="1627" t="s">
        <v>269</v>
      </c>
      <c r="P1375" s="1640">
        <f>AG9</f>
        <v>1325.8</v>
      </c>
      <c r="Q1375" s="1628" t="s">
        <v>4</v>
      </c>
      <c r="R1375" s="1640">
        <f>(M1375*P1375)</f>
        <v>1458.38</v>
      </c>
      <c r="S1375" s="1658">
        <v>8</v>
      </c>
      <c r="T1375" s="1638" t="s">
        <v>4</v>
      </c>
      <c r="U1375" s="1627" t="s">
        <v>1943</v>
      </c>
      <c r="V1375" s="1640">
        <f t="shared" si="181"/>
        <v>71.900000000000006</v>
      </c>
      <c r="W1375" s="1628" t="s">
        <v>4</v>
      </c>
      <c r="X1375" s="1640">
        <f t="shared" si="182"/>
        <v>575.20000000000005</v>
      </c>
      <c r="Y1375" s="1640"/>
      <c r="Z1375" s="1692">
        <v>4</v>
      </c>
      <c r="AA1375" s="1638" t="s">
        <v>4</v>
      </c>
      <c r="AB1375" s="1638"/>
      <c r="AC1375" s="1627" t="s">
        <v>1948</v>
      </c>
      <c r="AD1375" s="1640">
        <f t="shared" si="180"/>
        <v>30</v>
      </c>
      <c r="AE1375" s="1638" t="s">
        <v>4</v>
      </c>
      <c r="AF1375" s="1640">
        <f t="shared" si="179"/>
        <v>120</v>
      </c>
      <c r="AG1375" s="1640">
        <f t="shared" si="173"/>
        <v>0</v>
      </c>
    </row>
    <row r="1376" spans="6:33" ht="24" customHeight="1">
      <c r="F1376" s="1640">
        <v>0.12</v>
      </c>
      <c r="G1376" s="1638" t="s">
        <v>151</v>
      </c>
      <c r="H1376" s="1627" t="s">
        <v>298</v>
      </c>
      <c r="I1376" s="1629">
        <f>K32</f>
        <v>5318.7</v>
      </c>
      <c r="J1376" s="1627" t="s">
        <v>151</v>
      </c>
      <c r="K1376" s="1640">
        <f t="shared" ref="K1376:K1382" si="183">(F1376*I1376)</f>
        <v>638.24399999999991</v>
      </c>
      <c r="M1376" s="1640">
        <v>1.1000000000000001</v>
      </c>
      <c r="N1376" s="1638" t="s">
        <v>4</v>
      </c>
      <c r="O1376" s="1627" t="s">
        <v>234</v>
      </c>
      <c r="P1376" s="1640">
        <f>AG10</f>
        <v>1237.5999999999999</v>
      </c>
      <c r="Q1376" s="1628" t="s">
        <v>4</v>
      </c>
      <c r="R1376" s="1640">
        <f>(M1376*P1376)</f>
        <v>1361.36</v>
      </c>
      <c r="S1376" s="1658">
        <v>4</v>
      </c>
      <c r="T1376" s="1638" t="s">
        <v>4</v>
      </c>
      <c r="U1376" s="1627" t="s">
        <v>1945</v>
      </c>
      <c r="V1376" s="1640">
        <f t="shared" si="181"/>
        <v>57.65</v>
      </c>
      <c r="W1376" s="1628" t="s">
        <v>4</v>
      </c>
      <c r="X1376" s="1640">
        <f t="shared" si="182"/>
        <v>230.6</v>
      </c>
      <c r="Y1376" s="1640"/>
      <c r="Z1376" s="1692">
        <v>4</v>
      </c>
      <c r="AA1376" s="1638" t="s">
        <v>4</v>
      </c>
      <c r="AB1376" s="1638"/>
      <c r="AC1376" s="1627" t="s">
        <v>1949</v>
      </c>
      <c r="AD1376" s="1640">
        <f t="shared" si="180"/>
        <v>20</v>
      </c>
      <c r="AE1376" s="1638" t="s">
        <v>4</v>
      </c>
      <c r="AF1376" s="1640">
        <f t="shared" si="179"/>
        <v>80</v>
      </c>
      <c r="AG1376" s="1640">
        <f t="shared" si="173"/>
        <v>0</v>
      </c>
    </row>
    <row r="1377" spans="6:33" ht="24" customHeight="1">
      <c r="F1377" s="1640">
        <v>10</v>
      </c>
      <c r="G1377" s="1638" t="s">
        <v>152</v>
      </c>
      <c r="H1377" s="1627" t="s">
        <v>299</v>
      </c>
      <c r="I1377" s="1629">
        <f>K1344</f>
        <v>414.88479999999998</v>
      </c>
      <c r="J1377" s="1627" t="s">
        <v>152</v>
      </c>
      <c r="K1377" s="1640">
        <f t="shared" si="183"/>
        <v>4148.848</v>
      </c>
      <c r="M1377" s="1640">
        <v>2.2000000000000002</v>
      </c>
      <c r="N1377" s="1638" t="s">
        <v>4</v>
      </c>
      <c r="O1377" s="1627" t="s">
        <v>235</v>
      </c>
      <c r="P1377" s="1640">
        <f>AG11</f>
        <v>865.19999999999993</v>
      </c>
      <c r="Q1377" s="1628" t="s">
        <v>4</v>
      </c>
      <c r="R1377" s="1640">
        <f>(M1377*P1377)</f>
        <v>1903.44</v>
      </c>
      <c r="S1377" s="1658">
        <v>4</v>
      </c>
      <c r="T1377" s="1638" t="s">
        <v>4</v>
      </c>
      <c r="U1377" s="1627" t="s">
        <v>1948</v>
      </c>
      <c r="V1377" s="1640">
        <f t="shared" si="181"/>
        <v>30</v>
      </c>
      <c r="W1377" s="1628" t="s">
        <v>4</v>
      </c>
      <c r="X1377" s="1640">
        <f t="shared" si="182"/>
        <v>120</v>
      </c>
      <c r="Y1377" s="1640"/>
      <c r="Z1377" s="1692">
        <v>4</v>
      </c>
      <c r="AA1377" s="1638" t="s">
        <v>4</v>
      </c>
      <c r="AB1377" s="1638"/>
      <c r="AC1377" s="1627" t="s">
        <v>1951</v>
      </c>
      <c r="AD1377" s="1640">
        <f t="shared" si="180"/>
        <v>15</v>
      </c>
      <c r="AE1377" s="1638" t="s">
        <v>4</v>
      </c>
      <c r="AF1377" s="1640">
        <f t="shared" si="179"/>
        <v>60</v>
      </c>
      <c r="AG1377" s="1640">
        <f t="shared" si="173"/>
        <v>0</v>
      </c>
    </row>
    <row r="1378" spans="6:33" ht="24" customHeight="1">
      <c r="F1378" s="1640">
        <v>5.8</v>
      </c>
      <c r="G1378" s="1638" t="s">
        <v>13</v>
      </c>
      <c r="H1378" s="1627" t="s">
        <v>300</v>
      </c>
      <c r="I1378" s="1629">
        <f>C653</f>
        <v>42.7</v>
      </c>
      <c r="J1378" s="1627" t="s">
        <v>13</v>
      </c>
      <c r="K1378" s="1640">
        <f t="shared" si="183"/>
        <v>247.66</v>
      </c>
      <c r="M1378" s="1640">
        <v>2.2000000000000002</v>
      </c>
      <c r="N1378" s="1638" t="s">
        <v>4</v>
      </c>
      <c r="O1378" s="1627" t="s">
        <v>236</v>
      </c>
      <c r="P1378" s="1640">
        <f>AG12</f>
        <v>709.8</v>
      </c>
      <c r="Q1378" s="1628" t="s">
        <v>4</v>
      </c>
      <c r="R1378" s="1640">
        <f>(M1378*P1378)</f>
        <v>1561.56</v>
      </c>
      <c r="S1378" s="1658">
        <v>4</v>
      </c>
      <c r="T1378" s="1638" t="s">
        <v>4</v>
      </c>
      <c r="U1378" s="1627" t="s">
        <v>1949</v>
      </c>
      <c r="V1378" s="1640">
        <f t="shared" si="181"/>
        <v>20</v>
      </c>
      <c r="W1378" s="1628" t="s">
        <v>4</v>
      </c>
      <c r="X1378" s="1640">
        <f t="shared" si="182"/>
        <v>80</v>
      </c>
      <c r="Y1378" s="1640"/>
      <c r="Z1378" s="1692">
        <v>1.42</v>
      </c>
      <c r="AA1378" s="1638" t="s">
        <v>306</v>
      </c>
      <c r="AB1378" s="1638"/>
      <c r="AC1378" s="1627" t="s">
        <v>1952</v>
      </c>
      <c r="AD1378" s="1640">
        <f t="shared" si="180"/>
        <v>2654.4</v>
      </c>
      <c r="AE1378" s="1638" t="s">
        <v>306</v>
      </c>
      <c r="AF1378" s="1640">
        <f t="shared" si="179"/>
        <v>3769.248</v>
      </c>
      <c r="AG1378" s="1640">
        <f t="shared" si="173"/>
        <v>0</v>
      </c>
    </row>
    <row r="1379" spans="6:33" ht="24" customHeight="1">
      <c r="F1379" s="1640">
        <v>1.1000000000000001</v>
      </c>
      <c r="G1379" s="1638" t="s">
        <v>4</v>
      </c>
      <c r="H1379" s="1627" t="s">
        <v>269</v>
      </c>
      <c r="I1379" s="1629">
        <f>C10</f>
        <v>1325.8</v>
      </c>
      <c r="J1379" s="1627" t="s">
        <v>4</v>
      </c>
      <c r="K1379" s="1640">
        <f t="shared" si="183"/>
        <v>1458.38</v>
      </c>
      <c r="M1379" s="1658">
        <v>20</v>
      </c>
      <c r="N1379" s="1638" t="s">
        <v>13</v>
      </c>
      <c r="O1379" s="1627" t="s">
        <v>252</v>
      </c>
      <c r="P1379" s="1640">
        <f>AE31</f>
        <v>6040</v>
      </c>
      <c r="Q1379" s="1628" t="s">
        <v>251</v>
      </c>
      <c r="R1379" s="1640">
        <f>(M1379*P1379)/1000</f>
        <v>120.8</v>
      </c>
      <c r="S1379" s="1658">
        <v>4</v>
      </c>
      <c r="T1379" s="1638" t="s">
        <v>4</v>
      </c>
      <c r="U1379" s="1627" t="s">
        <v>1951</v>
      </c>
      <c r="V1379" s="1640">
        <f t="shared" si="181"/>
        <v>15</v>
      </c>
      <c r="W1379" s="1628" t="s">
        <v>4</v>
      </c>
      <c r="X1379" s="1640">
        <f t="shared" si="182"/>
        <v>60</v>
      </c>
      <c r="Y1379" s="1640"/>
      <c r="AA1379" s="1630"/>
      <c r="AB1379" s="1630"/>
      <c r="AC1379" s="1627" t="s">
        <v>1954</v>
      </c>
      <c r="AE1379" s="1634"/>
      <c r="AF1379" s="1640">
        <v>0.85</v>
      </c>
      <c r="AG1379" s="1640">
        <f t="shared" si="173"/>
        <v>0</v>
      </c>
    </row>
    <row r="1380" spans="6:33" ht="24" customHeight="1">
      <c r="F1380" s="1640">
        <v>2.1</v>
      </c>
      <c r="G1380" s="1638" t="s">
        <v>4</v>
      </c>
      <c r="H1380" s="1627" t="s">
        <v>234</v>
      </c>
      <c r="I1380" s="1629">
        <f>C11</f>
        <v>1237.5999999999999</v>
      </c>
      <c r="J1380" s="1627" t="s">
        <v>4</v>
      </c>
      <c r="K1380" s="1640">
        <f t="shared" si="183"/>
        <v>2598.96</v>
      </c>
      <c r="M1380" s="1658">
        <v>2</v>
      </c>
      <c r="N1380" s="1638" t="s">
        <v>13</v>
      </c>
      <c r="O1380" s="1627" t="s">
        <v>1864</v>
      </c>
      <c r="P1380" s="1651">
        <f>P1264</f>
        <v>36.1</v>
      </c>
      <c r="Q1380" s="1628" t="s">
        <v>13</v>
      </c>
      <c r="R1380" s="1640">
        <f>(M1380*P1380)</f>
        <v>72.2</v>
      </c>
      <c r="S1380" s="1658">
        <v>1.2150000000000001</v>
      </c>
      <c r="T1380" s="1638" t="s">
        <v>306</v>
      </c>
      <c r="U1380" s="1627" t="s">
        <v>1952</v>
      </c>
      <c r="V1380" s="1640">
        <f t="shared" si="181"/>
        <v>2654.4</v>
      </c>
      <c r="W1380" s="1628" t="s">
        <v>306</v>
      </c>
      <c r="X1380" s="1640">
        <f t="shared" si="182"/>
        <v>3225.0960000000005</v>
      </c>
      <c r="Y1380" s="1640"/>
      <c r="AC1380" s="1637" t="s">
        <v>1956</v>
      </c>
      <c r="AF1380" s="1639">
        <f>SUM(AF1367:AF1379)</f>
        <v>9871.4253000000008</v>
      </c>
      <c r="AG1380" s="1640">
        <f t="shared" si="173"/>
        <v>0</v>
      </c>
    </row>
    <row r="1381" spans="6:33" ht="24" customHeight="1">
      <c r="F1381" s="1640">
        <v>2.2000000000000002</v>
      </c>
      <c r="G1381" s="1638" t="s">
        <v>4</v>
      </c>
      <c r="H1381" s="1627" t="s">
        <v>235</v>
      </c>
      <c r="I1381" s="1629">
        <f>C12</f>
        <v>865.19999999999993</v>
      </c>
      <c r="J1381" s="1627" t="s">
        <v>4</v>
      </c>
      <c r="K1381" s="1640">
        <f t="shared" si="183"/>
        <v>1903.44</v>
      </c>
      <c r="M1381" s="1640">
        <v>1.6</v>
      </c>
      <c r="N1381" s="1638" t="s">
        <v>4</v>
      </c>
      <c r="O1381" s="1627" t="s">
        <v>234</v>
      </c>
      <c r="P1381" s="1640">
        <f>P1265</f>
        <v>1237.5999999999999</v>
      </c>
      <c r="Q1381" s="1628" t="s">
        <v>4</v>
      </c>
      <c r="R1381" s="1640">
        <f>(M1381*P1381)</f>
        <v>1980.1599999999999</v>
      </c>
      <c r="T1381" s="1630"/>
      <c r="U1381" s="1627" t="s">
        <v>1954</v>
      </c>
      <c r="W1381" s="1634"/>
      <c r="X1381" s="1640">
        <v>0.23</v>
      </c>
      <c r="Y1381" s="1640"/>
      <c r="AG1381" s="1640">
        <f t="shared" si="173"/>
        <v>0</v>
      </c>
    </row>
    <row r="1382" spans="6:33" ht="24" customHeight="1">
      <c r="F1382" s="1640">
        <v>1.1000000000000001</v>
      </c>
      <c r="G1382" s="1638" t="s">
        <v>4</v>
      </c>
      <c r="H1382" s="1627" t="s">
        <v>236</v>
      </c>
      <c r="I1382" s="1629">
        <f>C13</f>
        <v>709.8</v>
      </c>
      <c r="J1382" s="1627" t="s">
        <v>4</v>
      </c>
      <c r="K1382" s="1640">
        <f t="shared" si="183"/>
        <v>780.78</v>
      </c>
      <c r="M1382" s="1640">
        <v>0.5</v>
      </c>
      <c r="N1382" s="1638" t="s">
        <v>4</v>
      </c>
      <c r="O1382" s="1627" t="s">
        <v>235</v>
      </c>
      <c r="P1382" s="1640">
        <f>P1266</f>
        <v>865.19999999999993</v>
      </c>
      <c r="Q1382" s="1628" t="s">
        <v>4</v>
      </c>
      <c r="R1382" s="1640">
        <f>(M1382*P1382)</f>
        <v>432.59999999999997</v>
      </c>
      <c r="U1382" s="1637" t="s">
        <v>1956</v>
      </c>
      <c r="W1382" s="1634"/>
      <c r="X1382" s="1639">
        <f>SUM(X1369:X1381)</f>
        <v>8972.6399000000001</v>
      </c>
      <c r="Y1382" s="1639"/>
      <c r="AG1382" s="1640">
        <f t="shared" si="173"/>
        <v>0</v>
      </c>
    </row>
    <row r="1383" spans="6:33" ht="24" customHeight="1">
      <c r="G1383" s="1638" t="s">
        <v>226</v>
      </c>
      <c r="H1383" s="1627" t="s">
        <v>237</v>
      </c>
      <c r="J1383" s="1627" t="s">
        <v>226</v>
      </c>
      <c r="K1383" s="1640">
        <v>0</v>
      </c>
      <c r="M1383" s="1640">
        <v>1.1000000000000001</v>
      </c>
      <c r="N1383" s="1638" t="s">
        <v>4</v>
      </c>
      <c r="O1383" s="1627" t="s">
        <v>236</v>
      </c>
      <c r="P1383" s="1640">
        <f>P1267</f>
        <v>709.8</v>
      </c>
      <c r="Q1383" s="1628" t="s">
        <v>4</v>
      </c>
      <c r="R1383" s="1640">
        <f>(M1383*P1383)</f>
        <v>780.78</v>
      </c>
      <c r="W1383" s="1634"/>
      <c r="AA1383" s="1630"/>
      <c r="AB1383" s="1630"/>
      <c r="AC1383" s="1661" t="s">
        <v>1963</v>
      </c>
      <c r="AE1383" s="1632"/>
      <c r="AG1383" s="1640">
        <f t="shared" si="173"/>
        <v>0</v>
      </c>
    </row>
    <row r="1384" spans="6:33" ht="24" customHeight="1">
      <c r="K1384" s="1636" t="s">
        <v>21</v>
      </c>
      <c r="N1384" s="1638" t="s">
        <v>226</v>
      </c>
      <c r="O1384" s="1627" t="s">
        <v>237</v>
      </c>
      <c r="P1384" s="1640"/>
      <c r="Q1384" s="1628" t="s">
        <v>226</v>
      </c>
      <c r="R1384" s="1640">
        <v>0.28000000000000003</v>
      </c>
      <c r="W1384" s="1634"/>
      <c r="Z1384" s="1692">
        <v>2.87</v>
      </c>
      <c r="AA1384" s="1638" t="s">
        <v>534</v>
      </c>
      <c r="AB1384" s="1638"/>
      <c r="AC1384" s="1627" t="s">
        <v>1936</v>
      </c>
      <c r="AD1384" s="1640">
        <f>AD1367</f>
        <v>325</v>
      </c>
      <c r="AE1384" s="1638" t="s">
        <v>534</v>
      </c>
      <c r="AF1384" s="1640">
        <f t="shared" ref="AF1384:AF1395" si="184">AD1384*Z1384</f>
        <v>932.75</v>
      </c>
      <c r="AG1384" s="1640">
        <f t="shared" si="173"/>
        <v>0</v>
      </c>
    </row>
    <row r="1385" spans="6:33" ht="24" customHeight="1">
      <c r="H1385" s="1627" t="s">
        <v>238</v>
      </c>
      <c r="K1385" s="1640">
        <f>SUM(K1375:K1383)</f>
        <v>14836.452000000001</v>
      </c>
      <c r="N1385" s="1630"/>
      <c r="Q1385" s="1634"/>
      <c r="R1385" s="1636" t="s">
        <v>21</v>
      </c>
      <c r="T1385" s="1630"/>
      <c r="U1385" s="1661" t="s">
        <v>1964</v>
      </c>
      <c r="W1385" s="1634"/>
      <c r="Z1385" s="1692">
        <v>0.56000000000000005</v>
      </c>
      <c r="AA1385" s="1638" t="s">
        <v>534</v>
      </c>
      <c r="AB1385" s="1638"/>
      <c r="AC1385" s="1627" t="s">
        <v>1936</v>
      </c>
      <c r="AD1385" s="1640">
        <f t="shared" ref="AD1385:AD1395" si="185">AD1368</f>
        <v>325</v>
      </c>
      <c r="AE1385" s="1638" t="s">
        <v>534</v>
      </c>
      <c r="AF1385" s="1640">
        <f t="shared" si="184"/>
        <v>182.00000000000003</v>
      </c>
      <c r="AG1385" s="1640">
        <f t="shared" si="173"/>
        <v>0</v>
      </c>
    </row>
    <row r="1386" spans="6:33" ht="24" customHeight="1">
      <c r="K1386" s="1636" t="s">
        <v>21</v>
      </c>
      <c r="N1386" s="1630"/>
      <c r="O1386" s="1627" t="s">
        <v>238</v>
      </c>
      <c r="Q1386" s="1634"/>
      <c r="R1386" s="1640">
        <f>SUM(R1372:R1384)</f>
        <v>27048.486999999997</v>
      </c>
      <c r="S1386" s="1658">
        <v>4.88</v>
      </c>
      <c r="T1386" s="1638" t="s">
        <v>534</v>
      </c>
      <c r="U1386" s="1627" t="s">
        <v>1936</v>
      </c>
      <c r="V1386" s="1640">
        <f>V1369</f>
        <v>325</v>
      </c>
      <c r="W1386" s="1628" t="s">
        <v>534</v>
      </c>
      <c r="X1386" s="1640">
        <f>V1386*S1386</f>
        <v>1586</v>
      </c>
      <c r="Y1386" s="1640"/>
      <c r="Z1386" s="1692">
        <v>2.98</v>
      </c>
      <c r="AA1386" s="1638" t="s">
        <v>534</v>
      </c>
      <c r="AB1386" s="1638"/>
      <c r="AC1386" s="1627" t="s">
        <v>1936</v>
      </c>
      <c r="AD1386" s="1640">
        <f t="shared" si="185"/>
        <v>325</v>
      </c>
      <c r="AE1386" s="1638" t="s">
        <v>534</v>
      </c>
      <c r="AF1386" s="1640">
        <f t="shared" si="184"/>
        <v>968.5</v>
      </c>
      <c r="AG1386" s="1640">
        <f t="shared" si="173"/>
        <v>0</v>
      </c>
    </row>
    <row r="1387" spans="6:33" ht="24" customHeight="1">
      <c r="H1387" s="1641" t="s">
        <v>155</v>
      </c>
      <c r="K1387" s="1639">
        <f>(K1385/10)</f>
        <v>1483.6452000000002</v>
      </c>
      <c r="N1387" s="1630"/>
      <c r="Q1387" s="1634"/>
      <c r="R1387" s="1636" t="s">
        <v>21</v>
      </c>
      <c r="S1387" s="1658">
        <v>6.57</v>
      </c>
      <c r="T1387" s="1638" t="s">
        <v>534</v>
      </c>
      <c r="U1387" s="1627" t="s">
        <v>1936</v>
      </c>
      <c r="V1387" s="1640">
        <f t="shared" ref="V1387:V1397" si="186">V1370</f>
        <v>325</v>
      </c>
      <c r="W1387" s="1628" t="s">
        <v>534</v>
      </c>
      <c r="X1387" s="1640">
        <f t="shared" ref="X1387:X1397" si="187">V1387*S1387</f>
        <v>2135.25</v>
      </c>
      <c r="Y1387" s="1640"/>
      <c r="Z1387" s="1692">
        <v>0.52</v>
      </c>
      <c r="AA1387" s="1638" t="s">
        <v>534</v>
      </c>
      <c r="AB1387" s="1638"/>
      <c r="AC1387" s="1627" t="s">
        <v>1936</v>
      </c>
      <c r="AD1387" s="1640">
        <f t="shared" si="185"/>
        <v>325</v>
      </c>
      <c r="AE1387" s="1638" t="s">
        <v>534</v>
      </c>
      <c r="AF1387" s="1640">
        <f t="shared" si="184"/>
        <v>169</v>
      </c>
      <c r="AG1387" s="1640">
        <f t="shared" si="173"/>
        <v>0</v>
      </c>
    </row>
    <row r="1388" spans="6:33" ht="24" customHeight="1">
      <c r="K1388" s="1636" t="s">
        <v>156</v>
      </c>
      <c r="N1388" s="1630"/>
      <c r="O1388" s="1627" t="s">
        <v>155</v>
      </c>
      <c r="Q1388" s="1634"/>
      <c r="R1388" s="1640">
        <f>(R1386/10)</f>
        <v>2704.8486999999996</v>
      </c>
      <c r="S1388" s="1658">
        <v>11.56</v>
      </c>
      <c r="T1388" s="1638" t="s">
        <v>534</v>
      </c>
      <c r="U1388" s="1627" t="s">
        <v>1936</v>
      </c>
      <c r="V1388" s="1640">
        <f t="shared" si="186"/>
        <v>325</v>
      </c>
      <c r="W1388" s="1628" t="s">
        <v>534</v>
      </c>
      <c r="X1388" s="1640">
        <f t="shared" si="187"/>
        <v>3757</v>
      </c>
      <c r="Y1388" s="1640"/>
      <c r="Z1388" s="1692">
        <v>0.53300000000000003</v>
      </c>
      <c r="AA1388" s="1638" t="s">
        <v>533</v>
      </c>
      <c r="AB1388" s="1638"/>
      <c r="AC1388" s="1627" t="s">
        <v>1940</v>
      </c>
      <c r="AD1388" s="1640">
        <f t="shared" si="185"/>
        <v>306.89999999999998</v>
      </c>
      <c r="AE1388" s="1638" t="s">
        <v>533</v>
      </c>
      <c r="AF1388" s="1640">
        <f t="shared" si="184"/>
        <v>163.57769999999999</v>
      </c>
      <c r="AG1388" s="1640">
        <f t="shared" si="173"/>
        <v>0</v>
      </c>
    </row>
    <row r="1389" spans="6:33" ht="24" customHeight="1">
      <c r="K1389" s="1636"/>
      <c r="N1389" s="1630"/>
      <c r="Q1389" s="1634"/>
      <c r="R1389" s="1636" t="s">
        <v>156</v>
      </c>
      <c r="S1389" s="1658">
        <v>2.0099999999999998</v>
      </c>
      <c r="T1389" s="1638" t="s">
        <v>534</v>
      </c>
      <c r="U1389" s="1627" t="s">
        <v>1936</v>
      </c>
      <c r="V1389" s="1640">
        <f t="shared" si="186"/>
        <v>325</v>
      </c>
      <c r="W1389" s="1628" t="s">
        <v>534</v>
      </c>
      <c r="X1389" s="1640">
        <f t="shared" si="187"/>
        <v>653.24999999999989</v>
      </c>
      <c r="Y1389" s="1640"/>
      <c r="Z1389" s="1692">
        <v>4.1959999999999997</v>
      </c>
      <c r="AA1389" s="1638" t="s">
        <v>303</v>
      </c>
      <c r="AB1389" s="1638"/>
      <c r="AC1389" s="1627" t="s">
        <v>1942</v>
      </c>
      <c r="AD1389" s="1640">
        <f t="shared" si="185"/>
        <v>29.05</v>
      </c>
      <c r="AE1389" s="1638" t="s">
        <v>303</v>
      </c>
      <c r="AF1389" s="1640">
        <f t="shared" si="184"/>
        <v>121.8938</v>
      </c>
      <c r="AG1389" s="1640">
        <f t="shared" si="173"/>
        <v>0</v>
      </c>
    </row>
    <row r="1390" spans="6:33" ht="24" customHeight="1">
      <c r="F1390" s="1628" t="s">
        <v>301</v>
      </c>
      <c r="G1390" s="1638" t="s">
        <v>249</v>
      </c>
      <c r="H1390" s="1627" t="s">
        <v>302</v>
      </c>
      <c r="N1390" s="1630"/>
      <c r="O1390" s="1661" t="s">
        <v>1965</v>
      </c>
      <c r="Q1390" s="1632"/>
      <c r="S1390" s="1658">
        <v>1.96</v>
      </c>
      <c r="T1390" s="1638" t="s">
        <v>533</v>
      </c>
      <c r="U1390" s="1627" t="s">
        <v>1940</v>
      </c>
      <c r="V1390" s="1640">
        <f t="shared" si="186"/>
        <v>306.89999999999998</v>
      </c>
      <c r="W1390" s="1628" t="s">
        <v>533</v>
      </c>
      <c r="X1390" s="1640">
        <f t="shared" si="187"/>
        <v>601.524</v>
      </c>
      <c r="Y1390" s="1640"/>
      <c r="Z1390" s="1692">
        <v>4</v>
      </c>
      <c r="AA1390" s="1638" t="s">
        <v>4</v>
      </c>
      <c r="AB1390" s="1638"/>
      <c r="AC1390" s="1627" t="s">
        <v>1943</v>
      </c>
      <c r="AD1390" s="1640">
        <f t="shared" si="185"/>
        <v>71.900000000000006</v>
      </c>
      <c r="AE1390" s="1638" t="s">
        <v>4</v>
      </c>
      <c r="AF1390" s="1640">
        <f t="shared" si="184"/>
        <v>287.60000000000002</v>
      </c>
      <c r="AG1390" s="1640">
        <f t="shared" si="173"/>
        <v>0</v>
      </c>
    </row>
    <row r="1391" spans="6:33" ht="24" customHeight="1">
      <c r="H1391" s="1636" t="s">
        <v>21</v>
      </c>
      <c r="M1391" s="1692">
        <v>4.1849999999999996</v>
      </c>
      <c r="N1391" s="1638" t="s">
        <v>534</v>
      </c>
      <c r="O1391" s="1685" t="s">
        <v>5186</v>
      </c>
      <c r="P1391" s="1640">
        <v>325</v>
      </c>
      <c r="Q1391" s="1638" t="s">
        <v>534</v>
      </c>
      <c r="R1391" s="1640">
        <f>P1391*M1391</f>
        <v>1360.1249999999998</v>
      </c>
      <c r="S1391" s="1658">
        <v>16.224</v>
      </c>
      <c r="T1391" s="1638" t="s">
        <v>303</v>
      </c>
      <c r="U1391" s="1627" t="s">
        <v>1942</v>
      </c>
      <c r="V1391" s="1640">
        <f t="shared" si="186"/>
        <v>29.05</v>
      </c>
      <c r="W1391" s="1628" t="s">
        <v>303</v>
      </c>
      <c r="X1391" s="1640">
        <f t="shared" si="187"/>
        <v>471.30720000000002</v>
      </c>
      <c r="Y1391" s="1640"/>
      <c r="Z1391" s="1692">
        <v>2</v>
      </c>
      <c r="AA1391" s="1638" t="s">
        <v>4</v>
      </c>
      <c r="AB1391" s="1638"/>
      <c r="AC1391" s="1627" t="s">
        <v>1945</v>
      </c>
      <c r="AD1391" s="1640">
        <f t="shared" si="185"/>
        <v>57.65</v>
      </c>
      <c r="AE1391" s="1638" t="s">
        <v>4</v>
      </c>
      <c r="AF1391" s="1640">
        <f t="shared" si="184"/>
        <v>115.3</v>
      </c>
      <c r="AG1391" s="1640">
        <f t="shared" si="173"/>
        <v>0</v>
      </c>
    </row>
    <row r="1392" spans="6:33" ht="24" customHeight="1">
      <c r="F1392" s="1640">
        <v>0.14000000000000001</v>
      </c>
      <c r="G1392" s="1638" t="s">
        <v>151</v>
      </c>
      <c r="H1392" s="1627" t="s">
        <v>259</v>
      </c>
      <c r="I1392" s="1640">
        <f>(K49)</f>
        <v>4159.0200000000004</v>
      </c>
      <c r="J1392" s="1627" t="s">
        <v>151</v>
      </c>
      <c r="K1392" s="1640">
        <f>(F1392*I1392)</f>
        <v>582.26280000000008</v>
      </c>
      <c r="M1392" s="1692">
        <v>4.55</v>
      </c>
      <c r="N1392" s="1638" t="s">
        <v>534</v>
      </c>
      <c r="O1392" s="1627" t="s">
        <v>1936</v>
      </c>
      <c r="P1392" s="1640">
        <f>P1391</f>
        <v>325</v>
      </c>
      <c r="Q1392" s="1638" t="s">
        <v>534</v>
      </c>
      <c r="R1392" s="1640">
        <f t="shared" ref="R1392:R1402" si="188">P1392*M1392</f>
        <v>1478.75</v>
      </c>
      <c r="S1392" s="1658">
        <v>16</v>
      </c>
      <c r="T1392" s="1638" t="s">
        <v>4</v>
      </c>
      <c r="U1392" s="1627" t="s">
        <v>1943</v>
      </c>
      <c r="V1392" s="1640">
        <f t="shared" si="186"/>
        <v>71.900000000000006</v>
      </c>
      <c r="W1392" s="1628" t="s">
        <v>4</v>
      </c>
      <c r="X1392" s="1640">
        <f t="shared" si="187"/>
        <v>1150.4000000000001</v>
      </c>
      <c r="Y1392" s="1640"/>
      <c r="Z1392" s="1692">
        <v>2</v>
      </c>
      <c r="AA1392" s="1638" t="s">
        <v>4</v>
      </c>
      <c r="AB1392" s="1638"/>
      <c r="AC1392" s="1627" t="s">
        <v>1948</v>
      </c>
      <c r="AD1392" s="1640">
        <f t="shared" si="185"/>
        <v>30</v>
      </c>
      <c r="AE1392" s="1638" t="s">
        <v>4</v>
      </c>
      <c r="AF1392" s="1640">
        <f t="shared" si="184"/>
        <v>60</v>
      </c>
      <c r="AG1392" s="1640">
        <f t="shared" si="173"/>
        <v>0</v>
      </c>
    </row>
    <row r="1393" spans="6:33" ht="24" customHeight="1">
      <c r="F1393" s="1640">
        <v>1.1000000000000001</v>
      </c>
      <c r="G1393" s="1638" t="s">
        <v>153</v>
      </c>
      <c r="H1393" s="1627" t="s">
        <v>269</v>
      </c>
      <c r="I1393" s="1640">
        <f>(C10)</f>
        <v>1325.8</v>
      </c>
      <c r="J1393" s="1627" t="s">
        <v>153</v>
      </c>
      <c r="K1393" s="1640">
        <f>(F1393*I1393)</f>
        <v>1458.38</v>
      </c>
      <c r="M1393" s="1692">
        <v>8.66</v>
      </c>
      <c r="N1393" s="1638" t="s">
        <v>534</v>
      </c>
      <c r="O1393" s="1627" t="s">
        <v>1936</v>
      </c>
      <c r="P1393" s="1640">
        <f>P1391</f>
        <v>325</v>
      </c>
      <c r="Q1393" s="1638" t="s">
        <v>534</v>
      </c>
      <c r="R1393" s="1640">
        <f t="shared" si="188"/>
        <v>2814.5</v>
      </c>
      <c r="S1393" s="1658">
        <v>8</v>
      </c>
      <c r="T1393" s="1638" t="s">
        <v>4</v>
      </c>
      <c r="U1393" s="1627" t="s">
        <v>1945</v>
      </c>
      <c r="V1393" s="1640">
        <f t="shared" si="186"/>
        <v>57.65</v>
      </c>
      <c r="W1393" s="1628" t="s">
        <v>4</v>
      </c>
      <c r="X1393" s="1640">
        <f t="shared" si="187"/>
        <v>461.2</v>
      </c>
      <c r="Y1393" s="1640"/>
      <c r="Z1393" s="1692">
        <v>2</v>
      </c>
      <c r="AA1393" s="1638" t="s">
        <v>4</v>
      </c>
      <c r="AB1393" s="1638"/>
      <c r="AC1393" s="1627" t="s">
        <v>1949</v>
      </c>
      <c r="AD1393" s="1640">
        <f t="shared" si="185"/>
        <v>20</v>
      </c>
      <c r="AE1393" s="1638" t="s">
        <v>4</v>
      </c>
      <c r="AF1393" s="1640">
        <f t="shared" si="184"/>
        <v>40</v>
      </c>
      <c r="AG1393" s="1640">
        <f t="shared" si="173"/>
        <v>0</v>
      </c>
    </row>
    <row r="1394" spans="6:33" ht="24" customHeight="1">
      <c r="F1394" s="1640">
        <v>0.5</v>
      </c>
      <c r="G1394" s="1638" t="s">
        <v>153</v>
      </c>
      <c r="H1394" s="1627" t="s">
        <v>235</v>
      </c>
      <c r="I1394" s="1640">
        <f>(C12)</f>
        <v>865.19999999999993</v>
      </c>
      <c r="J1394" s="1627" t="s">
        <v>153</v>
      </c>
      <c r="K1394" s="1640">
        <f>(F1394*I1394)</f>
        <v>432.59999999999997</v>
      </c>
      <c r="M1394" s="1692">
        <v>1.51</v>
      </c>
      <c r="N1394" s="1638" t="s">
        <v>534</v>
      </c>
      <c r="O1394" s="1627" t="s">
        <v>1936</v>
      </c>
      <c r="P1394" s="1640">
        <f>P1391</f>
        <v>325</v>
      </c>
      <c r="Q1394" s="1638" t="s">
        <v>534</v>
      </c>
      <c r="R1394" s="1640">
        <f t="shared" si="188"/>
        <v>490.75</v>
      </c>
      <c r="S1394" s="1658">
        <v>8</v>
      </c>
      <c r="T1394" s="1638" t="s">
        <v>4</v>
      </c>
      <c r="U1394" s="1627" t="s">
        <v>1948</v>
      </c>
      <c r="V1394" s="1640">
        <f t="shared" si="186"/>
        <v>30</v>
      </c>
      <c r="W1394" s="1628" t="s">
        <v>4</v>
      </c>
      <c r="X1394" s="1640">
        <f t="shared" si="187"/>
        <v>240</v>
      </c>
      <c r="Y1394" s="1640"/>
      <c r="Z1394" s="1692">
        <v>4</v>
      </c>
      <c r="AA1394" s="1638" t="s">
        <v>4</v>
      </c>
      <c r="AB1394" s="1638"/>
      <c r="AC1394" s="1627" t="s">
        <v>1951</v>
      </c>
      <c r="AD1394" s="1640">
        <f t="shared" si="185"/>
        <v>15</v>
      </c>
      <c r="AE1394" s="1638" t="s">
        <v>4</v>
      </c>
      <c r="AF1394" s="1640">
        <f t="shared" si="184"/>
        <v>60</v>
      </c>
      <c r="AG1394" s="1640">
        <f t="shared" si="173"/>
        <v>0</v>
      </c>
    </row>
    <row r="1395" spans="6:33" ht="24" customHeight="1">
      <c r="F1395" s="1640">
        <v>1.1000000000000001</v>
      </c>
      <c r="G1395" s="1638" t="s">
        <v>153</v>
      </c>
      <c r="H1395" s="1627" t="s">
        <v>236</v>
      </c>
      <c r="I1395" s="1640">
        <f>(C13)</f>
        <v>709.8</v>
      </c>
      <c r="J1395" s="1627" t="s">
        <v>153</v>
      </c>
      <c r="K1395" s="1640">
        <f>(F1395*I1395)</f>
        <v>780.78</v>
      </c>
      <c r="M1395" s="1692">
        <v>1.462</v>
      </c>
      <c r="N1395" s="1638" t="s">
        <v>533</v>
      </c>
      <c r="O1395" s="1685" t="s">
        <v>1940</v>
      </c>
      <c r="P1395" s="1640">
        <v>306.89999999999998</v>
      </c>
      <c r="Q1395" s="1638" t="s">
        <v>533</v>
      </c>
      <c r="R1395" s="1640">
        <f t="shared" si="188"/>
        <v>448.68779999999998</v>
      </c>
      <c r="S1395" s="1658">
        <v>8</v>
      </c>
      <c r="T1395" s="1638" t="s">
        <v>4</v>
      </c>
      <c r="U1395" s="1627" t="s">
        <v>1949</v>
      </c>
      <c r="V1395" s="1640">
        <f t="shared" si="186"/>
        <v>20</v>
      </c>
      <c r="W1395" s="1628" t="s">
        <v>4</v>
      </c>
      <c r="X1395" s="1640">
        <f t="shared" si="187"/>
        <v>160</v>
      </c>
      <c r="Y1395" s="1640"/>
      <c r="Z1395" s="1692">
        <v>0.67500000000000004</v>
      </c>
      <c r="AA1395" s="1638" t="s">
        <v>306</v>
      </c>
      <c r="AB1395" s="1638"/>
      <c r="AC1395" s="1627" t="s">
        <v>1952</v>
      </c>
      <c r="AD1395" s="1640">
        <f t="shared" si="185"/>
        <v>2654.4</v>
      </c>
      <c r="AE1395" s="1638" t="s">
        <v>306</v>
      </c>
      <c r="AF1395" s="1640">
        <f t="shared" si="184"/>
        <v>1791.7200000000003</v>
      </c>
      <c r="AG1395" s="1640">
        <f t="shared" si="173"/>
        <v>0</v>
      </c>
    </row>
    <row r="1396" spans="6:33" ht="24" customHeight="1">
      <c r="G1396" s="1638" t="s">
        <v>226</v>
      </c>
      <c r="H1396" s="1627" t="s">
        <v>237</v>
      </c>
      <c r="I1396" s="1627" t="s">
        <v>150</v>
      </c>
      <c r="J1396" s="1627" t="s">
        <v>226</v>
      </c>
      <c r="K1396" s="1640">
        <v>5</v>
      </c>
      <c r="M1396" s="1692">
        <v>12.144</v>
      </c>
      <c r="N1396" s="1638" t="s">
        <v>303</v>
      </c>
      <c r="O1396" s="1685" t="s">
        <v>1967</v>
      </c>
      <c r="P1396" s="1640">
        <v>29.05</v>
      </c>
      <c r="Q1396" s="1638" t="s">
        <v>303</v>
      </c>
      <c r="R1396" s="1640">
        <f t="shared" si="188"/>
        <v>352.78320000000002</v>
      </c>
      <c r="S1396" s="1658">
        <v>4</v>
      </c>
      <c r="T1396" s="1638" t="s">
        <v>4</v>
      </c>
      <c r="U1396" s="1627" t="s">
        <v>1951</v>
      </c>
      <c r="V1396" s="1640">
        <f t="shared" si="186"/>
        <v>15</v>
      </c>
      <c r="W1396" s="1628" t="s">
        <v>4</v>
      </c>
      <c r="X1396" s="1640">
        <f t="shared" si="187"/>
        <v>60</v>
      </c>
      <c r="Y1396" s="1640"/>
      <c r="AA1396" s="1630"/>
      <c r="AB1396" s="1630"/>
      <c r="AC1396" s="1627" t="s">
        <v>1954</v>
      </c>
      <c r="AE1396" s="1634"/>
      <c r="AF1396" s="1640">
        <v>0.39</v>
      </c>
      <c r="AG1396" s="1640">
        <f t="shared" si="173"/>
        <v>0</v>
      </c>
    </row>
    <row r="1397" spans="6:33" ht="24" customHeight="1">
      <c r="K1397" s="1636" t="s">
        <v>21</v>
      </c>
      <c r="M1397" s="1692">
        <v>12</v>
      </c>
      <c r="N1397" s="1638" t="s">
        <v>4</v>
      </c>
      <c r="O1397" s="1685" t="s">
        <v>1968</v>
      </c>
      <c r="P1397" s="1640">
        <v>71.900000000000006</v>
      </c>
      <c r="Q1397" s="1638" t="s">
        <v>4</v>
      </c>
      <c r="R1397" s="1640">
        <f t="shared" si="188"/>
        <v>862.80000000000007</v>
      </c>
      <c r="S1397" s="1658">
        <v>2.4300000000000002</v>
      </c>
      <c r="T1397" s="1638" t="s">
        <v>306</v>
      </c>
      <c r="U1397" s="1627" t="s">
        <v>1952</v>
      </c>
      <c r="V1397" s="1640">
        <f t="shared" si="186"/>
        <v>2654.4</v>
      </c>
      <c r="W1397" s="1628" t="s">
        <v>306</v>
      </c>
      <c r="X1397" s="1640">
        <f t="shared" si="187"/>
        <v>6450.1920000000009</v>
      </c>
      <c r="Y1397" s="1640"/>
      <c r="AC1397" s="1637" t="s">
        <v>1956</v>
      </c>
      <c r="AF1397" s="1639">
        <f>SUM(AF1384:AF1396)</f>
        <v>4892.7315000000008</v>
      </c>
      <c r="AG1397" s="1640">
        <f t="shared" si="173"/>
        <v>0</v>
      </c>
    </row>
    <row r="1398" spans="6:33" ht="24" customHeight="1">
      <c r="H1398" s="1627" t="s">
        <v>238</v>
      </c>
      <c r="K1398" s="1640">
        <f>SUM(K1392:K1397)</f>
        <v>3259.0227999999997</v>
      </c>
      <c r="M1398" s="1692">
        <v>6</v>
      </c>
      <c r="N1398" s="1638" t="s">
        <v>4</v>
      </c>
      <c r="O1398" s="1685" t="s">
        <v>1969</v>
      </c>
      <c r="P1398" s="1640">
        <f>P1094</f>
        <v>57.65</v>
      </c>
      <c r="Q1398" s="1638" t="s">
        <v>4</v>
      </c>
      <c r="R1398" s="1640">
        <f t="shared" si="188"/>
        <v>345.9</v>
      </c>
      <c r="T1398" s="1630"/>
      <c r="U1398" s="1627" t="s">
        <v>1954</v>
      </c>
      <c r="W1398" s="1634"/>
      <c r="X1398" s="1640"/>
      <c r="Y1398" s="1640"/>
      <c r="AG1398" s="1640">
        <f t="shared" si="173"/>
        <v>0</v>
      </c>
    </row>
    <row r="1399" spans="6:33" ht="24" customHeight="1">
      <c r="K1399" s="1636" t="s">
        <v>21</v>
      </c>
      <c r="M1399" s="1692">
        <v>6</v>
      </c>
      <c r="N1399" s="1638" t="s">
        <v>4</v>
      </c>
      <c r="O1399" s="1627" t="s">
        <v>1970</v>
      </c>
      <c r="P1399" s="1651">
        <v>30</v>
      </c>
      <c r="Q1399" s="1638" t="s">
        <v>4</v>
      </c>
      <c r="R1399" s="1640">
        <f t="shared" si="188"/>
        <v>180</v>
      </c>
      <c r="U1399" s="1637" t="s">
        <v>1956</v>
      </c>
      <c r="W1399" s="1634"/>
      <c r="X1399" s="1639">
        <f>SUM(X1386:X1398)</f>
        <v>17726.123200000002</v>
      </c>
      <c r="Y1399" s="1639"/>
      <c r="AA1399" s="1630"/>
      <c r="AB1399" s="1630"/>
      <c r="AC1399" s="1661" t="s">
        <v>1971</v>
      </c>
      <c r="AE1399" s="1632"/>
      <c r="AG1399" s="1640">
        <f t="shared" si="173"/>
        <v>0</v>
      </c>
    </row>
    <row r="1400" spans="6:33" ht="24" customHeight="1">
      <c r="H1400" s="1641" t="s">
        <v>155</v>
      </c>
      <c r="K1400" s="1639">
        <f>(K1398/10)</f>
        <v>325.90227999999996</v>
      </c>
      <c r="M1400" s="1692">
        <v>6</v>
      </c>
      <c r="N1400" s="1638" t="s">
        <v>4</v>
      </c>
      <c r="O1400" s="1627" t="s">
        <v>1949</v>
      </c>
      <c r="P1400" s="1640">
        <v>20</v>
      </c>
      <c r="Q1400" s="1638" t="s">
        <v>4</v>
      </c>
      <c r="R1400" s="1640">
        <f t="shared" si="188"/>
        <v>120</v>
      </c>
      <c r="W1400" s="1634"/>
      <c r="Z1400" s="1692">
        <v>2.33</v>
      </c>
      <c r="AA1400" s="1638" t="s">
        <v>534</v>
      </c>
      <c r="AB1400" s="1638"/>
      <c r="AC1400" s="1627" t="s">
        <v>1936</v>
      </c>
      <c r="AD1400" s="1640">
        <f t="shared" ref="AD1400:AD1411" si="189">V1402</f>
        <v>325</v>
      </c>
      <c r="AE1400" s="1638" t="s">
        <v>534</v>
      </c>
      <c r="AF1400" s="1640">
        <f t="shared" ref="AF1400:AF1411" si="190">AD1400*Z1400</f>
        <v>757.25</v>
      </c>
      <c r="AG1400" s="1640">
        <f t="shared" si="173"/>
        <v>0</v>
      </c>
    </row>
    <row r="1401" spans="6:33" ht="24" customHeight="1">
      <c r="F1401" s="1627" t="s">
        <v>150</v>
      </c>
      <c r="M1401" s="1692">
        <v>4</v>
      </c>
      <c r="N1401" s="1638" t="s">
        <v>4</v>
      </c>
      <c r="O1401" s="1627" t="s">
        <v>1951</v>
      </c>
      <c r="P1401" s="1640">
        <v>15</v>
      </c>
      <c r="Q1401" s="1638" t="s">
        <v>4</v>
      </c>
      <c r="R1401" s="1640">
        <f t="shared" si="188"/>
        <v>60</v>
      </c>
      <c r="T1401" s="1630"/>
      <c r="U1401" s="1661" t="s">
        <v>1972</v>
      </c>
      <c r="W1401" s="1634"/>
      <c r="Z1401" s="1692">
        <v>0.67</v>
      </c>
      <c r="AA1401" s="1638" t="s">
        <v>534</v>
      </c>
      <c r="AB1401" s="1638"/>
      <c r="AC1401" s="1627" t="s">
        <v>1936</v>
      </c>
      <c r="AD1401" s="1640">
        <f t="shared" si="189"/>
        <v>325</v>
      </c>
      <c r="AE1401" s="1638" t="s">
        <v>534</v>
      </c>
      <c r="AF1401" s="1640">
        <f t="shared" si="190"/>
        <v>217.75</v>
      </c>
      <c r="AG1401" s="1640">
        <f t="shared" si="173"/>
        <v>0</v>
      </c>
    </row>
    <row r="1402" spans="6:33" ht="24" customHeight="1">
      <c r="K1402" s="1636" t="s">
        <v>156</v>
      </c>
      <c r="M1402" s="1692">
        <v>1.823</v>
      </c>
      <c r="N1402" s="1638" t="s">
        <v>306</v>
      </c>
      <c r="O1402" s="1627" t="s">
        <v>1952</v>
      </c>
      <c r="P1402" s="1629">
        <f>ROUND(AG17+AG11+(AG20*0.5),2)</f>
        <v>2654.4</v>
      </c>
      <c r="Q1402" s="1638" t="s">
        <v>306</v>
      </c>
      <c r="R1402" s="1640">
        <f t="shared" si="188"/>
        <v>4838.9712</v>
      </c>
      <c r="S1402" s="1658">
        <f>8*0.775</f>
        <v>6.2</v>
      </c>
      <c r="T1402" s="1638" t="s">
        <v>534</v>
      </c>
      <c r="U1402" s="1627" t="s">
        <v>1936</v>
      </c>
      <c r="V1402" s="1640">
        <f>V1386</f>
        <v>325</v>
      </c>
      <c r="W1402" s="1628" t="s">
        <v>534</v>
      </c>
      <c r="X1402" s="1640">
        <f>V1402*S1402</f>
        <v>2015</v>
      </c>
      <c r="Y1402" s="1640"/>
      <c r="Z1402" s="1692">
        <v>2.65</v>
      </c>
      <c r="AA1402" s="1638" t="s">
        <v>534</v>
      </c>
      <c r="AB1402" s="1638"/>
      <c r="AC1402" s="1627" t="s">
        <v>1936</v>
      </c>
      <c r="AD1402" s="1640">
        <f t="shared" si="189"/>
        <v>325</v>
      </c>
      <c r="AE1402" s="1638" t="s">
        <v>534</v>
      </c>
      <c r="AF1402" s="1640">
        <f t="shared" si="190"/>
        <v>861.25</v>
      </c>
      <c r="AG1402" s="1640">
        <f t="shared" si="173"/>
        <v>0</v>
      </c>
    </row>
    <row r="1403" spans="6:33" ht="24" customHeight="1">
      <c r="F1403" s="1628" t="s">
        <v>380</v>
      </c>
      <c r="G1403" s="1638" t="s">
        <v>249</v>
      </c>
      <c r="H1403" s="1627" t="s">
        <v>381</v>
      </c>
      <c r="N1403" s="1630"/>
      <c r="O1403" s="1627" t="s">
        <v>1954</v>
      </c>
      <c r="Q1403" s="1634"/>
      <c r="R1403" s="1640">
        <v>0.51</v>
      </c>
      <c r="S1403" s="1658">
        <f>8.4*1.123</f>
        <v>9.4332000000000011</v>
      </c>
      <c r="T1403" s="1638" t="s">
        <v>534</v>
      </c>
      <c r="U1403" s="1627" t="s">
        <v>1936</v>
      </c>
      <c r="V1403" s="1640">
        <f t="shared" ref="V1403:V1413" si="191">V1387</f>
        <v>325</v>
      </c>
      <c r="W1403" s="1628" t="s">
        <v>534</v>
      </c>
      <c r="X1403" s="1640">
        <f t="shared" ref="X1403:X1413" si="192">V1403*S1403</f>
        <v>3065.7900000000004</v>
      </c>
      <c r="Y1403" s="1640"/>
      <c r="Z1403" s="1692">
        <v>0.46</v>
      </c>
      <c r="AA1403" s="1638" t="s">
        <v>534</v>
      </c>
      <c r="AB1403" s="1638"/>
      <c r="AC1403" s="1627" t="s">
        <v>1936</v>
      </c>
      <c r="AD1403" s="1640">
        <f t="shared" si="189"/>
        <v>325</v>
      </c>
      <c r="AE1403" s="1638" t="s">
        <v>534</v>
      </c>
      <c r="AF1403" s="1640">
        <f t="shared" si="190"/>
        <v>149.5</v>
      </c>
      <c r="AG1403" s="1640">
        <f t="shared" si="173"/>
        <v>0</v>
      </c>
    </row>
    <row r="1404" spans="6:33" ht="24" customHeight="1">
      <c r="H1404" s="1636" t="s">
        <v>21</v>
      </c>
      <c r="L1404" s="1629">
        <f>5.85*1.123</f>
        <v>6.5695499999999996</v>
      </c>
      <c r="R1404" s="1639">
        <f>SUM(R1391:R1403)</f>
        <v>13353.777199999999</v>
      </c>
      <c r="S1404" s="1658">
        <f>24.24*0.663</f>
        <v>16.071120000000001</v>
      </c>
      <c r="T1404" s="1638" t="s">
        <v>534</v>
      </c>
      <c r="U1404" s="1627" t="s">
        <v>1936</v>
      </c>
      <c r="V1404" s="1640">
        <f t="shared" si="191"/>
        <v>325</v>
      </c>
      <c r="W1404" s="1628" t="s">
        <v>534</v>
      </c>
      <c r="X1404" s="1640">
        <f t="shared" si="192"/>
        <v>5223.1140000000005</v>
      </c>
      <c r="Y1404" s="1640"/>
      <c r="Z1404" s="1692">
        <v>0.41699999999999998</v>
      </c>
      <c r="AA1404" s="1638" t="s">
        <v>533</v>
      </c>
      <c r="AB1404" s="1638"/>
      <c r="AC1404" s="1627" t="s">
        <v>1940</v>
      </c>
      <c r="AD1404" s="1640">
        <f t="shared" si="189"/>
        <v>306.89999999999998</v>
      </c>
      <c r="AE1404" s="1638" t="s">
        <v>533</v>
      </c>
      <c r="AF1404" s="1640">
        <f t="shared" si="190"/>
        <v>127.97729999999999</v>
      </c>
      <c r="AG1404" s="1640">
        <f t="shared" si="173"/>
        <v>0</v>
      </c>
    </row>
    <row r="1405" spans="6:33" ht="24" customHeight="1">
      <c r="F1405" s="1640">
        <v>0.14000000000000001</v>
      </c>
      <c r="G1405" s="1638" t="s">
        <v>151</v>
      </c>
      <c r="H1405" s="1627" t="s">
        <v>258</v>
      </c>
      <c r="I1405" s="1640">
        <f>(K40)</f>
        <v>4593.8999999999996</v>
      </c>
      <c r="J1405" s="1627" t="s">
        <v>151</v>
      </c>
      <c r="K1405" s="1640">
        <f>(F1405*I1405)</f>
        <v>643.14599999999996</v>
      </c>
      <c r="O1405" s="1668"/>
      <c r="S1405" s="1658">
        <f>23.02*0.124</f>
        <v>2.8544800000000001</v>
      </c>
      <c r="T1405" s="1638" t="s">
        <v>534</v>
      </c>
      <c r="U1405" s="1627" t="s">
        <v>1936</v>
      </c>
      <c r="V1405" s="1640">
        <f t="shared" si="191"/>
        <v>325</v>
      </c>
      <c r="W1405" s="1628" t="s">
        <v>534</v>
      </c>
      <c r="X1405" s="1640">
        <f t="shared" si="192"/>
        <v>927.70600000000002</v>
      </c>
      <c r="Y1405" s="1640"/>
      <c r="Z1405" s="1692">
        <v>3.6960000000000002</v>
      </c>
      <c r="AA1405" s="1638" t="s">
        <v>303</v>
      </c>
      <c r="AB1405" s="1638"/>
      <c r="AC1405" s="1627" t="s">
        <v>1942</v>
      </c>
      <c r="AD1405" s="1640">
        <f t="shared" si="189"/>
        <v>29.05</v>
      </c>
      <c r="AE1405" s="1638" t="s">
        <v>303</v>
      </c>
      <c r="AF1405" s="1640">
        <f t="shared" si="190"/>
        <v>107.36880000000001</v>
      </c>
      <c r="AG1405" s="1640">
        <f t="shared" si="173"/>
        <v>0</v>
      </c>
    </row>
    <row r="1406" spans="6:33" ht="24" customHeight="1">
      <c r="F1406" s="1640">
        <v>1.1000000000000001</v>
      </c>
      <c r="G1406" s="1638" t="s">
        <v>153</v>
      </c>
      <c r="H1406" s="1627" t="s">
        <v>269</v>
      </c>
      <c r="I1406" s="1640">
        <f>(C10)</f>
        <v>1325.8</v>
      </c>
      <c r="J1406" s="1627" t="s">
        <v>153</v>
      </c>
      <c r="K1406" s="1640">
        <f>(F1406*I1406)</f>
        <v>1458.38</v>
      </c>
      <c r="S1406" s="1658">
        <f>3.31</f>
        <v>3.31</v>
      </c>
      <c r="T1406" s="1638" t="s">
        <v>533</v>
      </c>
      <c r="U1406" s="1627" t="s">
        <v>1940</v>
      </c>
      <c r="V1406" s="1640">
        <f t="shared" si="191"/>
        <v>306.89999999999998</v>
      </c>
      <c r="W1406" s="1628" t="s">
        <v>533</v>
      </c>
      <c r="X1406" s="1640">
        <f t="shared" si="192"/>
        <v>1015.8389999999999</v>
      </c>
      <c r="Y1406" s="1640"/>
      <c r="Z1406" s="1692">
        <v>4</v>
      </c>
      <c r="AA1406" s="1638" t="s">
        <v>4</v>
      </c>
      <c r="AB1406" s="1638"/>
      <c r="AC1406" s="1627" t="s">
        <v>1943</v>
      </c>
      <c r="AD1406" s="1640">
        <f t="shared" si="189"/>
        <v>71.900000000000006</v>
      </c>
      <c r="AE1406" s="1638" t="s">
        <v>4</v>
      </c>
      <c r="AF1406" s="1640">
        <f t="shared" si="190"/>
        <v>287.60000000000002</v>
      </c>
      <c r="AG1406" s="1640">
        <f t="shared" ref="AG1406:AG1469" si="193">AI1406</f>
        <v>0</v>
      </c>
    </row>
    <row r="1407" spans="6:33" ht="24" customHeight="1">
      <c r="F1407" s="1640">
        <v>0.5</v>
      </c>
      <c r="G1407" s="1638" t="s">
        <v>153</v>
      </c>
      <c r="H1407" s="1627" t="s">
        <v>235</v>
      </c>
      <c r="I1407" s="1640">
        <f>(C12)</f>
        <v>865.19999999999993</v>
      </c>
      <c r="J1407" s="1627" t="s">
        <v>153</v>
      </c>
      <c r="K1407" s="1640">
        <f>(F1407*I1407)</f>
        <v>432.59999999999997</v>
      </c>
      <c r="N1407" s="1630"/>
      <c r="O1407" s="1661" t="s">
        <v>1973</v>
      </c>
      <c r="Q1407" s="1632"/>
      <c r="S1407" s="1658">
        <v>23.02</v>
      </c>
      <c r="T1407" s="1638" t="s">
        <v>303</v>
      </c>
      <c r="U1407" s="1627" t="s">
        <v>1942</v>
      </c>
      <c r="V1407" s="1640">
        <f t="shared" si="191"/>
        <v>29.05</v>
      </c>
      <c r="W1407" s="1628" t="s">
        <v>303</v>
      </c>
      <c r="X1407" s="1640">
        <f t="shared" si="192"/>
        <v>668.73099999999999</v>
      </c>
      <c r="Y1407" s="1640"/>
      <c r="Z1407" s="1692">
        <v>2</v>
      </c>
      <c r="AA1407" s="1638" t="s">
        <v>4</v>
      </c>
      <c r="AB1407" s="1638"/>
      <c r="AC1407" s="1627" t="s">
        <v>1945</v>
      </c>
      <c r="AD1407" s="1640">
        <f t="shared" si="189"/>
        <v>57.65</v>
      </c>
      <c r="AE1407" s="1638" t="s">
        <v>4</v>
      </c>
      <c r="AF1407" s="1640">
        <f t="shared" si="190"/>
        <v>115.3</v>
      </c>
      <c r="AG1407" s="1640">
        <f t="shared" si="193"/>
        <v>0</v>
      </c>
    </row>
    <row r="1408" spans="6:33" ht="24" customHeight="1">
      <c r="F1408" s="1640">
        <v>1.1000000000000001</v>
      </c>
      <c r="G1408" s="1638" t="s">
        <v>153</v>
      </c>
      <c r="H1408" s="1627" t="s">
        <v>236</v>
      </c>
      <c r="I1408" s="1640">
        <f>(C13)</f>
        <v>709.8</v>
      </c>
      <c r="J1408" s="1627" t="s">
        <v>153</v>
      </c>
      <c r="K1408" s="1640">
        <f>(F1408*I1408)</f>
        <v>780.78</v>
      </c>
      <c r="M1408" s="1692">
        <v>3.95</v>
      </c>
      <c r="N1408" s="1638" t="s">
        <v>534</v>
      </c>
      <c r="O1408" s="1685" t="s">
        <v>1974</v>
      </c>
      <c r="P1408" s="1640">
        <f>P1391</f>
        <v>325</v>
      </c>
      <c r="Q1408" s="1638" t="s">
        <v>534</v>
      </c>
      <c r="R1408" s="1640">
        <f>P1408*M1408</f>
        <v>1283.75</v>
      </c>
      <c r="S1408" s="1658">
        <v>16</v>
      </c>
      <c r="T1408" s="1638" t="s">
        <v>4</v>
      </c>
      <c r="U1408" s="1627" t="s">
        <v>1943</v>
      </c>
      <c r="V1408" s="1640">
        <f t="shared" si="191"/>
        <v>71.900000000000006</v>
      </c>
      <c r="W1408" s="1628" t="s">
        <v>4</v>
      </c>
      <c r="X1408" s="1640">
        <f t="shared" si="192"/>
        <v>1150.4000000000001</v>
      </c>
      <c r="Y1408" s="1640"/>
      <c r="Z1408" s="1692">
        <v>2</v>
      </c>
      <c r="AA1408" s="1638" t="s">
        <v>4</v>
      </c>
      <c r="AB1408" s="1638"/>
      <c r="AC1408" s="1627" t="s">
        <v>1948</v>
      </c>
      <c r="AD1408" s="1640">
        <f t="shared" si="189"/>
        <v>30</v>
      </c>
      <c r="AE1408" s="1638" t="s">
        <v>4</v>
      </c>
      <c r="AF1408" s="1640">
        <f t="shared" si="190"/>
        <v>60</v>
      </c>
      <c r="AG1408" s="1640">
        <f t="shared" si="193"/>
        <v>0</v>
      </c>
    </row>
    <row r="1409" spans="6:33" ht="24" customHeight="1">
      <c r="G1409" s="1638" t="s">
        <v>226</v>
      </c>
      <c r="H1409" s="1627" t="s">
        <v>237</v>
      </c>
      <c r="I1409" s="1627" t="s">
        <v>150</v>
      </c>
      <c r="J1409" s="1627" t="s">
        <v>226</v>
      </c>
      <c r="K1409" s="1640">
        <v>5</v>
      </c>
      <c r="M1409" s="1692">
        <v>2.86</v>
      </c>
      <c r="N1409" s="1638" t="s">
        <v>534</v>
      </c>
      <c r="O1409" s="1627" t="s">
        <v>1936</v>
      </c>
      <c r="P1409" s="1640">
        <f t="shared" ref="P1409:P1419" si="194">P1392</f>
        <v>325</v>
      </c>
      <c r="Q1409" s="1638" t="s">
        <v>534</v>
      </c>
      <c r="R1409" s="1640">
        <f t="shared" ref="R1409:R1419" si="195">P1409*M1409</f>
        <v>929.5</v>
      </c>
      <c r="S1409" s="1658">
        <v>8</v>
      </c>
      <c r="T1409" s="1638" t="s">
        <v>4</v>
      </c>
      <c r="U1409" s="1627" t="s">
        <v>1945</v>
      </c>
      <c r="V1409" s="1640">
        <f t="shared" si="191"/>
        <v>57.65</v>
      </c>
      <c r="W1409" s="1628" t="s">
        <v>4</v>
      </c>
      <c r="X1409" s="1640">
        <f t="shared" si="192"/>
        <v>461.2</v>
      </c>
      <c r="Y1409" s="1640"/>
      <c r="Z1409" s="1692">
        <v>2</v>
      </c>
      <c r="AA1409" s="1638" t="s">
        <v>4</v>
      </c>
      <c r="AB1409" s="1638"/>
      <c r="AC1409" s="1627" t="s">
        <v>1949</v>
      </c>
      <c r="AD1409" s="1640">
        <f t="shared" si="189"/>
        <v>20</v>
      </c>
      <c r="AE1409" s="1638" t="s">
        <v>4</v>
      </c>
      <c r="AF1409" s="1640">
        <f t="shared" si="190"/>
        <v>40</v>
      </c>
      <c r="AG1409" s="1640">
        <f t="shared" si="193"/>
        <v>0</v>
      </c>
    </row>
    <row r="1410" spans="6:33" ht="24" customHeight="1">
      <c r="G1410" s="1638"/>
      <c r="H1410" s="1627"/>
      <c r="I1410" s="1627"/>
      <c r="J1410" s="1627"/>
      <c r="K1410" s="1640"/>
      <c r="M1410" s="1692">
        <v>6.55</v>
      </c>
      <c r="N1410" s="1638" t="s">
        <v>534</v>
      </c>
      <c r="O1410" s="1627" t="s">
        <v>1936</v>
      </c>
      <c r="P1410" s="1640">
        <f t="shared" si="194"/>
        <v>325</v>
      </c>
      <c r="Q1410" s="1638" t="s">
        <v>534</v>
      </c>
      <c r="R1410" s="1640">
        <f t="shared" si="195"/>
        <v>2128.75</v>
      </c>
      <c r="S1410" s="1658">
        <v>8</v>
      </c>
      <c r="T1410" s="1638" t="s">
        <v>4</v>
      </c>
      <c r="U1410" s="1627" t="s">
        <v>1948</v>
      </c>
      <c r="V1410" s="1640">
        <f t="shared" si="191"/>
        <v>30</v>
      </c>
      <c r="W1410" s="1628" t="s">
        <v>4</v>
      </c>
      <c r="X1410" s="1640">
        <f t="shared" si="192"/>
        <v>240</v>
      </c>
      <c r="Y1410" s="1640"/>
      <c r="Z1410" s="1692">
        <v>2</v>
      </c>
      <c r="AA1410" s="1638" t="s">
        <v>4</v>
      </c>
      <c r="AB1410" s="1638"/>
      <c r="AC1410" s="1627" t="s">
        <v>1951</v>
      </c>
      <c r="AD1410" s="1640">
        <f t="shared" si="189"/>
        <v>15</v>
      </c>
      <c r="AE1410" s="1638" t="s">
        <v>4</v>
      </c>
      <c r="AF1410" s="1640">
        <f t="shared" si="190"/>
        <v>30</v>
      </c>
      <c r="AG1410" s="1640">
        <f t="shared" si="193"/>
        <v>0</v>
      </c>
    </row>
    <row r="1411" spans="6:33" ht="24" customHeight="1">
      <c r="K1411" s="1636" t="s">
        <v>21</v>
      </c>
      <c r="M1411" s="1692">
        <v>1.1499999999999999</v>
      </c>
      <c r="N1411" s="1638" t="s">
        <v>534</v>
      </c>
      <c r="O1411" s="1627" t="s">
        <v>1936</v>
      </c>
      <c r="P1411" s="1640">
        <f t="shared" si="194"/>
        <v>325</v>
      </c>
      <c r="Q1411" s="1638" t="s">
        <v>534</v>
      </c>
      <c r="R1411" s="1640">
        <f t="shared" si="195"/>
        <v>373.74999999999994</v>
      </c>
      <c r="S1411" s="1658">
        <v>8</v>
      </c>
      <c r="T1411" s="1638" t="s">
        <v>4</v>
      </c>
      <c r="U1411" s="1627" t="s">
        <v>1949</v>
      </c>
      <c r="V1411" s="1640">
        <f t="shared" si="191"/>
        <v>20</v>
      </c>
      <c r="W1411" s="1628" t="s">
        <v>4</v>
      </c>
      <c r="X1411" s="1640">
        <f t="shared" si="192"/>
        <v>160</v>
      </c>
      <c r="Y1411" s="1640"/>
      <c r="Z1411" s="1692">
        <v>0.54</v>
      </c>
      <c r="AA1411" s="1638" t="s">
        <v>306</v>
      </c>
      <c r="AB1411" s="1638"/>
      <c r="AC1411" s="1627" t="s">
        <v>1952</v>
      </c>
      <c r="AD1411" s="1640">
        <f t="shared" si="189"/>
        <v>2654.4</v>
      </c>
      <c r="AE1411" s="1638" t="s">
        <v>306</v>
      </c>
      <c r="AF1411" s="1640">
        <f t="shared" si="190"/>
        <v>1433.3760000000002</v>
      </c>
      <c r="AG1411" s="1640">
        <f t="shared" si="193"/>
        <v>0</v>
      </c>
    </row>
    <row r="1412" spans="6:33" ht="24" customHeight="1">
      <c r="H1412" s="1627" t="s">
        <v>238</v>
      </c>
      <c r="K1412" s="1640">
        <f>SUM(K1405:K1409)</f>
        <v>3319.9059999999999</v>
      </c>
      <c r="L1412" s="1629">
        <f>SUM(K1433:K1436)</f>
        <v>3416.3779999999997</v>
      </c>
      <c r="M1412" s="1692">
        <v>1.3380000000000001</v>
      </c>
      <c r="N1412" s="1638" t="s">
        <v>533</v>
      </c>
      <c r="O1412" s="1627" t="s">
        <v>1940</v>
      </c>
      <c r="P1412" s="1640">
        <f t="shared" si="194"/>
        <v>306.89999999999998</v>
      </c>
      <c r="Q1412" s="1638" t="s">
        <v>533</v>
      </c>
      <c r="R1412" s="1640">
        <f t="shared" si="195"/>
        <v>410.63220000000001</v>
      </c>
      <c r="S1412" s="1658">
        <v>4</v>
      </c>
      <c r="T1412" s="1638" t="s">
        <v>4</v>
      </c>
      <c r="U1412" s="1627" t="s">
        <v>1951</v>
      </c>
      <c r="V1412" s="1640">
        <f t="shared" si="191"/>
        <v>15</v>
      </c>
      <c r="W1412" s="1628" t="s">
        <v>4</v>
      </c>
      <c r="X1412" s="1640">
        <f t="shared" si="192"/>
        <v>60</v>
      </c>
      <c r="Y1412" s="1640"/>
      <c r="AA1412" s="1630"/>
      <c r="AB1412" s="1630"/>
      <c r="AC1412" s="1627" t="s">
        <v>1954</v>
      </c>
      <c r="AE1412" s="1634"/>
      <c r="AF1412" s="1640">
        <v>0.7</v>
      </c>
      <c r="AG1412" s="1640">
        <f t="shared" si="193"/>
        <v>0</v>
      </c>
    </row>
    <row r="1413" spans="6:33" ht="24" customHeight="1">
      <c r="K1413" s="1636" t="s">
        <v>21</v>
      </c>
      <c r="M1413" s="1692">
        <v>9.2720000000000002</v>
      </c>
      <c r="N1413" s="1638" t="s">
        <v>303</v>
      </c>
      <c r="O1413" s="1685" t="s">
        <v>1975</v>
      </c>
      <c r="P1413" s="1640">
        <f t="shared" si="194"/>
        <v>29.05</v>
      </c>
      <c r="Q1413" s="1638" t="s">
        <v>303</v>
      </c>
      <c r="R1413" s="1640">
        <f t="shared" si="195"/>
        <v>269.35160000000002</v>
      </c>
      <c r="S1413" s="1658">
        <v>3.96</v>
      </c>
      <c r="T1413" s="1638" t="s">
        <v>306</v>
      </c>
      <c r="U1413" s="1627" t="s">
        <v>1952</v>
      </c>
      <c r="V1413" s="1640">
        <f t="shared" si="191"/>
        <v>2654.4</v>
      </c>
      <c r="W1413" s="1628" t="s">
        <v>306</v>
      </c>
      <c r="X1413" s="1640">
        <f t="shared" si="192"/>
        <v>10511.424000000001</v>
      </c>
      <c r="Y1413" s="1640"/>
      <c r="AC1413" s="1637" t="s">
        <v>1956</v>
      </c>
      <c r="AF1413" s="1639">
        <f>SUM(AF1400:AF1412)</f>
        <v>4188.0721000000003</v>
      </c>
      <c r="AG1413" s="1640">
        <f t="shared" si="193"/>
        <v>0</v>
      </c>
    </row>
    <row r="1414" spans="6:33" ht="24" customHeight="1">
      <c r="H1414" s="1641" t="s">
        <v>155</v>
      </c>
      <c r="K1414" s="1639">
        <f>(K1412/10)</f>
        <v>331.99059999999997</v>
      </c>
      <c r="M1414" s="1692">
        <v>8</v>
      </c>
      <c r="N1414" s="1638" t="s">
        <v>4</v>
      </c>
      <c r="O1414" s="1685" t="s">
        <v>1976</v>
      </c>
      <c r="P1414" s="1640">
        <f t="shared" si="194"/>
        <v>71.900000000000006</v>
      </c>
      <c r="Q1414" s="1638" t="s">
        <v>4</v>
      </c>
      <c r="R1414" s="1640">
        <f t="shared" si="195"/>
        <v>575.20000000000005</v>
      </c>
      <c r="T1414" s="1630"/>
      <c r="U1414" s="1627" t="s">
        <v>1954</v>
      </c>
      <c r="W1414" s="1634"/>
      <c r="X1414" s="1640">
        <v>0.09</v>
      </c>
      <c r="Y1414" s="1640"/>
      <c r="AG1414" s="1640">
        <f t="shared" si="193"/>
        <v>0</v>
      </c>
    </row>
    <row r="1415" spans="6:33" ht="24" customHeight="1">
      <c r="K1415" s="1636" t="s">
        <v>156</v>
      </c>
      <c r="M1415" s="1692">
        <v>4</v>
      </c>
      <c r="N1415" s="1638" t="s">
        <v>4</v>
      </c>
      <c r="O1415" s="1685" t="s">
        <v>1969</v>
      </c>
      <c r="P1415" s="1640">
        <f t="shared" si="194"/>
        <v>57.65</v>
      </c>
      <c r="Q1415" s="1638" t="s">
        <v>4</v>
      </c>
      <c r="R1415" s="1640">
        <f t="shared" si="195"/>
        <v>230.6</v>
      </c>
      <c r="U1415" s="1637" t="s">
        <v>1956</v>
      </c>
      <c r="W1415" s="1634"/>
      <c r="X1415" s="1639">
        <f>SUM(X1402:X1414)</f>
        <v>25499.294000000005</v>
      </c>
      <c r="Y1415" s="1639"/>
      <c r="AG1415" s="1640">
        <f t="shared" si="193"/>
        <v>0</v>
      </c>
    </row>
    <row r="1416" spans="6:33" ht="24" customHeight="1">
      <c r="F1416" s="1628" t="s">
        <v>1977</v>
      </c>
      <c r="G1416" s="1638" t="s">
        <v>249</v>
      </c>
      <c r="H1416" s="1627" t="s">
        <v>1978</v>
      </c>
      <c r="M1416" s="1692">
        <v>4</v>
      </c>
      <c r="N1416" s="1638" t="s">
        <v>4</v>
      </c>
      <c r="O1416" s="1627" t="s">
        <v>1948</v>
      </c>
      <c r="P1416" s="1640">
        <f t="shared" si="194"/>
        <v>30</v>
      </c>
      <c r="Q1416" s="1638" t="s">
        <v>4</v>
      </c>
      <c r="R1416" s="1640">
        <f t="shared" si="195"/>
        <v>120</v>
      </c>
      <c r="W1416" s="1634"/>
      <c r="AA1416" s="1630"/>
      <c r="AB1416" s="1630"/>
      <c r="AC1416" s="1661" t="s">
        <v>1979</v>
      </c>
      <c r="AE1416" s="1632"/>
      <c r="AG1416" s="1640">
        <f t="shared" si="193"/>
        <v>0</v>
      </c>
    </row>
    <row r="1417" spans="6:33" ht="24" customHeight="1">
      <c r="H1417" s="1636" t="s">
        <v>21</v>
      </c>
      <c r="M1417" s="1692">
        <v>4</v>
      </c>
      <c r="N1417" s="1638" t="s">
        <v>4</v>
      </c>
      <c r="O1417" s="1627" t="s">
        <v>1949</v>
      </c>
      <c r="P1417" s="1640">
        <f t="shared" si="194"/>
        <v>20</v>
      </c>
      <c r="Q1417" s="1638" t="s">
        <v>4</v>
      </c>
      <c r="R1417" s="1640">
        <f t="shared" si="195"/>
        <v>80</v>
      </c>
      <c r="W1417" s="1634"/>
      <c r="Z1417" s="1692">
        <f>4.2*0.775</f>
        <v>3.2550000000000003</v>
      </c>
      <c r="AA1417" s="1638" t="s">
        <v>534</v>
      </c>
      <c r="AB1417" s="1638"/>
      <c r="AC1417" s="1627" t="s">
        <v>1936</v>
      </c>
      <c r="AD1417" s="1640">
        <f>AD1400</f>
        <v>325</v>
      </c>
      <c r="AE1417" s="1638" t="s">
        <v>534</v>
      </c>
      <c r="AF1417" s="1640">
        <f t="shared" ref="AF1417:AF1428" si="196">AD1417*Z1417</f>
        <v>1057.875</v>
      </c>
      <c r="AG1417" s="1640">
        <f t="shared" si="193"/>
        <v>0</v>
      </c>
    </row>
    <row r="1418" spans="6:33" ht="24" customHeight="1">
      <c r="F1418" s="1640">
        <v>0.1</v>
      </c>
      <c r="G1418" s="1638" t="s">
        <v>151</v>
      </c>
      <c r="H1418" s="1627" t="s">
        <v>257</v>
      </c>
      <c r="I1418" s="1640">
        <f>(K32)</f>
        <v>5318.7</v>
      </c>
      <c r="J1418" s="1627" t="s">
        <v>151</v>
      </c>
      <c r="K1418" s="1640">
        <f>(F1418*I1418)</f>
        <v>531.87</v>
      </c>
      <c r="M1418" s="1692">
        <v>4</v>
      </c>
      <c r="N1418" s="1638" t="s">
        <v>4</v>
      </c>
      <c r="O1418" s="1627" t="s">
        <v>1951</v>
      </c>
      <c r="P1418" s="1640">
        <f t="shared" si="194"/>
        <v>15</v>
      </c>
      <c r="Q1418" s="1638" t="s">
        <v>4</v>
      </c>
      <c r="R1418" s="1640">
        <f t="shared" si="195"/>
        <v>60</v>
      </c>
      <c r="U1418" s="1661" t="s">
        <v>1980</v>
      </c>
      <c r="W1418" s="1634"/>
      <c r="Z1418" s="1692">
        <v>2.3580000000000001</v>
      </c>
      <c r="AA1418" s="1638" t="s">
        <v>534</v>
      </c>
      <c r="AB1418" s="1638"/>
      <c r="AC1418" s="1627" t="s">
        <v>1936</v>
      </c>
      <c r="AD1418" s="1640">
        <f t="shared" ref="AD1418:AD1428" si="197">AD1401</f>
        <v>325</v>
      </c>
      <c r="AE1418" s="1638" t="s">
        <v>534</v>
      </c>
      <c r="AF1418" s="1640">
        <f t="shared" si="196"/>
        <v>766.35</v>
      </c>
      <c r="AG1418" s="1640">
        <f t="shared" si="193"/>
        <v>0</v>
      </c>
    </row>
    <row r="1419" spans="6:33" ht="24" customHeight="1">
      <c r="F1419" s="1640">
        <v>1.1000000000000001</v>
      </c>
      <c r="G1419" s="1638" t="s">
        <v>153</v>
      </c>
      <c r="H1419" s="1627" t="s">
        <v>269</v>
      </c>
      <c r="I1419" s="1640">
        <f>(C10)</f>
        <v>1325.8</v>
      </c>
      <c r="J1419" s="1627" t="s">
        <v>153</v>
      </c>
      <c r="K1419" s="1640">
        <f>(F1419*I1419)</f>
        <v>1458.38</v>
      </c>
      <c r="L1419" s="1629">
        <f>M1458+M1459+M1460</f>
        <v>11.742000000000001</v>
      </c>
      <c r="M1419" s="1692">
        <v>1.62</v>
      </c>
      <c r="N1419" s="1638" t="s">
        <v>306</v>
      </c>
      <c r="O1419" s="1627" t="s">
        <v>1952</v>
      </c>
      <c r="P1419" s="1640">
        <f t="shared" si="194"/>
        <v>2654.4</v>
      </c>
      <c r="Q1419" s="1638" t="s">
        <v>306</v>
      </c>
      <c r="R1419" s="1640">
        <f t="shared" si="195"/>
        <v>4300.1280000000006</v>
      </c>
      <c r="S1419" s="1658">
        <v>4.42</v>
      </c>
      <c r="T1419" s="1638" t="s">
        <v>534</v>
      </c>
      <c r="U1419" s="1627" t="s">
        <v>1936</v>
      </c>
      <c r="V1419" s="1640">
        <f>P1458</f>
        <v>325</v>
      </c>
      <c r="W1419" s="1628" t="s">
        <v>534</v>
      </c>
      <c r="X1419" s="1640">
        <f>V1419*S1419</f>
        <v>1436.5</v>
      </c>
      <c r="Y1419" s="1640"/>
      <c r="Z1419" s="1692">
        <f>8.08*0.663</f>
        <v>5.3570400000000005</v>
      </c>
      <c r="AA1419" s="1638" t="s">
        <v>534</v>
      </c>
      <c r="AB1419" s="1638"/>
      <c r="AC1419" s="1627" t="s">
        <v>1936</v>
      </c>
      <c r="AD1419" s="1640">
        <f t="shared" si="197"/>
        <v>325</v>
      </c>
      <c r="AE1419" s="1638" t="s">
        <v>534</v>
      </c>
      <c r="AF1419" s="1640">
        <f t="shared" si="196"/>
        <v>1741.0380000000002</v>
      </c>
      <c r="AG1419" s="1640">
        <f t="shared" si="193"/>
        <v>0</v>
      </c>
    </row>
    <row r="1420" spans="6:33" ht="24" customHeight="1">
      <c r="F1420" s="1640">
        <v>1.1000000000000001</v>
      </c>
      <c r="G1420" s="1638" t="s">
        <v>153</v>
      </c>
      <c r="H1420" s="1627" t="s">
        <v>235</v>
      </c>
      <c r="I1420" s="1640">
        <f>(C12)</f>
        <v>865.19999999999993</v>
      </c>
      <c r="J1420" s="1627" t="s">
        <v>153</v>
      </c>
      <c r="K1420" s="1640">
        <f>(F1420*I1420)</f>
        <v>951.72</v>
      </c>
      <c r="N1420" s="1630"/>
      <c r="O1420" s="1627" t="s">
        <v>1954</v>
      </c>
      <c r="Q1420" s="1634"/>
      <c r="R1420" s="1640">
        <v>0.25</v>
      </c>
      <c r="S1420" s="1658">
        <v>4.72</v>
      </c>
      <c r="T1420" s="1638" t="s">
        <v>534</v>
      </c>
      <c r="U1420" s="1627" t="s">
        <v>1936</v>
      </c>
      <c r="V1420" s="1640">
        <f>P1459</f>
        <v>325</v>
      </c>
      <c r="W1420" s="1628" t="s">
        <v>534</v>
      </c>
      <c r="X1420" s="1640">
        <f t="shared" ref="X1420:X1430" si="198">V1420*S1420</f>
        <v>1534</v>
      </c>
      <c r="Y1420" s="1640"/>
      <c r="Z1420" s="1692">
        <v>0.92600000000000005</v>
      </c>
      <c r="AA1420" s="1638" t="s">
        <v>534</v>
      </c>
      <c r="AB1420" s="1638"/>
      <c r="AC1420" s="1627" t="s">
        <v>1936</v>
      </c>
      <c r="AD1420" s="1640">
        <f t="shared" si="197"/>
        <v>325</v>
      </c>
      <c r="AE1420" s="1638" t="s">
        <v>534</v>
      </c>
      <c r="AF1420" s="1640">
        <f t="shared" si="196"/>
        <v>300.95</v>
      </c>
      <c r="AG1420" s="1640">
        <f t="shared" si="193"/>
        <v>0</v>
      </c>
    </row>
    <row r="1421" spans="6:33" ht="24" customHeight="1">
      <c r="F1421" s="1640">
        <v>1.1000000000000001</v>
      </c>
      <c r="G1421" s="1638" t="s">
        <v>153</v>
      </c>
      <c r="H1421" s="1627" t="s">
        <v>236</v>
      </c>
      <c r="I1421" s="1640">
        <f>(C13)</f>
        <v>709.8</v>
      </c>
      <c r="J1421" s="1627" t="s">
        <v>153</v>
      </c>
      <c r="K1421" s="1640">
        <f>(F1421*I1421)</f>
        <v>780.78</v>
      </c>
      <c r="R1421" s="1639">
        <f>SUM(R1408:R1420)</f>
        <v>10761.911800000002</v>
      </c>
      <c r="S1421" s="1658">
        <v>9.06</v>
      </c>
      <c r="T1421" s="1638" t="s">
        <v>534</v>
      </c>
      <c r="U1421" s="1627" t="s">
        <v>1936</v>
      </c>
      <c r="V1421" s="1640">
        <f>P1460</f>
        <v>325</v>
      </c>
      <c r="W1421" s="1628" t="s">
        <v>534</v>
      </c>
      <c r="X1421" s="1640">
        <f t="shared" si="198"/>
        <v>2944.5</v>
      </c>
      <c r="Y1421" s="1640"/>
      <c r="Z1421" s="1692">
        <v>0.85</v>
      </c>
      <c r="AA1421" s="1638" t="s">
        <v>533</v>
      </c>
      <c r="AB1421" s="1638"/>
      <c r="AC1421" s="1627" t="s">
        <v>1940</v>
      </c>
      <c r="AD1421" s="1640">
        <f t="shared" si="197"/>
        <v>306.89999999999998</v>
      </c>
      <c r="AE1421" s="1638" t="s">
        <v>533</v>
      </c>
      <c r="AF1421" s="1640">
        <f t="shared" si="196"/>
        <v>260.86499999999995</v>
      </c>
      <c r="AG1421" s="1640">
        <f t="shared" si="193"/>
        <v>0</v>
      </c>
    </row>
    <row r="1422" spans="6:33" ht="24" customHeight="1">
      <c r="G1422" s="1638" t="s">
        <v>226</v>
      </c>
      <c r="H1422" s="1627" t="s">
        <v>237</v>
      </c>
      <c r="I1422" s="1627" t="s">
        <v>150</v>
      </c>
      <c r="J1422" s="1627" t="s">
        <v>226</v>
      </c>
      <c r="K1422" s="1640">
        <v>5</v>
      </c>
      <c r="M1422" s="1640"/>
      <c r="N1422" s="1638"/>
      <c r="O1422" s="1627"/>
      <c r="P1422" s="1640"/>
      <c r="Q1422" s="1628"/>
      <c r="R1422" s="1640"/>
      <c r="S1422" s="1658">
        <v>1.58</v>
      </c>
      <c r="T1422" s="1638" t="s">
        <v>534</v>
      </c>
      <c r="U1422" s="1627" t="s">
        <v>1936</v>
      </c>
      <c r="V1422" s="1640">
        <f>P1461</f>
        <v>325</v>
      </c>
      <c r="W1422" s="1628" t="s">
        <v>534</v>
      </c>
      <c r="X1422" s="1640">
        <f t="shared" si="198"/>
        <v>513.5</v>
      </c>
      <c r="Y1422" s="1640"/>
      <c r="Z1422" s="1692">
        <v>7.4720000000000004</v>
      </c>
      <c r="AA1422" s="1638" t="s">
        <v>303</v>
      </c>
      <c r="AB1422" s="1638"/>
      <c r="AC1422" s="1627" t="s">
        <v>1942</v>
      </c>
      <c r="AD1422" s="1640">
        <f t="shared" si="197"/>
        <v>29.05</v>
      </c>
      <c r="AE1422" s="1638" t="s">
        <v>303</v>
      </c>
      <c r="AF1422" s="1640">
        <f t="shared" si="196"/>
        <v>217.06160000000003</v>
      </c>
      <c r="AG1422" s="1640">
        <f t="shared" si="193"/>
        <v>0</v>
      </c>
    </row>
    <row r="1423" spans="6:33" ht="24" customHeight="1">
      <c r="K1423" s="1636" t="s">
        <v>21</v>
      </c>
      <c r="M1423" s="1640"/>
      <c r="N1423" s="1638"/>
      <c r="O1423" s="1627"/>
      <c r="P1423" s="1640"/>
      <c r="Q1423" s="1628"/>
      <c r="R1423" s="1640"/>
      <c r="S1423" s="1658">
        <v>1.65</v>
      </c>
      <c r="T1423" s="1638" t="s">
        <v>533</v>
      </c>
      <c r="U1423" s="1627" t="s">
        <v>1940</v>
      </c>
      <c r="V1423" s="1640">
        <f>P1429</f>
        <v>306.89999999999998</v>
      </c>
      <c r="W1423" s="1628" t="s">
        <v>533</v>
      </c>
      <c r="X1423" s="1640">
        <f t="shared" si="198"/>
        <v>506.38499999999993</v>
      </c>
      <c r="Y1423" s="1640"/>
      <c r="Z1423" s="1692">
        <v>8</v>
      </c>
      <c r="AA1423" s="1638" t="s">
        <v>4</v>
      </c>
      <c r="AB1423" s="1638"/>
      <c r="AC1423" s="1627" t="s">
        <v>1943</v>
      </c>
      <c r="AD1423" s="1640">
        <f t="shared" si="197"/>
        <v>71.900000000000006</v>
      </c>
      <c r="AE1423" s="1638" t="s">
        <v>4</v>
      </c>
      <c r="AF1423" s="1640">
        <f t="shared" si="196"/>
        <v>575.20000000000005</v>
      </c>
      <c r="AG1423" s="1640">
        <f t="shared" si="193"/>
        <v>0</v>
      </c>
    </row>
    <row r="1424" spans="6:33" ht="24" customHeight="1">
      <c r="H1424" s="1627" t="s">
        <v>238</v>
      </c>
      <c r="K1424" s="1640">
        <f>SUM(K1418:K1422)</f>
        <v>3727.75</v>
      </c>
      <c r="N1424" s="1630"/>
      <c r="O1424" s="1661" t="s">
        <v>1981</v>
      </c>
      <c r="Q1424" s="1632"/>
      <c r="S1424" s="1658">
        <v>12.74</v>
      </c>
      <c r="T1424" s="1638" t="s">
        <v>303</v>
      </c>
      <c r="U1424" s="1627" t="s">
        <v>1942</v>
      </c>
      <c r="V1424" s="1640">
        <f>P1463</f>
        <v>29.05</v>
      </c>
      <c r="W1424" s="1628" t="s">
        <v>303</v>
      </c>
      <c r="X1424" s="1640">
        <f t="shared" si="198"/>
        <v>370.09700000000004</v>
      </c>
      <c r="Y1424" s="1640"/>
      <c r="Z1424" s="1692">
        <v>4</v>
      </c>
      <c r="AA1424" s="1638" t="s">
        <v>4</v>
      </c>
      <c r="AB1424" s="1638"/>
      <c r="AC1424" s="1627" t="s">
        <v>1945</v>
      </c>
      <c r="AD1424" s="1640">
        <f t="shared" si="197"/>
        <v>57.65</v>
      </c>
      <c r="AE1424" s="1638" t="s">
        <v>4</v>
      </c>
      <c r="AF1424" s="1640">
        <f t="shared" si="196"/>
        <v>230.6</v>
      </c>
      <c r="AG1424" s="1640">
        <f t="shared" si="193"/>
        <v>0</v>
      </c>
    </row>
    <row r="1425" spans="6:33" ht="24" customHeight="1">
      <c r="H1425" s="1634"/>
      <c r="K1425" s="1636" t="s">
        <v>21</v>
      </c>
      <c r="M1425" s="1692">
        <v>2.79</v>
      </c>
      <c r="N1425" s="1638" t="s">
        <v>534</v>
      </c>
      <c r="O1425" s="1685" t="s">
        <v>1974</v>
      </c>
      <c r="P1425" s="1640">
        <f>P1408</f>
        <v>325</v>
      </c>
      <c r="Q1425" s="1638" t="s">
        <v>534</v>
      </c>
      <c r="R1425" s="1640">
        <f>P1425*M1425</f>
        <v>906.75</v>
      </c>
      <c r="S1425" s="1658">
        <v>12</v>
      </c>
      <c r="T1425" s="1638" t="s">
        <v>4</v>
      </c>
      <c r="U1425" s="1627" t="s">
        <v>1943</v>
      </c>
      <c r="V1425" s="1640">
        <f>P1464</f>
        <v>71.900000000000006</v>
      </c>
      <c r="W1425" s="1628" t="s">
        <v>4</v>
      </c>
      <c r="X1425" s="1640">
        <f t="shared" si="198"/>
        <v>862.80000000000007</v>
      </c>
      <c r="Y1425" s="1640"/>
      <c r="Z1425" s="1692">
        <v>4</v>
      </c>
      <c r="AA1425" s="1638" t="s">
        <v>4</v>
      </c>
      <c r="AB1425" s="1638"/>
      <c r="AC1425" s="1627" t="s">
        <v>1948</v>
      </c>
      <c r="AD1425" s="1640">
        <f t="shared" si="197"/>
        <v>30</v>
      </c>
      <c r="AE1425" s="1638" t="s">
        <v>4</v>
      </c>
      <c r="AF1425" s="1640">
        <f t="shared" si="196"/>
        <v>120</v>
      </c>
      <c r="AG1425" s="1640">
        <f t="shared" si="193"/>
        <v>0</v>
      </c>
    </row>
    <row r="1426" spans="6:33" ht="24" customHeight="1">
      <c r="H1426" s="1641" t="s">
        <v>155</v>
      </c>
      <c r="I1426" s="1661"/>
      <c r="J1426" s="1676"/>
      <c r="K1426" s="1639">
        <f>(K1424/10)</f>
        <v>372.77499999999998</v>
      </c>
      <c r="M1426" s="1692">
        <v>0.5</v>
      </c>
      <c r="N1426" s="1638" t="s">
        <v>534</v>
      </c>
      <c r="O1426" s="1627" t="s">
        <v>1936</v>
      </c>
      <c r="P1426" s="1640">
        <f t="shared" ref="P1426:P1436" si="199">P1409</f>
        <v>325</v>
      </c>
      <c r="Q1426" s="1638" t="s">
        <v>534</v>
      </c>
      <c r="R1426" s="1640">
        <f t="shared" ref="R1426:R1436" si="200">P1426*M1426</f>
        <v>162.5</v>
      </c>
      <c r="S1426" s="1658">
        <v>6</v>
      </c>
      <c r="T1426" s="1638" t="s">
        <v>4</v>
      </c>
      <c r="U1426" s="1627" t="s">
        <v>1945</v>
      </c>
      <c r="V1426" s="1640">
        <f>P1465</f>
        <v>57.65</v>
      </c>
      <c r="W1426" s="1628" t="s">
        <v>4</v>
      </c>
      <c r="X1426" s="1640">
        <f t="shared" si="198"/>
        <v>345.9</v>
      </c>
      <c r="Y1426" s="1640"/>
      <c r="Z1426" s="1692">
        <v>4</v>
      </c>
      <c r="AA1426" s="1638" t="s">
        <v>4</v>
      </c>
      <c r="AB1426" s="1638"/>
      <c r="AC1426" s="1627" t="s">
        <v>1949</v>
      </c>
      <c r="AD1426" s="1640">
        <f t="shared" si="197"/>
        <v>20</v>
      </c>
      <c r="AE1426" s="1638" t="s">
        <v>4</v>
      </c>
      <c r="AF1426" s="1640">
        <f t="shared" si="196"/>
        <v>80</v>
      </c>
      <c r="AG1426" s="1640">
        <f t="shared" si="193"/>
        <v>0</v>
      </c>
    </row>
    <row r="1427" spans="6:33" ht="24" customHeight="1">
      <c r="K1427" s="1636" t="s">
        <v>156</v>
      </c>
      <c r="M1427" s="1692">
        <v>2.85</v>
      </c>
      <c r="N1427" s="1638" t="s">
        <v>534</v>
      </c>
      <c r="O1427" s="1627" t="s">
        <v>1936</v>
      </c>
      <c r="P1427" s="1640">
        <f t="shared" si="199"/>
        <v>325</v>
      </c>
      <c r="Q1427" s="1638" t="s">
        <v>534</v>
      </c>
      <c r="R1427" s="1640">
        <f t="shared" si="200"/>
        <v>926.25</v>
      </c>
      <c r="S1427" s="1658">
        <v>6</v>
      </c>
      <c r="T1427" s="1638" t="s">
        <v>4</v>
      </c>
      <c r="U1427" s="1627" t="s">
        <v>1948</v>
      </c>
      <c r="V1427" s="1640">
        <v>30</v>
      </c>
      <c r="W1427" s="1628" t="s">
        <v>4</v>
      </c>
      <c r="X1427" s="1640">
        <f t="shared" si="198"/>
        <v>180</v>
      </c>
      <c r="Y1427" s="1640"/>
      <c r="Z1427" s="1692">
        <v>4</v>
      </c>
      <c r="AA1427" s="1638" t="s">
        <v>4</v>
      </c>
      <c r="AB1427" s="1638"/>
      <c r="AC1427" s="1627" t="s">
        <v>1951</v>
      </c>
      <c r="AD1427" s="1640">
        <f t="shared" si="197"/>
        <v>15</v>
      </c>
      <c r="AE1427" s="1638" t="s">
        <v>4</v>
      </c>
      <c r="AF1427" s="1640">
        <f t="shared" si="196"/>
        <v>60</v>
      </c>
      <c r="AG1427" s="1640">
        <f t="shared" si="193"/>
        <v>0</v>
      </c>
    </row>
    <row r="1428" spans="6:33" ht="24" customHeight="1">
      <c r="M1428" s="1692">
        <v>0.5</v>
      </c>
      <c r="N1428" s="1638" t="s">
        <v>534</v>
      </c>
      <c r="O1428" s="1627" t="s">
        <v>1936</v>
      </c>
      <c r="P1428" s="1640">
        <f t="shared" si="199"/>
        <v>325</v>
      </c>
      <c r="Q1428" s="1638" t="s">
        <v>534</v>
      </c>
      <c r="R1428" s="1640">
        <f t="shared" si="200"/>
        <v>162.5</v>
      </c>
      <c r="S1428" s="1658">
        <v>6</v>
      </c>
      <c r="T1428" s="1638" t="s">
        <v>4</v>
      </c>
      <c r="U1428" s="1627" t="s">
        <v>1949</v>
      </c>
      <c r="V1428" s="1640">
        <v>20</v>
      </c>
      <c r="W1428" s="1628" t="s">
        <v>4</v>
      </c>
      <c r="X1428" s="1640">
        <f t="shared" si="198"/>
        <v>120</v>
      </c>
      <c r="Y1428" s="1640"/>
      <c r="Z1428" s="1692">
        <v>1.08</v>
      </c>
      <c r="AA1428" s="1638" t="s">
        <v>306</v>
      </c>
      <c r="AB1428" s="1638"/>
      <c r="AC1428" s="1627" t="s">
        <v>1952</v>
      </c>
      <c r="AD1428" s="1640">
        <f t="shared" si="197"/>
        <v>2654.4</v>
      </c>
      <c r="AE1428" s="1638" t="s">
        <v>306</v>
      </c>
      <c r="AF1428" s="1640">
        <f t="shared" si="196"/>
        <v>2866.7520000000004</v>
      </c>
      <c r="AG1428" s="1640">
        <f t="shared" si="193"/>
        <v>0</v>
      </c>
    </row>
    <row r="1429" spans="6:33" ht="24" customHeight="1">
      <c r="G1429" s="1638" t="s">
        <v>249</v>
      </c>
      <c r="H1429" s="1627" t="s">
        <v>1982</v>
      </c>
      <c r="M1429" s="1692">
        <v>0.47099999999999997</v>
      </c>
      <c r="N1429" s="1638" t="s">
        <v>533</v>
      </c>
      <c r="O1429" s="1627" t="s">
        <v>1940</v>
      </c>
      <c r="P1429" s="1640">
        <f t="shared" si="199"/>
        <v>306.89999999999998</v>
      </c>
      <c r="Q1429" s="1638" t="s">
        <v>533</v>
      </c>
      <c r="R1429" s="1640">
        <f t="shared" si="200"/>
        <v>144.54989999999998</v>
      </c>
      <c r="S1429" s="1658">
        <v>4</v>
      </c>
      <c r="T1429" s="1638" t="s">
        <v>4</v>
      </c>
      <c r="U1429" s="1627" t="s">
        <v>1951</v>
      </c>
      <c r="V1429" s="1640">
        <v>15</v>
      </c>
      <c r="W1429" s="1628" t="s">
        <v>4</v>
      </c>
      <c r="X1429" s="1640">
        <f t="shared" si="198"/>
        <v>60</v>
      </c>
      <c r="Y1429" s="1640"/>
      <c r="AA1429" s="1630"/>
      <c r="AB1429" s="1630"/>
      <c r="AC1429" s="1627" t="s">
        <v>1954</v>
      </c>
      <c r="AE1429" s="1634"/>
      <c r="AF1429" s="1640">
        <v>0.96</v>
      </c>
      <c r="AG1429" s="1640">
        <f t="shared" si="193"/>
        <v>0</v>
      </c>
    </row>
    <row r="1430" spans="6:33" ht="24" customHeight="1">
      <c r="H1430" s="1627" t="s">
        <v>1983</v>
      </c>
      <c r="M1430" s="1692">
        <v>3.996</v>
      </c>
      <c r="N1430" s="1638" t="s">
        <v>303</v>
      </c>
      <c r="O1430" s="1685" t="s">
        <v>1975</v>
      </c>
      <c r="P1430" s="1640">
        <f t="shared" si="199"/>
        <v>29.05</v>
      </c>
      <c r="Q1430" s="1638" t="s">
        <v>303</v>
      </c>
      <c r="R1430" s="1640">
        <f t="shared" si="200"/>
        <v>116.0838</v>
      </c>
      <c r="S1430" s="1658">
        <f>1.5*1.35</f>
        <v>2.0250000000000004</v>
      </c>
      <c r="T1430" s="1638" t="s">
        <v>306</v>
      </c>
      <c r="U1430" s="1627" t="s">
        <v>1952</v>
      </c>
      <c r="V1430" s="1640">
        <f>P1469</f>
        <v>2654.4</v>
      </c>
      <c r="W1430" s="1628" t="s">
        <v>306</v>
      </c>
      <c r="X1430" s="1640">
        <f t="shared" si="198"/>
        <v>5375.1600000000008</v>
      </c>
      <c r="Y1430" s="1640"/>
      <c r="AC1430" s="1637" t="s">
        <v>1956</v>
      </c>
      <c r="AF1430" s="1639">
        <f>SUM(AF1417:AF1429)</f>
        <v>8277.6515999999992</v>
      </c>
      <c r="AG1430" s="1640">
        <f t="shared" si="193"/>
        <v>0</v>
      </c>
    </row>
    <row r="1431" spans="6:33" ht="24" customHeight="1">
      <c r="H1431" s="1627" t="s">
        <v>1984</v>
      </c>
      <c r="M1431" s="1692">
        <v>4</v>
      </c>
      <c r="N1431" s="1638" t="s">
        <v>4</v>
      </c>
      <c r="O1431" s="1685" t="s">
        <v>1976</v>
      </c>
      <c r="P1431" s="1640">
        <f t="shared" si="199"/>
        <v>71.900000000000006</v>
      </c>
      <c r="Q1431" s="1638" t="s">
        <v>4</v>
      </c>
      <c r="R1431" s="1640">
        <f t="shared" si="200"/>
        <v>287.60000000000002</v>
      </c>
      <c r="T1431" s="1630"/>
      <c r="U1431" s="1627" t="s">
        <v>1954</v>
      </c>
      <c r="W1431" s="1634"/>
      <c r="X1431" s="1640">
        <v>0.31</v>
      </c>
      <c r="Y1431" s="1640"/>
      <c r="AG1431" s="1640">
        <f t="shared" si="193"/>
        <v>0</v>
      </c>
    </row>
    <row r="1432" spans="6:33" ht="24" customHeight="1">
      <c r="H1432" s="1636" t="s">
        <v>21</v>
      </c>
      <c r="M1432" s="1692">
        <v>2</v>
      </c>
      <c r="N1432" s="1638" t="s">
        <v>4</v>
      </c>
      <c r="O1432" s="1685" t="s">
        <v>1969</v>
      </c>
      <c r="P1432" s="1640">
        <f t="shared" si="199"/>
        <v>57.65</v>
      </c>
      <c r="Q1432" s="1638" t="s">
        <v>4</v>
      </c>
      <c r="R1432" s="1640">
        <f t="shared" si="200"/>
        <v>115.3</v>
      </c>
      <c r="U1432" s="1637" t="s">
        <v>1956</v>
      </c>
      <c r="W1432" s="1634"/>
      <c r="X1432" s="1639">
        <f>SUM(X1419:X1431)</f>
        <v>14249.152</v>
      </c>
      <c r="Y1432" s="1639"/>
      <c r="AG1432" s="1640">
        <f t="shared" si="193"/>
        <v>0</v>
      </c>
    </row>
    <row r="1433" spans="6:33" ht="24" customHeight="1">
      <c r="F1433" s="1640">
        <v>0.14000000000000001</v>
      </c>
      <c r="G1433" s="1638" t="s">
        <v>151</v>
      </c>
      <c r="H1433" s="1627" t="s">
        <v>257</v>
      </c>
      <c r="I1433" s="1640">
        <f>(K32)</f>
        <v>5318.7</v>
      </c>
      <c r="J1433" s="1627" t="s">
        <v>151</v>
      </c>
      <c r="K1433" s="1640">
        <f>(F1433*I1433)</f>
        <v>744.61800000000005</v>
      </c>
      <c r="M1433" s="1692">
        <v>2</v>
      </c>
      <c r="N1433" s="1638" t="s">
        <v>4</v>
      </c>
      <c r="O1433" s="1627" t="s">
        <v>1948</v>
      </c>
      <c r="P1433" s="1640">
        <f t="shared" si="199"/>
        <v>30</v>
      </c>
      <c r="Q1433" s="1638" t="s">
        <v>4</v>
      </c>
      <c r="R1433" s="1640">
        <f t="shared" si="200"/>
        <v>60</v>
      </c>
      <c r="U1433" s="1629">
        <f>2.025</f>
        <v>2.0249999999999999</v>
      </c>
      <c r="W1433" s="1634"/>
      <c r="Z1433" s="1633"/>
      <c r="AA1433" s="1630"/>
      <c r="AB1433" s="1630"/>
      <c r="AC1433" s="1661" t="s">
        <v>1985</v>
      </c>
      <c r="AD1433" s="1688" t="s">
        <v>1986</v>
      </c>
      <c r="AE1433" s="1688"/>
      <c r="AF1433" s="1688"/>
      <c r="AG1433" s="1640">
        <f t="shared" si="193"/>
        <v>0</v>
      </c>
    </row>
    <row r="1434" spans="6:33" ht="24" customHeight="1">
      <c r="F1434" s="1640">
        <v>1.1000000000000001</v>
      </c>
      <c r="G1434" s="1638" t="s">
        <v>153</v>
      </c>
      <c r="H1434" s="1627" t="s">
        <v>269</v>
      </c>
      <c r="I1434" s="1640">
        <f>(C10)</f>
        <v>1325.8</v>
      </c>
      <c r="J1434" s="1627" t="s">
        <v>153</v>
      </c>
      <c r="K1434" s="1640">
        <f>(F1434*I1434)</f>
        <v>1458.38</v>
      </c>
      <c r="M1434" s="1692">
        <v>2</v>
      </c>
      <c r="N1434" s="1638" t="s">
        <v>4</v>
      </c>
      <c r="O1434" s="1627" t="s">
        <v>1949</v>
      </c>
      <c r="P1434" s="1640">
        <f t="shared" si="199"/>
        <v>20</v>
      </c>
      <c r="Q1434" s="1638" t="s">
        <v>4</v>
      </c>
      <c r="R1434" s="1640">
        <f t="shared" si="200"/>
        <v>40</v>
      </c>
      <c r="W1434" s="1634"/>
      <c r="Z1434" s="1658">
        <v>4.21</v>
      </c>
      <c r="AA1434" s="1638" t="s">
        <v>534</v>
      </c>
      <c r="AB1434" s="1638"/>
      <c r="AC1434" s="1627" t="s">
        <v>1936</v>
      </c>
      <c r="AD1434" s="1640">
        <f>V1436</f>
        <v>325</v>
      </c>
      <c r="AE1434" s="1638" t="s">
        <v>534</v>
      </c>
      <c r="AF1434" s="1640">
        <f>AD1434*Z1434</f>
        <v>1368.25</v>
      </c>
      <c r="AG1434" s="1640">
        <f t="shared" si="193"/>
        <v>0</v>
      </c>
    </row>
    <row r="1435" spans="6:33" ht="24" customHeight="1">
      <c r="F1435" s="1640">
        <v>0.5</v>
      </c>
      <c r="G1435" s="1638" t="s">
        <v>153</v>
      </c>
      <c r="H1435" s="1627" t="s">
        <v>235</v>
      </c>
      <c r="I1435" s="1640">
        <f>(C12)</f>
        <v>865.19999999999993</v>
      </c>
      <c r="J1435" s="1627" t="s">
        <v>153</v>
      </c>
      <c r="K1435" s="1640">
        <f>(F1435*I1435)</f>
        <v>432.59999999999997</v>
      </c>
      <c r="M1435" s="1692">
        <v>4</v>
      </c>
      <c r="N1435" s="1638" t="s">
        <v>4</v>
      </c>
      <c r="O1435" s="1627" t="s">
        <v>1951</v>
      </c>
      <c r="P1435" s="1640">
        <f t="shared" si="199"/>
        <v>15</v>
      </c>
      <c r="Q1435" s="1638" t="s">
        <v>4</v>
      </c>
      <c r="R1435" s="1640">
        <f t="shared" si="200"/>
        <v>60</v>
      </c>
      <c r="T1435" s="1630"/>
      <c r="U1435" s="1661" t="s">
        <v>1987</v>
      </c>
      <c r="V1435" s="1688" t="s">
        <v>1986</v>
      </c>
      <c r="W1435" s="1677"/>
      <c r="X1435" s="1688"/>
      <c r="Y1435" s="1688"/>
      <c r="Z1435" s="1658">
        <v>0.40500000000000003</v>
      </c>
      <c r="AA1435" s="1638" t="s">
        <v>533</v>
      </c>
      <c r="AB1435" s="1638"/>
      <c r="AC1435" s="1627" t="s">
        <v>1940</v>
      </c>
      <c r="AD1435" s="1640">
        <f>V1437</f>
        <v>306.89999999999998</v>
      </c>
      <c r="AE1435" s="1638" t="s">
        <v>534</v>
      </c>
      <c r="AF1435" s="1640">
        <f>AD1435*Z1435</f>
        <v>124.2945</v>
      </c>
      <c r="AG1435" s="1640">
        <f t="shared" si="193"/>
        <v>0</v>
      </c>
    </row>
    <row r="1436" spans="6:33" ht="24" customHeight="1">
      <c r="F1436" s="1640">
        <v>1.1000000000000001</v>
      </c>
      <c r="G1436" s="1638" t="s">
        <v>153</v>
      </c>
      <c r="H1436" s="1627" t="s">
        <v>236</v>
      </c>
      <c r="I1436" s="1640">
        <f>(C13)</f>
        <v>709.8</v>
      </c>
      <c r="J1436" s="1627" t="s">
        <v>153</v>
      </c>
      <c r="K1436" s="1640">
        <f>(F1436*I1436)</f>
        <v>780.78</v>
      </c>
      <c r="M1436" s="1692">
        <v>0.60799999999999998</v>
      </c>
      <c r="N1436" s="1638" t="s">
        <v>306</v>
      </c>
      <c r="O1436" s="1627" t="s">
        <v>1952</v>
      </c>
      <c r="P1436" s="1640">
        <f t="shared" si="199"/>
        <v>2654.4</v>
      </c>
      <c r="Q1436" s="1638" t="s">
        <v>306</v>
      </c>
      <c r="R1436" s="1640">
        <f t="shared" si="200"/>
        <v>1613.8751999999999</v>
      </c>
      <c r="S1436" s="1658">
        <v>3.7389999999999999</v>
      </c>
      <c r="T1436" s="1638" t="s">
        <v>534</v>
      </c>
      <c r="U1436" s="1627" t="s">
        <v>1936</v>
      </c>
      <c r="V1436" s="1640">
        <f>P1475</f>
        <v>325</v>
      </c>
      <c r="W1436" s="1628" t="s">
        <v>534</v>
      </c>
      <c r="X1436" s="1640">
        <f>V1436*S1436</f>
        <v>1215.175</v>
      </c>
      <c r="Y1436" s="1640"/>
      <c r="Z1436" s="1658">
        <v>0.40500000000000003</v>
      </c>
      <c r="AA1436" s="1638" t="s">
        <v>533</v>
      </c>
      <c r="AB1436" s="1638"/>
      <c r="AC1436" s="1627" t="s">
        <v>1952</v>
      </c>
      <c r="AD1436" s="1640">
        <f>V1438</f>
        <v>2654.4</v>
      </c>
      <c r="AE1436" s="1638" t="s">
        <v>534</v>
      </c>
      <c r="AF1436" s="1640">
        <f>AD1436*Z1436</f>
        <v>1075.0320000000002</v>
      </c>
      <c r="AG1436" s="1640">
        <f t="shared" si="193"/>
        <v>0</v>
      </c>
    </row>
    <row r="1437" spans="6:33" ht="24" customHeight="1">
      <c r="F1437" s="1640">
        <v>2</v>
      </c>
      <c r="G1437" s="1638" t="s">
        <v>13</v>
      </c>
      <c r="H1437" s="1627" t="s">
        <v>1988</v>
      </c>
      <c r="I1437" s="1640">
        <f>(C653)</f>
        <v>42.7</v>
      </c>
      <c r="J1437" s="1627" t="s">
        <v>13</v>
      </c>
      <c r="K1437" s="1640">
        <f>(F1437*I1437)</f>
        <v>85.4</v>
      </c>
      <c r="N1437" s="1630"/>
      <c r="O1437" s="1627" t="s">
        <v>1954</v>
      </c>
      <c r="Q1437" s="1634"/>
      <c r="R1437" s="1640">
        <v>0.57999999999999996</v>
      </c>
      <c r="S1437" s="1658">
        <v>0.36</v>
      </c>
      <c r="T1437" s="1638" t="s">
        <v>533</v>
      </c>
      <c r="U1437" s="1627" t="s">
        <v>1940</v>
      </c>
      <c r="V1437" s="1640">
        <f>P1476</f>
        <v>306.89999999999998</v>
      </c>
      <c r="W1437" s="1628" t="s">
        <v>534</v>
      </c>
      <c r="X1437" s="1640">
        <f>V1437*S1437</f>
        <v>110.48399999999999</v>
      </c>
      <c r="Y1437" s="1640"/>
      <c r="Z1437" s="1658"/>
      <c r="AA1437" s="1638"/>
      <c r="AB1437" s="1638"/>
      <c r="AC1437" s="1627"/>
      <c r="AD1437" s="1640"/>
      <c r="AE1437" s="1638"/>
      <c r="AF1437" s="1640">
        <f>SUM(AF1434:AF1436)</f>
        <v>2567.5765000000001</v>
      </c>
      <c r="AG1437" s="1640">
        <f t="shared" si="193"/>
        <v>0</v>
      </c>
    </row>
    <row r="1438" spans="6:33" ht="24" customHeight="1">
      <c r="G1438" s="1638" t="s">
        <v>226</v>
      </c>
      <c r="H1438" s="1627" t="s">
        <v>237</v>
      </c>
      <c r="I1438" s="1627" t="s">
        <v>150</v>
      </c>
      <c r="J1438" s="1627" t="s">
        <v>226</v>
      </c>
      <c r="K1438" s="1640">
        <v>5</v>
      </c>
      <c r="R1438" s="1639">
        <f>SUM(R1425:R1437)</f>
        <v>4595.9889000000003</v>
      </c>
      <c r="S1438" s="1658">
        <v>0.36</v>
      </c>
      <c r="T1438" s="1638" t="s">
        <v>533</v>
      </c>
      <c r="U1438" s="1627" t="s">
        <v>1952</v>
      </c>
      <c r="V1438" s="1640">
        <f>P1477</f>
        <v>2654.4</v>
      </c>
      <c r="W1438" s="1628" t="s">
        <v>534</v>
      </c>
      <c r="X1438" s="1640">
        <f>V1438*S1438</f>
        <v>955.58399999999995</v>
      </c>
      <c r="Y1438" s="1640"/>
      <c r="Z1438" s="1658"/>
      <c r="AA1438" s="1638"/>
      <c r="AB1438" s="1638"/>
      <c r="AC1438" s="1637" t="s">
        <v>1989</v>
      </c>
      <c r="AD1438" s="1640"/>
      <c r="AE1438" s="1638"/>
      <c r="AF1438" s="1639">
        <f>AF1437/Z1436</f>
        <v>6339.6950617283946</v>
      </c>
      <c r="AG1438" s="1640">
        <f t="shared" si="193"/>
        <v>0</v>
      </c>
    </row>
    <row r="1439" spans="6:33" ht="24" customHeight="1">
      <c r="K1439" s="1636" t="s">
        <v>21</v>
      </c>
      <c r="M1439" s="1640"/>
      <c r="N1439" s="1638"/>
      <c r="O1439" s="1627"/>
      <c r="P1439" s="1640"/>
      <c r="Q1439" s="1628"/>
      <c r="R1439" s="1640"/>
      <c r="S1439" s="1658"/>
      <c r="T1439" s="1638"/>
      <c r="U1439" s="1627"/>
      <c r="V1439" s="1640"/>
      <c r="W1439" s="1628"/>
      <c r="X1439" s="1640">
        <f>SUM(X1436:X1438)</f>
        <v>2281.2429999999999</v>
      </c>
      <c r="Y1439" s="1640"/>
      <c r="AG1439" s="1640">
        <f t="shared" si="193"/>
        <v>0</v>
      </c>
    </row>
    <row r="1440" spans="6:33" ht="24" customHeight="1">
      <c r="F1440" s="1627" t="s">
        <v>150</v>
      </c>
      <c r="H1440" s="1627" t="s">
        <v>238</v>
      </c>
      <c r="K1440" s="1640">
        <f>SUM(K1433:K1438)</f>
        <v>3506.7779999999998</v>
      </c>
      <c r="N1440" s="1630"/>
      <c r="O1440" s="1661" t="s">
        <v>1990</v>
      </c>
      <c r="Q1440" s="1632"/>
      <c r="S1440" s="1658"/>
      <c r="T1440" s="1638"/>
      <c r="U1440" s="1637" t="s">
        <v>1989</v>
      </c>
      <c r="V1440" s="1640"/>
      <c r="W1440" s="1628"/>
      <c r="X1440" s="1639">
        <f>X1439/S1438</f>
        <v>6336.7861111111115</v>
      </c>
      <c r="Y1440" s="1639"/>
      <c r="AG1440" s="1640">
        <f t="shared" si="193"/>
        <v>0</v>
      </c>
    </row>
    <row r="1441" spans="6:33" ht="24" customHeight="1">
      <c r="H1441" s="1661"/>
      <c r="I1441" s="1661"/>
      <c r="J1441" s="1676"/>
      <c r="K1441" s="1679" t="s">
        <v>21</v>
      </c>
      <c r="M1441" s="1692">
        <v>5.35</v>
      </c>
      <c r="N1441" s="1638" t="s">
        <v>534</v>
      </c>
      <c r="O1441" s="1685" t="s">
        <v>1974</v>
      </c>
      <c r="P1441" s="1640">
        <f>P1425</f>
        <v>325</v>
      </c>
      <c r="Q1441" s="1638" t="s">
        <v>534</v>
      </c>
      <c r="R1441" s="1640">
        <f>P1441*M1441</f>
        <v>1738.7499999999998</v>
      </c>
      <c r="W1441" s="1634"/>
      <c r="AG1441" s="1640">
        <f t="shared" si="193"/>
        <v>0</v>
      </c>
    </row>
    <row r="1442" spans="6:33" ht="24" customHeight="1">
      <c r="H1442" s="1641" t="s">
        <v>155</v>
      </c>
      <c r="I1442" s="1661"/>
      <c r="J1442" s="1676"/>
      <c r="K1442" s="1639">
        <f>(K1440/10)</f>
        <v>350.67779999999999</v>
      </c>
      <c r="M1442" s="1692">
        <v>7.58</v>
      </c>
      <c r="N1442" s="1638" t="s">
        <v>534</v>
      </c>
      <c r="O1442" s="1627" t="s">
        <v>1936</v>
      </c>
      <c r="P1442" s="1640">
        <f t="shared" ref="P1442:P1452" si="201">P1426</f>
        <v>325</v>
      </c>
      <c r="Q1442" s="1638" t="s">
        <v>534</v>
      </c>
      <c r="R1442" s="1640">
        <f t="shared" ref="R1442:R1452" si="202">P1442*M1442</f>
        <v>2463.5</v>
      </c>
      <c r="T1442" s="1630"/>
      <c r="U1442" s="1661" t="s">
        <v>1991</v>
      </c>
      <c r="V1442" s="1688" t="s">
        <v>1986</v>
      </c>
      <c r="W1442" s="1634"/>
      <c r="AG1442" s="1640">
        <f t="shared" si="193"/>
        <v>0</v>
      </c>
    </row>
    <row r="1443" spans="6:33" ht="24" customHeight="1">
      <c r="K1443" s="1636" t="s">
        <v>156</v>
      </c>
      <c r="M1443" s="1692">
        <v>13.15</v>
      </c>
      <c r="N1443" s="1638" t="s">
        <v>534</v>
      </c>
      <c r="O1443" s="1627" t="s">
        <v>1936</v>
      </c>
      <c r="P1443" s="1640">
        <f t="shared" si="201"/>
        <v>325</v>
      </c>
      <c r="Q1443" s="1638" t="s">
        <v>534</v>
      </c>
      <c r="R1443" s="1640">
        <f t="shared" si="202"/>
        <v>4273.75</v>
      </c>
      <c r="S1443" s="1658">
        <v>4.21</v>
      </c>
      <c r="T1443" s="1638" t="s">
        <v>534</v>
      </c>
      <c r="U1443" s="1627" t="s">
        <v>1936</v>
      </c>
      <c r="V1443" s="1640">
        <f>P1482</f>
        <v>325</v>
      </c>
      <c r="W1443" s="1628" t="s">
        <v>534</v>
      </c>
      <c r="X1443" s="1640">
        <f>V1443*S1443</f>
        <v>1368.25</v>
      </c>
      <c r="Y1443" s="1640"/>
      <c r="AG1443" s="1640">
        <f t="shared" si="193"/>
        <v>0</v>
      </c>
    </row>
    <row r="1444" spans="6:33" ht="24" customHeight="1">
      <c r="H1444" s="1627" t="s">
        <v>150</v>
      </c>
      <c r="M1444" s="1692">
        <v>2.31</v>
      </c>
      <c r="N1444" s="1638" t="s">
        <v>534</v>
      </c>
      <c r="O1444" s="1627" t="s">
        <v>1936</v>
      </c>
      <c r="P1444" s="1640">
        <f t="shared" si="201"/>
        <v>325</v>
      </c>
      <c r="Q1444" s="1638" t="s">
        <v>534</v>
      </c>
      <c r="R1444" s="1640">
        <f t="shared" si="202"/>
        <v>750.75</v>
      </c>
      <c r="S1444" s="1658">
        <v>0.45</v>
      </c>
      <c r="T1444" s="1638" t="s">
        <v>533</v>
      </c>
      <c r="U1444" s="1627" t="s">
        <v>1940</v>
      </c>
      <c r="V1444" s="1640">
        <f>P1483</f>
        <v>306.89999999999998</v>
      </c>
      <c r="W1444" s="1628" t="s">
        <v>534</v>
      </c>
      <c r="X1444" s="1640">
        <f>V1444*S1444</f>
        <v>138.10499999999999</v>
      </c>
      <c r="Y1444" s="1640"/>
      <c r="AG1444" s="1640">
        <f t="shared" si="193"/>
        <v>0</v>
      </c>
    </row>
    <row r="1445" spans="6:33" ht="24" customHeight="1">
      <c r="M1445" s="1692">
        <v>2.44</v>
      </c>
      <c r="N1445" s="1638" t="s">
        <v>533</v>
      </c>
      <c r="O1445" s="1627" t="s">
        <v>1940</v>
      </c>
      <c r="P1445" s="1640">
        <f t="shared" si="201"/>
        <v>306.89999999999998</v>
      </c>
      <c r="Q1445" s="1638" t="s">
        <v>533</v>
      </c>
      <c r="R1445" s="1640">
        <f t="shared" si="202"/>
        <v>748.8359999999999</v>
      </c>
      <c r="S1445" s="1658">
        <v>0.45</v>
      </c>
      <c r="T1445" s="1638" t="s">
        <v>533</v>
      </c>
      <c r="U1445" s="1627" t="s">
        <v>1952</v>
      </c>
      <c r="V1445" s="1640">
        <f>P1484</f>
        <v>2654.4</v>
      </c>
      <c r="W1445" s="1628" t="s">
        <v>534</v>
      </c>
      <c r="X1445" s="1640">
        <f>V1445*S1445</f>
        <v>1194.48</v>
      </c>
      <c r="Y1445" s="1640"/>
      <c r="AG1445" s="1640">
        <f t="shared" si="193"/>
        <v>0</v>
      </c>
    </row>
    <row r="1446" spans="6:33" ht="24" customHeight="1">
      <c r="F1446" s="1628" t="s">
        <v>1992</v>
      </c>
      <c r="G1446" s="1638" t="s">
        <v>249</v>
      </c>
      <c r="H1446" s="1627" t="s">
        <v>1993</v>
      </c>
      <c r="M1446" s="1692">
        <v>18.62</v>
      </c>
      <c r="N1446" s="1638" t="s">
        <v>303</v>
      </c>
      <c r="O1446" s="1685" t="s">
        <v>1975</v>
      </c>
      <c r="P1446" s="1640">
        <f t="shared" si="201"/>
        <v>29.05</v>
      </c>
      <c r="Q1446" s="1638" t="s">
        <v>303</v>
      </c>
      <c r="R1446" s="1640">
        <f t="shared" si="202"/>
        <v>540.91100000000006</v>
      </c>
      <c r="S1446" s="1658">
        <f>R1485-2967</f>
        <v>1710.5830000000005</v>
      </c>
      <c r="T1446" s="1638"/>
      <c r="U1446" s="1627"/>
      <c r="V1446" s="1640"/>
      <c r="W1446" s="1628"/>
      <c r="X1446" s="1640">
        <f>SUM(X1443:X1445)</f>
        <v>2700.835</v>
      </c>
      <c r="Y1446" s="1640"/>
      <c r="AG1446" s="1640">
        <f t="shared" si="193"/>
        <v>0</v>
      </c>
    </row>
    <row r="1447" spans="6:33" ht="24" customHeight="1">
      <c r="H1447" s="1627" t="s">
        <v>1994</v>
      </c>
      <c r="M1447" s="1692">
        <v>16</v>
      </c>
      <c r="N1447" s="1638" t="s">
        <v>4</v>
      </c>
      <c r="O1447" s="1685" t="s">
        <v>1976</v>
      </c>
      <c r="P1447" s="1640">
        <f t="shared" si="201"/>
        <v>71.900000000000006</v>
      </c>
      <c r="Q1447" s="1638" t="s">
        <v>4</v>
      </c>
      <c r="R1447" s="1640">
        <f t="shared" si="202"/>
        <v>1150.4000000000001</v>
      </c>
      <c r="S1447" s="1658"/>
      <c r="T1447" s="1638"/>
      <c r="U1447" s="1637" t="s">
        <v>1989</v>
      </c>
      <c r="V1447" s="1640"/>
      <c r="W1447" s="1628"/>
      <c r="X1447" s="1639">
        <f>X1446/S1445</f>
        <v>6001.8555555555558</v>
      </c>
      <c r="Y1447" s="1639"/>
      <c r="Z1447" s="1633"/>
      <c r="AA1447" s="1630"/>
      <c r="AB1447" s="1630"/>
      <c r="AC1447" s="1661" t="s">
        <v>1995</v>
      </c>
      <c r="AE1447" s="1632"/>
      <c r="AG1447" s="1640">
        <f t="shared" si="193"/>
        <v>0</v>
      </c>
    </row>
    <row r="1448" spans="6:33" ht="24" customHeight="1">
      <c r="H1448" s="1627" t="s">
        <v>1996</v>
      </c>
      <c r="M1448" s="1692">
        <v>8</v>
      </c>
      <c r="N1448" s="1638" t="s">
        <v>4</v>
      </c>
      <c r="O1448" s="1685" t="s">
        <v>1969</v>
      </c>
      <c r="P1448" s="1640">
        <f t="shared" si="201"/>
        <v>57.65</v>
      </c>
      <c r="Q1448" s="1638" t="s">
        <v>4</v>
      </c>
      <c r="R1448" s="1640">
        <f t="shared" si="202"/>
        <v>461.2</v>
      </c>
      <c r="W1448" s="1634"/>
      <c r="Z1448" s="1658">
        <v>3.26</v>
      </c>
      <c r="AA1448" s="1638" t="s">
        <v>534</v>
      </c>
      <c r="AB1448" s="1638"/>
      <c r="AC1448" s="1627" t="s">
        <v>1936</v>
      </c>
      <c r="AD1448" s="1640">
        <f t="shared" ref="AD1448:AD1459" si="203">V1450</f>
        <v>325</v>
      </c>
      <c r="AE1448" s="1638" t="s">
        <v>534</v>
      </c>
      <c r="AF1448" s="1640">
        <f t="shared" ref="AF1448:AF1459" si="204">AD1448*Z1448</f>
        <v>1059.5</v>
      </c>
      <c r="AG1448" s="1640">
        <f t="shared" si="193"/>
        <v>0</v>
      </c>
    </row>
    <row r="1449" spans="6:33" ht="24" customHeight="1">
      <c r="H1449" s="1627" t="s">
        <v>1997</v>
      </c>
      <c r="M1449" s="1692">
        <v>8</v>
      </c>
      <c r="N1449" s="1638" t="s">
        <v>4</v>
      </c>
      <c r="O1449" s="1627" t="s">
        <v>1948</v>
      </c>
      <c r="P1449" s="1640">
        <f t="shared" si="201"/>
        <v>30</v>
      </c>
      <c r="Q1449" s="1638" t="s">
        <v>4</v>
      </c>
      <c r="R1449" s="1640">
        <f t="shared" si="202"/>
        <v>240</v>
      </c>
      <c r="T1449" s="1630"/>
      <c r="U1449" s="1661" t="s">
        <v>1998</v>
      </c>
      <c r="W1449" s="1634"/>
      <c r="Z1449" s="1658">
        <v>0.84</v>
      </c>
      <c r="AA1449" s="1638" t="s">
        <v>534</v>
      </c>
      <c r="AB1449" s="1638"/>
      <c r="AC1449" s="1627" t="s">
        <v>1936</v>
      </c>
      <c r="AD1449" s="1640">
        <f t="shared" si="203"/>
        <v>325</v>
      </c>
      <c r="AE1449" s="1638" t="s">
        <v>534</v>
      </c>
      <c r="AF1449" s="1640">
        <f t="shared" si="204"/>
        <v>273</v>
      </c>
      <c r="AG1449" s="1640">
        <f t="shared" si="193"/>
        <v>0</v>
      </c>
    </row>
    <row r="1450" spans="6:33" ht="24" customHeight="1">
      <c r="H1450" s="1636" t="s">
        <v>21</v>
      </c>
      <c r="I1450" s="1636" t="s">
        <v>21</v>
      </c>
      <c r="M1450" s="1692">
        <v>8</v>
      </c>
      <c r="N1450" s="1638" t="s">
        <v>4</v>
      </c>
      <c r="O1450" s="1627" t="s">
        <v>1949</v>
      </c>
      <c r="P1450" s="1640">
        <f t="shared" si="201"/>
        <v>20</v>
      </c>
      <c r="Q1450" s="1638" t="s">
        <v>4</v>
      </c>
      <c r="R1450" s="1640">
        <f t="shared" si="202"/>
        <v>160</v>
      </c>
      <c r="S1450" s="1658">
        <v>3.49</v>
      </c>
      <c r="T1450" s="1638" t="s">
        <v>534</v>
      </c>
      <c r="U1450" s="1627" t="s">
        <v>1936</v>
      </c>
      <c r="V1450" s="1640">
        <f>P1489</f>
        <v>325</v>
      </c>
      <c r="W1450" s="1628" t="s">
        <v>534</v>
      </c>
      <c r="X1450" s="1640">
        <f>V1450*S1450</f>
        <v>1134.25</v>
      </c>
      <c r="Y1450" s="1640"/>
      <c r="Z1450" s="1658">
        <v>3.65</v>
      </c>
      <c r="AA1450" s="1638" t="s">
        <v>534</v>
      </c>
      <c r="AB1450" s="1638"/>
      <c r="AC1450" s="1627" t="s">
        <v>1936</v>
      </c>
      <c r="AD1450" s="1640">
        <f t="shared" si="203"/>
        <v>325</v>
      </c>
      <c r="AE1450" s="1638" t="s">
        <v>534</v>
      </c>
      <c r="AF1450" s="1640">
        <f t="shared" si="204"/>
        <v>1186.25</v>
      </c>
      <c r="AG1450" s="1640">
        <f t="shared" si="193"/>
        <v>0</v>
      </c>
    </row>
    <row r="1451" spans="6:33" ht="24" customHeight="1">
      <c r="G1451" s="1638" t="s">
        <v>524</v>
      </c>
      <c r="H1451" s="1627" t="s">
        <v>1999</v>
      </c>
      <c r="M1451" s="1692">
        <v>4</v>
      </c>
      <c r="N1451" s="1638" t="s">
        <v>4</v>
      </c>
      <c r="O1451" s="1627" t="s">
        <v>1951</v>
      </c>
      <c r="P1451" s="1640">
        <f t="shared" si="201"/>
        <v>15</v>
      </c>
      <c r="Q1451" s="1638" t="s">
        <v>4</v>
      </c>
      <c r="R1451" s="1640">
        <f t="shared" si="202"/>
        <v>60</v>
      </c>
      <c r="S1451" s="1658">
        <v>2.5299999999999998</v>
      </c>
      <c r="T1451" s="1638" t="s">
        <v>534</v>
      </c>
      <c r="U1451" s="1627" t="s">
        <v>1936</v>
      </c>
      <c r="V1451" s="1640">
        <f t="shared" ref="V1451:V1461" si="205">P1490</f>
        <v>325</v>
      </c>
      <c r="W1451" s="1628" t="s">
        <v>534</v>
      </c>
      <c r="X1451" s="1640">
        <f t="shared" ref="X1451:X1461" si="206">V1451*S1451</f>
        <v>822.24999999999989</v>
      </c>
      <c r="Y1451" s="1640"/>
      <c r="Z1451" s="1658">
        <v>0.64</v>
      </c>
      <c r="AA1451" s="1638" t="s">
        <v>534</v>
      </c>
      <c r="AB1451" s="1638"/>
      <c r="AC1451" s="1627" t="s">
        <v>1936</v>
      </c>
      <c r="AD1451" s="1640">
        <f t="shared" si="203"/>
        <v>325</v>
      </c>
      <c r="AE1451" s="1638" t="s">
        <v>534</v>
      </c>
      <c r="AF1451" s="1640">
        <f t="shared" si="204"/>
        <v>208</v>
      </c>
      <c r="AG1451" s="1640">
        <f t="shared" si="193"/>
        <v>0</v>
      </c>
    </row>
    <row r="1452" spans="6:33" ht="24" customHeight="1">
      <c r="G1452" s="1638" t="s">
        <v>21</v>
      </c>
      <c r="H1452" s="1636" t="s">
        <v>21</v>
      </c>
      <c r="M1452" s="1692">
        <f>1.8*1.65</f>
        <v>2.9699999999999998</v>
      </c>
      <c r="N1452" s="1638" t="s">
        <v>306</v>
      </c>
      <c r="O1452" s="1627" t="s">
        <v>1952</v>
      </c>
      <c r="P1452" s="1640">
        <f t="shared" si="201"/>
        <v>2654.4</v>
      </c>
      <c r="Q1452" s="1638" t="s">
        <v>306</v>
      </c>
      <c r="R1452" s="1640">
        <f t="shared" si="202"/>
        <v>7883.5679999999993</v>
      </c>
      <c r="S1452" s="1658">
        <v>5.7549999999999999</v>
      </c>
      <c r="T1452" s="1638" t="s">
        <v>534</v>
      </c>
      <c r="U1452" s="1627" t="s">
        <v>1936</v>
      </c>
      <c r="V1452" s="1640">
        <f t="shared" si="205"/>
        <v>325</v>
      </c>
      <c r="W1452" s="1628" t="s">
        <v>534</v>
      </c>
      <c r="X1452" s="1640">
        <f t="shared" si="206"/>
        <v>1870.375</v>
      </c>
      <c r="Y1452" s="1640"/>
      <c r="Z1452" s="1658">
        <v>0.84099999999999997</v>
      </c>
      <c r="AA1452" s="1638" t="s">
        <v>533</v>
      </c>
      <c r="AB1452" s="1638"/>
      <c r="AC1452" s="1627" t="s">
        <v>1940</v>
      </c>
      <c r="AD1452" s="1640">
        <f t="shared" si="203"/>
        <v>306.89999999999998</v>
      </c>
      <c r="AE1452" s="1638" t="s">
        <v>533</v>
      </c>
      <c r="AF1452" s="1640">
        <f t="shared" si="204"/>
        <v>258.10289999999998</v>
      </c>
      <c r="AG1452" s="1640">
        <f t="shared" si="193"/>
        <v>0</v>
      </c>
    </row>
    <row r="1453" spans="6:33" ht="24" customHeight="1">
      <c r="F1453" s="1692">
        <v>1.4E-2</v>
      </c>
      <c r="G1453" s="1638" t="s">
        <v>313</v>
      </c>
      <c r="H1453" s="1627" t="s">
        <v>2000</v>
      </c>
      <c r="I1453" s="1640">
        <f>K49</f>
        <v>4159.0200000000004</v>
      </c>
      <c r="J1453" s="1627" t="s">
        <v>313</v>
      </c>
      <c r="K1453" s="1640">
        <f>(F1453*I1453)</f>
        <v>58.22628000000001</v>
      </c>
      <c r="N1453" s="1630"/>
      <c r="O1453" s="1627" t="s">
        <v>1954</v>
      </c>
      <c r="Q1453" s="1634"/>
      <c r="R1453" s="1640">
        <v>0.78</v>
      </c>
      <c r="S1453" s="1658">
        <v>1.0009999999999999</v>
      </c>
      <c r="T1453" s="1638" t="s">
        <v>534</v>
      </c>
      <c r="U1453" s="1627" t="s">
        <v>1936</v>
      </c>
      <c r="V1453" s="1640">
        <f t="shared" si="205"/>
        <v>325</v>
      </c>
      <c r="W1453" s="1628" t="s">
        <v>534</v>
      </c>
      <c r="X1453" s="1640">
        <f t="shared" si="206"/>
        <v>325.32499999999999</v>
      </c>
      <c r="Y1453" s="1640"/>
      <c r="Z1453" s="1658">
        <v>5.1959999999999997</v>
      </c>
      <c r="AA1453" s="1638" t="s">
        <v>303</v>
      </c>
      <c r="AB1453" s="1638"/>
      <c r="AC1453" s="1627" t="s">
        <v>1942</v>
      </c>
      <c r="AD1453" s="1640">
        <f t="shared" si="203"/>
        <v>29.05</v>
      </c>
      <c r="AE1453" s="1638" t="s">
        <v>303</v>
      </c>
      <c r="AF1453" s="1640">
        <f t="shared" si="204"/>
        <v>150.94379999999998</v>
      </c>
      <c r="AG1453" s="1640">
        <f t="shared" si="193"/>
        <v>0</v>
      </c>
    </row>
    <row r="1454" spans="6:33" ht="24" customHeight="1">
      <c r="F1454" s="1640">
        <v>0.3</v>
      </c>
      <c r="G1454" s="1638" t="s">
        <v>345</v>
      </c>
      <c r="H1454" s="1627" t="s">
        <v>2001</v>
      </c>
      <c r="I1454" s="1640">
        <f>C10</f>
        <v>1325.8</v>
      </c>
      <c r="J1454" s="1627" t="s">
        <v>345</v>
      </c>
      <c r="K1454" s="1640">
        <f>(F1454*I1454)</f>
        <v>397.73999999999995</v>
      </c>
      <c r="R1454" s="1639">
        <f>SUM(R1441:R1453)</f>
        <v>20472.445</v>
      </c>
      <c r="S1454" s="1658">
        <f>1.012</f>
        <v>1.012</v>
      </c>
      <c r="T1454" s="1638" t="s">
        <v>533</v>
      </c>
      <c r="U1454" s="1627" t="s">
        <v>1940</v>
      </c>
      <c r="V1454" s="1640">
        <f t="shared" si="205"/>
        <v>306.89999999999998</v>
      </c>
      <c r="W1454" s="1628" t="s">
        <v>533</v>
      </c>
      <c r="X1454" s="1640">
        <f t="shared" si="206"/>
        <v>310.58279999999996</v>
      </c>
      <c r="Y1454" s="1640"/>
      <c r="Z1454" s="1658">
        <v>4</v>
      </c>
      <c r="AA1454" s="1638" t="s">
        <v>4</v>
      </c>
      <c r="AB1454" s="1638"/>
      <c r="AC1454" s="1627" t="s">
        <v>1943</v>
      </c>
      <c r="AD1454" s="1640">
        <f t="shared" si="203"/>
        <v>71.900000000000006</v>
      </c>
      <c r="AE1454" s="1638" t="s">
        <v>4</v>
      </c>
      <c r="AF1454" s="1640">
        <f t="shared" si="204"/>
        <v>287.60000000000002</v>
      </c>
      <c r="AG1454" s="1640">
        <f t="shared" si="193"/>
        <v>0</v>
      </c>
    </row>
    <row r="1455" spans="6:33" ht="24" customHeight="1">
      <c r="F1455" s="1640">
        <v>0.3</v>
      </c>
      <c r="G1455" s="1638" t="s">
        <v>345</v>
      </c>
      <c r="H1455" s="1627" t="s">
        <v>1198</v>
      </c>
      <c r="I1455" s="1640">
        <f>C12</f>
        <v>865.19999999999993</v>
      </c>
      <c r="J1455" s="1627" t="s">
        <v>345</v>
      </c>
      <c r="K1455" s="1640">
        <f>(F1455*I1455)</f>
        <v>259.55999999999995</v>
      </c>
      <c r="R1455" s="1629">
        <f>R1454/M1452</f>
        <v>6893.0791245791252</v>
      </c>
      <c r="S1455" s="1658" t="s">
        <v>306</v>
      </c>
      <c r="T1455" s="1638" t="s">
        <v>303</v>
      </c>
      <c r="U1455" s="1627" t="s">
        <v>1942</v>
      </c>
      <c r="V1455" s="1640">
        <f t="shared" si="205"/>
        <v>29.05</v>
      </c>
      <c r="W1455" s="1628" t="s">
        <v>303</v>
      </c>
      <c r="X1455" s="1640">
        <f t="shared" si="206"/>
        <v>0</v>
      </c>
      <c r="Y1455" s="1640"/>
      <c r="Z1455" s="1658">
        <v>2</v>
      </c>
      <c r="AA1455" s="1638" t="s">
        <v>4</v>
      </c>
      <c r="AB1455" s="1638"/>
      <c r="AC1455" s="1627" t="s">
        <v>1945</v>
      </c>
      <c r="AD1455" s="1640">
        <f t="shared" si="203"/>
        <v>57.65</v>
      </c>
      <c r="AE1455" s="1638" t="s">
        <v>4</v>
      </c>
      <c r="AF1455" s="1640">
        <f t="shared" si="204"/>
        <v>115.3</v>
      </c>
      <c r="AG1455" s="1640">
        <f t="shared" si="193"/>
        <v>0</v>
      </c>
    </row>
    <row r="1456" spans="6:33" ht="24" customHeight="1">
      <c r="G1456" s="1638" t="s">
        <v>226</v>
      </c>
      <c r="H1456" s="1627" t="s">
        <v>337</v>
      </c>
      <c r="J1456" s="1627" t="s">
        <v>226</v>
      </c>
      <c r="K1456" s="1629">
        <v>0</v>
      </c>
      <c r="S1456" s="1658">
        <v>8</v>
      </c>
      <c r="T1456" s="1638" t="s">
        <v>4</v>
      </c>
      <c r="U1456" s="1627" t="s">
        <v>1943</v>
      </c>
      <c r="V1456" s="1640">
        <f t="shared" si="205"/>
        <v>71.900000000000006</v>
      </c>
      <c r="W1456" s="1628" t="s">
        <v>4</v>
      </c>
      <c r="X1456" s="1640">
        <f t="shared" si="206"/>
        <v>575.20000000000005</v>
      </c>
      <c r="Y1456" s="1640"/>
      <c r="Z1456" s="1658">
        <v>2</v>
      </c>
      <c r="AA1456" s="1638" t="s">
        <v>4</v>
      </c>
      <c r="AB1456" s="1638"/>
      <c r="AC1456" s="1627" t="s">
        <v>1948</v>
      </c>
      <c r="AD1456" s="1640">
        <f t="shared" si="203"/>
        <v>30</v>
      </c>
      <c r="AE1456" s="1638" t="s">
        <v>4</v>
      </c>
      <c r="AF1456" s="1640">
        <f t="shared" si="204"/>
        <v>60</v>
      </c>
      <c r="AG1456" s="1640">
        <f t="shared" si="193"/>
        <v>0</v>
      </c>
    </row>
    <row r="1457" spans="6:33" ht="24" customHeight="1">
      <c r="K1457" s="1636" t="s">
        <v>21</v>
      </c>
      <c r="N1457" s="1630"/>
      <c r="O1457" s="1661" t="s">
        <v>2002</v>
      </c>
      <c r="Q1457" s="1632"/>
      <c r="S1457" s="1658">
        <v>4</v>
      </c>
      <c r="T1457" s="1638" t="s">
        <v>4</v>
      </c>
      <c r="U1457" s="1627" t="s">
        <v>1945</v>
      </c>
      <c r="V1457" s="1640">
        <f t="shared" si="205"/>
        <v>57.65</v>
      </c>
      <c r="W1457" s="1628" t="s">
        <v>4</v>
      </c>
      <c r="X1457" s="1640">
        <f t="shared" si="206"/>
        <v>230.6</v>
      </c>
      <c r="Y1457" s="1640"/>
      <c r="Z1457" s="1658">
        <v>2</v>
      </c>
      <c r="AA1457" s="1638" t="s">
        <v>4</v>
      </c>
      <c r="AB1457" s="1638"/>
      <c r="AC1457" s="1627" t="s">
        <v>1949</v>
      </c>
      <c r="AD1457" s="1640">
        <f t="shared" si="203"/>
        <v>20</v>
      </c>
      <c r="AE1457" s="1638" t="s">
        <v>4</v>
      </c>
      <c r="AF1457" s="1640">
        <f t="shared" si="204"/>
        <v>40</v>
      </c>
      <c r="AG1457" s="1640">
        <f t="shared" si="193"/>
        <v>0</v>
      </c>
    </row>
    <row r="1458" spans="6:33" ht="24" customHeight="1">
      <c r="H1458" s="1628" t="s">
        <v>2003</v>
      </c>
      <c r="K1458" s="1640">
        <f>SUM(K1453:K1456)</f>
        <v>715.52627999999993</v>
      </c>
      <c r="M1458" s="1692">
        <v>10.75</v>
      </c>
      <c r="N1458" s="1638" t="s">
        <v>534</v>
      </c>
      <c r="O1458" s="1685" t="s">
        <v>1974</v>
      </c>
      <c r="P1458" s="1640">
        <f>P1441</f>
        <v>325</v>
      </c>
      <c r="Q1458" s="1638" t="s">
        <v>534</v>
      </c>
      <c r="R1458" s="1640">
        <f>P1458*M1458</f>
        <v>3493.75</v>
      </c>
      <c r="S1458" s="1658">
        <v>4</v>
      </c>
      <c r="T1458" s="1638" t="s">
        <v>4</v>
      </c>
      <c r="U1458" s="1627" t="s">
        <v>1948</v>
      </c>
      <c r="V1458" s="1640">
        <f t="shared" si="205"/>
        <v>30</v>
      </c>
      <c r="W1458" s="1628" t="s">
        <v>4</v>
      </c>
      <c r="X1458" s="1640">
        <f t="shared" si="206"/>
        <v>120</v>
      </c>
      <c r="Y1458" s="1640"/>
      <c r="Z1458" s="1658">
        <v>4</v>
      </c>
      <c r="AA1458" s="1638" t="s">
        <v>4</v>
      </c>
      <c r="AB1458" s="1638"/>
      <c r="AC1458" s="1627" t="s">
        <v>1951</v>
      </c>
      <c r="AD1458" s="1640">
        <f t="shared" si="203"/>
        <v>15</v>
      </c>
      <c r="AE1458" s="1638" t="s">
        <v>4</v>
      </c>
      <c r="AF1458" s="1640">
        <f t="shared" si="204"/>
        <v>60</v>
      </c>
      <c r="AG1458" s="1640">
        <f t="shared" si="193"/>
        <v>0</v>
      </c>
    </row>
    <row r="1459" spans="6:33" ht="24" customHeight="1">
      <c r="K1459" s="1636" t="s">
        <v>21</v>
      </c>
      <c r="M1459" s="1692">
        <v>0.99199999999999999</v>
      </c>
      <c r="N1459" s="1638" t="s">
        <v>534</v>
      </c>
      <c r="O1459" s="1627" t="s">
        <v>1936</v>
      </c>
      <c r="P1459" s="1640">
        <f t="shared" ref="P1459:P1469" si="207">P1442</f>
        <v>325</v>
      </c>
      <c r="Q1459" s="1638" t="s">
        <v>534</v>
      </c>
      <c r="R1459" s="1640">
        <f t="shared" ref="R1459:R1469" si="208">P1459*M1459</f>
        <v>322.39999999999998</v>
      </c>
      <c r="S1459" s="1658">
        <v>4</v>
      </c>
      <c r="T1459" s="1638" t="s">
        <v>4</v>
      </c>
      <c r="U1459" s="1627" t="s">
        <v>1949</v>
      </c>
      <c r="V1459" s="1640">
        <f t="shared" si="205"/>
        <v>20</v>
      </c>
      <c r="W1459" s="1628" t="s">
        <v>4</v>
      </c>
      <c r="X1459" s="1640">
        <f t="shared" si="206"/>
        <v>80</v>
      </c>
      <c r="Y1459" s="1640"/>
      <c r="Z1459" s="1658">
        <v>1.01</v>
      </c>
      <c r="AA1459" s="1638" t="s">
        <v>306</v>
      </c>
      <c r="AB1459" s="1638"/>
      <c r="AC1459" s="1627" t="s">
        <v>1952</v>
      </c>
      <c r="AD1459" s="1640">
        <f t="shared" si="203"/>
        <v>2654.4</v>
      </c>
      <c r="AE1459" s="1638" t="s">
        <v>306</v>
      </c>
      <c r="AF1459" s="1640">
        <f t="shared" si="204"/>
        <v>2680.944</v>
      </c>
      <c r="AG1459" s="1640">
        <f t="shared" si="193"/>
        <v>0</v>
      </c>
    </row>
    <row r="1460" spans="6:33" ht="24" customHeight="1">
      <c r="H1460" s="1641" t="s">
        <v>2004</v>
      </c>
      <c r="I1460" s="1661"/>
      <c r="J1460" s="1676"/>
      <c r="K1460" s="1639">
        <f>K1458/6.77</f>
        <v>105.69073559822748</v>
      </c>
      <c r="M1460" s="1692">
        <v>0</v>
      </c>
      <c r="N1460" s="1638" t="s">
        <v>534</v>
      </c>
      <c r="O1460" s="1627" t="s">
        <v>1936</v>
      </c>
      <c r="P1460" s="1640">
        <f t="shared" si="207"/>
        <v>325</v>
      </c>
      <c r="Q1460" s="1638" t="s">
        <v>534</v>
      </c>
      <c r="R1460" s="1640">
        <f t="shared" si="208"/>
        <v>0</v>
      </c>
      <c r="S1460" s="1658">
        <v>4</v>
      </c>
      <c r="T1460" s="1638" t="s">
        <v>4</v>
      </c>
      <c r="U1460" s="1627" t="s">
        <v>1951</v>
      </c>
      <c r="V1460" s="1640">
        <f t="shared" si="205"/>
        <v>15</v>
      </c>
      <c r="W1460" s="1628" t="s">
        <v>4</v>
      </c>
      <c r="X1460" s="1640">
        <f t="shared" si="206"/>
        <v>60</v>
      </c>
      <c r="Y1460" s="1640"/>
      <c r="Z1460" s="1633"/>
      <c r="AA1460" s="1630"/>
      <c r="AB1460" s="1630"/>
      <c r="AC1460" s="1627" t="s">
        <v>1954</v>
      </c>
      <c r="AE1460" s="1634"/>
      <c r="AF1460" s="1640">
        <v>0.84</v>
      </c>
      <c r="AG1460" s="1640">
        <f t="shared" si="193"/>
        <v>0</v>
      </c>
    </row>
    <row r="1461" spans="6:33" ht="24" customHeight="1">
      <c r="F1461" s="1627" t="s">
        <v>150</v>
      </c>
      <c r="M1461" s="1692">
        <v>0</v>
      </c>
      <c r="N1461" s="1638" t="s">
        <v>534</v>
      </c>
      <c r="O1461" s="1627" t="s">
        <v>1936</v>
      </c>
      <c r="P1461" s="1640">
        <f t="shared" si="207"/>
        <v>325</v>
      </c>
      <c r="Q1461" s="1638" t="s">
        <v>534</v>
      </c>
      <c r="R1461" s="1640">
        <f t="shared" si="208"/>
        <v>0</v>
      </c>
      <c r="S1461" s="1658">
        <v>1.26</v>
      </c>
      <c r="T1461" s="1638" t="s">
        <v>306</v>
      </c>
      <c r="U1461" s="1627" t="s">
        <v>1952</v>
      </c>
      <c r="V1461" s="1640">
        <f t="shared" si="205"/>
        <v>2654.4</v>
      </c>
      <c r="W1461" s="1628" t="s">
        <v>306</v>
      </c>
      <c r="X1461" s="1640">
        <f t="shared" si="206"/>
        <v>3344.5440000000003</v>
      </c>
      <c r="Y1461" s="1640"/>
      <c r="Z1461" s="1633"/>
      <c r="AC1461" s="1637" t="s">
        <v>1956</v>
      </c>
      <c r="AF1461" s="1639">
        <f>SUM(AF1448:AF1460)</f>
        <v>6380.4807000000001</v>
      </c>
      <c r="AG1461" s="1640">
        <f t="shared" si="193"/>
        <v>0</v>
      </c>
    </row>
    <row r="1462" spans="6:33" ht="24" customHeight="1">
      <c r="K1462" s="1636" t="s">
        <v>156</v>
      </c>
      <c r="M1462" s="1692">
        <v>1.89</v>
      </c>
      <c r="N1462" s="1638" t="s">
        <v>533</v>
      </c>
      <c r="O1462" s="1627" t="s">
        <v>1940</v>
      </c>
      <c r="P1462" s="1640">
        <f t="shared" si="207"/>
        <v>306.89999999999998</v>
      </c>
      <c r="Q1462" s="1638" t="s">
        <v>533</v>
      </c>
      <c r="R1462" s="1640">
        <f t="shared" si="208"/>
        <v>580.04099999999994</v>
      </c>
      <c r="T1462" s="1630"/>
      <c r="U1462" s="1627" t="s">
        <v>1954</v>
      </c>
      <c r="W1462" s="1634"/>
      <c r="X1462" s="1640">
        <v>0.14000000000000001</v>
      </c>
      <c r="Y1462" s="1640"/>
      <c r="AG1462" s="1640">
        <f t="shared" si="193"/>
        <v>0</v>
      </c>
    </row>
    <row r="1463" spans="6:33" ht="24" customHeight="1">
      <c r="G1463" s="1638" t="s">
        <v>520</v>
      </c>
      <c r="H1463" s="1627" t="s">
        <v>2005</v>
      </c>
      <c r="M1463" s="1692">
        <v>8</v>
      </c>
      <c r="N1463" s="1638" t="s">
        <v>303</v>
      </c>
      <c r="O1463" s="1685" t="s">
        <v>1975</v>
      </c>
      <c r="P1463" s="1640">
        <f t="shared" si="207"/>
        <v>29.05</v>
      </c>
      <c r="Q1463" s="1638" t="s">
        <v>303</v>
      </c>
      <c r="R1463" s="1640">
        <f t="shared" si="208"/>
        <v>232.4</v>
      </c>
      <c r="U1463" s="1637" t="s">
        <v>1956</v>
      </c>
      <c r="W1463" s="1634"/>
      <c r="X1463" s="1639">
        <f>SUM(X1450:X1462)</f>
        <v>8873.2667999999994</v>
      </c>
      <c r="Y1463" s="1639"/>
      <c r="AG1463" s="1640">
        <f t="shared" si="193"/>
        <v>0</v>
      </c>
    </row>
    <row r="1464" spans="6:33" ht="24" customHeight="1">
      <c r="G1464" s="1638" t="s">
        <v>21</v>
      </c>
      <c r="H1464" s="1636" t="s">
        <v>21</v>
      </c>
      <c r="M1464" s="1692">
        <v>0</v>
      </c>
      <c r="N1464" s="1638" t="s">
        <v>4</v>
      </c>
      <c r="O1464" s="1685" t="s">
        <v>1976</v>
      </c>
      <c r="P1464" s="1640">
        <f t="shared" si="207"/>
        <v>71.900000000000006</v>
      </c>
      <c r="Q1464" s="1638" t="s">
        <v>4</v>
      </c>
      <c r="R1464" s="1640">
        <f t="shared" si="208"/>
        <v>0</v>
      </c>
      <c r="W1464" s="1634"/>
      <c r="AG1464" s="1640">
        <f t="shared" si="193"/>
        <v>0</v>
      </c>
    </row>
    <row r="1465" spans="6:33" ht="24" customHeight="1">
      <c r="F1465" s="1692">
        <v>7.0000000000000001E-3</v>
      </c>
      <c r="G1465" s="1638" t="s">
        <v>313</v>
      </c>
      <c r="H1465" s="1627" t="s">
        <v>2000</v>
      </c>
      <c r="I1465" s="1640">
        <f>K49</f>
        <v>4159.0200000000004</v>
      </c>
      <c r="J1465" s="1627" t="s">
        <v>313</v>
      </c>
      <c r="K1465" s="1640">
        <f>(F1465*I1465)</f>
        <v>29.113140000000005</v>
      </c>
      <c r="M1465" s="1692">
        <v>0</v>
      </c>
      <c r="N1465" s="1638" t="s">
        <v>4</v>
      </c>
      <c r="O1465" s="1685" t="s">
        <v>1969</v>
      </c>
      <c r="P1465" s="1640">
        <f t="shared" si="207"/>
        <v>57.65</v>
      </c>
      <c r="Q1465" s="1638" t="s">
        <v>4</v>
      </c>
      <c r="R1465" s="1640">
        <f t="shared" si="208"/>
        <v>0</v>
      </c>
      <c r="W1465" s="1634"/>
      <c r="AG1465" s="1640">
        <f t="shared" si="193"/>
        <v>0</v>
      </c>
    </row>
    <row r="1466" spans="6:33" ht="24" customHeight="1">
      <c r="F1466" s="1640">
        <v>0.2</v>
      </c>
      <c r="G1466" s="1638" t="s">
        <v>345</v>
      </c>
      <c r="H1466" s="1627" t="s">
        <v>2001</v>
      </c>
      <c r="I1466" s="1640">
        <f>C10</f>
        <v>1325.8</v>
      </c>
      <c r="J1466" s="1627" t="s">
        <v>345</v>
      </c>
      <c r="K1466" s="1640">
        <f>(F1466*I1466)</f>
        <v>265.16000000000003</v>
      </c>
      <c r="M1466" s="1692">
        <v>0</v>
      </c>
      <c r="N1466" s="1638" t="s">
        <v>4</v>
      </c>
      <c r="O1466" s="1627" t="s">
        <v>1948</v>
      </c>
      <c r="P1466" s="1640">
        <f t="shared" si="207"/>
        <v>30</v>
      </c>
      <c r="Q1466" s="1638" t="s">
        <v>4</v>
      </c>
      <c r="R1466" s="1640">
        <f t="shared" si="208"/>
        <v>0</v>
      </c>
      <c r="T1466" s="1630"/>
      <c r="U1466" s="1661" t="s">
        <v>2006</v>
      </c>
      <c r="V1466" s="1688" t="s">
        <v>1986</v>
      </c>
      <c r="W1466" s="1634"/>
      <c r="AG1466" s="1640">
        <f t="shared" si="193"/>
        <v>0</v>
      </c>
    </row>
    <row r="1467" spans="6:33" ht="24" customHeight="1">
      <c r="F1467" s="1640">
        <v>0.2</v>
      </c>
      <c r="G1467" s="1638" t="s">
        <v>345</v>
      </c>
      <c r="H1467" s="1627" t="s">
        <v>1198</v>
      </c>
      <c r="I1467" s="1640">
        <f>C12</f>
        <v>865.19999999999993</v>
      </c>
      <c r="J1467" s="1627" t="s">
        <v>345</v>
      </c>
      <c r="K1467" s="1640">
        <f>(F1467*I1467)</f>
        <v>173.04</v>
      </c>
      <c r="M1467" s="1692">
        <v>0</v>
      </c>
      <c r="N1467" s="1638" t="s">
        <v>4</v>
      </c>
      <c r="O1467" s="1627" t="s">
        <v>1949</v>
      </c>
      <c r="P1467" s="1640">
        <f t="shared" si="207"/>
        <v>20</v>
      </c>
      <c r="Q1467" s="1638" t="s">
        <v>4</v>
      </c>
      <c r="R1467" s="1640">
        <f t="shared" si="208"/>
        <v>0</v>
      </c>
      <c r="S1467" s="1658">
        <v>6.81</v>
      </c>
      <c r="T1467" s="1638" t="s">
        <v>534</v>
      </c>
      <c r="U1467" s="1627" t="s">
        <v>1936</v>
      </c>
      <c r="V1467" s="1640">
        <f>V1443</f>
        <v>325</v>
      </c>
      <c r="W1467" s="1628" t="s">
        <v>534</v>
      </c>
      <c r="X1467" s="1640">
        <f>V1467*S1467</f>
        <v>2213.25</v>
      </c>
      <c r="Y1467" s="1640"/>
      <c r="AG1467" s="1640">
        <f t="shared" si="193"/>
        <v>0</v>
      </c>
    </row>
    <row r="1468" spans="6:33" ht="24" customHeight="1">
      <c r="H1468" s="1627" t="s">
        <v>337</v>
      </c>
      <c r="K1468" s="1629">
        <v>0</v>
      </c>
      <c r="M1468" s="1692">
        <v>0</v>
      </c>
      <c r="N1468" s="1638" t="s">
        <v>4</v>
      </c>
      <c r="O1468" s="1627" t="s">
        <v>1951</v>
      </c>
      <c r="P1468" s="1640">
        <f t="shared" si="207"/>
        <v>15</v>
      </c>
      <c r="Q1468" s="1638" t="s">
        <v>4</v>
      </c>
      <c r="R1468" s="1640">
        <f t="shared" si="208"/>
        <v>0</v>
      </c>
      <c r="S1468" s="1658">
        <v>0.77100000000000002</v>
      </c>
      <c r="T1468" s="1638" t="s">
        <v>533</v>
      </c>
      <c r="U1468" s="1627" t="s">
        <v>1940</v>
      </c>
      <c r="V1468" s="1640">
        <f>V1444</f>
        <v>306.89999999999998</v>
      </c>
      <c r="W1468" s="1628" t="s">
        <v>534</v>
      </c>
      <c r="X1468" s="1640">
        <f>V1468*S1468</f>
        <v>236.6199</v>
      </c>
      <c r="Y1468" s="1640"/>
      <c r="AG1468" s="1640">
        <f t="shared" si="193"/>
        <v>0</v>
      </c>
    </row>
    <row r="1469" spans="6:33" ht="24" customHeight="1">
      <c r="K1469" s="1636" t="s">
        <v>21</v>
      </c>
      <c r="M1469" s="1692">
        <v>1.89</v>
      </c>
      <c r="N1469" s="1638" t="s">
        <v>306</v>
      </c>
      <c r="O1469" s="1627" t="s">
        <v>1952</v>
      </c>
      <c r="P1469" s="1640">
        <f t="shared" si="207"/>
        <v>2654.4</v>
      </c>
      <c r="Q1469" s="1638" t="s">
        <v>306</v>
      </c>
      <c r="R1469" s="1640">
        <f t="shared" si="208"/>
        <v>5016.8159999999998</v>
      </c>
      <c r="S1469" s="1658">
        <v>0.77100000000000002</v>
      </c>
      <c r="T1469" s="1638" t="s">
        <v>533</v>
      </c>
      <c r="U1469" s="1627" t="s">
        <v>1952</v>
      </c>
      <c r="V1469" s="1640">
        <f>V1445</f>
        <v>2654.4</v>
      </c>
      <c r="W1469" s="1628" t="s">
        <v>534</v>
      </c>
      <c r="X1469" s="1640">
        <f>V1469*S1469</f>
        <v>2046.5424</v>
      </c>
      <c r="Y1469" s="1640"/>
      <c r="AG1469" s="1640">
        <f t="shared" si="193"/>
        <v>0</v>
      </c>
    </row>
    <row r="1470" spans="6:33" ht="24" customHeight="1">
      <c r="H1470" s="1628" t="s">
        <v>2003</v>
      </c>
      <c r="K1470" s="1640">
        <f>SUM(K1465:K1468)</f>
        <v>467.31313999999998</v>
      </c>
      <c r="N1470" s="1630"/>
      <c r="O1470" s="1627" t="s">
        <v>1954</v>
      </c>
      <c r="Q1470" s="1634"/>
      <c r="R1470" s="1640">
        <v>0.28000000000000003</v>
      </c>
      <c r="S1470" s="1658"/>
      <c r="T1470" s="1638"/>
      <c r="U1470" s="1627"/>
      <c r="V1470" s="1640"/>
      <c r="W1470" s="1628"/>
      <c r="X1470" s="1640">
        <f>SUM(X1467:X1469)</f>
        <v>4496.4123</v>
      </c>
      <c r="Y1470" s="1640"/>
      <c r="AG1470" s="1640">
        <f t="shared" ref="AG1470:AG1533" si="209">AI1470</f>
        <v>0</v>
      </c>
    </row>
    <row r="1471" spans="6:33" ht="24" customHeight="1">
      <c r="K1471" s="1636" t="s">
        <v>21</v>
      </c>
      <c r="R1471" s="1639">
        <f>SUM(R1458:R1470)</f>
        <v>9645.6869999999999</v>
      </c>
      <c r="S1471" s="1658"/>
      <c r="T1471" s="1638"/>
      <c r="U1471" s="1637" t="s">
        <v>1989</v>
      </c>
      <c r="V1471" s="1640"/>
      <c r="W1471" s="1628"/>
      <c r="X1471" s="1639">
        <f>X1470/S1469</f>
        <v>5831.9225680933851</v>
      </c>
      <c r="Y1471" s="1639"/>
      <c r="AG1471" s="1640">
        <f t="shared" si="209"/>
        <v>0</v>
      </c>
    </row>
    <row r="1472" spans="6:33" ht="24" customHeight="1">
      <c r="H1472" s="1641" t="s">
        <v>2004</v>
      </c>
      <c r="I1472" s="1661"/>
      <c r="J1472" s="1676"/>
      <c r="K1472" s="1639">
        <f>K1470/6.77</f>
        <v>69.027051698670604</v>
      </c>
      <c r="W1472" s="1634"/>
      <c r="AG1472" s="1640">
        <f t="shared" si="209"/>
        <v>0</v>
      </c>
    </row>
    <row r="1473" spans="6:33" ht="24" customHeight="1">
      <c r="K1473" s="1636" t="s">
        <v>156</v>
      </c>
      <c r="W1473" s="1634"/>
      <c r="AG1473" s="1640">
        <f t="shared" si="209"/>
        <v>0</v>
      </c>
    </row>
    <row r="1474" spans="6:33" ht="24" customHeight="1">
      <c r="K1474" s="1636"/>
      <c r="N1474" s="1630"/>
      <c r="O1474" s="1661" t="s">
        <v>2007</v>
      </c>
      <c r="P1474" s="2019" t="s">
        <v>1986</v>
      </c>
      <c r="Q1474" s="2019"/>
      <c r="R1474" s="2019"/>
      <c r="S1474" s="2008"/>
      <c r="T1474" s="2008"/>
      <c r="U1474" s="2008"/>
      <c r="V1474" s="1736"/>
      <c r="W1474" s="1736"/>
      <c r="AG1474" s="1640">
        <f t="shared" si="209"/>
        <v>0</v>
      </c>
    </row>
    <row r="1475" spans="6:33" ht="24" customHeight="1">
      <c r="K1475" s="1636"/>
      <c r="M1475" s="1692">
        <v>4.67</v>
      </c>
      <c r="N1475" s="1638" t="s">
        <v>534</v>
      </c>
      <c r="O1475" s="1685" t="s">
        <v>1974</v>
      </c>
      <c r="P1475" s="1640">
        <f>P1458</f>
        <v>325</v>
      </c>
      <c r="Q1475" s="1638" t="s">
        <v>534</v>
      </c>
      <c r="R1475" s="1640">
        <f>P1475*M1475</f>
        <v>1517.75</v>
      </c>
      <c r="S1475" s="1692"/>
      <c r="T1475" s="1638"/>
      <c r="U1475" s="1627"/>
      <c r="V1475" s="1640"/>
      <c r="W1475" s="1628"/>
      <c r="X1475" s="1640"/>
      <c r="Y1475" s="1640"/>
      <c r="AG1475" s="1640">
        <f t="shared" si="209"/>
        <v>0</v>
      </c>
    </row>
    <row r="1476" spans="6:33" ht="24" customHeight="1">
      <c r="G1476" s="1638" t="s">
        <v>514</v>
      </c>
      <c r="H1476" s="1627" t="s">
        <v>2008</v>
      </c>
      <c r="K1476" s="1636"/>
      <c r="M1476" s="1692">
        <v>0.54</v>
      </c>
      <c r="N1476" s="1638" t="s">
        <v>533</v>
      </c>
      <c r="O1476" s="1627" t="s">
        <v>1940</v>
      </c>
      <c r="P1476" s="1640">
        <f>P1462</f>
        <v>306.89999999999998</v>
      </c>
      <c r="Q1476" s="1638" t="s">
        <v>534</v>
      </c>
      <c r="R1476" s="1640">
        <f>P1476*M1476</f>
        <v>165.726</v>
      </c>
      <c r="S1476" s="1692"/>
      <c r="T1476" s="1638"/>
      <c r="U1476" s="1627"/>
      <c r="V1476" s="1640"/>
      <c r="W1476" s="1628"/>
      <c r="X1476" s="1640"/>
      <c r="Y1476" s="1640"/>
      <c r="AG1476" s="1640">
        <f t="shared" si="209"/>
        <v>0</v>
      </c>
    </row>
    <row r="1477" spans="6:33" ht="24" customHeight="1">
      <c r="G1477" s="1638" t="s">
        <v>21</v>
      </c>
      <c r="H1477" s="1636" t="s">
        <v>21</v>
      </c>
      <c r="K1477" s="1636"/>
      <c r="M1477" s="1692">
        <v>0.54</v>
      </c>
      <c r="N1477" s="1638" t="s">
        <v>533</v>
      </c>
      <c r="O1477" s="1627" t="s">
        <v>1952</v>
      </c>
      <c r="P1477" s="1640">
        <f>P1469</f>
        <v>2654.4</v>
      </c>
      <c r="Q1477" s="1638" t="s">
        <v>534</v>
      </c>
      <c r="R1477" s="1640">
        <f>P1477*M1477</f>
        <v>1433.3760000000002</v>
      </c>
      <c r="S1477" s="1692"/>
      <c r="T1477" s="1638"/>
      <c r="U1477" s="1627"/>
      <c r="V1477" s="1640"/>
      <c r="W1477" s="1628"/>
      <c r="X1477" s="1640"/>
      <c r="Y1477" s="1640"/>
      <c r="AG1477" s="1640">
        <f t="shared" si="209"/>
        <v>0</v>
      </c>
    </row>
    <row r="1478" spans="6:33" ht="24" customHeight="1">
      <c r="F1478" s="1692">
        <v>4.7000000000000002E-3</v>
      </c>
      <c r="G1478" s="1638" t="s">
        <v>313</v>
      </c>
      <c r="H1478" s="1627" t="s">
        <v>2000</v>
      </c>
      <c r="I1478" s="1629">
        <f>K49</f>
        <v>4159.0200000000004</v>
      </c>
      <c r="J1478" s="1627" t="s">
        <v>313</v>
      </c>
      <c r="K1478" s="1640">
        <f>(F1478*I1478)</f>
        <v>19.547394000000004</v>
      </c>
      <c r="M1478" s="1692"/>
      <c r="N1478" s="1638"/>
      <c r="O1478" s="1627"/>
      <c r="P1478" s="1640"/>
      <c r="Q1478" s="1638"/>
      <c r="R1478" s="1640">
        <f>SUM(R1475:R1477)</f>
        <v>3116.8520000000003</v>
      </c>
      <c r="S1478" s="1692"/>
      <c r="T1478" s="1638"/>
      <c r="U1478" s="1627"/>
      <c r="V1478" s="1737"/>
      <c r="W1478" s="1738"/>
      <c r="X1478" s="1640"/>
      <c r="Y1478" s="1640"/>
      <c r="AG1478" s="1640">
        <f t="shared" si="209"/>
        <v>0</v>
      </c>
    </row>
    <row r="1479" spans="6:33" ht="24" customHeight="1">
      <c r="F1479" s="1640">
        <v>0.15</v>
      </c>
      <c r="G1479" s="1638" t="s">
        <v>345</v>
      </c>
      <c r="H1479" s="1627" t="s">
        <v>2001</v>
      </c>
      <c r="I1479" s="1629">
        <f>C10</f>
        <v>1325.8</v>
      </c>
      <c r="J1479" s="1627" t="s">
        <v>345</v>
      </c>
      <c r="K1479" s="1640">
        <f>(F1479*I1479)</f>
        <v>198.86999999999998</v>
      </c>
      <c r="M1479" s="1692"/>
      <c r="N1479" s="1638"/>
      <c r="O1479" s="1637" t="s">
        <v>1989</v>
      </c>
      <c r="P1479" s="1640"/>
      <c r="Q1479" s="1638"/>
      <c r="R1479" s="1639">
        <f>R1478/M1477</f>
        <v>5771.948148148148</v>
      </c>
      <c r="S1479" s="1692"/>
      <c r="T1479" s="1638"/>
      <c r="U1479" s="1627"/>
      <c r="V1479" s="1640"/>
      <c r="W1479" s="1628"/>
      <c r="X1479" s="1639"/>
      <c r="Y1479" s="1639"/>
      <c r="AG1479" s="1640">
        <f t="shared" si="209"/>
        <v>0</v>
      </c>
    </row>
    <row r="1480" spans="6:33" ht="24" customHeight="1">
      <c r="F1480" s="1640">
        <v>0.15</v>
      </c>
      <c r="G1480" s="1638" t="s">
        <v>345</v>
      </c>
      <c r="H1480" s="1627" t="s">
        <v>1198</v>
      </c>
      <c r="I1480" s="1629">
        <f>C12</f>
        <v>865.19999999999993</v>
      </c>
      <c r="J1480" s="1627" t="s">
        <v>345</v>
      </c>
      <c r="K1480" s="1640">
        <f>(F1480*I1480)</f>
        <v>129.77999999999997</v>
      </c>
      <c r="M1480" s="1692"/>
      <c r="N1480" s="1638"/>
      <c r="O1480" s="1627"/>
      <c r="P1480" s="1640"/>
      <c r="Q1480" s="1638"/>
      <c r="R1480" s="1640"/>
      <c r="W1480" s="1634"/>
      <c r="AG1480" s="1640">
        <f t="shared" si="209"/>
        <v>0</v>
      </c>
    </row>
    <row r="1481" spans="6:33" ht="24" customHeight="1">
      <c r="H1481" s="1627" t="s">
        <v>337</v>
      </c>
      <c r="K1481" s="1629">
        <v>0</v>
      </c>
      <c r="N1481" s="1630"/>
      <c r="O1481" s="1661" t="s">
        <v>2009</v>
      </c>
      <c r="P1481" s="1688" t="s">
        <v>1986</v>
      </c>
      <c r="Q1481" s="1632"/>
      <c r="W1481" s="1634"/>
      <c r="AG1481" s="1640">
        <f t="shared" si="209"/>
        <v>0</v>
      </c>
    </row>
    <row r="1482" spans="6:33" ht="24" customHeight="1">
      <c r="K1482" s="1636" t="s">
        <v>21</v>
      </c>
      <c r="M1482" s="1692">
        <v>7.01</v>
      </c>
      <c r="N1482" s="1638" t="s">
        <v>534</v>
      </c>
      <c r="O1482" s="1685" t="s">
        <v>1974</v>
      </c>
      <c r="P1482" s="1640">
        <f>P1475</f>
        <v>325</v>
      </c>
      <c r="Q1482" s="1638" t="s">
        <v>534</v>
      </c>
      <c r="R1482" s="1640">
        <f>P1482*M1482</f>
        <v>2278.25</v>
      </c>
      <c r="S1482" s="1633">
        <f>0.3028*0.3028</f>
        <v>9.1687840000000007E-2</v>
      </c>
      <c r="T1482" s="1629">
        <f>60*S1482</f>
        <v>5.5012704000000001</v>
      </c>
      <c r="U1482" s="1629">
        <f>4.58/10</f>
        <v>0.45800000000000002</v>
      </c>
      <c r="W1482" s="1634"/>
      <c r="AG1482" s="1640">
        <f t="shared" si="209"/>
        <v>0</v>
      </c>
    </row>
    <row r="1483" spans="6:33" ht="24" customHeight="1">
      <c r="H1483" s="1628" t="s">
        <v>2003</v>
      </c>
      <c r="K1483" s="1640">
        <f>SUM(K1478:K1481)</f>
        <v>348.19739399999992</v>
      </c>
      <c r="M1483" s="1692">
        <v>0.81</v>
      </c>
      <c r="N1483" s="1638" t="s">
        <v>533</v>
      </c>
      <c r="O1483" s="1627" t="s">
        <v>1940</v>
      </c>
      <c r="P1483" s="1640">
        <f>P1476</f>
        <v>306.89999999999998</v>
      </c>
      <c r="Q1483" s="1638" t="s">
        <v>534</v>
      </c>
      <c r="R1483" s="1640">
        <f>P1483*M1483</f>
        <v>248.589</v>
      </c>
      <c r="W1483" s="1634"/>
      <c r="AG1483" s="1640">
        <f t="shared" si="209"/>
        <v>0</v>
      </c>
    </row>
    <row r="1484" spans="6:33" ht="24" customHeight="1">
      <c r="K1484" s="1636" t="s">
        <v>21</v>
      </c>
      <c r="M1484" s="1692">
        <v>0.81</v>
      </c>
      <c r="N1484" s="1638" t="s">
        <v>533</v>
      </c>
      <c r="O1484" s="1627" t="s">
        <v>1952</v>
      </c>
      <c r="P1484" s="1640">
        <f>P1477</f>
        <v>2654.4</v>
      </c>
      <c r="Q1484" s="1638" t="s">
        <v>534</v>
      </c>
      <c r="R1484" s="1640">
        <f>P1484*M1484</f>
        <v>2150.0640000000003</v>
      </c>
      <c r="W1484" s="1634"/>
      <c r="AG1484" s="1640">
        <f t="shared" si="209"/>
        <v>0</v>
      </c>
    </row>
    <row r="1485" spans="6:33" ht="24" customHeight="1">
      <c r="H1485" s="1641" t="s">
        <v>2004</v>
      </c>
      <c r="I1485" s="1661"/>
      <c r="J1485" s="1676"/>
      <c r="K1485" s="1639">
        <f>K1483/6.77</f>
        <v>51.432406794682414</v>
      </c>
      <c r="M1485" s="1692"/>
      <c r="N1485" s="1638"/>
      <c r="O1485" s="1627"/>
      <c r="P1485" s="1640"/>
      <c r="Q1485" s="1638"/>
      <c r="R1485" s="1640">
        <f>SUM(R1482:R1484)+0.68</f>
        <v>4677.5830000000005</v>
      </c>
      <c r="W1485" s="1634"/>
      <c r="AG1485" s="1640">
        <f t="shared" si="209"/>
        <v>0</v>
      </c>
    </row>
    <row r="1486" spans="6:33" ht="24" customHeight="1">
      <c r="K1486" s="1636" t="s">
        <v>156</v>
      </c>
      <c r="M1486" s="1692"/>
      <c r="N1486" s="1638"/>
      <c r="O1486" s="1637" t="s">
        <v>1989</v>
      </c>
      <c r="P1486" s="1640"/>
      <c r="Q1486" s="1638"/>
      <c r="R1486" s="1639">
        <f>R1485/M1484</f>
        <v>5774.7938271604944</v>
      </c>
      <c r="W1486" s="1634"/>
      <c r="AG1486" s="1640">
        <f t="shared" si="209"/>
        <v>0</v>
      </c>
    </row>
    <row r="1487" spans="6:33" ht="24" customHeight="1">
      <c r="K1487" s="1636"/>
      <c r="N1487" s="1630"/>
      <c r="O1487" s="1627"/>
      <c r="Q1487" s="1634"/>
      <c r="R1487" s="1640"/>
      <c r="W1487" s="1634"/>
      <c r="AG1487" s="1640">
        <f t="shared" si="209"/>
        <v>0</v>
      </c>
    </row>
    <row r="1488" spans="6:33" ht="24" customHeight="1">
      <c r="F1488" s="1662">
        <v>37.1</v>
      </c>
      <c r="G1488" s="1638" t="s">
        <v>249</v>
      </c>
      <c r="H1488" s="1627" t="s">
        <v>2010</v>
      </c>
      <c r="N1488" s="1630"/>
      <c r="O1488" s="1661" t="s">
        <v>2011</v>
      </c>
      <c r="Q1488" s="1632"/>
      <c r="W1488" s="1634"/>
      <c r="AG1488" s="1640">
        <f t="shared" si="209"/>
        <v>0</v>
      </c>
    </row>
    <row r="1489" spans="6:33" ht="24" customHeight="1">
      <c r="H1489" s="1636" t="s">
        <v>21</v>
      </c>
      <c r="M1489" s="1692">
        <v>4.42</v>
      </c>
      <c r="N1489" s="1638" t="s">
        <v>534</v>
      </c>
      <c r="O1489" s="1685" t="s">
        <v>1974</v>
      </c>
      <c r="P1489" s="1640">
        <f>P1458</f>
        <v>325</v>
      </c>
      <c r="Q1489" s="1638" t="s">
        <v>534</v>
      </c>
      <c r="R1489" s="1640">
        <f>P1489*M1489</f>
        <v>1436.5</v>
      </c>
      <c r="W1489" s="1634"/>
      <c r="AG1489" s="1640">
        <f t="shared" si="209"/>
        <v>0</v>
      </c>
    </row>
    <row r="1490" spans="6:33" ht="24" customHeight="1">
      <c r="F1490" s="1640">
        <v>0.09</v>
      </c>
      <c r="G1490" s="1638" t="s">
        <v>151</v>
      </c>
      <c r="H1490" s="1627" t="s">
        <v>315</v>
      </c>
      <c r="I1490" s="1640">
        <f>(C84)</f>
        <v>1348</v>
      </c>
      <c r="J1490" s="1627" t="s">
        <v>151</v>
      </c>
      <c r="K1490" s="1640">
        <f>(F1490*I1490)</f>
        <v>121.32</v>
      </c>
      <c r="M1490" s="1692">
        <v>4.72</v>
      </c>
      <c r="N1490" s="1638" t="s">
        <v>534</v>
      </c>
      <c r="O1490" s="1685" t="s">
        <v>1974</v>
      </c>
      <c r="P1490" s="1640">
        <f t="shared" ref="P1490:P1500" si="210">P1459</f>
        <v>325</v>
      </c>
      <c r="Q1490" s="1638" t="s">
        <v>534</v>
      </c>
      <c r="R1490" s="1640">
        <f t="shared" ref="R1490:R1500" si="211">P1490*M1490</f>
        <v>1534</v>
      </c>
      <c r="W1490" s="1634"/>
      <c r="AG1490" s="1640">
        <f t="shared" si="209"/>
        <v>0</v>
      </c>
    </row>
    <row r="1491" spans="6:33" ht="24" customHeight="1">
      <c r="F1491" s="1640">
        <v>2.2000000000000002</v>
      </c>
      <c r="G1491" s="1638" t="s">
        <v>153</v>
      </c>
      <c r="H1491" s="1627" t="s">
        <v>234</v>
      </c>
      <c r="I1491" s="1640">
        <f>(C11)</f>
        <v>1237.5999999999999</v>
      </c>
      <c r="J1491" s="1627" t="s">
        <v>153</v>
      </c>
      <c r="K1491" s="1640">
        <f>(F1491*I1491)</f>
        <v>2722.72</v>
      </c>
      <c r="M1491" s="1692">
        <v>9.06</v>
      </c>
      <c r="N1491" s="1638" t="s">
        <v>534</v>
      </c>
      <c r="O1491" s="1627" t="s">
        <v>1936</v>
      </c>
      <c r="P1491" s="1640">
        <f t="shared" si="210"/>
        <v>325</v>
      </c>
      <c r="Q1491" s="1638" t="s">
        <v>534</v>
      </c>
      <c r="R1491" s="1640">
        <f t="shared" si="211"/>
        <v>2944.5</v>
      </c>
      <c r="W1491" s="1634"/>
      <c r="AG1491" s="1640">
        <f t="shared" si="209"/>
        <v>0</v>
      </c>
    </row>
    <row r="1492" spans="6:33" ht="24" customHeight="1">
      <c r="F1492" s="1640">
        <v>0.5</v>
      </c>
      <c r="G1492" s="1638" t="s">
        <v>153</v>
      </c>
      <c r="H1492" s="1627" t="s">
        <v>235</v>
      </c>
      <c r="I1492" s="1640">
        <f>(C12)</f>
        <v>865.19999999999993</v>
      </c>
      <c r="J1492" s="1627" t="s">
        <v>153</v>
      </c>
      <c r="K1492" s="1640">
        <f>(F1492*I1492)</f>
        <v>432.59999999999997</v>
      </c>
      <c r="M1492" s="1692">
        <v>1.58</v>
      </c>
      <c r="N1492" s="1638" t="s">
        <v>534</v>
      </c>
      <c r="O1492" s="1627" t="s">
        <v>1936</v>
      </c>
      <c r="P1492" s="1640">
        <f t="shared" si="210"/>
        <v>325</v>
      </c>
      <c r="Q1492" s="1638" t="s">
        <v>534</v>
      </c>
      <c r="R1492" s="1640">
        <f t="shared" si="211"/>
        <v>513.5</v>
      </c>
      <c r="W1492" s="1634"/>
      <c r="AG1492" s="1640">
        <f t="shared" si="209"/>
        <v>0</v>
      </c>
    </row>
    <row r="1493" spans="6:33" ht="24" customHeight="1">
      <c r="F1493" s="1640">
        <v>3.8</v>
      </c>
      <c r="G1493" s="1638" t="s">
        <v>153</v>
      </c>
      <c r="H1493" s="1627" t="s">
        <v>236</v>
      </c>
      <c r="I1493" s="1640">
        <f>(C13)</f>
        <v>709.8</v>
      </c>
      <c r="J1493" s="1627" t="s">
        <v>153</v>
      </c>
      <c r="K1493" s="1640">
        <f>(F1493*I1493)</f>
        <v>2697.24</v>
      </c>
      <c r="M1493" s="1692">
        <v>1.65</v>
      </c>
      <c r="N1493" s="1638" t="s">
        <v>533</v>
      </c>
      <c r="O1493" s="1627" t="s">
        <v>1940</v>
      </c>
      <c r="P1493" s="1640">
        <f t="shared" si="210"/>
        <v>306.89999999999998</v>
      </c>
      <c r="Q1493" s="1638" t="s">
        <v>533</v>
      </c>
      <c r="R1493" s="1640">
        <f t="shared" si="211"/>
        <v>506.38499999999993</v>
      </c>
      <c r="W1493" s="1634"/>
      <c r="AG1493" s="1640">
        <f t="shared" si="209"/>
        <v>0</v>
      </c>
    </row>
    <row r="1494" spans="6:33" ht="24" customHeight="1">
      <c r="G1494" s="1638" t="s">
        <v>226</v>
      </c>
      <c r="H1494" s="1627" t="s">
        <v>2012</v>
      </c>
      <c r="I1494" s="1627" t="s">
        <v>150</v>
      </c>
      <c r="J1494" s="1627" t="s">
        <v>226</v>
      </c>
      <c r="K1494" s="1640">
        <v>1.5</v>
      </c>
      <c r="M1494" s="1692">
        <v>12.74</v>
      </c>
      <c r="N1494" s="1638" t="s">
        <v>303</v>
      </c>
      <c r="O1494" s="1627" t="str">
        <f>O1463</f>
        <v>rubber beeding P-41/64</v>
      </c>
      <c r="P1494" s="1640">
        <f t="shared" si="210"/>
        <v>29.05</v>
      </c>
      <c r="Q1494" s="1638" t="s">
        <v>303</v>
      </c>
      <c r="R1494" s="1640">
        <f t="shared" si="211"/>
        <v>370.09700000000004</v>
      </c>
      <c r="W1494" s="1634"/>
      <c r="AG1494" s="1640">
        <f t="shared" si="209"/>
        <v>0</v>
      </c>
    </row>
    <row r="1495" spans="6:33" ht="24" customHeight="1">
      <c r="K1495" s="1636" t="s">
        <v>21</v>
      </c>
      <c r="M1495" s="1692">
        <v>12</v>
      </c>
      <c r="N1495" s="1638" t="s">
        <v>4</v>
      </c>
      <c r="O1495" s="1627" t="str">
        <f>O1464</f>
        <v>hinges 75mm x 30 mm P-41/77 b</v>
      </c>
      <c r="P1495" s="1640">
        <f t="shared" si="210"/>
        <v>71.900000000000006</v>
      </c>
      <c r="Q1495" s="1638" t="s">
        <v>4</v>
      </c>
      <c r="R1495" s="1640">
        <f t="shared" si="211"/>
        <v>862.80000000000007</v>
      </c>
      <c r="W1495" s="1634"/>
      <c r="AG1495" s="1640">
        <f t="shared" si="209"/>
        <v>0</v>
      </c>
    </row>
    <row r="1496" spans="6:33" ht="24" customHeight="1">
      <c r="H1496" s="1627" t="s">
        <v>317</v>
      </c>
      <c r="K1496" s="1640">
        <f>SUM(K1489:K1494)</f>
        <v>5975.3799999999992</v>
      </c>
      <c r="M1496" s="1692">
        <v>6</v>
      </c>
      <c r="N1496" s="1638" t="s">
        <v>4</v>
      </c>
      <c r="O1496" s="1627" t="str">
        <f>O1465</f>
        <v>handle 150 mm long p-42 /80b</v>
      </c>
      <c r="P1496" s="1640">
        <f t="shared" si="210"/>
        <v>57.65</v>
      </c>
      <c r="Q1496" s="1638" t="s">
        <v>4</v>
      </c>
      <c r="R1496" s="1640">
        <f t="shared" si="211"/>
        <v>345.9</v>
      </c>
      <c r="W1496" s="1634"/>
      <c r="AG1496" s="1640">
        <f t="shared" si="209"/>
        <v>0</v>
      </c>
    </row>
    <row r="1497" spans="6:33" ht="24" customHeight="1">
      <c r="K1497" s="1636" t="s">
        <v>21</v>
      </c>
      <c r="M1497" s="1692">
        <v>6</v>
      </c>
      <c r="N1497" s="1638" t="s">
        <v>4</v>
      </c>
      <c r="O1497" s="1627" t="s">
        <v>1948</v>
      </c>
      <c r="P1497" s="1640">
        <f t="shared" si="210"/>
        <v>30</v>
      </c>
      <c r="Q1497" s="1638" t="s">
        <v>4</v>
      </c>
      <c r="R1497" s="1640">
        <f t="shared" si="211"/>
        <v>180</v>
      </c>
      <c r="W1497" s="1634"/>
      <c r="AG1497" s="1640">
        <f t="shared" si="209"/>
        <v>0</v>
      </c>
    </row>
    <row r="1498" spans="6:33" ht="24" customHeight="1">
      <c r="H1498" s="1641" t="s">
        <v>155</v>
      </c>
      <c r="I1498" s="1661"/>
      <c r="J1498" s="1676"/>
      <c r="K1498" s="1639">
        <f>(K1496/100)</f>
        <v>59.753799999999991</v>
      </c>
      <c r="M1498" s="1692">
        <v>6</v>
      </c>
      <c r="N1498" s="1638" t="s">
        <v>4</v>
      </c>
      <c r="O1498" s="1627" t="s">
        <v>1949</v>
      </c>
      <c r="P1498" s="1640">
        <f t="shared" si="210"/>
        <v>20</v>
      </c>
      <c r="Q1498" s="1638" t="s">
        <v>4</v>
      </c>
      <c r="R1498" s="1640">
        <f t="shared" si="211"/>
        <v>120</v>
      </c>
      <c r="W1498" s="1634"/>
      <c r="AG1498" s="1640">
        <f t="shared" si="209"/>
        <v>0</v>
      </c>
    </row>
    <row r="1499" spans="6:33" ht="24" customHeight="1">
      <c r="K1499" s="1636" t="s">
        <v>156</v>
      </c>
      <c r="M1499" s="1692">
        <v>4</v>
      </c>
      <c r="N1499" s="1638" t="s">
        <v>4</v>
      </c>
      <c r="O1499" s="1627" t="s">
        <v>1951</v>
      </c>
      <c r="P1499" s="1640">
        <f t="shared" si="210"/>
        <v>15</v>
      </c>
      <c r="Q1499" s="1638" t="s">
        <v>4</v>
      </c>
      <c r="R1499" s="1640">
        <f t="shared" si="211"/>
        <v>60</v>
      </c>
      <c r="W1499" s="1634"/>
      <c r="AG1499" s="1640">
        <f t="shared" si="209"/>
        <v>0</v>
      </c>
    </row>
    <row r="1500" spans="6:33" ht="24" customHeight="1">
      <c r="F1500" s="1628" t="s">
        <v>2013</v>
      </c>
      <c r="G1500" s="1638" t="s">
        <v>249</v>
      </c>
      <c r="H1500" s="1627" t="s">
        <v>2014</v>
      </c>
      <c r="M1500" s="1692">
        <f>1.5*1.35</f>
        <v>2.0250000000000004</v>
      </c>
      <c r="N1500" s="1638" t="s">
        <v>306</v>
      </c>
      <c r="O1500" s="1627" t="s">
        <v>1952</v>
      </c>
      <c r="P1500" s="1640">
        <f t="shared" si="210"/>
        <v>2654.4</v>
      </c>
      <c r="Q1500" s="1638" t="s">
        <v>306</v>
      </c>
      <c r="R1500" s="1640">
        <f t="shared" si="211"/>
        <v>5375.1600000000008</v>
      </c>
      <c r="W1500" s="1634"/>
      <c r="AG1500" s="1640">
        <f t="shared" si="209"/>
        <v>0</v>
      </c>
    </row>
    <row r="1501" spans="6:33" ht="24" customHeight="1">
      <c r="H1501" s="1627" t="s">
        <v>2015</v>
      </c>
      <c r="N1501" s="1630"/>
      <c r="O1501" s="1627" t="s">
        <v>1954</v>
      </c>
      <c r="Q1501" s="1634"/>
      <c r="R1501" s="1640">
        <v>0.31</v>
      </c>
      <c r="W1501" s="1634"/>
      <c r="AG1501" s="1640">
        <f t="shared" si="209"/>
        <v>0</v>
      </c>
    </row>
    <row r="1502" spans="6:33" ht="24" customHeight="1">
      <c r="H1502" s="1627" t="s">
        <v>2016</v>
      </c>
      <c r="R1502" s="1639">
        <f>SUM(R1489:R1501)</f>
        <v>14249.152</v>
      </c>
      <c r="W1502" s="1634"/>
      <c r="AG1502" s="1640">
        <f t="shared" si="209"/>
        <v>0</v>
      </c>
    </row>
    <row r="1503" spans="6:33" ht="24" customHeight="1">
      <c r="H1503" s="1627" t="s">
        <v>2017</v>
      </c>
      <c r="W1503" s="1634"/>
      <c r="AG1503" s="1640">
        <f t="shared" si="209"/>
        <v>0</v>
      </c>
    </row>
    <row r="1504" spans="6:33" ht="24" customHeight="1">
      <c r="H1504" s="1636" t="s">
        <v>21</v>
      </c>
      <c r="W1504" s="1634"/>
      <c r="AG1504" s="1640">
        <f t="shared" si="209"/>
        <v>0</v>
      </c>
    </row>
    <row r="1505" spans="6:33" ht="24" customHeight="1">
      <c r="F1505" s="1640">
        <v>4.8</v>
      </c>
      <c r="G1505" s="1638" t="s">
        <v>13</v>
      </c>
      <c r="H1505" s="1627" t="s">
        <v>2018</v>
      </c>
      <c r="I1505" s="1640">
        <f>(C271)</f>
        <v>49.85</v>
      </c>
      <c r="J1505" s="1627" t="s">
        <v>13</v>
      </c>
      <c r="K1505" s="1640">
        <f>(F1505*I1505)</f>
        <v>239.28</v>
      </c>
      <c r="W1505" s="1634"/>
      <c r="AG1505" s="1640">
        <f t="shared" si="209"/>
        <v>0</v>
      </c>
    </row>
    <row r="1506" spans="6:33" ht="24" customHeight="1">
      <c r="F1506" s="1640">
        <v>0.75</v>
      </c>
      <c r="G1506" s="1638" t="s">
        <v>153</v>
      </c>
      <c r="H1506" s="1627" t="s">
        <v>2019</v>
      </c>
      <c r="I1506" s="1640">
        <f>(C14)</f>
        <v>1058.3999999999999</v>
      </c>
      <c r="J1506" s="1627" t="s">
        <v>153</v>
      </c>
      <c r="K1506" s="1640">
        <f>(F1506*I1506)</f>
        <v>793.8</v>
      </c>
      <c r="W1506" s="1634"/>
      <c r="AG1506" s="1640">
        <f t="shared" si="209"/>
        <v>0</v>
      </c>
    </row>
    <row r="1507" spans="6:33" ht="24" customHeight="1">
      <c r="F1507" s="1640">
        <v>0.75</v>
      </c>
      <c r="G1507" s="1638" t="s">
        <v>153</v>
      </c>
      <c r="H1507" s="1627" t="s">
        <v>1851</v>
      </c>
      <c r="I1507" s="1640">
        <f>(C12)</f>
        <v>865.19999999999993</v>
      </c>
      <c r="J1507" s="1627" t="s">
        <v>153</v>
      </c>
      <c r="K1507" s="1640">
        <f>(F1507*I1507)</f>
        <v>648.9</v>
      </c>
      <c r="W1507" s="1634"/>
      <c r="AG1507" s="1640">
        <f t="shared" si="209"/>
        <v>0</v>
      </c>
    </row>
    <row r="1508" spans="6:33" ht="24" customHeight="1">
      <c r="F1508" s="1640">
        <v>1.2</v>
      </c>
      <c r="G1508" s="1638" t="s">
        <v>153</v>
      </c>
      <c r="H1508" s="1627" t="s">
        <v>236</v>
      </c>
      <c r="I1508" s="1640">
        <f>(C13)</f>
        <v>709.8</v>
      </c>
      <c r="J1508" s="1627" t="s">
        <v>153</v>
      </c>
      <c r="K1508" s="1640">
        <f>(F1508*I1508)</f>
        <v>851.75999999999988</v>
      </c>
      <c r="W1508" s="1634"/>
      <c r="AG1508" s="1640">
        <f t="shared" si="209"/>
        <v>0</v>
      </c>
    </row>
    <row r="1509" spans="6:33" ht="24" customHeight="1">
      <c r="G1509" s="1638" t="s">
        <v>226</v>
      </c>
      <c r="H1509" s="1627" t="s">
        <v>316</v>
      </c>
      <c r="I1509" s="1627" t="s">
        <v>150</v>
      </c>
      <c r="J1509" s="1627" t="s">
        <v>226</v>
      </c>
      <c r="K1509" s="1640">
        <v>1.5</v>
      </c>
      <c r="W1509" s="1634"/>
      <c r="AG1509" s="1640">
        <f t="shared" si="209"/>
        <v>0</v>
      </c>
    </row>
    <row r="1510" spans="6:33" ht="24" customHeight="1">
      <c r="K1510" s="1636" t="s">
        <v>21</v>
      </c>
      <c r="W1510" s="1634"/>
      <c r="AG1510" s="1640">
        <f t="shared" si="209"/>
        <v>0</v>
      </c>
    </row>
    <row r="1511" spans="6:33" ht="24" customHeight="1">
      <c r="H1511" s="1627" t="s">
        <v>238</v>
      </c>
      <c r="K1511" s="1640">
        <f>SUM(K1505:K1509)</f>
        <v>2535.2399999999998</v>
      </c>
      <c r="W1511" s="1634"/>
      <c r="AG1511" s="1640">
        <f t="shared" si="209"/>
        <v>0</v>
      </c>
    </row>
    <row r="1512" spans="6:33" ht="24" customHeight="1">
      <c r="K1512" s="1636" t="s">
        <v>21</v>
      </c>
      <c r="W1512" s="1634"/>
      <c r="AG1512" s="1640">
        <f t="shared" si="209"/>
        <v>0</v>
      </c>
    </row>
    <row r="1513" spans="6:33" ht="24" customHeight="1">
      <c r="H1513" s="1641" t="s">
        <v>155</v>
      </c>
      <c r="I1513" s="1661"/>
      <c r="J1513" s="1676"/>
      <c r="K1513" s="1639">
        <f>(K1511/10)</f>
        <v>253.52399999999997</v>
      </c>
      <c r="W1513" s="1634"/>
      <c r="AG1513" s="1640">
        <f t="shared" si="209"/>
        <v>0</v>
      </c>
    </row>
    <row r="1514" spans="6:33" ht="24" customHeight="1">
      <c r="K1514" s="1636" t="s">
        <v>156</v>
      </c>
      <c r="W1514" s="1634"/>
      <c r="AG1514" s="1640">
        <f t="shared" si="209"/>
        <v>0</v>
      </c>
    </row>
    <row r="1515" spans="6:33" ht="24" customHeight="1">
      <c r="F1515" s="1628" t="s">
        <v>2020</v>
      </c>
      <c r="G1515" s="1638" t="s">
        <v>249</v>
      </c>
      <c r="H1515" s="1628" t="s">
        <v>2021</v>
      </c>
      <c r="W1515" s="1634"/>
      <c r="AG1515" s="1640">
        <f t="shared" si="209"/>
        <v>0</v>
      </c>
    </row>
    <row r="1516" spans="6:33" ht="24" customHeight="1">
      <c r="H1516" s="1628" t="s">
        <v>1024</v>
      </c>
      <c r="M1516" s="1628"/>
      <c r="N1516" s="1638" t="s">
        <v>249</v>
      </c>
      <c r="O1516" s="1627" t="s">
        <v>2022</v>
      </c>
      <c r="Q1516" s="1632"/>
      <c r="W1516" s="1634"/>
      <c r="AG1516" s="1640">
        <f t="shared" si="209"/>
        <v>0</v>
      </c>
    </row>
    <row r="1517" spans="6:33" ht="24" customHeight="1">
      <c r="F1517" s="1640">
        <v>3.08</v>
      </c>
      <c r="G1517" s="1638" t="s">
        <v>2023</v>
      </c>
      <c r="H1517" s="1627" t="s">
        <v>2024</v>
      </c>
      <c r="I1517" s="1640">
        <f>E271</f>
        <v>158</v>
      </c>
      <c r="J1517" s="1627" t="s">
        <v>2023</v>
      </c>
      <c r="K1517" s="1640">
        <f>(F1517*I1517)</f>
        <v>486.64</v>
      </c>
      <c r="N1517" s="1630"/>
      <c r="O1517" s="1627" t="s">
        <v>2015</v>
      </c>
      <c r="Q1517" s="1632"/>
      <c r="W1517" s="1634"/>
      <c r="AG1517" s="1640">
        <f t="shared" si="209"/>
        <v>0</v>
      </c>
    </row>
    <row r="1518" spans="6:33" ht="24" customHeight="1">
      <c r="F1518" s="1640">
        <v>0.5</v>
      </c>
      <c r="G1518" s="1638" t="s">
        <v>345</v>
      </c>
      <c r="H1518" s="1627" t="s">
        <v>2025</v>
      </c>
      <c r="I1518" s="1640">
        <f>C14</f>
        <v>1058.3999999999999</v>
      </c>
      <c r="J1518" s="1627" t="s">
        <v>345</v>
      </c>
      <c r="K1518" s="1640">
        <f>(F1518*I1518)</f>
        <v>529.19999999999993</v>
      </c>
      <c r="N1518" s="1630"/>
      <c r="O1518" s="1627" t="s">
        <v>2016</v>
      </c>
      <c r="Q1518" s="1632"/>
      <c r="W1518" s="1634"/>
      <c r="AG1518" s="1640">
        <f t="shared" si="209"/>
        <v>0</v>
      </c>
    </row>
    <row r="1519" spans="6:33" ht="24" customHeight="1">
      <c r="F1519" s="1640">
        <v>0.5</v>
      </c>
      <c r="G1519" s="1638" t="s">
        <v>345</v>
      </c>
      <c r="H1519" s="1627" t="s">
        <v>1198</v>
      </c>
      <c r="I1519" s="1640">
        <f>C12</f>
        <v>865.19999999999993</v>
      </c>
      <c r="J1519" s="1627" t="s">
        <v>345</v>
      </c>
      <c r="K1519" s="1640">
        <f>(F1519*I1519)</f>
        <v>432.59999999999997</v>
      </c>
      <c r="N1519" s="1630"/>
      <c r="O1519" s="1627" t="s">
        <v>2017</v>
      </c>
      <c r="Q1519" s="1632"/>
      <c r="W1519" s="1634"/>
      <c r="AG1519" s="1640">
        <f t="shared" si="209"/>
        <v>0</v>
      </c>
    </row>
    <row r="1520" spans="6:33" ht="24" customHeight="1">
      <c r="F1520" s="1640">
        <v>0.8</v>
      </c>
      <c r="G1520" s="1638" t="s">
        <v>345</v>
      </c>
      <c r="H1520" s="1627" t="s">
        <v>2026</v>
      </c>
      <c r="I1520" s="1640">
        <f>C13</f>
        <v>709.8</v>
      </c>
      <c r="J1520" s="1627" t="s">
        <v>345</v>
      </c>
      <c r="K1520" s="1640">
        <f>(F1520*I1520)</f>
        <v>567.84</v>
      </c>
      <c r="N1520" s="1630"/>
      <c r="O1520" s="1636" t="s">
        <v>21</v>
      </c>
      <c r="Q1520" s="1632"/>
      <c r="W1520" s="1634"/>
      <c r="AG1520" s="1640">
        <f t="shared" si="209"/>
        <v>0</v>
      </c>
    </row>
    <row r="1521" spans="6:33" ht="24" customHeight="1">
      <c r="G1521" s="1638" t="s">
        <v>226</v>
      </c>
      <c r="H1521" s="1627" t="s">
        <v>316</v>
      </c>
      <c r="J1521" s="1627" t="s">
        <v>226</v>
      </c>
      <c r="K1521" s="1640">
        <v>1.5</v>
      </c>
      <c r="M1521" s="1640">
        <v>2.1800000000000002</v>
      </c>
      <c r="N1521" s="1638" t="s">
        <v>13</v>
      </c>
      <c r="O1521" s="1627" t="s">
        <v>2027</v>
      </c>
      <c r="P1521" s="1640">
        <v>70</v>
      </c>
      <c r="Q1521" s="1627" t="s">
        <v>13</v>
      </c>
      <c r="R1521" s="1640">
        <f>M1521*P1521</f>
        <v>152.60000000000002</v>
      </c>
      <c r="W1521" s="1634"/>
      <c r="AG1521" s="1640">
        <f t="shared" si="209"/>
        <v>0</v>
      </c>
    </row>
    <row r="1522" spans="6:33" ht="24" customHeight="1">
      <c r="M1522" s="1640">
        <v>0.75</v>
      </c>
      <c r="N1522" s="1638" t="s">
        <v>153</v>
      </c>
      <c r="O1522" s="1627" t="s">
        <v>2019</v>
      </c>
      <c r="P1522" s="1640">
        <f>C14</f>
        <v>1058.3999999999999</v>
      </c>
      <c r="Q1522" s="1627" t="s">
        <v>153</v>
      </c>
      <c r="R1522" s="1640">
        <f>M1522*P1522</f>
        <v>793.8</v>
      </c>
      <c r="W1522" s="1634"/>
      <c r="AG1522" s="1640">
        <f t="shared" si="209"/>
        <v>0</v>
      </c>
    </row>
    <row r="1523" spans="6:33" ht="24" customHeight="1">
      <c r="K1523" s="1636" t="s">
        <v>21</v>
      </c>
      <c r="M1523" s="1640">
        <v>0.75</v>
      </c>
      <c r="N1523" s="1638" t="s">
        <v>153</v>
      </c>
      <c r="O1523" s="1627" t="s">
        <v>1851</v>
      </c>
      <c r="P1523" s="1640">
        <f>C12</f>
        <v>865.19999999999993</v>
      </c>
      <c r="Q1523" s="1627" t="s">
        <v>153</v>
      </c>
      <c r="R1523" s="1640">
        <f>M1523*P1523</f>
        <v>648.9</v>
      </c>
      <c r="W1523" s="1634"/>
      <c r="AG1523" s="1640">
        <f t="shared" si="209"/>
        <v>0</v>
      </c>
    </row>
    <row r="1524" spans="6:33" ht="24" customHeight="1">
      <c r="H1524" s="1628" t="s">
        <v>2028</v>
      </c>
      <c r="K1524" s="1640">
        <f>SUM(K1517:K1521)</f>
        <v>2017.7799999999997</v>
      </c>
      <c r="M1524" s="1640">
        <v>1.2</v>
      </c>
      <c r="N1524" s="1638" t="s">
        <v>153</v>
      </c>
      <c r="O1524" s="1627" t="s">
        <v>236</v>
      </c>
      <c r="P1524" s="1640">
        <f>C13</f>
        <v>709.8</v>
      </c>
      <c r="Q1524" s="1627" t="s">
        <v>153</v>
      </c>
      <c r="R1524" s="1640">
        <f>M1524*P1524</f>
        <v>851.75999999999988</v>
      </c>
      <c r="W1524" s="1634"/>
      <c r="AG1524" s="1640">
        <f t="shared" si="209"/>
        <v>0</v>
      </c>
    </row>
    <row r="1525" spans="6:33" ht="24" customHeight="1">
      <c r="K1525" s="1636" t="s">
        <v>21</v>
      </c>
      <c r="N1525" s="1638" t="s">
        <v>226</v>
      </c>
      <c r="O1525" s="1627" t="s">
        <v>316</v>
      </c>
      <c r="P1525" s="1627" t="s">
        <v>150</v>
      </c>
      <c r="Q1525" s="1627" t="s">
        <v>226</v>
      </c>
      <c r="R1525" s="1640">
        <v>1.5</v>
      </c>
      <c r="W1525" s="1634"/>
      <c r="AG1525" s="1640">
        <f t="shared" si="209"/>
        <v>0</v>
      </c>
    </row>
    <row r="1526" spans="6:33" ht="24" customHeight="1">
      <c r="F1526" s="1627" t="s">
        <v>150</v>
      </c>
      <c r="G1526" s="1638" t="s">
        <v>150</v>
      </c>
      <c r="H1526" s="1641" t="s">
        <v>350</v>
      </c>
      <c r="I1526" s="1631" t="s">
        <v>150</v>
      </c>
      <c r="J1526" s="1631" t="s">
        <v>150</v>
      </c>
      <c r="K1526" s="1639">
        <f>K1524/10</f>
        <v>201.77799999999996</v>
      </c>
      <c r="N1526" s="1630"/>
      <c r="Q1526" s="1632"/>
      <c r="R1526" s="1636" t="s">
        <v>21</v>
      </c>
      <c r="W1526" s="1634"/>
      <c r="AG1526" s="1640">
        <f t="shared" si="209"/>
        <v>0</v>
      </c>
    </row>
    <row r="1527" spans="6:33" ht="24" customHeight="1">
      <c r="K1527" s="1636" t="s">
        <v>156</v>
      </c>
      <c r="N1527" s="1630"/>
      <c r="O1527" s="1627" t="s">
        <v>238</v>
      </c>
      <c r="Q1527" s="1632"/>
      <c r="R1527" s="1640">
        <f>SUM(R1521:R1525)</f>
        <v>2448.56</v>
      </c>
      <c r="W1527" s="1634"/>
      <c r="AG1527" s="1640">
        <f t="shared" si="209"/>
        <v>0</v>
      </c>
    </row>
    <row r="1528" spans="6:33" ht="24" customHeight="1">
      <c r="F1528" s="1628" t="s">
        <v>358</v>
      </c>
      <c r="G1528" s="1638" t="s">
        <v>249</v>
      </c>
      <c r="H1528" s="1627" t="s">
        <v>2029</v>
      </c>
      <c r="N1528" s="1630"/>
      <c r="Q1528" s="1632"/>
      <c r="R1528" s="1636" t="s">
        <v>21</v>
      </c>
      <c r="W1528" s="1634"/>
      <c r="AG1528" s="1640">
        <f t="shared" si="209"/>
        <v>0</v>
      </c>
    </row>
    <row r="1529" spans="6:33" ht="24" customHeight="1">
      <c r="H1529" s="1627" t="s">
        <v>324</v>
      </c>
      <c r="N1529" s="1630"/>
      <c r="O1529" s="1627" t="s">
        <v>155</v>
      </c>
      <c r="Q1529" s="1632"/>
      <c r="R1529" s="1640">
        <f>(R1527/10)</f>
        <v>244.85599999999999</v>
      </c>
      <c r="W1529" s="1634"/>
      <c r="AG1529" s="1640">
        <f t="shared" si="209"/>
        <v>0</v>
      </c>
    </row>
    <row r="1530" spans="6:33" ht="24" customHeight="1">
      <c r="H1530" s="1627" t="s">
        <v>2030</v>
      </c>
      <c r="N1530" s="1630"/>
      <c r="Q1530" s="1632"/>
      <c r="R1530" s="1636" t="s">
        <v>156</v>
      </c>
      <c r="W1530" s="1634"/>
      <c r="AG1530" s="1640">
        <f t="shared" si="209"/>
        <v>0</v>
      </c>
    </row>
    <row r="1531" spans="6:33" ht="24" customHeight="1">
      <c r="H1531" s="1636" t="s">
        <v>21</v>
      </c>
      <c r="L1531" s="1739"/>
      <c r="M1531" s="1737"/>
      <c r="N1531" s="2008" t="s">
        <v>2031</v>
      </c>
      <c r="O1531" s="2008"/>
      <c r="P1531" s="2008"/>
      <c r="Q1531" s="2008"/>
      <c r="R1531" s="2008"/>
      <c r="W1531" s="1634"/>
      <c r="AG1531" s="1640">
        <f t="shared" si="209"/>
        <v>0</v>
      </c>
    </row>
    <row r="1532" spans="6:33" ht="24" customHeight="1">
      <c r="F1532" s="1640">
        <v>1.44</v>
      </c>
      <c r="G1532" s="1638" t="s">
        <v>320</v>
      </c>
      <c r="H1532" s="1627" t="s">
        <v>2032</v>
      </c>
      <c r="I1532" s="1640">
        <f>(C196)</f>
        <v>147.5</v>
      </c>
      <c r="J1532" s="1627" t="s">
        <v>320</v>
      </c>
      <c r="K1532" s="1640">
        <f>(F1532*I1532)</f>
        <v>212.4</v>
      </c>
      <c r="L1532" s="1740"/>
      <c r="M1532" s="1692"/>
      <c r="N1532" s="1638"/>
      <c r="O1532" s="1641" t="s">
        <v>2033</v>
      </c>
      <c r="P1532" s="1640"/>
      <c r="Q1532" s="1638"/>
      <c r="R1532" s="1640"/>
      <c r="W1532" s="1634"/>
      <c r="AG1532" s="1640">
        <f t="shared" si="209"/>
        <v>0</v>
      </c>
    </row>
    <row r="1533" spans="6:33" ht="24" customHeight="1">
      <c r="F1533" s="1640">
        <v>0.7</v>
      </c>
      <c r="G1533" s="1638" t="s">
        <v>4</v>
      </c>
      <c r="H1533" s="1627" t="s">
        <v>322</v>
      </c>
      <c r="I1533" s="1640">
        <f>(C14)</f>
        <v>1058.3999999999999</v>
      </c>
      <c r="J1533" s="1627" t="s">
        <v>4</v>
      </c>
      <c r="K1533" s="1640">
        <f>(F1533*I1533)</f>
        <v>740.87999999999988</v>
      </c>
      <c r="L1533" s="1740"/>
      <c r="M1533" s="1692"/>
      <c r="N1533" s="1638"/>
      <c r="O1533" s="1627"/>
      <c r="P1533" s="1640"/>
      <c r="Q1533" s="1638"/>
      <c r="R1533" s="1640"/>
      <c r="W1533" s="1634"/>
      <c r="AG1533" s="1640">
        <f t="shared" si="209"/>
        <v>0</v>
      </c>
    </row>
    <row r="1534" spans="6:33" ht="24" customHeight="1">
      <c r="F1534" s="1640">
        <v>2.5499999999999998</v>
      </c>
      <c r="G1534" s="1638" t="s">
        <v>320</v>
      </c>
      <c r="H1534" s="1627" t="s">
        <v>321</v>
      </c>
      <c r="I1534" s="1640">
        <f>(C195)</f>
        <v>238.9</v>
      </c>
      <c r="J1534" s="1627" t="s">
        <v>320</v>
      </c>
      <c r="K1534" s="1640">
        <f>(F1534*I1534)</f>
        <v>609.19499999999994</v>
      </c>
      <c r="L1534" s="1740"/>
      <c r="M1534" s="1692"/>
      <c r="N1534" s="1638"/>
      <c r="O1534" s="1627"/>
      <c r="P1534" s="1640"/>
      <c r="Q1534" s="1638"/>
      <c r="R1534" s="1640"/>
      <c r="W1534" s="1634"/>
      <c r="AG1534" s="1640">
        <f t="shared" ref="AG1534:AG1597" si="212">AI1534</f>
        <v>0</v>
      </c>
    </row>
    <row r="1535" spans="6:33" ht="24" customHeight="1">
      <c r="F1535" s="1640">
        <v>1.2</v>
      </c>
      <c r="G1535" s="1638" t="s">
        <v>4</v>
      </c>
      <c r="H1535" s="1627" t="s">
        <v>322</v>
      </c>
      <c r="I1535" s="1640">
        <f>(C14)</f>
        <v>1058.3999999999999</v>
      </c>
      <c r="J1535" s="1627" t="s">
        <v>4</v>
      </c>
      <c r="K1535" s="1640">
        <f>(F1535*I1535)</f>
        <v>1270.0799999999997</v>
      </c>
      <c r="L1535" s="1740"/>
      <c r="M1535" s="1692">
        <v>19.13</v>
      </c>
      <c r="N1535" s="1638" t="s">
        <v>534</v>
      </c>
      <c r="O1535" s="1627" t="s">
        <v>2034</v>
      </c>
      <c r="P1535" s="1640">
        <f>P1489</f>
        <v>325</v>
      </c>
      <c r="Q1535" s="1638" t="s">
        <v>534</v>
      </c>
      <c r="R1535" s="1640">
        <f>P1535*M1535</f>
        <v>6217.25</v>
      </c>
      <c r="W1535" s="1634"/>
      <c r="AG1535" s="1640">
        <f t="shared" si="212"/>
        <v>0</v>
      </c>
    </row>
    <row r="1536" spans="6:33" ht="24" customHeight="1">
      <c r="G1536" s="1638" t="s">
        <v>226</v>
      </c>
      <c r="H1536" s="1627" t="s">
        <v>323</v>
      </c>
      <c r="I1536" s="1627" t="s">
        <v>150</v>
      </c>
      <c r="J1536" s="1627" t="s">
        <v>226</v>
      </c>
      <c r="K1536" s="1640">
        <v>1.5</v>
      </c>
      <c r="L1536" s="1740"/>
      <c r="M1536" s="1692">
        <v>2.97</v>
      </c>
      <c r="N1536" s="1638" t="s">
        <v>533</v>
      </c>
      <c r="O1536" s="1627" t="s">
        <v>2035</v>
      </c>
      <c r="P1536" s="1640">
        <f>P1493</f>
        <v>306.89999999999998</v>
      </c>
      <c r="Q1536" s="1638" t="s">
        <v>533</v>
      </c>
      <c r="R1536" s="1640">
        <f t="shared" ref="R1536:R1541" si="213">P1536*M1536</f>
        <v>911.49299999999994</v>
      </c>
      <c r="W1536" s="1634"/>
      <c r="AG1536" s="1640">
        <f t="shared" si="212"/>
        <v>0</v>
      </c>
    </row>
    <row r="1537" spans="6:33" ht="24" customHeight="1">
      <c r="K1537" s="1636" t="s">
        <v>21</v>
      </c>
      <c r="L1537" s="1740"/>
      <c r="M1537" s="1692">
        <v>15.3</v>
      </c>
      <c r="N1537" s="1638" t="s">
        <v>303</v>
      </c>
      <c r="O1537" s="1627" t="s">
        <v>2036</v>
      </c>
      <c r="P1537" s="1640">
        <f>P1494</f>
        <v>29.05</v>
      </c>
      <c r="Q1537" s="1638" t="s">
        <v>303</v>
      </c>
      <c r="R1537" s="1640">
        <f t="shared" si="213"/>
        <v>444.46500000000003</v>
      </c>
      <c r="W1537" s="1634"/>
      <c r="AG1537" s="1640">
        <f t="shared" si="212"/>
        <v>0</v>
      </c>
    </row>
    <row r="1538" spans="6:33" ht="24" customHeight="1">
      <c r="H1538" s="1627" t="s">
        <v>238</v>
      </c>
      <c r="K1538" s="1640">
        <f>SUM(K1532:K1536)</f>
        <v>2834.0549999999994</v>
      </c>
      <c r="L1538" s="1740"/>
      <c r="M1538" s="1692">
        <v>3</v>
      </c>
      <c r="N1538" s="1638" t="s">
        <v>2037</v>
      </c>
      <c r="O1538" s="1627" t="s">
        <v>2038</v>
      </c>
      <c r="P1538" s="1640">
        <f>I4009</f>
        <v>350</v>
      </c>
      <c r="Q1538" s="1638" t="s">
        <v>4</v>
      </c>
      <c r="R1538" s="1640">
        <f t="shared" si="213"/>
        <v>1050</v>
      </c>
      <c r="W1538" s="1634"/>
      <c r="AG1538" s="1640">
        <f t="shared" si="212"/>
        <v>0</v>
      </c>
    </row>
    <row r="1539" spans="6:33" ht="24" customHeight="1">
      <c r="K1539" s="1636" t="s">
        <v>21</v>
      </c>
      <c r="L1539" s="1740"/>
      <c r="M1539" s="1692">
        <v>3</v>
      </c>
      <c r="N1539" s="1638" t="s">
        <v>4</v>
      </c>
      <c r="O1539" s="1627" t="s">
        <v>2039</v>
      </c>
      <c r="P1539" s="1640">
        <f>I4010</f>
        <v>57.65</v>
      </c>
      <c r="Q1539" s="1638" t="s">
        <v>4</v>
      </c>
      <c r="R1539" s="1640">
        <f t="shared" si="213"/>
        <v>172.95</v>
      </c>
      <c r="W1539" s="1634"/>
      <c r="AG1539" s="1640">
        <f t="shared" si="212"/>
        <v>0</v>
      </c>
    </row>
    <row r="1540" spans="6:33" ht="24" customHeight="1">
      <c r="H1540" s="1641" t="s">
        <v>155</v>
      </c>
      <c r="I1540" s="1661"/>
      <c r="J1540" s="1676"/>
      <c r="K1540" s="1639">
        <f>(K1538/10)</f>
        <v>283.40549999999996</v>
      </c>
      <c r="L1540" s="1740"/>
      <c r="M1540" s="1692">
        <v>6</v>
      </c>
      <c r="N1540" s="1638" t="s">
        <v>4</v>
      </c>
      <c r="O1540" s="1627" t="s">
        <v>2040</v>
      </c>
      <c r="P1540" s="1640">
        <f>I3995</f>
        <v>15</v>
      </c>
      <c r="Q1540" s="1638" t="s">
        <v>4</v>
      </c>
      <c r="R1540" s="1640">
        <f t="shared" si="213"/>
        <v>90</v>
      </c>
      <c r="W1540" s="1634"/>
      <c r="AG1540" s="1640">
        <f t="shared" si="212"/>
        <v>0</v>
      </c>
    </row>
    <row r="1541" spans="6:33" ht="24" customHeight="1">
      <c r="F1541" s="1627" t="s">
        <v>150</v>
      </c>
      <c r="L1541" s="1740"/>
      <c r="M1541" s="1692">
        <v>2.97</v>
      </c>
      <c r="N1541" s="1638" t="s">
        <v>306</v>
      </c>
      <c r="O1541" s="1627" t="s">
        <v>2041</v>
      </c>
      <c r="P1541" s="1640">
        <f>R1552</f>
        <v>2654.3999999999996</v>
      </c>
      <c r="Q1541" s="1638" t="s">
        <v>306</v>
      </c>
      <c r="R1541" s="1640">
        <f t="shared" si="213"/>
        <v>7883.5679999999993</v>
      </c>
      <c r="W1541" s="1634"/>
      <c r="AG1541" s="1640">
        <f t="shared" si="212"/>
        <v>0</v>
      </c>
    </row>
    <row r="1542" spans="6:33" ht="24" customHeight="1">
      <c r="K1542" s="1636" t="s">
        <v>156</v>
      </c>
      <c r="L1542" s="1740"/>
      <c r="M1542" s="1692"/>
      <c r="N1542" s="1638"/>
      <c r="O1542" s="1627" t="s">
        <v>337</v>
      </c>
      <c r="P1542" s="1737"/>
      <c r="Q1542" s="1738"/>
      <c r="R1542" s="1640">
        <v>3.5</v>
      </c>
      <c r="W1542" s="1634"/>
      <c r="AG1542" s="1640">
        <f t="shared" si="212"/>
        <v>0</v>
      </c>
    </row>
    <row r="1543" spans="6:33" ht="24" customHeight="1">
      <c r="F1543" s="1652">
        <v>41</v>
      </c>
      <c r="G1543" s="1638" t="s">
        <v>249</v>
      </c>
      <c r="H1543" s="1627" t="s">
        <v>2042</v>
      </c>
      <c r="L1543" s="1740"/>
      <c r="M1543" s="1737"/>
      <c r="N1543" s="1741"/>
      <c r="O1543" s="1627" t="s">
        <v>2043</v>
      </c>
      <c r="P1543" s="1737"/>
      <c r="Q1543" s="1737"/>
      <c r="R1543" s="1639">
        <f>SUM(R1535:R1542)</f>
        <v>16773.226000000002</v>
      </c>
      <c r="W1543" s="1634"/>
      <c r="AG1543" s="1640">
        <f t="shared" si="212"/>
        <v>0</v>
      </c>
    </row>
    <row r="1544" spans="6:33" ht="24" customHeight="1">
      <c r="H1544" s="1627" t="s">
        <v>318</v>
      </c>
      <c r="L1544" s="1742"/>
      <c r="M1544" s="1737"/>
      <c r="N1544" s="1737"/>
      <c r="W1544" s="1634"/>
      <c r="AG1544" s="1640">
        <f t="shared" si="212"/>
        <v>0</v>
      </c>
    </row>
    <row r="1545" spans="6:33" ht="24" customHeight="1">
      <c r="H1545" s="1627" t="s">
        <v>319</v>
      </c>
      <c r="L1545" s="1739"/>
      <c r="M1545" s="1737"/>
      <c r="N1545" s="1737"/>
      <c r="O1545" s="1627" t="s">
        <v>155</v>
      </c>
      <c r="P1545" s="1737"/>
      <c r="Q1545" s="1737"/>
      <c r="R1545" s="1743">
        <f>R1543/2.97</f>
        <v>5647.5508417508418</v>
      </c>
      <c r="S1545" s="1633">
        <f>R1545-3740</f>
        <v>1907.5508417508418</v>
      </c>
      <c r="W1545" s="1634"/>
      <c r="AG1545" s="1640">
        <f t="shared" si="212"/>
        <v>0</v>
      </c>
    </row>
    <row r="1546" spans="6:33" ht="24" customHeight="1">
      <c r="H1546" s="1636" t="s">
        <v>21</v>
      </c>
      <c r="L1546" s="1740"/>
      <c r="M1546" s="1737"/>
      <c r="N1546" s="1737"/>
      <c r="O1546" s="1656"/>
      <c r="P1546" s="1737"/>
      <c r="Q1546" s="1737"/>
      <c r="R1546" s="1737"/>
      <c r="W1546" s="1634"/>
      <c r="AG1546" s="1640">
        <f t="shared" si="212"/>
        <v>0</v>
      </c>
    </row>
    <row r="1547" spans="6:33" ht="24" customHeight="1">
      <c r="F1547" s="1640">
        <v>2.2200000000000002</v>
      </c>
      <c r="G1547" s="1638" t="s">
        <v>320</v>
      </c>
      <c r="H1547" s="1627" t="s">
        <v>321</v>
      </c>
      <c r="I1547" s="1640">
        <f>(C207)</f>
        <v>227.6</v>
      </c>
      <c r="J1547" s="1627" t="s">
        <v>320</v>
      </c>
      <c r="K1547" s="1640">
        <f>(F1547*I1547)</f>
        <v>505.27200000000005</v>
      </c>
      <c r="L1547" s="1740"/>
      <c r="M1547" s="1640">
        <v>1</v>
      </c>
      <c r="N1547" s="1638" t="s">
        <v>153</v>
      </c>
      <c r="O1547" s="1627" t="s">
        <v>5661</v>
      </c>
      <c r="P1547" s="1640">
        <f>AG17</f>
        <v>1170.3999999999999</v>
      </c>
      <c r="Q1547" s="1627" t="s">
        <v>153</v>
      </c>
      <c r="R1547" s="1640">
        <f>P1547*M1547</f>
        <v>1170.3999999999999</v>
      </c>
      <c r="W1547" s="1634"/>
      <c r="AG1547" s="1640">
        <f t="shared" si="212"/>
        <v>0</v>
      </c>
    </row>
    <row r="1548" spans="6:33" ht="24" customHeight="1">
      <c r="F1548" s="1640">
        <v>1.1000000000000001</v>
      </c>
      <c r="G1548" s="1638" t="s">
        <v>4</v>
      </c>
      <c r="H1548" s="1627" t="s">
        <v>322</v>
      </c>
      <c r="I1548" s="1640">
        <f>(C14)</f>
        <v>1058.3999999999999</v>
      </c>
      <c r="J1548" s="1627" t="s">
        <v>4</v>
      </c>
      <c r="K1548" s="1640">
        <f>(F1548*I1548)</f>
        <v>1164.24</v>
      </c>
      <c r="L1548" s="1740"/>
      <c r="M1548" s="1640">
        <v>1</v>
      </c>
      <c r="N1548" s="1638" t="s">
        <v>153</v>
      </c>
      <c r="O1548" s="1627" t="s">
        <v>5662</v>
      </c>
      <c r="P1548" s="1640">
        <f>AG11</f>
        <v>865.19999999999993</v>
      </c>
      <c r="Q1548" s="1627" t="s">
        <v>153</v>
      </c>
      <c r="R1548" s="1640">
        <f>P1548*M1548</f>
        <v>865.19999999999993</v>
      </c>
      <c r="W1548" s="1634"/>
      <c r="AG1548" s="1640">
        <f t="shared" si="212"/>
        <v>0</v>
      </c>
    </row>
    <row r="1549" spans="6:33" ht="24" customHeight="1">
      <c r="G1549" s="1638" t="s">
        <v>226</v>
      </c>
      <c r="H1549" s="1627" t="s">
        <v>323</v>
      </c>
      <c r="I1549" s="1627" t="s">
        <v>150</v>
      </c>
      <c r="J1549" s="1627" t="s">
        <v>226</v>
      </c>
      <c r="K1549" s="1640">
        <v>1.5</v>
      </c>
      <c r="L1549" s="1740"/>
      <c r="M1549" s="1640">
        <v>0.5</v>
      </c>
      <c r="N1549" s="1638" t="s">
        <v>153</v>
      </c>
      <c r="O1549" s="1627" t="s">
        <v>5663</v>
      </c>
      <c r="P1549" s="1640">
        <f>AG20</f>
        <v>1237.5999999999999</v>
      </c>
      <c r="Q1549" s="1627" t="s">
        <v>153</v>
      </c>
      <c r="R1549" s="1640">
        <f>P1549*M1549</f>
        <v>618.79999999999995</v>
      </c>
      <c r="W1549" s="1634"/>
      <c r="AG1549" s="1640">
        <f t="shared" si="212"/>
        <v>0</v>
      </c>
    </row>
    <row r="1550" spans="6:33" ht="24" customHeight="1">
      <c r="K1550" s="1636" t="s">
        <v>21</v>
      </c>
      <c r="L1550" s="1740"/>
      <c r="M1550" s="1737"/>
      <c r="N1550" s="1741"/>
      <c r="O1550" s="1737"/>
      <c r="P1550" s="1737"/>
      <c r="Q1550" s="1744"/>
      <c r="R1550" s="1640"/>
      <c r="W1550" s="1634"/>
      <c r="AG1550" s="1640">
        <f t="shared" si="212"/>
        <v>0</v>
      </c>
    </row>
    <row r="1551" spans="6:33" ht="24" customHeight="1">
      <c r="H1551" s="1627" t="s">
        <v>238</v>
      </c>
      <c r="K1551" s="1640">
        <f>SUM(K1547:K1549)</f>
        <v>1671.0120000000002</v>
      </c>
      <c r="L1551" s="1740"/>
      <c r="M1551" s="1737"/>
      <c r="N1551" s="1741"/>
      <c r="O1551" s="1627" t="s">
        <v>2047</v>
      </c>
      <c r="P1551" s="1737"/>
      <c r="Q1551" s="1744"/>
      <c r="R1551" s="1636" t="s">
        <v>21</v>
      </c>
      <c r="W1551" s="1634"/>
      <c r="AG1551" s="1640">
        <f t="shared" si="212"/>
        <v>0</v>
      </c>
    </row>
    <row r="1552" spans="6:33" ht="24" customHeight="1">
      <c r="K1552" s="1636" t="s">
        <v>21</v>
      </c>
      <c r="L1552" s="1740"/>
      <c r="M1552" s="1737"/>
      <c r="N1552" s="1741"/>
      <c r="O1552" s="1737"/>
      <c r="P1552" s="1737"/>
      <c r="Q1552" s="1744"/>
      <c r="R1552" s="1639">
        <f>SUM(R1547:R1551)</f>
        <v>2654.3999999999996</v>
      </c>
      <c r="W1552" s="1634"/>
      <c r="AG1552" s="1640">
        <f t="shared" si="212"/>
        <v>0</v>
      </c>
    </row>
    <row r="1553" spans="6:33" ht="24" customHeight="1">
      <c r="H1553" s="1641" t="s">
        <v>155</v>
      </c>
      <c r="I1553" s="1661"/>
      <c r="J1553" s="1676"/>
      <c r="K1553" s="1639">
        <f>(K1551/10)</f>
        <v>167.10120000000001</v>
      </c>
      <c r="L1553" s="1740"/>
      <c r="W1553" s="1634"/>
      <c r="AG1553" s="1640">
        <f t="shared" si="212"/>
        <v>0</v>
      </c>
    </row>
    <row r="1554" spans="6:33" ht="24" customHeight="1">
      <c r="H1554" s="1627"/>
      <c r="K1554" s="1640"/>
      <c r="L1554" s="1740"/>
      <c r="W1554" s="1634"/>
      <c r="AG1554" s="1640">
        <f t="shared" si="212"/>
        <v>0</v>
      </c>
    </row>
    <row r="1555" spans="6:33" ht="24" customHeight="1">
      <c r="H1555" s="1627"/>
      <c r="K1555" s="1640"/>
      <c r="L1555" s="1740"/>
      <c r="W1555" s="1634"/>
      <c r="AG1555" s="1640">
        <f t="shared" si="212"/>
        <v>0</v>
      </c>
    </row>
    <row r="1556" spans="6:33" ht="24" customHeight="1">
      <c r="F1556" s="1745">
        <v>238</v>
      </c>
      <c r="G1556" s="1746" t="s">
        <v>249</v>
      </c>
      <c r="H1556" s="1747" t="s">
        <v>2048</v>
      </c>
      <c r="I1556" s="1748"/>
      <c r="J1556" s="1749"/>
      <c r="K1556" s="1748"/>
      <c r="L1556" s="1740"/>
      <c r="W1556" s="1634"/>
      <c r="AG1556" s="1640">
        <f t="shared" si="212"/>
        <v>0</v>
      </c>
    </row>
    <row r="1557" spans="6:33" ht="24" customHeight="1">
      <c r="F1557" s="1750"/>
      <c r="G1557" s="1751"/>
      <c r="H1557" s="1752" t="s">
        <v>2049</v>
      </c>
      <c r="I1557" s="1753"/>
      <c r="J1557" s="1754"/>
      <c r="K1557" s="1753"/>
      <c r="L1557" s="1742"/>
      <c r="W1557" s="1634"/>
      <c r="AG1557" s="1640">
        <f t="shared" si="212"/>
        <v>0</v>
      </c>
    </row>
    <row r="1558" spans="6:33" ht="24" customHeight="1">
      <c r="F1558" s="1750"/>
      <c r="G1558" s="1751"/>
      <c r="H1558" s="1755" t="s">
        <v>21</v>
      </c>
      <c r="I1558" s="1753"/>
      <c r="J1558" s="1754"/>
      <c r="K1558" s="1753"/>
      <c r="W1558" s="1634"/>
      <c r="AG1558" s="1640">
        <f t="shared" si="212"/>
        <v>0</v>
      </c>
    </row>
    <row r="1559" spans="6:33" ht="24" customHeight="1">
      <c r="F1559" s="1756">
        <v>20</v>
      </c>
      <c r="G1559" s="1757" t="s">
        <v>320</v>
      </c>
      <c r="H1559" s="1752" t="s">
        <v>5664</v>
      </c>
      <c r="I1559" s="1758">
        <f>D40</f>
        <v>116.2</v>
      </c>
      <c r="J1559" s="1752" t="s">
        <v>320</v>
      </c>
      <c r="K1559" s="1758">
        <f>(F1559*I1559)</f>
        <v>2324</v>
      </c>
      <c r="W1559" s="1634"/>
      <c r="AG1559" s="1640">
        <f t="shared" si="212"/>
        <v>0</v>
      </c>
    </row>
    <row r="1560" spans="6:33" ht="24" customHeight="1">
      <c r="F1560" s="1750"/>
      <c r="G1560" s="1751"/>
      <c r="H1560" s="1752" t="s">
        <v>2051</v>
      </c>
      <c r="I1560" s="1753"/>
      <c r="J1560" s="1754"/>
      <c r="K1560" s="1752" t="s">
        <v>150</v>
      </c>
      <c r="W1560" s="1634"/>
      <c r="AG1560" s="1640">
        <f t="shared" si="212"/>
        <v>0</v>
      </c>
    </row>
    <row r="1561" spans="6:33" ht="24" customHeight="1">
      <c r="F1561" s="1756">
        <v>50</v>
      </c>
      <c r="G1561" s="1757" t="s">
        <v>13</v>
      </c>
      <c r="H1561" s="1752" t="s">
        <v>252</v>
      </c>
      <c r="I1561" s="1758">
        <f>C67/1000</f>
        <v>6.04</v>
      </c>
      <c r="J1561" s="1752" t="s">
        <v>13</v>
      </c>
      <c r="K1561" s="1758">
        <f>(F1561*I1561)</f>
        <v>302</v>
      </c>
      <c r="W1561" s="1634"/>
      <c r="AG1561" s="1640">
        <f t="shared" si="212"/>
        <v>0</v>
      </c>
    </row>
    <row r="1562" spans="6:33" ht="24" customHeight="1">
      <c r="F1562" s="1756">
        <v>1</v>
      </c>
      <c r="G1562" s="1757" t="s">
        <v>226</v>
      </c>
      <c r="H1562" s="1752" t="s">
        <v>2052</v>
      </c>
      <c r="I1562" s="1759">
        <v>75</v>
      </c>
      <c r="J1562" s="1752" t="s">
        <v>226</v>
      </c>
      <c r="K1562" s="1758">
        <f>(F1562*I1562)</f>
        <v>75</v>
      </c>
      <c r="W1562" s="1634"/>
      <c r="AG1562" s="1640">
        <f t="shared" si="212"/>
        <v>0</v>
      </c>
    </row>
    <row r="1563" spans="6:33" ht="24" customHeight="1">
      <c r="F1563" s="1756">
        <v>1</v>
      </c>
      <c r="G1563" s="1757" t="s">
        <v>226</v>
      </c>
      <c r="H1563" s="1752" t="s">
        <v>2053</v>
      </c>
      <c r="I1563" s="1758">
        <f>C38</f>
        <v>40</v>
      </c>
      <c r="J1563" s="1752" t="s">
        <v>226</v>
      </c>
      <c r="K1563" s="1758">
        <f>(F1563*I1563)</f>
        <v>40</v>
      </c>
      <c r="W1563" s="1634"/>
      <c r="AG1563" s="1640">
        <f t="shared" si="212"/>
        <v>0</v>
      </c>
    </row>
    <row r="1564" spans="6:33" ht="24" customHeight="1">
      <c r="F1564" s="1756">
        <v>2.5</v>
      </c>
      <c r="G1564" s="1757" t="s">
        <v>226</v>
      </c>
      <c r="H1564" s="1752" t="s">
        <v>2054</v>
      </c>
      <c r="I1564" s="1758">
        <f>D14</f>
        <v>1024.8</v>
      </c>
      <c r="J1564" s="1752" t="s">
        <v>226</v>
      </c>
      <c r="K1564" s="1758">
        <f>(F1564*I1564)</f>
        <v>2562</v>
      </c>
      <c r="W1564" s="1634"/>
      <c r="AG1564" s="1640">
        <f t="shared" si="212"/>
        <v>0</v>
      </c>
    </row>
    <row r="1565" spans="6:33" ht="24" customHeight="1">
      <c r="F1565" s="1750"/>
      <c r="G1565" s="1757" t="s">
        <v>226</v>
      </c>
      <c r="H1565" s="1752" t="s">
        <v>2055</v>
      </c>
      <c r="I1565" s="1753"/>
      <c r="J1565" s="1752" t="s">
        <v>226</v>
      </c>
      <c r="K1565" s="1760">
        <v>1.5</v>
      </c>
      <c r="W1565" s="1634"/>
      <c r="AG1565" s="1640">
        <f t="shared" si="212"/>
        <v>0</v>
      </c>
    </row>
    <row r="1566" spans="6:33" ht="24" customHeight="1">
      <c r="F1566" s="1750"/>
      <c r="G1566" s="1751"/>
      <c r="H1566" s="1753"/>
      <c r="I1566" s="1753"/>
      <c r="J1566" s="1754"/>
      <c r="K1566" s="1755" t="s">
        <v>21</v>
      </c>
      <c r="W1566" s="1634"/>
      <c r="AG1566" s="1640">
        <f t="shared" si="212"/>
        <v>0</v>
      </c>
    </row>
    <row r="1567" spans="6:33" ht="24" customHeight="1">
      <c r="F1567" s="1750"/>
      <c r="G1567" s="1751"/>
      <c r="H1567" s="1761" t="s">
        <v>2056</v>
      </c>
      <c r="I1567" s="1762"/>
      <c r="J1567" s="1763"/>
      <c r="K1567" s="1764">
        <f>SUM(K1559:K1565)</f>
        <v>5304.5</v>
      </c>
      <c r="W1567" s="1634"/>
      <c r="AG1567" s="1640">
        <f t="shared" si="212"/>
        <v>0</v>
      </c>
    </row>
    <row r="1568" spans="6:33" ht="24" customHeight="1">
      <c r="F1568" s="1750"/>
      <c r="G1568" s="1751"/>
      <c r="H1568" s="1752"/>
      <c r="I1568" s="1753"/>
      <c r="J1568" s="1754"/>
      <c r="K1568" s="1755" t="s">
        <v>21</v>
      </c>
      <c r="W1568" s="1634"/>
      <c r="AG1568" s="1640">
        <f t="shared" si="212"/>
        <v>0</v>
      </c>
    </row>
    <row r="1569" spans="6:33" ht="24" customHeight="1">
      <c r="F1569" s="1765"/>
      <c r="G1569" s="1766"/>
      <c r="H1569" s="1767"/>
      <c r="I1569" s="1767"/>
      <c r="J1569" s="1768"/>
      <c r="K1569" s="1769"/>
      <c r="W1569" s="1634"/>
      <c r="AG1569" s="1640">
        <f t="shared" si="212"/>
        <v>0</v>
      </c>
    </row>
    <row r="1570" spans="6:33" ht="24" customHeight="1">
      <c r="F1570" s="1770" t="s">
        <v>2057</v>
      </c>
      <c r="G1570" s="1746" t="s">
        <v>249</v>
      </c>
      <c r="H1570" s="1747" t="s">
        <v>598</v>
      </c>
      <c r="I1570" s="1748"/>
      <c r="J1570" s="1749"/>
      <c r="K1570" s="1748"/>
      <c r="W1570" s="1634"/>
      <c r="AG1570" s="1640">
        <f t="shared" si="212"/>
        <v>0</v>
      </c>
    </row>
    <row r="1571" spans="6:33" ht="24" customHeight="1">
      <c r="F1571" s="1750"/>
      <c r="G1571" s="1751"/>
      <c r="H1571" s="1752" t="s">
        <v>2058</v>
      </c>
      <c r="I1571" s="1753"/>
      <c r="J1571" s="1754"/>
      <c r="K1571" s="1753"/>
      <c r="W1571" s="1634"/>
      <c r="AG1571" s="1640">
        <f t="shared" si="212"/>
        <v>0</v>
      </c>
    </row>
    <row r="1572" spans="6:33" ht="24" customHeight="1">
      <c r="F1572" s="1750"/>
      <c r="G1572" s="1751"/>
      <c r="H1572" s="1755" t="s">
        <v>21</v>
      </c>
      <c r="I1572" s="1753"/>
      <c r="J1572" s="1754"/>
      <c r="K1572" s="1753"/>
      <c r="W1572" s="1634"/>
      <c r="AG1572" s="1640">
        <f t="shared" si="212"/>
        <v>0</v>
      </c>
    </row>
    <row r="1573" spans="6:33" ht="24" customHeight="1">
      <c r="F1573" s="1756">
        <v>1</v>
      </c>
      <c r="G1573" s="1757" t="s">
        <v>541</v>
      </c>
      <c r="H1573" s="1752" t="s">
        <v>542</v>
      </c>
      <c r="I1573" s="1758">
        <f>(C139)</f>
        <v>58000</v>
      </c>
      <c r="J1573" s="1752" t="s">
        <v>277</v>
      </c>
      <c r="K1573" s="1758">
        <f>(F1573*I1573)/10</f>
        <v>5800</v>
      </c>
      <c r="W1573" s="1634"/>
      <c r="AG1573" s="1640">
        <f t="shared" si="212"/>
        <v>0</v>
      </c>
    </row>
    <row r="1574" spans="6:33" ht="24" customHeight="1">
      <c r="F1574" s="1771">
        <v>0.01</v>
      </c>
      <c r="G1574" s="1757" t="s">
        <v>541</v>
      </c>
      <c r="H1574" s="1752" t="s">
        <v>543</v>
      </c>
      <c r="I1574" s="1758">
        <f>(C143)</f>
        <v>56350</v>
      </c>
      <c r="J1574" s="1752" t="s">
        <v>277</v>
      </c>
      <c r="K1574" s="1758">
        <f>(F1574*I1574)/10</f>
        <v>56.35</v>
      </c>
      <c r="W1574" s="1634"/>
      <c r="AG1574" s="1640">
        <f t="shared" si="212"/>
        <v>0</v>
      </c>
    </row>
    <row r="1575" spans="6:33" ht="24" customHeight="1">
      <c r="F1575" s="1771">
        <v>3.5</v>
      </c>
      <c r="G1575" s="1757" t="s">
        <v>4</v>
      </c>
      <c r="H1575" s="1752" t="s">
        <v>544</v>
      </c>
      <c r="I1575" s="1758">
        <f>AG38</f>
        <v>1149.3999999999999</v>
      </c>
      <c r="J1575" s="1752" t="s">
        <v>340</v>
      </c>
      <c r="K1575" s="1758">
        <f>(F1575*I1575)</f>
        <v>4022.8999999999996</v>
      </c>
      <c r="W1575" s="1634"/>
      <c r="AG1575" s="1640">
        <f t="shared" si="212"/>
        <v>0</v>
      </c>
    </row>
    <row r="1576" spans="6:33" ht="24" customHeight="1">
      <c r="F1576" s="1756">
        <v>1.3</v>
      </c>
      <c r="G1576" s="1757" t="s">
        <v>13</v>
      </c>
      <c r="H1576" s="1752" t="s">
        <v>2059</v>
      </c>
      <c r="I1576" s="1758">
        <f>C67/1000</f>
        <v>6.04</v>
      </c>
      <c r="J1576" s="1752" t="s">
        <v>13</v>
      </c>
      <c r="K1576" s="1758">
        <f>(F1576*I1576)</f>
        <v>7.8520000000000003</v>
      </c>
      <c r="W1576" s="1634"/>
      <c r="AG1576" s="1640">
        <f t="shared" si="212"/>
        <v>0</v>
      </c>
    </row>
    <row r="1577" spans="6:33" ht="24" customHeight="1">
      <c r="F1577" s="1756">
        <v>0.25</v>
      </c>
      <c r="G1577" s="1757" t="s">
        <v>4</v>
      </c>
      <c r="H1577" s="1752" t="s">
        <v>2060</v>
      </c>
      <c r="I1577" s="1758">
        <f>D14</f>
        <v>1024.8</v>
      </c>
      <c r="J1577" s="1752" t="s">
        <v>340</v>
      </c>
      <c r="K1577" s="1758">
        <f>(F1577*I1577)</f>
        <v>256.2</v>
      </c>
      <c r="W1577" s="1634"/>
      <c r="AG1577" s="1640">
        <f t="shared" si="212"/>
        <v>0</v>
      </c>
    </row>
    <row r="1578" spans="6:33" ht="24" customHeight="1">
      <c r="F1578" s="1771"/>
      <c r="G1578" s="1757" t="s">
        <v>226</v>
      </c>
      <c r="H1578" s="1752" t="s">
        <v>237</v>
      </c>
      <c r="I1578" s="1753"/>
      <c r="J1578" s="1752" t="s">
        <v>226</v>
      </c>
      <c r="K1578" s="1758">
        <f>(F1578*I1578)</f>
        <v>0</v>
      </c>
      <c r="W1578" s="1634"/>
      <c r="AG1578" s="1640">
        <f t="shared" si="212"/>
        <v>0</v>
      </c>
    </row>
    <row r="1579" spans="6:33" ht="24" customHeight="1">
      <c r="F1579" s="1771"/>
      <c r="G1579" s="1751"/>
      <c r="H1579" s="1753"/>
      <c r="I1579" s="1753"/>
      <c r="J1579" s="1754"/>
      <c r="K1579" s="1755" t="s">
        <v>21</v>
      </c>
      <c r="W1579" s="1634"/>
      <c r="AG1579" s="1640">
        <f t="shared" si="212"/>
        <v>0</v>
      </c>
    </row>
    <row r="1580" spans="6:33" ht="24" customHeight="1">
      <c r="F1580" s="1771"/>
      <c r="G1580" s="1751"/>
      <c r="H1580" s="1752" t="s">
        <v>545</v>
      </c>
      <c r="I1580" s="1753"/>
      <c r="J1580" s="1754"/>
      <c r="K1580" s="1758">
        <f>SUM(K1573:K1578)</f>
        <v>10143.302000000001</v>
      </c>
      <c r="W1580" s="1634"/>
      <c r="AG1580" s="1640">
        <f t="shared" si="212"/>
        <v>0</v>
      </c>
    </row>
    <row r="1581" spans="6:33" ht="24" customHeight="1">
      <c r="F1581" s="1771"/>
      <c r="G1581" s="1751"/>
      <c r="H1581" s="1753"/>
      <c r="I1581" s="1753"/>
      <c r="J1581" s="1754"/>
      <c r="K1581" s="1755" t="s">
        <v>21</v>
      </c>
      <c r="W1581" s="1634"/>
      <c r="AG1581" s="1640">
        <f t="shared" si="212"/>
        <v>0</v>
      </c>
    </row>
    <row r="1582" spans="6:33" ht="24" customHeight="1">
      <c r="F1582" s="1772"/>
      <c r="G1582" s="1766"/>
      <c r="H1582" s="1773" t="s">
        <v>546</v>
      </c>
      <c r="I1582" s="1774"/>
      <c r="J1582" s="1775"/>
      <c r="K1582" s="1776">
        <f>(K1580*10)</f>
        <v>101433.02000000002</v>
      </c>
      <c r="W1582" s="1634"/>
      <c r="AG1582" s="1640">
        <f t="shared" si="212"/>
        <v>0</v>
      </c>
    </row>
    <row r="1583" spans="6:33" ht="24" customHeight="1">
      <c r="F1583" s="1658"/>
      <c r="K1583" s="1636"/>
      <c r="W1583" s="1634"/>
      <c r="AG1583" s="1640">
        <f t="shared" si="212"/>
        <v>0</v>
      </c>
    </row>
    <row r="1584" spans="6:33" ht="24" customHeight="1">
      <c r="F1584" s="1658"/>
      <c r="K1584" s="1636"/>
      <c r="W1584" s="1634"/>
      <c r="AG1584" s="1640">
        <f t="shared" si="212"/>
        <v>0</v>
      </c>
    </row>
    <row r="1585" spans="6:33" ht="24" customHeight="1">
      <c r="F1585" s="1658"/>
      <c r="H1585" s="1661" t="s">
        <v>2061</v>
      </c>
      <c r="K1585" s="1636"/>
      <c r="W1585" s="1634"/>
      <c r="AG1585" s="1640">
        <f t="shared" si="212"/>
        <v>0</v>
      </c>
    </row>
    <row r="1586" spans="6:33" ht="24" customHeight="1">
      <c r="F1586" s="1640">
        <v>1</v>
      </c>
      <c r="G1586" s="1638" t="s">
        <v>541</v>
      </c>
      <c r="H1586" s="1627" t="s">
        <v>2062</v>
      </c>
      <c r="I1586" s="1629">
        <f>C138</f>
        <v>58000</v>
      </c>
      <c r="J1586" s="1627" t="s">
        <v>277</v>
      </c>
      <c r="K1586" s="1640">
        <f>(F1586*I1586)/10</f>
        <v>5800</v>
      </c>
      <c r="W1586" s="1634"/>
      <c r="AG1586" s="1640">
        <f t="shared" si="212"/>
        <v>0</v>
      </c>
    </row>
    <row r="1587" spans="6:33" ht="24" customHeight="1">
      <c r="F1587" s="1658">
        <v>0.01</v>
      </c>
      <c r="G1587" s="1638" t="s">
        <v>541</v>
      </c>
      <c r="H1587" s="1627" t="s">
        <v>543</v>
      </c>
      <c r="I1587" s="1629">
        <f>C143</f>
        <v>56350</v>
      </c>
      <c r="J1587" s="1627" t="s">
        <v>277</v>
      </c>
      <c r="K1587" s="1640">
        <f>(F1587*I1587)/10</f>
        <v>56.35</v>
      </c>
      <c r="W1587" s="1634"/>
      <c r="AG1587" s="1640">
        <f t="shared" si="212"/>
        <v>0</v>
      </c>
    </row>
    <row r="1588" spans="6:33" ht="24" customHeight="1">
      <c r="F1588" s="1658">
        <v>3.5</v>
      </c>
      <c r="G1588" s="1638" t="s">
        <v>4</v>
      </c>
      <c r="H1588" s="1627" t="s">
        <v>544</v>
      </c>
      <c r="I1588" s="1629">
        <f>I1575</f>
        <v>1149.3999999999999</v>
      </c>
      <c r="J1588" s="1627" t="s">
        <v>340</v>
      </c>
      <c r="K1588" s="1640">
        <f>(F1588*I1588)</f>
        <v>4022.8999999999996</v>
      </c>
      <c r="W1588" s="1634"/>
      <c r="AG1588" s="1640">
        <f t="shared" si="212"/>
        <v>0</v>
      </c>
    </row>
    <row r="1589" spans="6:33" ht="24" customHeight="1">
      <c r="F1589" s="1640">
        <v>1.3</v>
      </c>
      <c r="G1589" s="1638" t="s">
        <v>13</v>
      </c>
      <c r="H1589" s="1627" t="s">
        <v>2059</v>
      </c>
      <c r="I1589" s="1629">
        <f>C67/1000</f>
        <v>6.04</v>
      </c>
      <c r="J1589" s="1627" t="s">
        <v>13</v>
      </c>
      <c r="K1589" s="1640">
        <f>(F1589*I1589)</f>
        <v>7.8520000000000003</v>
      </c>
      <c r="W1589" s="1634"/>
      <c r="AG1589" s="1640">
        <f t="shared" si="212"/>
        <v>0</v>
      </c>
    </row>
    <row r="1590" spans="6:33" ht="24" customHeight="1">
      <c r="F1590" s="1640">
        <v>0.25</v>
      </c>
      <c r="G1590" s="1638" t="s">
        <v>4</v>
      </c>
      <c r="H1590" s="1627" t="s">
        <v>2060</v>
      </c>
      <c r="I1590" s="1629">
        <f>D14</f>
        <v>1024.8</v>
      </c>
      <c r="J1590" s="1627" t="s">
        <v>340</v>
      </c>
      <c r="K1590" s="1640">
        <f>(F1590*I1590)</f>
        <v>256.2</v>
      </c>
      <c r="W1590" s="1634"/>
      <c r="AG1590" s="1640">
        <f t="shared" si="212"/>
        <v>0</v>
      </c>
    </row>
    <row r="1591" spans="6:33" ht="24" customHeight="1">
      <c r="F1591" s="1658"/>
      <c r="G1591" s="1638" t="s">
        <v>226</v>
      </c>
      <c r="H1591" s="1627" t="s">
        <v>237</v>
      </c>
      <c r="J1591" s="1627" t="s">
        <v>226</v>
      </c>
      <c r="K1591" s="1640">
        <f>(F1591*I1591)</f>
        <v>0</v>
      </c>
      <c r="W1591" s="1634"/>
      <c r="AG1591" s="1640">
        <f t="shared" si="212"/>
        <v>0</v>
      </c>
    </row>
    <row r="1592" spans="6:33" ht="24" customHeight="1">
      <c r="F1592" s="1658"/>
      <c r="K1592" s="1636" t="s">
        <v>21</v>
      </c>
      <c r="W1592" s="1634"/>
      <c r="AG1592" s="1640">
        <f t="shared" si="212"/>
        <v>0</v>
      </c>
    </row>
    <row r="1593" spans="6:33" ht="24" customHeight="1">
      <c r="F1593" s="1658"/>
      <c r="H1593" s="1627" t="s">
        <v>545</v>
      </c>
      <c r="K1593" s="1640">
        <f>SUM(K1586:K1591)</f>
        <v>10143.302000000001</v>
      </c>
      <c r="W1593" s="1634"/>
      <c r="AG1593" s="1640">
        <f t="shared" si="212"/>
        <v>0</v>
      </c>
    </row>
    <row r="1594" spans="6:33" ht="24" customHeight="1">
      <c r="F1594" s="1658"/>
      <c r="K1594" s="1636" t="s">
        <v>21</v>
      </c>
      <c r="W1594" s="1634"/>
      <c r="AG1594" s="1640">
        <f t="shared" si="212"/>
        <v>0</v>
      </c>
    </row>
    <row r="1595" spans="6:33" ht="24" customHeight="1">
      <c r="F1595" s="1658" t="s">
        <v>150</v>
      </c>
      <c r="H1595" s="1641" t="s">
        <v>546</v>
      </c>
      <c r="I1595" s="1661"/>
      <c r="J1595" s="1676"/>
      <c r="K1595" s="1639">
        <f>(K1593*10)</f>
        <v>101433.02000000002</v>
      </c>
      <c r="W1595" s="1634"/>
      <c r="AG1595" s="1640">
        <f t="shared" si="212"/>
        <v>0</v>
      </c>
    </row>
    <row r="1596" spans="6:33" ht="24" customHeight="1">
      <c r="F1596" s="1658"/>
      <c r="K1596" s="1636" t="s">
        <v>156</v>
      </c>
      <c r="W1596" s="1634"/>
      <c r="AG1596" s="1640">
        <f t="shared" si="212"/>
        <v>0</v>
      </c>
    </row>
    <row r="1597" spans="6:33" ht="24" customHeight="1">
      <c r="F1597" s="1658"/>
      <c r="H1597" s="1627" t="s">
        <v>150</v>
      </c>
      <c r="K1597" s="1627" t="s">
        <v>150</v>
      </c>
      <c r="W1597" s="1634"/>
      <c r="AG1597" s="1640">
        <f t="shared" si="212"/>
        <v>0</v>
      </c>
    </row>
    <row r="1598" spans="6:33" ht="24" customHeight="1">
      <c r="F1598" s="1673" t="s">
        <v>539</v>
      </c>
      <c r="G1598" s="1638" t="s">
        <v>524</v>
      </c>
      <c r="H1598" s="1627" t="s">
        <v>598</v>
      </c>
      <c r="O1598" s="1661" t="s">
        <v>2063</v>
      </c>
      <c r="W1598" s="1634"/>
      <c r="AG1598" s="1640">
        <f t="shared" ref="AG1598:AG1661" si="214">AI1598</f>
        <v>0</v>
      </c>
    </row>
    <row r="1599" spans="6:33" ht="24" customHeight="1">
      <c r="F1599" s="1658"/>
      <c r="H1599" s="1627" t="s">
        <v>540</v>
      </c>
      <c r="M1599" s="1673" t="s">
        <v>539</v>
      </c>
      <c r="N1599" s="1638" t="s">
        <v>524</v>
      </c>
      <c r="O1599" s="1627" t="s">
        <v>598</v>
      </c>
      <c r="Q1599" s="1632"/>
      <c r="W1599" s="1634"/>
      <c r="AG1599" s="1640">
        <f t="shared" si="214"/>
        <v>0</v>
      </c>
    </row>
    <row r="1600" spans="6:33" ht="24" customHeight="1">
      <c r="F1600" s="1658"/>
      <c r="H1600" s="1636" t="s">
        <v>21</v>
      </c>
      <c r="M1600" s="1658"/>
      <c r="N1600" s="1630"/>
      <c r="O1600" s="1627" t="s">
        <v>540</v>
      </c>
      <c r="Q1600" s="1632"/>
      <c r="W1600" s="1634"/>
      <c r="AG1600" s="1640">
        <f t="shared" si="214"/>
        <v>0</v>
      </c>
    </row>
    <row r="1601" spans="6:33" ht="24" customHeight="1">
      <c r="F1601" s="1640">
        <v>1</v>
      </c>
      <c r="G1601" s="1638" t="s">
        <v>541</v>
      </c>
      <c r="H1601" s="1627" t="s">
        <v>542</v>
      </c>
      <c r="I1601" s="1640">
        <f>(C139)</f>
        <v>58000</v>
      </c>
      <c r="J1601" s="1627" t="s">
        <v>277</v>
      </c>
      <c r="K1601" s="1640">
        <f>(F1601*I1601)/10</f>
        <v>5800</v>
      </c>
      <c r="L1601" s="1629">
        <f>K1626+K1630</f>
        <v>393.72</v>
      </c>
      <c r="M1601" s="1658"/>
      <c r="N1601" s="1630"/>
      <c r="O1601" s="1636" t="s">
        <v>21</v>
      </c>
      <c r="Q1601" s="1632"/>
      <c r="W1601" s="1634"/>
      <c r="AG1601" s="1640">
        <f t="shared" si="214"/>
        <v>0</v>
      </c>
    </row>
    <row r="1602" spans="6:33" ht="24" customHeight="1">
      <c r="F1602" s="1658">
        <v>0.01</v>
      </c>
      <c r="G1602" s="1638" t="s">
        <v>541</v>
      </c>
      <c r="H1602" s="1627" t="s">
        <v>543</v>
      </c>
      <c r="I1602" s="1640">
        <f>I1587</f>
        <v>56350</v>
      </c>
      <c r="J1602" s="1627" t="s">
        <v>277</v>
      </c>
      <c r="K1602" s="1640">
        <f>(F1602*I1602)/10</f>
        <v>56.35</v>
      </c>
      <c r="L1602" s="1629">
        <f>L1601/3</f>
        <v>131.24</v>
      </c>
      <c r="M1602" s="1640">
        <v>1</v>
      </c>
      <c r="N1602" s="1638" t="s">
        <v>541</v>
      </c>
      <c r="O1602" s="1627" t="s">
        <v>542</v>
      </c>
      <c r="P1602" s="1640">
        <f>I1601</f>
        <v>58000</v>
      </c>
      <c r="Q1602" s="1627" t="s">
        <v>277</v>
      </c>
      <c r="R1602" s="1640">
        <f>(M1602*P1602)/10</f>
        <v>5800</v>
      </c>
      <c r="W1602" s="1634"/>
      <c r="AG1602" s="1640">
        <f t="shared" si="214"/>
        <v>0</v>
      </c>
    </row>
    <row r="1603" spans="6:33" ht="24" customHeight="1">
      <c r="F1603" s="1658">
        <v>3.5</v>
      </c>
      <c r="G1603" s="1638" t="s">
        <v>4</v>
      </c>
      <c r="H1603" s="1627" t="s">
        <v>544</v>
      </c>
      <c r="I1603" s="1640">
        <f>AG38</f>
        <v>1149.3999999999999</v>
      </c>
      <c r="J1603" s="1627" t="s">
        <v>4</v>
      </c>
      <c r="K1603" s="1640">
        <f>(F1603*I1603)</f>
        <v>4022.8999999999996</v>
      </c>
      <c r="M1603" s="1658">
        <v>0.01</v>
      </c>
      <c r="N1603" s="1638" t="s">
        <v>541</v>
      </c>
      <c r="O1603" s="1631" t="s">
        <v>2064</v>
      </c>
      <c r="P1603" s="1639">
        <f>80000/112*100</f>
        <v>71428.571428571435</v>
      </c>
      <c r="Q1603" s="1627" t="s">
        <v>277</v>
      </c>
      <c r="R1603" s="1640">
        <f>(M1603*P1603)/10</f>
        <v>71.428571428571431</v>
      </c>
      <c r="W1603" s="1634"/>
      <c r="AG1603" s="1640">
        <f t="shared" si="214"/>
        <v>0</v>
      </c>
    </row>
    <row r="1604" spans="6:33" ht="24" customHeight="1">
      <c r="F1604" s="1658"/>
      <c r="G1604" s="1638" t="s">
        <v>226</v>
      </c>
      <c r="H1604" s="1627" t="s">
        <v>237</v>
      </c>
      <c r="J1604" s="1627" t="s">
        <v>226</v>
      </c>
      <c r="K1604" s="1640">
        <v>0</v>
      </c>
      <c r="M1604" s="1658">
        <v>3.5</v>
      </c>
      <c r="N1604" s="1638" t="s">
        <v>4</v>
      </c>
      <c r="O1604" s="1627" t="s">
        <v>544</v>
      </c>
      <c r="P1604" s="1640">
        <f>I1603</f>
        <v>1149.3999999999999</v>
      </c>
      <c r="Q1604" s="1627" t="s">
        <v>4</v>
      </c>
      <c r="R1604" s="1640">
        <f>(M1604*P1604)</f>
        <v>4022.8999999999996</v>
      </c>
      <c r="W1604" s="1634"/>
      <c r="AG1604" s="1640">
        <f t="shared" si="214"/>
        <v>0</v>
      </c>
    </row>
    <row r="1605" spans="6:33" ht="24" customHeight="1">
      <c r="K1605" s="1636" t="s">
        <v>21</v>
      </c>
      <c r="M1605" s="1658"/>
      <c r="N1605" s="1638" t="s">
        <v>226</v>
      </c>
      <c r="O1605" s="1627" t="s">
        <v>237</v>
      </c>
      <c r="Q1605" s="1627" t="s">
        <v>226</v>
      </c>
      <c r="R1605" s="1640">
        <v>0</v>
      </c>
      <c r="W1605" s="1634"/>
      <c r="AG1605" s="1640">
        <f t="shared" si="214"/>
        <v>0</v>
      </c>
    </row>
    <row r="1606" spans="6:33" ht="24" customHeight="1">
      <c r="H1606" s="1627" t="s">
        <v>545</v>
      </c>
      <c r="K1606" s="1640">
        <f>SUM(K1601:K1604)</f>
        <v>9879.25</v>
      </c>
      <c r="N1606" s="1630"/>
      <c r="Q1606" s="1632"/>
      <c r="R1606" s="1636" t="s">
        <v>21</v>
      </c>
      <c r="W1606" s="1634"/>
      <c r="AG1606" s="1640">
        <f t="shared" si="214"/>
        <v>0</v>
      </c>
    </row>
    <row r="1607" spans="6:33" ht="24" customHeight="1">
      <c r="K1607" s="1636" t="s">
        <v>21</v>
      </c>
      <c r="N1607" s="1630"/>
      <c r="O1607" s="1627" t="s">
        <v>545</v>
      </c>
      <c r="Q1607" s="1632"/>
      <c r="R1607" s="1640">
        <f>SUM(R1602:R1605)</f>
        <v>9894.3285714285703</v>
      </c>
      <c r="W1607" s="1634"/>
      <c r="AG1607" s="1640">
        <f t="shared" si="214"/>
        <v>0</v>
      </c>
    </row>
    <row r="1608" spans="6:33" ht="24" customHeight="1">
      <c r="H1608" s="1641" t="s">
        <v>546</v>
      </c>
      <c r="I1608" s="1661"/>
      <c r="J1608" s="1676"/>
      <c r="K1608" s="1639">
        <f>(K1606*10)</f>
        <v>98792.5</v>
      </c>
      <c r="N1608" s="1630"/>
      <c r="Q1608" s="1632"/>
      <c r="R1608" s="1636" t="s">
        <v>21</v>
      </c>
      <c r="W1608" s="1634"/>
      <c r="AG1608" s="1640">
        <f t="shared" si="214"/>
        <v>0</v>
      </c>
    </row>
    <row r="1609" spans="6:33" ht="24" customHeight="1">
      <c r="H1609" s="1627" t="s">
        <v>150</v>
      </c>
      <c r="K1609" s="1627" t="s">
        <v>150</v>
      </c>
      <c r="N1609" s="1630"/>
      <c r="O1609" s="1641" t="s">
        <v>546</v>
      </c>
      <c r="P1609" s="1661"/>
      <c r="Q1609" s="1676"/>
      <c r="R1609" s="1639">
        <f>(R1607*10)</f>
        <v>98943.28571428571</v>
      </c>
      <c r="W1609" s="1634"/>
      <c r="AG1609" s="1640">
        <f t="shared" si="214"/>
        <v>0</v>
      </c>
    </row>
    <row r="1610" spans="6:33" ht="24" customHeight="1">
      <c r="G1610" s="1630" t="s">
        <v>520</v>
      </c>
      <c r="H1610" s="1627" t="s">
        <v>598</v>
      </c>
      <c r="K1610" s="1627"/>
      <c r="W1610" s="1634"/>
      <c r="AG1610" s="1640">
        <f t="shared" si="214"/>
        <v>0</v>
      </c>
    </row>
    <row r="1611" spans="6:33" ht="24" customHeight="1">
      <c r="H1611" s="1627" t="s">
        <v>2065</v>
      </c>
      <c r="K1611" s="1627"/>
      <c r="N1611" s="1630" t="s">
        <v>520</v>
      </c>
      <c r="O1611" s="1627" t="s">
        <v>598</v>
      </c>
      <c r="Q1611" s="1632"/>
      <c r="R1611" s="1627"/>
      <c r="W1611" s="1634"/>
      <c r="AG1611" s="1640">
        <f t="shared" si="214"/>
        <v>0</v>
      </c>
    </row>
    <row r="1612" spans="6:33" ht="24" customHeight="1">
      <c r="F1612" s="1658"/>
      <c r="H1612" s="1636" t="s">
        <v>21</v>
      </c>
      <c r="K1612" s="1627"/>
      <c r="N1612" s="1630"/>
      <c r="O1612" s="1627" t="s">
        <v>2065</v>
      </c>
      <c r="Q1612" s="1632"/>
      <c r="R1612" s="1627"/>
      <c r="W1612" s="1634"/>
      <c r="AG1612" s="1640">
        <f t="shared" si="214"/>
        <v>0</v>
      </c>
    </row>
    <row r="1613" spans="6:33" ht="24" customHeight="1">
      <c r="F1613" s="1640">
        <v>1</v>
      </c>
      <c r="G1613" s="1638" t="s">
        <v>541</v>
      </c>
      <c r="H1613" s="1627" t="s">
        <v>2062</v>
      </c>
      <c r="I1613" s="1629">
        <f>C138</f>
        <v>58000</v>
      </c>
      <c r="J1613" s="1627" t="s">
        <v>277</v>
      </c>
      <c r="K1613" s="1640">
        <f>(F1613*I1613)/10</f>
        <v>5800</v>
      </c>
      <c r="M1613" s="1658"/>
      <c r="N1613" s="1630"/>
      <c r="O1613" s="1636" t="s">
        <v>21</v>
      </c>
      <c r="Q1613" s="1632"/>
      <c r="R1613" s="1627"/>
      <c r="W1613" s="1634"/>
      <c r="AG1613" s="1640">
        <f t="shared" si="214"/>
        <v>0</v>
      </c>
    </row>
    <row r="1614" spans="6:33" ht="24" customHeight="1">
      <c r="F1614" s="1658">
        <v>0.01</v>
      </c>
      <c r="G1614" s="1638" t="s">
        <v>541</v>
      </c>
      <c r="H1614" s="1627" t="s">
        <v>543</v>
      </c>
      <c r="I1614" s="1629">
        <f>C143</f>
        <v>56350</v>
      </c>
      <c r="J1614" s="1627" t="s">
        <v>277</v>
      </c>
      <c r="K1614" s="1640">
        <f>(F1614*I1614)/10</f>
        <v>56.35</v>
      </c>
      <c r="M1614" s="1640">
        <v>1</v>
      </c>
      <c r="N1614" s="1638" t="s">
        <v>541</v>
      </c>
      <c r="O1614" s="1627" t="s">
        <v>2062</v>
      </c>
      <c r="P1614" s="1629">
        <f>I1613</f>
        <v>58000</v>
      </c>
      <c r="Q1614" s="1627" t="s">
        <v>277</v>
      </c>
      <c r="R1614" s="1640">
        <f>(M1614*P1614)/10</f>
        <v>5800</v>
      </c>
      <c r="W1614" s="1634"/>
      <c r="AG1614" s="1640">
        <f t="shared" si="214"/>
        <v>0</v>
      </c>
    </row>
    <row r="1615" spans="6:33" ht="24" customHeight="1">
      <c r="F1615" s="1658">
        <v>3.5</v>
      </c>
      <c r="G1615" s="1638" t="s">
        <v>4</v>
      </c>
      <c r="H1615" s="1627" t="s">
        <v>544</v>
      </c>
      <c r="I1615" s="1629">
        <f>I1603</f>
        <v>1149.3999999999999</v>
      </c>
      <c r="J1615" s="1627" t="s">
        <v>4</v>
      </c>
      <c r="K1615" s="1640">
        <f>(F1615*I1615)</f>
        <v>4022.8999999999996</v>
      </c>
      <c r="M1615" s="1658">
        <v>0.01</v>
      </c>
      <c r="N1615" s="1638" t="s">
        <v>541</v>
      </c>
      <c r="O1615" s="1631" t="str">
        <f>O1603</f>
        <v>BINDING WIRE insulated with PVC as per circular</v>
      </c>
      <c r="P1615" s="1629">
        <f>P1603</f>
        <v>71428.571428571435</v>
      </c>
      <c r="Q1615" s="1627" t="s">
        <v>277</v>
      </c>
      <c r="R1615" s="1640">
        <f>(M1615*P1615)/10</f>
        <v>71.428571428571431</v>
      </c>
      <c r="W1615" s="1634"/>
      <c r="AG1615" s="1640">
        <f t="shared" si="214"/>
        <v>0</v>
      </c>
    </row>
    <row r="1616" spans="6:33" ht="24" customHeight="1">
      <c r="F1616" s="1658"/>
      <c r="G1616" s="1638" t="s">
        <v>226</v>
      </c>
      <c r="H1616" s="1627" t="s">
        <v>237</v>
      </c>
      <c r="J1616" s="1627" t="s">
        <v>226</v>
      </c>
      <c r="K1616" s="1640">
        <v>0</v>
      </c>
      <c r="M1616" s="1658">
        <v>3.5</v>
      </c>
      <c r="N1616" s="1638" t="s">
        <v>541</v>
      </c>
      <c r="O1616" s="1627" t="s">
        <v>544</v>
      </c>
      <c r="P1616" s="1629">
        <f>I1615</f>
        <v>1149.3999999999999</v>
      </c>
      <c r="Q1616" s="1627" t="s">
        <v>4</v>
      </c>
      <c r="R1616" s="1640">
        <f>(M1616*P1616)</f>
        <v>4022.8999999999996</v>
      </c>
      <c r="W1616" s="1634"/>
      <c r="AG1616" s="1640">
        <f t="shared" si="214"/>
        <v>0</v>
      </c>
    </row>
    <row r="1617" spans="6:33" ht="24" customHeight="1">
      <c r="K1617" s="1636" t="s">
        <v>21</v>
      </c>
      <c r="M1617" s="1658"/>
      <c r="N1617" s="1638" t="s">
        <v>541</v>
      </c>
      <c r="O1617" s="1627" t="s">
        <v>237</v>
      </c>
      <c r="Q1617" s="1627" t="s">
        <v>226</v>
      </c>
      <c r="R1617" s="1640">
        <v>0</v>
      </c>
      <c r="W1617" s="1634"/>
      <c r="AG1617" s="1640">
        <f t="shared" si="214"/>
        <v>0</v>
      </c>
    </row>
    <row r="1618" spans="6:33" ht="24" customHeight="1">
      <c r="H1618" s="1627" t="s">
        <v>545</v>
      </c>
      <c r="K1618" s="1640">
        <f>SUM(K1613:K1616)</f>
        <v>9879.25</v>
      </c>
      <c r="N1618" s="1630"/>
      <c r="Q1618" s="1632"/>
      <c r="R1618" s="1636" t="s">
        <v>21</v>
      </c>
      <c r="W1618" s="1634"/>
      <c r="AG1618" s="1640">
        <f t="shared" si="214"/>
        <v>0</v>
      </c>
    </row>
    <row r="1619" spans="6:33" ht="24" customHeight="1">
      <c r="K1619" s="1636" t="s">
        <v>21</v>
      </c>
      <c r="N1619" s="1630"/>
      <c r="O1619" s="1627" t="s">
        <v>545</v>
      </c>
      <c r="Q1619" s="1632"/>
      <c r="R1619" s="1640">
        <f>SUM(R1614:R1617)</f>
        <v>9894.3285714285703</v>
      </c>
      <c r="W1619" s="1634"/>
      <c r="AG1619" s="1640">
        <f t="shared" si="214"/>
        <v>0</v>
      </c>
    </row>
    <row r="1620" spans="6:33" ht="24" customHeight="1">
      <c r="H1620" s="1641" t="s">
        <v>546</v>
      </c>
      <c r="I1620" s="1661"/>
      <c r="J1620" s="1676"/>
      <c r="K1620" s="1639">
        <f>(K1618*10)</f>
        <v>98792.5</v>
      </c>
      <c r="N1620" s="1630"/>
      <c r="Q1620" s="1632"/>
      <c r="R1620" s="1636" t="s">
        <v>21</v>
      </c>
      <c r="W1620" s="1634"/>
      <c r="AG1620" s="1640">
        <f t="shared" si="214"/>
        <v>0</v>
      </c>
    </row>
    <row r="1621" spans="6:33" ht="24" customHeight="1">
      <c r="H1621" s="1627" t="s">
        <v>150</v>
      </c>
      <c r="N1621" s="1630"/>
      <c r="O1621" s="1641" t="s">
        <v>546</v>
      </c>
      <c r="P1621" s="1661"/>
      <c r="Q1621" s="1676"/>
      <c r="R1621" s="1639">
        <f>(R1619*10)</f>
        <v>98943.28571428571</v>
      </c>
      <c r="W1621" s="1634"/>
      <c r="AG1621" s="1640">
        <f t="shared" si="214"/>
        <v>0</v>
      </c>
    </row>
    <row r="1622" spans="6:33" ht="24" customHeight="1">
      <c r="F1622" s="1662">
        <v>44.1</v>
      </c>
      <c r="G1622" s="1638" t="s">
        <v>249</v>
      </c>
      <c r="H1622" s="1627" t="s">
        <v>549</v>
      </c>
      <c r="W1622" s="1634"/>
      <c r="AG1622" s="1640">
        <f t="shared" si="214"/>
        <v>0</v>
      </c>
    </row>
    <row r="1623" spans="6:33" ht="24" customHeight="1">
      <c r="H1623" s="1627" t="s">
        <v>550</v>
      </c>
      <c r="R1623" s="1629" t="s">
        <v>646</v>
      </c>
      <c r="W1623" s="1634"/>
      <c r="AG1623" s="1640">
        <f t="shared" si="214"/>
        <v>0</v>
      </c>
    </row>
    <row r="1624" spans="6:33" ht="24" customHeight="1">
      <c r="H1624" s="1627" t="s">
        <v>5665</v>
      </c>
      <c r="M1624" s="1662">
        <v>44.1</v>
      </c>
      <c r="N1624" s="1638" t="s">
        <v>249</v>
      </c>
      <c r="O1624" s="1627" t="s">
        <v>549</v>
      </c>
      <c r="W1624" s="1634"/>
      <c r="AG1624" s="1640">
        <f t="shared" si="214"/>
        <v>0</v>
      </c>
    </row>
    <row r="1625" spans="6:33" ht="24" customHeight="1">
      <c r="H1625" s="1636" t="s">
        <v>21</v>
      </c>
      <c r="N1625" s="1630"/>
      <c r="O1625" s="1627" t="s">
        <v>550</v>
      </c>
      <c r="W1625" s="1634"/>
      <c r="AG1625" s="1640">
        <f t="shared" si="214"/>
        <v>0</v>
      </c>
    </row>
    <row r="1626" spans="6:33" ht="24" customHeight="1">
      <c r="F1626" s="1640">
        <v>3</v>
      </c>
      <c r="G1626" s="1638" t="s">
        <v>552</v>
      </c>
      <c r="H1626" s="1627" t="s">
        <v>553</v>
      </c>
      <c r="I1626" s="1640">
        <f>D620</f>
        <v>120.54</v>
      </c>
      <c r="J1626" s="1627" t="s">
        <v>552</v>
      </c>
      <c r="K1626" s="1640">
        <f t="shared" ref="K1626:K1631" si="215">(F1626*I1626)</f>
        <v>361.62</v>
      </c>
      <c r="N1626" s="1630"/>
      <c r="O1626" s="1627" t="s">
        <v>5665</v>
      </c>
      <c r="W1626" s="1634"/>
      <c r="AG1626" s="1640">
        <f t="shared" si="214"/>
        <v>0</v>
      </c>
    </row>
    <row r="1627" spans="6:33" ht="24" customHeight="1">
      <c r="F1627" s="1640">
        <v>1</v>
      </c>
      <c r="G1627" s="1638" t="s">
        <v>153</v>
      </c>
      <c r="H1627" s="1627" t="s">
        <v>554</v>
      </c>
      <c r="I1627" s="1690">
        <f>(C623)</f>
        <v>76</v>
      </c>
      <c r="J1627" s="1627" t="s">
        <v>153</v>
      </c>
      <c r="K1627" s="1640">
        <f t="shared" si="215"/>
        <v>76</v>
      </c>
      <c r="N1627" s="1630"/>
      <c r="O1627" s="1636" t="s">
        <v>21</v>
      </c>
      <c r="W1627" s="1634"/>
      <c r="AG1627" s="1640">
        <f t="shared" si="214"/>
        <v>0</v>
      </c>
    </row>
    <row r="1628" spans="6:33" ht="24" customHeight="1">
      <c r="F1628" s="1640">
        <v>1</v>
      </c>
      <c r="G1628" s="1638" t="s">
        <v>153</v>
      </c>
      <c r="H1628" s="1627" t="s">
        <v>555</v>
      </c>
      <c r="I1628" s="1640">
        <f>(C626)</f>
        <v>83.4</v>
      </c>
      <c r="J1628" s="1627" t="s">
        <v>153</v>
      </c>
      <c r="K1628" s="1640">
        <f t="shared" si="215"/>
        <v>83.4</v>
      </c>
      <c r="M1628" s="1640">
        <v>3</v>
      </c>
      <c r="N1628" s="1638" t="s">
        <v>552</v>
      </c>
      <c r="O1628" s="1627" t="s">
        <v>553</v>
      </c>
      <c r="P1628" s="1629">
        <f>I1626</f>
        <v>120.54</v>
      </c>
      <c r="Q1628" s="1629" t="str">
        <f>J1628</f>
        <v>NO.</v>
      </c>
      <c r="R1628" s="1629">
        <f t="shared" ref="R1628:R1633" si="216">P1628*M1628</f>
        <v>361.62</v>
      </c>
      <c r="W1628" s="1634"/>
      <c r="AG1628" s="1640">
        <f t="shared" si="214"/>
        <v>0</v>
      </c>
    </row>
    <row r="1629" spans="6:33" ht="24" customHeight="1">
      <c r="F1629" s="1640">
        <v>2</v>
      </c>
      <c r="G1629" s="1638" t="s">
        <v>153</v>
      </c>
      <c r="H1629" s="1627" t="s">
        <v>556</v>
      </c>
      <c r="I1629" s="1640">
        <f>C597</f>
        <v>21.6</v>
      </c>
      <c r="J1629" s="1627" t="s">
        <v>153</v>
      </c>
      <c r="K1629" s="1640">
        <f t="shared" si="215"/>
        <v>43.2</v>
      </c>
      <c r="M1629" s="1640">
        <v>1</v>
      </c>
      <c r="N1629" s="1638" t="s">
        <v>153</v>
      </c>
      <c r="O1629" s="1627" t="s">
        <v>554</v>
      </c>
      <c r="P1629" s="1629">
        <v>76.78</v>
      </c>
      <c r="Q1629" s="1629" t="str">
        <f>J1629</f>
        <v>NO.</v>
      </c>
      <c r="R1629" s="1629">
        <f t="shared" si="216"/>
        <v>76.78</v>
      </c>
      <c r="W1629" s="1634"/>
      <c r="AG1629" s="1640">
        <f t="shared" si="214"/>
        <v>0</v>
      </c>
    </row>
    <row r="1630" spans="6:33" ht="24" customHeight="1">
      <c r="F1630" s="1640">
        <v>1</v>
      </c>
      <c r="G1630" s="1638" t="s">
        <v>153</v>
      </c>
      <c r="H1630" s="1627" t="s">
        <v>557</v>
      </c>
      <c r="I1630" s="1640">
        <f>(C696)</f>
        <v>32.1</v>
      </c>
      <c r="J1630" s="1627" t="s">
        <v>153</v>
      </c>
      <c r="K1630" s="1640">
        <f t="shared" si="215"/>
        <v>32.1</v>
      </c>
      <c r="M1630" s="1640">
        <v>1</v>
      </c>
      <c r="N1630" s="1638" t="s">
        <v>153</v>
      </c>
      <c r="O1630" s="1627" t="s">
        <v>555</v>
      </c>
      <c r="P1630" s="1629">
        <f>I1628</f>
        <v>83.4</v>
      </c>
      <c r="Q1630" s="1629" t="str">
        <f>J1630</f>
        <v>NO.</v>
      </c>
      <c r="R1630" s="1629">
        <f t="shared" si="216"/>
        <v>83.4</v>
      </c>
      <c r="W1630" s="1634"/>
      <c r="AG1630" s="1640">
        <f t="shared" si="214"/>
        <v>0</v>
      </c>
    </row>
    <row r="1631" spans="6:33" ht="24" customHeight="1">
      <c r="F1631" s="1640">
        <v>0.5</v>
      </c>
      <c r="G1631" s="1638" t="s">
        <v>153</v>
      </c>
      <c r="H1631" s="1627" t="s">
        <v>558</v>
      </c>
      <c r="I1631" s="1640">
        <f>(C15)</f>
        <v>1149.3999999999999</v>
      </c>
      <c r="J1631" s="1627" t="s">
        <v>153</v>
      </c>
      <c r="K1631" s="1640">
        <f t="shared" si="215"/>
        <v>574.69999999999993</v>
      </c>
      <c r="M1631" s="1639">
        <v>2</v>
      </c>
      <c r="N1631" s="1635" t="s">
        <v>1717</v>
      </c>
      <c r="O1631" s="1631" t="s">
        <v>2067</v>
      </c>
      <c r="P1631" s="1629">
        <v>12</v>
      </c>
      <c r="Q1631" s="1629" t="str">
        <f>J1631</f>
        <v>NO.</v>
      </c>
      <c r="R1631" s="1629">
        <f t="shared" si="216"/>
        <v>24</v>
      </c>
      <c r="W1631" s="1634"/>
      <c r="AG1631" s="1640">
        <f t="shared" si="214"/>
        <v>0</v>
      </c>
    </row>
    <row r="1632" spans="6:33" ht="24" customHeight="1">
      <c r="G1632" s="1638" t="s">
        <v>226</v>
      </c>
      <c r="H1632" s="1627" t="s">
        <v>559</v>
      </c>
      <c r="J1632" s="1627" t="s">
        <v>226</v>
      </c>
      <c r="K1632" s="1640"/>
      <c r="M1632" s="1640">
        <v>1</v>
      </c>
      <c r="N1632" s="1638" t="s">
        <v>1717</v>
      </c>
      <c r="O1632" s="1627" t="s">
        <v>557</v>
      </c>
      <c r="P1632" s="1629">
        <f>I1630</f>
        <v>32.1</v>
      </c>
      <c r="Q1632" s="1629" t="str">
        <f>J1632</f>
        <v>L.S</v>
      </c>
      <c r="R1632" s="1629">
        <f t="shared" si="216"/>
        <v>32.1</v>
      </c>
      <c r="W1632" s="1634"/>
      <c r="AG1632" s="1640">
        <f t="shared" si="214"/>
        <v>0</v>
      </c>
    </row>
    <row r="1633" spans="6:33" ht="24" customHeight="1">
      <c r="H1633" s="1627" t="s">
        <v>560</v>
      </c>
      <c r="M1633" s="1640">
        <v>0.5</v>
      </c>
      <c r="N1633" s="1638" t="s">
        <v>1717</v>
      </c>
      <c r="O1633" s="1627" t="s">
        <v>558</v>
      </c>
      <c r="P1633" s="1629">
        <f>I1631</f>
        <v>1149.3999999999999</v>
      </c>
      <c r="R1633" s="1629">
        <f t="shared" si="216"/>
        <v>574.69999999999993</v>
      </c>
      <c r="W1633" s="1634"/>
      <c r="AG1633" s="1640">
        <f t="shared" si="214"/>
        <v>0</v>
      </c>
    </row>
    <row r="1634" spans="6:33" ht="24" customHeight="1">
      <c r="K1634" s="1636" t="s">
        <v>21</v>
      </c>
      <c r="N1634" s="1638" t="s">
        <v>1717</v>
      </c>
      <c r="O1634" s="1627" t="s">
        <v>559</v>
      </c>
      <c r="P1634" s="1629">
        <f>I1634</f>
        <v>0</v>
      </c>
      <c r="W1634" s="1634"/>
      <c r="AG1634" s="1640">
        <f t="shared" si="214"/>
        <v>0</v>
      </c>
    </row>
    <row r="1635" spans="6:33" ht="24" customHeight="1">
      <c r="H1635" s="1627" t="s">
        <v>561</v>
      </c>
      <c r="K1635" s="1640">
        <f>SUM(K1626:K1632)</f>
        <v>1171.02</v>
      </c>
      <c r="O1635" s="1627" t="s">
        <v>560</v>
      </c>
      <c r="R1635" s="1629">
        <f>26.98+4.7</f>
        <v>31.68</v>
      </c>
      <c r="W1635" s="1634"/>
      <c r="AG1635" s="1640">
        <f t="shared" si="214"/>
        <v>0</v>
      </c>
    </row>
    <row r="1636" spans="6:33" ht="24" customHeight="1">
      <c r="F1636" s="1627" t="s">
        <v>150</v>
      </c>
      <c r="W1636" s="1634"/>
      <c r="AG1636" s="1640">
        <f t="shared" si="214"/>
        <v>0</v>
      </c>
    </row>
    <row r="1637" spans="6:33" ht="24" customHeight="1">
      <c r="K1637" s="1636" t="s">
        <v>21</v>
      </c>
      <c r="O1637" s="1627" t="s">
        <v>561</v>
      </c>
      <c r="R1637" s="1661">
        <f>SUM(R1628:R1636)</f>
        <v>1184.28</v>
      </c>
      <c r="W1637" s="1634"/>
      <c r="AG1637" s="1640">
        <f t="shared" si="214"/>
        <v>0</v>
      </c>
    </row>
    <row r="1638" spans="6:33" ht="24" customHeight="1">
      <c r="H1638" s="1641" t="s">
        <v>562</v>
      </c>
      <c r="I1638" s="1661"/>
      <c r="J1638" s="1676"/>
      <c r="K1638" s="1639">
        <f>(K1635/3)</f>
        <v>390.34</v>
      </c>
      <c r="W1638" s="1634"/>
      <c r="AG1638" s="1640">
        <f t="shared" si="214"/>
        <v>0</v>
      </c>
    </row>
    <row r="1639" spans="6:33" ht="24" customHeight="1">
      <c r="H1639" s="1627"/>
      <c r="K1639" s="1636" t="s">
        <v>156</v>
      </c>
      <c r="N1639" s="1630"/>
      <c r="Q1639" s="1632"/>
      <c r="R1639" s="1636" t="s">
        <v>21</v>
      </c>
      <c r="W1639" s="1634"/>
      <c r="AG1639" s="1640">
        <f t="shared" si="214"/>
        <v>0</v>
      </c>
    </row>
    <row r="1640" spans="6:33" ht="24" customHeight="1">
      <c r="F1640" s="1628" t="s">
        <v>2068</v>
      </c>
      <c r="H1640" s="1627" t="s">
        <v>2069</v>
      </c>
      <c r="N1640" s="1630"/>
      <c r="O1640" s="1641" t="s">
        <v>562</v>
      </c>
      <c r="P1640" s="1661"/>
      <c r="Q1640" s="1676"/>
      <c r="R1640" s="1639">
        <f>(R1637/3)</f>
        <v>394.76</v>
      </c>
      <c r="S1640" s="1633">
        <f>310*3</f>
        <v>930</v>
      </c>
      <c r="T1640" s="1629">
        <f>S1640-R1637</f>
        <v>-254.27999999999997</v>
      </c>
      <c r="W1640" s="1634"/>
      <c r="AG1640" s="1640">
        <f t="shared" si="214"/>
        <v>0</v>
      </c>
    </row>
    <row r="1641" spans="6:33" ht="24" customHeight="1">
      <c r="H1641" s="1627" t="s">
        <v>2070</v>
      </c>
      <c r="N1641" s="1630"/>
      <c r="O1641" s="1627"/>
      <c r="Q1641" s="1632"/>
      <c r="R1641" s="1636" t="s">
        <v>156</v>
      </c>
      <c r="W1641" s="1634"/>
      <c r="AG1641" s="1640">
        <f t="shared" si="214"/>
        <v>0</v>
      </c>
    </row>
    <row r="1642" spans="6:33" ht="24" customHeight="1">
      <c r="H1642" s="1627" t="s">
        <v>2071</v>
      </c>
      <c r="W1642" s="1634"/>
      <c r="AG1642" s="1640">
        <f t="shared" si="214"/>
        <v>0</v>
      </c>
    </row>
    <row r="1643" spans="6:33" ht="24" customHeight="1">
      <c r="H1643" s="1636" t="s">
        <v>21</v>
      </c>
      <c r="W1643" s="1634"/>
      <c r="AG1643" s="1640">
        <f t="shared" si="214"/>
        <v>0</v>
      </c>
    </row>
    <row r="1644" spans="6:33" ht="24" customHeight="1">
      <c r="F1644" s="1640">
        <v>0.15</v>
      </c>
      <c r="G1644" s="1638" t="s">
        <v>151</v>
      </c>
      <c r="H1644" s="1627" t="s">
        <v>2072</v>
      </c>
      <c r="I1644" s="1640">
        <f>(C70)</f>
        <v>1742.0500000000002</v>
      </c>
      <c r="J1644" s="1627" t="s">
        <v>151</v>
      </c>
      <c r="K1644" s="1640">
        <f>(F1644*I1644)</f>
        <v>261.3075</v>
      </c>
      <c r="W1644" s="1634"/>
      <c r="AG1644" s="1640">
        <f t="shared" si="214"/>
        <v>0</v>
      </c>
    </row>
    <row r="1645" spans="6:33" ht="24" customHeight="1">
      <c r="F1645" s="1692">
        <v>8.6499999999999994E-2</v>
      </c>
      <c r="G1645" s="1638" t="s">
        <v>251</v>
      </c>
      <c r="H1645" s="1627" t="s">
        <v>252</v>
      </c>
      <c r="I1645" s="1640">
        <f>(C67)</f>
        <v>6040</v>
      </c>
      <c r="J1645" s="1627" t="s">
        <v>251</v>
      </c>
      <c r="K1645" s="1640">
        <f>(F1645*I1645)</f>
        <v>522.45999999999992</v>
      </c>
      <c r="W1645" s="1634"/>
      <c r="AG1645" s="1640">
        <f t="shared" si="214"/>
        <v>0</v>
      </c>
    </row>
    <row r="1646" spans="6:33" ht="24" customHeight="1">
      <c r="F1646" s="1640">
        <v>1.6</v>
      </c>
      <c r="G1646" s="1638" t="s">
        <v>4</v>
      </c>
      <c r="H1646" s="1627" t="s">
        <v>269</v>
      </c>
      <c r="I1646" s="1640">
        <f>(C10)</f>
        <v>1325.8</v>
      </c>
      <c r="J1646" s="1627" t="s">
        <v>4</v>
      </c>
      <c r="K1646" s="1640">
        <f>(F1646*I1646)</f>
        <v>2121.2800000000002</v>
      </c>
      <c r="W1646" s="1634"/>
      <c r="AG1646" s="1640">
        <f t="shared" si="214"/>
        <v>0</v>
      </c>
    </row>
    <row r="1647" spans="6:33" ht="24" customHeight="1">
      <c r="F1647" s="1640">
        <v>0.5</v>
      </c>
      <c r="G1647" s="1638" t="s">
        <v>4</v>
      </c>
      <c r="H1647" s="1627" t="s">
        <v>235</v>
      </c>
      <c r="I1647" s="1640">
        <f>(C12)</f>
        <v>865.19999999999993</v>
      </c>
      <c r="J1647" s="1627" t="s">
        <v>4</v>
      </c>
      <c r="K1647" s="1640">
        <f>(F1647*I1647)</f>
        <v>432.59999999999997</v>
      </c>
      <c r="W1647" s="1634"/>
      <c r="AG1647" s="1640">
        <f t="shared" si="214"/>
        <v>0</v>
      </c>
    </row>
    <row r="1648" spans="6:33" ht="24" customHeight="1">
      <c r="F1648" s="1640">
        <v>1.1000000000000001</v>
      </c>
      <c r="G1648" s="1638" t="s">
        <v>4</v>
      </c>
      <c r="H1648" s="1627" t="s">
        <v>236</v>
      </c>
      <c r="I1648" s="1640">
        <f>(C13)</f>
        <v>709.8</v>
      </c>
      <c r="J1648" s="1627" t="s">
        <v>4</v>
      </c>
      <c r="K1648" s="1640">
        <f>(F1648*I1648)</f>
        <v>780.78</v>
      </c>
      <c r="W1648" s="1634"/>
      <c r="AG1648" s="1640">
        <f t="shared" si="214"/>
        <v>0</v>
      </c>
    </row>
    <row r="1649" spans="6:33" ht="24" customHeight="1">
      <c r="G1649" s="1638" t="s">
        <v>226</v>
      </c>
      <c r="H1649" s="1627" t="s">
        <v>237</v>
      </c>
      <c r="I1649" s="1627" t="s">
        <v>150</v>
      </c>
      <c r="J1649" s="1627" t="s">
        <v>226</v>
      </c>
      <c r="K1649" s="1640">
        <v>0</v>
      </c>
      <c r="W1649" s="1634"/>
      <c r="AG1649" s="1640">
        <f t="shared" si="214"/>
        <v>0</v>
      </c>
    </row>
    <row r="1650" spans="6:33" ht="24" customHeight="1">
      <c r="K1650" s="1636" t="s">
        <v>21</v>
      </c>
      <c r="W1650" s="1634"/>
      <c r="AG1650" s="1640">
        <f t="shared" si="214"/>
        <v>0</v>
      </c>
    </row>
    <row r="1651" spans="6:33" ht="24" customHeight="1">
      <c r="H1651" s="1627" t="s">
        <v>238</v>
      </c>
      <c r="K1651" s="1640">
        <f>SUM(K1644:K1649)</f>
        <v>4118.4274999999998</v>
      </c>
      <c r="W1651" s="1634"/>
      <c r="AG1651" s="1640">
        <f t="shared" si="214"/>
        <v>0</v>
      </c>
    </row>
    <row r="1652" spans="6:33" ht="24" customHeight="1">
      <c r="K1652" s="1636" t="s">
        <v>21</v>
      </c>
      <c r="W1652" s="1634"/>
      <c r="AG1652" s="1640">
        <f t="shared" si="214"/>
        <v>0</v>
      </c>
    </row>
    <row r="1653" spans="6:33" ht="24" customHeight="1">
      <c r="H1653" s="1641" t="s">
        <v>155</v>
      </c>
      <c r="I1653" s="1661"/>
      <c r="J1653" s="1676"/>
      <c r="K1653" s="1639">
        <f>(K1651/10)</f>
        <v>411.84274999999997</v>
      </c>
      <c r="W1653" s="1634"/>
      <c r="AG1653" s="1640">
        <f t="shared" si="214"/>
        <v>0</v>
      </c>
    </row>
    <row r="1654" spans="6:33" ht="24" customHeight="1">
      <c r="K1654" s="1636" t="s">
        <v>156</v>
      </c>
      <c r="W1654" s="1634"/>
      <c r="AG1654" s="1640">
        <f t="shared" si="214"/>
        <v>0</v>
      </c>
    </row>
    <row r="1655" spans="6:33" ht="24" customHeight="1">
      <c r="F1655" s="1628" t="s">
        <v>2073</v>
      </c>
      <c r="G1655" s="1638" t="s">
        <v>249</v>
      </c>
      <c r="H1655" s="1627" t="s">
        <v>2074</v>
      </c>
      <c r="W1655" s="1634"/>
      <c r="AG1655" s="1640">
        <f t="shared" si="214"/>
        <v>0</v>
      </c>
    </row>
    <row r="1656" spans="6:33" ht="24" customHeight="1">
      <c r="H1656" s="1627" t="s">
        <v>2075</v>
      </c>
      <c r="W1656" s="1634"/>
      <c r="AG1656" s="1640">
        <f t="shared" si="214"/>
        <v>0</v>
      </c>
    </row>
    <row r="1657" spans="6:33" ht="24" customHeight="1">
      <c r="H1657" s="1627" t="s">
        <v>2076</v>
      </c>
      <c r="J1657" s="1627" t="s">
        <v>150</v>
      </c>
      <c r="W1657" s="1634"/>
      <c r="AG1657" s="1640">
        <f t="shared" si="214"/>
        <v>0</v>
      </c>
    </row>
    <row r="1658" spans="6:33" ht="24" customHeight="1">
      <c r="H1658" s="1627" t="s">
        <v>2077</v>
      </c>
      <c r="W1658" s="1634"/>
      <c r="AG1658" s="1640">
        <f t="shared" si="214"/>
        <v>0</v>
      </c>
    </row>
    <row r="1659" spans="6:33" ht="24" customHeight="1">
      <c r="H1659" s="1627" t="s">
        <v>2078</v>
      </c>
      <c r="W1659" s="1634"/>
      <c r="AG1659" s="1640">
        <f t="shared" si="214"/>
        <v>0</v>
      </c>
    </row>
    <row r="1660" spans="6:33" ht="24" customHeight="1">
      <c r="H1660" s="1627" t="s">
        <v>2079</v>
      </c>
      <c r="W1660" s="1634"/>
      <c r="AG1660" s="1640">
        <f t="shared" si="214"/>
        <v>0</v>
      </c>
    </row>
    <row r="1661" spans="6:33" ht="24" customHeight="1">
      <c r="H1661" s="1627" t="s">
        <v>2080</v>
      </c>
      <c r="W1661" s="1634"/>
      <c r="AG1661" s="1640">
        <f t="shared" si="214"/>
        <v>0</v>
      </c>
    </row>
    <row r="1662" spans="6:33" ht="24" customHeight="1">
      <c r="H1662" s="1627" t="s">
        <v>2081</v>
      </c>
      <c r="W1662" s="1634"/>
      <c r="AG1662" s="1640">
        <f t="shared" ref="AG1662:AG1695" si="217">AI1662</f>
        <v>0</v>
      </c>
    </row>
    <row r="1663" spans="6:33" ht="24" customHeight="1">
      <c r="H1663" s="1627" t="s">
        <v>2082</v>
      </c>
      <c r="W1663" s="1634"/>
      <c r="AG1663" s="1640">
        <f t="shared" si="217"/>
        <v>0</v>
      </c>
    </row>
    <row r="1664" spans="6:33" ht="24" customHeight="1">
      <c r="H1664" s="1636" t="s">
        <v>156</v>
      </c>
      <c r="W1664" s="1634"/>
      <c r="AG1664" s="1640">
        <f t="shared" si="217"/>
        <v>0</v>
      </c>
    </row>
    <row r="1665" spans="6:33" ht="24" customHeight="1">
      <c r="W1665" s="1634"/>
      <c r="AG1665" s="1640">
        <f t="shared" si="217"/>
        <v>0</v>
      </c>
    </row>
    <row r="1666" spans="6:33" ht="24" customHeight="1">
      <c r="F1666" s="1640">
        <v>1</v>
      </c>
      <c r="G1666" s="1638" t="s">
        <v>303</v>
      </c>
      <c r="H1666" s="1627" t="s">
        <v>2083</v>
      </c>
      <c r="I1666" s="1690">
        <v>45.72</v>
      </c>
      <c r="J1666" s="1627" t="s">
        <v>303</v>
      </c>
      <c r="K1666" s="1640">
        <f>(F1666*I1666)</f>
        <v>45.72</v>
      </c>
      <c r="W1666" s="1634"/>
      <c r="AG1666" s="1640">
        <f t="shared" si="217"/>
        <v>0</v>
      </c>
    </row>
    <row r="1667" spans="6:33" ht="24" customHeight="1">
      <c r="F1667" s="1640">
        <v>1</v>
      </c>
      <c r="G1667" s="1638" t="s">
        <v>2084</v>
      </c>
      <c r="H1667" s="1627" t="s">
        <v>2085</v>
      </c>
      <c r="I1667" s="1690">
        <v>5</v>
      </c>
      <c r="J1667" s="1627" t="s">
        <v>2084</v>
      </c>
      <c r="K1667" s="1640">
        <f>(F1667*I1667)</f>
        <v>5</v>
      </c>
      <c r="W1667" s="1634"/>
      <c r="AG1667" s="1640">
        <f t="shared" si="217"/>
        <v>0</v>
      </c>
    </row>
    <row r="1668" spans="6:33" ht="24" customHeight="1">
      <c r="G1668" s="1638" t="s">
        <v>226</v>
      </c>
      <c r="H1668" s="1627" t="s">
        <v>2086</v>
      </c>
      <c r="J1668" s="1627" t="s">
        <v>226</v>
      </c>
      <c r="K1668" s="1640">
        <v>7.28</v>
      </c>
      <c r="W1668" s="1634"/>
      <c r="AG1668" s="1640">
        <f t="shared" si="217"/>
        <v>0</v>
      </c>
    </row>
    <row r="1669" spans="6:33" ht="24" customHeight="1">
      <c r="K1669" s="1636" t="s">
        <v>21</v>
      </c>
      <c r="W1669" s="1634"/>
      <c r="AG1669" s="1640">
        <f t="shared" si="217"/>
        <v>0</v>
      </c>
    </row>
    <row r="1670" spans="6:33" ht="24" customHeight="1">
      <c r="H1670" s="1628" t="s">
        <v>2087</v>
      </c>
      <c r="K1670" s="1640">
        <f>SUM(K1666:K1668)</f>
        <v>58</v>
      </c>
      <c r="W1670" s="1634"/>
      <c r="AG1670" s="1640">
        <f t="shared" si="217"/>
        <v>0</v>
      </c>
    </row>
    <row r="1671" spans="6:33" ht="24" customHeight="1">
      <c r="K1671" s="1636" t="s">
        <v>156</v>
      </c>
      <c r="W1671" s="1634"/>
      <c r="AG1671" s="1640">
        <f t="shared" si="217"/>
        <v>0</v>
      </c>
    </row>
    <row r="1672" spans="6:33" ht="24" customHeight="1">
      <c r="F1672" s="1628" t="s">
        <v>2088</v>
      </c>
      <c r="G1672" s="1638" t="s">
        <v>249</v>
      </c>
      <c r="H1672" s="1627" t="s">
        <v>5666</v>
      </c>
      <c r="W1672" s="1634"/>
      <c r="AG1672" s="1640">
        <f t="shared" si="217"/>
        <v>0</v>
      </c>
    </row>
    <row r="1673" spans="6:33" ht="24" customHeight="1">
      <c r="H1673" s="1627" t="s">
        <v>2090</v>
      </c>
      <c r="W1673" s="1634"/>
      <c r="AG1673" s="1640">
        <f t="shared" si="217"/>
        <v>0</v>
      </c>
    </row>
    <row r="1674" spans="6:33" ht="24" customHeight="1">
      <c r="H1674" s="1627" t="s">
        <v>2091</v>
      </c>
      <c r="W1674" s="1634"/>
      <c r="AG1674" s="1640">
        <f t="shared" si="217"/>
        <v>0</v>
      </c>
    </row>
    <row r="1675" spans="6:33" ht="24" customHeight="1">
      <c r="H1675" s="1627" t="s">
        <v>2092</v>
      </c>
      <c r="W1675" s="1634"/>
      <c r="AG1675" s="1640">
        <f t="shared" si="217"/>
        <v>0</v>
      </c>
    </row>
    <row r="1676" spans="6:33" ht="24" customHeight="1">
      <c r="H1676" s="1627" t="s">
        <v>2093</v>
      </c>
      <c r="W1676" s="1634"/>
      <c r="AG1676" s="1640">
        <f t="shared" si="217"/>
        <v>0</v>
      </c>
    </row>
    <row r="1677" spans="6:33" ht="24" customHeight="1">
      <c r="H1677" s="1636" t="s">
        <v>21</v>
      </c>
      <c r="I1677" s="1636" t="s">
        <v>21</v>
      </c>
      <c r="W1677" s="1634"/>
      <c r="AG1677" s="1640">
        <f t="shared" si="217"/>
        <v>0</v>
      </c>
    </row>
    <row r="1678" spans="6:33" ht="24" customHeight="1">
      <c r="F1678" s="1640">
        <v>1</v>
      </c>
      <c r="G1678" s="1638" t="s">
        <v>2094</v>
      </c>
      <c r="H1678" s="1627" t="s">
        <v>2095</v>
      </c>
      <c r="I1678" s="1690">
        <v>85</v>
      </c>
      <c r="J1678" s="1627" t="s">
        <v>340</v>
      </c>
      <c r="K1678" s="1640">
        <f>(F1678*I1678)</f>
        <v>85</v>
      </c>
      <c r="W1678" s="1634"/>
      <c r="AG1678" s="1640">
        <f t="shared" si="217"/>
        <v>0</v>
      </c>
    </row>
    <row r="1679" spans="6:33" ht="24" customHeight="1">
      <c r="G1679" s="1638" t="s">
        <v>226</v>
      </c>
      <c r="H1679" s="1627" t="s">
        <v>2096</v>
      </c>
      <c r="J1679" s="1627" t="s">
        <v>226</v>
      </c>
      <c r="K1679" s="1640">
        <v>7.5</v>
      </c>
      <c r="W1679" s="1634"/>
      <c r="AG1679" s="1640">
        <f t="shared" si="217"/>
        <v>0</v>
      </c>
    </row>
    <row r="1680" spans="6:33" ht="24" customHeight="1">
      <c r="G1680" s="1638" t="s">
        <v>226</v>
      </c>
      <c r="H1680" s="1627" t="s">
        <v>2097</v>
      </c>
      <c r="J1680" s="1627" t="s">
        <v>226</v>
      </c>
      <c r="K1680" s="1640">
        <f>1.75+0.75</f>
        <v>2.5</v>
      </c>
      <c r="W1680" s="1634"/>
      <c r="AG1680" s="1640">
        <f t="shared" si="217"/>
        <v>0</v>
      </c>
    </row>
    <row r="1681" spans="6:33" ht="24" customHeight="1">
      <c r="H1681" s="1627" t="s">
        <v>2098</v>
      </c>
      <c r="K1681" s="1636" t="s">
        <v>21</v>
      </c>
      <c r="W1681" s="1634"/>
      <c r="AG1681" s="1640">
        <f t="shared" si="217"/>
        <v>0</v>
      </c>
    </row>
    <row r="1682" spans="6:33" ht="24" customHeight="1">
      <c r="H1682" s="1628" t="s">
        <v>2087</v>
      </c>
      <c r="K1682" s="1640">
        <f>SUM(K1678:K1680)</f>
        <v>95</v>
      </c>
      <c r="W1682" s="1634"/>
      <c r="AG1682" s="1640">
        <f t="shared" si="217"/>
        <v>0</v>
      </c>
    </row>
    <row r="1683" spans="6:33" ht="24" customHeight="1">
      <c r="K1683" s="1636" t="s">
        <v>156</v>
      </c>
      <c r="W1683" s="1634"/>
      <c r="AG1683" s="1640">
        <f t="shared" si="217"/>
        <v>0</v>
      </c>
    </row>
    <row r="1684" spans="6:33" ht="24" customHeight="1">
      <c r="F1684" s="1628" t="s">
        <v>2099</v>
      </c>
      <c r="G1684" s="1638" t="s">
        <v>249</v>
      </c>
      <c r="H1684" s="1627" t="s">
        <v>5667</v>
      </c>
      <c r="W1684" s="1634"/>
      <c r="AG1684" s="1640">
        <f t="shared" si="217"/>
        <v>0</v>
      </c>
    </row>
    <row r="1685" spans="6:33" ht="24" customHeight="1">
      <c r="H1685" s="1627" t="s">
        <v>2101</v>
      </c>
      <c r="K1685" s="1627" t="s">
        <v>150</v>
      </c>
      <c r="W1685" s="1634"/>
      <c r="AG1685" s="1640">
        <f t="shared" si="217"/>
        <v>0</v>
      </c>
    </row>
    <row r="1686" spans="6:33" ht="24" customHeight="1">
      <c r="H1686" s="1636" t="s">
        <v>21</v>
      </c>
      <c r="W1686" s="1634"/>
      <c r="AG1686" s="1640">
        <f t="shared" si="217"/>
        <v>0</v>
      </c>
    </row>
    <row r="1687" spans="6:33" ht="24" customHeight="1">
      <c r="F1687" s="1640">
        <v>1</v>
      </c>
      <c r="G1687" s="1638" t="s">
        <v>2094</v>
      </c>
      <c r="H1687" s="1627" t="s">
        <v>2102</v>
      </c>
      <c r="I1687" s="1690">
        <v>50</v>
      </c>
      <c r="J1687" s="1627" t="s">
        <v>340</v>
      </c>
      <c r="K1687" s="1640">
        <f>(F1687*I1687)</f>
        <v>50</v>
      </c>
      <c r="W1687" s="1634"/>
      <c r="AG1687" s="1640">
        <f t="shared" si="217"/>
        <v>0</v>
      </c>
    </row>
    <row r="1688" spans="6:33" ht="24" customHeight="1">
      <c r="G1688" s="1638" t="s">
        <v>226</v>
      </c>
      <c r="H1688" s="1627" t="s">
        <v>2103</v>
      </c>
      <c r="J1688" s="1627" t="s">
        <v>226</v>
      </c>
      <c r="K1688" s="1640">
        <v>5</v>
      </c>
      <c r="W1688" s="1634"/>
      <c r="AG1688" s="1640">
        <f t="shared" si="217"/>
        <v>0</v>
      </c>
    </row>
    <row r="1689" spans="6:33" ht="24" customHeight="1">
      <c r="K1689" s="1636" t="s">
        <v>21</v>
      </c>
      <c r="W1689" s="1634"/>
      <c r="AG1689" s="1640">
        <f t="shared" si="217"/>
        <v>0</v>
      </c>
    </row>
    <row r="1690" spans="6:33" ht="24" customHeight="1">
      <c r="H1690" s="1628" t="s">
        <v>2104</v>
      </c>
      <c r="K1690" s="1640">
        <f>SUM(K1686:K1688)</f>
        <v>55</v>
      </c>
      <c r="W1690" s="1634"/>
      <c r="AG1690" s="1640">
        <f t="shared" si="217"/>
        <v>0</v>
      </c>
    </row>
    <row r="1691" spans="6:33" ht="24" customHeight="1">
      <c r="K1691" s="1636" t="s">
        <v>156</v>
      </c>
      <c r="W1691" s="1634"/>
      <c r="AG1691" s="1640">
        <f t="shared" si="217"/>
        <v>0</v>
      </c>
    </row>
    <row r="1692" spans="6:33" ht="24" customHeight="1">
      <c r="F1692" s="1628" t="s">
        <v>2105</v>
      </c>
      <c r="G1692" s="1638" t="s">
        <v>249</v>
      </c>
      <c r="H1692" s="1627" t="s">
        <v>5668</v>
      </c>
      <c r="W1692" s="1634"/>
      <c r="AG1692" s="1640">
        <f t="shared" si="217"/>
        <v>0</v>
      </c>
    </row>
    <row r="1693" spans="6:33" ht="24" customHeight="1">
      <c r="H1693" s="1636" t="s">
        <v>21</v>
      </c>
      <c r="I1693" s="1636" t="s">
        <v>21</v>
      </c>
      <c r="W1693" s="1634"/>
      <c r="AG1693" s="1640">
        <f t="shared" si="217"/>
        <v>0</v>
      </c>
    </row>
    <row r="1694" spans="6:33" ht="24" customHeight="1">
      <c r="F1694" s="1640">
        <v>1</v>
      </c>
      <c r="G1694" s="1638" t="s">
        <v>2094</v>
      </c>
      <c r="H1694" s="1627" t="s">
        <v>2107</v>
      </c>
      <c r="I1694" s="1690">
        <v>1.2</v>
      </c>
      <c r="J1694" s="1627" t="s">
        <v>340</v>
      </c>
      <c r="K1694" s="1640">
        <f>(F1694*I1694)</f>
        <v>1.2</v>
      </c>
      <c r="W1694" s="1634"/>
      <c r="AG1694" s="1640">
        <f t="shared" si="217"/>
        <v>0</v>
      </c>
    </row>
    <row r="1695" spans="6:33" ht="24" customHeight="1">
      <c r="G1695" s="1638" t="s">
        <v>226</v>
      </c>
      <c r="H1695" s="1627" t="s">
        <v>2103</v>
      </c>
      <c r="J1695" s="1627" t="s">
        <v>226</v>
      </c>
      <c r="K1695" s="1640">
        <f>K1694*0.25</f>
        <v>0.3</v>
      </c>
      <c r="W1695" s="1634"/>
      <c r="AG1695" s="1640">
        <f t="shared" si="217"/>
        <v>0</v>
      </c>
    </row>
    <row r="1696" spans="6:33" ht="24" customHeight="1">
      <c r="K1696" s="1636" t="s">
        <v>21</v>
      </c>
      <c r="W1696" s="1634"/>
    </row>
    <row r="1697" spans="6:23" ht="24" customHeight="1">
      <c r="H1697" s="1628" t="s">
        <v>2104</v>
      </c>
      <c r="K1697" s="1640">
        <f>SUM(K1692:K1695)</f>
        <v>1.5</v>
      </c>
      <c r="W1697" s="1634"/>
    </row>
    <row r="1698" spans="6:23" ht="24" customHeight="1">
      <c r="F1698" s="1627" t="s">
        <v>150</v>
      </c>
      <c r="K1698" s="1636" t="s">
        <v>21</v>
      </c>
      <c r="W1698" s="1634"/>
    </row>
    <row r="1699" spans="6:23" ht="24" customHeight="1">
      <c r="F1699" s="1662">
        <v>50.1</v>
      </c>
      <c r="G1699" s="1638" t="s">
        <v>249</v>
      </c>
      <c r="H1699" s="1627" t="s">
        <v>2108</v>
      </c>
      <c r="W1699" s="1634"/>
    </row>
    <row r="1700" spans="6:23" ht="24" customHeight="1">
      <c r="H1700" s="1627" t="s">
        <v>2109</v>
      </c>
      <c r="W1700" s="1634"/>
    </row>
    <row r="1701" spans="6:23" ht="24" customHeight="1">
      <c r="H1701" s="1627" t="s">
        <v>2110</v>
      </c>
      <c r="W1701" s="1634"/>
    </row>
    <row r="1702" spans="6:23" ht="24" customHeight="1">
      <c r="H1702" s="1627" t="s">
        <v>2111</v>
      </c>
      <c r="W1702" s="1634"/>
    </row>
    <row r="1703" spans="6:23" ht="24" customHeight="1">
      <c r="H1703" s="1627" t="s">
        <v>2112</v>
      </c>
      <c r="W1703" s="1634"/>
    </row>
    <row r="1704" spans="6:23" ht="24" customHeight="1">
      <c r="H1704" s="1636" t="s">
        <v>21</v>
      </c>
      <c r="I1704" s="1636" t="s">
        <v>21</v>
      </c>
      <c r="W1704" s="1634"/>
    </row>
    <row r="1705" spans="6:23" ht="24" customHeight="1">
      <c r="F1705" s="1640">
        <v>9</v>
      </c>
      <c r="G1705" s="1638" t="s">
        <v>313</v>
      </c>
      <c r="H1705" s="1627" t="s">
        <v>2113</v>
      </c>
      <c r="I1705" s="1640">
        <f>C73</f>
        <v>2446.7200000000003</v>
      </c>
      <c r="J1705" s="1627" t="s">
        <v>313</v>
      </c>
      <c r="K1705" s="1640">
        <f>(F1705*I1705)</f>
        <v>22020.480000000003</v>
      </c>
      <c r="W1705" s="1634"/>
    </row>
    <row r="1706" spans="6:23" ht="24" customHeight="1">
      <c r="F1706" s="1640">
        <v>4.5</v>
      </c>
      <c r="G1706" s="1638" t="s">
        <v>313</v>
      </c>
      <c r="H1706" s="1627" t="s">
        <v>2114</v>
      </c>
      <c r="I1706" s="1640">
        <f>K32</f>
        <v>5318.7</v>
      </c>
      <c r="J1706" s="1627" t="s">
        <v>313</v>
      </c>
      <c r="K1706" s="1640">
        <f>(F1706*I1706)</f>
        <v>23934.149999999998</v>
      </c>
      <c r="W1706" s="1634"/>
    </row>
    <row r="1707" spans="6:23" ht="24" customHeight="1">
      <c r="F1707" s="1640">
        <v>1.8</v>
      </c>
      <c r="G1707" s="1638" t="s">
        <v>345</v>
      </c>
      <c r="H1707" s="1627" t="s">
        <v>2115</v>
      </c>
      <c r="I1707" s="1640">
        <f>C11</f>
        <v>1237.5999999999999</v>
      </c>
      <c r="J1707" s="1627" t="s">
        <v>340</v>
      </c>
      <c r="K1707" s="1640">
        <f>(F1707*I1707)</f>
        <v>2227.6799999999998</v>
      </c>
      <c r="W1707" s="1634"/>
    </row>
    <row r="1708" spans="6:23" ht="24" customHeight="1">
      <c r="F1708" s="1640">
        <v>17.7</v>
      </c>
      <c r="G1708" s="1638" t="s">
        <v>345</v>
      </c>
      <c r="H1708" s="1627" t="s">
        <v>1198</v>
      </c>
      <c r="I1708" s="1640">
        <f>C12</f>
        <v>865.19999999999993</v>
      </c>
      <c r="J1708" s="1627" t="s">
        <v>340</v>
      </c>
      <c r="K1708" s="1640">
        <f>(F1708*I1708)</f>
        <v>15314.039999999999</v>
      </c>
      <c r="W1708" s="1634"/>
    </row>
    <row r="1709" spans="6:23" ht="24" customHeight="1">
      <c r="F1709" s="1640">
        <v>14.1</v>
      </c>
      <c r="G1709" s="1638" t="s">
        <v>345</v>
      </c>
      <c r="H1709" s="1627" t="s">
        <v>2026</v>
      </c>
      <c r="I1709" s="1640">
        <f>C13</f>
        <v>709.8</v>
      </c>
      <c r="J1709" s="1627" t="s">
        <v>340</v>
      </c>
      <c r="K1709" s="1640">
        <f>(F1709*I1709)</f>
        <v>10008.179999999998</v>
      </c>
      <c r="W1709" s="1634"/>
    </row>
    <row r="1710" spans="6:23" ht="24" customHeight="1">
      <c r="K1710" s="1636" t="s">
        <v>21</v>
      </c>
      <c r="W1710" s="1634"/>
    </row>
    <row r="1711" spans="6:23" ht="24" customHeight="1">
      <c r="H1711" s="1628" t="s">
        <v>2116</v>
      </c>
      <c r="K1711" s="1640">
        <f>SUM(K1705:K1709)</f>
        <v>73504.53</v>
      </c>
      <c r="W1711" s="1634"/>
    </row>
    <row r="1712" spans="6:23" ht="24" customHeight="1">
      <c r="K1712" s="1636" t="s">
        <v>21</v>
      </c>
      <c r="W1712" s="1634"/>
    </row>
    <row r="1713" spans="6:23" ht="24" customHeight="1">
      <c r="H1713" s="1628" t="s">
        <v>2117</v>
      </c>
      <c r="K1713" s="1639">
        <f>(K1711/10)</f>
        <v>7350.4529999999995</v>
      </c>
      <c r="W1713" s="1634"/>
    </row>
    <row r="1714" spans="6:23" ht="24" customHeight="1">
      <c r="K1714" s="1636" t="s">
        <v>156</v>
      </c>
      <c r="W1714" s="1634"/>
    </row>
    <row r="1715" spans="6:23" ht="24" customHeight="1">
      <c r="W1715" s="1634"/>
    </row>
    <row r="1716" spans="6:23" ht="24" customHeight="1">
      <c r="G1716" s="1638" t="s">
        <v>230</v>
      </c>
      <c r="H1716" s="1627" t="s">
        <v>2118</v>
      </c>
      <c r="W1716" s="1634"/>
    </row>
    <row r="1717" spans="6:23" ht="24" customHeight="1">
      <c r="H1717" s="1627" t="s">
        <v>5669</v>
      </c>
      <c r="W1717" s="1634"/>
    </row>
    <row r="1718" spans="6:23" ht="24" customHeight="1">
      <c r="H1718" s="1636" t="s">
        <v>21</v>
      </c>
      <c r="I1718" s="1636" t="s">
        <v>21</v>
      </c>
      <c r="W1718" s="1634"/>
    </row>
    <row r="1719" spans="6:23" ht="24" customHeight="1">
      <c r="W1719" s="1634"/>
    </row>
    <row r="1720" spans="6:23" ht="24" customHeight="1">
      <c r="F1720" s="1658">
        <v>0.314</v>
      </c>
      <c r="G1720" s="1638" t="s">
        <v>313</v>
      </c>
      <c r="H1720" s="1627" t="s">
        <v>2120</v>
      </c>
      <c r="I1720" s="1640">
        <f>K1713</f>
        <v>7350.4529999999995</v>
      </c>
      <c r="J1720" s="1627" t="s">
        <v>313</v>
      </c>
      <c r="K1720" s="1640">
        <f>(F1720*I1720)</f>
        <v>2308.042242</v>
      </c>
      <c r="W1720" s="1634"/>
    </row>
    <row r="1721" spans="6:23" ht="24" customHeight="1">
      <c r="F1721" s="1640">
        <v>18</v>
      </c>
      <c r="G1721" s="1638" t="s">
        <v>345</v>
      </c>
      <c r="H1721" s="1627" t="s">
        <v>2121</v>
      </c>
      <c r="I1721" s="1690">
        <v>41.87</v>
      </c>
      <c r="J1721" s="1627" t="s">
        <v>340</v>
      </c>
      <c r="K1721" s="1640">
        <f>(F1721*I1721)</f>
        <v>753.66</v>
      </c>
      <c r="W1721" s="1634"/>
    </row>
    <row r="1722" spans="6:23" ht="24" customHeight="1">
      <c r="F1722" s="1640">
        <v>18</v>
      </c>
      <c r="G1722" s="1638" t="s">
        <v>345</v>
      </c>
      <c r="H1722" s="1627" t="s">
        <v>2122</v>
      </c>
      <c r="I1722" s="1640">
        <v>1</v>
      </c>
      <c r="J1722" s="1627" t="s">
        <v>340</v>
      </c>
      <c r="K1722" s="1640">
        <f>(F1722*I1722)</f>
        <v>18</v>
      </c>
      <c r="W1722" s="1634"/>
    </row>
    <row r="1723" spans="6:23" ht="24" customHeight="1">
      <c r="F1723" s="1640">
        <v>18</v>
      </c>
      <c r="G1723" s="1638" t="s">
        <v>345</v>
      </c>
      <c r="H1723" s="1627" t="s">
        <v>2123</v>
      </c>
      <c r="I1723" s="1640">
        <v>2</v>
      </c>
      <c r="J1723" s="1627" t="s">
        <v>340</v>
      </c>
      <c r="K1723" s="1640">
        <f>(F1723*I1723)</f>
        <v>36</v>
      </c>
      <c r="W1723" s="1634"/>
    </row>
    <row r="1724" spans="6:23" ht="24" customHeight="1">
      <c r="K1724" s="1636" t="s">
        <v>21</v>
      </c>
      <c r="W1724" s="1634"/>
    </row>
    <row r="1725" spans="6:23" ht="24" customHeight="1">
      <c r="H1725" s="1628" t="s">
        <v>2124</v>
      </c>
      <c r="K1725" s="1640">
        <f>SUM(K1719:K1723)</f>
        <v>3115.7022419999998</v>
      </c>
      <c r="W1725" s="1634"/>
    </row>
    <row r="1726" spans="6:23" ht="24" customHeight="1">
      <c r="K1726" s="1636" t="s">
        <v>21</v>
      </c>
      <c r="W1726" s="1634"/>
    </row>
    <row r="1727" spans="6:23" ht="24" customHeight="1">
      <c r="H1727" s="1628" t="s">
        <v>2125</v>
      </c>
      <c r="K1727" s="1639">
        <f>(K1725/6.28)</f>
        <v>496.13093025477701</v>
      </c>
      <c r="W1727" s="1634"/>
    </row>
    <row r="1728" spans="6:23" ht="24" customHeight="1">
      <c r="K1728" s="1636" t="s">
        <v>156</v>
      </c>
      <c r="W1728" s="1634"/>
    </row>
    <row r="1729" spans="6:23" ht="24" customHeight="1">
      <c r="F1729" s="1627" t="s">
        <v>150</v>
      </c>
      <c r="H1729" s="1627" t="s">
        <v>2126</v>
      </c>
      <c r="W1729" s="1634"/>
    </row>
    <row r="1730" spans="6:23" ht="24" customHeight="1">
      <c r="H1730" s="1636" t="s">
        <v>21</v>
      </c>
      <c r="W1730" s="1634"/>
    </row>
    <row r="1731" spans="6:23" ht="24" customHeight="1">
      <c r="F1731" s="1658">
        <v>0.01</v>
      </c>
      <c r="G1731" s="1638" t="s">
        <v>313</v>
      </c>
      <c r="H1731" s="1627" t="s">
        <v>2120</v>
      </c>
      <c r="I1731" s="1640">
        <f>K1713</f>
        <v>7350.4529999999995</v>
      </c>
      <c r="J1731" s="1627" t="s">
        <v>313</v>
      </c>
      <c r="K1731" s="1640">
        <f>ROUND(F1731*I1731,2)</f>
        <v>73.5</v>
      </c>
      <c r="W1731" s="1634"/>
    </row>
    <row r="1732" spans="6:23" ht="24" customHeight="1">
      <c r="F1732" s="1640">
        <v>0.01</v>
      </c>
      <c r="G1732" s="1638" t="s">
        <v>276</v>
      </c>
      <c r="H1732" s="1627" t="s">
        <v>2127</v>
      </c>
      <c r="I1732" s="1656" t="s">
        <v>287</v>
      </c>
      <c r="K1732" s="1640">
        <v>1.2</v>
      </c>
      <c r="W1732" s="1634"/>
    </row>
    <row r="1733" spans="6:23" ht="24" customHeight="1">
      <c r="I1733" s="1694"/>
      <c r="K1733" s="1636" t="s">
        <v>21</v>
      </c>
      <c r="W1733" s="1634"/>
    </row>
    <row r="1734" spans="6:23" ht="24" customHeight="1">
      <c r="H1734" s="1628" t="s">
        <v>2128</v>
      </c>
      <c r="K1734" s="1640">
        <f>SUM(K1728:K1732)</f>
        <v>74.7</v>
      </c>
      <c r="W1734" s="1634"/>
    </row>
    <row r="1735" spans="6:23" ht="24" customHeight="1">
      <c r="K1735" s="1636" t="s">
        <v>21</v>
      </c>
      <c r="W1735" s="1634"/>
    </row>
    <row r="1736" spans="6:23" ht="24" customHeight="1">
      <c r="H1736" s="1628" t="s">
        <v>2129</v>
      </c>
      <c r="K1736" s="1640">
        <f>K1734/0.01</f>
        <v>7470</v>
      </c>
      <c r="W1736" s="1634"/>
    </row>
    <row r="1737" spans="6:23" ht="24" customHeight="1">
      <c r="K1737" s="1636" t="s">
        <v>156</v>
      </c>
      <c r="W1737" s="1634"/>
    </row>
    <row r="1738" spans="6:23" ht="24" customHeight="1">
      <c r="F1738" s="1628" t="s">
        <v>2130</v>
      </c>
      <c r="G1738" s="1638" t="s">
        <v>230</v>
      </c>
      <c r="H1738" s="1627" t="s">
        <v>2118</v>
      </c>
      <c r="W1738" s="1634"/>
    </row>
    <row r="1739" spans="6:23" ht="24" customHeight="1">
      <c r="H1739" s="1631" t="s">
        <v>5670</v>
      </c>
      <c r="W1739" s="1634"/>
    </row>
    <row r="1740" spans="6:23" ht="24" customHeight="1">
      <c r="H1740" s="1636" t="s">
        <v>21</v>
      </c>
      <c r="I1740" s="1636" t="s">
        <v>21</v>
      </c>
      <c r="W1740" s="1634"/>
    </row>
    <row r="1741" spans="6:23" ht="24" customHeight="1">
      <c r="F1741" s="1658">
        <v>0.40500000000000003</v>
      </c>
      <c r="G1741" s="1638" t="s">
        <v>313</v>
      </c>
      <c r="H1741" s="1627" t="s">
        <v>2120</v>
      </c>
      <c r="I1741" s="1640">
        <f>K1736</f>
        <v>7470</v>
      </c>
      <c r="J1741" s="1627" t="s">
        <v>313</v>
      </c>
      <c r="K1741" s="1640">
        <f>(F1741*I1741)</f>
        <v>3025.3500000000004</v>
      </c>
      <c r="W1741" s="1634"/>
    </row>
    <row r="1742" spans="6:23" ht="24" customHeight="1">
      <c r="F1742" s="1627" t="s">
        <v>150</v>
      </c>
      <c r="G1742" s="1638" t="s">
        <v>150</v>
      </c>
      <c r="H1742" s="1627" t="s">
        <v>2132</v>
      </c>
      <c r="I1742" s="1656" t="s">
        <v>287</v>
      </c>
      <c r="K1742" s="1627" t="s">
        <v>150</v>
      </c>
      <c r="W1742" s="1634"/>
    </row>
    <row r="1743" spans="6:23" ht="24" customHeight="1">
      <c r="K1743" s="1636" t="s">
        <v>21</v>
      </c>
      <c r="W1743" s="1634"/>
    </row>
    <row r="1744" spans="6:23" ht="24" customHeight="1">
      <c r="H1744" s="1628" t="s">
        <v>2133</v>
      </c>
      <c r="K1744" s="1640">
        <f>SUM(K1738:K1742)</f>
        <v>3025.3500000000004</v>
      </c>
      <c r="W1744" s="1634"/>
    </row>
    <row r="1745" spans="6:23" ht="24" customHeight="1">
      <c r="K1745" s="1636" t="s">
        <v>21</v>
      </c>
      <c r="W1745" s="1634"/>
    </row>
    <row r="1746" spans="6:23" ht="24" customHeight="1">
      <c r="H1746" s="1628" t="s">
        <v>2134</v>
      </c>
      <c r="K1746" s="1639">
        <f>K1744/9</f>
        <v>336.15000000000003</v>
      </c>
      <c r="W1746" s="1634"/>
    </row>
    <row r="1747" spans="6:23" ht="24" customHeight="1">
      <c r="K1747" s="1636" t="s">
        <v>156</v>
      </c>
      <c r="W1747" s="1634"/>
    </row>
    <row r="1748" spans="6:23" ht="24" customHeight="1">
      <c r="F1748" s="1628" t="s">
        <v>2135</v>
      </c>
      <c r="H1748" s="1627" t="s">
        <v>2136</v>
      </c>
      <c r="W1748" s="1634"/>
    </row>
    <row r="1749" spans="6:23" ht="24" customHeight="1">
      <c r="H1749" s="1636" t="s">
        <v>21</v>
      </c>
      <c r="W1749" s="1634"/>
    </row>
    <row r="1750" spans="6:23" ht="24" customHeight="1">
      <c r="F1750" s="1640">
        <v>4.32</v>
      </c>
      <c r="G1750" s="1638" t="s">
        <v>151</v>
      </c>
      <c r="H1750" s="1627" t="s">
        <v>2137</v>
      </c>
      <c r="I1750" s="1640">
        <f>C61</f>
        <v>148.75</v>
      </c>
      <c r="J1750" s="1627" t="s">
        <v>151</v>
      </c>
      <c r="K1750" s="1640">
        <f t="shared" ref="K1750:K1757" si="218">(F1750*I1750)</f>
        <v>642.6</v>
      </c>
      <c r="W1750" s="1634"/>
    </row>
    <row r="1751" spans="6:23" ht="24" customHeight="1">
      <c r="F1751" s="1640">
        <v>1.44</v>
      </c>
      <c r="G1751" s="1638" t="s">
        <v>151</v>
      </c>
      <c r="H1751" s="1627" t="s">
        <v>2138</v>
      </c>
      <c r="I1751" s="1690">
        <v>69.099999999999994</v>
      </c>
      <c r="J1751" s="1627" t="s">
        <v>151</v>
      </c>
      <c r="K1751" s="1640">
        <f t="shared" si="218"/>
        <v>99.503999999999991</v>
      </c>
      <c r="W1751" s="1634"/>
    </row>
    <row r="1752" spans="6:23" ht="24" customHeight="1">
      <c r="F1752" s="1640">
        <v>1.44</v>
      </c>
      <c r="G1752" s="1638" t="s">
        <v>151</v>
      </c>
      <c r="H1752" s="1627" t="s">
        <v>2139</v>
      </c>
      <c r="I1752" s="1640">
        <f>C35</f>
        <v>222.7</v>
      </c>
      <c r="J1752" s="1627" t="s">
        <v>151</v>
      </c>
      <c r="K1752" s="1640">
        <f t="shared" si="218"/>
        <v>320.68799999999999</v>
      </c>
      <c r="W1752" s="1634"/>
    </row>
    <row r="1753" spans="6:23" ht="24" customHeight="1">
      <c r="F1753" s="1640">
        <v>1.44</v>
      </c>
      <c r="G1753" s="1638" t="s">
        <v>151</v>
      </c>
      <c r="H1753" s="1627" t="s">
        <v>2140</v>
      </c>
      <c r="I1753" s="1640">
        <f>C78</f>
        <v>2265.5</v>
      </c>
      <c r="J1753" s="1627" t="s">
        <v>151</v>
      </c>
      <c r="K1753" s="1640">
        <f t="shared" si="218"/>
        <v>3262.3199999999997</v>
      </c>
      <c r="W1753" s="1634"/>
    </row>
    <row r="1754" spans="6:23" ht="24" customHeight="1">
      <c r="F1754" s="1640">
        <v>2.88</v>
      </c>
      <c r="G1754" s="1638" t="s">
        <v>151</v>
      </c>
      <c r="H1754" s="1627" t="s">
        <v>2141</v>
      </c>
      <c r="I1754" s="1690">
        <v>10</v>
      </c>
      <c r="J1754" s="1627" t="s">
        <v>151</v>
      </c>
      <c r="K1754" s="1640">
        <f t="shared" si="218"/>
        <v>28.799999999999997</v>
      </c>
      <c r="W1754" s="1634"/>
    </row>
    <row r="1755" spans="6:23" ht="24" customHeight="1">
      <c r="F1755" s="1640">
        <v>20</v>
      </c>
      <c r="G1755" s="1638" t="s">
        <v>305</v>
      </c>
      <c r="H1755" s="1627" t="s">
        <v>2142</v>
      </c>
      <c r="I1755" s="1690">
        <v>46.1</v>
      </c>
      <c r="J1755" s="1627" t="s">
        <v>305</v>
      </c>
      <c r="K1755" s="1640">
        <f t="shared" si="218"/>
        <v>922</v>
      </c>
      <c r="W1755" s="1634"/>
    </row>
    <row r="1756" spans="6:23" ht="24" customHeight="1">
      <c r="F1756" s="1640">
        <v>42</v>
      </c>
      <c r="G1756" s="1638" t="s">
        <v>2143</v>
      </c>
      <c r="H1756" s="1627" t="s">
        <v>5187</v>
      </c>
      <c r="I1756" s="1640">
        <v>17.5</v>
      </c>
      <c r="J1756" s="1627" t="s">
        <v>2143</v>
      </c>
      <c r="K1756" s="1640">
        <f t="shared" si="218"/>
        <v>735</v>
      </c>
      <c r="W1756" s="1634"/>
    </row>
    <row r="1757" spans="6:23" ht="24" customHeight="1">
      <c r="F1757" s="1640">
        <v>4.32</v>
      </c>
      <c r="G1757" s="1638" t="s">
        <v>151</v>
      </c>
      <c r="H1757" s="1627" t="s">
        <v>2145</v>
      </c>
      <c r="I1757" s="1640">
        <f>C26</f>
        <v>51.730000000000004</v>
      </c>
      <c r="J1757" s="1627" t="s">
        <v>151</v>
      </c>
      <c r="K1757" s="1640">
        <f t="shared" si="218"/>
        <v>223.47360000000003</v>
      </c>
      <c r="W1757" s="1634"/>
    </row>
    <row r="1758" spans="6:23" ht="24" customHeight="1">
      <c r="F1758" s="1628" t="s">
        <v>2146</v>
      </c>
      <c r="H1758" s="1627" t="s">
        <v>2147</v>
      </c>
      <c r="K1758" s="1640">
        <v>2000</v>
      </c>
      <c r="W1758" s="1634"/>
    </row>
    <row r="1759" spans="6:23" ht="24" customHeight="1">
      <c r="K1759" s="1636" t="s">
        <v>21</v>
      </c>
      <c r="W1759" s="1634"/>
    </row>
    <row r="1760" spans="6:23" ht="24" customHeight="1">
      <c r="H1760" s="1627" t="s">
        <v>2148</v>
      </c>
      <c r="K1760" s="1640">
        <f>SUM(K1750:K1758)</f>
        <v>8234.3855999999996</v>
      </c>
      <c r="W1760" s="1634"/>
    </row>
    <row r="1761" spans="6:23" ht="24" customHeight="1">
      <c r="K1761" s="1636" t="s">
        <v>21</v>
      </c>
      <c r="W1761" s="1634"/>
    </row>
    <row r="1762" spans="6:23" ht="24" customHeight="1">
      <c r="H1762" s="1627" t="s">
        <v>2149</v>
      </c>
      <c r="K1762" s="1639">
        <f>K1760/20</f>
        <v>411.71927999999997</v>
      </c>
      <c r="W1762" s="1634"/>
    </row>
    <row r="1763" spans="6:23" ht="24" customHeight="1">
      <c r="K1763" s="1636" t="s">
        <v>156</v>
      </c>
      <c r="W1763" s="1634"/>
    </row>
    <row r="1764" spans="6:23" ht="24" customHeight="1">
      <c r="W1764" s="1634"/>
    </row>
    <row r="1765" spans="6:23" ht="24" customHeight="1">
      <c r="F1765" s="1628" t="s">
        <v>2150</v>
      </c>
      <c r="H1765" s="1627" t="s">
        <v>2151</v>
      </c>
      <c r="W1765" s="1634"/>
    </row>
    <row r="1766" spans="6:23" ht="24" customHeight="1">
      <c r="H1766" s="1636" t="s">
        <v>21</v>
      </c>
      <c r="W1766" s="1634"/>
    </row>
    <row r="1767" spans="6:23" ht="24" customHeight="1">
      <c r="F1767" s="1640">
        <v>0.1</v>
      </c>
      <c r="G1767" s="1638" t="s">
        <v>151</v>
      </c>
      <c r="H1767" s="1627" t="s">
        <v>2137</v>
      </c>
      <c r="I1767" s="1640">
        <f>K90</f>
        <v>297.5</v>
      </c>
      <c r="J1767" s="1627" t="s">
        <v>151</v>
      </c>
      <c r="K1767" s="1640">
        <f t="shared" ref="K1767:K1772" si="219">(F1767*I1767)</f>
        <v>29.75</v>
      </c>
      <c r="W1767" s="1634"/>
    </row>
    <row r="1768" spans="6:23" ht="24" customHeight="1">
      <c r="F1768" s="1640">
        <v>6.3</v>
      </c>
      <c r="G1768" s="1638" t="s">
        <v>2143</v>
      </c>
      <c r="H1768" s="1627" t="s">
        <v>5671</v>
      </c>
      <c r="I1768" s="1640">
        <v>34.6</v>
      </c>
      <c r="J1768" s="1627" t="s">
        <v>2143</v>
      </c>
      <c r="K1768" s="1640">
        <f t="shared" si="219"/>
        <v>217.98</v>
      </c>
      <c r="W1768" s="1634"/>
    </row>
    <row r="1769" spans="6:23" ht="24" customHeight="1">
      <c r="F1769" s="1640">
        <v>6.3</v>
      </c>
      <c r="G1769" s="1638" t="s">
        <v>2143</v>
      </c>
      <c r="H1769" s="1627" t="s">
        <v>2153</v>
      </c>
      <c r="I1769" s="1640">
        <f>I1756</f>
        <v>17.5</v>
      </c>
      <c r="J1769" s="1627" t="s">
        <v>2143</v>
      </c>
      <c r="K1769" s="1640">
        <f t="shared" si="219"/>
        <v>110.25</v>
      </c>
      <c r="W1769" s="1634"/>
    </row>
    <row r="1770" spans="6:23" ht="24" customHeight="1">
      <c r="F1770" s="1640">
        <v>3.15</v>
      </c>
      <c r="G1770" s="1638" t="s">
        <v>533</v>
      </c>
      <c r="H1770" s="1627" t="s">
        <v>2154</v>
      </c>
      <c r="I1770" s="1640">
        <f>C198</f>
        <v>40.65</v>
      </c>
      <c r="J1770" s="1627" t="s">
        <v>533</v>
      </c>
      <c r="K1770" s="1640">
        <f t="shared" si="219"/>
        <v>128.04749999999999</v>
      </c>
      <c r="L1770" s="1629" t="s">
        <v>1827</v>
      </c>
      <c r="W1770" s="1634"/>
    </row>
    <row r="1771" spans="6:23" ht="24" customHeight="1">
      <c r="F1771" s="1640">
        <v>0.25</v>
      </c>
      <c r="G1771" s="1638" t="s">
        <v>2094</v>
      </c>
      <c r="H1771" s="1627" t="s">
        <v>2155</v>
      </c>
      <c r="I1771" s="1640">
        <f>D16</f>
        <v>1237.5999999999999</v>
      </c>
      <c r="J1771" s="1627" t="s">
        <v>2094</v>
      </c>
      <c r="K1771" s="1640">
        <f t="shared" si="219"/>
        <v>309.39999999999998</v>
      </c>
      <c r="W1771" s="1634"/>
    </row>
    <row r="1772" spans="6:23" ht="24" customHeight="1">
      <c r="F1772" s="1640">
        <v>0.2</v>
      </c>
      <c r="G1772" s="1638" t="s">
        <v>2094</v>
      </c>
      <c r="H1772" s="1627" t="s">
        <v>2156</v>
      </c>
      <c r="I1772" s="1640">
        <f>AG38</f>
        <v>1149.3999999999999</v>
      </c>
      <c r="J1772" s="1627" t="s">
        <v>2094</v>
      </c>
      <c r="K1772" s="1640">
        <f t="shared" si="219"/>
        <v>229.88</v>
      </c>
      <c r="W1772" s="1634"/>
    </row>
    <row r="1773" spans="6:23" ht="24" customHeight="1">
      <c r="H1773" s="1627" t="s">
        <v>2157</v>
      </c>
      <c r="I1773" s="1627" t="s">
        <v>150</v>
      </c>
      <c r="J1773" s="1627" t="s">
        <v>150</v>
      </c>
      <c r="K1773" s="1640">
        <v>0</v>
      </c>
      <c r="W1773" s="1634"/>
    </row>
    <row r="1774" spans="6:23" ht="24" customHeight="1">
      <c r="J1774" s="1627" t="s">
        <v>150</v>
      </c>
      <c r="K1774" s="1636" t="s">
        <v>21</v>
      </c>
      <c r="W1774" s="1634"/>
    </row>
    <row r="1775" spans="6:23" ht="24" customHeight="1">
      <c r="F1775" s="1627" t="s">
        <v>150</v>
      </c>
      <c r="G1775" s="1638" t="s">
        <v>150</v>
      </c>
      <c r="H1775" s="1627" t="s">
        <v>2149</v>
      </c>
      <c r="K1775" s="1639">
        <f>SUM(K1767:K1774)</f>
        <v>1025.3074999999999</v>
      </c>
      <c r="W1775" s="1634"/>
    </row>
    <row r="1776" spans="6:23" ht="24" customHeight="1">
      <c r="H1776" s="1627" t="s">
        <v>150</v>
      </c>
      <c r="K1776" s="1636" t="s">
        <v>21</v>
      </c>
      <c r="W1776" s="1634"/>
    </row>
    <row r="1777" spans="6:23" ht="24" customHeight="1">
      <c r="K1777" s="1636"/>
      <c r="W1777" s="1634"/>
    </row>
    <row r="1778" spans="6:23" ht="24" customHeight="1">
      <c r="F1778" s="1628" t="s">
        <v>2158</v>
      </c>
      <c r="H1778" s="1627" t="s">
        <v>2159</v>
      </c>
      <c r="W1778" s="1634"/>
    </row>
    <row r="1779" spans="6:23" ht="24" customHeight="1">
      <c r="H1779" s="1636" t="s">
        <v>21</v>
      </c>
      <c r="W1779" s="1634"/>
    </row>
    <row r="1780" spans="6:23" ht="24" customHeight="1">
      <c r="F1780" s="1692">
        <v>0.48599999999999999</v>
      </c>
      <c r="G1780" s="1638" t="s">
        <v>276</v>
      </c>
      <c r="H1780" s="1627" t="s">
        <v>2137</v>
      </c>
      <c r="I1780" s="1640">
        <f>C61</f>
        <v>148.75</v>
      </c>
      <c r="J1780" s="1627" t="s">
        <v>276</v>
      </c>
      <c r="K1780" s="1640">
        <f t="shared" ref="K1780:K1786" si="220">(F1780*I1780)</f>
        <v>72.292500000000004</v>
      </c>
      <c r="W1780" s="1634"/>
    </row>
    <row r="1781" spans="6:23" ht="24" customHeight="1">
      <c r="F1781" s="1692">
        <v>0.48599999999999999</v>
      </c>
      <c r="G1781" s="1638" t="s">
        <v>276</v>
      </c>
      <c r="H1781" s="1627" t="s">
        <v>2160</v>
      </c>
      <c r="I1781" s="1640">
        <f>K204</f>
        <v>6456.8970000000008</v>
      </c>
      <c r="J1781" s="1627" t="s">
        <v>276</v>
      </c>
      <c r="K1781" s="1640">
        <f t="shared" si="220"/>
        <v>3138.0519420000005</v>
      </c>
      <c r="W1781" s="1634"/>
    </row>
    <row r="1782" spans="6:23" ht="24" customHeight="1">
      <c r="F1782" s="1640">
        <v>81.75</v>
      </c>
      <c r="G1782" s="1638" t="s">
        <v>2161</v>
      </c>
      <c r="H1782" s="1627" t="s">
        <v>2162</v>
      </c>
      <c r="I1782" s="1640">
        <f>I745</f>
        <v>53</v>
      </c>
      <c r="J1782" s="1627" t="s">
        <v>2161</v>
      </c>
      <c r="K1782" s="1640">
        <f t="shared" si="220"/>
        <v>4332.75</v>
      </c>
      <c r="W1782" s="1634"/>
    </row>
    <row r="1783" spans="6:23" ht="24" customHeight="1">
      <c r="F1783" s="1640">
        <v>7.2</v>
      </c>
      <c r="G1783" s="1638" t="s">
        <v>2161</v>
      </c>
      <c r="H1783" s="1627" t="s">
        <v>2163</v>
      </c>
      <c r="I1783" s="1640">
        <f>I745</f>
        <v>53</v>
      </c>
      <c r="J1783" s="1627" t="s">
        <v>2161</v>
      </c>
      <c r="K1783" s="1640">
        <f t="shared" si="220"/>
        <v>381.6</v>
      </c>
      <c r="W1783" s="1634"/>
    </row>
    <row r="1784" spans="6:23" ht="24" customHeight="1">
      <c r="F1784" s="1640">
        <v>43.68</v>
      </c>
      <c r="G1784" s="1638" t="s">
        <v>2161</v>
      </c>
      <c r="H1784" s="1627" t="s">
        <v>2164</v>
      </c>
      <c r="I1784" s="1640">
        <f>I743</f>
        <v>53</v>
      </c>
      <c r="J1784" s="1627" t="s">
        <v>2161</v>
      </c>
      <c r="K1784" s="1640">
        <f t="shared" si="220"/>
        <v>2315.04</v>
      </c>
      <c r="W1784" s="1634"/>
    </row>
    <row r="1785" spans="6:23" ht="24" customHeight="1">
      <c r="F1785" s="1640">
        <v>132.63</v>
      </c>
      <c r="G1785" s="1638" t="s">
        <v>2161</v>
      </c>
      <c r="H1785" s="1627" t="s">
        <v>2165</v>
      </c>
      <c r="I1785" s="1640">
        <f>C37</f>
        <v>73.5</v>
      </c>
      <c r="J1785" s="1627" t="s">
        <v>2161</v>
      </c>
      <c r="K1785" s="1640">
        <f t="shared" si="220"/>
        <v>9748.3050000000003</v>
      </c>
      <c r="W1785" s="1634"/>
    </row>
    <row r="1786" spans="6:23" ht="24" customHeight="1">
      <c r="F1786" s="1640">
        <v>2.2000000000000002</v>
      </c>
      <c r="G1786" s="1638" t="s">
        <v>533</v>
      </c>
      <c r="H1786" s="1627" t="s">
        <v>5672</v>
      </c>
      <c r="I1786" s="1690">
        <v>970</v>
      </c>
      <c r="J1786" s="1627" t="s">
        <v>533</v>
      </c>
      <c r="K1786" s="1640">
        <f t="shared" si="220"/>
        <v>2134</v>
      </c>
      <c r="W1786" s="1634"/>
    </row>
    <row r="1787" spans="6:23" ht="24" customHeight="1">
      <c r="F1787" s="1656" t="s">
        <v>287</v>
      </c>
      <c r="H1787" s="1627" t="s">
        <v>2167</v>
      </c>
      <c r="I1787" s="1656" t="s">
        <v>287</v>
      </c>
      <c r="K1787" s="1640">
        <v>250</v>
      </c>
      <c r="W1787" s="1634"/>
    </row>
    <row r="1788" spans="6:23" ht="24" customHeight="1">
      <c r="F1788" s="1656" t="s">
        <v>287</v>
      </c>
      <c r="H1788" s="1627" t="s">
        <v>2168</v>
      </c>
      <c r="I1788" s="1656" t="s">
        <v>287</v>
      </c>
      <c r="K1788" s="1640">
        <v>20.47</v>
      </c>
      <c r="W1788" s="1634"/>
    </row>
    <row r="1789" spans="6:23" ht="24" customHeight="1">
      <c r="K1789" s="1636" t="s">
        <v>21</v>
      </c>
      <c r="W1789" s="1634"/>
    </row>
    <row r="1790" spans="6:23" ht="24" customHeight="1">
      <c r="K1790" s="1640">
        <f>SUM(K1780:K1789)</f>
        <v>22392.509442000002</v>
      </c>
      <c r="W1790" s="1634"/>
    </row>
    <row r="1791" spans="6:23" ht="24" customHeight="1">
      <c r="K1791" s="1636" t="s">
        <v>21</v>
      </c>
      <c r="W1791" s="1634"/>
    </row>
    <row r="1792" spans="6:23" ht="24" customHeight="1">
      <c r="K1792" s="1636"/>
      <c r="W1792" s="1634"/>
    </row>
    <row r="1793" spans="6:23" ht="24" customHeight="1">
      <c r="F1793" s="1652">
        <v>86</v>
      </c>
      <c r="H1793" s="1627" t="s">
        <v>2169</v>
      </c>
      <c r="K1793" s="1640">
        <f>C806</f>
        <v>33.9</v>
      </c>
      <c r="W1793" s="1634"/>
    </row>
    <row r="1794" spans="6:23" ht="24" customHeight="1">
      <c r="F1794" s="1662"/>
      <c r="H1794" s="1627"/>
      <c r="K1794" s="1640"/>
      <c r="W1794" s="1634"/>
    </row>
    <row r="1795" spans="6:23" ht="24" customHeight="1">
      <c r="F1795" s="1628" t="s">
        <v>2170</v>
      </c>
      <c r="H1795" s="1627" t="s">
        <v>5188</v>
      </c>
      <c r="K1795" s="1656">
        <v>10.050000000000001</v>
      </c>
      <c r="W1795" s="1634"/>
    </row>
    <row r="1796" spans="6:23" ht="24" customHeight="1">
      <c r="H1796" s="1627" t="s">
        <v>2172</v>
      </c>
      <c r="K1796" s="1629">
        <f>700*K1795</f>
        <v>7035.0000000000009</v>
      </c>
      <c r="W1796" s="1634"/>
    </row>
    <row r="1797" spans="6:23" ht="24" customHeight="1">
      <c r="F1797" s="1627" t="s">
        <v>150</v>
      </c>
      <c r="H1797" s="1627" t="s">
        <v>2173</v>
      </c>
      <c r="K1797" s="1629">
        <f>200*K1795</f>
        <v>2010.0000000000002</v>
      </c>
      <c r="L1797" s="1629">
        <f>K1795*1000</f>
        <v>10050</v>
      </c>
      <c r="M1797" s="1629">
        <f>K1795*1500</f>
        <v>15075.000000000002</v>
      </c>
      <c r="W1797" s="1634"/>
    </row>
    <row r="1798" spans="6:23" ht="24" customHeight="1">
      <c r="F1798" s="1662"/>
      <c r="G1798" s="1638" t="s">
        <v>249</v>
      </c>
      <c r="H1798" s="1627" t="s">
        <v>1053</v>
      </c>
      <c r="W1798" s="1634"/>
    </row>
    <row r="1799" spans="6:23" ht="24" customHeight="1">
      <c r="H1799" s="1627" t="s">
        <v>2174</v>
      </c>
      <c r="W1799" s="1634"/>
    </row>
    <row r="1800" spans="6:23" ht="24" customHeight="1">
      <c r="H1800" s="1627" t="s">
        <v>1119</v>
      </c>
      <c r="W1800" s="1634"/>
    </row>
    <row r="1801" spans="6:23" ht="24" customHeight="1">
      <c r="H1801" s="1636" t="s">
        <v>21</v>
      </c>
      <c r="W1801" s="1634"/>
    </row>
    <row r="1802" spans="6:23" ht="24" customHeight="1">
      <c r="G1802" s="1638" t="s">
        <v>2175</v>
      </c>
      <c r="H1802" s="1627" t="s">
        <v>1119</v>
      </c>
      <c r="K1802" s="1627" t="s">
        <v>2176</v>
      </c>
      <c r="W1802" s="1634"/>
    </row>
    <row r="1803" spans="6:23" ht="24" customHeight="1">
      <c r="H1803" s="1636" t="s">
        <v>21</v>
      </c>
      <c r="K1803" s="1636" t="s">
        <v>156</v>
      </c>
      <c r="W1803" s="1634"/>
    </row>
    <row r="1804" spans="6:23" ht="24" customHeight="1">
      <c r="F1804" s="1640">
        <v>30</v>
      </c>
      <c r="G1804" s="1638" t="s">
        <v>552</v>
      </c>
      <c r="H1804" s="1627" t="s">
        <v>1125</v>
      </c>
      <c r="I1804" s="1640">
        <f>(C661)</f>
        <v>11.2</v>
      </c>
      <c r="J1804" s="1627" t="s">
        <v>552</v>
      </c>
      <c r="K1804" s="1640">
        <f>(F1804*I1804)</f>
        <v>336</v>
      </c>
      <c r="W1804" s="1634"/>
    </row>
    <row r="1805" spans="6:23" ht="24" customHeight="1">
      <c r="F1805" s="1627" t="s">
        <v>150</v>
      </c>
      <c r="H1805" s="1627" t="s">
        <v>1128</v>
      </c>
      <c r="I1805" s="1627" t="s">
        <v>150</v>
      </c>
      <c r="K1805" s="1627" t="s">
        <v>150</v>
      </c>
      <c r="W1805" s="1634"/>
    </row>
    <row r="1806" spans="6:23" ht="24" customHeight="1">
      <c r="F1806" s="1640">
        <v>8</v>
      </c>
      <c r="G1806" s="1638" t="s">
        <v>153</v>
      </c>
      <c r="H1806" s="1627" t="s">
        <v>1069</v>
      </c>
      <c r="I1806" s="1640">
        <f>(C663)</f>
        <v>8.9</v>
      </c>
      <c r="J1806" s="1627" t="s">
        <v>153</v>
      </c>
      <c r="K1806" s="1640">
        <f t="shared" ref="K1806:K1812" si="221">(F1806*I1806)</f>
        <v>71.2</v>
      </c>
      <c r="W1806" s="1634"/>
    </row>
    <row r="1807" spans="6:23" ht="24" customHeight="1">
      <c r="F1807" s="1640">
        <v>8</v>
      </c>
      <c r="G1807" s="1638" t="s">
        <v>153</v>
      </c>
      <c r="H1807" s="1627" t="s">
        <v>1072</v>
      </c>
      <c r="I1807" s="1640">
        <f>(C672)</f>
        <v>12.65</v>
      </c>
      <c r="J1807" s="1627" t="s">
        <v>153</v>
      </c>
      <c r="K1807" s="1640">
        <f t="shared" si="221"/>
        <v>101.2</v>
      </c>
      <c r="W1807" s="1634"/>
    </row>
    <row r="1808" spans="6:23" ht="24" customHeight="1">
      <c r="F1808" s="1640">
        <v>3</v>
      </c>
      <c r="G1808" s="1638" t="s">
        <v>153</v>
      </c>
      <c r="H1808" s="1627" t="s">
        <v>1133</v>
      </c>
      <c r="I1808" s="1640">
        <f>(C41)</f>
        <v>979.99999999999989</v>
      </c>
      <c r="J1808" s="1627" t="s">
        <v>153</v>
      </c>
      <c r="K1808" s="1640">
        <f t="shared" si="221"/>
        <v>2939.9999999999995</v>
      </c>
      <c r="W1808" s="1634"/>
    </row>
    <row r="1809" spans="6:23" ht="24" customHeight="1">
      <c r="F1809" s="1640">
        <v>1</v>
      </c>
      <c r="G1809" s="1638" t="s">
        <v>153</v>
      </c>
      <c r="H1809" s="1627" t="s">
        <v>2177</v>
      </c>
      <c r="I1809" s="1640">
        <f>(C10)</f>
        <v>1325.8</v>
      </c>
      <c r="J1809" s="1627" t="s">
        <v>153</v>
      </c>
      <c r="K1809" s="1640">
        <f t="shared" si="221"/>
        <v>1325.8</v>
      </c>
      <c r="W1809" s="1634"/>
    </row>
    <row r="1810" spans="6:23" ht="24" customHeight="1">
      <c r="F1810" s="1640">
        <v>2</v>
      </c>
      <c r="G1810" s="1638" t="s">
        <v>153</v>
      </c>
      <c r="H1810" s="1627" t="s">
        <v>235</v>
      </c>
      <c r="I1810" s="1640">
        <f>(C12)</f>
        <v>865.19999999999993</v>
      </c>
      <c r="J1810" s="1627" t="s">
        <v>153</v>
      </c>
      <c r="K1810" s="1640">
        <f t="shared" si="221"/>
        <v>1730.3999999999999</v>
      </c>
      <c r="W1810" s="1634"/>
    </row>
    <row r="1811" spans="6:23" ht="24" customHeight="1">
      <c r="F1811" s="1640">
        <v>1</v>
      </c>
      <c r="G1811" s="1638" t="s">
        <v>153</v>
      </c>
      <c r="H1811" s="1627" t="s">
        <v>236</v>
      </c>
      <c r="I1811" s="1640">
        <f>(C13)</f>
        <v>709.8</v>
      </c>
      <c r="J1811" s="1627" t="s">
        <v>153</v>
      </c>
      <c r="K1811" s="1640">
        <f t="shared" si="221"/>
        <v>709.8</v>
      </c>
      <c r="W1811" s="1634"/>
    </row>
    <row r="1812" spans="6:23" ht="24" customHeight="1">
      <c r="F1812" s="1640">
        <v>1</v>
      </c>
      <c r="G1812" s="1638" t="s">
        <v>153</v>
      </c>
      <c r="H1812" s="1627" t="s">
        <v>2178</v>
      </c>
      <c r="I1812" s="1656">
        <v>5</v>
      </c>
      <c r="J1812" s="1627" t="s">
        <v>340</v>
      </c>
      <c r="K1812" s="1640">
        <f t="shared" si="221"/>
        <v>5</v>
      </c>
      <c r="W1812" s="1634"/>
    </row>
    <row r="1813" spans="6:23" ht="24" customHeight="1">
      <c r="H1813" s="1627" t="s">
        <v>2179</v>
      </c>
      <c r="I1813" s="1627" t="s">
        <v>150</v>
      </c>
      <c r="K1813" s="1627" t="s">
        <v>150</v>
      </c>
      <c r="W1813" s="1634"/>
    </row>
    <row r="1814" spans="6:23" ht="24" customHeight="1">
      <c r="G1814" s="1638" t="s">
        <v>226</v>
      </c>
      <c r="H1814" s="1627" t="s">
        <v>237</v>
      </c>
      <c r="J1814" s="1627" t="s">
        <v>226</v>
      </c>
      <c r="K1814" s="1640">
        <v>0</v>
      </c>
      <c r="W1814" s="1634"/>
    </row>
    <row r="1815" spans="6:23" ht="24" customHeight="1">
      <c r="K1815" s="1636" t="s">
        <v>21</v>
      </c>
      <c r="W1815" s="1634"/>
    </row>
    <row r="1816" spans="6:23" ht="24" customHeight="1">
      <c r="H1816" s="1627" t="s">
        <v>1139</v>
      </c>
      <c r="K1816" s="1640">
        <f>SUM(K1804:K1814)</f>
        <v>7219.4</v>
      </c>
      <c r="W1816" s="1634"/>
    </row>
    <row r="1817" spans="6:23" ht="24" customHeight="1">
      <c r="K1817" s="1636" t="s">
        <v>21</v>
      </c>
      <c r="W1817" s="1634"/>
    </row>
    <row r="1818" spans="6:23" ht="24" customHeight="1">
      <c r="H1818" s="1627" t="s">
        <v>562</v>
      </c>
      <c r="K1818" s="1640">
        <f>(K1816/30)</f>
        <v>240.64666666666665</v>
      </c>
      <c r="W1818" s="1634"/>
    </row>
    <row r="1819" spans="6:23" ht="24" customHeight="1">
      <c r="K1819" s="1636" t="s">
        <v>21</v>
      </c>
      <c r="W1819" s="1634"/>
    </row>
    <row r="1820" spans="6:23" ht="24" customHeight="1">
      <c r="G1820" s="1638" t="s">
        <v>520</v>
      </c>
      <c r="H1820" s="1627" t="s">
        <v>1119</v>
      </c>
      <c r="K1820" s="1627" t="s">
        <v>2180</v>
      </c>
      <c r="W1820" s="1634"/>
    </row>
    <row r="1821" spans="6:23" ht="24" customHeight="1">
      <c r="H1821" s="1636" t="s">
        <v>21</v>
      </c>
      <c r="K1821" s="1636" t="s">
        <v>156</v>
      </c>
      <c r="W1821" s="1634"/>
    </row>
    <row r="1822" spans="6:23" ht="24" customHeight="1">
      <c r="F1822" s="1640">
        <v>30</v>
      </c>
      <c r="G1822" s="1638" t="s">
        <v>552</v>
      </c>
      <c r="H1822" s="1627" t="s">
        <v>1125</v>
      </c>
      <c r="I1822" s="1640">
        <f>(C661)</f>
        <v>11.2</v>
      </c>
      <c r="J1822" s="1627" t="s">
        <v>552</v>
      </c>
      <c r="K1822" s="1640">
        <f>(F1822*I1822)</f>
        <v>336</v>
      </c>
      <c r="W1822" s="1634"/>
    </row>
    <row r="1823" spans="6:23" ht="24" customHeight="1">
      <c r="F1823" s="1627" t="s">
        <v>150</v>
      </c>
      <c r="H1823" s="1627" t="s">
        <v>1128</v>
      </c>
      <c r="I1823" s="1627" t="s">
        <v>150</v>
      </c>
      <c r="K1823" s="1627" t="s">
        <v>150</v>
      </c>
      <c r="W1823" s="1634"/>
    </row>
    <row r="1824" spans="6:23" ht="24" customHeight="1">
      <c r="F1824" s="1640">
        <v>8</v>
      </c>
      <c r="G1824" s="1638" t="s">
        <v>153</v>
      </c>
      <c r="H1824" s="1627" t="s">
        <v>1069</v>
      </c>
      <c r="I1824" s="1640">
        <f>(C663)</f>
        <v>8.9</v>
      </c>
      <c r="J1824" s="1627" t="s">
        <v>153</v>
      </c>
      <c r="K1824" s="1640">
        <f t="shared" ref="K1824:K1830" si="222">(F1824*I1824)</f>
        <v>71.2</v>
      </c>
      <c r="W1824" s="1634"/>
    </row>
    <row r="1825" spans="6:23" ht="24" customHeight="1">
      <c r="F1825" s="1640">
        <v>8</v>
      </c>
      <c r="G1825" s="1638" t="s">
        <v>153</v>
      </c>
      <c r="H1825" s="1627" t="s">
        <v>1072</v>
      </c>
      <c r="I1825" s="1640">
        <f>D672</f>
        <v>12.85</v>
      </c>
      <c r="J1825" s="1627" t="s">
        <v>153</v>
      </c>
      <c r="K1825" s="1640">
        <f t="shared" si="222"/>
        <v>102.8</v>
      </c>
      <c r="W1825" s="1634"/>
    </row>
    <row r="1826" spans="6:23" ht="24" customHeight="1">
      <c r="F1826" s="1640">
        <v>3</v>
      </c>
      <c r="G1826" s="1638" t="s">
        <v>153</v>
      </c>
      <c r="H1826" s="1627" t="s">
        <v>1133</v>
      </c>
      <c r="I1826" s="1640">
        <f>(C41)</f>
        <v>979.99999999999989</v>
      </c>
      <c r="J1826" s="1627" t="s">
        <v>153</v>
      </c>
      <c r="K1826" s="1640">
        <f t="shared" si="222"/>
        <v>2939.9999999999995</v>
      </c>
      <c r="W1826" s="1634"/>
    </row>
    <row r="1827" spans="6:23" ht="24" customHeight="1">
      <c r="F1827" s="1640">
        <v>1</v>
      </c>
      <c r="G1827" s="1638" t="s">
        <v>153</v>
      </c>
      <c r="H1827" s="1627" t="s">
        <v>2177</v>
      </c>
      <c r="I1827" s="1640">
        <f>(C10)</f>
        <v>1325.8</v>
      </c>
      <c r="J1827" s="1627" t="s">
        <v>153</v>
      </c>
      <c r="K1827" s="1640">
        <f t="shared" si="222"/>
        <v>1325.8</v>
      </c>
      <c r="W1827" s="1634"/>
    </row>
    <row r="1828" spans="6:23" ht="24" customHeight="1">
      <c r="F1828" s="1640">
        <v>2</v>
      </c>
      <c r="G1828" s="1638" t="s">
        <v>153</v>
      </c>
      <c r="H1828" s="1627" t="s">
        <v>235</v>
      </c>
      <c r="I1828" s="1640">
        <f>(C12)</f>
        <v>865.19999999999993</v>
      </c>
      <c r="J1828" s="1627" t="s">
        <v>153</v>
      </c>
      <c r="K1828" s="1640">
        <f t="shared" si="222"/>
        <v>1730.3999999999999</v>
      </c>
      <c r="W1828" s="1634"/>
    </row>
    <row r="1829" spans="6:23" ht="24" customHeight="1">
      <c r="F1829" s="1640">
        <v>1</v>
      </c>
      <c r="G1829" s="1638" t="s">
        <v>153</v>
      </c>
      <c r="H1829" s="1627" t="s">
        <v>236</v>
      </c>
      <c r="I1829" s="1640">
        <f>(C13)</f>
        <v>709.8</v>
      </c>
      <c r="J1829" s="1627" t="s">
        <v>153</v>
      </c>
      <c r="K1829" s="1640">
        <f t="shared" si="222"/>
        <v>709.8</v>
      </c>
      <c r="W1829" s="1634"/>
    </row>
    <row r="1830" spans="6:23" ht="24" customHeight="1">
      <c r="F1830" s="1640">
        <v>1</v>
      </c>
      <c r="G1830" s="1638" t="s">
        <v>153</v>
      </c>
      <c r="H1830" s="1627" t="s">
        <v>2178</v>
      </c>
      <c r="I1830" s="1656">
        <v>3</v>
      </c>
      <c r="J1830" s="1627" t="s">
        <v>153</v>
      </c>
      <c r="K1830" s="1640">
        <f t="shared" si="222"/>
        <v>3</v>
      </c>
      <c r="W1830" s="1634"/>
    </row>
    <row r="1831" spans="6:23" ht="24" customHeight="1">
      <c r="H1831" s="1627" t="s">
        <v>2179</v>
      </c>
      <c r="I1831" s="1627" t="s">
        <v>150</v>
      </c>
      <c r="K1831" s="1627" t="s">
        <v>150</v>
      </c>
      <c r="W1831" s="1634"/>
    </row>
    <row r="1832" spans="6:23" ht="24" customHeight="1">
      <c r="G1832" s="1638" t="s">
        <v>226</v>
      </c>
      <c r="H1832" s="1627" t="s">
        <v>237</v>
      </c>
      <c r="J1832" s="1627" t="s">
        <v>226</v>
      </c>
      <c r="K1832" s="1640">
        <v>0</v>
      </c>
      <c r="W1832" s="1634"/>
    </row>
    <row r="1833" spans="6:23" ht="24" customHeight="1">
      <c r="K1833" s="1636" t="s">
        <v>21</v>
      </c>
      <c r="W1833" s="1634"/>
    </row>
    <row r="1834" spans="6:23" ht="24" customHeight="1">
      <c r="H1834" s="1627" t="s">
        <v>1139</v>
      </c>
      <c r="K1834" s="1640">
        <f>SUM(K1822:K1832)</f>
        <v>7218.9999999999991</v>
      </c>
      <c r="W1834" s="1634"/>
    </row>
    <row r="1835" spans="6:23" ht="24" customHeight="1">
      <c r="K1835" s="1636" t="s">
        <v>21</v>
      </c>
      <c r="W1835" s="1634"/>
    </row>
    <row r="1836" spans="6:23" ht="24" customHeight="1">
      <c r="H1836" s="1627" t="s">
        <v>562</v>
      </c>
      <c r="K1836" s="1640">
        <f>(K1834/30)</f>
        <v>240.6333333333333</v>
      </c>
      <c r="W1836" s="1634"/>
    </row>
    <row r="1837" spans="6:23" ht="24" customHeight="1">
      <c r="K1837" s="1636" t="s">
        <v>21</v>
      </c>
      <c r="W1837" s="1634"/>
    </row>
    <row r="1838" spans="6:23" ht="24" customHeight="1">
      <c r="G1838" s="1638" t="s">
        <v>524</v>
      </c>
      <c r="H1838" s="1627" t="s">
        <v>1119</v>
      </c>
      <c r="K1838" s="1627" t="s">
        <v>2181</v>
      </c>
      <c r="W1838" s="1634"/>
    </row>
    <row r="1839" spans="6:23" ht="24" customHeight="1">
      <c r="H1839" s="1636" t="s">
        <v>21</v>
      </c>
      <c r="K1839" s="1636" t="s">
        <v>156</v>
      </c>
      <c r="W1839" s="1634"/>
    </row>
    <row r="1840" spans="6:23" ht="24" customHeight="1">
      <c r="F1840" s="1640">
        <v>30</v>
      </c>
      <c r="G1840" s="1638" t="s">
        <v>552</v>
      </c>
      <c r="H1840" s="1627" t="s">
        <v>1125</v>
      </c>
      <c r="I1840" s="1640">
        <f>(C661)</f>
        <v>11.2</v>
      </c>
      <c r="J1840" s="1627" t="s">
        <v>552</v>
      </c>
      <c r="K1840" s="1640">
        <f>(F1840*I1840)</f>
        <v>336</v>
      </c>
      <c r="W1840" s="1634"/>
    </row>
    <row r="1841" spans="6:23" ht="24" customHeight="1">
      <c r="F1841" s="1627" t="s">
        <v>150</v>
      </c>
      <c r="H1841" s="1627" t="s">
        <v>1128</v>
      </c>
      <c r="I1841" s="1627" t="s">
        <v>150</v>
      </c>
      <c r="K1841" s="1627" t="s">
        <v>150</v>
      </c>
      <c r="W1841" s="1634"/>
    </row>
    <row r="1842" spans="6:23" ht="24" customHeight="1">
      <c r="F1842" s="1640">
        <v>8</v>
      </c>
      <c r="G1842" s="1638" t="s">
        <v>153</v>
      </c>
      <c r="H1842" s="1627" t="s">
        <v>1069</v>
      </c>
      <c r="I1842" s="1640">
        <f>D663</f>
        <v>10.65</v>
      </c>
      <c r="J1842" s="1627" t="s">
        <v>153</v>
      </c>
      <c r="K1842" s="1640">
        <f t="shared" ref="K1842:K1848" si="223">(F1842*I1842)</f>
        <v>85.2</v>
      </c>
      <c r="W1842" s="1634"/>
    </row>
    <row r="1843" spans="6:23" ht="24" customHeight="1">
      <c r="F1843" s="1640">
        <v>8</v>
      </c>
      <c r="G1843" s="1638" t="s">
        <v>153</v>
      </c>
      <c r="H1843" s="1627" t="s">
        <v>1072</v>
      </c>
      <c r="I1843" s="1640">
        <f>C677</f>
        <v>26.6</v>
      </c>
      <c r="J1843" s="1627" t="s">
        <v>153</v>
      </c>
      <c r="K1843" s="1640">
        <f t="shared" si="223"/>
        <v>212.8</v>
      </c>
      <c r="W1843" s="1634"/>
    </row>
    <row r="1844" spans="6:23" ht="24" customHeight="1">
      <c r="F1844" s="1640">
        <v>3</v>
      </c>
      <c r="G1844" s="1638" t="s">
        <v>153</v>
      </c>
      <c r="H1844" s="1627" t="s">
        <v>1133</v>
      </c>
      <c r="I1844" s="1640">
        <f>(C41)</f>
        <v>979.99999999999989</v>
      </c>
      <c r="J1844" s="1627" t="s">
        <v>153</v>
      </c>
      <c r="K1844" s="1640">
        <f t="shared" si="223"/>
        <v>2939.9999999999995</v>
      </c>
      <c r="W1844" s="1634"/>
    </row>
    <row r="1845" spans="6:23" ht="24" customHeight="1">
      <c r="F1845" s="1640">
        <v>1</v>
      </c>
      <c r="G1845" s="1638" t="s">
        <v>153</v>
      </c>
      <c r="H1845" s="1627" t="s">
        <v>2177</v>
      </c>
      <c r="I1845" s="1640">
        <f>(C10)</f>
        <v>1325.8</v>
      </c>
      <c r="J1845" s="1627" t="s">
        <v>153</v>
      </c>
      <c r="K1845" s="1640">
        <f t="shared" si="223"/>
        <v>1325.8</v>
      </c>
      <c r="W1845" s="1634"/>
    </row>
    <row r="1846" spans="6:23" ht="24" customHeight="1">
      <c r="F1846" s="1640">
        <v>2</v>
      </c>
      <c r="G1846" s="1638" t="s">
        <v>153</v>
      </c>
      <c r="H1846" s="1627" t="s">
        <v>235</v>
      </c>
      <c r="I1846" s="1640">
        <f>(C12)</f>
        <v>865.19999999999993</v>
      </c>
      <c r="J1846" s="1627" t="s">
        <v>153</v>
      </c>
      <c r="K1846" s="1640">
        <f t="shared" si="223"/>
        <v>1730.3999999999999</v>
      </c>
      <c r="W1846" s="1634"/>
    </row>
    <row r="1847" spans="6:23" ht="24" customHeight="1">
      <c r="F1847" s="1640">
        <v>1</v>
      </c>
      <c r="G1847" s="1638" t="s">
        <v>153</v>
      </c>
      <c r="H1847" s="1627" t="s">
        <v>236</v>
      </c>
      <c r="I1847" s="1640">
        <f>(C13)</f>
        <v>709.8</v>
      </c>
      <c r="J1847" s="1627" t="s">
        <v>153</v>
      </c>
      <c r="K1847" s="1640">
        <f t="shared" si="223"/>
        <v>709.8</v>
      </c>
      <c r="W1847" s="1634"/>
    </row>
    <row r="1848" spans="6:23" ht="24" customHeight="1">
      <c r="F1848" s="1640">
        <v>1</v>
      </c>
      <c r="G1848" s="1638" t="s">
        <v>153</v>
      </c>
      <c r="H1848" s="1627" t="s">
        <v>2178</v>
      </c>
      <c r="I1848" s="1656">
        <v>5.26</v>
      </c>
      <c r="J1848" s="1627" t="s">
        <v>153</v>
      </c>
      <c r="K1848" s="1640">
        <f t="shared" si="223"/>
        <v>5.26</v>
      </c>
      <c r="W1848" s="1634"/>
    </row>
    <row r="1849" spans="6:23" ht="24" customHeight="1">
      <c r="H1849" s="1627" t="s">
        <v>2179</v>
      </c>
      <c r="I1849" s="1627" t="s">
        <v>150</v>
      </c>
      <c r="K1849" s="1627" t="s">
        <v>150</v>
      </c>
      <c r="W1849" s="1634"/>
    </row>
    <row r="1850" spans="6:23" ht="24" customHeight="1">
      <c r="G1850" s="1638" t="s">
        <v>226</v>
      </c>
      <c r="H1850" s="1627" t="s">
        <v>237</v>
      </c>
      <c r="J1850" s="1627" t="s">
        <v>226</v>
      </c>
      <c r="K1850" s="1640">
        <v>0</v>
      </c>
      <c r="W1850" s="1634"/>
    </row>
    <row r="1851" spans="6:23" ht="24" customHeight="1">
      <c r="K1851" s="1636" t="s">
        <v>21</v>
      </c>
      <c r="W1851" s="1634"/>
    </row>
    <row r="1852" spans="6:23" ht="24" customHeight="1">
      <c r="H1852" s="1627" t="s">
        <v>1139</v>
      </c>
      <c r="K1852" s="1640">
        <f>SUM(K1840:K1850)</f>
        <v>7345.2599999999993</v>
      </c>
      <c r="W1852" s="1634"/>
    </row>
    <row r="1853" spans="6:23" ht="24" customHeight="1">
      <c r="K1853" s="1636" t="s">
        <v>21</v>
      </c>
      <c r="W1853" s="1634"/>
    </row>
    <row r="1854" spans="6:23" ht="24" customHeight="1">
      <c r="H1854" s="1627" t="s">
        <v>562</v>
      </c>
      <c r="K1854" s="1640">
        <f>(K1852/30)</f>
        <v>244.84199999999998</v>
      </c>
      <c r="N1854" s="1638" t="s">
        <v>524</v>
      </c>
      <c r="O1854" s="1627" t="s">
        <v>1119</v>
      </c>
      <c r="Q1854" s="1632"/>
      <c r="R1854" s="1627" t="s">
        <v>2182</v>
      </c>
      <c r="W1854" s="1634"/>
    </row>
    <row r="1855" spans="6:23" ht="24" customHeight="1">
      <c r="K1855" s="1636" t="s">
        <v>21</v>
      </c>
      <c r="N1855" s="1630"/>
      <c r="O1855" s="1636" t="s">
        <v>21</v>
      </c>
      <c r="Q1855" s="1632"/>
      <c r="R1855" s="1636" t="s">
        <v>156</v>
      </c>
      <c r="W1855" s="1634"/>
    </row>
    <row r="1856" spans="6:23" ht="24" customHeight="1">
      <c r="M1856" s="1640">
        <v>30</v>
      </c>
      <c r="N1856" s="1638" t="s">
        <v>552</v>
      </c>
      <c r="O1856" s="1627" t="s">
        <v>1125</v>
      </c>
      <c r="P1856" s="1640">
        <f>I1840</f>
        <v>11.2</v>
      </c>
      <c r="Q1856" s="1627" t="s">
        <v>552</v>
      </c>
      <c r="R1856" s="1640">
        <f>(M1856*P1856)</f>
        <v>336</v>
      </c>
      <c r="W1856" s="1634"/>
    </row>
    <row r="1857" spans="6:23" ht="24" customHeight="1">
      <c r="F1857" s="1777">
        <v>52</v>
      </c>
      <c r="G1857" s="1638" t="s">
        <v>249</v>
      </c>
      <c r="H1857" s="1627" t="s">
        <v>2183</v>
      </c>
      <c r="M1857" s="1627" t="s">
        <v>150</v>
      </c>
      <c r="N1857" s="1630"/>
      <c r="O1857" s="1627" t="s">
        <v>1128</v>
      </c>
      <c r="P1857" s="1640" t="str">
        <f t="shared" ref="P1857:P1866" si="224">I1841</f>
        <v/>
      </c>
      <c r="Q1857" s="1632"/>
      <c r="R1857" s="1627" t="s">
        <v>150</v>
      </c>
      <c r="W1857" s="1634"/>
    </row>
    <row r="1858" spans="6:23" ht="24" customHeight="1">
      <c r="H1858" s="1627" t="s">
        <v>2184</v>
      </c>
      <c r="M1858" s="1640">
        <v>8</v>
      </c>
      <c r="N1858" s="1638" t="s">
        <v>153</v>
      </c>
      <c r="O1858" s="1685" t="s">
        <v>5673</v>
      </c>
      <c r="P1858" s="1640">
        <f>C46</f>
        <v>12.85</v>
      </c>
      <c r="Q1858" s="1627" t="s">
        <v>153</v>
      </c>
      <c r="R1858" s="1640">
        <f t="shared" ref="R1858:R1863" si="225">(M1858*P1858)</f>
        <v>102.8</v>
      </c>
      <c r="W1858" s="1634"/>
    </row>
    <row r="1859" spans="6:23" ht="24" customHeight="1">
      <c r="H1859" s="1627" t="s">
        <v>2186</v>
      </c>
      <c r="M1859" s="1640">
        <v>8</v>
      </c>
      <c r="N1859" s="1638" t="s">
        <v>153</v>
      </c>
      <c r="O1859" s="1685" t="s">
        <v>5674</v>
      </c>
      <c r="P1859" s="1640">
        <f>C53</f>
        <v>35.9</v>
      </c>
      <c r="Q1859" s="1627" t="s">
        <v>153</v>
      </c>
      <c r="R1859" s="1640">
        <f t="shared" si="225"/>
        <v>287.2</v>
      </c>
      <c r="W1859" s="1634"/>
    </row>
    <row r="1860" spans="6:23" ht="24" customHeight="1">
      <c r="H1860" s="1627" t="s">
        <v>2188</v>
      </c>
      <c r="M1860" s="1640">
        <v>3</v>
      </c>
      <c r="N1860" s="1638" t="s">
        <v>153</v>
      </c>
      <c r="O1860" s="1627" t="s">
        <v>1133</v>
      </c>
      <c r="P1860" s="1640">
        <f t="shared" si="224"/>
        <v>979.99999999999989</v>
      </c>
      <c r="Q1860" s="1627" t="s">
        <v>153</v>
      </c>
      <c r="R1860" s="1640">
        <f t="shared" si="225"/>
        <v>2939.9999999999995</v>
      </c>
      <c r="W1860" s="1634"/>
    </row>
    <row r="1861" spans="6:23" ht="24" customHeight="1">
      <c r="H1861" s="1627" t="s">
        <v>2189</v>
      </c>
      <c r="M1861" s="1640">
        <v>1</v>
      </c>
      <c r="N1861" s="1638" t="s">
        <v>153</v>
      </c>
      <c r="O1861" s="1627" t="s">
        <v>2177</v>
      </c>
      <c r="P1861" s="1640">
        <f t="shared" si="224"/>
        <v>1325.8</v>
      </c>
      <c r="Q1861" s="1627" t="s">
        <v>153</v>
      </c>
      <c r="R1861" s="1640">
        <f t="shared" si="225"/>
        <v>1325.8</v>
      </c>
      <c r="W1861" s="1634"/>
    </row>
    <row r="1862" spans="6:23" ht="24" customHeight="1">
      <c r="H1862" s="1627" t="s">
        <v>2190</v>
      </c>
      <c r="M1862" s="1640">
        <v>2</v>
      </c>
      <c r="N1862" s="1638" t="s">
        <v>153</v>
      </c>
      <c r="O1862" s="1627" t="s">
        <v>235</v>
      </c>
      <c r="P1862" s="1640">
        <f t="shared" si="224"/>
        <v>865.19999999999993</v>
      </c>
      <c r="Q1862" s="1627" t="s">
        <v>153</v>
      </c>
      <c r="R1862" s="1640">
        <f t="shared" si="225"/>
        <v>1730.3999999999999</v>
      </c>
      <c r="W1862" s="1634"/>
    </row>
    <row r="1863" spans="6:23" ht="24" customHeight="1">
      <c r="H1863" s="1627" t="s">
        <v>2191</v>
      </c>
      <c r="M1863" s="1640">
        <v>1</v>
      </c>
      <c r="N1863" s="1638" t="s">
        <v>153</v>
      </c>
      <c r="O1863" s="1627" t="s">
        <v>236</v>
      </c>
      <c r="P1863" s="1640">
        <f t="shared" si="224"/>
        <v>709.8</v>
      </c>
      <c r="Q1863" s="1627" t="s">
        <v>153</v>
      </c>
      <c r="R1863" s="1640">
        <f t="shared" si="225"/>
        <v>709.8</v>
      </c>
      <c r="W1863" s="1634"/>
    </row>
    <row r="1864" spans="6:23" ht="24" customHeight="1">
      <c r="H1864" s="1627" t="s">
        <v>2192</v>
      </c>
      <c r="N1864" s="1638" t="s">
        <v>226</v>
      </c>
      <c r="O1864" s="1627" t="s">
        <v>2178</v>
      </c>
      <c r="P1864" s="1640">
        <f t="shared" si="224"/>
        <v>5.26</v>
      </c>
      <c r="Q1864" s="1627" t="s">
        <v>226</v>
      </c>
      <c r="R1864" s="1640">
        <v>5</v>
      </c>
      <c r="W1864" s="1634"/>
    </row>
    <row r="1865" spans="6:23" ht="24" customHeight="1">
      <c r="H1865" s="1636" t="s">
        <v>156</v>
      </c>
      <c r="I1865" s="1636" t="s">
        <v>156</v>
      </c>
      <c r="N1865" s="1630"/>
      <c r="O1865" s="1627" t="s">
        <v>2179</v>
      </c>
      <c r="P1865" s="1640" t="str">
        <f t="shared" si="224"/>
        <v/>
      </c>
      <c r="Q1865" s="1632"/>
      <c r="R1865" s="1627" t="s">
        <v>150</v>
      </c>
      <c r="W1865" s="1634"/>
    </row>
    <row r="1866" spans="6:23" ht="24" customHeight="1">
      <c r="G1866" s="1638" t="s">
        <v>249</v>
      </c>
      <c r="H1866" s="1627" t="s">
        <v>513</v>
      </c>
      <c r="N1866" s="1638" t="s">
        <v>226</v>
      </c>
      <c r="O1866" s="1627" t="s">
        <v>237</v>
      </c>
      <c r="P1866" s="1640">
        <f t="shared" si="224"/>
        <v>0</v>
      </c>
      <c r="Q1866" s="1627" t="s">
        <v>226</v>
      </c>
      <c r="R1866" s="1640">
        <v>0</v>
      </c>
      <c r="W1866" s="1634"/>
    </row>
    <row r="1867" spans="6:23" ht="24" customHeight="1">
      <c r="H1867" s="1627" t="s">
        <v>591</v>
      </c>
      <c r="N1867" s="1630"/>
      <c r="Q1867" s="1632"/>
      <c r="R1867" s="1636" t="s">
        <v>21</v>
      </c>
      <c r="W1867" s="1634"/>
    </row>
    <row r="1868" spans="6:23" ht="24" customHeight="1">
      <c r="G1868" s="1638" t="s">
        <v>514</v>
      </c>
      <c r="H1868" s="1627" t="s">
        <v>515</v>
      </c>
      <c r="N1868" s="1630"/>
      <c r="O1868" s="1627" t="s">
        <v>1139</v>
      </c>
      <c r="Q1868" s="1632"/>
      <c r="R1868" s="1640">
        <f>SUM(R1856:R1866)</f>
        <v>7436.9999999999991</v>
      </c>
      <c r="W1868" s="1634"/>
    </row>
    <row r="1869" spans="6:23" ht="24" customHeight="1">
      <c r="H1869" s="1636" t="s">
        <v>21</v>
      </c>
      <c r="N1869" s="1630"/>
      <c r="Q1869" s="1632"/>
      <c r="R1869" s="1636" t="s">
        <v>21</v>
      </c>
      <c r="W1869" s="1634"/>
    </row>
    <row r="1870" spans="6:23" ht="24" customHeight="1">
      <c r="F1870" s="1640">
        <v>1</v>
      </c>
      <c r="G1870" s="1638" t="s">
        <v>303</v>
      </c>
      <c r="H1870" s="1627" t="s">
        <v>516</v>
      </c>
      <c r="I1870" s="1640">
        <f>C517</f>
        <v>26</v>
      </c>
      <c r="J1870" s="1627" t="s">
        <v>303</v>
      </c>
      <c r="K1870" s="1640">
        <f>(F1870*I1870)</f>
        <v>26</v>
      </c>
      <c r="N1870" s="1630"/>
      <c r="O1870" s="1627" t="s">
        <v>562</v>
      </c>
      <c r="Q1870" s="1632"/>
      <c r="R1870" s="1640">
        <f>(R1868/30)</f>
        <v>247.89999999999998</v>
      </c>
      <c r="W1870" s="1634"/>
    </row>
    <row r="1871" spans="6:23" ht="24" customHeight="1">
      <c r="F1871" s="1640">
        <v>1</v>
      </c>
      <c r="G1871" s="1638" t="s">
        <v>226</v>
      </c>
      <c r="H1871" s="1627" t="s">
        <v>517</v>
      </c>
      <c r="I1871" s="1640">
        <f>I1870*0.7</f>
        <v>18.2</v>
      </c>
      <c r="J1871" s="1627" t="s">
        <v>226</v>
      </c>
      <c r="K1871" s="1640">
        <f>(F1871*I1871)</f>
        <v>18.2</v>
      </c>
      <c r="N1871" s="1630"/>
      <c r="Q1871" s="1632"/>
      <c r="R1871" s="1636" t="s">
        <v>21</v>
      </c>
      <c r="W1871" s="1634"/>
    </row>
    <row r="1872" spans="6:23" ht="24" customHeight="1">
      <c r="F1872" s="1640">
        <v>1</v>
      </c>
      <c r="G1872" s="1638" t="s">
        <v>303</v>
      </c>
      <c r="H1872" s="1627" t="s">
        <v>518</v>
      </c>
      <c r="I1872" s="1640">
        <f>K1818</f>
        <v>240.64666666666665</v>
      </c>
      <c r="J1872" s="1627" t="s">
        <v>303</v>
      </c>
      <c r="K1872" s="1640">
        <f>(F1872*I1872)</f>
        <v>240.64666666666665</v>
      </c>
      <c r="W1872" s="1634"/>
    </row>
    <row r="1873" spans="6:23" ht="24" customHeight="1">
      <c r="I1873" s="1627" t="s">
        <v>150</v>
      </c>
      <c r="K1873" s="1636" t="s">
        <v>21</v>
      </c>
      <c r="W1873" s="1634"/>
    </row>
    <row r="1874" spans="6:23" ht="24" customHeight="1">
      <c r="H1874" s="1627" t="s">
        <v>519</v>
      </c>
      <c r="K1874" s="1639">
        <f>SUM(K1870:K1872)</f>
        <v>284.84666666666664</v>
      </c>
      <c r="W1874" s="1634"/>
    </row>
    <row r="1875" spans="6:23" ht="24" customHeight="1">
      <c r="H1875" s="1627" t="s">
        <v>150</v>
      </c>
      <c r="I1875" s="1627" t="s">
        <v>150</v>
      </c>
      <c r="K1875" s="1636" t="s">
        <v>156</v>
      </c>
      <c r="N1875" s="1638" t="s">
        <v>524</v>
      </c>
      <c r="O1875" s="1627" t="s">
        <v>5189</v>
      </c>
      <c r="Q1875" s="1632"/>
      <c r="W1875" s="1634"/>
    </row>
    <row r="1876" spans="6:23" ht="24" customHeight="1">
      <c r="G1876" s="1638" t="s">
        <v>520</v>
      </c>
      <c r="H1876" s="1627" t="s">
        <v>521</v>
      </c>
      <c r="N1876" s="1630"/>
      <c r="O1876" s="1636" t="s">
        <v>21</v>
      </c>
      <c r="Q1876" s="1632"/>
      <c r="W1876" s="1634"/>
    </row>
    <row r="1877" spans="6:23" ht="24" customHeight="1">
      <c r="H1877" s="1636" t="s">
        <v>21</v>
      </c>
      <c r="M1877" s="1640">
        <v>1</v>
      </c>
      <c r="N1877" s="1638" t="s">
        <v>303</v>
      </c>
      <c r="O1877" s="1627" t="s">
        <v>2194</v>
      </c>
      <c r="P1877" s="1640">
        <v>133.69999999999999</v>
      </c>
      <c r="Q1877" s="1627" t="s">
        <v>303</v>
      </c>
      <c r="R1877" s="1640">
        <f>(M1877*P1877)</f>
        <v>133.69999999999999</v>
      </c>
      <c r="W1877" s="1634"/>
    </row>
    <row r="1878" spans="6:23" ht="24" customHeight="1">
      <c r="F1878" s="1640">
        <v>1</v>
      </c>
      <c r="G1878" s="1638" t="s">
        <v>303</v>
      </c>
      <c r="H1878" s="1627" t="s">
        <v>522</v>
      </c>
      <c r="I1878" s="1640">
        <f>C518</f>
        <v>35</v>
      </c>
      <c r="J1878" s="1627" t="s">
        <v>303</v>
      </c>
      <c r="K1878" s="1640">
        <f>(F1878*I1878)</f>
        <v>35</v>
      </c>
      <c r="M1878" s="1640">
        <v>1</v>
      </c>
      <c r="N1878" s="1638" t="s">
        <v>226</v>
      </c>
      <c r="O1878" s="1627" t="s">
        <v>527</v>
      </c>
      <c r="P1878" s="1640">
        <f>P1877*0.2</f>
        <v>26.74</v>
      </c>
      <c r="Q1878" s="1627" t="s">
        <v>226</v>
      </c>
      <c r="R1878" s="1640">
        <f>(M1878*P1878)</f>
        <v>26.74</v>
      </c>
      <c r="W1878" s="1634"/>
    </row>
    <row r="1879" spans="6:23" ht="24" customHeight="1">
      <c r="F1879" s="1640">
        <v>1</v>
      </c>
      <c r="G1879" s="1638" t="s">
        <v>226</v>
      </c>
      <c r="H1879" s="1627" t="s">
        <v>523</v>
      </c>
      <c r="I1879" s="1640">
        <f>I1878*0.4</f>
        <v>14</v>
      </c>
      <c r="J1879" s="1627" t="s">
        <v>226</v>
      </c>
      <c r="K1879" s="1640">
        <f>(F1879*I1879)</f>
        <v>14</v>
      </c>
      <c r="M1879" s="1640">
        <v>1</v>
      </c>
      <c r="N1879" s="1638" t="s">
        <v>303</v>
      </c>
      <c r="O1879" s="1627" t="s">
        <v>518</v>
      </c>
      <c r="P1879" s="1640">
        <f>R1870</f>
        <v>247.89999999999998</v>
      </c>
      <c r="Q1879" s="1627" t="s">
        <v>303</v>
      </c>
      <c r="R1879" s="1640">
        <f>(M1879*P1879)</f>
        <v>247.89999999999998</v>
      </c>
      <c r="W1879" s="1634"/>
    </row>
    <row r="1880" spans="6:23" ht="24" customHeight="1">
      <c r="F1880" s="1640">
        <v>1</v>
      </c>
      <c r="G1880" s="1638" t="s">
        <v>303</v>
      </c>
      <c r="H1880" s="1627" t="s">
        <v>518</v>
      </c>
      <c r="I1880" s="1640">
        <f>K1836</f>
        <v>240.6333333333333</v>
      </c>
      <c r="J1880" s="1627" t="s">
        <v>303</v>
      </c>
      <c r="K1880" s="1640">
        <f>(F1880*I1880)</f>
        <v>240.6333333333333</v>
      </c>
      <c r="N1880" s="1630"/>
      <c r="P1880" s="1627" t="s">
        <v>150</v>
      </c>
      <c r="Q1880" s="1632"/>
      <c r="R1880" s="1636" t="s">
        <v>21</v>
      </c>
      <c r="W1880" s="1634"/>
    </row>
    <row r="1881" spans="6:23" ht="24" customHeight="1">
      <c r="I1881" s="1627" t="s">
        <v>150</v>
      </c>
      <c r="K1881" s="1636" t="s">
        <v>21</v>
      </c>
      <c r="N1881" s="1630"/>
      <c r="O1881" s="1627" t="s">
        <v>519</v>
      </c>
      <c r="Q1881" s="1632"/>
      <c r="R1881" s="1639">
        <f>SUM(R1877:R1879)</f>
        <v>408.34</v>
      </c>
      <c r="W1881" s="1634"/>
    </row>
    <row r="1882" spans="6:23" ht="24" customHeight="1">
      <c r="H1882" s="1627" t="s">
        <v>519</v>
      </c>
      <c r="K1882" s="1639">
        <f>SUM(K1878:K1880)</f>
        <v>289.63333333333333</v>
      </c>
      <c r="N1882" s="1630"/>
      <c r="P1882" s="1627" t="s">
        <v>150</v>
      </c>
      <c r="Q1882" s="1632"/>
      <c r="R1882" s="1636" t="s">
        <v>156</v>
      </c>
      <c r="W1882" s="1634"/>
    </row>
    <row r="1883" spans="6:23" ht="24" customHeight="1">
      <c r="I1883" s="1627" t="s">
        <v>150</v>
      </c>
      <c r="K1883" s="1636" t="s">
        <v>156</v>
      </c>
      <c r="W1883" s="1634"/>
    </row>
    <row r="1884" spans="6:23" ht="49.5" customHeight="1">
      <c r="G1884" s="1638" t="s">
        <v>524</v>
      </c>
      <c r="H1884" s="1627" t="s">
        <v>525</v>
      </c>
      <c r="W1884" s="1634"/>
    </row>
    <row r="1885" spans="6:23" ht="24" customHeight="1">
      <c r="H1885" s="1636" t="s">
        <v>21</v>
      </c>
      <c r="N1885" s="1638" t="s">
        <v>524</v>
      </c>
      <c r="O1885" s="1627" t="s">
        <v>1119</v>
      </c>
      <c r="Q1885" s="1632"/>
      <c r="R1885" s="1627" t="s">
        <v>2195</v>
      </c>
      <c r="W1885" s="1634"/>
    </row>
    <row r="1886" spans="6:23" ht="24" customHeight="1">
      <c r="F1886" s="1640">
        <v>1</v>
      </c>
      <c r="G1886" s="1638" t="s">
        <v>303</v>
      </c>
      <c r="H1886" s="1627" t="s">
        <v>526</v>
      </c>
      <c r="I1886" s="1640">
        <v>52</v>
      </c>
      <c r="J1886" s="1627" t="s">
        <v>303</v>
      </c>
      <c r="K1886" s="1640">
        <f>(F1886*I1886)</f>
        <v>52</v>
      </c>
      <c r="N1886" s="1630"/>
      <c r="O1886" s="1636" t="s">
        <v>21</v>
      </c>
      <c r="Q1886" s="1632"/>
      <c r="R1886" s="1636" t="s">
        <v>156</v>
      </c>
      <c r="W1886" s="1634"/>
    </row>
    <row r="1887" spans="6:23" ht="24" customHeight="1">
      <c r="F1887" s="1640">
        <v>1</v>
      </c>
      <c r="G1887" s="1638" t="s">
        <v>226</v>
      </c>
      <c r="H1887" s="1627" t="s">
        <v>527</v>
      </c>
      <c r="I1887" s="1640">
        <f>I1886*0.2</f>
        <v>10.4</v>
      </c>
      <c r="J1887" s="1627" t="s">
        <v>226</v>
      </c>
      <c r="K1887" s="1640">
        <f>(F1887*I1887)</f>
        <v>10.4</v>
      </c>
      <c r="M1887" s="1640">
        <v>30</v>
      </c>
      <c r="N1887" s="1638" t="s">
        <v>552</v>
      </c>
      <c r="O1887" s="1627" t="s">
        <v>5190</v>
      </c>
      <c r="P1887" s="1640">
        <v>18.899999999999999</v>
      </c>
      <c r="Q1887" s="1627" t="s">
        <v>552</v>
      </c>
      <c r="R1887" s="1640">
        <f>(M1887*P1887)</f>
        <v>567</v>
      </c>
      <c r="W1887" s="1634"/>
    </row>
    <row r="1888" spans="6:23" ht="24" customHeight="1">
      <c r="F1888" s="1640">
        <v>1</v>
      </c>
      <c r="G1888" s="1638" t="s">
        <v>303</v>
      </c>
      <c r="H1888" s="1627" t="s">
        <v>518</v>
      </c>
      <c r="I1888" s="1640">
        <f>K1854</f>
        <v>244.84199999999998</v>
      </c>
      <c r="J1888" s="1627" t="s">
        <v>303</v>
      </c>
      <c r="K1888" s="1640">
        <f>(F1888*I1888)</f>
        <v>244.84199999999998</v>
      </c>
      <c r="M1888" s="1627" t="s">
        <v>150</v>
      </c>
      <c r="N1888" s="1630"/>
      <c r="O1888" s="1627" t="s">
        <v>5675</v>
      </c>
      <c r="P1888" s="1640" t="str">
        <f t="shared" ref="P1888:P1896" si="226">P1857</f>
        <v/>
      </c>
      <c r="Q1888" s="1632"/>
      <c r="R1888" s="1627" t="s">
        <v>150</v>
      </c>
      <c r="W1888" s="1634"/>
    </row>
    <row r="1889" spans="6:23" ht="24" customHeight="1">
      <c r="I1889" s="1627" t="s">
        <v>150</v>
      </c>
      <c r="K1889" s="1636" t="s">
        <v>21</v>
      </c>
      <c r="M1889" s="1640">
        <v>8</v>
      </c>
      <c r="N1889" s="1638" t="s">
        <v>153</v>
      </c>
      <c r="O1889" s="1627" t="s">
        <v>5191</v>
      </c>
      <c r="P1889" s="1640">
        <f>C47</f>
        <v>17.350000000000001</v>
      </c>
      <c r="Q1889" s="1627" t="s">
        <v>153</v>
      </c>
      <c r="R1889" s="1640">
        <f t="shared" ref="R1889:R1894" si="227">(M1889*P1889)</f>
        <v>138.80000000000001</v>
      </c>
      <c r="W1889" s="1634"/>
    </row>
    <row r="1890" spans="6:23" ht="24" customHeight="1">
      <c r="H1890" s="1627" t="s">
        <v>519</v>
      </c>
      <c r="K1890" s="1639">
        <f>SUM(K1886:K1888)</f>
        <v>307.24199999999996</v>
      </c>
      <c r="M1890" s="1640">
        <v>8</v>
      </c>
      <c r="N1890" s="1638" t="s">
        <v>153</v>
      </c>
      <c r="O1890" s="1627" t="s">
        <v>5192</v>
      </c>
      <c r="P1890" s="1640">
        <f>C54</f>
        <v>40.450000000000003</v>
      </c>
      <c r="Q1890" s="1627" t="s">
        <v>153</v>
      </c>
      <c r="R1890" s="1640">
        <f t="shared" si="227"/>
        <v>323.60000000000002</v>
      </c>
      <c r="W1890" s="1634"/>
    </row>
    <row r="1891" spans="6:23" ht="36.75" customHeight="1">
      <c r="I1891" s="1627" t="s">
        <v>150</v>
      </c>
      <c r="K1891" s="1636" t="s">
        <v>156</v>
      </c>
      <c r="M1891" s="1640">
        <v>3</v>
      </c>
      <c r="N1891" s="1638" t="s">
        <v>153</v>
      </c>
      <c r="O1891" s="1627" t="s">
        <v>1133</v>
      </c>
      <c r="P1891" s="1640">
        <f t="shared" si="226"/>
        <v>979.99999999999989</v>
      </c>
      <c r="Q1891" s="1627" t="s">
        <v>153</v>
      </c>
      <c r="R1891" s="1640">
        <f t="shared" si="227"/>
        <v>2939.9999999999995</v>
      </c>
      <c r="W1891" s="1634"/>
    </row>
    <row r="1892" spans="6:23" ht="24" customHeight="1">
      <c r="I1892" s="1627"/>
      <c r="K1892" s="1636"/>
      <c r="M1892" s="1640">
        <v>1</v>
      </c>
      <c r="N1892" s="1638" t="s">
        <v>153</v>
      </c>
      <c r="O1892" s="1627" t="s">
        <v>2177</v>
      </c>
      <c r="P1892" s="1640">
        <f t="shared" si="226"/>
        <v>1325.8</v>
      </c>
      <c r="Q1892" s="1627" t="s">
        <v>153</v>
      </c>
      <c r="R1892" s="1640">
        <f t="shared" si="227"/>
        <v>1325.8</v>
      </c>
      <c r="W1892" s="1634"/>
    </row>
    <row r="1893" spans="6:23" ht="24" customHeight="1">
      <c r="G1893" s="1638" t="s">
        <v>524</v>
      </c>
      <c r="H1893" s="1627" t="s">
        <v>2198</v>
      </c>
      <c r="M1893" s="1640">
        <v>2</v>
      </c>
      <c r="N1893" s="1638" t="s">
        <v>153</v>
      </c>
      <c r="O1893" s="1627" t="s">
        <v>235</v>
      </c>
      <c r="P1893" s="1640">
        <f t="shared" si="226"/>
        <v>865.19999999999993</v>
      </c>
      <c r="Q1893" s="1627" t="s">
        <v>153</v>
      </c>
      <c r="R1893" s="1640">
        <f t="shared" si="227"/>
        <v>1730.3999999999999</v>
      </c>
      <c r="W1893" s="1634"/>
    </row>
    <row r="1894" spans="6:23" ht="24" customHeight="1">
      <c r="H1894" s="1636" t="s">
        <v>21</v>
      </c>
      <c r="M1894" s="1640">
        <v>1</v>
      </c>
      <c r="N1894" s="1638" t="s">
        <v>153</v>
      </c>
      <c r="O1894" s="1627" t="s">
        <v>236</v>
      </c>
      <c r="P1894" s="1640">
        <f t="shared" si="226"/>
        <v>709.8</v>
      </c>
      <c r="Q1894" s="1627" t="s">
        <v>153</v>
      </c>
      <c r="R1894" s="1640">
        <f t="shared" si="227"/>
        <v>709.8</v>
      </c>
      <c r="W1894" s="1634"/>
    </row>
    <row r="1895" spans="6:23" ht="24" customHeight="1">
      <c r="F1895" s="1640">
        <v>1</v>
      </c>
      <c r="G1895" s="1638" t="s">
        <v>303</v>
      </c>
      <c r="H1895" s="1627" t="s">
        <v>2199</v>
      </c>
      <c r="I1895" s="1640">
        <f>C521</f>
        <v>82</v>
      </c>
      <c r="J1895" s="1627" t="s">
        <v>303</v>
      </c>
      <c r="K1895" s="1640">
        <f>(F1895*I1895)</f>
        <v>82</v>
      </c>
      <c r="N1895" s="1638" t="s">
        <v>226</v>
      </c>
      <c r="O1895" s="1627" t="s">
        <v>2178</v>
      </c>
      <c r="P1895" s="1640">
        <f t="shared" si="226"/>
        <v>5.26</v>
      </c>
      <c r="Q1895" s="1627" t="s">
        <v>226</v>
      </c>
      <c r="R1895" s="1640">
        <v>5</v>
      </c>
      <c r="W1895" s="1634"/>
    </row>
    <row r="1896" spans="6:23" ht="24" customHeight="1">
      <c r="F1896" s="1640">
        <v>1</v>
      </c>
      <c r="G1896" s="1638" t="s">
        <v>226</v>
      </c>
      <c r="H1896" s="1627" t="s">
        <v>527</v>
      </c>
      <c r="I1896" s="1640">
        <f>I1895*0.2</f>
        <v>16.400000000000002</v>
      </c>
      <c r="J1896" s="1627" t="s">
        <v>226</v>
      </c>
      <c r="K1896" s="1640">
        <f>(F1896*I1896)</f>
        <v>16.400000000000002</v>
      </c>
      <c r="N1896" s="1630"/>
      <c r="O1896" s="1627" t="s">
        <v>2179</v>
      </c>
      <c r="P1896" s="1640" t="str">
        <f t="shared" si="226"/>
        <v/>
      </c>
      <c r="Q1896" s="1632"/>
      <c r="R1896" s="1627" t="s">
        <v>150</v>
      </c>
      <c r="W1896" s="1634"/>
    </row>
    <row r="1897" spans="6:23" ht="24" customHeight="1">
      <c r="F1897" s="1640">
        <v>1</v>
      </c>
      <c r="G1897" s="1638" t="s">
        <v>303</v>
      </c>
      <c r="H1897" s="1627" t="s">
        <v>518</v>
      </c>
      <c r="I1897" s="1640">
        <f>I1888</f>
        <v>244.84199999999998</v>
      </c>
      <c r="J1897" s="1627" t="s">
        <v>303</v>
      </c>
      <c r="K1897" s="1640">
        <f>(F1897*I1897)</f>
        <v>244.84199999999998</v>
      </c>
      <c r="N1897" s="1638" t="s">
        <v>226</v>
      </c>
      <c r="O1897" s="1627" t="s">
        <v>237</v>
      </c>
      <c r="P1897" s="1640" t="str">
        <f>I1881</f>
        <v/>
      </c>
      <c r="Q1897" s="1627" t="s">
        <v>226</v>
      </c>
      <c r="R1897" s="1640">
        <v>0</v>
      </c>
      <c r="W1897" s="1634"/>
    </row>
    <row r="1898" spans="6:23" ht="24" customHeight="1">
      <c r="I1898" s="1627" t="s">
        <v>150</v>
      </c>
      <c r="K1898" s="1636" t="s">
        <v>21</v>
      </c>
      <c r="N1898" s="1630"/>
      <c r="Q1898" s="1632"/>
      <c r="R1898" s="1636" t="s">
        <v>21</v>
      </c>
      <c r="W1898" s="1634"/>
    </row>
    <row r="1899" spans="6:23" ht="24" customHeight="1">
      <c r="H1899" s="1627" t="s">
        <v>519</v>
      </c>
      <c r="K1899" s="1639">
        <f>SUM(K1895:K1897)</f>
        <v>343.24199999999996</v>
      </c>
      <c r="N1899" s="1630"/>
      <c r="O1899" s="1627" t="s">
        <v>1139</v>
      </c>
      <c r="Q1899" s="1632"/>
      <c r="R1899" s="1640">
        <f>SUM(R1887:R1897)</f>
        <v>7740.4</v>
      </c>
      <c r="W1899" s="1634"/>
    </row>
    <row r="1900" spans="6:23" ht="24" customHeight="1">
      <c r="I1900" s="1627" t="s">
        <v>150</v>
      </c>
      <c r="K1900" s="1636" t="s">
        <v>156</v>
      </c>
      <c r="N1900" s="1630"/>
      <c r="Q1900" s="1632"/>
      <c r="R1900" s="1636" t="s">
        <v>21</v>
      </c>
      <c r="W1900" s="1634"/>
    </row>
    <row r="1901" spans="6:23" ht="24" customHeight="1">
      <c r="I1901" s="1627"/>
      <c r="K1901" s="1636"/>
      <c r="N1901" s="1630"/>
      <c r="O1901" s="1627" t="s">
        <v>562</v>
      </c>
      <c r="Q1901" s="1632"/>
      <c r="R1901" s="1640">
        <f>(R1899/30)</f>
        <v>258.01333333333332</v>
      </c>
      <c r="W1901" s="1634"/>
    </row>
    <row r="1902" spans="6:23" ht="39" customHeight="1">
      <c r="F1902" s="1689">
        <v>52.1</v>
      </c>
      <c r="H1902" s="1778" t="s">
        <v>2200</v>
      </c>
      <c r="I1902" s="1627"/>
      <c r="K1902" s="1636"/>
      <c r="N1902" s="1630"/>
      <c r="Q1902" s="1632"/>
      <c r="R1902" s="1636" t="s">
        <v>21</v>
      </c>
      <c r="W1902" s="1634"/>
    </row>
    <row r="1903" spans="6:23" ht="24" customHeight="1">
      <c r="I1903" s="1627"/>
      <c r="K1903" s="1636"/>
      <c r="W1903" s="1634"/>
    </row>
    <row r="1904" spans="6:23" ht="24" customHeight="1">
      <c r="F1904" s="1628"/>
      <c r="G1904" s="1638"/>
      <c r="H1904" s="1627" t="s">
        <v>1053</v>
      </c>
      <c r="I1904" s="1627"/>
      <c r="K1904" s="1636"/>
      <c r="W1904" s="1634"/>
    </row>
    <row r="1905" spans="6:23" ht="24" customHeight="1">
      <c r="G1905" s="1638"/>
      <c r="H1905" s="1627" t="s">
        <v>2201</v>
      </c>
      <c r="I1905" s="1627"/>
      <c r="K1905" s="1636"/>
      <c r="W1905" s="1634"/>
    </row>
    <row r="1906" spans="6:23" ht="24" customHeight="1">
      <c r="H1906" s="1636" t="s">
        <v>21</v>
      </c>
      <c r="I1906" s="1627"/>
      <c r="K1906" s="1636"/>
      <c r="N1906" s="1638" t="s">
        <v>524</v>
      </c>
      <c r="O1906" s="1627" t="s">
        <v>2198</v>
      </c>
      <c r="Q1906" s="1632"/>
      <c r="W1906" s="1634"/>
    </row>
    <row r="1907" spans="6:23" ht="24" customHeight="1">
      <c r="F1907" s="1640">
        <v>30</v>
      </c>
      <c r="G1907" s="1638" t="s">
        <v>552</v>
      </c>
      <c r="H1907" s="1627" t="s">
        <v>2202</v>
      </c>
      <c r="I1907" s="1656">
        <f>E661</f>
        <v>17.3</v>
      </c>
      <c r="J1907" s="1627" t="s">
        <v>552</v>
      </c>
      <c r="K1907" s="1640">
        <f>(F1907*I1907)</f>
        <v>519</v>
      </c>
      <c r="N1907" s="1630"/>
      <c r="O1907" s="1636" t="s">
        <v>21</v>
      </c>
      <c r="Q1907" s="1632"/>
      <c r="W1907" s="1634"/>
    </row>
    <row r="1908" spans="6:23" ht="24" customHeight="1">
      <c r="F1908" s="1640">
        <v>8</v>
      </c>
      <c r="G1908" s="1638" t="s">
        <v>153</v>
      </c>
      <c r="H1908" s="1627" t="s">
        <v>1069</v>
      </c>
      <c r="I1908" s="1656">
        <f>C663</f>
        <v>8.9</v>
      </c>
      <c r="J1908" s="1627" t="s">
        <v>153</v>
      </c>
      <c r="K1908" s="1640">
        <f t="shared" ref="K1908:K1913" si="228">(F1908*I1908)</f>
        <v>71.2</v>
      </c>
      <c r="M1908" s="1640">
        <v>1</v>
      </c>
      <c r="N1908" s="1638" t="s">
        <v>303</v>
      </c>
      <c r="O1908" s="1627" t="s">
        <v>2203</v>
      </c>
      <c r="P1908" s="1640">
        <v>101.4</v>
      </c>
      <c r="Q1908" s="1627" t="s">
        <v>303</v>
      </c>
      <c r="R1908" s="1640">
        <f>(M1908*P1908)</f>
        <v>101.4</v>
      </c>
      <c r="W1908" s="1634"/>
    </row>
    <row r="1909" spans="6:23" ht="24" customHeight="1">
      <c r="F1909" s="1640">
        <v>8</v>
      </c>
      <c r="G1909" s="1638" t="s">
        <v>153</v>
      </c>
      <c r="H1909" s="1627" t="s">
        <v>1072</v>
      </c>
      <c r="I1909" s="1656">
        <f>D672</f>
        <v>12.85</v>
      </c>
      <c r="J1909" s="1627" t="s">
        <v>153</v>
      </c>
      <c r="K1909" s="1640">
        <f t="shared" si="228"/>
        <v>102.8</v>
      </c>
      <c r="M1909" s="1640">
        <v>1</v>
      </c>
      <c r="N1909" s="1638" t="s">
        <v>226</v>
      </c>
      <c r="O1909" s="1627" t="s">
        <v>527</v>
      </c>
      <c r="P1909" s="1640">
        <f>P1908*0.2</f>
        <v>20.28</v>
      </c>
      <c r="Q1909" s="1627" t="s">
        <v>226</v>
      </c>
      <c r="R1909" s="1640">
        <f>(M1909*P1909)</f>
        <v>20.28</v>
      </c>
      <c r="W1909" s="1634"/>
    </row>
    <row r="1910" spans="6:23" ht="24" customHeight="1">
      <c r="F1910" s="1640">
        <v>3</v>
      </c>
      <c r="G1910" s="1638" t="s">
        <v>153</v>
      </c>
      <c r="H1910" s="1627" t="s">
        <v>1133</v>
      </c>
      <c r="I1910" s="1656">
        <f>C41</f>
        <v>979.99999999999989</v>
      </c>
      <c r="J1910" s="1627" t="s">
        <v>153</v>
      </c>
      <c r="K1910" s="1640">
        <f t="shared" si="228"/>
        <v>2939.9999999999995</v>
      </c>
      <c r="M1910" s="1640">
        <v>1</v>
      </c>
      <c r="N1910" s="1638" t="s">
        <v>303</v>
      </c>
      <c r="O1910" s="1627" t="s">
        <v>518</v>
      </c>
      <c r="P1910" s="1640">
        <f>R1901</f>
        <v>258.01333333333332</v>
      </c>
      <c r="Q1910" s="1627" t="s">
        <v>303</v>
      </c>
      <c r="R1910" s="1640">
        <f>(M1910*P1910)</f>
        <v>258.01333333333332</v>
      </c>
      <c r="W1910" s="1634"/>
    </row>
    <row r="1911" spans="6:23" ht="24" customHeight="1">
      <c r="F1911" s="1640">
        <v>1</v>
      </c>
      <c r="G1911" s="1638" t="s">
        <v>153</v>
      </c>
      <c r="H1911" s="1627" t="s">
        <v>2177</v>
      </c>
      <c r="I1911" s="1656">
        <f>C10</f>
        <v>1325.8</v>
      </c>
      <c r="J1911" s="1627" t="s">
        <v>153</v>
      </c>
      <c r="K1911" s="1640">
        <f t="shared" si="228"/>
        <v>1325.8</v>
      </c>
      <c r="N1911" s="1630"/>
      <c r="P1911" s="1627" t="s">
        <v>150</v>
      </c>
      <c r="Q1911" s="1632"/>
      <c r="R1911" s="1636" t="s">
        <v>21</v>
      </c>
      <c r="W1911" s="1634"/>
    </row>
    <row r="1912" spans="6:23" ht="24" customHeight="1">
      <c r="F1912" s="1640">
        <v>2</v>
      </c>
      <c r="G1912" s="1638" t="s">
        <v>153</v>
      </c>
      <c r="H1912" s="1627" t="s">
        <v>235</v>
      </c>
      <c r="I1912" s="1656">
        <f>C12</f>
        <v>865.19999999999993</v>
      </c>
      <c r="J1912" s="1627" t="s">
        <v>153</v>
      </c>
      <c r="K1912" s="1640">
        <f t="shared" si="228"/>
        <v>1730.3999999999999</v>
      </c>
      <c r="N1912" s="1630"/>
      <c r="O1912" s="1627" t="s">
        <v>519</v>
      </c>
      <c r="Q1912" s="1632"/>
      <c r="R1912" s="1639">
        <f>SUM(R1908:R1910)</f>
        <v>379.69333333333333</v>
      </c>
      <c r="W1912" s="1634"/>
    </row>
    <row r="1913" spans="6:23" ht="24" customHeight="1">
      <c r="F1913" s="1640">
        <v>1</v>
      </c>
      <c r="G1913" s="1638" t="s">
        <v>153</v>
      </c>
      <c r="H1913" s="1627" t="s">
        <v>236</v>
      </c>
      <c r="I1913" s="1656">
        <f>C13</f>
        <v>709.8</v>
      </c>
      <c r="J1913" s="1627" t="s">
        <v>153</v>
      </c>
      <c r="K1913" s="1640">
        <f t="shared" si="228"/>
        <v>709.8</v>
      </c>
      <c r="N1913" s="1630"/>
      <c r="P1913" s="1627" t="s">
        <v>150</v>
      </c>
      <c r="Q1913" s="1632"/>
      <c r="R1913" s="1636" t="s">
        <v>156</v>
      </c>
      <c r="W1913" s="1634"/>
    </row>
    <row r="1914" spans="6:23" ht="24" customHeight="1">
      <c r="K1914" s="1636" t="s">
        <v>21</v>
      </c>
      <c r="W1914" s="1634"/>
    </row>
    <row r="1915" spans="6:23" ht="24" customHeight="1">
      <c r="H1915" s="1627" t="s">
        <v>1139</v>
      </c>
      <c r="K1915" s="1640">
        <f>SUM(K1907:K1913)</f>
        <v>7398.9999999999991</v>
      </c>
      <c r="W1915" s="1634"/>
    </row>
    <row r="1916" spans="6:23" ht="24" customHeight="1">
      <c r="K1916" s="1636" t="s">
        <v>21</v>
      </c>
      <c r="W1916" s="1634"/>
    </row>
    <row r="1917" spans="6:23" ht="24" customHeight="1">
      <c r="H1917" s="1627" t="s">
        <v>562</v>
      </c>
      <c r="K1917" s="1640">
        <f>(K1915/30)</f>
        <v>246.6333333333333</v>
      </c>
      <c r="W1917" s="1634"/>
    </row>
    <row r="1918" spans="6:23" ht="24" customHeight="1">
      <c r="K1918" s="1636" t="s">
        <v>21</v>
      </c>
      <c r="W1918" s="1634"/>
    </row>
    <row r="1919" spans="6:23" ht="24" customHeight="1">
      <c r="I1919" s="1627"/>
      <c r="K1919" s="1636"/>
      <c r="W1919" s="1634"/>
    </row>
    <row r="1920" spans="6:23" ht="24" customHeight="1">
      <c r="H1920" s="1629" t="s">
        <v>2204</v>
      </c>
      <c r="I1920" s="1627"/>
      <c r="K1920" s="1636"/>
      <c r="W1920" s="1634"/>
    </row>
    <row r="1921" spans="6:23" ht="24" customHeight="1">
      <c r="H1921" s="1636" t="s">
        <v>21</v>
      </c>
      <c r="I1921" s="1627"/>
      <c r="K1921" s="1636"/>
      <c r="W1921" s="1634"/>
    </row>
    <row r="1922" spans="6:23" ht="24" customHeight="1">
      <c r="F1922" s="1640">
        <v>1</v>
      </c>
      <c r="G1922" s="1638" t="s">
        <v>303</v>
      </c>
      <c r="H1922" s="1627" t="s">
        <v>2205</v>
      </c>
      <c r="I1922" s="1656">
        <f>E698</f>
        <v>98.6</v>
      </c>
      <c r="J1922" s="1627" t="s">
        <v>303</v>
      </c>
      <c r="K1922" s="1640">
        <f>(F1922*I1922)</f>
        <v>98.6</v>
      </c>
      <c r="W1922" s="1634"/>
    </row>
    <row r="1923" spans="6:23" ht="24" customHeight="1">
      <c r="F1923" s="1640">
        <v>1</v>
      </c>
      <c r="G1923" s="1638" t="s">
        <v>226</v>
      </c>
      <c r="H1923" s="1627" t="s">
        <v>2206</v>
      </c>
      <c r="I1923" s="1656">
        <f>I1922*0.2</f>
        <v>19.72</v>
      </c>
      <c r="J1923" s="1627" t="s">
        <v>226</v>
      </c>
      <c r="K1923" s="1640">
        <f>(F1923*I1923)</f>
        <v>19.72</v>
      </c>
      <c r="W1923" s="1634"/>
    </row>
    <row r="1924" spans="6:23" ht="24" customHeight="1">
      <c r="F1924" s="1640">
        <v>1</v>
      </c>
      <c r="G1924" s="1638" t="s">
        <v>303</v>
      </c>
      <c r="H1924" s="1627" t="s">
        <v>518</v>
      </c>
      <c r="I1924" s="1656">
        <f>K1917</f>
        <v>246.6333333333333</v>
      </c>
      <c r="J1924" s="1627" t="s">
        <v>303</v>
      </c>
      <c r="K1924" s="1640">
        <f>(F1924*I1924)</f>
        <v>246.6333333333333</v>
      </c>
      <c r="W1924" s="1634"/>
    </row>
    <row r="1925" spans="6:23" ht="24" customHeight="1">
      <c r="F1925" s="1640"/>
      <c r="G1925" s="1638"/>
      <c r="H1925" s="1680" t="s">
        <v>2207</v>
      </c>
      <c r="I1925" s="1656"/>
      <c r="J1925" s="1627" t="s">
        <v>226</v>
      </c>
      <c r="K1925" s="1640">
        <f>1.25+0.47</f>
        <v>1.72</v>
      </c>
      <c r="W1925" s="1634"/>
    </row>
    <row r="1926" spans="6:23" ht="24" customHeight="1">
      <c r="I1926" s="1627"/>
      <c r="K1926" s="1636" t="s">
        <v>21</v>
      </c>
      <c r="W1926" s="1634"/>
    </row>
    <row r="1927" spans="6:23" ht="24" customHeight="1">
      <c r="H1927" s="1627" t="s">
        <v>519</v>
      </c>
      <c r="I1927" s="1627"/>
      <c r="K1927" s="1639">
        <f>SUM(K1922:K1925)</f>
        <v>366.67333333333329</v>
      </c>
      <c r="W1927" s="1634"/>
    </row>
    <row r="1928" spans="6:23" ht="24" customHeight="1">
      <c r="I1928" s="1627"/>
      <c r="K1928" s="1636" t="s">
        <v>156</v>
      </c>
      <c r="W1928" s="1634"/>
    </row>
    <row r="1929" spans="6:23" ht="24" customHeight="1">
      <c r="I1929" s="1627"/>
      <c r="K1929" s="1636"/>
      <c r="W1929" s="1634"/>
    </row>
    <row r="1930" spans="6:23" ht="24" customHeight="1">
      <c r="I1930" s="1627"/>
      <c r="K1930" s="1636"/>
      <c r="W1930" s="1634"/>
    </row>
    <row r="1931" spans="6:23" ht="24" customHeight="1">
      <c r="F1931" s="1662">
        <v>53.1</v>
      </c>
      <c r="G1931" s="1638" t="s">
        <v>249</v>
      </c>
      <c r="H1931" s="1627" t="s">
        <v>2208</v>
      </c>
      <c r="W1931" s="1634"/>
    </row>
    <row r="1932" spans="6:23" ht="24" customHeight="1">
      <c r="H1932" s="1631" t="s">
        <v>5676</v>
      </c>
      <c r="W1932" s="1634"/>
    </row>
    <row r="1933" spans="6:23" ht="24" customHeight="1">
      <c r="H1933" s="1627" t="s">
        <v>2210</v>
      </c>
      <c r="W1933" s="1634"/>
    </row>
    <row r="1934" spans="6:23" ht="24" customHeight="1">
      <c r="H1934" s="1627" t="s">
        <v>2211</v>
      </c>
      <c r="W1934" s="1634"/>
    </row>
    <row r="1935" spans="6:23" ht="24" customHeight="1">
      <c r="H1935" s="1636" t="s">
        <v>21</v>
      </c>
      <c r="W1935" s="1634"/>
    </row>
    <row r="1936" spans="6:23" ht="85.5" customHeight="1">
      <c r="F1936" s="1779">
        <v>1</v>
      </c>
      <c r="G1936" s="1779" t="s">
        <v>153</v>
      </c>
      <c r="H1936" s="1680" t="s">
        <v>2212</v>
      </c>
      <c r="I1936" s="1779">
        <v>1672</v>
      </c>
      <c r="J1936" s="1780" t="s">
        <v>153</v>
      </c>
      <c r="K1936" s="1779">
        <f>(F1936*I1936)</f>
        <v>1672</v>
      </c>
      <c r="W1936" s="1634"/>
    </row>
    <row r="1937" spans="6:23" ht="24" customHeight="1">
      <c r="F1937" s="1640"/>
      <c r="G1937" s="1638"/>
      <c r="H1937" s="1627"/>
      <c r="I1937" s="1640"/>
      <c r="J1937" s="1627"/>
      <c r="K1937" s="1640"/>
      <c r="W1937" s="1634"/>
    </row>
    <row r="1938" spans="6:23" ht="24" customHeight="1">
      <c r="F1938" s="1640"/>
      <c r="G1938" s="1638"/>
      <c r="H1938" s="1627"/>
      <c r="I1938" s="1640"/>
      <c r="J1938" s="1628"/>
      <c r="K1938" s="1640"/>
      <c r="W1938" s="1634"/>
    </row>
    <row r="1939" spans="6:23" ht="24" customHeight="1">
      <c r="F1939" s="1779">
        <v>1</v>
      </c>
      <c r="G1939" s="1779" t="s">
        <v>153</v>
      </c>
      <c r="H1939" s="1627" t="s">
        <v>5677</v>
      </c>
      <c r="I1939" s="1781">
        <v>-169</v>
      </c>
      <c r="J1939" s="1627" t="s">
        <v>153</v>
      </c>
      <c r="K1939" s="1779">
        <f>(F1939*I1939)</f>
        <v>-169</v>
      </c>
      <c r="W1939" s="1634"/>
    </row>
    <row r="1940" spans="6:23" ht="24" customHeight="1">
      <c r="F1940" s="1640"/>
      <c r="G1940" s="1638"/>
      <c r="H1940" s="1627"/>
      <c r="I1940" s="1640"/>
      <c r="J1940" s="1628"/>
      <c r="K1940" s="1640"/>
      <c r="W1940" s="1634"/>
    </row>
    <row r="1941" spans="6:23" ht="24" customHeight="1">
      <c r="F1941" s="1640">
        <v>1</v>
      </c>
      <c r="G1941" s="1638" t="s">
        <v>153</v>
      </c>
      <c r="H1941" s="1627" t="s">
        <v>2214</v>
      </c>
      <c r="I1941" s="1651">
        <v>250</v>
      </c>
      <c r="J1941" s="1627" t="s">
        <v>153</v>
      </c>
      <c r="K1941" s="1782">
        <f>(F1941*I1941)</f>
        <v>250</v>
      </c>
      <c r="W1941" s="1634"/>
    </row>
    <row r="1942" spans="6:23" ht="24" customHeight="1">
      <c r="F1942" s="1640"/>
      <c r="G1942" s="1638"/>
      <c r="H1942" s="1627"/>
      <c r="I1942" s="1640"/>
      <c r="J1942" s="1627"/>
      <c r="K1942" s="1640"/>
      <c r="W1942" s="1634"/>
    </row>
    <row r="1943" spans="6:23" ht="24" customHeight="1">
      <c r="F1943" s="1640">
        <v>0.5</v>
      </c>
      <c r="G1943" s="1638" t="s">
        <v>153</v>
      </c>
      <c r="H1943" s="1627" t="s">
        <v>558</v>
      </c>
      <c r="I1943" s="1640">
        <f>(C15)</f>
        <v>1149.3999999999999</v>
      </c>
      <c r="J1943" s="1627" t="s">
        <v>153</v>
      </c>
      <c r="K1943" s="1640">
        <f>(F1943*I1943)</f>
        <v>574.69999999999993</v>
      </c>
      <c r="N1943" s="1629">
        <f>7635</f>
        <v>7635</v>
      </c>
      <c r="W1943" s="1634"/>
    </row>
    <row r="1944" spans="6:23" ht="24" customHeight="1">
      <c r="F1944" s="1640">
        <v>1</v>
      </c>
      <c r="G1944" s="1638" t="s">
        <v>153</v>
      </c>
      <c r="H1944" s="1627" t="s">
        <v>235</v>
      </c>
      <c r="I1944" s="1640">
        <f>(C12)</f>
        <v>865.19999999999993</v>
      </c>
      <c r="J1944" s="1627" t="s">
        <v>153</v>
      </c>
      <c r="K1944" s="1640">
        <f>(F1944*I1944)</f>
        <v>865.19999999999993</v>
      </c>
      <c r="N1944" s="1629">
        <f>N1943*4%</f>
        <v>305.40000000000003</v>
      </c>
      <c r="W1944" s="1634"/>
    </row>
    <row r="1945" spans="6:23" ht="24" customHeight="1">
      <c r="F1945" s="1640">
        <v>0.5</v>
      </c>
      <c r="G1945" s="1638" t="s">
        <v>153</v>
      </c>
      <c r="H1945" s="1627" t="s">
        <v>269</v>
      </c>
      <c r="I1945" s="1640">
        <f>(C10)</f>
        <v>1325.8</v>
      </c>
      <c r="J1945" s="1627" t="s">
        <v>153</v>
      </c>
      <c r="K1945" s="1640">
        <f>(F1945*I1945)</f>
        <v>662.9</v>
      </c>
      <c r="N1945" s="1629">
        <f>SUM(N1943:N1944)</f>
        <v>7940.4</v>
      </c>
      <c r="W1945" s="1634"/>
    </row>
    <row r="1946" spans="6:23" ht="24" customHeight="1">
      <c r="G1946" s="1638" t="s">
        <v>226</v>
      </c>
      <c r="H1946" s="1627" t="s">
        <v>2215</v>
      </c>
      <c r="J1946" s="1627" t="s">
        <v>226</v>
      </c>
      <c r="K1946" s="1640">
        <v>0.82</v>
      </c>
      <c r="W1946" s="1634"/>
    </row>
    <row r="1947" spans="6:23" ht="24" customHeight="1">
      <c r="K1947" s="1636" t="s">
        <v>21</v>
      </c>
      <c r="W1947" s="1634"/>
    </row>
    <row r="1948" spans="6:23" ht="24" customHeight="1">
      <c r="H1948" s="1627" t="s">
        <v>1233</v>
      </c>
      <c r="K1948" s="1640">
        <f>SUM(K1936:K1946)</f>
        <v>3856.62</v>
      </c>
      <c r="W1948" s="1634"/>
    </row>
    <row r="1949" spans="6:23" ht="24" customHeight="1">
      <c r="K1949" s="1636" t="s">
        <v>21</v>
      </c>
      <c r="W1949" s="1634"/>
    </row>
    <row r="1950" spans="6:23" ht="24" customHeight="1">
      <c r="F1950" s="1628" t="s">
        <v>2216</v>
      </c>
      <c r="H1950" s="1627" t="s">
        <v>2217</v>
      </c>
      <c r="J1950" s="1627" t="s">
        <v>340</v>
      </c>
      <c r="K1950" s="1700">
        <v>967.5</v>
      </c>
      <c r="V1950" s="1627" t="s">
        <v>2176</v>
      </c>
      <c r="W1950" s="1634"/>
    </row>
    <row r="1951" spans="6:23" ht="24" customHeight="1">
      <c r="H1951" s="1627" t="s">
        <v>5678</v>
      </c>
      <c r="J1951" s="1627" t="s">
        <v>340</v>
      </c>
      <c r="K1951" s="1700">
        <v>1864</v>
      </c>
      <c r="W1951" s="1634"/>
    </row>
    <row r="1952" spans="6:23" ht="24" customHeight="1">
      <c r="F1952" s="1628" t="s">
        <v>2219</v>
      </c>
      <c r="H1952" s="1627" t="s">
        <v>2220</v>
      </c>
      <c r="J1952" s="1627" t="s">
        <v>340</v>
      </c>
      <c r="K1952" s="1700">
        <v>30</v>
      </c>
      <c r="W1952" s="1634"/>
    </row>
    <row r="1953" spans="6:23" ht="24" customHeight="1">
      <c r="F1953" s="1628"/>
      <c r="H1953" s="1627"/>
      <c r="K1953" s="1627"/>
      <c r="W1953" s="1634"/>
    </row>
    <row r="1954" spans="6:23" ht="24" customHeight="1">
      <c r="F1954" s="1652">
        <v>54</v>
      </c>
      <c r="G1954" s="1638" t="s">
        <v>249</v>
      </c>
      <c r="H1954" s="1627" t="s">
        <v>5193</v>
      </c>
      <c r="J1954" s="1627" t="s">
        <v>340</v>
      </c>
      <c r="K1954" s="1640">
        <v>206</v>
      </c>
      <c r="W1954" s="1634"/>
    </row>
    <row r="1955" spans="6:23" ht="24" customHeight="1">
      <c r="K1955" s="1636" t="s">
        <v>156</v>
      </c>
      <c r="W1955" s="1634"/>
    </row>
    <row r="1956" spans="6:23" ht="24" customHeight="1">
      <c r="W1956" s="1634"/>
    </row>
    <row r="1957" spans="6:23" ht="24" customHeight="1">
      <c r="F1957" s="1662">
        <v>54.1</v>
      </c>
      <c r="G1957" s="1638" t="s">
        <v>249</v>
      </c>
      <c r="H1957" s="1627" t="s">
        <v>2222</v>
      </c>
      <c r="J1957" s="1627" t="s">
        <v>340</v>
      </c>
      <c r="K1957" s="1690">
        <v>300</v>
      </c>
      <c r="W1957" s="1634"/>
    </row>
    <row r="1958" spans="6:23" ht="24" customHeight="1">
      <c r="K1958" s="1636" t="s">
        <v>156</v>
      </c>
      <c r="W1958" s="1634"/>
    </row>
    <row r="1959" spans="6:23" ht="24" customHeight="1">
      <c r="W1959" s="1634"/>
    </row>
    <row r="1960" spans="6:23" ht="24" customHeight="1">
      <c r="F1960" s="1662">
        <v>54.2</v>
      </c>
      <c r="G1960" s="1638" t="s">
        <v>249</v>
      </c>
      <c r="H1960" s="1627" t="s">
        <v>2223</v>
      </c>
      <c r="J1960" s="1627" t="s">
        <v>340</v>
      </c>
      <c r="K1960" s="1690">
        <v>250</v>
      </c>
      <c r="W1960" s="1634"/>
    </row>
    <row r="1961" spans="6:23" ht="24" customHeight="1">
      <c r="K1961" s="1636" t="s">
        <v>156</v>
      </c>
      <c r="W1961" s="1634"/>
    </row>
    <row r="1962" spans="6:23" ht="24" customHeight="1">
      <c r="W1962" s="1634"/>
    </row>
    <row r="1963" spans="6:23" ht="24" customHeight="1">
      <c r="F1963" s="1628" t="s">
        <v>2224</v>
      </c>
      <c r="G1963" s="1638" t="s">
        <v>249</v>
      </c>
      <c r="H1963" s="1627" t="s">
        <v>2225</v>
      </c>
      <c r="M1963" s="1628" t="s">
        <v>2224</v>
      </c>
      <c r="N1963" s="1638" t="s">
        <v>249</v>
      </c>
      <c r="O1963" s="1627" t="s">
        <v>2225</v>
      </c>
      <c r="Q1963" s="1632"/>
      <c r="W1963" s="1634"/>
    </row>
    <row r="1964" spans="6:23" ht="24" customHeight="1">
      <c r="H1964" s="1627" t="s">
        <v>2226</v>
      </c>
      <c r="N1964" s="1630"/>
      <c r="O1964" s="1627" t="s">
        <v>2226</v>
      </c>
      <c r="Q1964" s="1632"/>
      <c r="W1964" s="1634"/>
    </row>
    <row r="1965" spans="6:23" ht="24" customHeight="1">
      <c r="H1965" s="1627" t="s">
        <v>2227</v>
      </c>
      <c r="N1965" s="1630"/>
      <c r="O1965" s="1627" t="s">
        <v>2227</v>
      </c>
      <c r="Q1965" s="1632"/>
      <c r="W1965" s="1634"/>
    </row>
    <row r="1966" spans="6:23" ht="24" customHeight="1">
      <c r="H1966" s="1627" t="s">
        <v>2228</v>
      </c>
      <c r="N1966" s="1630"/>
      <c r="O1966" s="1627" t="s">
        <v>2228</v>
      </c>
      <c r="Q1966" s="1632"/>
      <c r="W1966" s="1634"/>
    </row>
    <row r="1967" spans="6:23" ht="24" customHeight="1">
      <c r="H1967" s="1636" t="s">
        <v>21</v>
      </c>
      <c r="N1967" s="1630"/>
      <c r="O1967" s="1636" t="s">
        <v>21</v>
      </c>
      <c r="Q1967" s="1632"/>
      <c r="W1967" s="1634"/>
    </row>
    <row r="1968" spans="6:23" ht="24" customHeight="1">
      <c r="F1968" s="1640">
        <v>1</v>
      </c>
      <c r="G1968" s="1638" t="s">
        <v>153</v>
      </c>
      <c r="H1968" s="1627" t="s">
        <v>2229</v>
      </c>
      <c r="I1968" s="1640">
        <f>(C201)</f>
        <v>1201</v>
      </c>
      <c r="J1968" s="1627" t="s">
        <v>153</v>
      </c>
      <c r="K1968" s="1640">
        <f t="shared" ref="K1968:K1974" si="229">(F1968*I1968)</f>
        <v>1201</v>
      </c>
      <c r="M1968" s="1640">
        <v>1</v>
      </c>
      <c r="N1968" s="1638" t="s">
        <v>153</v>
      </c>
      <c r="O1968" s="1627" t="s">
        <v>2229</v>
      </c>
      <c r="P1968" s="1640">
        <f>I1968</f>
        <v>1201</v>
      </c>
      <c r="Q1968" s="1627" t="s">
        <v>153</v>
      </c>
      <c r="R1968" s="1640">
        <f t="shared" ref="R1968:R1974" si="230">(M1968*P1968)</f>
        <v>1201</v>
      </c>
      <c r="W1968" s="1634"/>
    </row>
    <row r="1969" spans="6:23" ht="24" customHeight="1">
      <c r="F1969" s="1640">
        <v>0.65</v>
      </c>
      <c r="G1969" s="1638" t="s">
        <v>151</v>
      </c>
      <c r="H1969" s="1627" t="s">
        <v>2230</v>
      </c>
      <c r="I1969" s="1640">
        <f>(C61*2)</f>
        <v>297.5</v>
      </c>
      <c r="J1969" s="1627" t="s">
        <v>151</v>
      </c>
      <c r="K1969" s="1640">
        <f t="shared" si="229"/>
        <v>193.375</v>
      </c>
      <c r="M1969" s="1640">
        <v>0.65</v>
      </c>
      <c r="N1969" s="1638" t="s">
        <v>151</v>
      </c>
      <c r="O1969" s="1627" t="s">
        <v>2230</v>
      </c>
      <c r="P1969" s="1640">
        <f t="shared" ref="P1969:P1975" si="231">I1969</f>
        <v>297.5</v>
      </c>
      <c r="Q1969" s="1627" t="s">
        <v>151</v>
      </c>
      <c r="R1969" s="1640">
        <f t="shared" si="230"/>
        <v>193.375</v>
      </c>
      <c r="W1969" s="1634"/>
    </row>
    <row r="1970" spans="6:23" ht="24" customHeight="1">
      <c r="F1970" s="1640">
        <v>0.56999999999999995</v>
      </c>
      <c r="G1970" s="1638" t="s">
        <v>151</v>
      </c>
      <c r="H1970" s="1627" t="s">
        <v>2231</v>
      </c>
      <c r="I1970" s="1640">
        <f>(C26)</f>
        <v>51.730000000000004</v>
      </c>
      <c r="J1970" s="1627" t="s">
        <v>151</v>
      </c>
      <c r="K1970" s="1640">
        <f t="shared" si="229"/>
        <v>29.4861</v>
      </c>
      <c r="M1970" s="1640">
        <v>0.56999999999999995</v>
      </c>
      <c r="N1970" s="1638" t="s">
        <v>151</v>
      </c>
      <c r="O1970" s="1627" t="s">
        <v>2231</v>
      </c>
      <c r="P1970" s="1640">
        <f t="shared" si="231"/>
        <v>51.730000000000004</v>
      </c>
      <c r="Q1970" s="1627" t="s">
        <v>151</v>
      </c>
      <c r="R1970" s="1640">
        <f t="shared" si="230"/>
        <v>29.4861</v>
      </c>
      <c r="W1970" s="1634"/>
    </row>
    <row r="1971" spans="6:23" ht="24" customHeight="1">
      <c r="F1971" s="1658">
        <v>8.1000000000000003E-2</v>
      </c>
      <c r="G1971" s="1638" t="s">
        <v>151</v>
      </c>
      <c r="H1971" s="1627" t="s">
        <v>2232</v>
      </c>
      <c r="I1971" s="1640">
        <f>(R60)</f>
        <v>5639.2830000000004</v>
      </c>
      <c r="J1971" s="1627" t="s">
        <v>151</v>
      </c>
      <c r="K1971" s="1640">
        <f t="shared" si="229"/>
        <v>456.78192300000006</v>
      </c>
      <c r="M1971" s="1658">
        <v>8.1000000000000003E-2</v>
      </c>
      <c r="N1971" s="1638" t="s">
        <v>151</v>
      </c>
      <c r="O1971" s="1627" t="s">
        <v>2232</v>
      </c>
      <c r="P1971" s="1640">
        <f t="shared" si="231"/>
        <v>5639.2830000000004</v>
      </c>
      <c r="Q1971" s="1627" t="s">
        <v>151</v>
      </c>
      <c r="R1971" s="1640">
        <f t="shared" si="230"/>
        <v>456.78192300000006</v>
      </c>
      <c r="W1971" s="1634"/>
    </row>
    <row r="1972" spans="6:23" ht="24" customHeight="1">
      <c r="F1972" s="1640">
        <v>1</v>
      </c>
      <c r="G1972" s="1638" t="s">
        <v>153</v>
      </c>
      <c r="H1972" s="1627" t="s">
        <v>558</v>
      </c>
      <c r="I1972" s="1640">
        <f>(C15)</f>
        <v>1149.3999999999999</v>
      </c>
      <c r="J1972" s="1627" t="s">
        <v>153</v>
      </c>
      <c r="K1972" s="1640">
        <f t="shared" si="229"/>
        <v>1149.3999999999999</v>
      </c>
      <c r="M1972" s="1640">
        <v>1</v>
      </c>
      <c r="N1972" s="1638" t="s">
        <v>153</v>
      </c>
      <c r="O1972" s="1627" t="s">
        <v>558</v>
      </c>
      <c r="P1972" s="1640">
        <f t="shared" si="231"/>
        <v>1149.3999999999999</v>
      </c>
      <c r="Q1972" s="1627" t="s">
        <v>153</v>
      </c>
      <c r="R1972" s="1640">
        <f t="shared" si="230"/>
        <v>1149.3999999999999</v>
      </c>
      <c r="W1972" s="1634"/>
    </row>
    <row r="1973" spans="6:23" ht="24" customHeight="1">
      <c r="F1973" s="1640">
        <v>0.5</v>
      </c>
      <c r="G1973" s="1638" t="s">
        <v>153</v>
      </c>
      <c r="H1973" s="1627" t="s">
        <v>234</v>
      </c>
      <c r="I1973" s="1640">
        <f>(C11)</f>
        <v>1237.5999999999999</v>
      </c>
      <c r="J1973" s="1627" t="s">
        <v>153</v>
      </c>
      <c r="K1973" s="1640">
        <f t="shared" si="229"/>
        <v>618.79999999999995</v>
      </c>
      <c r="M1973" s="1640">
        <v>0.5</v>
      </c>
      <c r="N1973" s="1638" t="s">
        <v>153</v>
      </c>
      <c r="O1973" s="1627" t="s">
        <v>234</v>
      </c>
      <c r="P1973" s="1640">
        <f t="shared" si="231"/>
        <v>1237.5999999999999</v>
      </c>
      <c r="Q1973" s="1627" t="s">
        <v>153</v>
      </c>
      <c r="R1973" s="1640">
        <f t="shared" si="230"/>
        <v>618.79999999999995</v>
      </c>
      <c r="W1973" s="1634"/>
    </row>
    <row r="1974" spans="6:23" ht="24" customHeight="1">
      <c r="F1974" s="1640">
        <v>0.5</v>
      </c>
      <c r="G1974" s="1638" t="s">
        <v>153</v>
      </c>
      <c r="H1974" s="1627" t="s">
        <v>235</v>
      </c>
      <c r="I1974" s="1640">
        <f>(C12)</f>
        <v>865.19999999999993</v>
      </c>
      <c r="J1974" s="1627" t="s">
        <v>153</v>
      </c>
      <c r="K1974" s="1640">
        <f t="shared" si="229"/>
        <v>432.59999999999997</v>
      </c>
      <c r="M1974" s="1640">
        <v>0.5</v>
      </c>
      <c r="N1974" s="1638" t="s">
        <v>153</v>
      </c>
      <c r="O1974" s="1627" t="s">
        <v>235</v>
      </c>
      <c r="P1974" s="1640">
        <f t="shared" si="231"/>
        <v>865.19999999999993</v>
      </c>
      <c r="Q1974" s="1627" t="s">
        <v>153</v>
      </c>
      <c r="R1974" s="1640">
        <f t="shared" si="230"/>
        <v>432.59999999999997</v>
      </c>
      <c r="W1974" s="1634"/>
    </row>
    <row r="1975" spans="6:23" ht="24" customHeight="1">
      <c r="G1975" s="1638" t="s">
        <v>226</v>
      </c>
      <c r="H1975" s="1627" t="s">
        <v>237</v>
      </c>
      <c r="I1975" s="1627" t="s">
        <v>150</v>
      </c>
      <c r="J1975" s="1627" t="s">
        <v>226</v>
      </c>
      <c r="K1975" s="1640">
        <v>1.25</v>
      </c>
      <c r="N1975" s="1638"/>
      <c r="O1975" s="1631" t="s">
        <v>2233</v>
      </c>
      <c r="P1975" s="1640" t="str">
        <f t="shared" si="231"/>
        <v/>
      </c>
      <c r="Q1975" s="1627"/>
      <c r="R1975" s="1640">
        <v>-164</v>
      </c>
      <c r="W1975" s="1634"/>
    </row>
    <row r="1976" spans="6:23" ht="24" customHeight="1">
      <c r="K1976" s="1636" t="s">
        <v>21</v>
      </c>
      <c r="O1976" s="1631" t="s">
        <v>2234</v>
      </c>
      <c r="P1976" s="1640"/>
      <c r="Q1976" s="1627"/>
      <c r="R1976" s="1640">
        <v>134.1</v>
      </c>
      <c r="W1976" s="1634"/>
    </row>
    <row r="1977" spans="6:23" ht="24" customHeight="1" thickBot="1">
      <c r="H1977" s="1627" t="s">
        <v>1233</v>
      </c>
      <c r="K1977" s="1640">
        <f>SUM(K1968:K1975)</f>
        <v>4082.6930230000003</v>
      </c>
      <c r="N1977" s="1630" t="s">
        <v>287</v>
      </c>
      <c r="O1977" s="1631" t="s">
        <v>337</v>
      </c>
      <c r="Q1977" s="1632"/>
      <c r="R1977" s="1640">
        <v>0.39</v>
      </c>
      <c r="W1977" s="1634"/>
    </row>
    <row r="1978" spans="6:23" ht="24" customHeight="1" thickTop="1">
      <c r="K1978" s="1636" t="s">
        <v>156</v>
      </c>
      <c r="N1978" s="1630"/>
      <c r="O1978" s="1627" t="s">
        <v>1233</v>
      </c>
      <c r="Q1978" s="1632"/>
      <c r="R1978" s="1783">
        <f>SUM(R1968:R1977)</f>
        <v>4051.933023</v>
      </c>
      <c r="W1978" s="1634"/>
    </row>
    <row r="1979" spans="6:23" ht="24" customHeight="1" thickBot="1">
      <c r="G1979" s="1638" t="s">
        <v>150</v>
      </c>
      <c r="H1979" s="1627" t="s">
        <v>150</v>
      </c>
      <c r="K1979" s="1627" t="s">
        <v>150</v>
      </c>
      <c r="N1979" s="1630"/>
      <c r="Q1979" s="1632"/>
      <c r="R1979" s="1784"/>
      <c r="W1979" s="1634"/>
    </row>
    <row r="1980" spans="6:23" ht="24" customHeight="1" thickTop="1">
      <c r="J1980" s="1627" t="s">
        <v>150</v>
      </c>
      <c r="K1980" s="1627" t="s">
        <v>150</v>
      </c>
      <c r="W1980" s="1634"/>
    </row>
    <row r="1981" spans="6:23" ht="24" customHeight="1">
      <c r="F1981" s="1628" t="s">
        <v>2235</v>
      </c>
      <c r="G1981" s="1638" t="s">
        <v>249</v>
      </c>
      <c r="H1981" s="1627" t="s">
        <v>2225</v>
      </c>
      <c r="M1981" s="1628" t="s">
        <v>2235</v>
      </c>
      <c r="N1981" s="1638" t="s">
        <v>249</v>
      </c>
      <c r="O1981" s="1627" t="s">
        <v>2225</v>
      </c>
      <c r="Q1981" s="1632"/>
      <c r="W1981" s="1634"/>
    </row>
    <row r="1982" spans="6:23" ht="24" customHeight="1">
      <c r="H1982" s="1627" t="s">
        <v>2226</v>
      </c>
      <c r="N1982" s="1630"/>
      <c r="O1982" s="1627" t="s">
        <v>2226</v>
      </c>
      <c r="Q1982" s="1632"/>
      <c r="W1982" s="1634"/>
    </row>
    <row r="1983" spans="6:23" ht="24" customHeight="1">
      <c r="H1983" s="1627" t="s">
        <v>2227</v>
      </c>
      <c r="N1983" s="1630"/>
      <c r="O1983" s="1627" t="s">
        <v>2227</v>
      </c>
      <c r="Q1983" s="1632"/>
      <c r="W1983" s="1634"/>
    </row>
    <row r="1984" spans="6:23" ht="24" customHeight="1">
      <c r="H1984" s="1627" t="s">
        <v>2236</v>
      </c>
      <c r="N1984" s="1630"/>
      <c r="O1984" s="1627" t="s">
        <v>2236</v>
      </c>
      <c r="Q1984" s="1632"/>
      <c r="W1984" s="1634"/>
    </row>
    <row r="1985" spans="6:23" ht="24" customHeight="1">
      <c r="H1985" s="1636" t="s">
        <v>21</v>
      </c>
      <c r="N1985" s="1630"/>
      <c r="O1985" s="1636" t="s">
        <v>21</v>
      </c>
      <c r="Q1985" s="1632"/>
      <c r="W1985" s="1634"/>
    </row>
    <row r="1986" spans="6:23" ht="24" customHeight="1">
      <c r="F1986" s="1640">
        <v>1</v>
      </c>
      <c r="G1986" s="1638" t="s">
        <v>153</v>
      </c>
      <c r="H1986" s="1627" t="s">
        <v>2229</v>
      </c>
      <c r="I1986" s="1640">
        <f>(C201)</f>
        <v>1201</v>
      </c>
      <c r="J1986" s="1627" t="s">
        <v>153</v>
      </c>
      <c r="K1986" s="1640">
        <f>(F1986*I1986)</f>
        <v>1201</v>
      </c>
      <c r="M1986" s="1640">
        <v>1</v>
      </c>
      <c r="N1986" s="1638" t="s">
        <v>153</v>
      </c>
      <c r="O1986" s="1627" t="s">
        <v>2229</v>
      </c>
      <c r="P1986" s="1640">
        <f>I1986</f>
        <v>1201</v>
      </c>
      <c r="Q1986" s="1627" t="s">
        <v>153</v>
      </c>
      <c r="R1986" s="1640">
        <f>(M1986*P1986)</f>
        <v>1201</v>
      </c>
      <c r="W1986" s="1634"/>
    </row>
    <row r="1987" spans="6:23" ht="24" customHeight="1">
      <c r="F1987" s="1658">
        <v>0.40500000000000003</v>
      </c>
      <c r="G1987" s="1638" t="s">
        <v>151</v>
      </c>
      <c r="H1987" s="1627" t="s">
        <v>2237</v>
      </c>
      <c r="I1987" s="1640">
        <f>(K1330)</f>
        <v>5228.8635999999997</v>
      </c>
      <c r="J1987" s="1627" t="s">
        <v>151</v>
      </c>
      <c r="K1987" s="1640">
        <f>(F1987*I1987)</f>
        <v>2117.689758</v>
      </c>
      <c r="M1987" s="1658">
        <v>0.40500000000000003</v>
      </c>
      <c r="N1987" s="1638" t="s">
        <v>151</v>
      </c>
      <c r="O1987" s="1627" t="s">
        <v>2237</v>
      </c>
      <c r="P1987" s="1640">
        <f t="shared" ref="P1987:P1996" si="232">I1987</f>
        <v>5228.8635999999997</v>
      </c>
      <c r="Q1987" s="1627" t="s">
        <v>151</v>
      </c>
      <c r="R1987" s="1640">
        <f>(M1987*P1987)</f>
        <v>2117.689758</v>
      </c>
      <c r="W1987" s="1634"/>
    </row>
    <row r="1988" spans="6:23" ht="24" customHeight="1">
      <c r="H1988" s="1627" t="s">
        <v>2238</v>
      </c>
      <c r="I1988" s="1627" t="s">
        <v>150</v>
      </c>
      <c r="K1988" s="1627" t="s">
        <v>150</v>
      </c>
      <c r="N1988" s="1630"/>
      <c r="O1988" s="1627" t="s">
        <v>2238</v>
      </c>
      <c r="P1988" s="1640" t="str">
        <f t="shared" si="232"/>
        <v/>
      </c>
      <c r="Q1988" s="1632"/>
      <c r="R1988" s="1627" t="s">
        <v>150</v>
      </c>
      <c r="W1988" s="1634"/>
    </row>
    <row r="1989" spans="6:23" ht="24" customHeight="1">
      <c r="F1989" s="1640">
        <v>1.89</v>
      </c>
      <c r="G1989" s="1638" t="s">
        <v>152</v>
      </c>
      <c r="H1989" s="1627" t="s">
        <v>2239</v>
      </c>
      <c r="I1989" s="1640">
        <f>(K1442)</f>
        <v>350.67779999999999</v>
      </c>
      <c r="J1989" s="1627" t="s">
        <v>152</v>
      </c>
      <c r="K1989" s="1640">
        <f>(F1989*I1989)</f>
        <v>662.78104199999996</v>
      </c>
      <c r="M1989" s="1640">
        <v>1.89</v>
      </c>
      <c r="N1989" s="1638" t="s">
        <v>152</v>
      </c>
      <c r="O1989" s="1627" t="s">
        <v>2239</v>
      </c>
      <c r="P1989" s="1640">
        <f t="shared" si="232"/>
        <v>350.67779999999999</v>
      </c>
      <c r="Q1989" s="1627" t="s">
        <v>152</v>
      </c>
      <c r="R1989" s="1640">
        <f>(M1989*P1989)</f>
        <v>662.78104199999996</v>
      </c>
      <c r="W1989" s="1634"/>
    </row>
    <row r="1990" spans="6:23" ht="24" customHeight="1">
      <c r="H1990" s="1627" t="s">
        <v>2240</v>
      </c>
      <c r="I1990" s="1627" t="s">
        <v>150</v>
      </c>
      <c r="K1990" s="1627" t="s">
        <v>150</v>
      </c>
      <c r="N1990" s="1630"/>
      <c r="O1990" s="1627" t="s">
        <v>2240</v>
      </c>
      <c r="P1990" s="1640" t="str">
        <f t="shared" si="232"/>
        <v/>
      </c>
      <c r="Q1990" s="1632"/>
      <c r="R1990" s="1627" t="s">
        <v>150</v>
      </c>
      <c r="W1990" s="1634"/>
    </row>
    <row r="1991" spans="6:23" ht="24" customHeight="1">
      <c r="F1991" s="1658">
        <v>8.1000000000000003E-2</v>
      </c>
      <c r="G1991" s="1638" t="s">
        <v>151</v>
      </c>
      <c r="H1991" s="1627" t="s">
        <v>2241</v>
      </c>
      <c r="I1991" s="1640">
        <f>(R60)</f>
        <v>5639.2830000000004</v>
      </c>
      <c r="J1991" s="1627" t="s">
        <v>151</v>
      </c>
      <c r="K1991" s="1640">
        <f>(F1991*I1991)</f>
        <v>456.78192300000006</v>
      </c>
      <c r="M1991" s="1658">
        <v>8.1000000000000003E-2</v>
      </c>
      <c r="N1991" s="1638" t="s">
        <v>151</v>
      </c>
      <c r="O1991" s="1627" t="s">
        <v>2241</v>
      </c>
      <c r="P1991" s="1640">
        <f t="shared" si="232"/>
        <v>5639.2830000000004</v>
      </c>
      <c r="Q1991" s="1627" t="s">
        <v>151</v>
      </c>
      <c r="R1991" s="1640">
        <f>(M1991*P1991)</f>
        <v>456.78192300000006</v>
      </c>
      <c r="W1991" s="1634"/>
    </row>
    <row r="1992" spans="6:23" ht="24" customHeight="1">
      <c r="H1992" s="1627" t="s">
        <v>2242</v>
      </c>
      <c r="N1992" s="1630"/>
      <c r="O1992" s="1627" t="s">
        <v>2242</v>
      </c>
      <c r="P1992" s="1640"/>
      <c r="Q1992" s="1632"/>
      <c r="W1992" s="1634"/>
    </row>
    <row r="1993" spans="6:23" ht="24" customHeight="1">
      <c r="F1993" s="1640">
        <v>1</v>
      </c>
      <c r="G1993" s="1638" t="s">
        <v>4</v>
      </c>
      <c r="H1993" s="1627" t="s">
        <v>558</v>
      </c>
      <c r="I1993" s="1640">
        <f>(C15)</f>
        <v>1149.3999999999999</v>
      </c>
      <c r="J1993" s="1627" t="s">
        <v>4</v>
      </c>
      <c r="K1993" s="1640">
        <f>(F1993*I1993)</f>
        <v>1149.3999999999999</v>
      </c>
      <c r="M1993" s="1640">
        <v>1</v>
      </c>
      <c r="N1993" s="1638" t="s">
        <v>4</v>
      </c>
      <c r="O1993" s="1627" t="s">
        <v>558</v>
      </c>
      <c r="P1993" s="1640">
        <f t="shared" si="232"/>
        <v>1149.3999999999999</v>
      </c>
      <c r="Q1993" s="1627" t="s">
        <v>4</v>
      </c>
      <c r="R1993" s="1640">
        <f>(M1993*P1993)</f>
        <v>1149.3999999999999</v>
      </c>
      <c r="W1993" s="1634"/>
    </row>
    <row r="1994" spans="6:23" ht="24" customHeight="1">
      <c r="F1994" s="1640">
        <v>0.5</v>
      </c>
      <c r="G1994" s="1638" t="s">
        <v>153</v>
      </c>
      <c r="H1994" s="1627" t="s">
        <v>234</v>
      </c>
      <c r="I1994" s="1640">
        <f>(C11)</f>
        <v>1237.5999999999999</v>
      </c>
      <c r="J1994" s="1627" t="s">
        <v>153</v>
      </c>
      <c r="K1994" s="1640">
        <f>(F1994*I1994)</f>
        <v>618.79999999999995</v>
      </c>
      <c r="M1994" s="1640">
        <v>0.5</v>
      </c>
      <c r="N1994" s="1638" t="s">
        <v>153</v>
      </c>
      <c r="O1994" s="1627" t="s">
        <v>234</v>
      </c>
      <c r="P1994" s="1640">
        <f t="shared" si="232"/>
        <v>1237.5999999999999</v>
      </c>
      <c r="Q1994" s="1627" t="s">
        <v>153</v>
      </c>
      <c r="R1994" s="1640">
        <f>(M1994*P1994)</f>
        <v>618.79999999999995</v>
      </c>
      <c r="W1994" s="1634"/>
    </row>
    <row r="1995" spans="6:23" ht="24" customHeight="1">
      <c r="F1995" s="1640">
        <v>0.5</v>
      </c>
      <c r="G1995" s="1638" t="s">
        <v>153</v>
      </c>
      <c r="H1995" s="1627" t="s">
        <v>235</v>
      </c>
      <c r="I1995" s="1640">
        <f>(C12)</f>
        <v>865.19999999999993</v>
      </c>
      <c r="J1995" s="1627" t="s">
        <v>153</v>
      </c>
      <c r="K1995" s="1640">
        <f>(F1995*I1995)</f>
        <v>432.59999999999997</v>
      </c>
      <c r="M1995" s="1640">
        <v>0.5</v>
      </c>
      <c r="N1995" s="1638" t="s">
        <v>153</v>
      </c>
      <c r="O1995" s="1627" t="s">
        <v>235</v>
      </c>
      <c r="P1995" s="1640">
        <f t="shared" si="232"/>
        <v>865.19999999999993</v>
      </c>
      <c r="Q1995" s="1627" t="s">
        <v>153</v>
      </c>
      <c r="R1995" s="1640">
        <f>(M1995*P1995)</f>
        <v>432.59999999999997</v>
      </c>
      <c r="W1995" s="1634"/>
    </row>
    <row r="1996" spans="6:23" ht="24" customHeight="1">
      <c r="G1996" s="1638" t="s">
        <v>226</v>
      </c>
      <c r="H1996" s="1627" t="s">
        <v>237</v>
      </c>
      <c r="I1996" s="1627" t="s">
        <v>150</v>
      </c>
      <c r="J1996" s="1627" t="s">
        <v>226</v>
      </c>
      <c r="K1996" s="1640">
        <v>1.03</v>
      </c>
      <c r="N1996" s="1638"/>
      <c r="O1996" s="1631" t="s">
        <v>2233</v>
      </c>
      <c r="P1996" s="1640" t="str">
        <f t="shared" si="232"/>
        <v/>
      </c>
      <c r="Q1996" s="1627"/>
      <c r="R1996" s="1640">
        <v>-164</v>
      </c>
      <c r="W1996" s="1634"/>
    </row>
    <row r="1997" spans="6:23" ht="24" customHeight="1">
      <c r="H1997" s="1627" t="s">
        <v>150</v>
      </c>
      <c r="K1997" s="1636" t="s">
        <v>21</v>
      </c>
      <c r="O1997" s="1631" t="s">
        <v>2234</v>
      </c>
      <c r="P1997" s="1640"/>
      <c r="Q1997" s="1627"/>
      <c r="R1997" s="1640">
        <v>134.1</v>
      </c>
      <c r="W1997" s="1634"/>
    </row>
    <row r="1998" spans="6:23" ht="24" customHeight="1" thickBot="1">
      <c r="H1998" s="1627" t="s">
        <v>1233</v>
      </c>
      <c r="K1998" s="1640">
        <f>SUM(K1986:K1996)</f>
        <v>6640.0827230000004</v>
      </c>
      <c r="N1998" s="1630" t="s">
        <v>287</v>
      </c>
      <c r="O1998" s="1631" t="s">
        <v>337</v>
      </c>
      <c r="Q1998" s="1632"/>
      <c r="R1998" s="1640">
        <v>0.47</v>
      </c>
      <c r="W1998" s="1634"/>
    </row>
    <row r="1999" spans="6:23" ht="24" customHeight="1" thickTop="1">
      <c r="K1999" s="1636" t="s">
        <v>156</v>
      </c>
      <c r="N1999" s="1630"/>
      <c r="O1999" s="1627" t="s">
        <v>1233</v>
      </c>
      <c r="Q1999" s="1632"/>
      <c r="R1999" s="1783">
        <f>SUM(R1986:R1998)</f>
        <v>6609.6227230000013</v>
      </c>
      <c r="W1999" s="1634"/>
    </row>
    <row r="2000" spans="6:23" ht="24" customHeight="1" thickBot="1">
      <c r="G2000" s="1638" t="s">
        <v>150</v>
      </c>
      <c r="H2000" s="1627" t="s">
        <v>150</v>
      </c>
      <c r="K2000" s="1627" t="s">
        <v>150</v>
      </c>
      <c r="N2000" s="1630"/>
      <c r="Q2000" s="1632"/>
      <c r="R2000" s="1784"/>
      <c r="W2000" s="1634"/>
    </row>
    <row r="2001" spans="6:23" ht="24" customHeight="1" thickTop="1">
      <c r="F2001" s="1652">
        <v>57</v>
      </c>
      <c r="G2001" s="1638" t="s">
        <v>249</v>
      </c>
      <c r="H2001" s="1627" t="s">
        <v>5679</v>
      </c>
      <c r="W2001" s="1634"/>
    </row>
    <row r="2002" spans="6:23" ht="24" customHeight="1">
      <c r="H2002" s="1627" t="s">
        <v>2244</v>
      </c>
      <c r="M2002" s="1652">
        <v>57</v>
      </c>
      <c r="N2002" s="1638" t="s">
        <v>249</v>
      </c>
      <c r="O2002" s="1627" t="s">
        <v>5679</v>
      </c>
      <c r="Q2002" s="1632"/>
      <c r="S2002" s="1629"/>
      <c r="W2002" s="1634"/>
    </row>
    <row r="2003" spans="6:23" ht="24" customHeight="1">
      <c r="H2003" s="1627" t="s">
        <v>2245</v>
      </c>
      <c r="N2003" s="1630"/>
      <c r="O2003" s="1627" t="s">
        <v>2244</v>
      </c>
      <c r="Q2003" s="1632"/>
      <c r="S2003" s="1629"/>
      <c r="W2003" s="1634"/>
    </row>
    <row r="2004" spans="6:23" ht="24" customHeight="1">
      <c r="H2004" s="1636" t="s">
        <v>21</v>
      </c>
      <c r="N2004" s="1630"/>
      <c r="O2004" s="1627" t="s">
        <v>2245</v>
      </c>
      <c r="Q2004" s="1632"/>
      <c r="S2004" s="1629"/>
      <c r="W2004" s="1634"/>
    </row>
    <row r="2005" spans="6:23" ht="60.75" customHeight="1">
      <c r="F2005" s="1779">
        <v>1</v>
      </c>
      <c r="G2005" s="1779" t="s">
        <v>1248</v>
      </c>
      <c r="H2005" s="1657" t="s">
        <v>2246</v>
      </c>
      <c r="I2005" s="1779">
        <f>C613</f>
        <v>3090</v>
      </c>
      <c r="J2005" s="1780" t="s">
        <v>1248</v>
      </c>
      <c r="K2005" s="1779">
        <f>(F2005*I2005)</f>
        <v>3090</v>
      </c>
      <c r="N2005" s="1630"/>
      <c r="O2005" s="1636" t="s">
        <v>21</v>
      </c>
      <c r="Q2005" s="1632"/>
      <c r="S2005" s="1629"/>
      <c r="W2005" s="1634"/>
    </row>
    <row r="2006" spans="6:23" ht="48.75" customHeight="1">
      <c r="F2006" s="1640"/>
      <c r="G2006" s="1638"/>
      <c r="H2006" s="1631" t="s">
        <v>2247</v>
      </c>
      <c r="I2006" s="1640"/>
      <c r="J2006" s="1627"/>
      <c r="K2006" s="1640"/>
      <c r="M2006" s="1779">
        <v>1</v>
      </c>
      <c r="N2006" s="1779" t="s">
        <v>1248</v>
      </c>
      <c r="O2006" s="1657" t="s">
        <v>2248</v>
      </c>
      <c r="P2006" s="1779">
        <f>I2005</f>
        <v>3090</v>
      </c>
      <c r="Q2006" s="1780" t="s">
        <v>1248</v>
      </c>
      <c r="R2006" s="1779">
        <f>(M2006*P2006)</f>
        <v>3090</v>
      </c>
      <c r="S2006" s="1629"/>
      <c r="W2006" s="1634"/>
    </row>
    <row r="2007" spans="6:23" ht="36" customHeight="1">
      <c r="F2007" s="1640">
        <v>1</v>
      </c>
      <c r="G2007" s="1638" t="s">
        <v>153</v>
      </c>
      <c r="H2007" s="1627" t="s">
        <v>269</v>
      </c>
      <c r="I2007" s="1640">
        <f>(C10)</f>
        <v>1325.8</v>
      </c>
      <c r="J2007" s="1627" t="s">
        <v>153</v>
      </c>
      <c r="K2007" s="1640">
        <f>(F2007*I2007)</f>
        <v>1325.8</v>
      </c>
      <c r="M2007" s="1640"/>
      <c r="N2007" s="1638"/>
      <c r="O2007" s="1631" t="s">
        <v>2247</v>
      </c>
      <c r="P2007" s="1640"/>
      <c r="Q2007" s="1627"/>
      <c r="R2007" s="1640"/>
      <c r="S2007" s="1629"/>
      <c r="W2007" s="1634"/>
    </row>
    <row r="2008" spans="6:23" ht="24" customHeight="1">
      <c r="F2008" s="1640">
        <v>2</v>
      </c>
      <c r="G2008" s="1638" t="s">
        <v>153</v>
      </c>
      <c r="H2008" s="1627" t="s">
        <v>558</v>
      </c>
      <c r="I2008" s="1640">
        <f>(C15)</f>
        <v>1149.3999999999999</v>
      </c>
      <c r="J2008" s="1627" t="s">
        <v>153</v>
      </c>
      <c r="K2008" s="1640">
        <f>(F2008*I2008)</f>
        <v>2298.7999999999997</v>
      </c>
      <c r="M2008" s="1640">
        <v>1</v>
      </c>
      <c r="N2008" s="1638" t="s">
        <v>153</v>
      </c>
      <c r="O2008" s="1627" t="s">
        <v>269</v>
      </c>
      <c r="P2008" s="1640">
        <f t="shared" ref="P2008:P2013" si="233">I2007</f>
        <v>1325.8</v>
      </c>
      <c r="Q2008" s="1627" t="s">
        <v>153</v>
      </c>
      <c r="R2008" s="1640">
        <f>(M2008*P2008)</f>
        <v>1325.8</v>
      </c>
      <c r="S2008" s="1629"/>
      <c r="W2008" s="1634"/>
    </row>
    <row r="2009" spans="6:23" ht="24" customHeight="1">
      <c r="F2009" s="1640">
        <v>1</v>
      </c>
      <c r="G2009" s="1638" t="s">
        <v>153</v>
      </c>
      <c r="H2009" s="1627" t="s">
        <v>236</v>
      </c>
      <c r="I2009" s="1640">
        <f>(C13)</f>
        <v>709.8</v>
      </c>
      <c r="J2009" s="1627" t="s">
        <v>153</v>
      </c>
      <c r="K2009" s="1640">
        <f>(F2009*I2009)</f>
        <v>709.8</v>
      </c>
      <c r="M2009" s="1640">
        <v>2</v>
      </c>
      <c r="N2009" s="1638" t="s">
        <v>153</v>
      </c>
      <c r="O2009" s="1627" t="s">
        <v>558</v>
      </c>
      <c r="P2009" s="1640">
        <f t="shared" si="233"/>
        <v>1149.3999999999999</v>
      </c>
      <c r="Q2009" s="1627" t="s">
        <v>153</v>
      </c>
      <c r="R2009" s="1640">
        <f>(M2009*P2009)</f>
        <v>2298.7999999999997</v>
      </c>
      <c r="S2009" s="1629"/>
      <c r="W2009" s="1634"/>
    </row>
    <row r="2010" spans="6:23" ht="24" customHeight="1">
      <c r="F2010" s="1640"/>
      <c r="G2010" s="1638"/>
      <c r="H2010" s="1631" t="s">
        <v>2249</v>
      </c>
      <c r="I2010" s="1640"/>
      <c r="J2010" s="1627"/>
      <c r="K2010" s="1640"/>
      <c r="M2010" s="1640">
        <v>1</v>
      </c>
      <c r="N2010" s="1638" t="s">
        <v>153</v>
      </c>
      <c r="O2010" s="1627" t="s">
        <v>236</v>
      </c>
      <c r="P2010" s="1640">
        <f t="shared" si="233"/>
        <v>709.8</v>
      </c>
      <c r="Q2010" s="1627" t="s">
        <v>153</v>
      </c>
      <c r="R2010" s="1640">
        <f>(M2010*P2010)</f>
        <v>709.8</v>
      </c>
      <c r="S2010" s="1629"/>
      <c r="W2010" s="1634"/>
    </row>
    <row r="2011" spans="6:23" ht="24" customHeight="1">
      <c r="F2011" s="1640">
        <v>0.5</v>
      </c>
      <c r="G2011" s="1638" t="s">
        <v>153</v>
      </c>
      <c r="H2011" s="1627" t="s">
        <v>558</v>
      </c>
      <c r="I2011" s="1640">
        <f>(C15)</f>
        <v>1149.3999999999999</v>
      </c>
      <c r="J2011" s="1627" t="s">
        <v>153</v>
      </c>
      <c r="K2011" s="1640">
        <f>(F2011*I2011)</f>
        <v>574.69999999999993</v>
      </c>
      <c r="M2011" s="1640"/>
      <c r="N2011" s="1638"/>
      <c r="O2011" s="1631" t="s">
        <v>2249</v>
      </c>
      <c r="P2011" s="1640"/>
      <c r="Q2011" s="1627"/>
      <c r="R2011" s="1640"/>
      <c r="S2011" s="1629"/>
      <c r="W2011" s="1634"/>
    </row>
    <row r="2012" spans="6:23" ht="24" customHeight="1">
      <c r="F2012" s="1640">
        <v>0.5</v>
      </c>
      <c r="G2012" s="1638" t="s">
        <v>153</v>
      </c>
      <c r="H2012" s="1627" t="s">
        <v>235</v>
      </c>
      <c r="I2012" s="1640">
        <f>(C12)</f>
        <v>865.19999999999993</v>
      </c>
      <c r="J2012" s="1627" t="s">
        <v>153</v>
      </c>
      <c r="K2012" s="1640">
        <f>(F2012*I2012)</f>
        <v>432.59999999999997</v>
      </c>
      <c r="M2012" s="1640">
        <v>0.5</v>
      </c>
      <c r="N2012" s="1638" t="s">
        <v>153</v>
      </c>
      <c r="O2012" s="1627" t="s">
        <v>558</v>
      </c>
      <c r="P2012" s="1640">
        <f t="shared" si="233"/>
        <v>1149.3999999999999</v>
      </c>
      <c r="Q2012" s="1627" t="s">
        <v>153</v>
      </c>
      <c r="R2012" s="1640">
        <f>(M2012*P2012)</f>
        <v>574.69999999999993</v>
      </c>
      <c r="S2012" s="1629"/>
      <c r="W2012" s="1634"/>
    </row>
    <row r="2013" spans="6:23" ht="24" customHeight="1">
      <c r="G2013" s="1638" t="s">
        <v>226</v>
      </c>
      <c r="H2013" s="1627" t="s">
        <v>237</v>
      </c>
      <c r="J2013" s="1627" t="s">
        <v>226</v>
      </c>
      <c r="K2013" s="1640">
        <v>0.7</v>
      </c>
      <c r="M2013" s="1640">
        <v>0.5</v>
      </c>
      <c r="N2013" s="1638" t="s">
        <v>153</v>
      </c>
      <c r="O2013" s="1627" t="s">
        <v>235</v>
      </c>
      <c r="P2013" s="1640">
        <f t="shared" si="233"/>
        <v>865.19999999999993</v>
      </c>
      <c r="Q2013" s="1627" t="s">
        <v>153</v>
      </c>
      <c r="R2013" s="1640">
        <f>(M2013*P2013)</f>
        <v>432.59999999999997</v>
      </c>
      <c r="S2013" s="1629"/>
      <c r="W2013" s="1634"/>
    </row>
    <row r="2014" spans="6:23" ht="24" customHeight="1">
      <c r="K2014" s="1636" t="s">
        <v>21</v>
      </c>
      <c r="M2014" s="1640"/>
      <c r="N2014" s="1638"/>
      <c r="O2014" s="1631" t="s">
        <v>2233</v>
      </c>
      <c r="P2014" s="1640">
        <f>I2014</f>
        <v>0</v>
      </c>
      <c r="Q2014" s="1627"/>
      <c r="R2014" s="1640">
        <v>-164</v>
      </c>
      <c r="S2014" s="1629"/>
      <c r="W2014" s="1634"/>
    </row>
    <row r="2015" spans="6:23" ht="24" customHeight="1">
      <c r="H2015" s="1627" t="s">
        <v>1233</v>
      </c>
      <c r="K2015" s="1640">
        <f>SUM(K2005:K2013)</f>
        <v>8432.4000000000015</v>
      </c>
      <c r="M2015" s="1640"/>
      <c r="N2015" s="1638"/>
      <c r="O2015" s="1631" t="s">
        <v>2234</v>
      </c>
      <c r="P2015" s="1640"/>
      <c r="Q2015" s="1627"/>
      <c r="R2015" s="1640">
        <v>134.1</v>
      </c>
      <c r="S2015" s="1629"/>
      <c r="W2015" s="1634"/>
    </row>
    <row r="2016" spans="6:23" ht="24" customHeight="1">
      <c r="F2016" s="1627" t="s">
        <v>150</v>
      </c>
      <c r="N2016" s="1638" t="s">
        <v>226</v>
      </c>
      <c r="O2016" s="1627" t="s">
        <v>237</v>
      </c>
      <c r="Q2016" s="1627" t="s">
        <v>226</v>
      </c>
      <c r="R2016" s="1640">
        <v>0.7</v>
      </c>
      <c r="S2016" s="1629"/>
      <c r="W2016" s="1634"/>
    </row>
    <row r="2017" spans="6:23" ht="24" customHeight="1">
      <c r="K2017" s="1636" t="s">
        <v>21</v>
      </c>
      <c r="N2017" s="1630"/>
      <c r="O2017" s="1627" t="s">
        <v>1233</v>
      </c>
      <c r="Q2017" s="1632"/>
      <c r="R2017" s="1640"/>
      <c r="S2017" s="1629"/>
      <c r="W2017" s="1634"/>
    </row>
    <row r="2018" spans="6:23" ht="24" customHeight="1">
      <c r="G2018" s="1638" t="s">
        <v>150</v>
      </c>
      <c r="H2018" s="1627" t="s">
        <v>150</v>
      </c>
      <c r="K2018" s="1627" t="s">
        <v>150</v>
      </c>
      <c r="N2018" s="1630"/>
      <c r="Q2018" s="1632"/>
      <c r="R2018" s="1661">
        <f>SUM(R2006:R2017)</f>
        <v>8402.5000000000018</v>
      </c>
      <c r="S2018" s="1629"/>
      <c r="W2018" s="1634"/>
    </row>
    <row r="2019" spans="6:23" ht="24" customHeight="1">
      <c r="H2019" s="1627" t="s">
        <v>150</v>
      </c>
      <c r="M2019" s="1627" t="s">
        <v>150</v>
      </c>
      <c r="N2019" s="1630"/>
      <c r="S2019" s="1629"/>
      <c r="W2019" s="1634"/>
    </row>
    <row r="2020" spans="6:23" ht="24" customHeight="1">
      <c r="F2020" s="1662">
        <v>57.1</v>
      </c>
      <c r="G2020" s="1638" t="s">
        <v>249</v>
      </c>
      <c r="H2020" s="1627" t="s">
        <v>5680</v>
      </c>
      <c r="M2020" s="1652">
        <v>57</v>
      </c>
      <c r="N2020" s="1638" t="s">
        <v>249</v>
      </c>
      <c r="O2020" s="1627" t="s">
        <v>5680</v>
      </c>
      <c r="Q2020" s="1632"/>
      <c r="S2020" s="1629"/>
      <c r="W2020" s="1634"/>
    </row>
    <row r="2021" spans="6:23" ht="24" customHeight="1">
      <c r="H2021" s="1627" t="s">
        <v>2244</v>
      </c>
      <c r="N2021" s="1630"/>
      <c r="O2021" s="1627" t="s">
        <v>2244</v>
      </c>
      <c r="Q2021" s="1632"/>
      <c r="W2021" s="1634"/>
    </row>
    <row r="2022" spans="6:23" ht="24" customHeight="1">
      <c r="H2022" s="1627" t="s">
        <v>2245</v>
      </c>
      <c r="N2022" s="1630"/>
      <c r="O2022" s="1627" t="s">
        <v>2245</v>
      </c>
      <c r="Q2022" s="1632"/>
      <c r="W2022" s="1634"/>
    </row>
    <row r="2023" spans="6:23" ht="24" customHeight="1">
      <c r="H2023" s="1636" t="s">
        <v>21</v>
      </c>
      <c r="N2023" s="1630"/>
      <c r="O2023" s="1636" t="s">
        <v>21</v>
      </c>
      <c r="Q2023" s="1632"/>
      <c r="W2023" s="1634"/>
    </row>
    <row r="2024" spans="6:23" ht="62.25" customHeight="1">
      <c r="F2024" s="1779">
        <v>1</v>
      </c>
      <c r="G2024" s="1779" t="s">
        <v>1248</v>
      </c>
      <c r="H2024" s="1680" t="s">
        <v>2248</v>
      </c>
      <c r="I2024" s="1629">
        <f>E613</f>
        <v>3484</v>
      </c>
      <c r="J2024" s="1780" t="s">
        <v>1248</v>
      </c>
      <c r="K2024" s="1779">
        <f>(F2024*I2024)</f>
        <v>3484</v>
      </c>
      <c r="M2024" s="1779">
        <v>1</v>
      </c>
      <c r="N2024" s="1779" t="s">
        <v>1248</v>
      </c>
      <c r="O2024" s="1657" t="s">
        <v>2248</v>
      </c>
      <c r="P2024" s="1779">
        <f>I2024</f>
        <v>3484</v>
      </c>
      <c r="Q2024" s="1780" t="s">
        <v>1248</v>
      </c>
      <c r="R2024" s="1779">
        <f>(M2024*P2024)</f>
        <v>3484</v>
      </c>
      <c r="W2024" s="1634"/>
    </row>
    <row r="2025" spans="6:23" ht="54.75" customHeight="1">
      <c r="F2025" s="1640"/>
      <c r="G2025" s="1638"/>
      <c r="H2025" s="1631" t="s">
        <v>2247</v>
      </c>
      <c r="J2025" s="1627"/>
      <c r="K2025" s="1640"/>
      <c r="M2025" s="1640"/>
      <c r="N2025" s="1638"/>
      <c r="O2025" s="1631" t="s">
        <v>2247</v>
      </c>
      <c r="P2025" s="1640"/>
      <c r="Q2025" s="1627"/>
      <c r="R2025" s="1779"/>
      <c r="W2025" s="1634"/>
    </row>
    <row r="2026" spans="6:23" ht="24" customHeight="1">
      <c r="F2026" s="1640">
        <v>1</v>
      </c>
      <c r="G2026" s="1638" t="s">
        <v>153</v>
      </c>
      <c r="H2026" s="1627" t="s">
        <v>269</v>
      </c>
      <c r="I2026" s="1629">
        <f>C10</f>
        <v>1325.8</v>
      </c>
      <c r="J2026" s="1627" t="s">
        <v>153</v>
      </c>
      <c r="K2026" s="1640">
        <f>(F2026*I2026)</f>
        <v>1325.8</v>
      </c>
      <c r="M2026" s="1640">
        <v>1</v>
      </c>
      <c r="N2026" s="1638" t="s">
        <v>153</v>
      </c>
      <c r="O2026" s="1627" t="s">
        <v>269</v>
      </c>
      <c r="P2026" s="1640">
        <f>I2026</f>
        <v>1325.8</v>
      </c>
      <c r="Q2026" s="1627" t="s">
        <v>153</v>
      </c>
      <c r="R2026" s="1779">
        <f>(M2026*P2026)</f>
        <v>1325.8</v>
      </c>
      <c r="W2026" s="1634"/>
    </row>
    <row r="2027" spans="6:23" ht="24" customHeight="1">
      <c r="F2027" s="1640">
        <v>2</v>
      </c>
      <c r="G2027" s="1638" t="s">
        <v>153</v>
      </c>
      <c r="H2027" s="1627" t="s">
        <v>558</v>
      </c>
      <c r="I2027" s="1629">
        <f>C15</f>
        <v>1149.3999999999999</v>
      </c>
      <c r="J2027" s="1627" t="s">
        <v>153</v>
      </c>
      <c r="K2027" s="1640">
        <f>(F2027*I2027)</f>
        <v>2298.7999999999997</v>
      </c>
      <c r="M2027" s="1640">
        <v>2</v>
      </c>
      <c r="N2027" s="1638" t="s">
        <v>153</v>
      </c>
      <c r="O2027" s="1627" t="s">
        <v>558</v>
      </c>
      <c r="P2027" s="1640">
        <f>I2027</f>
        <v>1149.3999999999999</v>
      </c>
      <c r="Q2027" s="1627" t="s">
        <v>153</v>
      </c>
      <c r="R2027" s="1779">
        <f>(M2027*P2027)</f>
        <v>2298.7999999999997</v>
      </c>
      <c r="W2027" s="1634"/>
    </row>
    <row r="2028" spans="6:23" ht="24" customHeight="1">
      <c r="F2028" s="1640">
        <v>1</v>
      </c>
      <c r="G2028" s="1638" t="s">
        <v>153</v>
      </c>
      <c r="H2028" s="1627" t="s">
        <v>236</v>
      </c>
      <c r="I2028" s="1629">
        <f>C13</f>
        <v>709.8</v>
      </c>
      <c r="J2028" s="1627" t="s">
        <v>153</v>
      </c>
      <c r="K2028" s="1640">
        <f>(F2028*I2028)</f>
        <v>709.8</v>
      </c>
      <c r="M2028" s="1640">
        <v>1</v>
      </c>
      <c r="N2028" s="1638" t="s">
        <v>153</v>
      </c>
      <c r="O2028" s="1627" t="s">
        <v>236</v>
      </c>
      <c r="P2028" s="1640">
        <f>I2028</f>
        <v>709.8</v>
      </c>
      <c r="Q2028" s="1627" t="s">
        <v>153</v>
      </c>
      <c r="R2028" s="1779">
        <f>(M2028*P2028)</f>
        <v>709.8</v>
      </c>
      <c r="W2028" s="1634"/>
    </row>
    <row r="2029" spans="6:23" ht="24" customHeight="1">
      <c r="F2029" s="1640"/>
      <c r="G2029" s="1638"/>
      <c r="H2029" s="1631" t="s">
        <v>2249</v>
      </c>
      <c r="J2029" s="1627"/>
      <c r="K2029" s="1640"/>
      <c r="M2029" s="1640"/>
      <c r="N2029" s="1638"/>
      <c r="O2029" s="1631" t="s">
        <v>2249</v>
      </c>
      <c r="Q2029" s="1627"/>
      <c r="R2029" s="1640"/>
      <c r="W2029" s="1634"/>
    </row>
    <row r="2030" spans="6:23" ht="24" customHeight="1">
      <c r="F2030" s="1640">
        <v>0.5</v>
      </c>
      <c r="G2030" s="1638" t="s">
        <v>153</v>
      </c>
      <c r="H2030" s="1627" t="s">
        <v>558</v>
      </c>
      <c r="I2030" s="1629">
        <f>C15</f>
        <v>1149.3999999999999</v>
      </c>
      <c r="J2030" s="1627" t="s">
        <v>153</v>
      </c>
      <c r="K2030" s="1640">
        <f>(F2030*I2030)</f>
        <v>574.69999999999993</v>
      </c>
      <c r="M2030" s="1640">
        <v>0.5</v>
      </c>
      <c r="N2030" s="1638" t="s">
        <v>153</v>
      </c>
      <c r="O2030" s="1627" t="s">
        <v>558</v>
      </c>
      <c r="P2030" s="1640">
        <f>I2030</f>
        <v>1149.3999999999999</v>
      </c>
      <c r="Q2030" s="1627" t="s">
        <v>153</v>
      </c>
      <c r="R2030" s="1640">
        <f>(M2030*P2030)</f>
        <v>574.69999999999993</v>
      </c>
      <c r="W2030" s="1634"/>
    </row>
    <row r="2031" spans="6:23" ht="24" customHeight="1">
      <c r="F2031" s="1640">
        <v>0.5</v>
      </c>
      <c r="G2031" s="1638" t="s">
        <v>153</v>
      </c>
      <c r="H2031" s="1627" t="s">
        <v>235</v>
      </c>
      <c r="I2031" s="1629">
        <f>C12</f>
        <v>865.19999999999993</v>
      </c>
      <c r="J2031" s="1627" t="s">
        <v>153</v>
      </c>
      <c r="K2031" s="1640">
        <f>(F2031*I2031)</f>
        <v>432.59999999999997</v>
      </c>
      <c r="M2031" s="1640">
        <v>0.5</v>
      </c>
      <c r="N2031" s="1638" t="s">
        <v>153</v>
      </c>
      <c r="O2031" s="1627" t="s">
        <v>235</v>
      </c>
      <c r="P2031" s="1640">
        <f>I2031</f>
        <v>865.19999999999993</v>
      </c>
      <c r="Q2031" s="1627" t="s">
        <v>153</v>
      </c>
      <c r="R2031" s="1640">
        <f>(M2031*P2031)</f>
        <v>432.59999999999997</v>
      </c>
      <c r="W2031" s="1634"/>
    </row>
    <row r="2032" spans="6:23" ht="24" customHeight="1">
      <c r="G2032" s="1638" t="s">
        <v>226</v>
      </c>
      <c r="H2032" s="1627" t="s">
        <v>237</v>
      </c>
      <c r="J2032" s="1627" t="s">
        <v>226</v>
      </c>
      <c r="K2032" s="1640">
        <v>0.7</v>
      </c>
      <c r="M2032" s="1640"/>
      <c r="N2032" s="1638"/>
      <c r="O2032" s="1631" t="s">
        <v>2233</v>
      </c>
      <c r="P2032" s="1640">
        <f>I2032</f>
        <v>0</v>
      </c>
      <c r="Q2032" s="1627"/>
      <c r="R2032" s="1640">
        <v>-164</v>
      </c>
      <c r="W2032" s="1634"/>
    </row>
    <row r="2033" spans="6:23" ht="24" customHeight="1">
      <c r="K2033" s="1636" t="s">
        <v>21</v>
      </c>
      <c r="M2033" s="1640"/>
      <c r="N2033" s="1638"/>
      <c r="O2033" s="1631" t="s">
        <v>2234</v>
      </c>
      <c r="P2033" s="1640"/>
      <c r="Q2033" s="1627"/>
      <c r="R2033" s="1640">
        <v>134.1</v>
      </c>
      <c r="W2033" s="1634"/>
    </row>
    <row r="2034" spans="6:23" ht="24" customHeight="1">
      <c r="H2034" s="1627" t="s">
        <v>1233</v>
      </c>
      <c r="K2034" s="1640">
        <f>SUM(K2024:K2032)</f>
        <v>8826.4000000000015</v>
      </c>
      <c r="N2034" s="1638" t="s">
        <v>226</v>
      </c>
      <c r="O2034" s="1627" t="s">
        <v>237</v>
      </c>
      <c r="Q2034" s="1627" t="s">
        <v>226</v>
      </c>
      <c r="R2034" s="1640">
        <v>0.7</v>
      </c>
      <c r="W2034" s="1634"/>
    </row>
    <row r="2035" spans="6:23" ht="24" customHeight="1">
      <c r="H2035" s="1627"/>
      <c r="N2035" s="1630"/>
      <c r="Q2035" s="1632"/>
      <c r="R2035" s="1636" t="s">
        <v>21</v>
      </c>
      <c r="W2035" s="1634"/>
    </row>
    <row r="2036" spans="6:23" ht="24" customHeight="1">
      <c r="H2036" s="1627"/>
      <c r="K2036" s="1636" t="s">
        <v>21</v>
      </c>
      <c r="N2036" s="1630"/>
      <c r="O2036" s="1627" t="s">
        <v>1233</v>
      </c>
      <c r="Q2036" s="1632"/>
      <c r="R2036" s="1640"/>
      <c r="W2036" s="1634"/>
    </row>
    <row r="2037" spans="6:23" ht="24" customHeight="1">
      <c r="H2037" s="1627"/>
      <c r="M2037" s="1627" t="s">
        <v>150</v>
      </c>
      <c r="N2037" s="1630"/>
      <c r="Q2037" s="1632"/>
      <c r="R2037" s="1661">
        <f>SUM(R2024:R2036)</f>
        <v>8796.5000000000018</v>
      </c>
      <c r="W2037" s="1634"/>
    </row>
    <row r="2038" spans="6:23" ht="24" customHeight="1">
      <c r="F2038" s="1628" t="s">
        <v>585</v>
      </c>
      <c r="G2038" s="1638" t="s">
        <v>249</v>
      </c>
      <c r="H2038" s="1627" t="s">
        <v>586</v>
      </c>
      <c r="N2038" s="1630"/>
      <c r="Q2038" s="1632"/>
      <c r="R2038" s="1636" t="s">
        <v>21</v>
      </c>
      <c r="W2038" s="1634"/>
    </row>
    <row r="2039" spans="6:23" ht="24" customHeight="1">
      <c r="H2039" s="1627" t="s">
        <v>587</v>
      </c>
      <c r="W2039" s="1634"/>
    </row>
    <row r="2040" spans="6:23" ht="24" customHeight="1">
      <c r="H2040" s="1636" t="s">
        <v>21</v>
      </c>
      <c r="W2040" s="1634"/>
    </row>
    <row r="2041" spans="6:23" ht="24" customHeight="1">
      <c r="G2041" s="1638" t="s">
        <v>588</v>
      </c>
      <c r="H2041" s="1627" t="s">
        <v>589</v>
      </c>
      <c r="W2041" s="1634"/>
    </row>
    <row r="2042" spans="6:23" ht="24" customHeight="1">
      <c r="H2042" s="1627" t="s">
        <v>5681</v>
      </c>
      <c r="W2042" s="1634"/>
    </row>
    <row r="2043" spans="6:23" ht="24" customHeight="1">
      <c r="H2043" s="1627" t="s">
        <v>592</v>
      </c>
      <c r="M2043" s="1662"/>
      <c r="N2043" s="1630"/>
      <c r="O2043" s="1627" t="s">
        <v>1800</v>
      </c>
      <c r="Q2043" s="1632"/>
      <c r="W2043" s="1634"/>
    </row>
    <row r="2044" spans="6:23" ht="24" customHeight="1">
      <c r="H2044" s="1627" t="s">
        <v>593</v>
      </c>
      <c r="M2044" s="1662"/>
      <c r="N2044" s="1630"/>
      <c r="O2044" s="1627" t="s">
        <v>5194</v>
      </c>
      <c r="Q2044" s="1632"/>
      <c r="W2044" s="1634"/>
    </row>
    <row r="2045" spans="6:23" ht="24" customHeight="1">
      <c r="H2045" s="1627" t="s">
        <v>594</v>
      </c>
      <c r="N2045" s="1630"/>
      <c r="O2045" s="1636" t="s">
        <v>21</v>
      </c>
      <c r="P2045" s="1636" t="s">
        <v>21</v>
      </c>
      <c r="Q2045" s="1627" t="s">
        <v>21</v>
      </c>
      <c r="W2045" s="1634"/>
    </row>
    <row r="2046" spans="6:23" ht="24" customHeight="1">
      <c r="H2046" s="1627" t="s">
        <v>595</v>
      </c>
      <c r="N2046" s="1630"/>
      <c r="Q2046" s="1632"/>
      <c r="W2046" s="1634"/>
    </row>
    <row r="2047" spans="6:23" ht="24" customHeight="1">
      <c r="H2047" s="1627" t="s">
        <v>563</v>
      </c>
      <c r="N2047" s="1630"/>
      <c r="O2047" s="1631" t="s">
        <v>5195</v>
      </c>
      <c r="P2047" s="1629">
        <f>3.93*2.1</f>
        <v>8.2530000000000001</v>
      </c>
      <c r="Q2047" s="1632" t="s">
        <v>313</v>
      </c>
      <c r="W2047" s="1634"/>
    </row>
    <row r="2048" spans="6:23" ht="24" customHeight="1">
      <c r="H2048" s="1636" t="s">
        <v>21</v>
      </c>
      <c r="N2048" s="1630"/>
      <c r="O2048" s="1627" t="s">
        <v>5196</v>
      </c>
      <c r="Q2048" s="1632"/>
      <c r="W2048" s="1634"/>
    </row>
    <row r="2049" spans="6:23" ht="24" customHeight="1">
      <c r="F2049" s="1640">
        <v>3</v>
      </c>
      <c r="G2049" s="1638" t="s">
        <v>552</v>
      </c>
      <c r="H2049" s="1627" t="s">
        <v>564</v>
      </c>
      <c r="I2049" s="1690">
        <f>(C620)</f>
        <v>193.05</v>
      </c>
      <c r="J2049" s="1627" t="s">
        <v>552</v>
      </c>
      <c r="K2049" s="1640">
        <f t="shared" ref="K2049:K2055" si="234">(F2049*I2049)</f>
        <v>579.15000000000009</v>
      </c>
      <c r="N2049" s="1630"/>
      <c r="O2049" s="1627" t="s">
        <v>5197</v>
      </c>
      <c r="P2049" s="1633">
        <f>1*7*2.1*0.075*0.0375</f>
        <v>4.1343749999999999E-2</v>
      </c>
      <c r="Q2049" s="1632"/>
      <c r="W2049" s="1634"/>
    </row>
    <row r="2050" spans="6:23" ht="24" customHeight="1">
      <c r="F2050" s="1640">
        <v>1</v>
      </c>
      <c r="G2050" s="1638" t="s">
        <v>4</v>
      </c>
      <c r="H2050" s="1627" t="s">
        <v>565</v>
      </c>
      <c r="I2050" s="1640">
        <v>76</v>
      </c>
      <c r="J2050" s="1627" t="s">
        <v>566</v>
      </c>
      <c r="K2050" s="1640">
        <f t="shared" si="234"/>
        <v>76</v>
      </c>
      <c r="N2050" s="1630"/>
      <c r="O2050" s="1627" t="s">
        <v>5198</v>
      </c>
      <c r="P2050" s="1633">
        <f>5*3.93*0.075*0.0375</f>
        <v>5.5265625000000006E-2</v>
      </c>
      <c r="Q2050" s="1632"/>
      <c r="W2050" s="1634"/>
    </row>
    <row r="2051" spans="6:23" ht="24" customHeight="1">
      <c r="F2051" s="1640">
        <v>1</v>
      </c>
      <c r="G2051" s="1638" t="s">
        <v>4</v>
      </c>
      <c r="H2051" s="1627" t="s">
        <v>567</v>
      </c>
      <c r="I2051" s="1640">
        <f>C648</f>
        <v>82.3</v>
      </c>
      <c r="J2051" s="1627" t="s">
        <v>566</v>
      </c>
      <c r="K2051" s="1640">
        <f t="shared" si="234"/>
        <v>82.3</v>
      </c>
      <c r="N2051" s="1630"/>
      <c r="O2051" s="1627"/>
      <c r="P2051" s="1785">
        <f>SUM(P2049:P2050)</f>
        <v>9.6609374999999997E-2</v>
      </c>
      <c r="Q2051" s="1632" t="s">
        <v>313</v>
      </c>
      <c r="W2051" s="1634"/>
    </row>
    <row r="2052" spans="6:23" ht="24" customHeight="1">
      <c r="F2052" s="1640">
        <v>1</v>
      </c>
      <c r="G2052" s="1638" t="s">
        <v>4</v>
      </c>
      <c r="H2052" s="1627" t="s">
        <v>568</v>
      </c>
      <c r="I2052" s="1640">
        <f>C645</f>
        <v>187.8</v>
      </c>
      <c r="J2052" s="1627" t="s">
        <v>566</v>
      </c>
      <c r="K2052" s="1640">
        <f t="shared" si="234"/>
        <v>187.8</v>
      </c>
      <c r="N2052" s="1630"/>
      <c r="O2052" s="1627" t="s">
        <v>5199</v>
      </c>
      <c r="Q2052" s="1632"/>
      <c r="W2052" s="1634"/>
    </row>
    <row r="2053" spans="6:23" ht="24" customHeight="1">
      <c r="F2053" s="1640">
        <v>0.5</v>
      </c>
      <c r="G2053" s="1638" t="s">
        <v>153</v>
      </c>
      <c r="H2053" s="1627" t="s">
        <v>558</v>
      </c>
      <c r="I2053" s="1640">
        <f>(C15)</f>
        <v>1149.3999999999999</v>
      </c>
      <c r="J2053" s="1627" t="s">
        <v>566</v>
      </c>
      <c r="K2053" s="1640">
        <f t="shared" si="234"/>
        <v>574.69999999999993</v>
      </c>
      <c r="N2053" s="1630"/>
      <c r="O2053" s="1627" t="s">
        <v>5200</v>
      </c>
      <c r="Q2053" s="1632"/>
      <c r="W2053" s="1634"/>
    </row>
    <row r="2054" spans="6:23" ht="24" customHeight="1">
      <c r="F2054" s="1640">
        <v>0.5</v>
      </c>
      <c r="G2054" s="1638" t="s">
        <v>153</v>
      </c>
      <c r="H2054" s="1627" t="s">
        <v>234</v>
      </c>
      <c r="I2054" s="1640">
        <f>(C11)</f>
        <v>1237.5999999999999</v>
      </c>
      <c r="J2054" s="1627" t="s">
        <v>566</v>
      </c>
      <c r="K2054" s="1640">
        <f t="shared" si="234"/>
        <v>618.79999999999995</v>
      </c>
      <c r="N2054" s="1630"/>
      <c r="O2054" s="1627" t="s">
        <v>5201</v>
      </c>
      <c r="P2054" s="1633">
        <f>2*18*0.6*0.075*0.0375</f>
        <v>6.0749999999999992E-2</v>
      </c>
      <c r="Q2054" s="1632"/>
      <c r="W2054" s="1634"/>
    </row>
    <row r="2055" spans="6:23" ht="24" customHeight="1">
      <c r="F2055" s="1640">
        <v>0.5</v>
      </c>
      <c r="G2055" s="1638" t="s">
        <v>153</v>
      </c>
      <c r="H2055" s="1627" t="s">
        <v>235</v>
      </c>
      <c r="I2055" s="1640">
        <f>(C12)</f>
        <v>865.19999999999993</v>
      </c>
      <c r="J2055" s="1627" t="s">
        <v>566</v>
      </c>
      <c r="K2055" s="1640">
        <f t="shared" si="234"/>
        <v>432.59999999999997</v>
      </c>
      <c r="N2055" s="1630"/>
      <c r="O2055" s="1627" t="s">
        <v>5202</v>
      </c>
      <c r="P2055" s="1633">
        <f>2*18*0.69*0.075*0.0375</f>
        <v>6.986249999999998E-2</v>
      </c>
      <c r="Q2055" s="1632"/>
      <c r="W2055" s="1634"/>
    </row>
    <row r="2056" spans="6:23" ht="24" customHeight="1">
      <c r="G2056" s="1638" t="s">
        <v>226</v>
      </c>
      <c r="H2056" s="1627" t="s">
        <v>569</v>
      </c>
      <c r="I2056" s="1690">
        <v>2.79</v>
      </c>
      <c r="J2056" s="1627" t="s">
        <v>226</v>
      </c>
      <c r="K2056" s="1640">
        <v>2.79</v>
      </c>
      <c r="N2056" s="1630"/>
      <c r="O2056" s="1627"/>
      <c r="P2056" s="1785">
        <f>SUM(P2054:P2055)</f>
        <v>0.13061249999999996</v>
      </c>
      <c r="Q2056" s="1632"/>
      <c r="W2056" s="1634"/>
    </row>
    <row r="2057" spans="6:23" ht="24" customHeight="1">
      <c r="H2057" s="1627" t="s">
        <v>570</v>
      </c>
      <c r="N2057" s="1630"/>
      <c r="O2057" s="1627" t="s">
        <v>5203</v>
      </c>
      <c r="Q2057" s="1632"/>
      <c r="W2057" s="1634"/>
    </row>
    <row r="2058" spans="6:23" ht="24" customHeight="1">
      <c r="H2058" s="1627" t="s">
        <v>571</v>
      </c>
      <c r="N2058" s="1630"/>
      <c r="O2058" s="1627" t="s">
        <v>5204</v>
      </c>
      <c r="P2058" s="1633">
        <f>2*6*0.66*0.075*0.0375</f>
        <v>2.2275E-2</v>
      </c>
      <c r="Q2058" s="1632"/>
      <c r="W2058" s="1634"/>
    </row>
    <row r="2059" spans="6:23" ht="24" customHeight="1">
      <c r="H2059" s="1627" t="s">
        <v>572</v>
      </c>
      <c r="J2059" s="1627" t="s">
        <v>226</v>
      </c>
      <c r="K2059" s="1640">
        <v>0.12</v>
      </c>
      <c r="N2059" s="1630"/>
      <c r="O2059" s="1627" t="s">
        <v>5205</v>
      </c>
      <c r="P2059" s="1633">
        <f>2*6*0.69*0.075*0.0375</f>
        <v>2.3287499999999996E-2</v>
      </c>
      <c r="Q2059" s="1632"/>
      <c r="W2059" s="1634"/>
    </row>
    <row r="2060" spans="6:23" ht="24" customHeight="1">
      <c r="K2060" s="1636" t="s">
        <v>21</v>
      </c>
      <c r="N2060" s="1630"/>
      <c r="O2060" s="1627"/>
      <c r="P2060" s="1785">
        <f>SUM(P2058:P2059)</f>
        <v>4.5562499999999992E-2</v>
      </c>
      <c r="Q2060" s="1632"/>
      <c r="W2060" s="1634"/>
    </row>
    <row r="2061" spans="6:23" ht="24" customHeight="1">
      <c r="H2061" s="1627" t="s">
        <v>561</v>
      </c>
      <c r="K2061" s="1640">
        <f>SUM(K2049:K2059)</f>
        <v>2554.2599999999998</v>
      </c>
      <c r="N2061" s="1630"/>
      <c r="O2061" s="1627"/>
      <c r="P2061" s="1785">
        <f>P2056+P2060</f>
        <v>0.17617499999999997</v>
      </c>
      <c r="Q2061" s="1632" t="s">
        <v>313</v>
      </c>
      <c r="R2061" s="1633">
        <f>P2061+P2051</f>
        <v>0.27278437499999997</v>
      </c>
      <c r="W2061" s="1634"/>
    </row>
    <row r="2062" spans="6:23" ht="24" customHeight="1">
      <c r="K2062" s="1636" t="s">
        <v>21</v>
      </c>
      <c r="N2062" s="1630"/>
      <c r="O2062" s="1627" t="s">
        <v>5206</v>
      </c>
      <c r="Q2062" s="1632"/>
      <c r="W2062" s="1634"/>
    </row>
    <row r="2063" spans="6:23" ht="24" customHeight="1">
      <c r="H2063" s="1627" t="s">
        <v>562</v>
      </c>
      <c r="K2063" s="1640">
        <f>(K2061/3)</f>
        <v>851.42</v>
      </c>
      <c r="N2063" s="1630"/>
      <c r="O2063" s="1627" t="s">
        <v>5207</v>
      </c>
      <c r="P2063" s="1629">
        <f>1*18*0.54*0.45</f>
        <v>4.3740000000000006</v>
      </c>
      <c r="Q2063" s="1632"/>
      <c r="W2063" s="1634"/>
    </row>
    <row r="2064" spans="6:23" ht="24" customHeight="1">
      <c r="K2064" s="1636" t="s">
        <v>21</v>
      </c>
      <c r="N2064" s="1630"/>
      <c r="O2064" s="1627" t="s">
        <v>5208</v>
      </c>
      <c r="P2064" s="1629">
        <f>1*6*0.54*0.51</f>
        <v>1.6524000000000001</v>
      </c>
      <c r="Q2064" s="1632"/>
      <c r="W2064" s="1634"/>
    </row>
    <row r="2065" spans="6:23" ht="24" customHeight="1">
      <c r="F2065" s="1628" t="s">
        <v>573</v>
      </c>
      <c r="G2065" s="1638" t="s">
        <v>574</v>
      </c>
      <c r="H2065" s="1627" t="s">
        <v>575</v>
      </c>
      <c r="N2065" s="1630"/>
      <c r="O2065" s="1627"/>
      <c r="P2065" s="1661">
        <f>SUM(P2063:P2064)</f>
        <v>6.0264000000000006</v>
      </c>
      <c r="Q2065" s="1632" t="s">
        <v>306</v>
      </c>
      <c r="W2065" s="1634"/>
    </row>
    <row r="2066" spans="6:23" ht="24" customHeight="1">
      <c r="H2066" s="1627" t="s">
        <v>5682</v>
      </c>
      <c r="N2066" s="1630"/>
      <c r="O2066" s="1627"/>
      <c r="Q2066" s="1632"/>
      <c r="W2066" s="1634"/>
    </row>
    <row r="2067" spans="6:23" ht="24" customHeight="1">
      <c r="H2067" s="1627" t="s">
        <v>592</v>
      </c>
      <c r="N2067" s="1630"/>
      <c r="O2067" s="1627" t="s">
        <v>5209</v>
      </c>
      <c r="P2067" s="1629">
        <f>3.78*1.95</f>
        <v>7.3709999999999996</v>
      </c>
      <c r="Q2067" s="1632" t="s">
        <v>306</v>
      </c>
      <c r="R2067" s="1710" t="s">
        <v>150</v>
      </c>
      <c r="W2067" s="1634"/>
    </row>
    <row r="2068" spans="6:23" ht="24" customHeight="1">
      <c r="H2068" s="1627" t="s">
        <v>596</v>
      </c>
      <c r="N2068" s="1630"/>
      <c r="O2068" s="1627"/>
      <c r="Q2068" s="1632"/>
      <c r="R2068" s="1710"/>
      <c r="W2068" s="1634"/>
    </row>
    <row r="2069" spans="6:23" ht="24" customHeight="1">
      <c r="H2069" s="1627" t="s">
        <v>597</v>
      </c>
      <c r="N2069" s="1630"/>
      <c r="O2069" s="1627" t="s">
        <v>5210</v>
      </c>
      <c r="P2069" s="1629">
        <f>18*2</f>
        <v>36</v>
      </c>
      <c r="Q2069" s="1632" t="s">
        <v>68</v>
      </c>
      <c r="R2069" s="1710"/>
      <c r="W2069" s="1634"/>
    </row>
    <row r="2070" spans="6:23" ht="24" customHeight="1">
      <c r="H2070" s="1627" t="s">
        <v>595</v>
      </c>
      <c r="N2070" s="1630"/>
      <c r="O2070" s="1627" t="s">
        <v>5211</v>
      </c>
      <c r="P2070" s="1629">
        <f>18*1</f>
        <v>18</v>
      </c>
      <c r="Q2070" s="1632" t="s">
        <v>68</v>
      </c>
      <c r="R2070" s="1710"/>
      <c r="W2070" s="1634"/>
    </row>
    <row r="2071" spans="6:23" ht="24" customHeight="1">
      <c r="H2071" s="1627" t="s">
        <v>563</v>
      </c>
      <c r="N2071" s="1630"/>
      <c r="O2071" s="1654" t="s">
        <v>1820</v>
      </c>
      <c r="P2071" s="1629">
        <f>18*1</f>
        <v>18</v>
      </c>
      <c r="Q2071" s="1632" t="s">
        <v>68</v>
      </c>
      <c r="R2071" s="1710"/>
      <c r="W2071" s="1634"/>
    </row>
    <row r="2072" spans="6:23" ht="24" customHeight="1">
      <c r="H2072" s="1636" t="s">
        <v>21</v>
      </c>
      <c r="N2072" s="1630"/>
      <c r="O2072" s="1627" t="s">
        <v>5212</v>
      </c>
      <c r="P2072" s="1629">
        <f>3.93*2.6*2.1</f>
        <v>21.457800000000002</v>
      </c>
      <c r="Q2072" s="1632" t="s">
        <v>306</v>
      </c>
      <c r="R2072" s="1710"/>
      <c r="W2072" s="1634"/>
    </row>
    <row r="2073" spans="6:23" ht="24" customHeight="1">
      <c r="F2073" s="1640">
        <v>3</v>
      </c>
      <c r="G2073" s="1638" t="s">
        <v>552</v>
      </c>
      <c r="H2073" s="1627" t="s">
        <v>577</v>
      </c>
      <c r="I2073" s="1640">
        <f>C621</f>
        <v>115.85</v>
      </c>
      <c r="J2073" s="1627" t="s">
        <v>552</v>
      </c>
      <c r="K2073" s="1640">
        <f t="shared" ref="K2073:K2079" si="235">(F2073*I2073)</f>
        <v>347.54999999999995</v>
      </c>
      <c r="N2073" s="1630"/>
      <c r="Q2073" s="1632"/>
      <c r="W2073" s="1634"/>
    </row>
    <row r="2074" spans="6:23" ht="24" customHeight="1">
      <c r="F2074" s="1640">
        <v>1</v>
      </c>
      <c r="G2074" s="1638" t="s">
        <v>4</v>
      </c>
      <c r="H2074" s="1627" t="s">
        <v>578</v>
      </c>
      <c r="I2074" s="1640">
        <f>C624</f>
        <v>45</v>
      </c>
      <c r="J2074" s="1627" t="s">
        <v>566</v>
      </c>
      <c r="K2074" s="1640">
        <f t="shared" si="235"/>
        <v>45</v>
      </c>
      <c r="M2074" s="1715">
        <f>P2051</f>
        <v>9.6609374999999997E-2</v>
      </c>
      <c r="N2074" s="1638" t="s">
        <v>151</v>
      </c>
      <c r="O2074" s="1627" t="s">
        <v>877</v>
      </c>
      <c r="P2074" s="1640">
        <f>I3100</f>
        <v>111600</v>
      </c>
      <c r="Q2074" s="1627" t="s">
        <v>151</v>
      </c>
      <c r="R2074" s="1640">
        <f t="shared" ref="R2074:R2083" si="236">(M2074*P2074)</f>
        <v>10781.606249999999</v>
      </c>
      <c r="W2074" s="1634"/>
    </row>
    <row r="2075" spans="6:23" ht="24" customHeight="1">
      <c r="F2075" s="1640">
        <v>1</v>
      </c>
      <c r="G2075" s="1638" t="s">
        <v>4</v>
      </c>
      <c r="H2075" s="1627" t="s">
        <v>579</v>
      </c>
      <c r="I2075" s="1640">
        <f>C649</f>
        <v>55.5</v>
      </c>
      <c r="J2075" s="1627" t="s">
        <v>566</v>
      </c>
      <c r="K2075" s="1640">
        <f t="shared" si="235"/>
        <v>55.5</v>
      </c>
      <c r="M2075" s="1715">
        <f>P2061</f>
        <v>0.17617499999999997</v>
      </c>
      <c r="N2075" s="1638" t="s">
        <v>151</v>
      </c>
      <c r="O2075" s="1627" t="s">
        <v>878</v>
      </c>
      <c r="P2075" s="1640">
        <f t="shared" ref="P2075:P2083" si="237">I3101</f>
        <v>99400</v>
      </c>
      <c r="Q2075" s="1627" t="s">
        <v>151</v>
      </c>
      <c r="R2075" s="1640">
        <f t="shared" si="236"/>
        <v>17511.794999999998</v>
      </c>
      <c r="W2075" s="1634"/>
    </row>
    <row r="2076" spans="6:23" ht="24" customHeight="1">
      <c r="F2076" s="1640">
        <v>1</v>
      </c>
      <c r="G2076" s="1638" t="s">
        <v>4</v>
      </c>
      <c r="H2076" s="1627" t="s">
        <v>580</v>
      </c>
      <c r="I2076" s="1640">
        <f>C646</f>
        <v>125.2</v>
      </c>
      <c r="J2076" s="1627" t="s">
        <v>566</v>
      </c>
      <c r="K2076" s="1640">
        <f t="shared" si="235"/>
        <v>125.2</v>
      </c>
      <c r="M2076" s="1715">
        <f>SUM(M2074:M2075)</f>
        <v>0.27278437499999997</v>
      </c>
      <c r="N2076" s="1638" t="s">
        <v>151</v>
      </c>
      <c r="O2076" s="1627" t="s">
        <v>1815</v>
      </c>
      <c r="P2076" s="1640">
        <f t="shared" si="237"/>
        <v>18172</v>
      </c>
      <c r="Q2076" s="1627" t="s">
        <v>151</v>
      </c>
      <c r="R2076" s="1640">
        <f t="shared" si="236"/>
        <v>4957.037662499999</v>
      </c>
      <c r="W2076" s="1634"/>
    </row>
    <row r="2077" spans="6:23" ht="24" customHeight="1">
      <c r="F2077" s="1640">
        <v>0.5</v>
      </c>
      <c r="G2077" s="1638" t="s">
        <v>153</v>
      </c>
      <c r="H2077" s="1627" t="s">
        <v>558</v>
      </c>
      <c r="I2077" s="1640">
        <f>(C15)</f>
        <v>1149.3999999999999</v>
      </c>
      <c r="J2077" s="1627" t="s">
        <v>566</v>
      </c>
      <c r="K2077" s="1640">
        <f t="shared" si="235"/>
        <v>574.69999999999993</v>
      </c>
      <c r="M2077" s="1715">
        <f>P2065</f>
        <v>6.0264000000000006</v>
      </c>
      <c r="N2077" s="1638" t="s">
        <v>152</v>
      </c>
      <c r="O2077" s="1627" t="s">
        <v>5213</v>
      </c>
      <c r="P2077" s="1640">
        <f t="shared" si="237"/>
        <v>387.4</v>
      </c>
      <c r="Q2077" s="1627" t="s">
        <v>152</v>
      </c>
      <c r="R2077" s="1640">
        <f t="shared" si="236"/>
        <v>2334.62736</v>
      </c>
      <c r="W2077" s="1634"/>
    </row>
    <row r="2078" spans="6:23" ht="24" customHeight="1">
      <c r="F2078" s="1640">
        <v>0.5</v>
      </c>
      <c r="G2078" s="1638" t="s">
        <v>153</v>
      </c>
      <c r="H2078" s="1627" t="s">
        <v>234</v>
      </c>
      <c r="I2078" s="1640">
        <f>(C11)</f>
        <v>1237.5999999999999</v>
      </c>
      <c r="J2078" s="1627" t="s">
        <v>566</v>
      </c>
      <c r="K2078" s="1640">
        <f t="shared" si="235"/>
        <v>618.79999999999995</v>
      </c>
      <c r="M2078" s="1715">
        <f>P2067</f>
        <v>7.3709999999999996</v>
      </c>
      <c r="N2078" s="1638" t="s">
        <v>152</v>
      </c>
      <c r="O2078" s="1627" t="s">
        <v>1817</v>
      </c>
      <c r="P2078" s="1640">
        <f t="shared" si="237"/>
        <v>1701</v>
      </c>
      <c r="Q2078" s="1627" t="s">
        <v>152</v>
      </c>
      <c r="R2078" s="1640">
        <f t="shared" si="236"/>
        <v>12538.071</v>
      </c>
      <c r="W2078" s="1634"/>
    </row>
    <row r="2079" spans="6:23" ht="24" customHeight="1">
      <c r="F2079" s="1640">
        <v>0.5</v>
      </c>
      <c r="G2079" s="1638" t="s">
        <v>153</v>
      </c>
      <c r="H2079" s="1627" t="s">
        <v>235</v>
      </c>
      <c r="I2079" s="1640">
        <f>(C12)</f>
        <v>865.19999999999993</v>
      </c>
      <c r="J2079" s="1627" t="s">
        <v>566</v>
      </c>
      <c r="K2079" s="1640">
        <f t="shared" si="235"/>
        <v>432.59999999999997</v>
      </c>
      <c r="M2079" s="1640">
        <f>P2069</f>
        <v>36</v>
      </c>
      <c r="N2079" s="1638" t="s">
        <v>153</v>
      </c>
      <c r="O2079" s="1627" t="s">
        <v>1776</v>
      </c>
      <c r="P2079" s="1640">
        <f t="shared" si="237"/>
        <v>57</v>
      </c>
      <c r="Q2079" s="1627" t="s">
        <v>153</v>
      </c>
      <c r="R2079" s="1640">
        <f t="shared" si="236"/>
        <v>2052</v>
      </c>
      <c r="W2079" s="1634"/>
    </row>
    <row r="2080" spans="6:23" ht="24" customHeight="1">
      <c r="G2080" s="1638" t="s">
        <v>226</v>
      </c>
      <c r="H2080" s="1627" t="s">
        <v>569</v>
      </c>
      <c r="I2080" s="1627" t="s">
        <v>150</v>
      </c>
      <c r="J2080" s="1627" t="s">
        <v>226</v>
      </c>
      <c r="K2080" s="1640">
        <v>2.73</v>
      </c>
      <c r="M2080" s="1640">
        <f>P2070</f>
        <v>18</v>
      </c>
      <c r="N2080" s="1638" t="s">
        <v>153</v>
      </c>
      <c r="O2080" s="1627" t="s">
        <v>1819</v>
      </c>
      <c r="P2080" s="1640">
        <f t="shared" si="237"/>
        <v>49.35</v>
      </c>
      <c r="Q2080" s="1627" t="s">
        <v>153</v>
      </c>
      <c r="R2080" s="1640">
        <f t="shared" si="236"/>
        <v>888.30000000000007</v>
      </c>
      <c r="W2080" s="1634"/>
    </row>
    <row r="2081" spans="6:23" ht="24" customHeight="1">
      <c r="H2081" s="1627" t="s">
        <v>570</v>
      </c>
      <c r="M2081" s="1640">
        <f>P2071</f>
        <v>18</v>
      </c>
      <c r="N2081" s="1638" t="s">
        <v>153</v>
      </c>
      <c r="O2081" s="1654" t="s">
        <v>5214</v>
      </c>
      <c r="P2081" s="1640">
        <f t="shared" si="237"/>
        <v>60.9</v>
      </c>
      <c r="Q2081" s="1627" t="s">
        <v>153</v>
      </c>
      <c r="R2081" s="1640">
        <f t="shared" si="236"/>
        <v>1096.2</v>
      </c>
      <c r="W2081" s="1634"/>
    </row>
    <row r="2082" spans="6:23" ht="24" customHeight="1">
      <c r="H2082" s="1627" t="s">
        <v>571</v>
      </c>
      <c r="M2082" s="1640">
        <f>P2072</f>
        <v>21.457800000000002</v>
      </c>
      <c r="N2082" s="1638" t="s">
        <v>152</v>
      </c>
      <c r="O2082" s="1627" t="s">
        <v>5215</v>
      </c>
      <c r="P2082" s="1640">
        <f t="shared" si="237"/>
        <v>63.2</v>
      </c>
      <c r="Q2082" s="1627" t="s">
        <v>152</v>
      </c>
      <c r="R2082" s="1640">
        <f t="shared" si="236"/>
        <v>1356.1329600000001</v>
      </c>
      <c r="W2082" s="1634"/>
    </row>
    <row r="2083" spans="6:23" ht="24" customHeight="1">
      <c r="H2083" s="1627" t="s">
        <v>572</v>
      </c>
      <c r="J2083" s="1627" t="s">
        <v>226</v>
      </c>
      <c r="K2083" s="1640">
        <v>0.27</v>
      </c>
      <c r="M2083" s="1629">
        <v>50</v>
      </c>
      <c r="N2083" s="1638" t="s">
        <v>154</v>
      </c>
      <c r="O2083" s="1627" t="s">
        <v>1822</v>
      </c>
      <c r="P2083" s="1640">
        <f t="shared" si="237"/>
        <v>283.40549999999996</v>
      </c>
      <c r="Q2083" s="1632" t="s">
        <v>153</v>
      </c>
      <c r="R2083" s="1640">
        <f t="shared" si="236"/>
        <v>14170.274999999998</v>
      </c>
      <c r="W2083" s="1634"/>
    </row>
    <row r="2084" spans="6:23" ht="24" customHeight="1">
      <c r="K2084" s="1636" t="s">
        <v>21</v>
      </c>
      <c r="N2084" s="1630"/>
      <c r="Q2084" s="1632"/>
      <c r="R2084" s="1636" t="s">
        <v>21</v>
      </c>
      <c r="W2084" s="1634"/>
    </row>
    <row r="2085" spans="6:23" ht="24" customHeight="1">
      <c r="H2085" s="1627" t="s">
        <v>561</v>
      </c>
      <c r="K2085" s="1640">
        <f>SUM(K2073:K2083)</f>
        <v>2202.35</v>
      </c>
      <c r="N2085" s="1630"/>
      <c r="O2085" s="1628" t="s">
        <v>1823</v>
      </c>
      <c r="Q2085" s="1632"/>
      <c r="R2085" s="1640">
        <f>SUM(R2074:R2083)</f>
        <v>67686.045232499993</v>
      </c>
      <c r="W2085" s="1634"/>
    </row>
    <row r="2086" spans="6:23" ht="24" customHeight="1">
      <c r="K2086" s="1636" t="s">
        <v>21</v>
      </c>
      <c r="N2086" s="1638" t="s">
        <v>150</v>
      </c>
      <c r="Q2086" s="1632"/>
      <c r="R2086" s="1636" t="s">
        <v>21</v>
      </c>
      <c r="W2086" s="1634"/>
    </row>
    <row r="2087" spans="6:23" ht="24" customHeight="1">
      <c r="H2087" s="1627" t="s">
        <v>562</v>
      </c>
      <c r="K2087" s="1640">
        <f>(K2085/3)</f>
        <v>734.11666666666667</v>
      </c>
      <c r="N2087" s="1630"/>
      <c r="O2087" s="1641" t="s">
        <v>155</v>
      </c>
      <c r="Q2087" s="1632"/>
      <c r="R2087" s="1639">
        <f>R2085/P2047</f>
        <v>8201.3867966194102</v>
      </c>
      <c r="W2087" s="1634"/>
    </row>
    <row r="2088" spans="6:23" ht="24" customHeight="1">
      <c r="K2088" s="1636" t="s">
        <v>21</v>
      </c>
      <c r="N2088" s="1630"/>
      <c r="Q2088" s="1632"/>
      <c r="R2088" s="1636" t="s">
        <v>156</v>
      </c>
      <c r="W2088" s="1634"/>
    </row>
    <row r="2089" spans="6:23" ht="24" customHeight="1">
      <c r="F2089" s="1628" t="s">
        <v>2253</v>
      </c>
      <c r="H2089" s="1627" t="s">
        <v>2254</v>
      </c>
      <c r="W2089" s="1634"/>
    </row>
    <row r="2090" spans="6:23" ht="24" customHeight="1">
      <c r="H2090" s="1627" t="s">
        <v>2255</v>
      </c>
      <c r="W2090" s="1634"/>
    </row>
    <row r="2091" spans="6:23" ht="24" customHeight="1">
      <c r="F2091" s="1627" t="s">
        <v>150</v>
      </c>
      <c r="H2091" s="1627" t="s">
        <v>2256</v>
      </c>
      <c r="W2091" s="1634"/>
    </row>
    <row r="2092" spans="6:23" ht="48" customHeight="1">
      <c r="H2092" s="1636" t="s">
        <v>21</v>
      </c>
      <c r="M2092" s="1778"/>
      <c r="N2092" s="1778"/>
      <c r="O2092" s="1778" t="s">
        <v>5683</v>
      </c>
      <c r="P2092" s="1778"/>
      <c r="Q2092" s="1778"/>
      <c r="R2092" s="1778"/>
      <c r="W2092" s="1634"/>
    </row>
    <row r="2093" spans="6:23" ht="24" customHeight="1">
      <c r="F2093" s="1640">
        <v>3</v>
      </c>
      <c r="G2093" s="1638" t="s">
        <v>2143</v>
      </c>
      <c r="H2093" s="1627" t="s">
        <v>2257</v>
      </c>
      <c r="I2093" s="1640">
        <f>D620</f>
        <v>120.54</v>
      </c>
      <c r="J2093" s="1627" t="s">
        <v>2143</v>
      </c>
      <c r="K2093" s="1640">
        <f>(F2093*I2093)</f>
        <v>361.62</v>
      </c>
      <c r="M2093" s="1786">
        <v>8.5000000000000006E-2</v>
      </c>
      <c r="N2093" s="1778" t="s">
        <v>313</v>
      </c>
      <c r="O2093" s="1778" t="s">
        <v>5684</v>
      </c>
      <c r="P2093" s="1778">
        <f>AA718</f>
        <v>9891.1648755000006</v>
      </c>
      <c r="Q2093" s="1778" t="s">
        <v>340</v>
      </c>
      <c r="R2093" s="1778">
        <f>M2093*P2093</f>
        <v>840.74901441750012</v>
      </c>
      <c r="W2093" s="1634"/>
    </row>
    <row r="2094" spans="6:23" ht="24" customHeight="1">
      <c r="F2094" s="1640">
        <v>1</v>
      </c>
      <c r="G2094" s="1638" t="s">
        <v>2094</v>
      </c>
      <c r="H2094" s="1627" t="s">
        <v>2258</v>
      </c>
      <c r="I2094" s="1640">
        <f>C648</f>
        <v>82.3</v>
      </c>
      <c r="J2094" s="1627" t="s">
        <v>2094</v>
      </c>
      <c r="K2094" s="1640">
        <f>(F2094*I2094)</f>
        <v>82.3</v>
      </c>
      <c r="M2094" s="1778">
        <v>8.5</v>
      </c>
      <c r="N2094" s="1778" t="s">
        <v>13</v>
      </c>
      <c r="O2094" s="1778" t="s">
        <v>5218</v>
      </c>
      <c r="P2094" s="1778">
        <f>K1608/1000</f>
        <v>98.792500000000004</v>
      </c>
      <c r="Q2094" s="1778" t="s">
        <v>13</v>
      </c>
      <c r="R2094" s="1778">
        <f>M2094*P2094</f>
        <v>839.73625000000004</v>
      </c>
      <c r="W2094" s="1634"/>
    </row>
    <row r="2095" spans="6:23" ht="24" customHeight="1">
      <c r="F2095" s="1640">
        <v>1</v>
      </c>
      <c r="G2095" s="1638" t="s">
        <v>2094</v>
      </c>
      <c r="H2095" s="1627" t="s">
        <v>2259</v>
      </c>
      <c r="I2095" s="1640">
        <v>8</v>
      </c>
      <c r="J2095" s="1627" t="s">
        <v>2094</v>
      </c>
      <c r="K2095" s="1640">
        <f>(F2095*I2095)</f>
        <v>8</v>
      </c>
      <c r="M2095" s="1778"/>
      <c r="N2095" s="1778"/>
      <c r="O2095" s="1778" t="s">
        <v>337</v>
      </c>
      <c r="P2095" s="1778"/>
      <c r="Q2095" s="1778"/>
      <c r="R2095" s="1787" t="s">
        <v>21</v>
      </c>
      <c r="W2095" s="1634"/>
    </row>
    <row r="2096" spans="6:23" ht="24" customHeight="1">
      <c r="F2096" s="1628" t="s">
        <v>2146</v>
      </c>
      <c r="H2096" s="1627" t="s">
        <v>2260</v>
      </c>
      <c r="I2096" s="1628" t="s">
        <v>2146</v>
      </c>
      <c r="K2096" s="1640">
        <f>1.21+0.47+0.4</f>
        <v>2.08</v>
      </c>
      <c r="M2096" s="1778"/>
      <c r="N2096" s="1778"/>
      <c r="O2096" s="1778"/>
      <c r="P2096" s="1778"/>
      <c r="Q2096" s="1778"/>
      <c r="R2096" s="1778">
        <f>SUM(R2093:R2095)</f>
        <v>1680.4852644175003</v>
      </c>
      <c r="W2096" s="1634"/>
    </row>
    <row r="2097" spans="6:23" ht="24" customHeight="1">
      <c r="K2097" s="1636" t="s">
        <v>21</v>
      </c>
      <c r="W2097" s="1634"/>
    </row>
    <row r="2098" spans="6:23" ht="24" customHeight="1">
      <c r="H2098" s="1627" t="s">
        <v>2261</v>
      </c>
      <c r="K2098" s="1640">
        <f>SUM(K2093:K2096)</f>
        <v>454</v>
      </c>
      <c r="M2098" s="1778"/>
      <c r="N2098" s="1778"/>
      <c r="O2098" s="1778" t="s">
        <v>5683</v>
      </c>
      <c r="P2098" s="1778"/>
      <c r="Q2098" s="1778"/>
      <c r="R2098" s="1778"/>
      <c r="W2098" s="1634"/>
    </row>
    <row r="2099" spans="6:23" ht="24" customHeight="1">
      <c r="K2099" s="1636" t="s">
        <v>21</v>
      </c>
      <c r="M2099" s="1786">
        <v>4.4999999999999998E-2</v>
      </c>
      <c r="N2099" s="1778" t="s">
        <v>313</v>
      </c>
      <c r="O2099" s="1778" t="s">
        <v>5217</v>
      </c>
      <c r="P2099" s="1778">
        <f>P2093</f>
        <v>9891.1648755000006</v>
      </c>
      <c r="Q2099" s="1778" t="s">
        <v>340</v>
      </c>
      <c r="R2099" s="1778">
        <f>M2099*P2099</f>
        <v>445.1024193975</v>
      </c>
      <c r="W2099" s="1634"/>
    </row>
    <row r="2100" spans="6:23" ht="24" customHeight="1">
      <c r="M2100" s="1778">
        <v>4.5</v>
      </c>
      <c r="N2100" s="1778" t="s">
        <v>13</v>
      </c>
      <c r="O2100" s="1778" t="s">
        <v>5218</v>
      </c>
      <c r="P2100" s="1778">
        <f>P2094</f>
        <v>98.792500000000004</v>
      </c>
      <c r="Q2100" s="1778" t="s">
        <v>13</v>
      </c>
      <c r="R2100" s="1778">
        <f>M2100*P2100</f>
        <v>444.56625000000003</v>
      </c>
      <c r="W2100" s="1634"/>
    </row>
    <row r="2101" spans="6:23" ht="24" customHeight="1">
      <c r="F2101" s="1628" t="s">
        <v>2262</v>
      </c>
      <c r="G2101" s="1638" t="s">
        <v>249</v>
      </c>
      <c r="H2101" s="1627" t="s">
        <v>2263</v>
      </c>
      <c r="M2101" s="1778"/>
      <c r="N2101" s="1778"/>
      <c r="O2101" s="1778" t="s">
        <v>337</v>
      </c>
      <c r="P2101" s="1778"/>
      <c r="Q2101" s="1778"/>
      <c r="R2101" s="1787" t="s">
        <v>21</v>
      </c>
      <c r="W2101" s="1634"/>
    </row>
    <row r="2102" spans="6:23" ht="24" customHeight="1">
      <c r="H2102" s="1627" t="s">
        <v>2264</v>
      </c>
      <c r="M2102" s="1778"/>
      <c r="N2102" s="1778"/>
      <c r="O2102" s="1778"/>
      <c r="P2102" s="1778"/>
      <c r="Q2102" s="1778"/>
      <c r="R2102" s="1778">
        <f>SUM(R2099:R2101)</f>
        <v>889.66866939750003</v>
      </c>
      <c r="W2102" s="1634"/>
    </row>
    <row r="2103" spans="6:23" ht="24" customHeight="1">
      <c r="H2103" s="1636" t="s">
        <v>21</v>
      </c>
      <c r="W2103" s="1634"/>
    </row>
    <row r="2104" spans="6:23" ht="24" customHeight="1">
      <c r="F2104" s="1640">
        <v>1</v>
      </c>
      <c r="G2104" s="1638" t="s">
        <v>153</v>
      </c>
      <c r="H2104" s="1627" t="s">
        <v>2264</v>
      </c>
      <c r="I2104" s="1640">
        <f>(C266)</f>
        <v>170.35</v>
      </c>
      <c r="J2104" s="1627" t="s">
        <v>153</v>
      </c>
      <c r="K2104" s="1640">
        <f>(F2104*I2104)</f>
        <v>170.35</v>
      </c>
      <c r="W2104" s="1634"/>
    </row>
    <row r="2105" spans="6:23" ht="24" customHeight="1">
      <c r="F2105" s="1640">
        <v>0.05</v>
      </c>
      <c r="G2105" s="1638" t="s">
        <v>151</v>
      </c>
      <c r="H2105" s="1627" t="s">
        <v>2265</v>
      </c>
      <c r="I2105" s="1640">
        <f>(R60)</f>
        <v>5639.2830000000004</v>
      </c>
      <c r="J2105" s="1627" t="s">
        <v>151</v>
      </c>
      <c r="K2105" s="1640">
        <f>(F2105*I2105)</f>
        <v>281.96415000000002</v>
      </c>
      <c r="M2105" s="1778"/>
      <c r="N2105" s="1778"/>
      <c r="O2105" s="1778" t="s">
        <v>5216</v>
      </c>
      <c r="P2105" s="1778"/>
      <c r="Q2105" s="1778"/>
      <c r="R2105" s="1778"/>
      <c r="W2105" s="1634"/>
    </row>
    <row r="2106" spans="6:23" ht="24" customHeight="1">
      <c r="F2106" s="1640">
        <v>0.5</v>
      </c>
      <c r="G2106" s="1638" t="s">
        <v>153</v>
      </c>
      <c r="H2106" s="1627" t="s">
        <v>558</v>
      </c>
      <c r="I2106" s="1640">
        <f>(C15)</f>
        <v>1149.3999999999999</v>
      </c>
      <c r="J2106" s="1627" t="s">
        <v>153</v>
      </c>
      <c r="K2106" s="1640">
        <f>(F2106*I2106)</f>
        <v>574.69999999999993</v>
      </c>
      <c r="M2106" s="1786">
        <v>8.5000000000000006E-2</v>
      </c>
      <c r="N2106" s="1778" t="s">
        <v>313</v>
      </c>
      <c r="O2106" s="1778" t="s">
        <v>5684</v>
      </c>
      <c r="P2106" s="1778">
        <f>AA718</f>
        <v>9891.1648755000006</v>
      </c>
      <c r="Q2106" s="1778" t="s">
        <v>340</v>
      </c>
      <c r="R2106" s="1778">
        <f>M2106*P2106</f>
        <v>840.74901441750012</v>
      </c>
      <c r="W2106" s="1634"/>
    </row>
    <row r="2107" spans="6:23" ht="24" customHeight="1">
      <c r="F2107" s="1640">
        <v>1</v>
      </c>
      <c r="G2107" s="1638" t="s">
        <v>153</v>
      </c>
      <c r="H2107" s="1627" t="s">
        <v>235</v>
      </c>
      <c r="I2107" s="1640">
        <f>(C12)</f>
        <v>865.19999999999993</v>
      </c>
      <c r="J2107" s="1627" t="s">
        <v>153</v>
      </c>
      <c r="K2107" s="1640">
        <f>(F2107*I2107)</f>
        <v>865.19999999999993</v>
      </c>
      <c r="M2107" s="1778">
        <v>8.5</v>
      </c>
      <c r="N2107" s="1778" t="s">
        <v>13</v>
      </c>
      <c r="O2107" s="1778" t="s">
        <v>5218</v>
      </c>
      <c r="P2107" s="1778">
        <f>P2100</f>
        <v>98.792500000000004</v>
      </c>
      <c r="Q2107" s="1778" t="s">
        <v>13</v>
      </c>
      <c r="R2107" s="1778">
        <f>M2107*P2107</f>
        <v>839.73625000000004</v>
      </c>
      <c r="W2107" s="1634"/>
    </row>
    <row r="2108" spans="6:23" ht="24" customHeight="1">
      <c r="F2108" s="1640">
        <v>1</v>
      </c>
      <c r="G2108" s="1638" t="s">
        <v>153</v>
      </c>
      <c r="H2108" s="1627" t="s">
        <v>236</v>
      </c>
      <c r="I2108" s="1640">
        <f>(C13)</f>
        <v>709.8</v>
      </c>
      <c r="J2108" s="1627" t="s">
        <v>153</v>
      </c>
      <c r="K2108" s="1640">
        <f>(F2108*I2108)</f>
        <v>709.8</v>
      </c>
      <c r="M2108" s="1778"/>
      <c r="N2108" s="1778"/>
      <c r="O2108" s="1778" t="s">
        <v>337</v>
      </c>
      <c r="P2108" s="1778"/>
      <c r="Q2108" s="1778"/>
      <c r="R2108" s="1787" t="s">
        <v>21</v>
      </c>
      <c r="W2108" s="1634"/>
    </row>
    <row r="2109" spans="6:23" ht="24" customHeight="1">
      <c r="G2109" s="1638" t="s">
        <v>226</v>
      </c>
      <c r="H2109" s="1627" t="s">
        <v>237</v>
      </c>
      <c r="I2109" s="1627" t="s">
        <v>150</v>
      </c>
      <c r="J2109" s="1627" t="s">
        <v>226</v>
      </c>
      <c r="K2109" s="1640">
        <v>0.54</v>
      </c>
      <c r="M2109" s="1778"/>
      <c r="N2109" s="1778"/>
      <c r="O2109" s="1778"/>
      <c r="P2109" s="1778"/>
      <c r="Q2109" s="1778"/>
      <c r="R2109" s="1778">
        <f>SUM(R2106:R2108)</f>
        <v>1680.4852644175003</v>
      </c>
      <c r="W2109" s="1634"/>
    </row>
    <row r="2110" spans="6:23" ht="24" customHeight="1">
      <c r="H2110" s="1627" t="s">
        <v>150</v>
      </c>
      <c r="K2110" s="1636" t="s">
        <v>21</v>
      </c>
      <c r="W2110" s="1634"/>
    </row>
    <row r="2111" spans="6:23" ht="24" customHeight="1">
      <c r="H2111" s="1627" t="s">
        <v>1233</v>
      </c>
      <c r="K2111" s="1640">
        <f>SUM(K2104:K2109)</f>
        <v>2602.5541499999999</v>
      </c>
      <c r="W2111" s="1634"/>
    </row>
    <row r="2112" spans="6:23" ht="66" customHeight="1">
      <c r="K2112" s="1636" t="s">
        <v>156</v>
      </c>
      <c r="M2112" s="1778"/>
      <c r="N2112" s="1778"/>
      <c r="O2112" s="1778" t="s">
        <v>5216</v>
      </c>
      <c r="P2112" s="1778"/>
      <c r="Q2112" s="1778"/>
      <c r="R2112" s="1778"/>
      <c r="W2112" s="1634"/>
    </row>
    <row r="2113" spans="6:23" ht="24" customHeight="1">
      <c r="F2113" s="1628" t="s">
        <v>2266</v>
      </c>
      <c r="G2113" s="1638" t="s">
        <v>249</v>
      </c>
      <c r="H2113" s="1627" t="s">
        <v>2267</v>
      </c>
      <c r="M2113" s="1786">
        <v>8.5000000000000006E-2</v>
      </c>
      <c r="N2113" s="1778" t="s">
        <v>313</v>
      </c>
      <c r="O2113" s="1778" t="s">
        <v>5684</v>
      </c>
      <c r="P2113" s="1778">
        <f>AA725</f>
        <v>0</v>
      </c>
      <c r="Q2113" s="1778" t="s">
        <v>340</v>
      </c>
      <c r="R2113" s="1778">
        <f>M2113*P2113</f>
        <v>0</v>
      </c>
      <c r="W2113" s="1634"/>
    </row>
    <row r="2114" spans="6:23" ht="24" customHeight="1">
      <c r="H2114" s="1627" t="s">
        <v>2268</v>
      </c>
      <c r="M2114" s="1778">
        <v>8.5</v>
      </c>
      <c r="N2114" s="1778" t="s">
        <v>13</v>
      </c>
      <c r="O2114" s="1778" t="s">
        <v>5218</v>
      </c>
      <c r="P2114" s="1778">
        <f>P2107</f>
        <v>98.792500000000004</v>
      </c>
      <c r="Q2114" s="1778" t="s">
        <v>13</v>
      </c>
      <c r="R2114" s="1778">
        <f>M2114*P2114</f>
        <v>839.73625000000004</v>
      </c>
      <c r="W2114" s="1634"/>
    </row>
    <row r="2115" spans="6:23" ht="24" customHeight="1">
      <c r="H2115" s="1636" t="s">
        <v>21</v>
      </c>
      <c r="M2115" s="1778"/>
      <c r="N2115" s="1778"/>
      <c r="O2115" s="1778" t="s">
        <v>337</v>
      </c>
      <c r="P2115" s="1778"/>
      <c r="Q2115" s="1778"/>
      <c r="R2115" s="1787" t="s">
        <v>21</v>
      </c>
      <c r="W2115" s="1634"/>
    </row>
    <row r="2116" spans="6:23" ht="24" customHeight="1">
      <c r="F2116" s="1640">
        <v>1</v>
      </c>
      <c r="G2116" s="1638" t="s">
        <v>153</v>
      </c>
      <c r="H2116" s="1627" t="s">
        <v>2269</v>
      </c>
      <c r="I2116" s="1640">
        <f>(D267)</f>
        <v>156</v>
      </c>
      <c r="J2116" s="1627" t="s">
        <v>153</v>
      </c>
      <c r="K2116" s="1640">
        <f>(F2116*I2116)</f>
        <v>156</v>
      </c>
      <c r="M2116" s="1778"/>
      <c r="N2116" s="1778"/>
      <c r="O2116" s="1778"/>
      <c r="P2116" s="1778"/>
      <c r="Q2116" s="1778"/>
      <c r="R2116" s="1778">
        <f>SUM(R2113:R2115)</f>
        <v>839.73625000000004</v>
      </c>
      <c r="W2116" s="1634"/>
    </row>
    <row r="2117" spans="6:23" ht="33" customHeight="1">
      <c r="G2117" s="1638" t="s">
        <v>226</v>
      </c>
      <c r="H2117" s="1627" t="s">
        <v>2270</v>
      </c>
      <c r="J2117" s="1627" t="s">
        <v>226</v>
      </c>
      <c r="K2117" s="1640">
        <v>4</v>
      </c>
      <c r="W2117" s="1634"/>
    </row>
    <row r="2118" spans="6:23" ht="24" customHeight="1">
      <c r="J2118" s="1627" t="s">
        <v>150</v>
      </c>
      <c r="K2118" s="1636" t="s">
        <v>21</v>
      </c>
      <c r="W2118" s="1634"/>
    </row>
    <row r="2119" spans="6:23" ht="49.5" customHeight="1">
      <c r="H2119" s="1627" t="s">
        <v>1233</v>
      </c>
      <c r="K2119" s="1640">
        <f>SUM(K2116:K2118)</f>
        <v>160</v>
      </c>
      <c r="W2119" s="1634"/>
    </row>
    <row r="2120" spans="6:23" ht="24" customHeight="1">
      <c r="K2120" s="1636" t="s">
        <v>21</v>
      </c>
      <c r="W2120" s="1634"/>
    </row>
    <row r="2121" spans="6:23" ht="24" customHeight="1">
      <c r="F2121" s="1628" t="s">
        <v>2271</v>
      </c>
      <c r="G2121" s="1638" t="s">
        <v>249</v>
      </c>
      <c r="H2121" s="1627" t="s">
        <v>2272</v>
      </c>
      <c r="W2121" s="1634"/>
    </row>
    <row r="2122" spans="6:23" ht="24" customHeight="1">
      <c r="H2122" s="1627" t="s">
        <v>2273</v>
      </c>
      <c r="W2122" s="1634"/>
    </row>
    <row r="2123" spans="6:23" ht="24" customHeight="1">
      <c r="H2123" s="1636" t="s">
        <v>21</v>
      </c>
      <c r="W2123" s="1634"/>
    </row>
    <row r="2124" spans="6:23" ht="24" customHeight="1">
      <c r="F2124" s="1640">
        <v>50</v>
      </c>
      <c r="G2124" s="1638" t="s">
        <v>153</v>
      </c>
      <c r="H2124" s="1627" t="s">
        <v>2274</v>
      </c>
      <c r="I2124" s="1640">
        <f>C204</f>
        <v>63.4</v>
      </c>
      <c r="J2124" s="1627" t="s">
        <v>153</v>
      </c>
      <c r="K2124" s="1640">
        <f t="shared" ref="K2124:K2133" si="238">(F2124*I2124)</f>
        <v>3170</v>
      </c>
      <c r="W2124" s="1634"/>
    </row>
    <row r="2125" spans="6:23" ht="24" customHeight="1">
      <c r="F2125" s="1640">
        <v>21.6</v>
      </c>
      <c r="G2125" s="1638" t="s">
        <v>151</v>
      </c>
      <c r="H2125" s="1627" t="s">
        <v>2275</v>
      </c>
      <c r="I2125" s="1640">
        <f>(C61*2)</f>
        <v>297.5</v>
      </c>
      <c r="J2125" s="1627" t="s">
        <v>151</v>
      </c>
      <c r="K2125" s="1640">
        <f t="shared" si="238"/>
        <v>6426</v>
      </c>
      <c r="W2125" s="1634"/>
    </row>
    <row r="2126" spans="6:23" ht="59.25" customHeight="1">
      <c r="F2126" s="1640">
        <v>21.6</v>
      </c>
      <c r="G2126" s="1638" t="s">
        <v>151</v>
      </c>
      <c r="H2126" s="1627" t="s">
        <v>2231</v>
      </c>
      <c r="I2126" s="1640">
        <f>(C26)</f>
        <v>51.730000000000004</v>
      </c>
      <c r="J2126" s="1627" t="s">
        <v>151</v>
      </c>
      <c r="K2126" s="1640">
        <f t="shared" si="238"/>
        <v>1117.3680000000002</v>
      </c>
      <c r="W2126" s="1634"/>
    </row>
    <row r="2127" spans="6:23" ht="24" customHeight="1">
      <c r="F2127" s="1640">
        <v>45</v>
      </c>
      <c r="G2127" s="1638" t="s">
        <v>13</v>
      </c>
      <c r="H2127" s="1627" t="s">
        <v>252</v>
      </c>
      <c r="I2127" s="1640">
        <f>(C67/1000)</f>
        <v>6.04</v>
      </c>
      <c r="J2127" s="1627" t="s">
        <v>13</v>
      </c>
      <c r="K2127" s="1640">
        <f t="shared" si="238"/>
        <v>271.8</v>
      </c>
      <c r="W2127" s="1634"/>
    </row>
    <row r="2128" spans="6:23" ht="24" customHeight="1">
      <c r="F2128" s="1640">
        <v>0.04</v>
      </c>
      <c r="G2128" s="1638" t="s">
        <v>151</v>
      </c>
      <c r="H2128" s="1627" t="s">
        <v>253</v>
      </c>
      <c r="I2128" s="1640">
        <f>(C78)</f>
        <v>2265.5</v>
      </c>
      <c r="J2128" s="1627" t="s">
        <v>151</v>
      </c>
      <c r="K2128" s="1640">
        <f t="shared" si="238"/>
        <v>90.62</v>
      </c>
      <c r="W2128" s="1634"/>
    </row>
    <row r="2129" spans="6:23" ht="24" customHeight="1">
      <c r="F2129" s="1640">
        <v>3.63</v>
      </c>
      <c r="G2129" s="1638" t="s">
        <v>13</v>
      </c>
      <c r="H2129" s="1627" t="s">
        <v>2276</v>
      </c>
      <c r="I2129" s="1640">
        <f>(C607)</f>
        <v>11.8</v>
      </c>
      <c r="J2129" s="1627" t="s">
        <v>13</v>
      </c>
      <c r="K2129" s="1640">
        <f t="shared" si="238"/>
        <v>42.834000000000003</v>
      </c>
      <c r="W2129" s="1634"/>
    </row>
    <row r="2130" spans="6:23" ht="24" customHeight="1">
      <c r="F2130" s="1640">
        <v>2</v>
      </c>
      <c r="G2130" s="1638" t="s">
        <v>153</v>
      </c>
      <c r="H2130" s="1627" t="s">
        <v>269</v>
      </c>
      <c r="I2130" s="1640">
        <f>(C10)</f>
        <v>1325.8</v>
      </c>
      <c r="J2130" s="1627" t="s">
        <v>153</v>
      </c>
      <c r="K2130" s="1640">
        <f t="shared" si="238"/>
        <v>2651.6</v>
      </c>
      <c r="W2130" s="1634"/>
    </row>
    <row r="2131" spans="6:23" ht="24" customHeight="1">
      <c r="F2131" s="1640">
        <v>1</v>
      </c>
      <c r="G2131" s="1638" t="s">
        <v>153</v>
      </c>
      <c r="H2131" s="1627" t="s">
        <v>2277</v>
      </c>
      <c r="I2131" s="1640">
        <f>AG37</f>
        <v>1114.3999999999999</v>
      </c>
      <c r="J2131" s="1627" t="s">
        <v>153</v>
      </c>
      <c r="K2131" s="1640">
        <f t="shared" si="238"/>
        <v>1114.3999999999999</v>
      </c>
      <c r="W2131" s="1634"/>
    </row>
    <row r="2132" spans="6:23" ht="24" customHeight="1">
      <c r="F2132" s="1640">
        <v>5</v>
      </c>
      <c r="G2132" s="1638" t="s">
        <v>153</v>
      </c>
      <c r="H2132" s="1627" t="s">
        <v>235</v>
      </c>
      <c r="I2132" s="1640">
        <f>(C12)</f>
        <v>865.19999999999993</v>
      </c>
      <c r="J2132" s="1627" t="s">
        <v>153</v>
      </c>
      <c r="K2132" s="1640">
        <f t="shared" si="238"/>
        <v>4326</v>
      </c>
      <c r="W2132" s="1634"/>
    </row>
    <row r="2133" spans="6:23" ht="24" customHeight="1">
      <c r="F2133" s="1640">
        <v>2</v>
      </c>
      <c r="G2133" s="1638" t="s">
        <v>153</v>
      </c>
      <c r="H2133" s="1627" t="s">
        <v>236</v>
      </c>
      <c r="I2133" s="1640">
        <f>(C13)</f>
        <v>709.8</v>
      </c>
      <c r="J2133" s="1627" t="s">
        <v>153</v>
      </c>
      <c r="K2133" s="1640">
        <f t="shared" si="238"/>
        <v>1419.6</v>
      </c>
      <c r="W2133" s="1634"/>
    </row>
    <row r="2134" spans="6:23" ht="24" customHeight="1">
      <c r="G2134" s="1638" t="s">
        <v>226</v>
      </c>
      <c r="H2134" s="1627" t="s">
        <v>2278</v>
      </c>
      <c r="J2134" s="1627" t="s">
        <v>226</v>
      </c>
      <c r="K2134" s="1640">
        <f>SUM(K2130:K2133)/10+7.5</f>
        <v>958.66000000000008</v>
      </c>
      <c r="W2134" s="1634"/>
    </row>
    <row r="2135" spans="6:23" ht="24" customHeight="1">
      <c r="K2135" s="1636" t="s">
        <v>21</v>
      </c>
      <c r="W2135" s="1634"/>
    </row>
    <row r="2136" spans="6:23" ht="24" customHeight="1">
      <c r="H2136" s="1627" t="s">
        <v>2279</v>
      </c>
      <c r="K2136" s="1640">
        <f>SUM(K2124:K2134)</f>
        <v>21588.882000000001</v>
      </c>
      <c r="W2136" s="1634"/>
    </row>
    <row r="2137" spans="6:23" ht="24" customHeight="1">
      <c r="K2137" s="1636" t="s">
        <v>21</v>
      </c>
      <c r="W2137" s="1634"/>
    </row>
    <row r="2138" spans="6:23" ht="24" customHeight="1">
      <c r="H2138" s="1627" t="s">
        <v>2280</v>
      </c>
      <c r="K2138" s="1640">
        <f>(K2136/30)</f>
        <v>719.62940000000003</v>
      </c>
      <c r="W2138" s="1634"/>
    </row>
    <row r="2139" spans="6:23" ht="24" customHeight="1">
      <c r="K2139" s="1636" t="s">
        <v>156</v>
      </c>
      <c r="W2139" s="1634"/>
    </row>
    <row r="2140" spans="6:23" ht="24" customHeight="1">
      <c r="W2140" s="1634"/>
    </row>
    <row r="2141" spans="6:23" ht="24" customHeight="1">
      <c r="F2141" s="1628" t="s">
        <v>2281</v>
      </c>
      <c r="G2141" s="1638" t="s">
        <v>249</v>
      </c>
      <c r="H2141" s="1627" t="s">
        <v>2282</v>
      </c>
      <c r="W2141" s="1634"/>
    </row>
    <row r="2142" spans="6:23" ht="24" customHeight="1">
      <c r="H2142" s="1627" t="s">
        <v>2273</v>
      </c>
      <c r="W2142" s="1634"/>
    </row>
    <row r="2143" spans="6:23" ht="24" customHeight="1">
      <c r="H2143" s="1636" t="s">
        <v>21</v>
      </c>
      <c r="W2143" s="1634"/>
    </row>
    <row r="2144" spans="6:23" ht="24" customHeight="1">
      <c r="F2144" s="1640">
        <v>50</v>
      </c>
      <c r="G2144" s="1638" t="s">
        <v>153</v>
      </c>
      <c r="H2144" s="1627" t="s">
        <v>2283</v>
      </c>
      <c r="I2144" s="1640">
        <f>C205</f>
        <v>102</v>
      </c>
      <c r="J2144" s="1627" t="s">
        <v>153</v>
      </c>
      <c r="K2144" s="1640">
        <f t="shared" ref="K2144:K2153" si="239">(F2144*I2144)</f>
        <v>5100</v>
      </c>
      <c r="W2144" s="1634"/>
    </row>
    <row r="2145" spans="6:23" ht="24" customHeight="1">
      <c r="F2145" s="1640">
        <v>21.6</v>
      </c>
      <c r="G2145" s="1638" t="s">
        <v>151</v>
      </c>
      <c r="H2145" s="1627" t="s">
        <v>2275</v>
      </c>
      <c r="I2145" s="1640">
        <f>(C61*2)</f>
        <v>297.5</v>
      </c>
      <c r="J2145" s="1627" t="s">
        <v>151</v>
      </c>
      <c r="K2145" s="1640">
        <f t="shared" si="239"/>
        <v>6426</v>
      </c>
      <c r="W2145" s="1634"/>
    </row>
    <row r="2146" spans="6:23" ht="24" customHeight="1">
      <c r="F2146" s="1640">
        <v>21.6</v>
      </c>
      <c r="G2146" s="1638" t="s">
        <v>151</v>
      </c>
      <c r="H2146" s="1627" t="s">
        <v>2231</v>
      </c>
      <c r="I2146" s="1640">
        <f>(C26)</f>
        <v>51.730000000000004</v>
      </c>
      <c r="J2146" s="1627" t="s">
        <v>151</v>
      </c>
      <c r="K2146" s="1640">
        <f t="shared" si="239"/>
        <v>1117.3680000000002</v>
      </c>
      <c r="W2146" s="1634"/>
    </row>
    <row r="2147" spans="6:23" ht="24" customHeight="1">
      <c r="F2147" s="1640">
        <v>68</v>
      </c>
      <c r="G2147" s="1638" t="s">
        <v>13</v>
      </c>
      <c r="H2147" s="1627" t="s">
        <v>252</v>
      </c>
      <c r="I2147" s="1640">
        <f>(C67/1000)</f>
        <v>6.04</v>
      </c>
      <c r="J2147" s="1627" t="s">
        <v>13</v>
      </c>
      <c r="K2147" s="1640">
        <f t="shared" si="239"/>
        <v>410.72</v>
      </c>
      <c r="W2147" s="1634"/>
    </row>
    <row r="2148" spans="6:23" ht="24" customHeight="1">
      <c r="F2148" s="1640">
        <v>7.0000000000000007E-2</v>
      </c>
      <c r="G2148" s="1638" t="s">
        <v>151</v>
      </c>
      <c r="H2148" s="1627" t="s">
        <v>253</v>
      </c>
      <c r="I2148" s="1640">
        <f>(C78)</f>
        <v>2265.5</v>
      </c>
      <c r="J2148" s="1627" t="s">
        <v>151</v>
      </c>
      <c r="K2148" s="1640">
        <f t="shared" si="239"/>
        <v>158.58500000000001</v>
      </c>
      <c r="M2148" s="1628" t="s">
        <v>2281</v>
      </c>
      <c r="N2148" s="1638" t="s">
        <v>249</v>
      </c>
      <c r="O2148" s="1627" t="s">
        <v>2284</v>
      </c>
      <c r="Q2148" s="1632"/>
      <c r="W2148" s="1634"/>
    </row>
    <row r="2149" spans="6:23" ht="24" customHeight="1">
      <c r="F2149" s="1640">
        <v>5.45</v>
      </c>
      <c r="G2149" s="1638" t="s">
        <v>13</v>
      </c>
      <c r="H2149" s="1627" t="s">
        <v>2276</v>
      </c>
      <c r="I2149" s="1640">
        <f>(C607)</f>
        <v>11.8</v>
      </c>
      <c r="J2149" s="1627" t="s">
        <v>13</v>
      </c>
      <c r="K2149" s="1640">
        <f t="shared" si="239"/>
        <v>64.31</v>
      </c>
      <c r="N2149" s="1630"/>
      <c r="O2149" s="1627" t="s">
        <v>2273</v>
      </c>
      <c r="Q2149" s="1632"/>
      <c r="W2149" s="1634"/>
    </row>
    <row r="2150" spans="6:23" ht="24" customHeight="1">
      <c r="F2150" s="1640">
        <v>3</v>
      </c>
      <c r="G2150" s="1638" t="s">
        <v>153</v>
      </c>
      <c r="H2150" s="1627" t="s">
        <v>269</v>
      </c>
      <c r="I2150" s="1640">
        <f>(C10)</f>
        <v>1325.8</v>
      </c>
      <c r="J2150" s="1627" t="s">
        <v>153</v>
      </c>
      <c r="K2150" s="1640">
        <f t="shared" si="239"/>
        <v>3977.3999999999996</v>
      </c>
      <c r="N2150" s="1630"/>
      <c r="O2150" s="1636" t="s">
        <v>21</v>
      </c>
      <c r="Q2150" s="1632"/>
      <c r="W2150" s="1634"/>
    </row>
    <row r="2151" spans="6:23" ht="39" customHeight="1">
      <c r="F2151" s="1640">
        <v>2</v>
      </c>
      <c r="G2151" s="1638" t="s">
        <v>153</v>
      </c>
      <c r="H2151" s="1627" t="s">
        <v>2277</v>
      </c>
      <c r="I2151" s="1640">
        <f>AG37</f>
        <v>1114.3999999999999</v>
      </c>
      <c r="J2151" s="1627" t="s">
        <v>153</v>
      </c>
      <c r="K2151" s="1640">
        <f t="shared" si="239"/>
        <v>2228.7999999999997</v>
      </c>
      <c r="M2151" s="1640">
        <v>50</v>
      </c>
      <c r="N2151" s="1638" t="s">
        <v>153</v>
      </c>
      <c r="O2151" s="1680" t="s">
        <v>5685</v>
      </c>
      <c r="P2151" s="1781">
        <v>455</v>
      </c>
      <c r="Q2151" s="1627" t="s">
        <v>153</v>
      </c>
      <c r="R2151" s="1640">
        <f t="shared" ref="R2151:R2160" si="240">(M2151*P2151)</f>
        <v>22750</v>
      </c>
      <c r="W2151" s="1634"/>
    </row>
    <row r="2152" spans="6:23" ht="24" customHeight="1">
      <c r="F2152" s="1640">
        <v>6</v>
      </c>
      <c r="G2152" s="1638" t="s">
        <v>153</v>
      </c>
      <c r="H2152" s="1627" t="s">
        <v>235</v>
      </c>
      <c r="I2152" s="1640">
        <f>(C12)</f>
        <v>865.19999999999993</v>
      </c>
      <c r="J2152" s="1627" t="s">
        <v>153</v>
      </c>
      <c r="K2152" s="1640">
        <f t="shared" si="239"/>
        <v>5191.2</v>
      </c>
      <c r="M2152" s="1640">
        <v>21.6</v>
      </c>
      <c r="N2152" s="1638" t="s">
        <v>151</v>
      </c>
      <c r="O2152" s="1627" t="s">
        <v>2275</v>
      </c>
      <c r="P2152" s="1640">
        <f>I2145</f>
        <v>297.5</v>
      </c>
      <c r="Q2152" s="1627" t="s">
        <v>151</v>
      </c>
      <c r="R2152" s="1640">
        <f t="shared" si="240"/>
        <v>6426</v>
      </c>
      <c r="W2152" s="1634"/>
    </row>
    <row r="2153" spans="6:23" ht="24" customHeight="1">
      <c r="F2153" s="1640">
        <v>3</v>
      </c>
      <c r="G2153" s="1638" t="s">
        <v>153</v>
      </c>
      <c r="H2153" s="1627" t="s">
        <v>236</v>
      </c>
      <c r="I2153" s="1640">
        <f>(C13)</f>
        <v>709.8</v>
      </c>
      <c r="J2153" s="1627" t="s">
        <v>153</v>
      </c>
      <c r="K2153" s="1640">
        <f t="shared" si="239"/>
        <v>2129.3999999999996</v>
      </c>
      <c r="M2153" s="1640">
        <v>21.6</v>
      </c>
      <c r="N2153" s="1638" t="s">
        <v>151</v>
      </c>
      <c r="O2153" s="1627" t="s">
        <v>2231</v>
      </c>
      <c r="P2153" s="1640">
        <f t="shared" ref="P2153:P2160" si="241">I2146</f>
        <v>51.730000000000004</v>
      </c>
      <c r="Q2153" s="1627" t="s">
        <v>151</v>
      </c>
      <c r="R2153" s="1640">
        <f t="shared" si="240"/>
        <v>1117.3680000000002</v>
      </c>
      <c r="W2153" s="1634"/>
    </row>
    <row r="2154" spans="6:23" ht="24" customHeight="1">
      <c r="G2154" s="1638" t="s">
        <v>226</v>
      </c>
      <c r="H2154" s="1627" t="s">
        <v>2278</v>
      </c>
      <c r="J2154" s="1627" t="s">
        <v>226</v>
      </c>
      <c r="K2154" s="1640">
        <f>SUM(K2150:K2153)/10+4.8</f>
        <v>1357.4799999999998</v>
      </c>
      <c r="M2154" s="1640">
        <v>115</v>
      </c>
      <c r="N2154" s="1638" t="s">
        <v>13</v>
      </c>
      <c r="O2154" s="1627" t="s">
        <v>252</v>
      </c>
      <c r="P2154" s="1640">
        <f t="shared" si="241"/>
        <v>6.04</v>
      </c>
      <c r="Q2154" s="1627" t="s">
        <v>13</v>
      </c>
      <c r="R2154" s="1640">
        <f t="shared" si="240"/>
        <v>694.6</v>
      </c>
      <c r="W2154" s="1634"/>
    </row>
    <row r="2155" spans="6:23" ht="24" customHeight="1">
      <c r="K2155" s="1636" t="s">
        <v>21</v>
      </c>
      <c r="M2155" s="1640">
        <v>0.11</v>
      </c>
      <c r="N2155" s="1638" t="s">
        <v>151</v>
      </c>
      <c r="O2155" s="1627" t="s">
        <v>253</v>
      </c>
      <c r="P2155" s="1640">
        <f t="shared" si="241"/>
        <v>2265.5</v>
      </c>
      <c r="Q2155" s="1627" t="s">
        <v>151</v>
      </c>
      <c r="R2155" s="1640">
        <f t="shared" si="240"/>
        <v>249.20500000000001</v>
      </c>
      <c r="W2155" s="1634"/>
    </row>
    <row r="2156" spans="6:23" ht="24" customHeight="1">
      <c r="H2156" s="1627" t="s">
        <v>2279</v>
      </c>
      <c r="K2156" s="1640">
        <f>SUM(K2144:K2154)</f>
        <v>28161.262999999995</v>
      </c>
      <c r="M2156" s="1640">
        <v>8.35</v>
      </c>
      <c r="N2156" s="1638" t="s">
        <v>13</v>
      </c>
      <c r="O2156" s="1627" t="s">
        <v>2276</v>
      </c>
      <c r="P2156" s="1640">
        <f t="shared" si="241"/>
        <v>11.8</v>
      </c>
      <c r="Q2156" s="1627" t="s">
        <v>13</v>
      </c>
      <c r="R2156" s="1640">
        <f t="shared" si="240"/>
        <v>98.53</v>
      </c>
      <c r="W2156" s="1634"/>
    </row>
    <row r="2157" spans="6:23" ht="24" customHeight="1">
      <c r="K2157" s="1636" t="s">
        <v>21</v>
      </c>
      <c r="M2157" s="1640">
        <v>5</v>
      </c>
      <c r="N2157" s="1638" t="s">
        <v>153</v>
      </c>
      <c r="O2157" s="1627" t="s">
        <v>269</v>
      </c>
      <c r="P2157" s="1640">
        <f t="shared" si="241"/>
        <v>1325.8</v>
      </c>
      <c r="Q2157" s="1627" t="s">
        <v>153</v>
      </c>
      <c r="R2157" s="1640">
        <f t="shared" si="240"/>
        <v>6629</v>
      </c>
      <c r="W2157" s="1634"/>
    </row>
    <row r="2158" spans="6:23" ht="24" customHeight="1">
      <c r="H2158" s="1627" t="s">
        <v>2280</v>
      </c>
      <c r="K2158" s="1640">
        <f>(K2156/30)</f>
        <v>938.70876666666652</v>
      </c>
      <c r="M2158" s="1640">
        <v>3</v>
      </c>
      <c r="N2158" s="1638" t="s">
        <v>153</v>
      </c>
      <c r="O2158" s="1627" t="s">
        <v>2277</v>
      </c>
      <c r="P2158" s="1640">
        <f t="shared" si="241"/>
        <v>1114.3999999999999</v>
      </c>
      <c r="Q2158" s="1627" t="s">
        <v>153</v>
      </c>
      <c r="R2158" s="1640">
        <f t="shared" si="240"/>
        <v>3343.2</v>
      </c>
      <c r="W2158" s="1634"/>
    </row>
    <row r="2159" spans="6:23" ht="24" customHeight="1">
      <c r="K2159" s="1636" t="s">
        <v>156</v>
      </c>
      <c r="M2159" s="1640">
        <v>7</v>
      </c>
      <c r="N2159" s="1638" t="s">
        <v>153</v>
      </c>
      <c r="O2159" s="1627" t="s">
        <v>235</v>
      </c>
      <c r="P2159" s="1640">
        <f t="shared" si="241"/>
        <v>865.19999999999993</v>
      </c>
      <c r="Q2159" s="1627" t="s">
        <v>153</v>
      </c>
      <c r="R2159" s="1640">
        <f t="shared" si="240"/>
        <v>6056.4</v>
      </c>
      <c r="W2159" s="1634"/>
    </row>
    <row r="2160" spans="6:23" ht="24" customHeight="1">
      <c r="F2160" s="1628" t="s">
        <v>2286</v>
      </c>
      <c r="G2160" s="1638" t="s">
        <v>249</v>
      </c>
      <c r="H2160" s="1627" t="s">
        <v>2272</v>
      </c>
      <c r="M2160" s="1640">
        <v>5</v>
      </c>
      <c r="N2160" s="1638" t="s">
        <v>153</v>
      </c>
      <c r="O2160" s="1627" t="s">
        <v>236</v>
      </c>
      <c r="P2160" s="1640">
        <f t="shared" si="241"/>
        <v>709.8</v>
      </c>
      <c r="Q2160" s="1627" t="s">
        <v>153</v>
      </c>
      <c r="R2160" s="1640">
        <f t="shared" si="240"/>
        <v>3549</v>
      </c>
      <c r="W2160" s="1634"/>
    </row>
    <row r="2161" spans="6:23" ht="24" customHeight="1">
      <c r="H2161" s="1627" t="s">
        <v>2287</v>
      </c>
      <c r="N2161" s="1638" t="s">
        <v>226</v>
      </c>
      <c r="O2161" s="1627" t="s">
        <v>2278</v>
      </c>
      <c r="Q2161" s="1627" t="s">
        <v>226</v>
      </c>
      <c r="R2161" s="1640">
        <v>234</v>
      </c>
      <c r="W2161" s="1634"/>
    </row>
    <row r="2162" spans="6:23" ht="24" customHeight="1">
      <c r="H2162" s="1636" t="s">
        <v>21</v>
      </c>
      <c r="N2162" s="1630"/>
      <c r="Q2162" s="1632"/>
      <c r="R2162" s="1636" t="s">
        <v>21</v>
      </c>
      <c r="W2162" s="1634"/>
    </row>
    <row r="2163" spans="6:23" ht="24" customHeight="1">
      <c r="F2163" s="1640">
        <v>50</v>
      </c>
      <c r="G2163" s="1638" t="s">
        <v>153</v>
      </c>
      <c r="H2163" s="1627" t="s">
        <v>2288</v>
      </c>
      <c r="I2163" s="1640">
        <f>C204</f>
        <v>63.4</v>
      </c>
      <c r="J2163" s="1627" t="s">
        <v>153</v>
      </c>
      <c r="K2163" s="1640">
        <f>(F2163*I2163)</f>
        <v>3170</v>
      </c>
      <c r="N2163" s="1630"/>
      <c r="O2163" s="1627" t="s">
        <v>2279</v>
      </c>
      <c r="Q2163" s="1632"/>
      <c r="R2163" s="1640">
        <f>SUM(R2151:R2161)</f>
        <v>51147.302999999993</v>
      </c>
      <c r="W2163" s="1634"/>
    </row>
    <row r="2164" spans="6:23" ht="24" customHeight="1">
      <c r="F2164" s="1640">
        <v>1</v>
      </c>
      <c r="G2164" s="1638" t="s">
        <v>153</v>
      </c>
      <c r="H2164" s="1627" t="s">
        <v>2277</v>
      </c>
      <c r="I2164" s="1640">
        <f>AG37</f>
        <v>1114.3999999999999</v>
      </c>
      <c r="J2164" s="1627" t="s">
        <v>153</v>
      </c>
      <c r="K2164" s="1640">
        <f>(F2164*I2164)</f>
        <v>1114.3999999999999</v>
      </c>
      <c r="N2164" s="1630"/>
      <c r="Q2164" s="1632"/>
      <c r="R2164" s="1636" t="s">
        <v>21</v>
      </c>
      <c r="W2164" s="1634"/>
    </row>
    <row r="2165" spans="6:23" ht="24" customHeight="1">
      <c r="F2165" s="1640">
        <v>5</v>
      </c>
      <c r="G2165" s="1638" t="s">
        <v>153</v>
      </c>
      <c r="H2165" s="1627" t="s">
        <v>235</v>
      </c>
      <c r="I2165" s="1640">
        <f>C12</f>
        <v>865.19999999999993</v>
      </c>
      <c r="J2165" s="1627" t="s">
        <v>153</v>
      </c>
      <c r="K2165" s="1640">
        <f>(F2165*I2165)</f>
        <v>4326</v>
      </c>
      <c r="N2165" s="1630"/>
      <c r="O2165" s="1627" t="s">
        <v>2280</v>
      </c>
      <c r="Q2165" s="1632"/>
      <c r="R2165" s="1640">
        <f>(R2163/30)</f>
        <v>1704.9100999999998</v>
      </c>
      <c r="W2165" s="1634"/>
    </row>
    <row r="2166" spans="6:23" ht="24" customHeight="1">
      <c r="H2166" s="1627" t="s">
        <v>337</v>
      </c>
      <c r="K2166" s="1656">
        <v>1.8</v>
      </c>
      <c r="N2166" s="1630"/>
      <c r="Q2166" s="1632"/>
      <c r="R2166" s="1636" t="s">
        <v>156</v>
      </c>
      <c r="W2166" s="1634"/>
    </row>
    <row r="2167" spans="6:23" ht="24" customHeight="1">
      <c r="H2167" s="1627" t="s">
        <v>2279</v>
      </c>
      <c r="K2167" s="1640">
        <f>SUM(K2163:K2166)</f>
        <v>8612.1999999999989</v>
      </c>
      <c r="W2167" s="1634"/>
    </row>
    <row r="2168" spans="6:23" ht="24" customHeight="1">
      <c r="F2168" s="1627" t="s">
        <v>150</v>
      </c>
      <c r="K2168" s="1636" t="s">
        <v>21</v>
      </c>
      <c r="W2168" s="1634"/>
    </row>
    <row r="2169" spans="6:23" ht="24" customHeight="1">
      <c r="H2169" s="1627" t="s">
        <v>2280</v>
      </c>
      <c r="K2169" s="1640">
        <f>(K2167/30)</f>
        <v>287.07333333333332</v>
      </c>
      <c r="W2169" s="1634"/>
    </row>
    <row r="2170" spans="6:23" ht="24" customHeight="1">
      <c r="F2170" s="1627" t="s">
        <v>150</v>
      </c>
      <c r="W2170" s="1634"/>
    </row>
    <row r="2171" spans="6:23" ht="24" customHeight="1">
      <c r="F2171" s="1627" t="s">
        <v>150</v>
      </c>
      <c r="W2171" s="1634"/>
    </row>
    <row r="2172" spans="6:23" ht="24" customHeight="1">
      <c r="K2172" s="1636" t="s">
        <v>156</v>
      </c>
      <c r="W2172" s="1634"/>
    </row>
    <row r="2173" spans="6:23" ht="24" customHeight="1">
      <c r="F2173" s="1628" t="s">
        <v>2281</v>
      </c>
      <c r="G2173" s="1638" t="s">
        <v>249</v>
      </c>
      <c r="H2173" s="1627" t="s">
        <v>2282</v>
      </c>
      <c r="W2173" s="1634"/>
    </row>
    <row r="2174" spans="6:23" ht="24" customHeight="1">
      <c r="H2174" s="1640" t="str">
        <f>H2161</f>
        <v>DIA S.W.PIPE(LOOSE JOINTING)</v>
      </c>
      <c r="W2174" s="1634"/>
    </row>
    <row r="2175" spans="6:23" ht="24" customHeight="1">
      <c r="H2175" s="1636" t="s">
        <v>21</v>
      </c>
      <c r="W2175" s="1634"/>
    </row>
    <row r="2176" spans="6:23" ht="24" customHeight="1">
      <c r="F2176" s="1640">
        <v>50</v>
      </c>
      <c r="G2176" s="1638" t="s">
        <v>153</v>
      </c>
      <c r="H2176" s="1627" t="s">
        <v>2289</v>
      </c>
      <c r="I2176" s="1640">
        <f>C205</f>
        <v>102</v>
      </c>
      <c r="J2176" s="1627" t="s">
        <v>153</v>
      </c>
      <c r="K2176" s="1640">
        <f>(F2176*I2176)</f>
        <v>5100</v>
      </c>
      <c r="W2176" s="1634"/>
    </row>
    <row r="2177" spans="6:23" ht="24" customHeight="1">
      <c r="F2177" s="1640">
        <v>2</v>
      </c>
      <c r="G2177" s="1638" t="s">
        <v>153</v>
      </c>
      <c r="H2177" s="1627" t="s">
        <v>2277</v>
      </c>
      <c r="I2177" s="1640">
        <f>AG37</f>
        <v>1114.3999999999999</v>
      </c>
      <c r="J2177" s="1627" t="s">
        <v>153</v>
      </c>
      <c r="K2177" s="1640">
        <f>(F2177*I2177)</f>
        <v>2228.7999999999997</v>
      </c>
      <c r="W2177" s="1634"/>
    </row>
    <row r="2178" spans="6:23" ht="24" customHeight="1">
      <c r="F2178" s="1640">
        <v>6</v>
      </c>
      <c r="G2178" s="1638" t="s">
        <v>153</v>
      </c>
      <c r="H2178" s="1627" t="s">
        <v>235</v>
      </c>
      <c r="I2178" s="1640">
        <f>C12</f>
        <v>865.19999999999993</v>
      </c>
      <c r="J2178" s="1627" t="s">
        <v>153</v>
      </c>
      <c r="K2178" s="1640">
        <f>(F2178*I2178)</f>
        <v>5191.2</v>
      </c>
      <c r="W2178" s="1634"/>
    </row>
    <row r="2179" spans="6:23" ht="24" customHeight="1">
      <c r="H2179" s="1627" t="s">
        <v>337</v>
      </c>
      <c r="K2179" s="1656">
        <v>0.6</v>
      </c>
      <c r="W2179" s="1634"/>
    </row>
    <row r="2180" spans="6:23" ht="24" customHeight="1">
      <c r="H2180" s="1627" t="s">
        <v>2279</v>
      </c>
      <c r="K2180" s="1640">
        <f>SUM(K2176:K2179)</f>
        <v>12520.6</v>
      </c>
      <c r="W2180" s="1634"/>
    </row>
    <row r="2181" spans="6:23" ht="24" customHeight="1">
      <c r="K2181" s="1636" t="s">
        <v>21</v>
      </c>
      <c r="W2181" s="1634"/>
    </row>
    <row r="2182" spans="6:23" ht="24" customHeight="1">
      <c r="H2182" s="1627" t="s">
        <v>2280</v>
      </c>
      <c r="K2182" s="1640">
        <f>(K2180/30)</f>
        <v>417.35333333333335</v>
      </c>
      <c r="W2182" s="1634"/>
    </row>
    <row r="2183" spans="6:23" ht="24" customHeight="1">
      <c r="K2183" s="1636" t="s">
        <v>156</v>
      </c>
      <c r="W2183" s="1634"/>
    </row>
    <row r="2184" spans="6:23" ht="24" customHeight="1">
      <c r="H2184" s="1628" t="s">
        <v>2290</v>
      </c>
      <c r="K2184" s="1640">
        <f>SUM(K2181:K2182)</f>
        <v>417.35333333333335</v>
      </c>
      <c r="W2184" s="1634"/>
    </row>
    <row r="2185" spans="6:23" ht="24" customHeight="1">
      <c r="K2185" s="1636" t="s">
        <v>156</v>
      </c>
      <c r="W2185" s="1634"/>
    </row>
    <row r="2186" spans="6:23" ht="24" customHeight="1">
      <c r="F2186" s="1628" t="s">
        <v>2291</v>
      </c>
      <c r="G2186" s="1638" t="s">
        <v>249</v>
      </c>
      <c r="H2186" s="1627" t="s">
        <v>2272</v>
      </c>
      <c r="W2186" s="1634"/>
    </row>
    <row r="2187" spans="6:23" ht="24" customHeight="1">
      <c r="H2187" s="1627" t="s">
        <v>2292</v>
      </c>
      <c r="W2187" s="1634"/>
    </row>
    <row r="2188" spans="6:23" ht="24" customHeight="1">
      <c r="H2188" s="1636" t="s">
        <v>21</v>
      </c>
      <c r="W2188" s="1634"/>
    </row>
    <row r="2189" spans="6:23" ht="24" customHeight="1">
      <c r="F2189" s="1640">
        <v>1</v>
      </c>
      <c r="G2189" s="1638" t="s">
        <v>153</v>
      </c>
      <c r="H2189" s="1627" t="s">
        <v>2293</v>
      </c>
      <c r="I2189" s="1640">
        <f>C206</f>
        <v>101.6</v>
      </c>
      <c r="J2189" s="1627" t="s">
        <v>153</v>
      </c>
      <c r="K2189" s="1640">
        <f>(F2189*I2189)</f>
        <v>101.6</v>
      </c>
      <c r="W2189" s="1634"/>
    </row>
    <row r="2190" spans="6:23" ht="24" customHeight="1">
      <c r="F2190" s="1627" t="s">
        <v>150</v>
      </c>
      <c r="H2190" s="1627" t="s">
        <v>2294</v>
      </c>
      <c r="W2190" s="1634"/>
    </row>
    <row r="2191" spans="6:23" ht="24" customHeight="1">
      <c r="F2191" s="1627" t="s">
        <v>150</v>
      </c>
      <c r="H2191" s="1627" t="s">
        <v>2295</v>
      </c>
      <c r="I2191" s="1628" t="s">
        <v>226</v>
      </c>
      <c r="K2191" s="1640">
        <v>2.5</v>
      </c>
      <c r="W2191" s="1634"/>
    </row>
    <row r="2192" spans="6:23" ht="24" customHeight="1">
      <c r="K2192" s="1636" t="s">
        <v>21</v>
      </c>
      <c r="W2192" s="1634"/>
    </row>
    <row r="2193" spans="6:23" ht="24" customHeight="1">
      <c r="H2193" s="1627" t="s">
        <v>2279</v>
      </c>
      <c r="K2193" s="1640">
        <f>SUM(K2189:K2191)</f>
        <v>104.1</v>
      </c>
      <c r="W2193" s="1634"/>
    </row>
    <row r="2194" spans="6:23" ht="24" customHeight="1">
      <c r="F2194" s="1628" t="s">
        <v>2291</v>
      </c>
      <c r="G2194" s="1638" t="s">
        <v>249</v>
      </c>
      <c r="H2194" s="1627" t="s">
        <v>2282</v>
      </c>
      <c r="K2194" s="1636" t="s">
        <v>21</v>
      </c>
      <c r="W2194" s="1634"/>
    </row>
    <row r="2195" spans="6:23" ht="24" customHeight="1">
      <c r="H2195" s="1627" t="s">
        <v>2292</v>
      </c>
      <c r="K2195" s="1640"/>
      <c r="W2195" s="1634"/>
    </row>
    <row r="2196" spans="6:23" ht="24" customHeight="1">
      <c r="H2196" s="1636" t="s">
        <v>21</v>
      </c>
      <c r="K2196" s="1636" t="s">
        <v>21</v>
      </c>
      <c r="W2196" s="1634"/>
    </row>
    <row r="2197" spans="6:23" ht="24" customHeight="1">
      <c r="F2197" s="1629">
        <v>1</v>
      </c>
      <c r="G2197" s="1630" t="s">
        <v>4</v>
      </c>
      <c r="H2197" s="1627" t="s">
        <v>2296</v>
      </c>
      <c r="J2197" s="1632">
        <f>E206</f>
        <v>140.65</v>
      </c>
      <c r="K2197" s="1640">
        <f>J2197</f>
        <v>140.65</v>
      </c>
      <c r="W2197" s="1634"/>
    </row>
    <row r="2198" spans="6:23" ht="24" customHeight="1">
      <c r="H2198" s="1627" t="s">
        <v>2295</v>
      </c>
      <c r="I2198" s="1628" t="s">
        <v>226</v>
      </c>
      <c r="K2198" s="1640">
        <v>2.5</v>
      </c>
      <c r="W2198" s="1634"/>
    </row>
    <row r="2199" spans="6:23" ht="24" customHeight="1">
      <c r="F2199" s="1628" t="s">
        <v>2297</v>
      </c>
      <c r="G2199" s="1638" t="s">
        <v>249</v>
      </c>
      <c r="H2199" s="1631" t="s">
        <v>2272</v>
      </c>
      <c r="K2199" s="1636" t="s">
        <v>21</v>
      </c>
      <c r="W2199" s="1634"/>
    </row>
    <row r="2200" spans="6:23" ht="24" customHeight="1">
      <c r="H2200" s="1631" t="s">
        <v>2298</v>
      </c>
      <c r="K2200" s="1640">
        <f>SUM(K2196:K2198)</f>
        <v>143.15</v>
      </c>
      <c r="W2200" s="1634"/>
    </row>
    <row r="2201" spans="6:23" ht="24" customHeight="1">
      <c r="H2201" s="1636" t="s">
        <v>21</v>
      </c>
      <c r="K2201" s="1636" t="s">
        <v>21</v>
      </c>
      <c r="W2201" s="1634"/>
    </row>
    <row r="2202" spans="6:23" ht="24" customHeight="1">
      <c r="F2202" s="1640">
        <v>1</v>
      </c>
      <c r="G2202" s="1638" t="s">
        <v>153</v>
      </c>
      <c r="H2202" s="1627" t="s">
        <v>2299</v>
      </c>
      <c r="I2202" s="1640">
        <f>C203</f>
        <v>128</v>
      </c>
      <c r="J2202" s="1627" t="s">
        <v>153</v>
      </c>
      <c r="K2202" s="1640">
        <f>(F2202*I2202)</f>
        <v>128</v>
      </c>
      <c r="W2202" s="1634"/>
    </row>
    <row r="2203" spans="6:23" ht="24" customHeight="1">
      <c r="F2203" s="1627" t="s">
        <v>150</v>
      </c>
      <c r="H2203" s="1627" t="s">
        <v>2294</v>
      </c>
      <c r="W2203" s="1634"/>
    </row>
    <row r="2204" spans="6:23" ht="24" customHeight="1">
      <c r="F2204" s="1627" t="s">
        <v>150</v>
      </c>
      <c r="H2204" s="1627" t="s">
        <v>2295</v>
      </c>
      <c r="I2204" s="1628" t="s">
        <v>226</v>
      </c>
      <c r="K2204" s="1640">
        <v>3</v>
      </c>
      <c r="W2204" s="1634"/>
    </row>
    <row r="2205" spans="6:23" ht="24" customHeight="1">
      <c r="K2205" s="1636" t="s">
        <v>21</v>
      </c>
      <c r="W2205" s="1634"/>
    </row>
    <row r="2206" spans="6:23" ht="24" customHeight="1">
      <c r="H2206" s="1627" t="s">
        <v>2279</v>
      </c>
      <c r="K2206" s="1640">
        <f>SUM(K2202:K2204)</f>
        <v>131</v>
      </c>
      <c r="W2206" s="1634"/>
    </row>
    <row r="2207" spans="6:23" ht="24" customHeight="1">
      <c r="K2207" s="1636" t="s">
        <v>21</v>
      </c>
      <c r="W2207" s="1634"/>
    </row>
    <row r="2208" spans="6:23" ht="24" customHeight="1">
      <c r="W2208" s="1634"/>
    </row>
    <row r="2209" spans="6:23" ht="24" customHeight="1">
      <c r="F2209" s="1628" t="s">
        <v>2300</v>
      </c>
      <c r="G2209" s="1638" t="s">
        <v>249</v>
      </c>
      <c r="H2209" s="1631" t="s">
        <v>2282</v>
      </c>
      <c r="W2209" s="1634"/>
    </row>
    <row r="2210" spans="6:23" ht="24" customHeight="1">
      <c r="H2210" s="1631" t="s">
        <v>2298</v>
      </c>
      <c r="W2210" s="1634"/>
    </row>
    <row r="2211" spans="6:23" ht="24" customHeight="1">
      <c r="H2211" s="1636" t="s">
        <v>21</v>
      </c>
      <c r="W2211" s="1634"/>
    </row>
    <row r="2212" spans="6:23" ht="24" customHeight="1">
      <c r="F2212" s="1640">
        <v>1</v>
      </c>
      <c r="G2212" s="1638" t="s">
        <v>153</v>
      </c>
      <c r="H2212" s="1627" t="s">
        <v>2301</v>
      </c>
      <c r="I2212" s="1640">
        <f>C208</f>
        <v>166.15</v>
      </c>
      <c r="J2212" s="1627" t="s">
        <v>153</v>
      </c>
      <c r="K2212" s="1640">
        <f>(F2212*I2212)</f>
        <v>166.15</v>
      </c>
      <c r="W2212" s="1634"/>
    </row>
    <row r="2213" spans="6:23" ht="24" customHeight="1">
      <c r="F2213" s="1627" t="s">
        <v>150</v>
      </c>
      <c r="H2213" s="1627" t="s">
        <v>2294</v>
      </c>
      <c r="W2213" s="1634"/>
    </row>
    <row r="2214" spans="6:23" ht="24" customHeight="1">
      <c r="F2214" s="1627" t="s">
        <v>150</v>
      </c>
      <c r="H2214" s="1627" t="s">
        <v>2295</v>
      </c>
      <c r="I2214" s="1628" t="s">
        <v>226</v>
      </c>
      <c r="K2214" s="1640">
        <v>3</v>
      </c>
      <c r="W2214" s="1634"/>
    </row>
    <row r="2215" spans="6:23" ht="24" customHeight="1">
      <c r="K2215" s="1636" t="s">
        <v>21</v>
      </c>
      <c r="W2215" s="1634"/>
    </row>
    <row r="2216" spans="6:23" ht="24" customHeight="1">
      <c r="H2216" s="1631" t="s">
        <v>2279</v>
      </c>
      <c r="K2216" s="1640">
        <f>SUM(K2212:K2214)</f>
        <v>169.15</v>
      </c>
      <c r="W2216" s="1634"/>
    </row>
    <row r="2217" spans="6:23" ht="24" customHeight="1">
      <c r="K2217" s="1636" t="s">
        <v>21</v>
      </c>
      <c r="W2217" s="1634"/>
    </row>
    <row r="2218" spans="6:23" ht="24" customHeight="1">
      <c r="F2218" s="1628" t="s">
        <v>2302</v>
      </c>
      <c r="H2218" s="1631" t="s">
        <v>2303</v>
      </c>
      <c r="W2218" s="1634"/>
    </row>
    <row r="2219" spans="6:23" ht="24" customHeight="1">
      <c r="H2219" s="1631" t="s">
        <v>2304</v>
      </c>
      <c r="W2219" s="1634"/>
    </row>
    <row r="2220" spans="6:23" ht="24" customHeight="1">
      <c r="H2220" s="1636" t="s">
        <v>21</v>
      </c>
      <c r="W2220" s="1634"/>
    </row>
    <row r="2221" spans="6:23" ht="24" customHeight="1">
      <c r="F2221" s="1640">
        <v>2.5</v>
      </c>
      <c r="G2221" s="1638" t="s">
        <v>2305</v>
      </c>
      <c r="H2221" s="1627" t="s">
        <v>2303</v>
      </c>
      <c r="I2221" s="1640">
        <f>C588</f>
        <v>30</v>
      </c>
      <c r="J2221" s="1627">
        <v>2.5</v>
      </c>
      <c r="K2221" s="1781">
        <f>(F2221*I2221)/F2221</f>
        <v>30</v>
      </c>
      <c r="L2221" s="1629">
        <f>1394*1.62-K2252</f>
        <v>-2431.6167</v>
      </c>
      <c r="W2221" s="1634"/>
    </row>
    <row r="2222" spans="6:23" ht="24" customHeight="1">
      <c r="H2222" s="1627" t="s">
        <v>2306</v>
      </c>
      <c r="J2222" s="1627" t="s">
        <v>2305</v>
      </c>
      <c r="K2222" s="1734"/>
      <c r="W2222" s="1634"/>
    </row>
    <row r="2223" spans="6:23" ht="24" customHeight="1">
      <c r="G2223" s="1638" t="s">
        <v>226</v>
      </c>
      <c r="H2223" s="1627" t="s">
        <v>2307</v>
      </c>
      <c r="J2223" s="1627" t="s">
        <v>226</v>
      </c>
      <c r="K2223" s="1690">
        <v>1.87</v>
      </c>
      <c r="W2223" s="1634"/>
    </row>
    <row r="2224" spans="6:23" ht="24" customHeight="1">
      <c r="K2224" s="1636" t="s">
        <v>21</v>
      </c>
      <c r="W2224" s="1634"/>
    </row>
    <row r="2225" spans="6:23" ht="24" customHeight="1">
      <c r="H2225" s="1641" t="s">
        <v>2290</v>
      </c>
      <c r="K2225" s="1639">
        <f>SUM(K2221:K2223)</f>
        <v>31.87</v>
      </c>
      <c r="W2225" s="1634"/>
    </row>
    <row r="2226" spans="6:23" ht="24" customHeight="1">
      <c r="K2226" s="1636" t="s">
        <v>156</v>
      </c>
      <c r="W2226" s="1634"/>
    </row>
    <row r="2227" spans="6:23" ht="24" customHeight="1">
      <c r="W2227" s="1634"/>
    </row>
    <row r="2228" spans="6:23" ht="24" customHeight="1">
      <c r="F2228" s="1628" t="s">
        <v>2308</v>
      </c>
      <c r="G2228" s="1638" t="s">
        <v>249</v>
      </c>
      <c r="H2228" s="1627" t="s">
        <v>2309</v>
      </c>
      <c r="W2228" s="1634"/>
    </row>
    <row r="2229" spans="6:23" ht="24" customHeight="1">
      <c r="H2229" s="1627" t="s">
        <v>2310</v>
      </c>
      <c r="W2229" s="1634"/>
    </row>
    <row r="2230" spans="6:23" ht="24" customHeight="1">
      <c r="H2230" s="1627" t="s">
        <v>2311</v>
      </c>
      <c r="W2230" s="1634"/>
    </row>
    <row r="2231" spans="6:23" ht="24" customHeight="1">
      <c r="H2231" s="1627" t="s">
        <v>2312</v>
      </c>
      <c r="W2231" s="1634"/>
    </row>
    <row r="2232" spans="6:23" ht="24" customHeight="1">
      <c r="H2232" s="1627" t="s">
        <v>2313</v>
      </c>
      <c r="W2232" s="1634"/>
    </row>
    <row r="2233" spans="6:23" ht="24" customHeight="1">
      <c r="H2233" s="1627" t="s">
        <v>2314</v>
      </c>
      <c r="W2233" s="1634"/>
    </row>
    <row r="2234" spans="6:23" ht="24" customHeight="1">
      <c r="H2234" s="1627" t="s">
        <v>2315</v>
      </c>
      <c r="W2234" s="1634"/>
    </row>
    <row r="2235" spans="6:23" ht="24" customHeight="1">
      <c r="H2235" s="1627" t="s">
        <v>2316</v>
      </c>
      <c r="W2235" s="1634"/>
    </row>
    <row r="2236" spans="6:23" ht="24" customHeight="1">
      <c r="H2236" s="1627" t="s">
        <v>2317</v>
      </c>
      <c r="W2236" s="1634"/>
    </row>
    <row r="2237" spans="6:23" ht="24" customHeight="1">
      <c r="H2237" s="1627" t="s">
        <v>2318</v>
      </c>
      <c r="W2237" s="1634"/>
    </row>
    <row r="2238" spans="6:23" ht="24" customHeight="1">
      <c r="H2238" s="1627" t="s">
        <v>2319</v>
      </c>
      <c r="W2238" s="1634"/>
    </row>
    <row r="2239" spans="6:23" ht="24" customHeight="1">
      <c r="H2239" s="1627" t="s">
        <v>2320</v>
      </c>
      <c r="W2239" s="1634"/>
    </row>
    <row r="2240" spans="6:23" ht="24" customHeight="1">
      <c r="H2240" s="1636" t="s">
        <v>21</v>
      </c>
      <c r="I2240" s="1636" t="s">
        <v>21</v>
      </c>
      <c r="W2240" s="1634"/>
    </row>
    <row r="2241" spans="6:23" ht="24" customHeight="1">
      <c r="F2241" s="1627" t="s">
        <v>150</v>
      </c>
      <c r="W2241" s="1634"/>
    </row>
    <row r="2242" spans="6:23" ht="24" customHeight="1">
      <c r="F2242" s="1692">
        <v>1.7399999999999999E-2</v>
      </c>
      <c r="G2242" s="1638" t="s">
        <v>313</v>
      </c>
      <c r="H2242" s="1627" t="s">
        <v>2321</v>
      </c>
      <c r="I2242" s="1640">
        <f>C86</f>
        <v>34300</v>
      </c>
      <c r="J2242" s="1627" t="s">
        <v>313</v>
      </c>
      <c r="K2242" s="1640">
        <f t="shared" ref="K2242:K2249" si="242">F2242*I2242</f>
        <v>596.81999999999994</v>
      </c>
      <c r="W2242" s="1634"/>
    </row>
    <row r="2243" spans="6:23" ht="24" customHeight="1">
      <c r="F2243" s="1692">
        <v>2.93E-2</v>
      </c>
      <c r="G2243" s="1638" t="s">
        <v>313</v>
      </c>
      <c r="H2243" s="1627" t="s">
        <v>2322</v>
      </c>
      <c r="I2243" s="1640">
        <f>C87</f>
        <v>39400</v>
      </c>
      <c r="J2243" s="1627" t="s">
        <v>313</v>
      </c>
      <c r="K2243" s="1640">
        <f t="shared" si="242"/>
        <v>1154.42</v>
      </c>
      <c r="W2243" s="1634"/>
    </row>
    <row r="2244" spans="6:23" ht="24" customHeight="1">
      <c r="F2244" s="1692">
        <v>1.093</v>
      </c>
      <c r="G2244" s="1638" t="s">
        <v>306</v>
      </c>
      <c r="H2244" s="1627" t="s">
        <v>2323</v>
      </c>
      <c r="I2244" s="1640">
        <f>C199</f>
        <v>379.9</v>
      </c>
      <c r="J2244" s="1627" t="s">
        <v>306</v>
      </c>
      <c r="K2244" s="1640">
        <f t="shared" si="242"/>
        <v>415.23069999999996</v>
      </c>
      <c r="W2244" s="1634"/>
    </row>
    <row r="2245" spans="6:23" ht="24" customHeight="1">
      <c r="F2245" s="1640">
        <v>6</v>
      </c>
      <c r="G2245" s="1638" t="s">
        <v>345</v>
      </c>
      <c r="H2245" s="1627" t="s">
        <v>2324</v>
      </c>
      <c r="I2245" s="1640">
        <f>C297</f>
        <v>7</v>
      </c>
      <c r="J2245" s="1627" t="s">
        <v>340</v>
      </c>
      <c r="K2245" s="1640">
        <f t="shared" si="242"/>
        <v>42</v>
      </c>
      <c r="W2245" s="1634"/>
    </row>
    <row r="2246" spans="6:23" ht="24" customHeight="1">
      <c r="F2246" s="1640">
        <v>1</v>
      </c>
      <c r="G2246" s="1638" t="s">
        <v>345</v>
      </c>
      <c r="H2246" s="1627" t="s">
        <v>2325</v>
      </c>
      <c r="I2246" s="1640">
        <f>C287</f>
        <v>101.6</v>
      </c>
      <c r="J2246" s="1627" t="s">
        <v>340</v>
      </c>
      <c r="K2246" s="1640">
        <f t="shared" si="242"/>
        <v>101.6</v>
      </c>
      <c r="W2246" s="1634"/>
    </row>
    <row r="2247" spans="6:23" ht="24" customHeight="1">
      <c r="F2247" s="1640">
        <v>2</v>
      </c>
      <c r="G2247" s="1638" t="s">
        <v>345</v>
      </c>
      <c r="H2247" s="1627" t="s">
        <v>2326</v>
      </c>
      <c r="I2247" s="1640">
        <f>C308</f>
        <v>3</v>
      </c>
      <c r="J2247" s="1627" t="s">
        <v>340</v>
      </c>
      <c r="K2247" s="1640">
        <f t="shared" si="242"/>
        <v>6</v>
      </c>
      <c r="W2247" s="1634"/>
    </row>
    <row r="2248" spans="6:23" ht="24" customHeight="1">
      <c r="F2248" s="1640">
        <v>6</v>
      </c>
      <c r="G2248" s="1638" t="s">
        <v>345</v>
      </c>
      <c r="H2248" s="1627" t="s">
        <v>2327</v>
      </c>
      <c r="I2248" s="1690">
        <v>10.5</v>
      </c>
      <c r="J2248" s="1627" t="s">
        <v>340</v>
      </c>
      <c r="K2248" s="1640">
        <f t="shared" si="242"/>
        <v>63</v>
      </c>
      <c r="W2248" s="1634"/>
    </row>
    <row r="2249" spans="6:23" ht="24" customHeight="1">
      <c r="F2249" s="1658">
        <v>1.62</v>
      </c>
      <c r="G2249" s="1638" t="s">
        <v>306</v>
      </c>
      <c r="H2249" s="1627" t="s">
        <v>2328</v>
      </c>
      <c r="I2249" s="1640">
        <f>D33</f>
        <v>1423.8</v>
      </c>
      <c r="J2249" s="1627" t="s">
        <v>306</v>
      </c>
      <c r="K2249" s="1640">
        <f t="shared" si="242"/>
        <v>2306.556</v>
      </c>
      <c r="W2249" s="1634"/>
    </row>
    <row r="2250" spans="6:23" ht="24" customHeight="1">
      <c r="G2250" s="1638" t="s">
        <v>226</v>
      </c>
      <c r="H2250" s="1627" t="s">
        <v>2329</v>
      </c>
      <c r="J2250" s="1627" t="s">
        <v>226</v>
      </c>
      <c r="K2250" s="1640">
        <v>4.2699999999999996</v>
      </c>
      <c r="W2250" s="1634"/>
    </row>
    <row r="2251" spans="6:23" ht="24" customHeight="1">
      <c r="K2251" s="1636" t="s">
        <v>21</v>
      </c>
      <c r="W2251" s="1634"/>
    </row>
    <row r="2252" spans="6:23" ht="24" customHeight="1">
      <c r="H2252" s="1641" t="s">
        <v>2330</v>
      </c>
      <c r="K2252" s="1639">
        <f>SUM(K2242:K2250)</f>
        <v>4689.8967000000002</v>
      </c>
      <c r="W2252" s="1634"/>
    </row>
    <row r="2253" spans="6:23" ht="24" customHeight="1">
      <c r="K2253" s="1679" t="s">
        <v>21</v>
      </c>
      <c r="W2253" s="1634"/>
    </row>
    <row r="2254" spans="6:23" ht="24" customHeight="1">
      <c r="K2254" s="1661"/>
      <c r="W2254" s="1634"/>
    </row>
    <row r="2255" spans="6:23" ht="24" customHeight="1">
      <c r="H2255" s="1641" t="s">
        <v>2331</v>
      </c>
      <c r="I2255" s="1627" t="s">
        <v>150</v>
      </c>
      <c r="K2255" s="1639">
        <f>K2252/1.62</f>
        <v>2894.9979629629629</v>
      </c>
      <c r="M2255" s="1629">
        <f>1921*1.62</f>
        <v>3112.02</v>
      </c>
      <c r="W2255" s="1634"/>
    </row>
    <row r="2256" spans="6:23" ht="15" customHeight="1">
      <c r="F2256" s="1627" t="s">
        <v>150</v>
      </c>
      <c r="G2256" s="1638" t="s">
        <v>150</v>
      </c>
      <c r="H2256" s="1627" t="s">
        <v>150</v>
      </c>
      <c r="I2256" s="1627" t="s">
        <v>150</v>
      </c>
      <c r="J2256" s="1627" t="s">
        <v>150</v>
      </c>
      <c r="M2256" s="1629">
        <f>M2255-K2252</f>
        <v>-1577.8767000000003</v>
      </c>
      <c r="W2256" s="1634"/>
    </row>
    <row r="2257" spans="6:23" ht="13.5" customHeight="1">
      <c r="W2257" s="1634"/>
    </row>
    <row r="2258" spans="6:23" ht="24" customHeight="1">
      <c r="G2258" s="1638" t="s">
        <v>848</v>
      </c>
      <c r="H2258" s="1631" t="s">
        <v>1497</v>
      </c>
      <c r="W2258" s="1634"/>
    </row>
    <row r="2259" spans="6:23" ht="24" customHeight="1">
      <c r="H2259" s="1627" t="s">
        <v>2332</v>
      </c>
      <c r="L2259" s="1629">
        <f>3.6*1.1</f>
        <v>3.9600000000000004</v>
      </c>
      <c r="W2259" s="1634"/>
    </row>
    <row r="2260" spans="6:23" ht="24" customHeight="1">
      <c r="F2260" s="1627" t="s">
        <v>150</v>
      </c>
      <c r="H2260" s="1627" t="s">
        <v>2333</v>
      </c>
      <c r="L2260" s="1629">
        <f>3.6*1.6</f>
        <v>5.7600000000000007</v>
      </c>
      <c r="W2260" s="1634"/>
    </row>
    <row r="2261" spans="6:23" ht="35.25" customHeight="1">
      <c r="F2261" s="1628" t="s">
        <v>2334</v>
      </c>
      <c r="H2261" s="1627" t="s">
        <v>1501</v>
      </c>
      <c r="K2261" s="1640">
        <f>[6]Elec.Data!K29</f>
        <v>1630</v>
      </c>
      <c r="W2261" s="1634"/>
    </row>
    <row r="2262" spans="6:23" ht="30.75" customHeight="1">
      <c r="F2262" s="1628" t="s">
        <v>2335</v>
      </c>
      <c r="H2262" s="1628" t="s">
        <v>1505</v>
      </c>
      <c r="K2262" s="1640">
        <f>[6]Elec.Data!K53</f>
        <v>1633</v>
      </c>
      <c r="W2262" s="1634"/>
    </row>
    <row r="2263" spans="6:23" ht="30.75" customHeight="1">
      <c r="F2263" s="1628" t="s">
        <v>2336</v>
      </c>
      <c r="H2263" s="1627" t="s">
        <v>1568</v>
      </c>
      <c r="K2263" s="1640">
        <f>[6]Elec.Data!K68</f>
        <v>1670</v>
      </c>
      <c r="W2263" s="1634"/>
    </row>
    <row r="2264" spans="6:23" ht="30.75" customHeight="1">
      <c r="F2264" s="1652">
        <v>65</v>
      </c>
      <c r="H2264" s="1627" t="s">
        <v>1507</v>
      </c>
      <c r="K2264" s="1640">
        <f>[6]Elec.Data!K90</f>
        <v>1705</v>
      </c>
      <c r="W2264" s="1634"/>
    </row>
    <row r="2265" spans="6:23" ht="30.75" customHeight="1">
      <c r="F2265" s="1652">
        <v>66</v>
      </c>
      <c r="H2265" s="1627" t="s">
        <v>1514</v>
      </c>
      <c r="K2265" s="1640">
        <f>[6]Elec.Data!K114</f>
        <v>3052</v>
      </c>
      <c r="W2265" s="1634"/>
    </row>
    <row r="2266" spans="6:23" ht="30.75" customHeight="1">
      <c r="F2266" s="1652">
        <v>67</v>
      </c>
      <c r="H2266" s="1627" t="s">
        <v>1510</v>
      </c>
      <c r="K2266" s="1640">
        <f>[6]Elec.Data!K146</f>
        <v>835</v>
      </c>
      <c r="W2266" s="1634"/>
    </row>
    <row r="2267" spans="6:23" ht="30.75" customHeight="1">
      <c r="F2267" s="1652">
        <v>68</v>
      </c>
      <c r="H2267" s="1627" t="s">
        <v>1512</v>
      </c>
      <c r="K2267" s="1640">
        <f>[6]Elec.Data!K134</f>
        <v>1133</v>
      </c>
      <c r="W2267" s="1634"/>
    </row>
    <row r="2268" spans="6:23" ht="30.75" customHeight="1">
      <c r="F2268" s="1652">
        <v>69</v>
      </c>
      <c r="H2268" s="1627" t="s">
        <v>2337</v>
      </c>
      <c r="K2268" s="1640">
        <f>[6]Elec.Data!K157</f>
        <v>150</v>
      </c>
      <c r="W2268" s="1634"/>
    </row>
    <row r="2269" spans="6:23" ht="30.75" customHeight="1">
      <c r="F2269" s="1652" t="s">
        <v>2338</v>
      </c>
      <c r="H2269" s="1627" t="s">
        <v>1577</v>
      </c>
      <c r="K2269" s="1640">
        <f>[6]Elec.Data!K304</f>
        <v>517</v>
      </c>
      <c r="W2269" s="1634"/>
    </row>
    <row r="2270" spans="6:23" ht="30.75" customHeight="1">
      <c r="F2270" s="1652" t="s">
        <v>2339</v>
      </c>
      <c r="H2270" s="1627" t="s">
        <v>2340</v>
      </c>
      <c r="J2270" s="1634"/>
      <c r="K2270" s="1640"/>
      <c r="L2270" s="1629">
        <f>37.7*90</f>
        <v>3393.0000000000005</v>
      </c>
      <c r="W2270" s="1634"/>
    </row>
    <row r="2271" spans="6:23" ht="30.75" customHeight="1">
      <c r="F2271" s="1652" t="s">
        <v>2341</v>
      </c>
      <c r="H2271" s="1627" t="s">
        <v>2342</v>
      </c>
      <c r="K2271" s="1640">
        <v>9.4</v>
      </c>
      <c r="W2271" s="1634"/>
    </row>
    <row r="2272" spans="6:23" ht="24" customHeight="1">
      <c r="F2272" s="1652" t="s">
        <v>2343</v>
      </c>
      <c r="H2272" s="1627" t="s">
        <v>2344</v>
      </c>
      <c r="K2272" s="1690">
        <v>10</v>
      </c>
      <c r="W2272" s="1634"/>
    </row>
    <row r="2273" spans="6:23" ht="24" customHeight="1">
      <c r="F2273" s="1652">
        <v>71</v>
      </c>
      <c r="H2273" s="1627" t="s">
        <v>1578</v>
      </c>
      <c r="K2273" s="1640">
        <f>[6]Elec.Data!K342</f>
        <v>1345.6</v>
      </c>
      <c r="W2273" s="1634"/>
    </row>
    <row r="2274" spans="6:23" ht="24" customHeight="1">
      <c r="F2274" s="1652">
        <v>72</v>
      </c>
      <c r="H2274" s="1627" t="s">
        <v>2345</v>
      </c>
      <c r="K2274" s="1690">
        <v>33.9</v>
      </c>
      <c r="W2274" s="1634"/>
    </row>
    <row r="2275" spans="6:23" ht="24" customHeight="1">
      <c r="F2275" s="1652" t="s">
        <v>2346</v>
      </c>
      <c r="H2275" s="1627" t="s">
        <v>1581</v>
      </c>
      <c r="K2275" s="1640">
        <f>[6]Elec.Data!K402</f>
        <v>4212</v>
      </c>
      <c r="W2275" s="1634"/>
    </row>
    <row r="2276" spans="6:23" ht="24" customHeight="1">
      <c r="F2276" s="1652" t="s">
        <v>2347</v>
      </c>
      <c r="H2276" s="1627" t="s">
        <v>2348</v>
      </c>
      <c r="K2276" s="1640">
        <f>[6]Elec.Data!K390</f>
        <v>3430</v>
      </c>
      <c r="W2276" s="1634"/>
    </row>
    <row r="2277" spans="6:23" ht="24" customHeight="1">
      <c r="F2277" s="1652">
        <v>74</v>
      </c>
      <c r="H2277" s="1627" t="s">
        <v>1583</v>
      </c>
      <c r="K2277" s="1640">
        <f>[6]Elec.Data!K446</f>
        <v>571</v>
      </c>
      <c r="W2277" s="1634"/>
    </row>
    <row r="2278" spans="6:23" ht="24" customHeight="1">
      <c r="F2278" s="1652" t="s">
        <v>2349</v>
      </c>
      <c r="H2278" s="1627" t="s">
        <v>2350</v>
      </c>
      <c r="K2278" s="1640">
        <v>1265</v>
      </c>
      <c r="W2278" s="1634"/>
    </row>
    <row r="2279" spans="6:23" ht="24" customHeight="1">
      <c r="F2279" s="1652" t="s">
        <v>2351</v>
      </c>
      <c r="H2279" s="1627" t="s">
        <v>1586</v>
      </c>
      <c r="W2279" s="1634"/>
    </row>
    <row r="2280" spans="6:23" ht="24" customHeight="1">
      <c r="F2280" s="1652">
        <v>112</v>
      </c>
      <c r="H2280" s="1627" t="s">
        <v>2352</v>
      </c>
      <c r="K2280" s="1640">
        <f>[6]Elec.Data!K913</f>
        <v>2336</v>
      </c>
      <c r="W2280" s="1634"/>
    </row>
    <row r="2281" spans="6:23" ht="34.5" customHeight="1">
      <c r="F2281" s="1652">
        <v>76</v>
      </c>
      <c r="H2281" s="1627" t="s">
        <v>1588</v>
      </c>
      <c r="K2281" s="1640">
        <f>[6]Elec.Data!K463</f>
        <v>26.3</v>
      </c>
      <c r="W2281" s="1634"/>
    </row>
    <row r="2282" spans="6:23" ht="31.5" customHeight="1">
      <c r="F2282" s="1652">
        <v>77</v>
      </c>
      <c r="H2282" s="1627" t="s">
        <v>2353</v>
      </c>
      <c r="K2282" s="1640">
        <f>[6]Elec.Data!K249</f>
        <v>208</v>
      </c>
      <c r="W2282" s="1634"/>
    </row>
    <row r="2283" spans="6:23" ht="38.25" customHeight="1">
      <c r="F2283" s="1788">
        <v>77.099999999999994</v>
      </c>
      <c r="H2283" s="1680" t="s">
        <v>2354</v>
      </c>
      <c r="K2283" s="1789">
        <f>[6]Elec.Data!K274</f>
        <v>266</v>
      </c>
      <c r="W2283" s="1634"/>
    </row>
    <row r="2284" spans="6:23" ht="24" customHeight="1">
      <c r="F2284" s="1662">
        <v>77.2</v>
      </c>
      <c r="H2284" s="1627" t="s">
        <v>2355</v>
      </c>
      <c r="K2284" s="1640">
        <v>500</v>
      </c>
      <c r="W2284" s="1634"/>
    </row>
    <row r="2285" spans="6:23" ht="24" customHeight="1">
      <c r="F2285" s="1662">
        <v>77.3</v>
      </c>
      <c r="H2285" s="1627" t="s">
        <v>2356</v>
      </c>
      <c r="K2285" s="1640">
        <f>[6]Elec.Data!K881</f>
        <v>77.010000000000005</v>
      </c>
      <c r="W2285" s="1634"/>
    </row>
    <row r="2286" spans="6:23" ht="24" customHeight="1">
      <c r="F2286" s="1652">
        <v>78</v>
      </c>
      <c r="H2286" s="1627" t="s">
        <v>1594</v>
      </c>
      <c r="K2286" s="1640">
        <f>[6]Elec.Data!K488</f>
        <v>2921.6</v>
      </c>
      <c r="W2286" s="1634"/>
    </row>
    <row r="2287" spans="6:23" ht="24" customHeight="1">
      <c r="F2287" s="1652">
        <v>80</v>
      </c>
      <c r="H2287" s="1627" t="s">
        <v>1601</v>
      </c>
      <c r="K2287" s="1640">
        <f>[6]Elec.Data!K610</f>
        <v>818.75</v>
      </c>
      <c r="W2287" s="1634"/>
    </row>
    <row r="2288" spans="6:23" ht="24" customHeight="1">
      <c r="F2288" s="1652">
        <v>81</v>
      </c>
      <c r="H2288" s="1627" t="s">
        <v>1604</v>
      </c>
      <c r="K2288" s="1640">
        <f>K2255</f>
        <v>2894.9979629629629</v>
      </c>
      <c r="W2288" s="1634"/>
    </row>
    <row r="2289" spans="6:35" ht="24" customHeight="1">
      <c r="F2289" s="1652">
        <v>82</v>
      </c>
      <c r="H2289" s="1627" t="s">
        <v>1606</v>
      </c>
      <c r="K2289" s="1640">
        <f>[6]Elec.Data!K807</f>
        <v>2946</v>
      </c>
      <c r="W2289" s="1634"/>
    </row>
    <row r="2290" spans="6:35" ht="24" customHeight="1">
      <c r="F2290" s="1652">
        <v>87</v>
      </c>
      <c r="H2290" s="1627" t="s">
        <v>1609</v>
      </c>
      <c r="K2290" s="1640">
        <f>[6]Elec.Data!K627</f>
        <v>2695</v>
      </c>
      <c r="W2290" s="1634"/>
    </row>
    <row r="2291" spans="6:35" ht="24" customHeight="1">
      <c r="H2291" s="1790" t="s">
        <v>2357</v>
      </c>
      <c r="K2291" s="1640">
        <f>[6]Elec.Data!K931</f>
        <v>2149.15</v>
      </c>
      <c r="W2291" s="1634"/>
    </row>
    <row r="2292" spans="6:35" ht="24" customHeight="1">
      <c r="H2292" s="1791" t="s">
        <v>2358</v>
      </c>
      <c r="K2292" s="1640">
        <v>137</v>
      </c>
      <c r="W2292" s="1634"/>
    </row>
    <row r="2293" spans="6:35" ht="28.5" customHeight="1">
      <c r="F2293" s="1792">
        <v>77.400000000000006</v>
      </c>
      <c r="H2293" s="1793" t="s">
        <v>2359</v>
      </c>
      <c r="M2293" s="1792">
        <v>77.400000000000006</v>
      </c>
      <c r="N2293" s="1630"/>
      <c r="O2293" s="1793" t="s">
        <v>5219</v>
      </c>
      <c r="Q2293" s="1632"/>
      <c r="W2293" s="1634"/>
    </row>
    <row r="2294" spans="6:35" ht="27" customHeight="1">
      <c r="H2294" s="1627" t="s">
        <v>2332</v>
      </c>
      <c r="N2294" s="1630"/>
      <c r="O2294" s="1627" t="s">
        <v>2332</v>
      </c>
      <c r="Q2294" s="1632"/>
      <c r="W2294" s="1634"/>
    </row>
    <row r="2295" spans="6:35" ht="42.75" customHeight="1">
      <c r="F2295" s="1629">
        <v>90</v>
      </c>
      <c r="G2295" s="1630" t="s">
        <v>2360</v>
      </c>
      <c r="H2295" s="1778" t="s">
        <v>5220</v>
      </c>
      <c r="I2295" s="1701">
        <v>20</v>
      </c>
      <c r="J2295" s="1632" t="s">
        <v>2360</v>
      </c>
      <c r="K2295" s="1629">
        <f>I2295*F2295</f>
        <v>1800</v>
      </c>
      <c r="M2295" s="1629">
        <v>90</v>
      </c>
      <c r="N2295" s="1630" t="s">
        <v>2360</v>
      </c>
      <c r="O2295" s="1778" t="s">
        <v>2361</v>
      </c>
      <c r="P2295" s="1701">
        <v>20</v>
      </c>
      <c r="Q2295" s="1632" t="s">
        <v>2360</v>
      </c>
      <c r="R2295" s="1629">
        <f>P2295*M2295</f>
        <v>1800</v>
      </c>
      <c r="W2295" s="1634"/>
    </row>
    <row r="2296" spans="6:35" ht="24" customHeight="1">
      <c r="F2296" s="1629">
        <v>0.15</v>
      </c>
      <c r="G2296" s="1630" t="s">
        <v>277</v>
      </c>
      <c r="H2296" s="1629" t="s">
        <v>252</v>
      </c>
      <c r="I2296" s="1629">
        <f>AE31</f>
        <v>6040</v>
      </c>
      <c r="J2296" s="1632" t="s">
        <v>277</v>
      </c>
      <c r="K2296" s="1629">
        <f>I2296*F2296</f>
        <v>906</v>
      </c>
      <c r="M2296" s="1629">
        <v>0.15</v>
      </c>
      <c r="N2296" s="1630" t="s">
        <v>277</v>
      </c>
      <c r="O2296" s="1629" t="s">
        <v>252</v>
      </c>
      <c r="P2296" s="1629">
        <f>I2296</f>
        <v>6040</v>
      </c>
      <c r="Q2296" s="1632" t="s">
        <v>277</v>
      </c>
      <c r="R2296" s="1629">
        <f>P2296*M2296</f>
        <v>906</v>
      </c>
      <c r="W2296" s="1634"/>
    </row>
    <row r="2297" spans="6:35" ht="24" customHeight="1">
      <c r="F2297" s="1629">
        <v>1</v>
      </c>
      <c r="G2297" s="1630" t="s">
        <v>4</v>
      </c>
      <c r="H2297" s="1629" t="s">
        <v>2362</v>
      </c>
      <c r="I2297" s="1629">
        <f>C809</f>
        <v>783</v>
      </c>
      <c r="J2297" s="1632" t="s">
        <v>4</v>
      </c>
      <c r="K2297" s="1629">
        <f>I2297*F2297</f>
        <v>783</v>
      </c>
      <c r="M2297" s="1629">
        <v>1</v>
      </c>
      <c r="N2297" s="1630" t="s">
        <v>4</v>
      </c>
      <c r="O2297" s="1629" t="s">
        <v>2362</v>
      </c>
      <c r="P2297" s="1629">
        <f>I2297</f>
        <v>783</v>
      </c>
      <c r="Q2297" s="1632" t="s">
        <v>4</v>
      </c>
      <c r="R2297" s="1629">
        <f>P2297*M2297</f>
        <v>783</v>
      </c>
      <c r="W2297" s="1634"/>
    </row>
    <row r="2298" spans="6:35" ht="24" customHeight="1">
      <c r="F2298" s="1629">
        <v>2</v>
      </c>
      <c r="G2298" s="1630" t="s">
        <v>4</v>
      </c>
      <c r="H2298" s="1629" t="s">
        <v>234</v>
      </c>
      <c r="I2298" s="1629">
        <f>AG10</f>
        <v>1237.5999999999999</v>
      </c>
      <c r="J2298" s="1632" t="s">
        <v>4</v>
      </c>
      <c r="K2298" s="1629">
        <f>I2298*F2298</f>
        <v>2475.1999999999998</v>
      </c>
      <c r="M2298" s="1629">
        <v>2</v>
      </c>
      <c r="N2298" s="1630" t="s">
        <v>4</v>
      </c>
      <c r="O2298" s="1629" t="s">
        <v>234</v>
      </c>
      <c r="P2298" s="1629">
        <f>I2298</f>
        <v>1237.5999999999999</v>
      </c>
      <c r="Q2298" s="1632" t="s">
        <v>4</v>
      </c>
      <c r="R2298" s="1629">
        <f>P2298*M2298</f>
        <v>2475.1999999999998</v>
      </c>
      <c r="W2298" s="1634"/>
    </row>
    <row r="2299" spans="6:35" ht="24" customHeight="1">
      <c r="F2299" s="1629">
        <v>4</v>
      </c>
      <c r="G2299" s="1630" t="s">
        <v>4</v>
      </c>
      <c r="H2299" s="1629" t="str">
        <f>B810</f>
        <v>Electrical HELPERp-15 it-100</v>
      </c>
      <c r="I2299" s="1629">
        <f>C810</f>
        <v>611</v>
      </c>
      <c r="J2299" s="1632" t="s">
        <v>4</v>
      </c>
      <c r="K2299" s="1629">
        <f>I2299*F2299</f>
        <v>2444</v>
      </c>
      <c r="M2299" s="1629">
        <v>4</v>
      </c>
      <c r="N2299" s="1630" t="s">
        <v>4</v>
      </c>
      <c r="O2299" s="1629" t="str">
        <f>H2299</f>
        <v>Electrical HELPERp-15 it-100</v>
      </c>
      <c r="P2299" s="1629">
        <f>I2299</f>
        <v>611</v>
      </c>
      <c r="Q2299" s="1632" t="s">
        <v>4</v>
      </c>
      <c r="R2299" s="1629">
        <f>P2299*M2299</f>
        <v>2444</v>
      </c>
      <c r="W2299" s="1634"/>
    </row>
    <row r="2300" spans="6:35" ht="24" customHeight="1">
      <c r="H2300" s="1629" t="s">
        <v>2363</v>
      </c>
      <c r="K2300" s="1629">
        <v>11.5</v>
      </c>
      <c r="N2300" s="1630"/>
      <c r="O2300" s="1629" t="s">
        <v>2363</v>
      </c>
      <c r="Q2300" s="1632"/>
      <c r="R2300" s="1629">
        <v>11.5</v>
      </c>
      <c r="W2300" s="1634"/>
    </row>
    <row r="2301" spans="6:35" ht="24" customHeight="1">
      <c r="K2301" s="1636" t="s">
        <v>21</v>
      </c>
      <c r="N2301" s="1630"/>
      <c r="Q2301" s="1632"/>
      <c r="R2301" s="1636" t="s">
        <v>21</v>
      </c>
      <c r="W2301" s="1634"/>
    </row>
    <row r="2302" spans="6:35" ht="36.75" customHeight="1">
      <c r="H2302" s="1627" t="s">
        <v>2364</v>
      </c>
      <c r="K2302" s="1640">
        <f>SUM(K2295:K2300)</f>
        <v>8419.7000000000007</v>
      </c>
      <c r="N2302" s="1630"/>
      <c r="O2302" s="1627" t="s">
        <v>2364</v>
      </c>
      <c r="Q2302" s="1632"/>
      <c r="R2302" s="1640">
        <f>SUM(R2295:R2300)</f>
        <v>8419.7000000000007</v>
      </c>
      <c r="W2302" s="1634"/>
    </row>
    <row r="2303" spans="6:35" ht="24" customHeight="1">
      <c r="K2303" s="1636" t="s">
        <v>21</v>
      </c>
      <c r="N2303" s="1630"/>
      <c r="Q2303" s="1632"/>
      <c r="R2303" s="1636" t="s">
        <v>21</v>
      </c>
      <c r="W2303" s="1634"/>
    </row>
    <row r="2304" spans="6:35" ht="24" customHeight="1">
      <c r="H2304" s="1627" t="s">
        <v>2280</v>
      </c>
      <c r="K2304" s="1640">
        <f>(K2302/90)</f>
        <v>93.552222222222227</v>
      </c>
      <c r="N2304" s="1630"/>
      <c r="O2304" s="1627" t="s">
        <v>2280</v>
      </c>
      <c r="Q2304" s="1632"/>
      <c r="R2304" s="1640">
        <f>(R2302/90)</f>
        <v>93.552222222222227</v>
      </c>
      <c r="W2304" s="1634"/>
      <c r="AI2304" s="1629">
        <v>0</v>
      </c>
    </row>
    <row r="2305" spans="5:255" ht="24" customHeight="1">
      <c r="K2305" s="1636" t="s">
        <v>156</v>
      </c>
      <c r="W2305" s="1634"/>
      <c r="IU2305" s="1629">
        <v>0</v>
      </c>
    </row>
    <row r="2306" spans="5:255" ht="24" customHeight="1">
      <c r="W2306" s="1634"/>
    </row>
    <row r="2307" spans="5:255" ht="24" customHeight="1">
      <c r="F2307" s="1683">
        <v>78.099999999999994</v>
      </c>
      <c r="H2307" s="1631" t="s">
        <v>2365</v>
      </c>
      <c r="L2307" s="1629">
        <f>31.5+85</f>
        <v>116.5</v>
      </c>
      <c r="W2307" s="1634"/>
    </row>
    <row r="2308" spans="5:255" ht="24" customHeight="1">
      <c r="H2308" s="1627" t="s">
        <v>2332</v>
      </c>
      <c r="L2308" s="1629">
        <f>L2307*10%</f>
        <v>11.65</v>
      </c>
      <c r="W2308" s="1634"/>
    </row>
    <row r="2309" spans="5:255" ht="24" customHeight="1">
      <c r="F2309" s="1629">
        <v>2.5</v>
      </c>
      <c r="G2309" s="1630" t="s">
        <v>4</v>
      </c>
      <c r="H2309" s="1629" t="s">
        <v>2366</v>
      </c>
      <c r="I2309" s="1629">
        <f>C395</f>
        <v>163</v>
      </c>
      <c r="J2309" s="1632" t="s">
        <v>4</v>
      </c>
      <c r="K2309" s="1629">
        <f t="shared" ref="K2309:K2314" si="243">I2309*F2309</f>
        <v>407.5</v>
      </c>
      <c r="W2309" s="1634"/>
    </row>
    <row r="2310" spans="5:255" ht="24" customHeight="1">
      <c r="F2310" s="1629">
        <v>20</v>
      </c>
      <c r="G2310" s="1630" t="s">
        <v>2161</v>
      </c>
      <c r="H2310" s="1794" t="s">
        <v>5686</v>
      </c>
      <c r="I2310" s="1795">
        <v>5</v>
      </c>
      <c r="J2310" s="1632" t="s">
        <v>2161</v>
      </c>
      <c r="K2310" s="1629">
        <f t="shared" si="243"/>
        <v>100</v>
      </c>
      <c r="W2310" s="1634"/>
    </row>
    <row r="2311" spans="5:255" ht="24" customHeight="1">
      <c r="F2311" s="1629">
        <v>9</v>
      </c>
      <c r="G2311" s="1630" t="s">
        <v>2161</v>
      </c>
      <c r="H2311" s="1629" t="s">
        <v>5687</v>
      </c>
      <c r="I2311" s="1629">
        <v>3.7</v>
      </c>
      <c r="J2311" s="1632" t="s">
        <v>2161</v>
      </c>
      <c r="K2311" s="1629">
        <f t="shared" si="243"/>
        <v>33.300000000000004</v>
      </c>
      <c r="W2311" s="1634"/>
    </row>
    <row r="2312" spans="5:255" ht="51.75" customHeight="1">
      <c r="F2312" s="1629">
        <v>0.5</v>
      </c>
      <c r="G2312" s="1630" t="s">
        <v>2161</v>
      </c>
      <c r="H2312" s="1629" t="s">
        <v>5688</v>
      </c>
      <c r="I2312" s="1701">
        <v>101.5</v>
      </c>
      <c r="J2312" s="1632" t="s">
        <v>2161</v>
      </c>
      <c r="K2312" s="1629">
        <f t="shared" si="243"/>
        <v>50.75</v>
      </c>
      <c r="W2312" s="1634"/>
    </row>
    <row r="2313" spans="5:255" ht="36.75" customHeight="1">
      <c r="E2313" s="1633">
        <f>25.2/5</f>
        <v>5.04</v>
      </c>
      <c r="F2313" s="1629">
        <v>0.5</v>
      </c>
      <c r="G2313" s="1630" t="s">
        <v>4</v>
      </c>
      <c r="H2313" s="1629" t="s">
        <v>2370</v>
      </c>
      <c r="I2313" s="1629">
        <f>I2297</f>
        <v>783</v>
      </c>
      <c r="J2313" s="1632" t="s">
        <v>4</v>
      </c>
      <c r="K2313" s="1629">
        <f t="shared" si="243"/>
        <v>391.5</v>
      </c>
      <c r="W2313" s="1634"/>
    </row>
    <row r="2314" spans="5:255" ht="24" customHeight="1">
      <c r="F2314" s="1629">
        <v>1</v>
      </c>
      <c r="G2314" s="1630" t="s">
        <v>4</v>
      </c>
      <c r="H2314" s="1629" t="s">
        <v>2371</v>
      </c>
      <c r="I2314" s="1629">
        <f>I2299</f>
        <v>611</v>
      </c>
      <c r="J2314" s="1632" t="s">
        <v>4</v>
      </c>
      <c r="K2314" s="1629">
        <f t="shared" si="243"/>
        <v>611</v>
      </c>
      <c r="W2314" s="1634"/>
    </row>
    <row r="2315" spans="5:255" ht="45.75" customHeight="1">
      <c r="G2315" s="1630" t="s">
        <v>287</v>
      </c>
      <c r="H2315" s="1672" t="s">
        <v>2372</v>
      </c>
      <c r="J2315" s="1632" t="s">
        <v>287</v>
      </c>
      <c r="K2315" s="1629">
        <v>200</v>
      </c>
      <c r="W2315" s="1634"/>
    </row>
    <row r="2316" spans="5:255" ht="24" customHeight="1">
      <c r="G2316" s="1630" t="s">
        <v>287</v>
      </c>
      <c r="H2316" s="1629" t="s">
        <v>2373</v>
      </c>
      <c r="J2316" s="1632" t="s">
        <v>287</v>
      </c>
      <c r="K2316" s="1629">
        <v>8.32</v>
      </c>
      <c r="W2316" s="1634"/>
    </row>
    <row r="2317" spans="5:255" ht="24" customHeight="1">
      <c r="K2317" s="1636" t="s">
        <v>21</v>
      </c>
      <c r="W2317" s="1634"/>
    </row>
    <row r="2318" spans="5:255" ht="24" customHeight="1">
      <c r="H2318" s="1629" t="s">
        <v>1668</v>
      </c>
      <c r="K2318" s="1640">
        <f>SUM(K2309:K2316)</f>
        <v>1802.37</v>
      </c>
      <c r="L2318" s="1629">
        <f>K2352/3</f>
        <v>38.193999999999996</v>
      </c>
      <c r="W2318" s="1634"/>
    </row>
    <row r="2319" spans="5:255" ht="27" customHeight="1">
      <c r="K2319" s="1636" t="s">
        <v>21</v>
      </c>
      <c r="W2319" s="1634"/>
    </row>
    <row r="2320" spans="5:255" ht="45" customHeight="1">
      <c r="H2320" s="1661" t="s">
        <v>2374</v>
      </c>
      <c r="W2320" s="1634"/>
    </row>
    <row r="2321" spans="6:23" ht="24" customHeight="1">
      <c r="F2321" s="1629">
        <v>0.7</v>
      </c>
      <c r="G2321" s="1630" t="s">
        <v>4</v>
      </c>
      <c r="H2321" s="1629" t="s">
        <v>536</v>
      </c>
      <c r="I2321" s="1629">
        <f>C17</f>
        <v>1170.3999999999999</v>
      </c>
      <c r="J2321" s="1632" t="s">
        <v>340</v>
      </c>
      <c r="K2321" s="1629">
        <f>I2321*F2321</f>
        <v>819.27999999999986</v>
      </c>
      <c r="S2321" s="1633">
        <f>R2359+R2360</f>
        <v>1174.5999999999999</v>
      </c>
      <c r="W2321" s="1634"/>
    </row>
    <row r="2322" spans="6:23" ht="24" customHeight="1">
      <c r="F2322" s="1629">
        <v>0.5</v>
      </c>
      <c r="G2322" s="1630" t="s">
        <v>4</v>
      </c>
      <c r="H2322" s="1629" t="s">
        <v>537</v>
      </c>
      <c r="I2322" s="1629">
        <f>C12</f>
        <v>865.19999999999993</v>
      </c>
      <c r="J2322" s="1632" t="s">
        <v>340</v>
      </c>
      <c r="K2322" s="1629">
        <f>I2322*F2322</f>
        <v>432.59999999999997</v>
      </c>
      <c r="W2322" s="1634"/>
    </row>
    <row r="2323" spans="6:23" ht="24" customHeight="1">
      <c r="H2323" s="1629" t="s">
        <v>2375</v>
      </c>
      <c r="K2323" s="1629">
        <f>SUM(K2321:K2322)</f>
        <v>1251.8799999999999</v>
      </c>
      <c r="W2323" s="1634"/>
    </row>
    <row r="2324" spans="6:23" ht="24" customHeight="1">
      <c r="H2324" s="1629" t="s">
        <v>2376</v>
      </c>
      <c r="K2324" s="1661">
        <f>K2323/8.16</f>
        <v>153.41666666666666</v>
      </c>
      <c r="W2324" s="1634"/>
    </row>
    <row r="2325" spans="6:23" ht="24" customHeight="1">
      <c r="W2325" s="1634"/>
    </row>
    <row r="2326" spans="6:23" ht="24" customHeight="1">
      <c r="H2326" s="1661" t="s">
        <v>2377</v>
      </c>
      <c r="W2326" s="1634"/>
    </row>
    <row r="2327" spans="6:23" ht="24" customHeight="1">
      <c r="F2327" s="1629">
        <v>2</v>
      </c>
      <c r="G2327" s="1630" t="s">
        <v>534</v>
      </c>
      <c r="H2327" s="1629" t="s">
        <v>5221</v>
      </c>
      <c r="I2327" s="1701">
        <v>62.1</v>
      </c>
      <c r="J2327" s="1632" t="s">
        <v>534</v>
      </c>
      <c r="K2327" s="1629">
        <f>I2327*F2327</f>
        <v>124.2</v>
      </c>
      <c r="W2327" s="1634"/>
    </row>
    <row r="2328" spans="6:23" ht="24" customHeight="1">
      <c r="F2328" s="1629">
        <v>0.2</v>
      </c>
      <c r="G2328" s="1630" t="s">
        <v>534</v>
      </c>
      <c r="H2328" s="1629" t="s">
        <v>535</v>
      </c>
      <c r="I2328" s="1629">
        <f>C143/1000</f>
        <v>56.35</v>
      </c>
      <c r="J2328" s="1632" t="s">
        <v>534</v>
      </c>
      <c r="K2328" s="1629">
        <f>I2328*F2328</f>
        <v>11.270000000000001</v>
      </c>
      <c r="W2328" s="1634"/>
    </row>
    <row r="2329" spans="6:23" ht="24" customHeight="1">
      <c r="F2329" s="1629">
        <v>2</v>
      </c>
      <c r="G2329" s="1630" t="s">
        <v>534</v>
      </c>
      <c r="H2329" s="1629" t="s">
        <v>2379</v>
      </c>
      <c r="I2329" s="1629">
        <f>K2324</f>
        <v>153.41666666666666</v>
      </c>
      <c r="J2329" s="1632" t="s">
        <v>534</v>
      </c>
      <c r="K2329" s="1629">
        <f>I2329*F2329</f>
        <v>306.83333333333331</v>
      </c>
      <c r="W2329" s="1634"/>
    </row>
    <row r="2330" spans="6:23" ht="24" customHeight="1">
      <c r="H2330" s="1629" t="s">
        <v>2380</v>
      </c>
      <c r="K2330" s="1629">
        <f>SUM(K2327:K2329)</f>
        <v>442.30333333333328</v>
      </c>
      <c r="W2330" s="1634"/>
    </row>
    <row r="2331" spans="6:23" ht="24" customHeight="1">
      <c r="H2331" s="1629" t="s">
        <v>2381</v>
      </c>
      <c r="K2331" s="1661">
        <f>K2330/10</f>
        <v>44.230333333333327</v>
      </c>
      <c r="W2331" s="1634"/>
    </row>
    <row r="2332" spans="6:23" ht="24" customHeight="1">
      <c r="W2332" s="1634"/>
    </row>
    <row r="2333" spans="6:23" ht="24" customHeight="1">
      <c r="H2333" s="1661" t="s">
        <v>2382</v>
      </c>
      <c r="N2333" s="1630"/>
      <c r="O2333" s="1661" t="s">
        <v>532</v>
      </c>
      <c r="Q2333" s="1632"/>
      <c r="W2333" s="1634"/>
    </row>
    <row r="2334" spans="6:23" ht="24" customHeight="1">
      <c r="F2334" s="1629">
        <v>0.25</v>
      </c>
      <c r="G2334" s="1630" t="s">
        <v>345</v>
      </c>
      <c r="H2334" s="1629" t="s">
        <v>2383</v>
      </c>
      <c r="I2334" s="1629">
        <f>C11</f>
        <v>1237.5999999999999</v>
      </c>
      <c r="J2334" s="1632" t="s">
        <v>340</v>
      </c>
      <c r="K2334" s="1629">
        <f>I2334*F2334</f>
        <v>309.39999999999998</v>
      </c>
      <c r="M2334" s="1629">
        <v>15</v>
      </c>
      <c r="N2334" s="1630" t="s">
        <v>533</v>
      </c>
      <c r="O2334" s="1734" t="s">
        <v>5689</v>
      </c>
      <c r="P2334" s="1629">
        <v>160.25</v>
      </c>
      <c r="Q2334" s="1632" t="s">
        <v>533</v>
      </c>
      <c r="R2334" s="1629">
        <f>P2334*M2334</f>
        <v>2403.75</v>
      </c>
      <c r="W2334" s="1634"/>
    </row>
    <row r="2335" spans="6:23" ht="24" customHeight="1">
      <c r="F2335" s="1629">
        <v>1</v>
      </c>
      <c r="G2335" s="1630" t="s">
        <v>345</v>
      </c>
      <c r="H2335" s="1629" t="s">
        <v>537</v>
      </c>
      <c r="I2335" s="1629">
        <f>C12</f>
        <v>865.19999999999993</v>
      </c>
      <c r="J2335" s="1632" t="s">
        <v>340</v>
      </c>
      <c r="K2335" s="1629">
        <f>I2335*F2335</f>
        <v>865.19999999999993</v>
      </c>
      <c r="M2335" s="1629">
        <v>0.5</v>
      </c>
      <c r="N2335" s="1630" t="s">
        <v>534</v>
      </c>
      <c r="O2335" s="1629" t="s">
        <v>535</v>
      </c>
      <c r="P2335" s="1629">
        <f>C143/1000</f>
        <v>56.35</v>
      </c>
      <c r="Q2335" s="1632" t="s">
        <v>534</v>
      </c>
      <c r="R2335" s="1629">
        <f>P2335*M2335</f>
        <v>28.175000000000001</v>
      </c>
      <c r="W2335" s="1634"/>
    </row>
    <row r="2336" spans="6:23" ht="24" customHeight="1">
      <c r="G2336" s="1632" t="s">
        <v>226</v>
      </c>
      <c r="H2336" s="1629" t="s">
        <v>2384</v>
      </c>
      <c r="I2336" s="1629">
        <f>SUM(K2334:K2335)*10/100</f>
        <v>117.46</v>
      </c>
      <c r="J2336" s="1632" t="s">
        <v>226</v>
      </c>
      <c r="K2336" s="1629">
        <f>I2336</f>
        <v>117.46</v>
      </c>
      <c r="M2336" s="1629">
        <v>0.5</v>
      </c>
      <c r="N2336" s="1630" t="s">
        <v>345</v>
      </c>
      <c r="O2336" s="1629" t="s">
        <v>536</v>
      </c>
      <c r="P2336" s="1629">
        <f>C17</f>
        <v>1170.3999999999999</v>
      </c>
      <c r="Q2336" s="1632" t="s">
        <v>534</v>
      </c>
      <c r="R2336" s="1629">
        <f>P2336*M2336</f>
        <v>585.19999999999993</v>
      </c>
      <c r="W2336" s="1634"/>
    </row>
    <row r="2337" spans="4:23" ht="24" customHeight="1">
      <c r="H2337" s="1629" t="s">
        <v>2385</v>
      </c>
      <c r="K2337" s="1629">
        <f>SUM(K2334:K2336)</f>
        <v>1292.06</v>
      </c>
      <c r="M2337" s="1629">
        <v>0.5</v>
      </c>
      <c r="N2337" s="1630" t="s">
        <v>345</v>
      </c>
      <c r="O2337" s="1629" t="s">
        <v>537</v>
      </c>
      <c r="P2337" s="1629">
        <f>C12</f>
        <v>865.19999999999993</v>
      </c>
      <c r="Q2337" s="1632" t="s">
        <v>534</v>
      </c>
      <c r="R2337" s="1629">
        <f>P2337*M2337</f>
        <v>432.59999999999997</v>
      </c>
      <c r="W2337" s="1634"/>
    </row>
    <row r="2338" spans="4:23" ht="24" customHeight="1">
      <c r="H2338" s="1629" t="s">
        <v>2386</v>
      </c>
      <c r="K2338" s="1661">
        <f>K2337/2.44</f>
        <v>529.53278688524586</v>
      </c>
      <c r="N2338" s="1630"/>
      <c r="O2338" s="1629" t="s">
        <v>538</v>
      </c>
      <c r="Q2338" s="1632"/>
      <c r="R2338" s="1629">
        <f>SUM(R2334:R2337)</f>
        <v>3449.7249999999999</v>
      </c>
      <c r="W2338" s="1634"/>
    </row>
    <row r="2339" spans="4:23" ht="24" customHeight="1">
      <c r="K2339" s="1629">
        <v>0</v>
      </c>
      <c r="O2339" s="1661" t="s">
        <v>339</v>
      </c>
      <c r="Q2339" s="1632"/>
      <c r="R2339" s="1661">
        <f>R2338/15</f>
        <v>229.98166666666665</v>
      </c>
      <c r="W2339" s="1634"/>
    </row>
    <row r="2340" spans="4:23" ht="24" customHeight="1">
      <c r="H2340" s="1661" t="s">
        <v>2387</v>
      </c>
      <c r="W2340" s="1634"/>
    </row>
    <row r="2341" spans="4:23" ht="24" customHeight="1">
      <c r="F2341" s="1633">
        <v>7.0999999999999994E-2</v>
      </c>
      <c r="G2341" s="1630" t="s">
        <v>2388</v>
      </c>
      <c r="H2341" s="1629" t="s">
        <v>2389</v>
      </c>
      <c r="I2341" s="1629">
        <f>Z688</f>
        <v>10435.4326755</v>
      </c>
      <c r="J2341" s="1632" t="s">
        <v>2390</v>
      </c>
      <c r="K2341" s="1629">
        <f>I2341*F2341</f>
        <v>740.91571996049993</v>
      </c>
      <c r="W2341" s="1634"/>
    </row>
    <row r="2342" spans="4:23" ht="24" customHeight="1">
      <c r="F2342" s="1629">
        <v>1</v>
      </c>
      <c r="G2342" s="1630" t="s">
        <v>2143</v>
      </c>
      <c r="H2342" s="1629" t="s">
        <v>910</v>
      </c>
      <c r="I2342" s="1629">
        <f>K2338</f>
        <v>529.53278688524586</v>
      </c>
      <c r="J2342" s="1632" t="s">
        <v>2143</v>
      </c>
      <c r="K2342" s="1629">
        <f>I2342*F2342</f>
        <v>529.53278688524586</v>
      </c>
      <c r="W2342" s="1634"/>
    </row>
    <row r="2343" spans="4:23" ht="43.5" customHeight="1">
      <c r="F2343" s="1629" t="s">
        <v>150</v>
      </c>
      <c r="H2343" s="1629" t="s">
        <v>2391</v>
      </c>
      <c r="K2343" s="1661">
        <f>SUM(K2341:K2342)</f>
        <v>1270.4485068457457</v>
      </c>
      <c r="N2343" s="1630"/>
      <c r="O2343" s="2020" t="s">
        <v>2392</v>
      </c>
      <c r="P2343" s="2021"/>
      <c r="Q2343" s="2021"/>
      <c r="W2343" s="1634"/>
    </row>
    <row r="2344" spans="4:23" ht="51" customHeight="1">
      <c r="M2344" s="1629">
        <v>0.47</v>
      </c>
      <c r="N2344" s="1630" t="s">
        <v>313</v>
      </c>
      <c r="O2344" s="1629" t="s">
        <v>2137</v>
      </c>
      <c r="P2344" s="1629">
        <f>K90</f>
        <v>297.5</v>
      </c>
      <c r="Q2344" s="1632" t="s">
        <v>340</v>
      </c>
      <c r="R2344" s="1629">
        <f>P2344*M2344</f>
        <v>139.82499999999999</v>
      </c>
      <c r="W2344" s="1634"/>
    </row>
    <row r="2345" spans="4:23" ht="24" customHeight="1">
      <c r="M2345" s="1629">
        <v>2</v>
      </c>
      <c r="R2345" s="1629">
        <f>P2345*M2345</f>
        <v>0</v>
      </c>
      <c r="W2345" s="1634"/>
    </row>
    <row r="2346" spans="4:23" ht="36.75" customHeight="1">
      <c r="H2346" s="1796" t="s">
        <v>2393</v>
      </c>
      <c r="K2346" s="1633"/>
      <c r="M2346" s="1629">
        <v>0.24</v>
      </c>
      <c r="N2346" s="1630" t="s">
        <v>313</v>
      </c>
      <c r="O2346" s="1629" t="s">
        <v>2394</v>
      </c>
      <c r="P2346" s="1629">
        <f>AE15</f>
        <v>2033.72</v>
      </c>
      <c r="Q2346" s="1632" t="s">
        <v>340</v>
      </c>
      <c r="R2346" s="1629">
        <f>P2346*M2346</f>
        <v>488.09280000000001</v>
      </c>
      <c r="S2346" s="1633" t="s">
        <v>5690</v>
      </c>
      <c r="W2346" s="1634"/>
    </row>
    <row r="2347" spans="4:23" ht="41.25" customHeight="1">
      <c r="D2347" s="1629">
        <f>24/5</f>
        <v>4.8</v>
      </c>
      <c r="F2347" s="1629">
        <v>98.5</v>
      </c>
      <c r="G2347" s="1630" t="s">
        <v>552</v>
      </c>
      <c r="H2347" s="1797" t="s">
        <v>5222</v>
      </c>
      <c r="I2347" s="1633">
        <f>25.2/5</f>
        <v>5.04</v>
      </c>
      <c r="J2347" s="1632" t="s">
        <v>552</v>
      </c>
      <c r="K2347" s="1629">
        <f>I2347*F2347</f>
        <v>496.44</v>
      </c>
      <c r="M2347" s="1629">
        <v>0.79</v>
      </c>
      <c r="N2347" s="1632" t="s">
        <v>306</v>
      </c>
      <c r="O2347" s="1705" t="s">
        <v>2396</v>
      </c>
      <c r="P2347" s="1629">
        <f>X559</f>
        <v>2145.0087672947511</v>
      </c>
      <c r="Q2347" s="1632" t="s">
        <v>226</v>
      </c>
      <c r="R2347" s="1629">
        <f>P2347*M2347</f>
        <v>1694.5569261628534</v>
      </c>
      <c r="S2347" s="1633" t="s">
        <v>5691</v>
      </c>
      <c r="W2347" s="1634"/>
    </row>
    <row r="2348" spans="4:23" ht="24" customHeight="1">
      <c r="F2348" s="1629">
        <v>0.3</v>
      </c>
      <c r="G2348" s="1630" t="s">
        <v>552</v>
      </c>
      <c r="H2348" s="1629" t="s">
        <v>1580</v>
      </c>
      <c r="I2348" s="1629">
        <f>C16</f>
        <v>1296.3999999999999</v>
      </c>
      <c r="J2348" s="1632" t="s">
        <v>340</v>
      </c>
      <c r="K2348" s="1629">
        <f>I2348*F2348</f>
        <v>388.91999999999996</v>
      </c>
      <c r="M2348" s="1629">
        <v>0.24</v>
      </c>
      <c r="N2348" s="1630" t="s">
        <v>313</v>
      </c>
      <c r="O2348" s="1629" t="s">
        <v>908</v>
      </c>
      <c r="P2348" s="1629">
        <f>I140</f>
        <v>2265.5</v>
      </c>
      <c r="Q2348" s="1632"/>
      <c r="R2348" s="1629">
        <f>P2348*M2348</f>
        <v>543.72</v>
      </c>
      <c r="W2348" s="1634"/>
    </row>
    <row r="2349" spans="4:23" ht="24" customHeight="1">
      <c r="F2349" s="1629">
        <v>0.3</v>
      </c>
      <c r="G2349" s="1629" t="s">
        <v>552</v>
      </c>
      <c r="H2349" s="1629" t="s">
        <v>537</v>
      </c>
      <c r="I2349" s="1629">
        <f>C12</f>
        <v>865.19999999999993</v>
      </c>
      <c r="J2349" s="1632" t="s">
        <v>340</v>
      </c>
      <c r="K2349" s="1629">
        <f>I2349*F2349</f>
        <v>259.55999999999995</v>
      </c>
      <c r="N2349" s="1630"/>
      <c r="O2349" s="1629" t="s">
        <v>337</v>
      </c>
      <c r="Q2349" s="1632"/>
      <c r="R2349" s="1629" t="s">
        <v>2397</v>
      </c>
      <c r="W2349" s="1634"/>
    </row>
    <row r="2350" spans="4:23" ht="24" customHeight="1">
      <c r="H2350" s="1629" t="s">
        <v>2398</v>
      </c>
      <c r="K2350" s="1629">
        <v>0.9</v>
      </c>
      <c r="R2350" s="1661">
        <f>SUM(R2344:R2348)</f>
        <v>2866.1947261628538</v>
      </c>
      <c r="W2350" s="1634"/>
    </row>
    <row r="2351" spans="4:23" ht="24" customHeight="1">
      <c r="H2351" s="1661" t="s">
        <v>2399</v>
      </c>
      <c r="K2351" s="1661">
        <f>SUM(K2347:K2350)</f>
        <v>1145.82</v>
      </c>
      <c r="R2351" s="1629" t="s">
        <v>2400</v>
      </c>
      <c r="W2351" s="1634"/>
    </row>
    <row r="2352" spans="4:23" ht="24" customHeight="1">
      <c r="H2352" s="1661" t="s">
        <v>2401</v>
      </c>
      <c r="K2352" s="1661">
        <f>K2351/10</f>
        <v>114.58199999999999</v>
      </c>
      <c r="R2352" s="1629">
        <v>0</v>
      </c>
      <c r="W2352" s="1634"/>
    </row>
    <row r="2353" spans="6:23" ht="24" customHeight="1">
      <c r="H2353" s="1661" t="s">
        <v>2402</v>
      </c>
      <c r="K2353" s="1661">
        <f>K2352/3</f>
        <v>38.193999999999996</v>
      </c>
      <c r="N2353" s="1630"/>
      <c r="O2353" s="2020" t="s">
        <v>2403</v>
      </c>
      <c r="P2353" s="2021"/>
      <c r="Q2353" s="2021"/>
      <c r="W2353" s="1634"/>
    </row>
    <row r="2354" spans="6:23" ht="24" customHeight="1">
      <c r="G2354" s="1735" t="s">
        <v>599</v>
      </c>
      <c r="H2354" s="1629" t="s">
        <v>600</v>
      </c>
      <c r="I2354" s="1661">
        <f>I2356-K2352</f>
        <v>1097.5445499999996</v>
      </c>
      <c r="K2354" s="1661"/>
      <c r="M2354" s="1629">
        <v>1</v>
      </c>
      <c r="N2354" s="1630" t="s">
        <v>313</v>
      </c>
      <c r="O2354" s="1629" t="s">
        <v>910</v>
      </c>
      <c r="P2354" s="1629">
        <f>R2365</f>
        <v>529.53278688524586</v>
      </c>
      <c r="Q2354" s="1632" t="s">
        <v>340</v>
      </c>
      <c r="R2354" s="1629">
        <f>P2354*M2354</f>
        <v>529.53278688524586</v>
      </c>
      <c r="W2354" s="1634"/>
    </row>
    <row r="2355" spans="6:23" ht="24" customHeight="1">
      <c r="G2355" s="1688"/>
      <c r="I2355" s="1661"/>
      <c r="K2355" s="1661"/>
      <c r="M2355" s="1633">
        <v>7.0999999999999994E-2</v>
      </c>
      <c r="N2355" s="1630" t="s">
        <v>313</v>
      </c>
      <c r="O2355" s="1629" t="s">
        <v>2394</v>
      </c>
      <c r="P2355" s="1629">
        <f>P2346</f>
        <v>2033.72</v>
      </c>
      <c r="Q2355" s="1632" t="s">
        <v>340</v>
      </c>
      <c r="R2355" s="1629">
        <f>P2355*M2355</f>
        <v>144.39411999999999</v>
      </c>
      <c r="W2355" s="1634"/>
    </row>
    <row r="2356" spans="6:23" ht="24" customHeight="1">
      <c r="G2356" s="1735" t="s">
        <v>520</v>
      </c>
      <c r="H2356" s="1629" t="s">
        <v>528</v>
      </c>
      <c r="I2356" s="1661">
        <f>K770</f>
        <v>1212.1265499999997</v>
      </c>
      <c r="K2356" s="1661"/>
      <c r="R2356" s="1629" t="s">
        <v>2397</v>
      </c>
      <c r="W2356" s="1634"/>
    </row>
    <row r="2357" spans="6:23" ht="24" customHeight="1">
      <c r="G2357" s="1688"/>
      <c r="I2357" s="1661"/>
      <c r="K2357" s="1661"/>
      <c r="N2357" s="1632"/>
      <c r="Q2357" s="1632"/>
      <c r="R2357" s="1661">
        <f>SUM(R2354:R2355)</f>
        <v>673.9269068852459</v>
      </c>
      <c r="W2357" s="1634"/>
    </row>
    <row r="2358" spans="6:23" ht="24" customHeight="1">
      <c r="G2358" s="1798" t="s">
        <v>514</v>
      </c>
      <c r="H2358" s="1672" t="s">
        <v>529</v>
      </c>
      <c r="I2358" s="1661">
        <f>I2356*1.2</f>
        <v>1454.5518599999996</v>
      </c>
      <c r="K2358" s="1661"/>
      <c r="N2358" s="1630"/>
      <c r="Q2358" s="1632"/>
      <c r="R2358" s="1629" t="s">
        <v>2397</v>
      </c>
      <c r="W2358" s="1634"/>
    </row>
    <row r="2359" spans="6:23" ht="24" customHeight="1">
      <c r="G2359" s="1735"/>
      <c r="K2359" s="1661"/>
      <c r="M2359" s="1629">
        <v>0.25</v>
      </c>
      <c r="N2359" s="1630" t="s">
        <v>68</v>
      </c>
      <c r="O2359" s="1629" t="s">
        <v>2404</v>
      </c>
      <c r="P2359" s="1629">
        <f>AG10</f>
        <v>1237.5999999999999</v>
      </c>
      <c r="Q2359" s="1632"/>
      <c r="R2359" s="1629">
        <f>P2359*M2359</f>
        <v>309.39999999999998</v>
      </c>
      <c r="W2359" s="1634"/>
    </row>
    <row r="2360" spans="6:23" ht="24" customHeight="1">
      <c r="G2360" s="1735" t="s">
        <v>530</v>
      </c>
      <c r="H2360" s="1629" t="s">
        <v>531</v>
      </c>
      <c r="I2360" s="1661">
        <f>I2356*1.1</f>
        <v>1333.3392049999998</v>
      </c>
      <c r="K2360" s="1661"/>
      <c r="M2360" s="1629">
        <v>1</v>
      </c>
      <c r="N2360" s="1630" t="s">
        <v>68</v>
      </c>
      <c r="O2360" s="1629" t="s">
        <v>2405</v>
      </c>
      <c r="P2360" s="1629">
        <f>AG11</f>
        <v>865.19999999999993</v>
      </c>
      <c r="R2360" s="1629">
        <f>P2360*M2360</f>
        <v>865.19999999999993</v>
      </c>
      <c r="W2360" s="1634"/>
    </row>
    <row r="2361" spans="6:23" ht="42" customHeight="1">
      <c r="K2361" s="1661"/>
      <c r="M2361" s="1629">
        <v>1</v>
      </c>
      <c r="N2361" s="1629" t="s">
        <v>68</v>
      </c>
      <c r="O2361" s="1778" t="s">
        <v>2406</v>
      </c>
      <c r="P2361" s="1629" t="s">
        <v>287</v>
      </c>
      <c r="R2361" s="1629">
        <f>(R2359+R2360)*10%</f>
        <v>117.46</v>
      </c>
      <c r="W2361" s="1634"/>
    </row>
    <row r="2362" spans="6:23" ht="24" customHeight="1">
      <c r="R2362" s="1629" t="s">
        <v>2397</v>
      </c>
      <c r="W2362" s="1634"/>
    </row>
    <row r="2363" spans="6:23" ht="24" customHeight="1">
      <c r="H2363" s="1661" t="s">
        <v>2407</v>
      </c>
      <c r="R2363" s="1661">
        <f>SUM(R2359:R2361)</f>
        <v>1292.06</v>
      </c>
      <c r="W2363" s="1634"/>
    </row>
    <row r="2364" spans="6:23" ht="24" customHeight="1">
      <c r="F2364" s="1629">
        <v>11.5</v>
      </c>
      <c r="G2364" s="1630" t="s">
        <v>306</v>
      </c>
      <c r="H2364" s="1701" t="s">
        <v>5223</v>
      </c>
      <c r="I2364" s="1629">
        <v>170.15</v>
      </c>
      <c r="J2364" s="1632" t="s">
        <v>306</v>
      </c>
      <c r="K2364" s="1629">
        <f t="shared" ref="K2364:K2369" si="244">F2364*I2364</f>
        <v>1956.7250000000001</v>
      </c>
      <c r="R2364" s="1629" t="s">
        <v>2397</v>
      </c>
      <c r="W2364" s="1634"/>
    </row>
    <row r="2365" spans="6:23" ht="24" customHeight="1">
      <c r="F2365" s="1629">
        <v>2</v>
      </c>
      <c r="G2365" s="1630" t="s">
        <v>2409</v>
      </c>
      <c r="H2365" s="1701" t="s">
        <v>5224</v>
      </c>
      <c r="I2365" s="1629">
        <v>196.45</v>
      </c>
      <c r="J2365" s="1632" t="s">
        <v>2411</v>
      </c>
      <c r="K2365" s="1629">
        <f t="shared" si="244"/>
        <v>392.9</v>
      </c>
      <c r="R2365" s="1629">
        <f>R2363/2.44</f>
        <v>529.53278688524586</v>
      </c>
      <c r="W2365" s="1634"/>
    </row>
    <row r="2366" spans="6:23" ht="24" customHeight="1">
      <c r="F2366" s="1629">
        <v>20</v>
      </c>
      <c r="G2366" s="1630" t="s">
        <v>2412</v>
      </c>
      <c r="H2366" s="1799" t="s">
        <v>5225</v>
      </c>
      <c r="I2366" s="1629">
        <v>3.91</v>
      </c>
      <c r="J2366" s="1632" t="s">
        <v>2412</v>
      </c>
      <c r="K2366" s="1629">
        <f t="shared" si="244"/>
        <v>78.2</v>
      </c>
      <c r="W2366" s="1634"/>
    </row>
    <row r="2367" spans="6:23" ht="24" customHeight="1">
      <c r="F2367" s="1629">
        <v>2.2000000000000002</v>
      </c>
      <c r="G2367" s="1630" t="s">
        <v>68</v>
      </c>
      <c r="H2367" s="1629" t="s">
        <v>2414</v>
      </c>
      <c r="I2367" s="1629">
        <f>AG18</f>
        <v>1136.8</v>
      </c>
      <c r="J2367" s="1632" t="s">
        <v>340</v>
      </c>
      <c r="K2367" s="1629">
        <f t="shared" si="244"/>
        <v>2500.96</v>
      </c>
      <c r="W2367" s="1634"/>
    </row>
    <row r="2368" spans="6:23" ht="24" customHeight="1">
      <c r="F2368" s="1629">
        <v>1.1000000000000001</v>
      </c>
      <c r="G2368" s="1630" t="s">
        <v>68</v>
      </c>
      <c r="H2368" s="1629" t="s">
        <v>2415</v>
      </c>
      <c r="I2368" s="1629">
        <f>C16</f>
        <v>1296.3999999999999</v>
      </c>
      <c r="J2368" s="1632" t="s">
        <v>340</v>
      </c>
      <c r="K2368" s="1629">
        <f t="shared" si="244"/>
        <v>1426.04</v>
      </c>
      <c r="W2368" s="1634"/>
    </row>
    <row r="2369" spans="6:23" ht="24" customHeight="1">
      <c r="F2369" s="1629">
        <v>3.2</v>
      </c>
      <c r="G2369" s="1630" t="s">
        <v>68</v>
      </c>
      <c r="H2369" s="1629" t="s">
        <v>2416</v>
      </c>
      <c r="I2369" s="1629">
        <f>C12</f>
        <v>865.19999999999993</v>
      </c>
      <c r="J2369" s="1632" t="s">
        <v>340</v>
      </c>
      <c r="K2369" s="1629">
        <f t="shared" si="244"/>
        <v>2768.64</v>
      </c>
      <c r="O2369" s="1634"/>
      <c r="W2369" s="1634"/>
    </row>
    <row r="2370" spans="6:23" ht="24" customHeight="1">
      <c r="H2370" s="1629" t="s">
        <v>2417</v>
      </c>
      <c r="J2370" s="1632" t="s">
        <v>226</v>
      </c>
      <c r="K2370" s="1629">
        <v>0.5</v>
      </c>
      <c r="N2370" s="1630"/>
      <c r="O2370" s="1677" t="s">
        <v>2418</v>
      </c>
      <c r="Q2370" s="1632"/>
      <c r="W2370" s="1634"/>
    </row>
    <row r="2371" spans="6:23" ht="24" customHeight="1">
      <c r="K2371" s="1664" t="s">
        <v>1810</v>
      </c>
      <c r="M2371" s="1629">
        <v>11</v>
      </c>
      <c r="N2371" s="1630" t="s">
        <v>306</v>
      </c>
      <c r="O2371" s="1629" t="s">
        <v>2419</v>
      </c>
      <c r="P2371" s="1629">
        <f>I2364</f>
        <v>170.15</v>
      </c>
      <c r="Q2371" s="1632" t="s">
        <v>306</v>
      </c>
      <c r="R2371" s="1629">
        <f>M2371*P2371</f>
        <v>1871.65</v>
      </c>
      <c r="W2371" s="1634"/>
    </row>
    <row r="2372" spans="6:23" ht="24" customHeight="1">
      <c r="H2372" s="1677" t="s">
        <v>2420</v>
      </c>
      <c r="K2372" s="1661">
        <f>SUM(K2364:K2371)</f>
        <v>9123.9650000000001</v>
      </c>
      <c r="M2372" s="1629">
        <v>20</v>
      </c>
      <c r="N2372" s="1632" t="s">
        <v>2084</v>
      </c>
      <c r="O2372" s="1629" t="s">
        <v>2421</v>
      </c>
      <c r="P2372" s="1629">
        <f>I2366</f>
        <v>3.91</v>
      </c>
      <c r="Q2372" s="1632" t="s">
        <v>2084</v>
      </c>
      <c r="R2372" s="1629">
        <f>M2372*P2372</f>
        <v>78.2</v>
      </c>
      <c r="W2372" s="1634"/>
    </row>
    <row r="2373" spans="6:23" ht="24" customHeight="1">
      <c r="K2373" s="1664" t="s">
        <v>1810</v>
      </c>
      <c r="M2373" s="1629">
        <v>2.2000000000000002</v>
      </c>
      <c r="N2373" s="1630" t="s">
        <v>68</v>
      </c>
      <c r="O2373" s="1629" t="s">
        <v>2414</v>
      </c>
      <c r="P2373" s="1629">
        <f>AG18</f>
        <v>1136.8</v>
      </c>
      <c r="Q2373" s="1632" t="s">
        <v>340</v>
      </c>
      <c r="R2373" s="1629">
        <f>M2373*P2373</f>
        <v>2500.96</v>
      </c>
      <c r="W2373" s="1634"/>
    </row>
    <row r="2374" spans="6:23" ht="24" customHeight="1">
      <c r="H2374" s="1677" t="s">
        <v>2125</v>
      </c>
      <c r="I2374" s="1629" t="s">
        <v>150</v>
      </c>
      <c r="K2374" s="1661">
        <f>K2372/10</f>
        <v>912.39650000000006</v>
      </c>
      <c r="M2374" s="1629">
        <v>1.1000000000000001</v>
      </c>
      <c r="N2374" s="1630" t="s">
        <v>68</v>
      </c>
      <c r="O2374" s="1629" t="s">
        <v>2415</v>
      </c>
      <c r="P2374" s="1629">
        <f>I2368</f>
        <v>1296.3999999999999</v>
      </c>
      <c r="Q2374" s="1632" t="s">
        <v>340</v>
      </c>
      <c r="R2374" s="1629">
        <f>M2374*P2374</f>
        <v>1426.04</v>
      </c>
      <c r="W2374" s="1634"/>
    </row>
    <row r="2375" spans="6:23" ht="24" customHeight="1">
      <c r="K2375" s="1664" t="s">
        <v>1810</v>
      </c>
      <c r="M2375" s="1629">
        <v>3.2</v>
      </c>
      <c r="N2375" s="1630" t="s">
        <v>68</v>
      </c>
      <c r="O2375" s="1629" t="s">
        <v>2416</v>
      </c>
      <c r="P2375" s="1629">
        <f>I2369</f>
        <v>865.19999999999993</v>
      </c>
      <c r="Q2375" s="1632" t="s">
        <v>340</v>
      </c>
      <c r="R2375" s="1629">
        <f>M2375*P2375</f>
        <v>2768.64</v>
      </c>
      <c r="W2375" s="1634"/>
    </row>
    <row r="2376" spans="6:23" ht="24" customHeight="1">
      <c r="N2376" s="1630"/>
      <c r="O2376" s="1629" t="s">
        <v>2417</v>
      </c>
      <c r="Q2376" s="1632" t="s">
        <v>287</v>
      </c>
      <c r="R2376" s="1629">
        <v>0.74</v>
      </c>
      <c r="W2376" s="1634"/>
    </row>
    <row r="2377" spans="6:23" ht="24" customHeight="1">
      <c r="W2377" s="1634"/>
    </row>
    <row r="2378" spans="6:23" ht="51.75" customHeight="1">
      <c r="G2378" s="1629"/>
      <c r="H2378" s="1800" t="s">
        <v>326</v>
      </c>
      <c r="N2378" s="1630"/>
      <c r="Q2378" s="1632"/>
      <c r="R2378" s="1664" t="s">
        <v>1810</v>
      </c>
      <c r="W2378" s="1634"/>
    </row>
    <row r="2379" spans="6:23" ht="24" customHeight="1">
      <c r="G2379" s="1629"/>
      <c r="N2379" s="1630"/>
      <c r="O2379" s="1677" t="s">
        <v>2420</v>
      </c>
      <c r="Q2379" s="1632"/>
      <c r="R2379" s="1661">
        <f>SUM(R2371:R2378)</f>
        <v>8646.23</v>
      </c>
      <c r="W2379" s="1634"/>
    </row>
    <row r="2380" spans="6:23" ht="24" customHeight="1">
      <c r="F2380" s="1629" t="s">
        <v>327</v>
      </c>
      <c r="G2380" s="1629"/>
      <c r="H2380" s="1629" t="s">
        <v>328</v>
      </c>
      <c r="N2380" s="1630"/>
      <c r="Q2380" s="1632"/>
      <c r="R2380" s="1664" t="s">
        <v>1810</v>
      </c>
      <c r="W2380" s="1634"/>
    </row>
    <row r="2381" spans="6:23" ht="24" customHeight="1">
      <c r="G2381" s="1629"/>
      <c r="H2381" s="1629" t="s">
        <v>329</v>
      </c>
      <c r="N2381" s="1630"/>
      <c r="O2381" s="1677" t="s">
        <v>2422</v>
      </c>
      <c r="Q2381" s="1632"/>
      <c r="R2381" s="1661">
        <f>R2379/10</f>
        <v>864.62299999999993</v>
      </c>
      <c r="W2381" s="1634"/>
    </row>
    <row r="2382" spans="6:23" ht="24" customHeight="1">
      <c r="G2382" s="1629"/>
      <c r="N2382" s="1630"/>
      <c r="Q2382" s="1632"/>
      <c r="R2382" s="1664" t="s">
        <v>1810</v>
      </c>
      <c r="W2382" s="1634"/>
    </row>
    <row r="2383" spans="6:23" ht="24" customHeight="1">
      <c r="F2383" s="1629">
        <v>1.96</v>
      </c>
      <c r="G2383" s="1629" t="s">
        <v>313</v>
      </c>
      <c r="H2383" s="1629" t="s">
        <v>330</v>
      </c>
      <c r="I2383" s="1629">
        <f>K1713</f>
        <v>7350.4529999999995</v>
      </c>
      <c r="J2383" s="1627" t="s">
        <v>151</v>
      </c>
      <c r="K2383" s="1640">
        <f t="shared" ref="K2383:K2388" si="245">(F2383*I2383)</f>
        <v>14406.887879999998</v>
      </c>
      <c r="W2383" s="1634"/>
    </row>
    <row r="2384" spans="6:23" ht="24" customHeight="1">
      <c r="F2384" s="1629">
        <v>2</v>
      </c>
      <c r="G2384" s="1629" t="s">
        <v>68</v>
      </c>
      <c r="H2384" s="1629" t="s">
        <v>331</v>
      </c>
      <c r="I2384" s="1629">
        <f>C10</f>
        <v>1325.8</v>
      </c>
      <c r="J2384" s="1627" t="s">
        <v>153</v>
      </c>
      <c r="K2384" s="1640">
        <f t="shared" si="245"/>
        <v>2651.6</v>
      </c>
      <c r="W2384" s="1634"/>
    </row>
    <row r="2385" spans="5:23" ht="24" customHeight="1">
      <c r="F2385" s="1629">
        <v>2</v>
      </c>
      <c r="G2385" s="1629" t="s">
        <v>68</v>
      </c>
      <c r="H2385" s="1629" t="s">
        <v>332</v>
      </c>
      <c r="I2385" s="1629">
        <f>C13</f>
        <v>709.8</v>
      </c>
      <c r="J2385" s="1627" t="s">
        <v>153</v>
      </c>
      <c r="K2385" s="1640">
        <f t="shared" si="245"/>
        <v>1419.6</v>
      </c>
      <c r="N2385" s="1638" t="s">
        <v>249</v>
      </c>
      <c r="Q2385" s="1632"/>
      <c r="W2385" s="1634"/>
    </row>
    <row r="2386" spans="5:23" ht="24" customHeight="1">
      <c r="F2386" s="1629">
        <v>0.28000000000000003</v>
      </c>
      <c r="G2386" s="1629" t="s">
        <v>306</v>
      </c>
      <c r="H2386" s="1629" t="s">
        <v>333</v>
      </c>
      <c r="I2386" s="1629">
        <f>I2354</f>
        <v>1097.5445499999996</v>
      </c>
      <c r="J2386" s="1627" t="s">
        <v>153</v>
      </c>
      <c r="K2386" s="1640">
        <f t="shared" si="245"/>
        <v>307.3124739999999</v>
      </c>
      <c r="N2386" s="1630"/>
      <c r="O2386" s="1627" t="s">
        <v>5692</v>
      </c>
      <c r="Q2386" s="1634"/>
      <c r="W2386" s="1634"/>
    </row>
    <row r="2387" spans="5:23" ht="24" customHeight="1">
      <c r="F2387" s="1629">
        <v>500</v>
      </c>
      <c r="G2387" s="1629" t="s">
        <v>68</v>
      </c>
      <c r="H2387" s="1801" t="s">
        <v>334</v>
      </c>
      <c r="I2387" s="1629">
        <v>2</v>
      </c>
      <c r="J2387" s="1627" t="s">
        <v>153</v>
      </c>
      <c r="K2387" s="1640">
        <f t="shared" si="245"/>
        <v>1000</v>
      </c>
      <c r="N2387" s="1630"/>
      <c r="O2387" s="1627" t="s">
        <v>2424</v>
      </c>
      <c r="Q2387" s="1634"/>
      <c r="W2387" s="1634"/>
    </row>
    <row r="2388" spans="5:23" ht="24" customHeight="1">
      <c r="F2388" s="1629">
        <v>8.5</v>
      </c>
      <c r="G2388" s="1629" t="s">
        <v>335</v>
      </c>
      <c r="H2388" s="1668" t="s">
        <v>336</v>
      </c>
      <c r="I2388" s="1701">
        <v>43.6</v>
      </c>
      <c r="J2388" s="1632" t="s">
        <v>335</v>
      </c>
      <c r="K2388" s="1640">
        <f t="shared" si="245"/>
        <v>370.6</v>
      </c>
      <c r="N2388" s="1630"/>
      <c r="O2388" s="1627" t="s">
        <v>2425</v>
      </c>
      <c r="Q2388" s="1634"/>
      <c r="W2388" s="1634"/>
    </row>
    <row r="2389" spans="5:23" ht="24" customHeight="1">
      <c r="G2389" s="1629"/>
      <c r="H2389" s="1629" t="s">
        <v>337</v>
      </c>
      <c r="K2389" s="1656">
        <v>1.96</v>
      </c>
      <c r="N2389" s="1630"/>
      <c r="O2389" s="1627" t="s">
        <v>2426</v>
      </c>
      <c r="Q2389" s="1634"/>
      <c r="W2389" s="1634"/>
    </row>
    <row r="2390" spans="5:23" ht="24" customHeight="1">
      <c r="G2390" s="1629"/>
      <c r="I2390" s="1629" t="s">
        <v>338</v>
      </c>
      <c r="K2390" s="1640">
        <f>SUM(K2383:K2389)</f>
        <v>20157.960353999992</v>
      </c>
      <c r="N2390" s="1630"/>
      <c r="O2390" s="1636" t="s">
        <v>21</v>
      </c>
      <c r="P2390" s="1636" t="s">
        <v>21</v>
      </c>
      <c r="Q2390" s="1634"/>
      <c r="R2390" s="1640"/>
      <c r="W2390" s="1634"/>
    </row>
    <row r="2391" spans="5:23" ht="24" customHeight="1">
      <c r="G2391" s="1629"/>
      <c r="K2391" s="1636" t="s">
        <v>21</v>
      </c>
      <c r="M2391" s="1629">
        <v>8</v>
      </c>
      <c r="N2391" s="1638" t="s">
        <v>295</v>
      </c>
      <c r="O2391" s="1627" t="s">
        <v>2427</v>
      </c>
      <c r="P2391" s="1656">
        <v>4.0999999999999996</v>
      </c>
      <c r="Q2391" s="1628" t="s">
        <v>340</v>
      </c>
      <c r="R2391" s="1640">
        <f>P2391*M2391</f>
        <v>32.799999999999997</v>
      </c>
      <c r="W2391" s="1634"/>
    </row>
    <row r="2392" spans="5:23" ht="24" customHeight="1">
      <c r="E2392" s="1629">
        <f>23+26.65</f>
        <v>49.65</v>
      </c>
      <c r="G2392" s="1629"/>
      <c r="I2392" s="1629" t="s">
        <v>339</v>
      </c>
      <c r="K2392" s="1639">
        <f>K2390/39.2</f>
        <v>514.23368249999976</v>
      </c>
      <c r="M2392" s="1629">
        <v>8</v>
      </c>
      <c r="N2392" s="1638" t="s">
        <v>295</v>
      </c>
      <c r="O2392" s="1627" t="s">
        <v>2428</v>
      </c>
      <c r="P2392" s="1656">
        <v>3.69</v>
      </c>
      <c r="Q2392" s="1628" t="s">
        <v>340</v>
      </c>
      <c r="R2392" s="1640">
        <f>P2392*M2392</f>
        <v>29.52</v>
      </c>
      <c r="W2392" s="1634"/>
    </row>
    <row r="2393" spans="5:23" ht="24" customHeight="1">
      <c r="E2393" s="1629">
        <f>E2392/2</f>
        <v>24.824999999999999</v>
      </c>
      <c r="G2393" s="1629"/>
      <c r="K2393" s="1636" t="s">
        <v>156</v>
      </c>
      <c r="M2393" s="1629">
        <v>8</v>
      </c>
      <c r="N2393" s="1638" t="s">
        <v>295</v>
      </c>
      <c r="O2393" s="1627" t="s">
        <v>2429</v>
      </c>
      <c r="P2393" s="1656">
        <v>4.0999999999999996</v>
      </c>
      <c r="Q2393" s="1628" t="s">
        <v>340</v>
      </c>
      <c r="R2393" s="1640">
        <f>P2393*M2393</f>
        <v>32.799999999999997</v>
      </c>
      <c r="W2393" s="1634"/>
    </row>
    <row r="2394" spans="5:23" ht="24" customHeight="1">
      <c r="G2394" s="1629"/>
      <c r="M2394" s="1629">
        <v>0.75</v>
      </c>
      <c r="N2394" s="1638" t="s">
        <v>13</v>
      </c>
      <c r="O2394" s="1627" t="s">
        <v>2430</v>
      </c>
      <c r="P2394" s="1640">
        <v>176.4</v>
      </c>
      <c r="Q2394" s="1628" t="s">
        <v>340</v>
      </c>
      <c r="R2394" s="1640">
        <f t="shared" ref="R2394:R2399" si="246">(M2394*P2394)</f>
        <v>132.30000000000001</v>
      </c>
      <c r="W2394" s="1634"/>
    </row>
    <row r="2395" spans="5:23" ht="24" customHeight="1">
      <c r="G2395" s="1629"/>
      <c r="M2395" s="1629">
        <v>2.25</v>
      </c>
      <c r="N2395" s="1638" t="s">
        <v>2431</v>
      </c>
      <c r="O2395" s="1627" t="s">
        <v>2432</v>
      </c>
      <c r="P2395" s="1640">
        <v>140.41</v>
      </c>
      <c r="Q2395" s="1628" t="s">
        <v>2431</v>
      </c>
      <c r="R2395" s="1640">
        <f t="shared" si="246"/>
        <v>315.92250000000001</v>
      </c>
      <c r="W2395" s="1634"/>
    </row>
    <row r="2396" spans="5:23" ht="24" customHeight="1">
      <c r="G2396" s="1629"/>
      <c r="H2396" s="1661" t="s">
        <v>150</v>
      </c>
      <c r="M2396" s="1629">
        <v>4.5</v>
      </c>
      <c r="N2396" s="1638" t="s">
        <v>2431</v>
      </c>
      <c r="O2396" s="1627" t="s">
        <v>2433</v>
      </c>
      <c r="P2396" s="1640">
        <v>65</v>
      </c>
      <c r="Q2396" s="1628" t="s">
        <v>2431</v>
      </c>
      <c r="R2396" s="1640">
        <f t="shared" si="246"/>
        <v>292.5</v>
      </c>
      <c r="W2396" s="1634"/>
    </row>
    <row r="2397" spans="5:23" ht="34.5" customHeight="1">
      <c r="F2397" s="1629">
        <v>1</v>
      </c>
      <c r="G2397" s="1629" t="s">
        <v>68</v>
      </c>
      <c r="H2397" s="1802" t="s">
        <v>5693</v>
      </c>
      <c r="I2397" s="1629">
        <v>454.5</v>
      </c>
      <c r="J2397" s="1627" t="s">
        <v>153</v>
      </c>
      <c r="K2397" s="1640">
        <f>(F2397*I2397)</f>
        <v>454.5</v>
      </c>
      <c r="M2397" s="1629">
        <v>6</v>
      </c>
      <c r="N2397" s="1638" t="s">
        <v>295</v>
      </c>
      <c r="O2397" s="1627" t="s">
        <v>2435</v>
      </c>
      <c r="P2397" s="1640">
        <v>8</v>
      </c>
      <c r="Q2397" s="1628" t="s">
        <v>340</v>
      </c>
      <c r="R2397" s="1640">
        <f t="shared" si="246"/>
        <v>48</v>
      </c>
      <c r="W2397" s="1634"/>
    </row>
    <row r="2398" spans="5:23" ht="24" customHeight="1">
      <c r="F2398" s="1629">
        <v>0.25</v>
      </c>
      <c r="G2398" s="1629" t="s">
        <v>68</v>
      </c>
      <c r="H2398" s="1629" t="s">
        <v>331</v>
      </c>
      <c r="I2398" s="1629">
        <f>I2384</f>
        <v>1325.8</v>
      </c>
      <c r="J2398" s="1627" t="s">
        <v>153</v>
      </c>
      <c r="K2398" s="1640">
        <f>(F2398*I2398)</f>
        <v>331.45</v>
      </c>
      <c r="M2398" s="1629">
        <v>6</v>
      </c>
      <c r="N2398" s="1638" t="s">
        <v>295</v>
      </c>
      <c r="O2398" s="1627" t="s">
        <v>2436</v>
      </c>
      <c r="P2398" s="1640">
        <v>8.61</v>
      </c>
      <c r="Q2398" s="1628" t="s">
        <v>340</v>
      </c>
      <c r="R2398" s="1640">
        <f t="shared" si="246"/>
        <v>51.66</v>
      </c>
      <c r="W2398" s="1634"/>
    </row>
    <row r="2399" spans="5:23" ht="24" customHeight="1">
      <c r="F2399" s="1629">
        <v>0.28000000000000003</v>
      </c>
      <c r="G2399" s="1629" t="s">
        <v>306</v>
      </c>
      <c r="H2399" s="1629" t="s">
        <v>537</v>
      </c>
      <c r="I2399" s="1629">
        <f>C12</f>
        <v>865.19999999999993</v>
      </c>
      <c r="J2399" s="1627" t="s">
        <v>153</v>
      </c>
      <c r="K2399" s="1640">
        <f>(F2399*I2399)</f>
        <v>242.256</v>
      </c>
      <c r="M2399" s="1629">
        <v>4</v>
      </c>
      <c r="N2399" s="1638" t="s">
        <v>295</v>
      </c>
      <c r="O2399" s="1627" t="s">
        <v>2437</v>
      </c>
      <c r="P2399" s="1640">
        <v>8.61</v>
      </c>
      <c r="Q2399" s="1628" t="s">
        <v>340</v>
      </c>
      <c r="R2399" s="1640">
        <f t="shared" si="246"/>
        <v>34.44</v>
      </c>
      <c r="W2399" s="1634"/>
    </row>
    <row r="2400" spans="5:23" ht="24" customHeight="1">
      <c r="G2400" s="1629"/>
      <c r="H2400" s="1801"/>
      <c r="J2400" s="1627"/>
      <c r="K2400" s="1640"/>
      <c r="M2400" s="1629">
        <v>300</v>
      </c>
      <c r="N2400" s="1638" t="s">
        <v>2438</v>
      </c>
      <c r="O2400" s="1627" t="s">
        <v>2439</v>
      </c>
      <c r="P2400" s="1640">
        <v>30</v>
      </c>
      <c r="Q2400" s="1628" t="s">
        <v>2440</v>
      </c>
      <c r="R2400" s="1640">
        <f>P2400*M2400/100</f>
        <v>90</v>
      </c>
      <c r="W2400" s="1634"/>
    </row>
    <row r="2401" spans="6:23" ht="24" customHeight="1">
      <c r="G2401" s="1629"/>
      <c r="K2401" s="1640"/>
      <c r="M2401" s="1629">
        <v>300</v>
      </c>
      <c r="N2401" s="1638" t="s">
        <v>2438</v>
      </c>
      <c r="O2401" s="1627" t="s">
        <v>2441</v>
      </c>
      <c r="P2401" s="1640">
        <v>44.99</v>
      </c>
      <c r="Q2401" s="1628" t="s">
        <v>2442</v>
      </c>
      <c r="R2401" s="1640">
        <f>P2401*M2401/500</f>
        <v>26.994</v>
      </c>
      <c r="W2401" s="1634"/>
    </row>
    <row r="2402" spans="6:23" ht="24" customHeight="1">
      <c r="G2402" s="1629"/>
      <c r="K2402" s="1803" t="s">
        <v>1810</v>
      </c>
      <c r="M2402" s="1629">
        <v>1.5</v>
      </c>
      <c r="N2402" s="1638" t="s">
        <v>13</v>
      </c>
      <c r="O2402" s="1627" t="s">
        <v>2443</v>
      </c>
      <c r="P2402" s="1640">
        <v>20.95</v>
      </c>
      <c r="Q2402" s="1628" t="s">
        <v>13</v>
      </c>
      <c r="R2402" s="1640">
        <f>P2402*M2402</f>
        <v>31.424999999999997</v>
      </c>
      <c r="W2402" s="1634"/>
    </row>
    <row r="2403" spans="6:23" ht="24" customHeight="1">
      <c r="G2403" s="1629"/>
      <c r="K2403" s="1639">
        <f>SUM(K2397:K2402)</f>
        <v>1028.2060000000001</v>
      </c>
      <c r="M2403" s="1629">
        <v>2.25</v>
      </c>
      <c r="N2403" s="1638" t="s">
        <v>2431</v>
      </c>
      <c r="O2403" s="1627" t="s">
        <v>2444</v>
      </c>
      <c r="P2403" s="1640">
        <v>212.41</v>
      </c>
      <c r="Q2403" s="1628" t="s">
        <v>2431</v>
      </c>
      <c r="R2403" s="1640">
        <f>(M2403*P2403)</f>
        <v>477.92250000000001</v>
      </c>
      <c r="W2403" s="1634"/>
    </row>
    <row r="2404" spans="6:23" ht="24" customHeight="1">
      <c r="G2404" s="1629"/>
      <c r="K2404" s="1803" t="s">
        <v>1810</v>
      </c>
      <c r="M2404" s="1629">
        <v>0.75</v>
      </c>
      <c r="N2404" s="1638" t="s">
        <v>2431</v>
      </c>
      <c r="O2404" s="1627" t="s">
        <v>2445</v>
      </c>
      <c r="P2404" s="1640">
        <v>205.21</v>
      </c>
      <c r="Q2404" s="1628" t="s">
        <v>2431</v>
      </c>
      <c r="R2404" s="1640">
        <f>(M2404*P2404)</f>
        <v>153.9075</v>
      </c>
      <c r="W2404" s="1634"/>
    </row>
    <row r="2405" spans="6:23" ht="24" customHeight="1">
      <c r="G2405" s="1629"/>
      <c r="K2405" s="1640"/>
      <c r="M2405" s="1629">
        <v>2.25</v>
      </c>
      <c r="N2405" s="1638" t="s">
        <v>2431</v>
      </c>
      <c r="O2405" s="1627" t="s">
        <v>2446</v>
      </c>
      <c r="P2405" s="1640">
        <v>185.21</v>
      </c>
      <c r="Q2405" s="1628" t="s">
        <v>2431</v>
      </c>
      <c r="R2405" s="1640">
        <f>(M2405*P2405)</f>
        <v>416.72250000000003</v>
      </c>
      <c r="W2405" s="1634"/>
    </row>
    <row r="2406" spans="6:23" ht="24" customHeight="1">
      <c r="G2406" s="1629"/>
      <c r="M2406" s="1629">
        <v>500</v>
      </c>
      <c r="N2406" s="1638" t="s">
        <v>2438</v>
      </c>
      <c r="O2406" s="1627" t="s">
        <v>2447</v>
      </c>
      <c r="P2406" s="1640">
        <v>52.25</v>
      </c>
      <c r="Q2406" s="1628" t="s">
        <v>13</v>
      </c>
      <c r="R2406" s="1640">
        <f>(M2406*P2406)/1000</f>
        <v>26.125</v>
      </c>
      <c r="W2406" s="1634"/>
    </row>
    <row r="2407" spans="6:23" ht="24" customHeight="1">
      <c r="G2407" s="1629"/>
      <c r="H2407" s="1661" t="s">
        <v>2448</v>
      </c>
      <c r="M2407" s="1629">
        <v>1</v>
      </c>
      <c r="N2407" s="1638" t="s">
        <v>295</v>
      </c>
      <c r="O2407" s="1627" t="s">
        <v>2449</v>
      </c>
      <c r="P2407" s="1640">
        <v>131.21</v>
      </c>
      <c r="Q2407" s="1634" t="s">
        <v>2450</v>
      </c>
      <c r="R2407" s="1640">
        <f>P2407/1</f>
        <v>131.21</v>
      </c>
      <c r="W2407" s="1634"/>
    </row>
    <row r="2408" spans="6:23" ht="24" customHeight="1">
      <c r="F2408" s="1629">
        <v>1</v>
      </c>
      <c r="G2408" s="1629" t="s">
        <v>68</v>
      </c>
      <c r="H2408" s="1701" t="s">
        <v>2451</v>
      </c>
      <c r="I2408" s="1629">
        <f>C619</f>
        <v>940</v>
      </c>
      <c r="J2408" s="1627" t="s">
        <v>153</v>
      </c>
      <c r="K2408" s="1640">
        <f>(F2408*I2408)</f>
        <v>940</v>
      </c>
      <c r="M2408" s="1629">
        <v>1</v>
      </c>
      <c r="N2408" s="1638" t="s">
        <v>295</v>
      </c>
      <c r="O2408" s="1627" t="s">
        <v>2452</v>
      </c>
      <c r="P2408" s="1640">
        <v>12.3</v>
      </c>
      <c r="Q2408" s="1634" t="s">
        <v>2450</v>
      </c>
      <c r="R2408" s="1640">
        <f>P2408/1</f>
        <v>12.3</v>
      </c>
      <c r="W2408" s="1634"/>
    </row>
    <row r="2409" spans="6:23" ht="24" customHeight="1">
      <c r="F2409" s="1629">
        <v>0.5</v>
      </c>
      <c r="G2409" s="1629" t="s">
        <v>68</v>
      </c>
      <c r="H2409" s="1629" t="s">
        <v>2453</v>
      </c>
      <c r="I2409" s="1629">
        <f>C15</f>
        <v>1149.3999999999999</v>
      </c>
      <c r="J2409" s="1627" t="s">
        <v>153</v>
      </c>
      <c r="K2409" s="1640">
        <f>(F2409*I2409)</f>
        <v>574.69999999999993</v>
      </c>
      <c r="M2409" s="1629">
        <v>4</v>
      </c>
      <c r="N2409" s="1638" t="s">
        <v>295</v>
      </c>
      <c r="O2409" s="1685" t="s">
        <v>2454</v>
      </c>
      <c r="P2409" s="1640">
        <f>AG13</f>
        <v>1058.3999999999999</v>
      </c>
      <c r="Q2409" s="1628" t="s">
        <v>340</v>
      </c>
      <c r="R2409" s="1640">
        <f>(M2409*P2409)</f>
        <v>4233.5999999999995</v>
      </c>
      <c r="W2409" s="1634"/>
    </row>
    <row r="2410" spans="6:23" ht="24" customHeight="1">
      <c r="F2410" s="1629">
        <v>0.5</v>
      </c>
      <c r="G2410" s="1629" t="s">
        <v>68</v>
      </c>
      <c r="H2410" s="1629" t="s">
        <v>331</v>
      </c>
      <c r="I2410" s="1629">
        <f>I2398</f>
        <v>1325.8</v>
      </c>
      <c r="J2410" s="1627" t="s">
        <v>153</v>
      </c>
      <c r="K2410" s="1640">
        <f>(F2410*I2410)</f>
        <v>662.9</v>
      </c>
      <c r="M2410" s="1629">
        <v>2</v>
      </c>
      <c r="N2410" s="1638" t="s">
        <v>295</v>
      </c>
      <c r="O2410" s="1685" t="s">
        <v>2455</v>
      </c>
      <c r="P2410" s="1640">
        <f>AG14</f>
        <v>1024.8</v>
      </c>
      <c r="Q2410" s="1628" t="s">
        <v>340</v>
      </c>
      <c r="R2410" s="1640">
        <f>(M2410*P2410)</f>
        <v>2049.6</v>
      </c>
      <c r="W2410" s="1634"/>
    </row>
    <row r="2411" spans="6:23" ht="24" customHeight="1">
      <c r="F2411" s="1629">
        <v>0.5</v>
      </c>
      <c r="G2411" s="1629" t="s">
        <v>306</v>
      </c>
      <c r="H2411" s="1629" t="s">
        <v>537</v>
      </c>
      <c r="I2411" s="1629">
        <f>I2399</f>
        <v>865.19999999999993</v>
      </c>
      <c r="J2411" s="1627" t="s">
        <v>153</v>
      </c>
      <c r="K2411" s="1640">
        <f>(F2411*I2411)</f>
        <v>432.59999999999997</v>
      </c>
      <c r="M2411" s="1629">
        <v>2</v>
      </c>
      <c r="N2411" s="1638" t="s">
        <v>295</v>
      </c>
      <c r="O2411" s="1685" t="s">
        <v>2456</v>
      </c>
      <c r="P2411" s="1640">
        <f>AG12</f>
        <v>709.8</v>
      </c>
      <c r="Q2411" s="1628" t="s">
        <v>340</v>
      </c>
      <c r="R2411" s="1640">
        <f>(M2411*P2411)</f>
        <v>1419.6</v>
      </c>
      <c r="W2411" s="1634"/>
    </row>
    <row r="2412" spans="6:23" ht="24" customHeight="1">
      <c r="G2412" s="1629"/>
      <c r="H2412" s="1629" t="s">
        <v>2457</v>
      </c>
      <c r="J2412" s="1628" t="s">
        <v>2458</v>
      </c>
      <c r="K2412" s="1640">
        <v>0.25</v>
      </c>
      <c r="N2412" s="1638"/>
      <c r="O2412" s="1627" t="s">
        <v>2459</v>
      </c>
      <c r="P2412" s="1640"/>
      <c r="Q2412" s="1628"/>
      <c r="R2412" s="1640">
        <v>20</v>
      </c>
      <c r="W2412" s="1634"/>
    </row>
    <row r="2413" spans="6:23" ht="24" customHeight="1">
      <c r="G2413" s="1629"/>
      <c r="K2413" s="1640"/>
      <c r="N2413" s="1630"/>
      <c r="P2413" s="1640"/>
      <c r="Q2413" s="1632"/>
      <c r="R2413" s="1664" t="s">
        <v>2460</v>
      </c>
      <c r="W2413" s="1634"/>
    </row>
    <row r="2414" spans="6:23" ht="24" customHeight="1">
      <c r="G2414" s="1629"/>
      <c r="K2414" s="1803" t="s">
        <v>1810</v>
      </c>
      <c r="N2414" s="1630"/>
      <c r="O2414" s="1627" t="s">
        <v>5694</v>
      </c>
      <c r="Q2414" s="1632"/>
      <c r="R2414" s="1629">
        <f>SUM(R2391:R2413)</f>
        <v>10059.349</v>
      </c>
      <c r="W2414" s="1634"/>
    </row>
    <row r="2415" spans="6:23" ht="26.25" customHeight="1">
      <c r="G2415" s="1629"/>
      <c r="K2415" s="1639">
        <f>SUM(K2408:K2414)</f>
        <v>2610.4499999999998</v>
      </c>
      <c r="N2415" s="1630"/>
      <c r="O2415" s="1661"/>
      <c r="P2415" s="1661"/>
      <c r="Q2415" s="1676"/>
      <c r="R2415" s="1636" t="s">
        <v>156</v>
      </c>
      <c r="W2415" s="1634"/>
    </row>
    <row r="2416" spans="6:23" ht="24" customHeight="1">
      <c r="G2416" s="1629"/>
      <c r="K2416" s="1803" t="s">
        <v>1810</v>
      </c>
      <c r="N2416" s="1630"/>
      <c r="O2416" s="1661" t="s">
        <v>2462</v>
      </c>
      <c r="P2416" s="1661"/>
      <c r="Q2416" s="1676"/>
      <c r="R2416" s="1637">
        <f>R2414/5.67</f>
        <v>1774.1356261022929</v>
      </c>
      <c r="W2416" s="1634"/>
    </row>
    <row r="2417" spans="6:23" ht="32.25" customHeight="1">
      <c r="G2417" s="1629"/>
      <c r="K2417" s="1628"/>
      <c r="W2417" s="1634"/>
    </row>
    <row r="2418" spans="6:23" ht="24" customHeight="1">
      <c r="G2418" s="1629"/>
      <c r="K2418" s="1628"/>
      <c r="W2418" s="1634"/>
    </row>
    <row r="2419" spans="6:23" ht="24" customHeight="1">
      <c r="G2419" s="1629"/>
      <c r="K2419" s="1628"/>
      <c r="W2419" s="1634"/>
    </row>
    <row r="2420" spans="6:23" ht="24" customHeight="1">
      <c r="F2420" s="1628" t="s">
        <v>1857</v>
      </c>
      <c r="G2420" s="1628"/>
      <c r="H2420" s="2023" t="s">
        <v>2463</v>
      </c>
      <c r="I2420" s="2023"/>
      <c r="J2420" s="2023"/>
      <c r="K2420" s="2023"/>
      <c r="W2420" s="1634"/>
    </row>
    <row r="2421" spans="6:23" ht="24" customHeight="1">
      <c r="F2421" s="1628"/>
      <c r="G2421" s="1628"/>
      <c r="H2421" s="1628"/>
      <c r="I2421" s="1628"/>
      <c r="W2421" s="1634"/>
    </row>
    <row r="2422" spans="6:23" ht="24" customHeight="1">
      <c r="F2422" s="1640">
        <v>10.5</v>
      </c>
      <c r="G2422" s="1638" t="s">
        <v>306</v>
      </c>
      <c r="H2422" s="2013" t="s">
        <v>5226</v>
      </c>
      <c r="I2422" s="1640">
        <v>318</v>
      </c>
      <c r="J2422" s="1627" t="s">
        <v>306</v>
      </c>
      <c r="K2422" s="1640">
        <f>(F2422*I2422)</f>
        <v>3339</v>
      </c>
      <c r="W2422" s="1634"/>
    </row>
    <row r="2423" spans="6:23" ht="24" customHeight="1">
      <c r="H2423" s="2013"/>
      <c r="I2423" s="1627" t="s">
        <v>150</v>
      </c>
      <c r="K2423" s="1627" t="s">
        <v>150</v>
      </c>
      <c r="W2423" s="1634"/>
    </row>
    <row r="2424" spans="6:23" ht="24" customHeight="1">
      <c r="F2424" s="1640">
        <v>0.22</v>
      </c>
      <c r="G2424" s="1638" t="s">
        <v>151</v>
      </c>
      <c r="H2424" s="1627" t="s">
        <v>298</v>
      </c>
      <c r="I2424" s="1640">
        <f>K32</f>
        <v>5318.7</v>
      </c>
      <c r="J2424" s="1627" t="s">
        <v>151</v>
      </c>
      <c r="K2424" s="1640">
        <f>(F2424*I2424)</f>
        <v>1170.114</v>
      </c>
      <c r="W2424" s="1634"/>
    </row>
    <row r="2425" spans="6:23" ht="24" customHeight="1">
      <c r="F2425" s="1640">
        <v>64</v>
      </c>
      <c r="G2425" s="1638" t="s">
        <v>13</v>
      </c>
      <c r="H2425" s="1627" t="s">
        <v>2465</v>
      </c>
      <c r="I2425" s="1640">
        <f>C67</f>
        <v>6040</v>
      </c>
      <c r="J2425" s="1627" t="s">
        <v>2466</v>
      </c>
      <c r="K2425" s="1640">
        <f>I2425*F2425/1000</f>
        <v>386.56</v>
      </c>
      <c r="W2425" s="1634"/>
    </row>
    <row r="2426" spans="6:23" ht="24" customHeight="1">
      <c r="F2426" s="1640">
        <v>4.5</v>
      </c>
      <c r="G2426" s="1638" t="s">
        <v>13</v>
      </c>
      <c r="H2426" s="1700" t="s">
        <v>2467</v>
      </c>
      <c r="I2426" s="1640">
        <f>C608</f>
        <v>24.925000000000001</v>
      </c>
      <c r="J2426" s="1627" t="s">
        <v>13</v>
      </c>
      <c r="K2426" s="1640">
        <f>F2426*I2426</f>
        <v>112.16250000000001</v>
      </c>
      <c r="W2426" s="1634"/>
    </row>
    <row r="2427" spans="6:23" ht="24" customHeight="1">
      <c r="F2427" s="1640">
        <v>5.4</v>
      </c>
      <c r="G2427" s="1638" t="s">
        <v>4</v>
      </c>
      <c r="H2427" s="1627" t="s">
        <v>2468</v>
      </c>
      <c r="I2427" s="1640">
        <f>C11</f>
        <v>1237.5999999999999</v>
      </c>
      <c r="J2427" s="1627" t="s">
        <v>4</v>
      </c>
      <c r="K2427" s="1640">
        <f>(F2427*I2427)</f>
        <v>6683.04</v>
      </c>
      <c r="M2427" s="1628" t="s">
        <v>1857</v>
      </c>
      <c r="N2427" s="1628"/>
      <c r="O2427" s="2014" t="s">
        <v>2469</v>
      </c>
      <c r="P2427" s="2014"/>
      <c r="Q2427" s="2014"/>
      <c r="R2427" s="2014"/>
      <c r="W2427" s="1634"/>
    </row>
    <row r="2428" spans="6:23" ht="24" customHeight="1">
      <c r="F2428" s="1640">
        <v>2.16</v>
      </c>
      <c r="G2428" s="1638" t="s">
        <v>4</v>
      </c>
      <c r="H2428" s="1627" t="s">
        <v>1830</v>
      </c>
      <c r="I2428" s="1640">
        <f>C12</f>
        <v>865.19999999999993</v>
      </c>
      <c r="J2428" s="1627" t="s">
        <v>4</v>
      </c>
      <c r="K2428" s="1640">
        <f>(F2428*I2428)</f>
        <v>1868.8319999999999</v>
      </c>
      <c r="M2428" s="1628"/>
      <c r="N2428" s="1628"/>
      <c r="O2428" s="1628"/>
      <c r="P2428" s="1628"/>
      <c r="Q2428" s="1632"/>
      <c r="W2428" s="1634"/>
    </row>
    <row r="2429" spans="6:23" ht="24" customHeight="1">
      <c r="F2429" s="1640">
        <v>6.5</v>
      </c>
      <c r="G2429" s="1638" t="s">
        <v>4</v>
      </c>
      <c r="H2429" s="1627" t="s">
        <v>1831</v>
      </c>
      <c r="I2429" s="1640">
        <f>C13</f>
        <v>709.8</v>
      </c>
      <c r="J2429" s="1627" t="s">
        <v>4</v>
      </c>
      <c r="K2429" s="1640">
        <f>(F2429*I2429)</f>
        <v>4613.7</v>
      </c>
      <c r="M2429" s="1640">
        <v>10.5</v>
      </c>
      <c r="N2429" s="1638" t="s">
        <v>306</v>
      </c>
      <c r="O2429" s="2015" t="s">
        <v>5227</v>
      </c>
      <c r="P2429" s="1640">
        <v>484</v>
      </c>
      <c r="Q2429" s="1627" t="s">
        <v>306</v>
      </c>
      <c r="R2429" s="1640">
        <f>(M2429*P2429)</f>
        <v>5082</v>
      </c>
      <c r="W2429" s="1634"/>
    </row>
    <row r="2430" spans="6:23" ht="24" customHeight="1">
      <c r="F2430" s="1640"/>
      <c r="G2430" s="1638"/>
      <c r="H2430" s="1627"/>
      <c r="I2430" s="1640"/>
      <c r="J2430" s="1627" t="s">
        <v>4</v>
      </c>
      <c r="K2430" s="1640">
        <v>0</v>
      </c>
      <c r="N2430" s="1630"/>
      <c r="O2430" s="2015"/>
      <c r="P2430" s="1627" t="s">
        <v>150</v>
      </c>
      <c r="Q2430" s="1632"/>
      <c r="R2430" s="1627" t="s">
        <v>150</v>
      </c>
      <c r="W2430" s="1634"/>
    </row>
    <row r="2431" spans="6:23" ht="24" customHeight="1">
      <c r="F2431" s="1658"/>
      <c r="G2431" s="1638"/>
      <c r="I2431" s="1640"/>
      <c r="J2431" s="1627"/>
      <c r="K2431" s="1640"/>
      <c r="M2431" s="1640">
        <v>0.22</v>
      </c>
      <c r="N2431" s="1638" t="s">
        <v>151</v>
      </c>
      <c r="O2431" s="1627" t="s">
        <v>298</v>
      </c>
      <c r="P2431" s="1640">
        <f t="shared" ref="P2431:P2436" si="247">I2424</f>
        <v>5318.7</v>
      </c>
      <c r="Q2431" s="1627" t="s">
        <v>151</v>
      </c>
      <c r="R2431" s="1640">
        <f>(M2431*P2431)</f>
        <v>1170.114</v>
      </c>
      <c r="W2431" s="1634"/>
    </row>
    <row r="2432" spans="6:23" ht="24" customHeight="1">
      <c r="F2432" s="1640"/>
      <c r="G2432" s="1638"/>
      <c r="H2432" s="1631" t="s">
        <v>238</v>
      </c>
      <c r="K2432" s="1803" t="s">
        <v>1810</v>
      </c>
      <c r="M2432" s="1640">
        <v>64</v>
      </c>
      <c r="N2432" s="1638" t="s">
        <v>13</v>
      </c>
      <c r="O2432" s="1627" t="s">
        <v>2465</v>
      </c>
      <c r="P2432" s="1640">
        <f t="shared" si="247"/>
        <v>6040</v>
      </c>
      <c r="Q2432" s="1627" t="s">
        <v>2466</v>
      </c>
      <c r="R2432" s="1640">
        <f>P2432*M2432/1000</f>
        <v>386.56</v>
      </c>
      <c r="W2432" s="1634"/>
    </row>
    <row r="2433" spans="6:23" ht="24" customHeight="1">
      <c r="F2433" s="1640"/>
      <c r="G2433" s="1638"/>
      <c r="H2433" s="1631"/>
      <c r="K2433" s="1639">
        <f>SUM(K2422:K2430)</f>
        <v>18173.408500000001</v>
      </c>
      <c r="M2433" s="1640">
        <v>4.5</v>
      </c>
      <c r="N2433" s="1638" t="s">
        <v>13</v>
      </c>
      <c r="O2433" s="1627" t="s">
        <v>2471</v>
      </c>
      <c r="P2433" s="1640">
        <f t="shared" si="247"/>
        <v>24.925000000000001</v>
      </c>
      <c r="Q2433" s="1627" t="s">
        <v>13</v>
      </c>
      <c r="R2433" s="1640">
        <f>M2433*P2433</f>
        <v>112.16250000000001</v>
      </c>
      <c r="W2433" s="1634"/>
    </row>
    <row r="2434" spans="6:23" ht="24" customHeight="1">
      <c r="F2434" s="1640"/>
      <c r="G2434" s="1638"/>
      <c r="H2434" s="1631"/>
      <c r="I2434" s="1640"/>
      <c r="J2434" s="1627"/>
      <c r="K2434" s="1804" t="s">
        <v>999</v>
      </c>
      <c r="M2434" s="1640">
        <v>5.4</v>
      </c>
      <c r="N2434" s="1638" t="s">
        <v>4</v>
      </c>
      <c r="O2434" s="1627" t="s">
        <v>2468</v>
      </c>
      <c r="P2434" s="1640">
        <f t="shared" si="247"/>
        <v>1237.5999999999999</v>
      </c>
      <c r="Q2434" s="1627" t="s">
        <v>4</v>
      </c>
      <c r="R2434" s="1640">
        <f>(M2434*P2434)</f>
        <v>6683.04</v>
      </c>
      <c r="W2434" s="1634"/>
    </row>
    <row r="2435" spans="6:23" ht="24" customHeight="1">
      <c r="F2435" s="1627"/>
      <c r="H2435" s="1631" t="s">
        <v>155</v>
      </c>
      <c r="I2435" s="1627"/>
      <c r="K2435" s="1637">
        <f>K2433/10</f>
        <v>1817.34085</v>
      </c>
      <c r="M2435" s="1640">
        <v>2.16</v>
      </c>
      <c r="N2435" s="1638" t="s">
        <v>4</v>
      </c>
      <c r="O2435" s="1627" t="s">
        <v>1830</v>
      </c>
      <c r="P2435" s="1640">
        <f t="shared" si="247"/>
        <v>865.19999999999993</v>
      </c>
      <c r="Q2435" s="1627" t="s">
        <v>4</v>
      </c>
      <c r="R2435" s="1640">
        <f>(M2435*P2435)</f>
        <v>1868.8319999999999</v>
      </c>
      <c r="W2435" s="1634"/>
    </row>
    <row r="2436" spans="6:23" ht="24" customHeight="1">
      <c r="K2436" s="1664" t="s">
        <v>1810</v>
      </c>
      <c r="M2436" s="1640">
        <v>6.5</v>
      </c>
      <c r="N2436" s="1638" t="s">
        <v>4</v>
      </c>
      <c r="O2436" s="1627" t="s">
        <v>1831</v>
      </c>
      <c r="P2436" s="1640">
        <f t="shared" si="247"/>
        <v>709.8</v>
      </c>
      <c r="Q2436" s="1627" t="s">
        <v>4</v>
      </c>
      <c r="R2436" s="1640">
        <f>(M2436*P2436)</f>
        <v>4613.7</v>
      </c>
      <c r="W2436" s="1634"/>
    </row>
    <row r="2437" spans="6:23" ht="24" customHeight="1">
      <c r="M2437" s="1640"/>
      <c r="N2437" s="1638"/>
      <c r="O2437" s="1627"/>
      <c r="P2437" s="1640"/>
      <c r="Q2437" s="1627" t="s">
        <v>4</v>
      </c>
      <c r="R2437" s="1640">
        <f>(M2437*P2437)</f>
        <v>0</v>
      </c>
      <c r="W2437" s="1634"/>
    </row>
    <row r="2438" spans="6:23" ht="24" customHeight="1">
      <c r="M2438" s="1658"/>
      <c r="N2438" s="1638"/>
      <c r="P2438" s="1640"/>
      <c r="Q2438" s="1627"/>
      <c r="R2438" s="1640"/>
      <c r="W2438" s="1634"/>
    </row>
    <row r="2439" spans="6:23" ht="24" customHeight="1">
      <c r="F2439" s="1640"/>
      <c r="G2439" s="1638"/>
      <c r="H2439" s="1631" t="s">
        <v>2472</v>
      </c>
      <c r="I2439" s="1640"/>
      <c r="J2439" s="1627"/>
      <c r="K2439" s="1640"/>
      <c r="M2439" s="1640"/>
      <c r="N2439" s="1638"/>
      <c r="O2439" s="1631" t="s">
        <v>238</v>
      </c>
      <c r="Q2439" s="1632"/>
      <c r="R2439" s="1803" t="s">
        <v>1810</v>
      </c>
      <c r="W2439" s="1634"/>
    </row>
    <row r="2440" spans="6:23" ht="24" customHeight="1">
      <c r="F2440" s="1640"/>
      <c r="G2440" s="1638"/>
      <c r="I2440" s="1640"/>
      <c r="J2440" s="1627"/>
      <c r="M2440" s="1640"/>
      <c r="N2440" s="1638"/>
      <c r="O2440" s="1631"/>
      <c r="Q2440" s="1632"/>
      <c r="R2440" s="1639">
        <f>SUM(R2429:R2437)</f>
        <v>19916.408500000001</v>
      </c>
      <c r="W2440" s="1634"/>
    </row>
    <row r="2441" spans="6:23" ht="24" customHeight="1">
      <c r="F2441" s="1640">
        <v>10</v>
      </c>
      <c r="G2441" s="1638" t="s">
        <v>306</v>
      </c>
      <c r="H2441" s="1627" t="s">
        <v>2473</v>
      </c>
      <c r="I2441" s="1640">
        <f>K1213</f>
        <v>663.63780000000008</v>
      </c>
      <c r="J2441" s="1627" t="s">
        <v>306</v>
      </c>
      <c r="K2441" s="1640">
        <f>F2441*I2441</f>
        <v>6636.3780000000006</v>
      </c>
      <c r="M2441" s="1640"/>
      <c r="N2441" s="1638"/>
      <c r="O2441" s="1631"/>
      <c r="P2441" s="1640"/>
      <c r="Q2441" s="1627"/>
      <c r="R2441" s="1804" t="s">
        <v>999</v>
      </c>
      <c r="W2441" s="1634"/>
    </row>
    <row r="2442" spans="6:23" ht="24" customHeight="1">
      <c r="F2442" s="1629">
        <v>9.8000000000000007</v>
      </c>
      <c r="G2442" s="1638" t="s">
        <v>13</v>
      </c>
      <c r="H2442" s="1629" t="s">
        <v>2474</v>
      </c>
      <c r="I2442" s="1640">
        <f>C148</f>
        <v>145.19999999999999</v>
      </c>
      <c r="J2442" s="1627" t="s">
        <v>13</v>
      </c>
      <c r="K2442" s="1640">
        <f>F2442*I2442</f>
        <v>1422.96</v>
      </c>
      <c r="M2442" s="1627"/>
      <c r="N2442" s="1630"/>
      <c r="O2442" s="1631" t="s">
        <v>155</v>
      </c>
      <c r="P2442" s="1627"/>
      <c r="Q2442" s="1632"/>
      <c r="R2442" s="1637">
        <f>R2440/10</f>
        <v>1991.6408500000002</v>
      </c>
      <c r="W2442" s="1634"/>
    </row>
    <row r="2443" spans="6:23" ht="24" customHeight="1">
      <c r="F2443" s="1629">
        <v>1.1000000000000001</v>
      </c>
      <c r="G2443" s="1630" t="s">
        <v>295</v>
      </c>
      <c r="H2443" s="1627" t="s">
        <v>269</v>
      </c>
      <c r="I2443" s="1629">
        <f>I2410</f>
        <v>1325.8</v>
      </c>
      <c r="J2443" s="1632" t="s">
        <v>340</v>
      </c>
      <c r="K2443" s="1629">
        <f>F2443*I2443</f>
        <v>1458.38</v>
      </c>
      <c r="N2443" s="1630"/>
      <c r="Q2443" s="1632"/>
      <c r="R2443" s="1664" t="s">
        <v>1810</v>
      </c>
      <c r="W2443" s="1634"/>
    </row>
    <row r="2444" spans="6:23" ht="24" customHeight="1">
      <c r="H2444" s="1629" t="s">
        <v>337</v>
      </c>
      <c r="K2444" s="1629">
        <v>0.2</v>
      </c>
      <c r="W2444" s="1634"/>
    </row>
    <row r="2445" spans="6:23" ht="24" customHeight="1">
      <c r="K2445" s="1636" t="s">
        <v>156</v>
      </c>
      <c r="N2445" s="1630"/>
      <c r="O2445" s="1661" t="s">
        <v>2387</v>
      </c>
      <c r="Q2445" s="1632"/>
      <c r="W2445" s="1634"/>
    </row>
    <row r="2446" spans="6:23" ht="24" customHeight="1">
      <c r="F2446" s="1627" t="s">
        <v>150</v>
      </c>
      <c r="H2446" s="1631" t="s">
        <v>238</v>
      </c>
      <c r="K2446" s="1661">
        <f>SUM(K2441:K2444)</f>
        <v>9517.9180000000015</v>
      </c>
      <c r="M2446" s="1633">
        <v>7.0999999999999994E-2</v>
      </c>
      <c r="N2446" s="1630" t="s">
        <v>2388</v>
      </c>
      <c r="O2446" s="1629" t="s">
        <v>2389</v>
      </c>
      <c r="P2446" s="1629">
        <f>AA718</f>
        <v>9891.1648755000006</v>
      </c>
      <c r="Q2446" s="1632" t="s">
        <v>2390</v>
      </c>
      <c r="R2446" s="1629">
        <f>P2446*M2446</f>
        <v>702.27270616049998</v>
      </c>
      <c r="W2446" s="1634"/>
    </row>
    <row r="2447" spans="6:23" ht="24" customHeight="1">
      <c r="K2447" s="1707" t="s">
        <v>1810</v>
      </c>
      <c r="M2447" s="1629">
        <v>1</v>
      </c>
      <c r="N2447" s="1630" t="s">
        <v>2143</v>
      </c>
      <c r="O2447" s="1629" t="s">
        <v>910</v>
      </c>
      <c r="P2447" s="1629">
        <f>I2342</f>
        <v>529.53278688524586</v>
      </c>
      <c r="Q2447" s="1632" t="s">
        <v>2143</v>
      </c>
      <c r="R2447" s="1629">
        <f>P2447*M2447</f>
        <v>529.53278688524586</v>
      </c>
      <c r="W2447" s="1634"/>
    </row>
    <row r="2448" spans="6:23" ht="24" customHeight="1">
      <c r="F2448" s="1627" t="s">
        <v>150</v>
      </c>
      <c r="H2448" s="1631" t="s">
        <v>155</v>
      </c>
      <c r="K2448" s="1637">
        <f>K2446/10</f>
        <v>951.79180000000019</v>
      </c>
      <c r="M2448" s="1629" t="s">
        <v>150</v>
      </c>
      <c r="N2448" s="1630"/>
      <c r="O2448" s="1629" t="s">
        <v>2391</v>
      </c>
      <c r="Q2448" s="1632"/>
      <c r="R2448" s="1661">
        <f>SUM(R2446:R2447)</f>
        <v>1231.8054930457458</v>
      </c>
      <c r="W2448" s="1634"/>
    </row>
    <row r="2449" spans="6:23" ht="24" customHeight="1">
      <c r="K2449" s="1664" t="s">
        <v>1810</v>
      </c>
      <c r="W2449" s="1634"/>
    </row>
    <row r="2450" spans="6:23" ht="24" customHeight="1">
      <c r="W2450" s="1634"/>
    </row>
    <row r="2451" spans="6:23" ht="24" customHeight="1">
      <c r="W2451" s="1634"/>
    </row>
    <row r="2452" spans="6:23" ht="24" customHeight="1">
      <c r="W2452" s="1634"/>
    </row>
    <row r="2453" spans="6:23" ht="24" customHeight="1">
      <c r="W2453" s="1634"/>
    </row>
    <row r="2454" spans="6:23" ht="24" customHeight="1">
      <c r="H2454" s="1661" t="s">
        <v>2475</v>
      </c>
      <c r="W2454" s="1634"/>
    </row>
    <row r="2455" spans="6:23" ht="24" customHeight="1">
      <c r="W2455" s="1634"/>
    </row>
    <row r="2456" spans="6:23" ht="24" customHeight="1">
      <c r="F2456" s="1632" t="s">
        <v>2476</v>
      </c>
      <c r="G2456" s="1632"/>
      <c r="H2456" s="1632"/>
      <c r="I2456" s="1629">
        <v>15.21</v>
      </c>
      <c r="J2456" s="1632" t="s">
        <v>2161</v>
      </c>
      <c r="W2456" s="1634"/>
    </row>
    <row r="2457" spans="6:23" ht="24" customHeight="1">
      <c r="F2457" s="1629" t="s">
        <v>2477</v>
      </c>
      <c r="I2457" s="1629">
        <v>22.61</v>
      </c>
      <c r="J2457" s="1632" t="s">
        <v>2161</v>
      </c>
      <c r="W2457" s="1634"/>
    </row>
    <row r="2458" spans="6:23" ht="24" customHeight="1">
      <c r="F2458" s="1629" t="s">
        <v>2478</v>
      </c>
      <c r="I2458" s="1629">
        <v>3.24</v>
      </c>
      <c r="J2458" s="1632" t="s">
        <v>2161</v>
      </c>
      <c r="W2458" s="1634"/>
    </row>
    <row r="2459" spans="6:23" ht="24" customHeight="1">
      <c r="F2459" s="1629" t="s">
        <v>2479</v>
      </c>
      <c r="I2459" s="1629">
        <v>2.16</v>
      </c>
      <c r="J2459" s="1632" t="s">
        <v>2161</v>
      </c>
      <c r="W2459" s="1634"/>
    </row>
    <row r="2460" spans="6:23" ht="24" customHeight="1">
      <c r="W2460" s="1634"/>
    </row>
    <row r="2461" spans="6:23" ht="24" customHeight="1">
      <c r="I2461" s="1664" t="s">
        <v>1810</v>
      </c>
      <c r="W2461" s="1634"/>
    </row>
    <row r="2462" spans="6:23" ht="24" customHeight="1">
      <c r="I2462" s="1629">
        <f>SUM(I2456:I2460)</f>
        <v>43.22</v>
      </c>
      <c r="W2462" s="1634"/>
    </row>
    <row r="2463" spans="6:23" ht="24" customHeight="1">
      <c r="I2463" s="1629" t="s">
        <v>2480</v>
      </c>
      <c r="W2463" s="1634"/>
    </row>
    <row r="2464" spans="6:23" ht="24" customHeight="1">
      <c r="W2464" s="1634"/>
    </row>
    <row r="2465" spans="6:23" ht="24" customHeight="1">
      <c r="W2465" s="1634"/>
    </row>
    <row r="2466" spans="6:23" ht="24" customHeight="1">
      <c r="F2466" s="1629">
        <v>43.22</v>
      </c>
      <c r="G2466" s="1630" t="s">
        <v>13</v>
      </c>
      <c r="H2466" s="1701" t="s">
        <v>2481</v>
      </c>
      <c r="I2466" s="1629">
        <f>C660</f>
        <v>70.150000000000006</v>
      </c>
      <c r="J2466" s="1632" t="s">
        <v>13</v>
      </c>
      <c r="K2466" s="1629">
        <f>I2466*F2466</f>
        <v>3031.8830000000003</v>
      </c>
      <c r="W2466" s="1634"/>
    </row>
    <row r="2467" spans="6:23" ht="24" customHeight="1">
      <c r="F2467" s="1629">
        <v>0.81</v>
      </c>
      <c r="G2467" s="1630" t="s">
        <v>306</v>
      </c>
      <c r="H2467" s="1629" t="s">
        <v>2482</v>
      </c>
      <c r="I2467" s="1629">
        <f>C199</f>
        <v>379.9</v>
      </c>
      <c r="J2467" s="1632" t="s">
        <v>306</v>
      </c>
      <c r="K2467" s="1629">
        <f>I2467*F2467</f>
        <v>307.71899999999999</v>
      </c>
      <c r="W2467" s="1634"/>
    </row>
    <row r="2468" spans="6:23" ht="24" customHeight="1">
      <c r="F2468" s="1629">
        <v>0.81</v>
      </c>
      <c r="G2468" s="1630" t="s">
        <v>306</v>
      </c>
      <c r="H2468" s="1629" t="s">
        <v>2483</v>
      </c>
      <c r="I2468" s="1629">
        <f>D199</f>
        <v>116.55</v>
      </c>
      <c r="J2468" s="1632" t="s">
        <v>306</v>
      </c>
      <c r="K2468" s="1629">
        <f>I2468*F2468</f>
        <v>94.405500000000004</v>
      </c>
      <c r="W2468" s="1634"/>
    </row>
    <row r="2469" spans="6:23" ht="24" customHeight="1">
      <c r="H2469" s="1629" t="s">
        <v>2484</v>
      </c>
      <c r="I2469" s="1701">
        <f>46.61</f>
        <v>46.61</v>
      </c>
      <c r="J2469" s="1632" t="s">
        <v>226</v>
      </c>
      <c r="K2469" s="1629">
        <f>I2469</f>
        <v>46.61</v>
      </c>
      <c r="W2469" s="1634"/>
    </row>
    <row r="2470" spans="6:23" ht="24" customHeight="1">
      <c r="K2470" s="1664" t="s">
        <v>1810</v>
      </c>
      <c r="W2470" s="1634"/>
    </row>
    <row r="2471" spans="6:23" ht="24" customHeight="1">
      <c r="H2471" s="1661" t="s">
        <v>2485</v>
      </c>
      <c r="K2471" s="1661">
        <f>SUM(K2466:K2469)</f>
        <v>3480.6175000000003</v>
      </c>
      <c r="W2471" s="1634"/>
    </row>
    <row r="2472" spans="6:23" ht="24" customHeight="1">
      <c r="H2472" s="1629">
        <f>0.6*1.35</f>
        <v>0.81</v>
      </c>
      <c r="K2472" s="1664" t="s">
        <v>1810</v>
      </c>
      <c r="W2472" s="1634"/>
    </row>
    <row r="2473" spans="6:23" ht="24" customHeight="1">
      <c r="H2473" s="1661" t="s">
        <v>2486</v>
      </c>
      <c r="K2473" s="1661">
        <f>K2471/H2472</f>
        <v>4297.058641975309</v>
      </c>
      <c r="W2473" s="1634"/>
    </row>
    <row r="2474" spans="6:23" ht="24" customHeight="1">
      <c r="W2474" s="1634"/>
    </row>
    <row r="2475" spans="6:23" ht="24" customHeight="1">
      <c r="F2475" s="1632" t="s">
        <v>2487</v>
      </c>
      <c r="G2475" s="1632"/>
      <c r="H2475" s="1632"/>
      <c r="I2475" s="1629">
        <v>11.78</v>
      </c>
      <c r="J2475" s="1632" t="s">
        <v>2161</v>
      </c>
      <c r="W2475" s="1634"/>
    </row>
    <row r="2476" spans="6:23" ht="24" customHeight="1">
      <c r="F2476" s="1629" t="s">
        <v>2488</v>
      </c>
      <c r="I2476" s="1629">
        <v>15.07</v>
      </c>
      <c r="J2476" s="1632" t="s">
        <v>2161</v>
      </c>
      <c r="W2476" s="1634"/>
    </row>
    <row r="2477" spans="6:23" ht="24" customHeight="1">
      <c r="F2477" s="1629" t="s">
        <v>2489</v>
      </c>
      <c r="I2477" s="1629">
        <v>2.16</v>
      </c>
      <c r="J2477" s="1632" t="s">
        <v>2161</v>
      </c>
      <c r="W2477" s="1634"/>
    </row>
    <row r="2478" spans="6:23" ht="24" customHeight="1">
      <c r="F2478" s="1629" t="s">
        <v>2479</v>
      </c>
      <c r="I2478" s="1629">
        <v>2.16</v>
      </c>
      <c r="J2478" s="1632" t="s">
        <v>2161</v>
      </c>
      <c r="W2478" s="1634"/>
    </row>
    <row r="2479" spans="6:23" ht="24" customHeight="1">
      <c r="F2479" s="1629" t="s">
        <v>2490</v>
      </c>
      <c r="I2479" s="1629">
        <f>1.91-0.08</f>
        <v>1.8299999999999998</v>
      </c>
      <c r="W2479" s="1634"/>
    </row>
    <row r="2480" spans="6:23" ht="24" customHeight="1">
      <c r="I2480" s="1664" t="s">
        <v>2491</v>
      </c>
      <c r="W2480" s="1634"/>
    </row>
    <row r="2481" spans="6:23" ht="24" customHeight="1">
      <c r="I2481" s="1661">
        <f>SUM(I2475:I2479)</f>
        <v>33</v>
      </c>
      <c r="J2481" s="1632" t="s">
        <v>2161</v>
      </c>
      <c r="W2481" s="1634"/>
    </row>
    <row r="2482" spans="6:23" ht="24" customHeight="1">
      <c r="I2482" s="1664" t="s">
        <v>2491</v>
      </c>
      <c r="W2482" s="1634"/>
    </row>
    <row r="2483" spans="6:23" ht="24" customHeight="1">
      <c r="W2483" s="1634"/>
    </row>
    <row r="2484" spans="6:23" ht="24" customHeight="1">
      <c r="W2484" s="1634"/>
    </row>
    <row r="2485" spans="6:23" ht="24" customHeight="1">
      <c r="F2485" s="1629">
        <f>I2481</f>
        <v>33</v>
      </c>
      <c r="G2485" s="1630" t="s">
        <v>13</v>
      </c>
      <c r="H2485" s="1629" t="s">
        <v>2481</v>
      </c>
      <c r="I2485" s="1629">
        <f>I2466</f>
        <v>70.150000000000006</v>
      </c>
      <c r="J2485" s="1632" t="s">
        <v>13</v>
      </c>
      <c r="K2485" s="1629">
        <f>I2485*F2485</f>
        <v>2314.9500000000003</v>
      </c>
      <c r="W2485" s="1634"/>
    </row>
    <row r="2486" spans="6:23" ht="24" customHeight="1">
      <c r="F2486" s="1629">
        <v>0.54</v>
      </c>
      <c r="G2486" s="1630" t="s">
        <v>306</v>
      </c>
      <c r="H2486" s="1629" t="s">
        <v>2482</v>
      </c>
      <c r="I2486" s="1629">
        <f>I2467</f>
        <v>379.9</v>
      </c>
      <c r="J2486" s="1632" t="s">
        <v>306</v>
      </c>
      <c r="K2486" s="1629">
        <f>I2486*F2486</f>
        <v>205.14600000000002</v>
      </c>
      <c r="W2486" s="1634"/>
    </row>
    <row r="2487" spans="6:23" ht="24" customHeight="1">
      <c r="F2487" s="1629">
        <v>0.54</v>
      </c>
      <c r="G2487" s="1630" t="s">
        <v>306</v>
      </c>
      <c r="H2487" s="1629" t="str">
        <f>H2468</f>
        <v>Fly proof  Mesh</v>
      </c>
      <c r="I2487" s="1629">
        <f>I2468</f>
        <v>116.55</v>
      </c>
      <c r="J2487" s="1632" t="s">
        <v>306</v>
      </c>
      <c r="K2487" s="1629">
        <f>I2487*F2487</f>
        <v>62.937000000000005</v>
      </c>
      <c r="W2487" s="1634"/>
    </row>
    <row r="2488" spans="6:23" ht="24" customHeight="1">
      <c r="H2488" s="1629" t="s">
        <v>2484</v>
      </c>
      <c r="I2488" s="1701">
        <v>53.5</v>
      </c>
      <c r="J2488" s="1632" t="s">
        <v>226</v>
      </c>
      <c r="K2488" s="1629">
        <v>52.8</v>
      </c>
      <c r="W2488" s="1634"/>
    </row>
    <row r="2489" spans="6:23" ht="24" customHeight="1">
      <c r="K2489" s="1664" t="s">
        <v>1810</v>
      </c>
      <c r="W2489" s="1634"/>
    </row>
    <row r="2490" spans="6:23" ht="24" customHeight="1">
      <c r="H2490" s="1661" t="s">
        <v>2485</v>
      </c>
      <c r="K2490" s="1661">
        <f>SUM(K2485:K2488)</f>
        <v>2635.8330000000005</v>
      </c>
      <c r="W2490" s="1634"/>
    </row>
    <row r="2491" spans="6:23" ht="24" customHeight="1">
      <c r="K2491" s="1664" t="s">
        <v>1810</v>
      </c>
      <c r="W2491" s="1634"/>
    </row>
    <row r="2492" spans="6:23" ht="24" customHeight="1">
      <c r="I2492" s="1661" t="s">
        <v>2492</v>
      </c>
      <c r="K2492" s="1661">
        <f>K2490/0.54</f>
        <v>4881.1722222222224</v>
      </c>
      <c r="W2492" s="1634"/>
    </row>
    <row r="2493" spans="6:23" ht="24" customHeight="1">
      <c r="W2493" s="1634"/>
    </row>
    <row r="2494" spans="6:23" ht="24" customHeight="1">
      <c r="W2494" s="1634"/>
    </row>
    <row r="2495" spans="6:23" ht="24" customHeight="1">
      <c r="H2495" s="1661" t="s">
        <v>2493</v>
      </c>
      <c r="W2495" s="1634"/>
    </row>
    <row r="2496" spans="6:23" ht="24" customHeight="1">
      <c r="W2496" s="1634"/>
    </row>
    <row r="2497" spans="6:23" ht="24" customHeight="1">
      <c r="F2497" s="1632" t="s">
        <v>2494</v>
      </c>
      <c r="G2497" s="1632"/>
      <c r="H2497" s="1632"/>
      <c r="I2497" s="1629">
        <v>9.42</v>
      </c>
      <c r="J2497" s="1632" t="s">
        <v>2161</v>
      </c>
      <c r="K2497" s="1632"/>
      <c r="W2497" s="1634"/>
    </row>
    <row r="2498" spans="6:23" ht="24" customHeight="1">
      <c r="F2498" s="1629" t="s">
        <v>2495</v>
      </c>
      <c r="I2498" s="1629">
        <v>9.42</v>
      </c>
      <c r="J2498" s="1632" t="s">
        <v>2161</v>
      </c>
      <c r="K2498" s="1632"/>
      <c r="W2498" s="1634"/>
    </row>
    <row r="2499" spans="6:23" ht="24" customHeight="1">
      <c r="F2499" s="1629" t="s">
        <v>2496</v>
      </c>
      <c r="I2499" s="1629">
        <v>1.44</v>
      </c>
      <c r="J2499" s="1632" t="s">
        <v>2161</v>
      </c>
      <c r="K2499" s="1632"/>
      <c r="W2499" s="1634"/>
    </row>
    <row r="2500" spans="6:23" ht="24" customHeight="1">
      <c r="F2500" s="1629" t="s">
        <v>2479</v>
      </c>
      <c r="I2500" s="1629">
        <v>2.16</v>
      </c>
      <c r="J2500" s="1632" t="s">
        <v>2161</v>
      </c>
      <c r="K2500" s="1632"/>
      <c r="W2500" s="1634"/>
    </row>
    <row r="2501" spans="6:23" ht="24" customHeight="1">
      <c r="F2501" s="1629" t="s">
        <v>2490</v>
      </c>
      <c r="I2501" s="1629">
        <v>1.56</v>
      </c>
      <c r="K2501" s="1632"/>
      <c r="W2501" s="1634"/>
    </row>
    <row r="2502" spans="6:23" ht="24" customHeight="1">
      <c r="I2502" s="1664" t="s">
        <v>2491</v>
      </c>
      <c r="K2502" s="1632"/>
      <c r="N2502" s="1630"/>
      <c r="O2502" s="1661" t="s">
        <v>2497</v>
      </c>
      <c r="Q2502" s="1632"/>
      <c r="W2502" s="1634"/>
    </row>
    <row r="2503" spans="6:23" ht="24" customHeight="1">
      <c r="I2503" s="1629">
        <f>SUM(I2497:I2501)</f>
        <v>24</v>
      </c>
      <c r="J2503" s="1632" t="s">
        <v>2161</v>
      </c>
      <c r="K2503" s="1632"/>
      <c r="N2503" s="1630"/>
      <c r="Q2503" s="1632"/>
      <c r="W2503" s="1634"/>
    </row>
    <row r="2504" spans="6:23" ht="24" customHeight="1">
      <c r="I2504" s="1664" t="s">
        <v>2491</v>
      </c>
      <c r="M2504" s="1632" t="s">
        <v>2498</v>
      </c>
      <c r="N2504" s="1632"/>
      <c r="O2504" s="1632"/>
      <c r="P2504" s="1633">
        <f>3.77*3.9</f>
        <v>14.702999999999999</v>
      </c>
      <c r="Q2504" s="1632" t="s">
        <v>2161</v>
      </c>
      <c r="R2504" s="1632"/>
      <c r="W2504" s="1634"/>
    </row>
    <row r="2505" spans="6:23" ht="24" customHeight="1">
      <c r="M2505" s="1629" t="s">
        <v>2499</v>
      </c>
      <c r="N2505" s="1630"/>
      <c r="P2505" s="1629">
        <f>12*0.6*3.14</f>
        <v>22.607999999999997</v>
      </c>
      <c r="Q2505" s="1632" t="s">
        <v>2161</v>
      </c>
      <c r="R2505" s="1632"/>
      <c r="W2505" s="1634"/>
    </row>
    <row r="2506" spans="6:23" ht="24" customHeight="1">
      <c r="M2506" s="1629" t="s">
        <v>2500</v>
      </c>
      <c r="N2506" s="1630"/>
      <c r="P2506" s="1629">
        <f>2*1.285*1.2</f>
        <v>3.0839999999999996</v>
      </c>
      <c r="Q2506" s="1632" t="s">
        <v>2161</v>
      </c>
      <c r="R2506" s="1632"/>
      <c r="W2506" s="1634"/>
    </row>
    <row r="2507" spans="6:23" ht="24" customHeight="1">
      <c r="F2507" s="1629">
        <v>24</v>
      </c>
      <c r="G2507" s="1630" t="s">
        <v>13</v>
      </c>
      <c r="H2507" s="1629" t="s">
        <v>2481</v>
      </c>
      <c r="I2507" s="1629">
        <f>I2485</f>
        <v>70.150000000000006</v>
      </c>
      <c r="J2507" s="1632" t="s">
        <v>13</v>
      </c>
      <c r="K2507" s="1629">
        <f>I2507*F2507</f>
        <v>1683.6000000000001</v>
      </c>
      <c r="M2507" s="1629" t="s">
        <v>2479</v>
      </c>
      <c r="N2507" s="1630"/>
      <c r="P2507" s="1629">
        <f>3*0.6*1.2</f>
        <v>2.1599999999999997</v>
      </c>
      <c r="Q2507" s="1632" t="s">
        <v>2161</v>
      </c>
      <c r="R2507" s="1632"/>
      <c r="W2507" s="1634"/>
    </row>
    <row r="2508" spans="6:23" ht="24" customHeight="1">
      <c r="F2508" s="1629">
        <v>0.36</v>
      </c>
      <c r="G2508" s="1630" t="s">
        <v>306</v>
      </c>
      <c r="H2508" s="1629" t="s">
        <v>2482</v>
      </c>
      <c r="I2508" s="1629">
        <f>I2486</f>
        <v>379.9</v>
      </c>
      <c r="J2508" s="1632" t="s">
        <v>306</v>
      </c>
      <c r="K2508" s="1629">
        <f>I2508*F2508</f>
        <v>136.76399999999998</v>
      </c>
      <c r="M2508" s="1629" t="s">
        <v>2490</v>
      </c>
      <c r="N2508" s="1630"/>
      <c r="P2508" s="1629">
        <v>0.16</v>
      </c>
      <c r="Q2508" s="1632"/>
      <c r="R2508" s="1632"/>
      <c r="W2508" s="1634"/>
    </row>
    <row r="2509" spans="6:23" ht="24" customHeight="1">
      <c r="F2509" s="1629">
        <v>0.36</v>
      </c>
      <c r="G2509" s="1630" t="s">
        <v>306</v>
      </c>
      <c r="H2509" s="1629" t="s">
        <v>2501</v>
      </c>
      <c r="I2509" s="1629">
        <f>C198</f>
        <v>40.65</v>
      </c>
      <c r="J2509" s="1632" t="s">
        <v>306</v>
      </c>
      <c r="K2509" s="1629">
        <f>I2509*F2509</f>
        <v>14.633999999999999</v>
      </c>
      <c r="N2509" s="1630"/>
      <c r="P2509" s="1664" t="s">
        <v>2491</v>
      </c>
      <c r="Q2509" s="1632"/>
      <c r="R2509" s="1632"/>
      <c r="W2509" s="1634"/>
    </row>
    <row r="2510" spans="6:23" ht="24" customHeight="1">
      <c r="H2510" s="1629" t="s">
        <v>2502</v>
      </c>
      <c r="I2510" s="1701">
        <v>28.34</v>
      </c>
      <c r="J2510" s="1632" t="s">
        <v>226</v>
      </c>
      <c r="K2510" s="1629">
        <f>28.14</f>
        <v>28.14</v>
      </c>
      <c r="N2510" s="1630"/>
      <c r="P2510" s="1698">
        <f>SUM(P2504:P2508)</f>
        <v>42.714999999999989</v>
      </c>
      <c r="Q2510" s="1632" t="s">
        <v>2161</v>
      </c>
      <c r="R2510" s="1632">
        <f>42.55-42.713</f>
        <v>-0.16300000000000381</v>
      </c>
      <c r="W2510" s="1634"/>
    </row>
    <row r="2511" spans="6:23" ht="24" customHeight="1">
      <c r="K2511" s="1664" t="s">
        <v>1810</v>
      </c>
      <c r="N2511" s="1630"/>
      <c r="P2511" s="1664" t="s">
        <v>2491</v>
      </c>
      <c r="Q2511" s="1632"/>
      <c r="W2511" s="1634"/>
    </row>
    <row r="2512" spans="6:23" ht="24" customHeight="1">
      <c r="H2512" s="1661" t="s">
        <v>2485</v>
      </c>
      <c r="K2512" s="1661">
        <f>SUM(K2507:K2510)</f>
        <v>1863.1380000000001</v>
      </c>
      <c r="N2512" s="1630"/>
      <c r="Q2512" s="1632"/>
      <c r="W2512" s="1634"/>
    </row>
    <row r="2513" spans="6:23" ht="24" customHeight="1">
      <c r="K2513" s="1664" t="s">
        <v>1810</v>
      </c>
      <c r="N2513" s="1630"/>
      <c r="Q2513" s="1632"/>
      <c r="W2513" s="1634"/>
    </row>
    <row r="2514" spans="6:23" ht="24" customHeight="1">
      <c r="K2514" s="1629">
        <f>0.6*0.6</f>
        <v>0.36</v>
      </c>
      <c r="M2514" s="1633">
        <f>P2510</f>
        <v>42.714999999999989</v>
      </c>
      <c r="N2514" s="1630" t="s">
        <v>13</v>
      </c>
      <c r="O2514" s="1629" t="s">
        <v>2481</v>
      </c>
      <c r="P2514" s="1629">
        <f>I2507</f>
        <v>70.150000000000006</v>
      </c>
      <c r="Q2514" s="1632" t="s">
        <v>13</v>
      </c>
      <c r="R2514" s="1629">
        <f>P2514*M2514</f>
        <v>2996.4572499999995</v>
      </c>
      <c r="W2514" s="1634"/>
    </row>
    <row r="2515" spans="6:23" ht="24" customHeight="1">
      <c r="H2515" s="1661" t="s">
        <v>2503</v>
      </c>
      <c r="K2515" s="1629">
        <f>K2512/K2514</f>
        <v>5175.3833333333341</v>
      </c>
      <c r="M2515" s="1629">
        <v>0.77</v>
      </c>
      <c r="N2515" s="1630" t="s">
        <v>306</v>
      </c>
      <c r="O2515" s="1629" t="s">
        <v>2482</v>
      </c>
      <c r="P2515" s="1629">
        <f>I2508</f>
        <v>379.9</v>
      </c>
      <c r="Q2515" s="1632" t="s">
        <v>306</v>
      </c>
      <c r="R2515" s="1629">
        <f>P2515*M2515</f>
        <v>292.52299999999997</v>
      </c>
      <c r="W2515" s="1634"/>
    </row>
    <row r="2516" spans="6:23" ht="24" customHeight="1">
      <c r="M2516" s="1629">
        <v>0.77</v>
      </c>
      <c r="N2516" s="1630" t="s">
        <v>306</v>
      </c>
      <c r="O2516" s="1629" t="s">
        <v>2501</v>
      </c>
      <c r="P2516" s="1629">
        <f>I2509</f>
        <v>40.65</v>
      </c>
      <c r="Q2516" s="1632" t="s">
        <v>306</v>
      </c>
      <c r="R2516" s="1629">
        <f>P2516*M2516</f>
        <v>31.3005</v>
      </c>
      <c r="W2516" s="1634"/>
    </row>
    <row r="2517" spans="6:23" ht="24" customHeight="1">
      <c r="F2517" s="1661" t="s">
        <v>2504</v>
      </c>
      <c r="G2517" s="1688"/>
      <c r="N2517" s="1630"/>
      <c r="O2517" s="1629" t="s">
        <v>2502</v>
      </c>
      <c r="P2517" s="1629">
        <f>I2510</f>
        <v>28.34</v>
      </c>
      <c r="Q2517" s="1632" t="s">
        <v>226</v>
      </c>
      <c r="R2517" s="1629">
        <f>28.34+0.11</f>
        <v>28.45</v>
      </c>
      <c r="W2517" s="1634"/>
    </row>
    <row r="2518" spans="6:23" ht="24" customHeight="1">
      <c r="N2518" s="1630"/>
      <c r="Q2518" s="1632"/>
      <c r="R2518" s="1664" t="s">
        <v>1810</v>
      </c>
      <c r="W2518" s="1634"/>
    </row>
    <row r="2519" spans="6:23" ht="24" customHeight="1">
      <c r="F2519" s="1629" t="s">
        <v>2505</v>
      </c>
      <c r="I2519" s="1629">
        <v>3.93</v>
      </c>
      <c r="J2519" s="1632" t="s">
        <v>13</v>
      </c>
      <c r="N2519" s="1630"/>
      <c r="O2519" s="1661" t="s">
        <v>2485</v>
      </c>
      <c r="Q2519" s="1632"/>
      <c r="R2519" s="1661">
        <f>SUM(R2514:R2517)</f>
        <v>3348.7307499999993</v>
      </c>
      <c r="W2519" s="1634"/>
    </row>
    <row r="2520" spans="6:23" ht="24" customHeight="1">
      <c r="F2520" s="1629" t="s">
        <v>2506</v>
      </c>
      <c r="I2520" s="1629">
        <v>3.14</v>
      </c>
      <c r="J2520" s="1632" t="s">
        <v>13</v>
      </c>
      <c r="N2520" s="1630"/>
      <c r="Q2520" s="1632"/>
      <c r="R2520" s="1664" t="s">
        <v>1810</v>
      </c>
      <c r="W2520" s="1634"/>
    </row>
    <row r="2521" spans="6:23" ht="24" customHeight="1">
      <c r="F2521" s="1629" t="s">
        <v>2507</v>
      </c>
      <c r="I2521" s="1629">
        <v>1.18</v>
      </c>
      <c r="J2521" s="1632" t="s">
        <v>13</v>
      </c>
      <c r="N2521" s="1630"/>
      <c r="O2521" s="1735" t="s">
        <v>2492</v>
      </c>
      <c r="Q2521" s="1632"/>
      <c r="R2521" s="1661">
        <f>R2519/M2515</f>
        <v>4349.0009740259729</v>
      </c>
      <c r="W2521" s="1634"/>
    </row>
    <row r="2522" spans="6:23" ht="24" customHeight="1">
      <c r="N2522" s="1629">
        <f>1.285*0.6</f>
        <v>0.77099999999999991</v>
      </c>
      <c r="W2522" s="1634"/>
    </row>
    <row r="2523" spans="6:23" ht="24" customHeight="1">
      <c r="W2523" s="1634"/>
    </row>
    <row r="2524" spans="6:23" ht="24" customHeight="1">
      <c r="H2524" s="1661" t="s">
        <v>2503</v>
      </c>
      <c r="W2524" s="1634"/>
    </row>
    <row r="2525" spans="6:23" ht="24" customHeight="1">
      <c r="W2525" s="1634"/>
    </row>
    <row r="2526" spans="6:23" ht="24" customHeight="1">
      <c r="W2526" s="1634"/>
    </row>
    <row r="2527" spans="6:23" ht="24" customHeight="1">
      <c r="F2527" s="1629" t="s">
        <v>2508</v>
      </c>
      <c r="I2527" s="1629">
        <v>24.34</v>
      </c>
      <c r="J2527" s="1632" t="s">
        <v>13</v>
      </c>
      <c r="W2527" s="1634"/>
    </row>
    <row r="2528" spans="6:23" ht="24" customHeight="1">
      <c r="F2528" s="1629" t="s">
        <v>2509</v>
      </c>
      <c r="I2528" s="1629">
        <v>11.78</v>
      </c>
      <c r="J2528" s="1632" t="s">
        <v>13</v>
      </c>
      <c r="W2528" s="1634"/>
    </row>
    <row r="2529" spans="6:23" ht="24" customHeight="1">
      <c r="F2529" s="1629" t="s">
        <v>2510</v>
      </c>
      <c r="I2529" s="1629">
        <v>59.35</v>
      </c>
      <c r="J2529" s="1632" t="s">
        <v>13</v>
      </c>
      <c r="W2529" s="1634"/>
    </row>
    <row r="2530" spans="6:23" ht="24" customHeight="1">
      <c r="F2530" s="1629" t="s">
        <v>2511</v>
      </c>
      <c r="I2530" s="1629">
        <v>5.04</v>
      </c>
      <c r="J2530" s="1632" t="s">
        <v>13</v>
      </c>
      <c r="W2530" s="1634"/>
    </row>
    <row r="2531" spans="6:23" ht="24" customHeight="1">
      <c r="F2531" s="1629" t="s">
        <v>2512</v>
      </c>
      <c r="I2531" s="1629">
        <v>4.8</v>
      </c>
      <c r="J2531" s="1632" t="s">
        <v>13</v>
      </c>
      <c r="W2531" s="1634"/>
    </row>
    <row r="2532" spans="6:23" ht="24" customHeight="1">
      <c r="F2532" s="1629" t="s">
        <v>2513</v>
      </c>
      <c r="I2532" s="1629">
        <v>2.69</v>
      </c>
      <c r="W2532" s="1634"/>
    </row>
    <row r="2533" spans="6:23" ht="24" customHeight="1">
      <c r="I2533" s="1664" t="s">
        <v>2491</v>
      </c>
      <c r="W2533" s="1634"/>
    </row>
    <row r="2534" spans="6:23" ht="24" customHeight="1">
      <c r="I2534" s="1661">
        <f>SUM(I2527:I2532)</f>
        <v>108</v>
      </c>
      <c r="J2534" s="1632" t="s">
        <v>13</v>
      </c>
      <c r="W2534" s="1634"/>
    </row>
    <row r="2535" spans="6:23" ht="24" customHeight="1">
      <c r="I2535" s="1664" t="s">
        <v>2491</v>
      </c>
      <c r="W2535" s="1634"/>
    </row>
    <row r="2536" spans="6:23" ht="24" customHeight="1">
      <c r="L2536" s="1629" t="s">
        <v>2514</v>
      </c>
      <c r="W2536" s="1634"/>
    </row>
    <row r="2537" spans="6:23" ht="24" customHeight="1">
      <c r="F2537" s="1629">
        <v>108</v>
      </c>
      <c r="G2537" s="1630" t="s">
        <v>13</v>
      </c>
      <c r="H2537" s="1629" t="s">
        <v>2515</v>
      </c>
      <c r="I2537" s="1629">
        <f>I2466</f>
        <v>70.150000000000006</v>
      </c>
      <c r="J2537" s="1632" t="s">
        <v>13</v>
      </c>
      <c r="K2537" s="1629">
        <f>F2537*I2537</f>
        <v>7576.2000000000007</v>
      </c>
      <c r="W2537" s="1634"/>
    </row>
    <row r="2538" spans="6:23" ht="24" customHeight="1">
      <c r="F2538" s="1629">
        <v>2.1</v>
      </c>
      <c r="G2538" s="1630" t="s">
        <v>306</v>
      </c>
      <c r="H2538" s="1629" t="s">
        <v>2482</v>
      </c>
      <c r="I2538" s="1629">
        <f>I2467</f>
        <v>379.9</v>
      </c>
      <c r="J2538" s="1632" t="s">
        <v>306</v>
      </c>
      <c r="K2538" s="1629">
        <f>F2538*I2538</f>
        <v>797.79</v>
      </c>
      <c r="L2538" s="1633">
        <v>42.713000000000001</v>
      </c>
      <c r="W2538" s="1634"/>
    </row>
    <row r="2539" spans="6:23" ht="24" customHeight="1">
      <c r="F2539" s="1629">
        <v>2.1</v>
      </c>
      <c r="G2539" s="1630" t="s">
        <v>306</v>
      </c>
      <c r="H2539" s="1629" t="s">
        <v>2516</v>
      </c>
      <c r="I2539" s="1629">
        <f>I2468</f>
        <v>116.55</v>
      </c>
      <c r="J2539" s="1632" t="s">
        <v>306</v>
      </c>
      <c r="K2539" s="1629">
        <f>F2539*I2539</f>
        <v>244.755</v>
      </c>
      <c r="L2539" s="1629">
        <v>0.77</v>
      </c>
      <c r="W2539" s="1634"/>
    </row>
    <row r="2540" spans="6:23" ht="24" customHeight="1">
      <c r="H2540" s="1629" t="s">
        <v>2517</v>
      </c>
      <c r="I2540" s="1629">
        <v>267.10000000000002</v>
      </c>
      <c r="J2540" s="1632" t="s">
        <v>226</v>
      </c>
      <c r="K2540" s="1629">
        <f>I2540</f>
        <v>267.10000000000002</v>
      </c>
      <c r="L2540" s="1629">
        <v>0.77</v>
      </c>
      <c r="W2540" s="1634"/>
    </row>
    <row r="2541" spans="6:23" ht="24" customHeight="1">
      <c r="K2541" s="1664" t="s">
        <v>1810</v>
      </c>
      <c r="W2541" s="1634"/>
    </row>
    <row r="2542" spans="6:23" ht="24" customHeight="1">
      <c r="K2542" s="1629">
        <f>SUM(K2537:K2540)</f>
        <v>8885.8450000000012</v>
      </c>
      <c r="W2542" s="1634"/>
    </row>
    <row r="2543" spans="6:23" ht="24" customHeight="1">
      <c r="H2543" s="1629" t="s">
        <v>2518</v>
      </c>
      <c r="I2543" s="1629">
        <v>500</v>
      </c>
      <c r="J2543" s="1632" t="s">
        <v>226</v>
      </c>
      <c r="K2543" s="1629">
        <f>I2543</f>
        <v>500</v>
      </c>
      <c r="W2543" s="1634"/>
    </row>
    <row r="2544" spans="6:23" ht="24" customHeight="1">
      <c r="K2544" s="1664" t="s">
        <v>1810</v>
      </c>
      <c r="W2544" s="1634"/>
    </row>
    <row r="2545" spans="6:23" ht="24" customHeight="1">
      <c r="H2545" s="1661" t="s">
        <v>2519</v>
      </c>
      <c r="K2545" s="1661">
        <f>SUM(K2542:K2543)</f>
        <v>9385.8450000000012</v>
      </c>
      <c r="W2545" s="1634"/>
    </row>
    <row r="2546" spans="6:23" ht="24" customHeight="1">
      <c r="K2546" s="1664" t="s">
        <v>1810</v>
      </c>
      <c r="W2546" s="1634"/>
    </row>
    <row r="2547" spans="6:23" ht="24" customHeight="1">
      <c r="W2547" s="1634"/>
    </row>
    <row r="2548" spans="6:23" ht="24" customHeight="1">
      <c r="K2548" s="1629">
        <f>8054-K2545</f>
        <v>-1331.8450000000012</v>
      </c>
      <c r="W2548" s="1634"/>
    </row>
    <row r="2549" spans="6:23" ht="24" customHeight="1">
      <c r="W2549" s="1634"/>
    </row>
    <row r="2550" spans="6:23" ht="24" customHeight="1">
      <c r="H2550" s="1661" t="s">
        <v>2520</v>
      </c>
      <c r="W2550" s="1634"/>
    </row>
    <row r="2551" spans="6:23" ht="24" customHeight="1">
      <c r="W2551" s="1634"/>
    </row>
    <row r="2552" spans="6:23" ht="24" customHeight="1">
      <c r="F2552" s="1661" t="s">
        <v>2504</v>
      </c>
      <c r="G2552" s="1688"/>
      <c r="W2552" s="1634"/>
    </row>
    <row r="2553" spans="6:23" ht="24" customHeight="1">
      <c r="W2553" s="1634"/>
    </row>
    <row r="2554" spans="6:23" ht="24" customHeight="1">
      <c r="F2554" s="1629" t="s">
        <v>2521</v>
      </c>
      <c r="I2554" s="1633">
        <v>2.944</v>
      </c>
      <c r="J2554" s="1632" t="s">
        <v>13</v>
      </c>
      <c r="W2554" s="1634"/>
    </row>
    <row r="2555" spans="6:23" ht="24" customHeight="1">
      <c r="F2555" s="1629" t="s">
        <v>2522</v>
      </c>
      <c r="I2555" s="1633">
        <v>2.355</v>
      </c>
      <c r="J2555" s="1632" t="s">
        <v>13</v>
      </c>
      <c r="W2555" s="1634"/>
    </row>
    <row r="2556" spans="6:23" ht="24" customHeight="1">
      <c r="F2556" s="1629" t="s">
        <v>2523</v>
      </c>
      <c r="I2556" s="1633">
        <v>0.88300000000000001</v>
      </c>
      <c r="J2556" s="1632" t="s">
        <v>13</v>
      </c>
      <c r="W2556" s="1634"/>
    </row>
    <row r="2557" spans="6:23" ht="24" customHeight="1">
      <c r="W2557" s="1634"/>
    </row>
    <row r="2558" spans="6:23" ht="24" customHeight="1">
      <c r="W2558" s="1634"/>
    </row>
    <row r="2559" spans="6:23" ht="24" customHeight="1">
      <c r="H2559" s="1661" t="s">
        <v>2520</v>
      </c>
      <c r="W2559" s="1634"/>
    </row>
    <row r="2560" spans="6:23" ht="24" customHeight="1">
      <c r="W2560" s="1634"/>
    </row>
    <row r="2561" spans="6:23" ht="24" customHeight="1">
      <c r="N2561" s="1805">
        <v>24.1</v>
      </c>
      <c r="O2561" s="1661" t="s">
        <v>2497</v>
      </c>
      <c r="Q2561" s="1632"/>
      <c r="W2561" s="1634"/>
    </row>
    <row r="2562" spans="6:23" ht="24" customHeight="1">
      <c r="F2562" s="1629" t="s">
        <v>2524</v>
      </c>
      <c r="I2562" s="1629">
        <v>16.38</v>
      </c>
      <c r="J2562" s="1632" t="s">
        <v>13</v>
      </c>
      <c r="N2562" s="1806" t="s">
        <v>156</v>
      </c>
      <c r="O2562" s="1807"/>
      <c r="Q2562" s="1632"/>
      <c r="W2562" s="1634"/>
    </row>
    <row r="2563" spans="6:23" ht="24" customHeight="1">
      <c r="F2563" s="1629" t="s">
        <v>2525</v>
      </c>
      <c r="I2563" s="1629">
        <v>8.7799999999999994</v>
      </c>
      <c r="J2563" s="1632" t="s">
        <v>13</v>
      </c>
      <c r="M2563" s="1632" t="s">
        <v>2526</v>
      </c>
      <c r="N2563" s="1632"/>
      <c r="O2563" s="1632"/>
      <c r="P2563" s="1629">
        <v>14.8</v>
      </c>
      <c r="Q2563" s="1632" t="s">
        <v>2161</v>
      </c>
      <c r="W2563" s="1634"/>
    </row>
    <row r="2564" spans="6:23" ht="24" customHeight="1">
      <c r="F2564" s="1629" t="s">
        <v>2527</v>
      </c>
      <c r="I2564" s="1629">
        <v>37.67</v>
      </c>
      <c r="J2564" s="1632" t="s">
        <v>13</v>
      </c>
      <c r="M2564" s="1629" t="s">
        <v>2477</v>
      </c>
      <c r="N2564" s="1630"/>
      <c r="P2564" s="1629">
        <v>22.61</v>
      </c>
      <c r="Q2564" s="1632" t="s">
        <v>2161</v>
      </c>
      <c r="W2564" s="1634"/>
    </row>
    <row r="2565" spans="6:23" ht="24" customHeight="1">
      <c r="F2565" s="1629" t="s">
        <v>2528</v>
      </c>
      <c r="I2565" s="1629">
        <v>3.24</v>
      </c>
      <c r="J2565" s="1632" t="s">
        <v>13</v>
      </c>
      <c r="M2565" s="1629" t="s">
        <v>2478</v>
      </c>
      <c r="N2565" s="1630"/>
      <c r="P2565" s="1629">
        <v>3.24</v>
      </c>
      <c r="Q2565" s="1632" t="s">
        <v>2161</v>
      </c>
      <c r="W2565" s="1634"/>
    </row>
    <row r="2566" spans="6:23" ht="24" customHeight="1">
      <c r="F2566" s="1629" t="s">
        <v>2529</v>
      </c>
      <c r="I2566" s="1629">
        <v>3.6</v>
      </c>
      <c r="J2566" s="1632" t="s">
        <v>13</v>
      </c>
      <c r="M2566" s="1629" t="s">
        <v>2479</v>
      </c>
      <c r="N2566" s="1630"/>
      <c r="P2566" s="1629">
        <v>2.16</v>
      </c>
      <c r="Q2566" s="1632" t="s">
        <v>2161</v>
      </c>
      <c r="W2566" s="1634"/>
    </row>
    <row r="2567" spans="6:23" ht="24" customHeight="1">
      <c r="F2567" s="1629" t="s">
        <v>2513</v>
      </c>
      <c r="I2567" s="1629">
        <v>2.88</v>
      </c>
      <c r="N2567" s="1630"/>
      <c r="Q2567" s="1632"/>
      <c r="W2567" s="1634"/>
    </row>
    <row r="2568" spans="6:23" ht="24" customHeight="1">
      <c r="I2568" s="1664" t="s">
        <v>2491</v>
      </c>
      <c r="N2568" s="1630"/>
      <c r="P2568" s="1664" t="s">
        <v>1810</v>
      </c>
      <c r="Q2568" s="1632"/>
      <c r="W2568" s="1634"/>
    </row>
    <row r="2569" spans="6:23" ht="24" customHeight="1">
      <c r="I2569" s="1661">
        <f>SUM(I2562:I2567)</f>
        <v>72.549999999999983</v>
      </c>
      <c r="J2569" s="1632" t="s">
        <v>13</v>
      </c>
      <c r="N2569" s="1630"/>
      <c r="P2569" s="1629">
        <f>SUM(P2563:P2567)</f>
        <v>42.81</v>
      </c>
      <c r="Q2569" s="1632"/>
      <c r="W2569" s="1634"/>
    </row>
    <row r="2570" spans="6:23" ht="24" customHeight="1">
      <c r="I2570" s="1664" t="s">
        <v>2491</v>
      </c>
      <c r="N2570" s="1630"/>
      <c r="P2570" s="1629" t="s">
        <v>2480</v>
      </c>
      <c r="Q2570" s="1632"/>
      <c r="W2570" s="1634"/>
    </row>
    <row r="2571" spans="6:23" ht="24" customHeight="1">
      <c r="N2571" s="1630"/>
      <c r="Q2571" s="1632"/>
      <c r="W2571" s="1634"/>
    </row>
    <row r="2572" spans="6:23" ht="24" customHeight="1">
      <c r="F2572" s="1629">
        <v>72.55</v>
      </c>
      <c r="G2572" s="1630" t="s">
        <v>13</v>
      </c>
      <c r="H2572" s="1629" t="s">
        <v>2515</v>
      </c>
      <c r="I2572" s="1629">
        <f>I2537</f>
        <v>70.150000000000006</v>
      </c>
      <c r="J2572" s="1632" t="s">
        <v>13</v>
      </c>
      <c r="K2572" s="1629">
        <f>F2572*I2572</f>
        <v>5089.3825000000006</v>
      </c>
      <c r="N2572" s="1630"/>
      <c r="Q2572" s="1632"/>
      <c r="W2572" s="1634"/>
    </row>
    <row r="2573" spans="6:23" ht="24" customHeight="1">
      <c r="F2573" s="1629">
        <v>1.01</v>
      </c>
      <c r="G2573" s="1630" t="s">
        <v>306</v>
      </c>
      <c r="H2573" s="1629" t="s">
        <v>2482</v>
      </c>
      <c r="I2573" s="1629">
        <f>I2538</f>
        <v>379.9</v>
      </c>
      <c r="J2573" s="1632" t="s">
        <v>306</v>
      </c>
      <c r="K2573" s="1737">
        <f>F2573*I2573</f>
        <v>383.69899999999996</v>
      </c>
      <c r="M2573" s="1629">
        <v>42.81</v>
      </c>
      <c r="N2573" s="1630" t="s">
        <v>13</v>
      </c>
      <c r="O2573" s="1629" t="s">
        <v>2530</v>
      </c>
      <c r="P2573" s="1629">
        <f>I2572</f>
        <v>70.150000000000006</v>
      </c>
      <c r="Q2573" s="1632" t="s">
        <v>13</v>
      </c>
      <c r="R2573" s="1629">
        <f>P2573*M2573</f>
        <v>3003.1215000000002</v>
      </c>
      <c r="W2573" s="1634"/>
    </row>
    <row r="2574" spans="6:23" ht="24" customHeight="1">
      <c r="F2574" s="1629">
        <v>1.01</v>
      </c>
      <c r="G2574" s="1630" t="s">
        <v>306</v>
      </c>
      <c r="H2574" s="1629" t="str">
        <f>H2539</f>
        <v>Fly proof mesh</v>
      </c>
      <c r="I2574" s="1629">
        <f>I2539</f>
        <v>116.55</v>
      </c>
      <c r="J2574" s="1632" t="s">
        <v>306</v>
      </c>
      <c r="K2574" s="1629">
        <f>F2574*I2574</f>
        <v>117.71549999999999</v>
      </c>
      <c r="M2574" s="1629">
        <v>0.77</v>
      </c>
      <c r="N2574" s="1630" t="s">
        <v>306</v>
      </c>
      <c r="O2574" s="1629" t="s">
        <v>2531</v>
      </c>
      <c r="P2574" s="1629">
        <f>I2573</f>
        <v>379.9</v>
      </c>
      <c r="Q2574" s="1632" t="s">
        <v>306</v>
      </c>
      <c r="R2574" s="1629">
        <f>P2574*M2574</f>
        <v>292.52299999999997</v>
      </c>
      <c r="W2574" s="1634"/>
    </row>
    <row r="2575" spans="6:23" ht="24" customHeight="1">
      <c r="H2575" s="1629" t="s">
        <v>2517</v>
      </c>
      <c r="I2575" s="1629">
        <v>266.49</v>
      </c>
      <c r="J2575" s="1632" t="s">
        <v>226</v>
      </c>
      <c r="K2575" s="1629">
        <f>I2575</f>
        <v>266.49</v>
      </c>
      <c r="M2575" s="1629">
        <v>0.77</v>
      </c>
      <c r="N2575" s="1630" t="s">
        <v>306</v>
      </c>
      <c r="O2575" s="1734" t="s">
        <v>2532</v>
      </c>
      <c r="P2575" s="1629">
        <f>I2574</f>
        <v>116.55</v>
      </c>
      <c r="Q2575" s="1632" t="s">
        <v>306</v>
      </c>
      <c r="R2575" s="1629">
        <f>P2575*M2575</f>
        <v>89.743499999999997</v>
      </c>
      <c r="W2575" s="1634"/>
    </row>
    <row r="2576" spans="6:23" ht="24" customHeight="1">
      <c r="K2576" s="1664" t="s">
        <v>1810</v>
      </c>
      <c r="N2576" s="1630"/>
      <c r="O2576" s="1629" t="s">
        <v>2484</v>
      </c>
      <c r="P2576" s="1629">
        <f>46.62+0.48</f>
        <v>47.099999999999994</v>
      </c>
      <c r="Q2576" s="1632" t="s">
        <v>226</v>
      </c>
      <c r="R2576" s="1629">
        <f>P2576</f>
        <v>47.099999999999994</v>
      </c>
      <c r="W2576" s="1634"/>
    </row>
    <row r="2577" spans="6:23" ht="24" customHeight="1">
      <c r="K2577" s="1629">
        <f>SUM(K2572:K2575)</f>
        <v>5857.2870000000003</v>
      </c>
      <c r="N2577" s="1630"/>
      <c r="Q2577" s="1632"/>
      <c r="R2577" s="1664" t="s">
        <v>1810</v>
      </c>
      <c r="W2577" s="1634"/>
    </row>
    <row r="2578" spans="6:23" ht="24" customHeight="1">
      <c r="H2578" s="1629" t="s">
        <v>2518</v>
      </c>
      <c r="I2578" s="1629">
        <v>255</v>
      </c>
      <c r="J2578" s="1632" t="s">
        <v>226</v>
      </c>
      <c r="K2578" s="1629">
        <v>255</v>
      </c>
      <c r="N2578" s="1630"/>
      <c r="O2578" s="1661" t="s">
        <v>2485</v>
      </c>
      <c r="Q2578" s="1632"/>
      <c r="R2578" s="1661">
        <f>SUM(R2573:R2576)</f>
        <v>3432.4880000000003</v>
      </c>
      <c r="W2578" s="1634"/>
    </row>
    <row r="2579" spans="6:23" ht="24" customHeight="1">
      <c r="K2579" s="1664" t="s">
        <v>1810</v>
      </c>
      <c r="N2579" s="1630"/>
      <c r="Q2579" s="1632"/>
      <c r="R2579" s="1664" t="s">
        <v>1810</v>
      </c>
      <c r="W2579" s="1634"/>
    </row>
    <row r="2580" spans="6:23" ht="24" customHeight="1">
      <c r="H2580" s="1661" t="s">
        <v>2519</v>
      </c>
      <c r="K2580" s="1661">
        <f>SUM(K2577:K2578)</f>
        <v>6112.2870000000003</v>
      </c>
      <c r="N2580" s="1630"/>
      <c r="O2580" s="1629">
        <f>1.285*0.6</f>
        <v>0.77099999999999991</v>
      </c>
      <c r="Q2580" s="1632"/>
      <c r="R2580" s="1629">
        <f>R2578/O2580</f>
        <v>4451.9948119325563</v>
      </c>
      <c r="W2580" s="1634"/>
    </row>
    <row r="2581" spans="6:23" ht="24" customHeight="1">
      <c r="K2581" s="1664" t="s">
        <v>1810</v>
      </c>
      <c r="M2581" s="1629">
        <f>I2574</f>
        <v>116.55</v>
      </c>
      <c r="O2581" s="1632">
        <f>M2581*L2540</f>
        <v>89.743499999999997</v>
      </c>
      <c r="W2581" s="1634"/>
    </row>
    <row r="2582" spans="6:23" ht="24" customHeight="1">
      <c r="O2582" s="1632">
        <v>0.8</v>
      </c>
      <c r="W2582" s="1634"/>
    </row>
    <row r="2583" spans="6:23" ht="24" customHeight="1">
      <c r="K2583" s="1629">
        <f>5261-K2580</f>
        <v>-851.28700000000026</v>
      </c>
      <c r="O2583" s="1632">
        <f>SUM(O2579:O2582)</f>
        <v>91.314499999999995</v>
      </c>
      <c r="W2583" s="1634"/>
    </row>
    <row r="2584" spans="6:23" ht="24" customHeight="1">
      <c r="O2584" s="1632">
        <f>O2583/0.77</f>
        <v>118.59025974025973</v>
      </c>
      <c r="W2584" s="1634"/>
    </row>
    <row r="2585" spans="6:23" ht="24" customHeight="1">
      <c r="H2585" s="1661" t="s">
        <v>2520</v>
      </c>
      <c r="W2585" s="1634"/>
    </row>
    <row r="2586" spans="6:23" ht="24" customHeight="1">
      <c r="W2586" s="1634"/>
    </row>
    <row r="2587" spans="6:23" ht="24" customHeight="1">
      <c r="F2587" s="1661" t="s">
        <v>2504</v>
      </c>
      <c r="G2587" s="1688"/>
      <c r="T2587" s="1630"/>
      <c r="U2587" s="1629" t="s">
        <v>2533</v>
      </c>
      <c r="W2587" s="1634"/>
    </row>
    <row r="2588" spans="6:23" ht="24" customHeight="1">
      <c r="T2588" s="1630"/>
      <c r="W2588" s="1634"/>
    </row>
    <row r="2589" spans="6:23" ht="24" customHeight="1">
      <c r="F2589" s="1629" t="s">
        <v>2521</v>
      </c>
      <c r="I2589" s="1633">
        <v>2.944</v>
      </c>
      <c r="J2589" s="1632" t="s">
        <v>13</v>
      </c>
      <c r="S2589" s="1633" t="s">
        <v>2534</v>
      </c>
      <c r="T2589" s="1630"/>
      <c r="V2589" s="1808">
        <f>2*0.85*2.025</f>
        <v>3.4424999999999999</v>
      </c>
      <c r="W2589" s="1634"/>
    </row>
    <row r="2590" spans="6:23" ht="24" customHeight="1">
      <c r="F2590" s="1629" t="s">
        <v>2522</v>
      </c>
      <c r="I2590" s="1633">
        <v>2.355</v>
      </c>
      <c r="J2590" s="1632" t="s">
        <v>13</v>
      </c>
      <c r="S2590" s="1633" t="s">
        <v>2535</v>
      </c>
      <c r="T2590" s="1630"/>
      <c r="V2590" s="1808">
        <v>2.2800000000000001E-2</v>
      </c>
      <c r="W2590" s="1634"/>
    </row>
    <row r="2591" spans="6:23" ht="24" customHeight="1">
      <c r="F2591" s="1629" t="s">
        <v>2523</v>
      </c>
      <c r="I2591" s="1633">
        <v>0.88300000000000001</v>
      </c>
      <c r="J2591" s="1632" t="s">
        <v>13</v>
      </c>
      <c r="S2591" s="1633" t="s">
        <v>2536</v>
      </c>
      <c r="T2591" s="1630"/>
      <c r="V2591" s="1698">
        <f>2*3*0.85*0.15*0.0375</f>
        <v>2.8687499999999994E-2</v>
      </c>
      <c r="W2591" s="1634"/>
    </row>
    <row r="2592" spans="6:23" ht="24" customHeight="1">
      <c r="T2592" s="1630" t="s">
        <v>2537</v>
      </c>
      <c r="V2592" s="1698">
        <f>2*3*0.85*0.075*0.0375</f>
        <v>1.4343749999999997E-2</v>
      </c>
      <c r="W2592" s="1634"/>
    </row>
    <row r="2593" spans="6:35" ht="24" customHeight="1">
      <c r="T2593" s="1630"/>
      <c r="V2593" s="1809">
        <f>SUM(V2591:V2592)</f>
        <v>4.3031249999999993E-2</v>
      </c>
      <c r="W2593" s="1634"/>
    </row>
    <row r="2594" spans="6:35" ht="24" customHeight="1">
      <c r="H2594" s="1661" t="s">
        <v>2520</v>
      </c>
      <c r="T2594" s="1630"/>
      <c r="W2594" s="1634"/>
    </row>
    <row r="2595" spans="6:35" ht="24" customHeight="1">
      <c r="T2595" s="1630"/>
      <c r="W2595" s="1634"/>
    </row>
    <row r="2596" spans="6:35" ht="24" customHeight="1">
      <c r="S2596" s="1633" t="s">
        <v>2538</v>
      </c>
      <c r="T2596" s="1630"/>
      <c r="V2596" s="1698">
        <f>2*4*0.725*0.3*0.01875</f>
        <v>3.2625000000000001E-2</v>
      </c>
      <c r="W2596" s="1634"/>
    </row>
    <row r="2597" spans="6:35" ht="24" customHeight="1">
      <c r="F2597" s="1629" t="s">
        <v>2524</v>
      </c>
      <c r="I2597" s="1629">
        <v>16.38</v>
      </c>
      <c r="J2597" s="1632" t="s">
        <v>13</v>
      </c>
      <c r="S2597" s="1633" t="s">
        <v>2539</v>
      </c>
      <c r="T2597" s="1630"/>
      <c r="V2597" s="1698">
        <f>2*0.725*0.3*0.01875</f>
        <v>8.1562500000000003E-3</v>
      </c>
      <c r="W2597" s="1634"/>
    </row>
    <row r="2598" spans="6:35" ht="24" customHeight="1">
      <c r="F2598" s="1629" t="s">
        <v>2525</v>
      </c>
      <c r="I2598" s="1629">
        <v>8.7799999999999994</v>
      </c>
      <c r="J2598" s="1632" t="s">
        <v>13</v>
      </c>
      <c r="T2598" s="1630"/>
      <c r="V2598" s="1809">
        <f>SUM(V2596:V2597)</f>
        <v>4.0781250000000005E-2</v>
      </c>
      <c r="W2598" s="1634"/>
    </row>
    <row r="2599" spans="6:35" ht="24" customHeight="1">
      <c r="F2599" s="1629" t="s">
        <v>2527</v>
      </c>
      <c r="I2599" s="1629">
        <v>37.67</v>
      </c>
      <c r="J2599" s="1632" t="s">
        <v>13</v>
      </c>
      <c r="T2599" s="1630"/>
      <c r="U2599" s="1661" t="s">
        <v>2540</v>
      </c>
      <c r="W2599" s="1634"/>
      <c r="Z2599" s="1698">
        <v>2.3099999999999999E-2</v>
      </c>
      <c r="AA2599" s="1629">
        <f>Z2599*V2601</f>
        <v>2577.96</v>
      </c>
    </row>
    <row r="2600" spans="6:35" ht="24" customHeight="1">
      <c r="F2600" s="1629" t="s">
        <v>2528</v>
      </c>
      <c r="I2600" s="1629">
        <v>3.24</v>
      </c>
      <c r="J2600" s="1632" t="s">
        <v>13</v>
      </c>
      <c r="T2600" s="1630"/>
      <c r="W2600" s="1634"/>
      <c r="Z2600" s="1698">
        <v>4.48E-2</v>
      </c>
      <c r="AA2600" s="1629">
        <f>Z2600*V2602</f>
        <v>4453.12</v>
      </c>
    </row>
    <row r="2601" spans="6:35" ht="40.5" customHeight="1">
      <c r="F2601" s="1629" t="s">
        <v>2529</v>
      </c>
      <c r="I2601" s="1629">
        <v>3.6</v>
      </c>
      <c r="J2601" s="1632" t="s">
        <v>13</v>
      </c>
      <c r="S2601" s="1698">
        <f>V2590</f>
        <v>2.2800000000000001E-2</v>
      </c>
      <c r="T2601" s="1630" t="s">
        <v>151</v>
      </c>
      <c r="U2601" s="1629" t="s">
        <v>2541</v>
      </c>
      <c r="V2601" s="1629">
        <f>I2633</f>
        <v>111600</v>
      </c>
      <c r="W2601" s="1634" t="s">
        <v>151</v>
      </c>
      <c r="X2601" s="1629">
        <f>S2601*V2601</f>
        <v>2544.48</v>
      </c>
      <c r="Z2601" s="1698">
        <v>2.2690000000000001</v>
      </c>
      <c r="AA2601" s="1629">
        <f>Z2601*336</f>
        <v>762.38400000000001</v>
      </c>
      <c r="AE2601" s="1630"/>
      <c r="AF2601" s="2016" t="s">
        <v>5695</v>
      </c>
      <c r="AG2601" s="2016"/>
      <c r="AH2601" s="2016"/>
      <c r="AI2601" s="2016"/>
    </row>
    <row r="2602" spans="6:35" ht="24" customHeight="1">
      <c r="F2602" s="1629" t="s">
        <v>2513</v>
      </c>
      <c r="I2602" s="1629">
        <v>2.88</v>
      </c>
      <c r="S2602" s="1698">
        <f>V2593</f>
        <v>4.3031249999999993E-2</v>
      </c>
      <c r="T2602" s="1630" t="s">
        <v>151</v>
      </c>
      <c r="U2602" s="1629" t="s">
        <v>1797</v>
      </c>
      <c r="V2602" s="1629">
        <f t="shared" ref="V2602:V2610" si="248">I2634</f>
        <v>99400</v>
      </c>
      <c r="W2602" s="1634" t="s">
        <v>151</v>
      </c>
      <c r="X2602" s="1629">
        <f t="shared" ref="X2602:X2612" si="249">S2602*V2602</f>
        <v>4277.3062499999996</v>
      </c>
      <c r="Z2602" s="1698">
        <v>3.4849999999999999</v>
      </c>
      <c r="AA2602" s="1629">
        <f>Z2602*V2604</f>
        <v>7108.7029999999995</v>
      </c>
      <c r="AE2602" s="1630"/>
      <c r="AH2602" s="1632"/>
    </row>
    <row r="2603" spans="6:35" ht="24" customHeight="1">
      <c r="I2603" s="1664" t="s">
        <v>2491</v>
      </c>
      <c r="S2603" s="1698">
        <f>V2598</f>
        <v>4.0781250000000005E-2</v>
      </c>
      <c r="T2603" s="1630" t="s">
        <v>151</v>
      </c>
      <c r="U2603" s="1629" t="s">
        <v>1798</v>
      </c>
      <c r="V2603" s="1629">
        <f t="shared" si="248"/>
        <v>107000</v>
      </c>
      <c r="W2603" s="1634" t="s">
        <v>151</v>
      </c>
      <c r="X2603" s="1629">
        <f t="shared" si="249"/>
        <v>4363.5937500000009</v>
      </c>
      <c r="Z2603" s="1698">
        <v>2</v>
      </c>
      <c r="AA2603" s="1629">
        <f>Z2603*V2605</f>
        <v>509</v>
      </c>
      <c r="AD2603" s="1629" t="s">
        <v>2543</v>
      </c>
      <c r="AE2603" s="1630"/>
      <c r="AG2603" s="1808">
        <f>2*0.95*2.025</f>
        <v>3.8474999999999997</v>
      </c>
      <c r="AH2603" s="1632"/>
    </row>
    <row r="2604" spans="6:35" ht="24" customHeight="1">
      <c r="I2604" s="1661">
        <f>SUM(I2597:I2602)</f>
        <v>72.549999999999983</v>
      </c>
      <c r="J2604" s="1632" t="s">
        <v>13</v>
      </c>
      <c r="S2604" s="1698">
        <f>V2589</f>
        <v>3.4424999999999999</v>
      </c>
      <c r="T2604" s="1630" t="s">
        <v>152</v>
      </c>
      <c r="U2604" s="1629" t="s">
        <v>1799</v>
      </c>
      <c r="V2604" s="1629">
        <f t="shared" si="248"/>
        <v>2039.8</v>
      </c>
      <c r="W2604" s="1634" t="s">
        <v>152</v>
      </c>
      <c r="X2604" s="1629">
        <f t="shared" si="249"/>
        <v>7022.0114999999996</v>
      </c>
      <c r="Z2604" s="1698">
        <v>6</v>
      </c>
      <c r="AA2604" s="1629">
        <f>Z2604*V2606</f>
        <v>1284.5999999999999</v>
      </c>
      <c r="AD2604" s="1629" t="s">
        <v>2535</v>
      </c>
      <c r="AE2604" s="1630"/>
      <c r="AG2604" s="1808">
        <v>2.2800000000000001E-2</v>
      </c>
      <c r="AH2604" s="1632"/>
    </row>
    <row r="2605" spans="6:35" ht="24" customHeight="1">
      <c r="I2605" s="1664" t="s">
        <v>2491</v>
      </c>
      <c r="S2605" s="1633">
        <v>2</v>
      </c>
      <c r="T2605" s="1630" t="s">
        <v>295</v>
      </c>
      <c r="U2605" s="1629" t="s">
        <v>1801</v>
      </c>
      <c r="V2605" s="1629">
        <f t="shared" si="248"/>
        <v>254.5</v>
      </c>
      <c r="W2605" s="1634" t="s">
        <v>340</v>
      </c>
      <c r="X2605" s="1629">
        <f t="shared" si="249"/>
        <v>509</v>
      </c>
      <c r="Z2605" s="1698">
        <v>4</v>
      </c>
      <c r="AA2605" s="1629">
        <f>Z2605*V2607</f>
        <v>1632</v>
      </c>
      <c r="AD2605" s="1629" t="s">
        <v>2544</v>
      </c>
      <c r="AE2605" s="1630"/>
      <c r="AG2605" s="1698">
        <f>2*3*0.95*0.15*0.0375</f>
        <v>3.2062499999999994E-2</v>
      </c>
      <c r="AH2605" s="1632"/>
    </row>
    <row r="2606" spans="6:35" ht="24" customHeight="1">
      <c r="S2606" s="1633">
        <v>6</v>
      </c>
      <c r="T2606" s="1630" t="s">
        <v>295</v>
      </c>
      <c r="U2606" s="1629" t="s">
        <v>1802</v>
      </c>
      <c r="V2606" s="1629">
        <f t="shared" si="248"/>
        <v>214.1</v>
      </c>
      <c r="W2606" s="1634" t="s">
        <v>340</v>
      </c>
      <c r="X2606" s="1629">
        <f t="shared" si="249"/>
        <v>1284.5999999999999</v>
      </c>
      <c r="Z2606" s="1698">
        <v>1</v>
      </c>
      <c r="AA2606" s="1629">
        <f>Z2606*X2608</f>
        <v>836</v>
      </c>
      <c r="AE2606" s="1630" t="s">
        <v>2545</v>
      </c>
      <c r="AG2606" s="1698">
        <f>2*3*0.95*0.075*0.0375</f>
        <v>1.6031249999999997E-2</v>
      </c>
      <c r="AH2606" s="1632"/>
    </row>
    <row r="2607" spans="6:35" ht="24" customHeight="1">
      <c r="F2607" s="1629">
        <v>73</v>
      </c>
      <c r="G2607" s="1630" t="s">
        <v>13</v>
      </c>
      <c r="H2607" s="1629" t="s">
        <v>2515</v>
      </c>
      <c r="I2607" s="1629">
        <f>I2572</f>
        <v>70.150000000000006</v>
      </c>
      <c r="J2607" s="1632" t="s">
        <v>13</v>
      </c>
      <c r="K2607" s="1629">
        <f>F2607*I2607</f>
        <v>5120.9500000000007</v>
      </c>
      <c r="S2607" s="1633">
        <v>4</v>
      </c>
      <c r="T2607" s="1630" t="s">
        <v>295</v>
      </c>
      <c r="U2607" s="1629" t="s">
        <v>1803</v>
      </c>
      <c r="V2607" s="1629">
        <f t="shared" si="248"/>
        <v>408</v>
      </c>
      <c r="W2607" s="1634" t="s">
        <v>340</v>
      </c>
      <c r="X2607" s="1629">
        <f t="shared" si="249"/>
        <v>1632</v>
      </c>
      <c r="Z2607" s="1698">
        <v>2</v>
      </c>
      <c r="AA2607" s="1629">
        <f>Z2607*V2609</f>
        <v>15</v>
      </c>
      <c r="AE2607" s="1630"/>
      <c r="AG2607" s="1809">
        <f>SUM(AG2605:AG2606)</f>
        <v>4.8093749999999991E-2</v>
      </c>
      <c r="AH2607" s="1632"/>
    </row>
    <row r="2608" spans="6:35" ht="24" customHeight="1">
      <c r="F2608" s="1629">
        <v>1.01</v>
      </c>
      <c r="G2608" s="1630" t="s">
        <v>306</v>
      </c>
      <c r="H2608" s="1629" t="s">
        <v>2482</v>
      </c>
      <c r="I2608" s="1629">
        <f>I2573</f>
        <v>379.9</v>
      </c>
      <c r="J2608" s="1632" t="s">
        <v>306</v>
      </c>
      <c r="K2608" s="1737">
        <f>F2608*I2608</f>
        <v>383.69899999999996</v>
      </c>
      <c r="S2608" s="1633">
        <v>1</v>
      </c>
      <c r="T2608" s="1630" t="s">
        <v>295</v>
      </c>
      <c r="U2608" s="1629" t="s">
        <v>1805</v>
      </c>
      <c r="V2608" s="1629">
        <f t="shared" si="248"/>
        <v>836</v>
      </c>
      <c r="W2608" s="1634" t="s">
        <v>340</v>
      </c>
      <c r="X2608" s="1629">
        <f t="shared" si="249"/>
        <v>836</v>
      </c>
      <c r="Z2608" s="1698">
        <v>2</v>
      </c>
      <c r="AA2608" s="1629">
        <f>Z2608*V2610</f>
        <v>99.1</v>
      </c>
      <c r="AE2608" s="1630"/>
      <c r="AH2608" s="1632"/>
    </row>
    <row r="2609" spans="6:35" ht="24" customHeight="1">
      <c r="F2609" s="1629">
        <v>1.01</v>
      </c>
      <c r="G2609" s="1630" t="s">
        <v>306</v>
      </c>
      <c r="H2609" s="1629" t="s">
        <v>2546</v>
      </c>
      <c r="I2609" s="1629">
        <f>C198</f>
        <v>40.65</v>
      </c>
      <c r="J2609" s="1632" t="s">
        <v>306</v>
      </c>
      <c r="K2609" s="1629">
        <f>F2609*I2609</f>
        <v>41.0565</v>
      </c>
      <c r="S2609" s="1633">
        <v>2</v>
      </c>
      <c r="T2609" s="1630" t="s">
        <v>295</v>
      </c>
      <c r="U2609" s="1629" t="s">
        <v>884</v>
      </c>
      <c r="V2609" s="1629">
        <v>7.5</v>
      </c>
      <c r="W2609" s="1634" t="s">
        <v>340</v>
      </c>
      <c r="X2609" s="1629">
        <f t="shared" si="249"/>
        <v>15</v>
      </c>
      <c r="Z2609" s="1698"/>
      <c r="AA2609" s="1629">
        <v>20</v>
      </c>
      <c r="AE2609" s="1630"/>
      <c r="AH2609" s="1632"/>
    </row>
    <row r="2610" spans="6:35" ht="24" customHeight="1">
      <c r="H2610" s="1629" t="s">
        <v>2517</v>
      </c>
      <c r="I2610" s="1701">
        <v>266.81</v>
      </c>
      <c r="J2610" s="1632" t="s">
        <v>226</v>
      </c>
      <c r="K2610" s="1629">
        <f>I2610</f>
        <v>266.81</v>
      </c>
      <c r="S2610" s="1633">
        <v>2</v>
      </c>
      <c r="T2610" s="1630" t="s">
        <v>295</v>
      </c>
      <c r="U2610" s="1629" t="s">
        <v>886</v>
      </c>
      <c r="V2610" s="1629">
        <f t="shared" si="248"/>
        <v>49.55</v>
      </c>
      <c r="W2610" s="1634" t="s">
        <v>340</v>
      </c>
      <c r="X2610" s="1629">
        <f t="shared" si="249"/>
        <v>99.1</v>
      </c>
      <c r="AA2610" s="1629">
        <f>SUM(AA2599:AA2609)</f>
        <v>19297.866999999998</v>
      </c>
      <c r="AD2610" s="1629" t="s">
        <v>2547</v>
      </c>
      <c r="AE2610" s="1630"/>
      <c r="AG2610" s="1698">
        <f>2*4*0.825*0.3*0.01875</f>
        <v>3.7124999999999991E-2</v>
      </c>
      <c r="AH2610" s="1632"/>
    </row>
    <row r="2611" spans="6:35" ht="24" customHeight="1">
      <c r="K2611" s="1664" t="s">
        <v>1810</v>
      </c>
      <c r="T2611" s="1630"/>
      <c r="W2611" s="1634"/>
      <c r="AA2611" s="1629">
        <f>AA2610/3.485</f>
        <v>5537.4080344332851</v>
      </c>
      <c r="AD2611" s="1629" t="s">
        <v>2548</v>
      </c>
      <c r="AE2611" s="1630"/>
      <c r="AG2611" s="1698">
        <f>2*0.825*0.3*0.01875</f>
        <v>9.2812499999999978E-3</v>
      </c>
      <c r="AH2611" s="1632"/>
    </row>
    <row r="2612" spans="6:35" ht="24" customHeight="1">
      <c r="K2612" s="1629">
        <f>SUM(K2607:K2610)</f>
        <v>5812.5155000000004</v>
      </c>
      <c r="S2612" s="1633">
        <v>10</v>
      </c>
      <c r="T2612" s="1630"/>
      <c r="U2612" s="1629" t="s">
        <v>1733</v>
      </c>
      <c r="V2612" s="1629">
        <f>I2643</f>
        <v>2.41</v>
      </c>
      <c r="W2612" s="1634"/>
      <c r="X2612" s="1629">
        <f t="shared" si="249"/>
        <v>24.1</v>
      </c>
      <c r="AE2612" s="1630"/>
      <c r="AG2612" s="1809">
        <f>SUM(AG2610:AG2611)</f>
        <v>4.6406249999999989E-2</v>
      </c>
      <c r="AH2612" s="1632"/>
    </row>
    <row r="2613" spans="6:35" ht="24" customHeight="1">
      <c r="H2613" s="1629" t="s">
        <v>2518</v>
      </c>
      <c r="I2613" s="1701">
        <v>255</v>
      </c>
      <c r="J2613" s="1632" t="s">
        <v>226</v>
      </c>
      <c r="K2613" s="1629">
        <v>255</v>
      </c>
      <c r="T2613" s="1688"/>
      <c r="U2613" s="1661" t="s">
        <v>155</v>
      </c>
      <c r="W2613" s="1634"/>
      <c r="X2613" s="1661">
        <f>SUM(X2601:X2612)</f>
        <v>22607.191499999997</v>
      </c>
      <c r="Y2613" s="1661"/>
      <c r="AE2613" s="1630"/>
      <c r="AF2613" s="1661" t="s">
        <v>2540</v>
      </c>
      <c r="AH2613" s="1632"/>
    </row>
    <row r="2614" spans="6:35" ht="24" customHeight="1">
      <c r="K2614" s="1664" t="s">
        <v>1810</v>
      </c>
      <c r="T2614" s="1688"/>
      <c r="U2614" s="1661"/>
      <c r="W2614" s="1634"/>
      <c r="X2614" s="1664" t="s">
        <v>1810</v>
      </c>
      <c r="Y2614" s="1664"/>
      <c r="AE2614" s="1630"/>
      <c r="AH2614" s="1632"/>
    </row>
    <row r="2615" spans="6:35" ht="24" customHeight="1">
      <c r="H2615" s="1661" t="s">
        <v>2519</v>
      </c>
      <c r="K2615" s="1661">
        <f>SUM(K2612:K2613)</f>
        <v>6067.5155000000004</v>
      </c>
      <c r="M2615" s="1629">
        <f>5227-K2615</f>
        <v>-840.51550000000043</v>
      </c>
      <c r="T2615" s="1688"/>
      <c r="U2615" s="1661" t="s">
        <v>2549</v>
      </c>
      <c r="W2615" s="1634"/>
      <c r="X2615" s="1661">
        <f>X2613/3.4425</f>
        <v>6567.0854030501087</v>
      </c>
      <c r="Y2615" s="1661"/>
      <c r="AD2615" s="1698">
        <f>AG2604</f>
        <v>2.2800000000000001E-2</v>
      </c>
      <c r="AE2615" s="1630" t="s">
        <v>151</v>
      </c>
      <c r="AF2615" s="1629" t="s">
        <v>2541</v>
      </c>
      <c r="AG2615" s="1629">
        <f>V2601</f>
        <v>111600</v>
      </c>
      <c r="AH2615" s="1632" t="s">
        <v>151</v>
      </c>
      <c r="AI2615" s="1629">
        <f>AD2615*AG2615</f>
        <v>2544.48</v>
      </c>
    </row>
    <row r="2616" spans="6:35" ht="24" customHeight="1">
      <c r="K2616" s="1664" t="s">
        <v>1810</v>
      </c>
      <c r="W2616" s="1634"/>
      <c r="AD2616" s="1698">
        <f>AG2607</f>
        <v>4.8093749999999991E-2</v>
      </c>
      <c r="AE2616" s="1630" t="s">
        <v>151</v>
      </c>
      <c r="AF2616" s="1629" t="s">
        <v>1797</v>
      </c>
      <c r="AG2616" s="1629">
        <f t="shared" ref="AG2616:AG2624" si="250">V2602</f>
        <v>99400</v>
      </c>
      <c r="AH2616" s="1632" t="s">
        <v>151</v>
      </c>
      <c r="AI2616" s="1629">
        <f t="shared" ref="AI2616:AI2624" si="251">AD2616*AG2616</f>
        <v>4780.5187499999993</v>
      </c>
    </row>
    <row r="2617" spans="6:35" ht="24" customHeight="1">
      <c r="W2617" s="1634"/>
      <c r="AD2617" s="1723">
        <f>AG2612</f>
        <v>4.6406249999999989E-2</v>
      </c>
      <c r="AE2617" s="1630" t="s">
        <v>151</v>
      </c>
      <c r="AF2617" s="1629" t="s">
        <v>1798</v>
      </c>
      <c r="AG2617" s="1629">
        <f t="shared" si="250"/>
        <v>107000</v>
      </c>
      <c r="AH2617" s="1632" t="s">
        <v>151</v>
      </c>
      <c r="AI2617" s="1629">
        <f t="shared" si="251"/>
        <v>4965.4687499999991</v>
      </c>
    </row>
    <row r="2618" spans="6:35" ht="24" customHeight="1">
      <c r="W2618" s="1634"/>
      <c r="AD2618" s="1698">
        <f>AG2603</f>
        <v>3.8474999999999997</v>
      </c>
      <c r="AE2618" s="1630" t="s">
        <v>152</v>
      </c>
      <c r="AF2618" s="1629" t="s">
        <v>1799</v>
      </c>
      <c r="AG2618" s="1629">
        <f t="shared" si="250"/>
        <v>2039.8</v>
      </c>
      <c r="AH2618" s="1632" t="s">
        <v>152</v>
      </c>
      <c r="AI2618" s="1629">
        <f t="shared" si="251"/>
        <v>7848.1304999999993</v>
      </c>
    </row>
    <row r="2619" spans="6:35" ht="24" customHeight="1">
      <c r="H2619" s="1661" t="s">
        <v>2550</v>
      </c>
      <c r="I2619" s="1661"/>
      <c r="W2619" s="1634"/>
      <c r="AD2619" s="1629">
        <v>2</v>
      </c>
      <c r="AE2619" s="1630" t="s">
        <v>295</v>
      </c>
      <c r="AF2619" s="1629" t="s">
        <v>1801</v>
      </c>
      <c r="AG2619" s="1629">
        <f t="shared" si="250"/>
        <v>254.5</v>
      </c>
      <c r="AH2619" s="1632" t="s">
        <v>340</v>
      </c>
      <c r="AI2619" s="1629">
        <f t="shared" si="251"/>
        <v>509</v>
      </c>
    </row>
    <row r="2620" spans="6:35" ht="24" customHeight="1">
      <c r="W2620" s="1634"/>
      <c r="AD2620" s="1629">
        <v>6</v>
      </c>
      <c r="AE2620" s="1630" t="s">
        <v>295</v>
      </c>
      <c r="AF2620" s="1629" t="s">
        <v>1802</v>
      </c>
      <c r="AG2620" s="1629">
        <f t="shared" si="250"/>
        <v>214.1</v>
      </c>
      <c r="AH2620" s="1632" t="s">
        <v>340</v>
      </c>
      <c r="AI2620" s="1629">
        <f t="shared" si="251"/>
        <v>1284.5999999999999</v>
      </c>
    </row>
    <row r="2621" spans="6:35" ht="24" customHeight="1">
      <c r="F2621" s="1629" t="s">
        <v>2551</v>
      </c>
      <c r="W2621" s="1634"/>
      <c r="AD2621" s="1629">
        <v>4</v>
      </c>
      <c r="AE2621" s="1630" t="s">
        <v>295</v>
      </c>
      <c r="AF2621" s="1629" t="s">
        <v>1803</v>
      </c>
      <c r="AG2621" s="1629">
        <f t="shared" si="250"/>
        <v>408</v>
      </c>
      <c r="AH2621" s="1632" t="s">
        <v>340</v>
      </c>
      <c r="AI2621" s="1629">
        <f t="shared" si="251"/>
        <v>1632</v>
      </c>
    </row>
    <row r="2622" spans="6:35" ht="24" customHeight="1">
      <c r="F2622" s="1629" t="s">
        <v>2535</v>
      </c>
      <c r="I2622" s="1808">
        <v>2.2800000000000001E-2</v>
      </c>
      <c r="W2622" s="1634"/>
      <c r="AD2622" s="1629">
        <v>1</v>
      </c>
      <c r="AE2622" s="1630" t="s">
        <v>295</v>
      </c>
      <c r="AF2622" s="1629" t="s">
        <v>1805</v>
      </c>
      <c r="AG2622" s="1629">
        <f t="shared" si="250"/>
        <v>836</v>
      </c>
      <c r="AH2622" s="1632" t="s">
        <v>340</v>
      </c>
      <c r="AI2622" s="1629">
        <f t="shared" si="251"/>
        <v>836</v>
      </c>
    </row>
    <row r="2623" spans="6:35" ht="24" customHeight="1">
      <c r="F2623" s="1629" t="s">
        <v>2552</v>
      </c>
      <c r="I2623" s="1698">
        <v>2.3599999999999999E-2</v>
      </c>
      <c r="W2623" s="1634"/>
      <c r="AD2623" s="1629">
        <v>2</v>
      </c>
      <c r="AE2623" s="1630" t="s">
        <v>295</v>
      </c>
      <c r="AF2623" s="1629" t="s">
        <v>884</v>
      </c>
      <c r="AG2623" s="1629">
        <f t="shared" si="250"/>
        <v>7.5</v>
      </c>
      <c r="AH2623" s="1632" t="s">
        <v>340</v>
      </c>
      <c r="AI2623" s="1629">
        <f t="shared" si="251"/>
        <v>15</v>
      </c>
    </row>
    <row r="2624" spans="6:35" ht="24" customHeight="1">
      <c r="G2624" s="1630" t="s">
        <v>2553</v>
      </c>
      <c r="I2624" s="1698">
        <v>1.18E-2</v>
      </c>
      <c r="W2624" s="1634"/>
      <c r="AD2624" s="1629">
        <v>2</v>
      </c>
      <c r="AE2624" s="1630" t="s">
        <v>295</v>
      </c>
      <c r="AF2624" s="1629" t="s">
        <v>886</v>
      </c>
      <c r="AG2624" s="1629">
        <f t="shared" si="250"/>
        <v>49.55</v>
      </c>
      <c r="AH2624" s="1632" t="s">
        <v>340</v>
      </c>
      <c r="AI2624" s="1629">
        <f t="shared" si="251"/>
        <v>99.1</v>
      </c>
    </row>
    <row r="2625" spans="6:35" ht="24" customHeight="1">
      <c r="I2625" s="1809">
        <f>SUM(I2623:I2624)</f>
        <v>3.5400000000000001E-2</v>
      </c>
      <c r="W2625" s="1634"/>
      <c r="AE2625" s="1630"/>
      <c r="AH2625" s="1632"/>
    </row>
    <row r="2626" spans="6:35" ht="24" customHeight="1">
      <c r="N2626" s="1630"/>
      <c r="O2626" s="1661" t="s">
        <v>2554</v>
      </c>
      <c r="Q2626" s="1632"/>
      <c r="W2626" s="1634"/>
      <c r="AE2626" s="1630"/>
      <c r="AH2626" s="1632"/>
      <c r="AI2626" s="1664">
        <v>10.54</v>
      </c>
    </row>
    <row r="2627" spans="6:35" ht="24" customHeight="1">
      <c r="N2627" s="1630"/>
      <c r="Q2627" s="1632"/>
      <c r="W2627" s="1634"/>
      <c r="AE2627" s="1688"/>
      <c r="AF2627" s="1661" t="s">
        <v>155</v>
      </c>
      <c r="AH2627" s="1632"/>
      <c r="AI2627" s="1661">
        <f>SUM(AI2615:AI2626)</f>
        <v>24524.837999999996</v>
      </c>
    </row>
    <row r="2628" spans="6:35" ht="24" customHeight="1">
      <c r="F2628" s="1629" t="s">
        <v>2555</v>
      </c>
      <c r="I2628" s="1698">
        <v>2.5899999999999999E-2</v>
      </c>
      <c r="M2628" s="1629" t="s">
        <v>2556</v>
      </c>
      <c r="N2628" s="1630"/>
      <c r="Q2628" s="1632"/>
      <c r="W2628" s="1634"/>
      <c r="AE2628" s="1688"/>
      <c r="AF2628" s="1661"/>
      <c r="AH2628" s="1632"/>
      <c r="AI2628" s="1664" t="s">
        <v>1810</v>
      </c>
    </row>
    <row r="2629" spans="6:35" ht="24" customHeight="1">
      <c r="F2629" s="1629" t="s">
        <v>2557</v>
      </c>
      <c r="I2629" s="1698">
        <f>2*0.575*0.3*0.01875</f>
        <v>6.4687499999999997E-3</v>
      </c>
      <c r="K2629" s="1629">
        <f>3643035-3769622.98</f>
        <v>-126587.97999999998</v>
      </c>
      <c r="M2629" s="1629" t="s">
        <v>2535</v>
      </c>
      <c r="N2629" s="1630"/>
      <c r="P2629" s="1808">
        <v>2.2800000000000001E-2</v>
      </c>
      <c r="Q2629" s="1632"/>
      <c r="W2629" s="1634"/>
      <c r="AE2629" s="1688"/>
      <c r="AF2629" s="1661" t="s">
        <v>2558</v>
      </c>
      <c r="AH2629" s="1632"/>
      <c r="AI2629" s="1661">
        <f>AI2627/3.8475</f>
        <v>6374.2269005847938</v>
      </c>
    </row>
    <row r="2630" spans="6:35" ht="24" customHeight="1">
      <c r="I2630" s="1809">
        <f>SUM(I2628:I2629)</f>
        <v>3.2368750000000002E-2</v>
      </c>
      <c r="M2630" s="1629" t="s">
        <v>2559</v>
      </c>
      <c r="N2630" s="1630"/>
      <c r="P2630" s="1698">
        <v>1.8599999999999998E-2</v>
      </c>
      <c r="Q2630" s="1632"/>
      <c r="W2630" s="1634"/>
    </row>
    <row r="2631" spans="6:35" ht="24" customHeight="1">
      <c r="H2631" s="1661" t="s">
        <v>2540</v>
      </c>
      <c r="N2631" s="1630" t="s">
        <v>2560</v>
      </c>
      <c r="P2631" s="1698">
        <v>9.2999999999999992E-3</v>
      </c>
      <c r="Q2631" s="1632"/>
      <c r="W2631" s="1634"/>
    </row>
    <row r="2632" spans="6:35" ht="24" customHeight="1">
      <c r="N2632" s="1630"/>
      <c r="P2632" s="1809">
        <f>SUM(P2630:P2631)</f>
        <v>2.7899999999999998E-2</v>
      </c>
      <c r="Q2632" s="1632"/>
      <c r="W2632" s="1634"/>
    </row>
    <row r="2633" spans="6:35" ht="24" customHeight="1">
      <c r="F2633" s="1698">
        <v>2.2800000000000001E-2</v>
      </c>
      <c r="G2633" s="1630" t="s">
        <v>151</v>
      </c>
      <c r="H2633" s="1629" t="s">
        <v>1796</v>
      </c>
      <c r="I2633" s="1629">
        <f>AE26</f>
        <v>111600</v>
      </c>
      <c r="J2633" s="1632" t="s">
        <v>151</v>
      </c>
      <c r="K2633" s="1629">
        <f>F2633*I2633</f>
        <v>2544.48</v>
      </c>
      <c r="N2633" s="1630"/>
      <c r="Q2633" s="1632"/>
      <c r="W2633" s="1634"/>
    </row>
    <row r="2634" spans="6:35" ht="24" customHeight="1">
      <c r="F2634" s="1698">
        <v>3.5400000000000001E-2</v>
      </c>
      <c r="G2634" s="1630" t="s">
        <v>151</v>
      </c>
      <c r="H2634" s="1629" t="s">
        <v>1797</v>
      </c>
      <c r="I2634" s="1629">
        <f>AE27</f>
        <v>99400</v>
      </c>
      <c r="J2634" s="1632" t="s">
        <v>151</v>
      </c>
      <c r="K2634" s="1629">
        <f t="shared" ref="K2634:K2643" si="252">F2634*I2634</f>
        <v>3518.76</v>
      </c>
      <c r="N2634" s="1630"/>
      <c r="Q2634" s="1632"/>
      <c r="W2634" s="1634"/>
    </row>
    <row r="2635" spans="6:35" ht="24" customHeight="1">
      <c r="F2635" s="1723">
        <v>3.2300000000000002E-2</v>
      </c>
      <c r="G2635" s="1630" t="s">
        <v>151</v>
      </c>
      <c r="H2635" s="1629" t="s">
        <v>5228</v>
      </c>
      <c r="I2635" s="1629">
        <v>107000</v>
      </c>
      <c r="J2635" s="1632" t="s">
        <v>151</v>
      </c>
      <c r="K2635" s="1629">
        <f t="shared" si="252"/>
        <v>3456.1000000000004</v>
      </c>
      <c r="M2635" s="1629" t="s">
        <v>2562</v>
      </c>
      <c r="N2635" s="1630"/>
      <c r="P2635" s="1698">
        <v>1.9E-2</v>
      </c>
      <c r="Q2635" s="1632"/>
      <c r="W2635" s="1634"/>
      <c r="AD2635" s="1633"/>
      <c r="AE2635" s="1630"/>
      <c r="AF2635" s="1661" t="s">
        <v>2533</v>
      </c>
      <c r="AH2635" s="1632"/>
    </row>
    <row r="2636" spans="6:35" ht="24" customHeight="1">
      <c r="F2636" s="1633">
        <v>2.835</v>
      </c>
      <c r="G2636" s="1630" t="s">
        <v>152</v>
      </c>
      <c r="H2636" s="1629" t="s">
        <v>1799</v>
      </c>
      <c r="I2636" s="1629">
        <f>AG30</f>
        <v>2039.8</v>
      </c>
      <c r="J2636" s="1632" t="s">
        <v>152</v>
      </c>
      <c r="K2636" s="1629">
        <f t="shared" si="252"/>
        <v>5782.8329999999996</v>
      </c>
      <c r="M2636" s="1629" t="s">
        <v>2563</v>
      </c>
      <c r="N2636" s="1630"/>
      <c r="P2636" s="1698">
        <v>4.7999999999999996E-3</v>
      </c>
      <c r="Q2636" s="1632"/>
      <c r="W2636" s="1634"/>
      <c r="AD2636" s="1633"/>
      <c r="AE2636" s="1630"/>
      <c r="AF2636" s="1661" t="s">
        <v>2564</v>
      </c>
      <c r="AH2636" s="1632"/>
    </row>
    <row r="2637" spans="6:35" ht="24" customHeight="1">
      <c r="F2637" s="1629">
        <v>2</v>
      </c>
      <c r="G2637" s="1630" t="s">
        <v>295</v>
      </c>
      <c r="H2637" s="1629" t="s">
        <v>2565</v>
      </c>
      <c r="I2637" s="1629">
        <f>I2818</f>
        <v>254.5</v>
      </c>
      <c r="J2637" s="1632" t="s">
        <v>340</v>
      </c>
      <c r="K2637" s="1629">
        <f t="shared" si="252"/>
        <v>509</v>
      </c>
      <c r="N2637" s="1630"/>
      <c r="P2637" s="1809">
        <f>SUM(P2635:P2636)</f>
        <v>2.3799999999999998E-2</v>
      </c>
      <c r="Q2637" s="1632"/>
      <c r="W2637" s="1634"/>
      <c r="AD2637" s="1633" t="s">
        <v>2534</v>
      </c>
      <c r="AE2637" s="1630"/>
      <c r="AG2637" s="1808">
        <f>2*0.85*2.025</f>
        <v>3.4424999999999999</v>
      </c>
      <c r="AH2637" s="1632"/>
    </row>
    <row r="2638" spans="6:35" ht="24" customHeight="1">
      <c r="F2638" s="1629">
        <v>6</v>
      </c>
      <c r="G2638" s="1630" t="s">
        <v>295</v>
      </c>
      <c r="H2638" s="1629" t="s">
        <v>2566</v>
      </c>
      <c r="I2638" s="1629">
        <f t="shared" ref="I2638:I2643" si="253">I2819</f>
        <v>214.1</v>
      </c>
      <c r="J2638" s="1632" t="s">
        <v>340</v>
      </c>
      <c r="K2638" s="1629">
        <f t="shared" si="252"/>
        <v>1284.5999999999999</v>
      </c>
      <c r="N2638" s="1630"/>
      <c r="O2638" s="1661" t="s">
        <v>2540</v>
      </c>
      <c r="Q2638" s="1632"/>
      <c r="W2638" s="1634"/>
      <c r="AD2638" s="1633" t="s">
        <v>2535</v>
      </c>
      <c r="AE2638" s="1630"/>
      <c r="AG2638" s="1808">
        <v>2.2800000000000001E-2</v>
      </c>
      <c r="AH2638" s="1632"/>
    </row>
    <row r="2639" spans="6:35" ht="24" customHeight="1">
      <c r="F2639" s="1629">
        <v>4</v>
      </c>
      <c r="G2639" s="1630" t="s">
        <v>295</v>
      </c>
      <c r="H2639" s="1629" t="s">
        <v>2567</v>
      </c>
      <c r="I2639" s="1629">
        <f t="shared" si="253"/>
        <v>408</v>
      </c>
      <c r="J2639" s="1632" t="s">
        <v>340</v>
      </c>
      <c r="K2639" s="1629">
        <f t="shared" si="252"/>
        <v>1632</v>
      </c>
      <c r="N2639" s="1630"/>
      <c r="Q2639" s="1632"/>
      <c r="W2639" s="1634"/>
      <c r="AD2639" s="1633" t="s">
        <v>2536</v>
      </c>
      <c r="AE2639" s="1630"/>
      <c r="AG2639" s="1698">
        <f>2*3*0.85*0.15*0.0375</f>
        <v>2.8687499999999994E-2</v>
      </c>
      <c r="AH2639" s="1632"/>
    </row>
    <row r="2640" spans="6:35" ht="24" customHeight="1">
      <c r="F2640" s="1629">
        <v>1</v>
      </c>
      <c r="G2640" s="1630" t="s">
        <v>295</v>
      </c>
      <c r="H2640" s="1629" t="s">
        <v>2568</v>
      </c>
      <c r="I2640" s="1629">
        <f t="shared" si="253"/>
        <v>836</v>
      </c>
      <c r="J2640" s="1632" t="s">
        <v>340</v>
      </c>
      <c r="K2640" s="1629">
        <f t="shared" si="252"/>
        <v>836</v>
      </c>
      <c r="M2640" s="1698">
        <f>P2629</f>
        <v>2.2800000000000001E-2</v>
      </c>
      <c r="N2640" s="1630" t="s">
        <v>151</v>
      </c>
      <c r="O2640" s="1629" t="s">
        <v>2541</v>
      </c>
      <c r="P2640" s="1629">
        <f>I2633</f>
        <v>111600</v>
      </c>
      <c r="Q2640" s="1632" t="s">
        <v>151</v>
      </c>
      <c r="R2640" s="1629">
        <f>M2640*P2640</f>
        <v>2544.48</v>
      </c>
      <c r="W2640" s="1634"/>
      <c r="AD2640" s="1633"/>
      <c r="AE2640" s="1630" t="s">
        <v>2537</v>
      </c>
      <c r="AG2640" s="1698">
        <f>2*3*0.85*0.075*0.0375</f>
        <v>1.4343749999999997E-2</v>
      </c>
      <c r="AH2640" s="1632"/>
    </row>
    <row r="2641" spans="6:36" ht="24" customHeight="1">
      <c r="F2641" s="1629">
        <v>2</v>
      </c>
      <c r="G2641" s="1630" t="s">
        <v>295</v>
      </c>
      <c r="H2641" s="1629" t="s">
        <v>5696</v>
      </c>
      <c r="I2641" s="1629">
        <f t="shared" si="253"/>
        <v>7.3</v>
      </c>
      <c r="J2641" s="1632" t="s">
        <v>340</v>
      </c>
      <c r="K2641" s="1629">
        <f t="shared" si="252"/>
        <v>14.6</v>
      </c>
      <c r="M2641" s="1698">
        <f>P2632</f>
        <v>2.7899999999999998E-2</v>
      </c>
      <c r="N2641" s="1630" t="s">
        <v>151</v>
      </c>
      <c r="O2641" s="1629" t="s">
        <v>1797</v>
      </c>
      <c r="P2641" s="1629">
        <f t="shared" ref="P2641:P2649" si="254">I2634</f>
        <v>99400</v>
      </c>
      <c r="Q2641" s="1632" t="s">
        <v>151</v>
      </c>
      <c r="R2641" s="1629">
        <f t="shared" ref="R2641:R2650" si="255">M2641*P2641</f>
        <v>2773.2599999999998</v>
      </c>
      <c r="W2641" s="1634"/>
      <c r="AC2641" s="1633"/>
      <c r="AD2641" s="1633"/>
      <c r="AE2641" s="1630"/>
      <c r="AG2641" s="1809">
        <f>SUM(AG2639:AG2640)</f>
        <v>4.3031249999999993E-2</v>
      </c>
      <c r="AH2641" s="1632"/>
    </row>
    <row r="2642" spans="6:36" ht="24" customHeight="1">
      <c r="F2642" s="1629">
        <v>2</v>
      </c>
      <c r="G2642" s="1630" t="s">
        <v>295</v>
      </c>
      <c r="H2642" s="1629" t="s">
        <v>5229</v>
      </c>
      <c r="I2642" s="1629">
        <f t="shared" si="253"/>
        <v>49.55</v>
      </c>
      <c r="J2642" s="1632" t="s">
        <v>340</v>
      </c>
      <c r="K2642" s="1629">
        <f t="shared" si="252"/>
        <v>99.1</v>
      </c>
      <c r="M2642" s="1723">
        <f>P2637</f>
        <v>2.3799999999999998E-2</v>
      </c>
      <c r="N2642" s="1630" t="s">
        <v>151</v>
      </c>
      <c r="O2642" s="1629" t="s">
        <v>2570</v>
      </c>
      <c r="P2642" s="1629">
        <f t="shared" si="254"/>
        <v>107000</v>
      </c>
      <c r="Q2642" s="1632" t="s">
        <v>151</v>
      </c>
      <c r="R2642" s="1629">
        <f t="shared" si="255"/>
        <v>2546.6</v>
      </c>
      <c r="W2642" s="1634"/>
      <c r="AC2642" s="1633"/>
      <c r="AD2642" s="1633"/>
      <c r="AE2642" s="1630"/>
      <c r="AH2642" s="1632"/>
    </row>
    <row r="2643" spans="6:36" ht="24" customHeight="1">
      <c r="F2643" s="1629">
        <v>118</v>
      </c>
      <c r="H2643" s="1629" t="s">
        <v>1733</v>
      </c>
      <c r="I2643" s="1629">
        <f t="shared" si="253"/>
        <v>2.41</v>
      </c>
      <c r="K2643" s="1629">
        <f t="shared" si="252"/>
        <v>284.38</v>
      </c>
      <c r="M2643" s="1633">
        <v>2.23</v>
      </c>
      <c r="N2643" s="1630" t="s">
        <v>152</v>
      </c>
      <c r="O2643" s="1629" t="s">
        <v>1799</v>
      </c>
      <c r="P2643" s="1629">
        <f t="shared" si="254"/>
        <v>2039.8</v>
      </c>
      <c r="Q2643" s="1632" t="s">
        <v>152</v>
      </c>
      <c r="R2643" s="1629">
        <f t="shared" si="255"/>
        <v>4548.7539999999999</v>
      </c>
      <c r="W2643" s="1634"/>
      <c r="AC2643" s="1633"/>
      <c r="AD2643" s="1633"/>
      <c r="AE2643" s="1630"/>
      <c r="AH2643" s="1632"/>
    </row>
    <row r="2644" spans="6:36" ht="24" customHeight="1">
      <c r="K2644" s="1664"/>
      <c r="M2644" s="1629">
        <v>2</v>
      </c>
      <c r="N2644" s="1630" t="s">
        <v>295</v>
      </c>
      <c r="O2644" s="1661" t="s">
        <v>2565</v>
      </c>
      <c r="P2644" s="1629">
        <f t="shared" si="254"/>
        <v>254.5</v>
      </c>
      <c r="Q2644" s="1632" t="s">
        <v>340</v>
      </c>
      <c r="R2644" s="1629">
        <f t="shared" si="255"/>
        <v>509</v>
      </c>
      <c r="W2644" s="1634"/>
      <c r="AC2644" s="1633"/>
      <c r="AD2644" s="1633" t="s">
        <v>2538</v>
      </c>
      <c r="AE2644" s="1630"/>
      <c r="AG2644" s="1698">
        <f>2*4*0.725*0.3*0.01875</f>
        <v>3.2625000000000001E-2</v>
      </c>
      <c r="AH2644" s="1632"/>
    </row>
    <row r="2645" spans="6:36" ht="24" customHeight="1">
      <c r="G2645" s="1688"/>
      <c r="H2645" s="1661" t="s">
        <v>155</v>
      </c>
      <c r="K2645" s="1661">
        <f>SUM(K2633:K2644)</f>
        <v>19961.852999999996</v>
      </c>
      <c r="L2645" s="1810"/>
      <c r="M2645" s="1629">
        <v>6</v>
      </c>
      <c r="N2645" s="1630" t="s">
        <v>295</v>
      </c>
      <c r="O2645" s="1661" t="s">
        <v>2566</v>
      </c>
      <c r="P2645" s="1629">
        <f t="shared" si="254"/>
        <v>214.1</v>
      </c>
      <c r="Q2645" s="1632" t="s">
        <v>340</v>
      </c>
      <c r="R2645" s="1629">
        <f t="shared" si="255"/>
        <v>1284.5999999999999</v>
      </c>
      <c r="W2645" s="1634"/>
      <c r="AC2645" s="1633"/>
      <c r="AD2645" s="1633" t="s">
        <v>2539</v>
      </c>
      <c r="AE2645" s="1630"/>
      <c r="AG2645" s="1698">
        <f>2*0.725*0.3*0.01875</f>
        <v>8.1562500000000003E-3</v>
      </c>
      <c r="AH2645" s="1632"/>
    </row>
    <row r="2646" spans="6:36" ht="24" customHeight="1">
      <c r="G2646" s="1688"/>
      <c r="H2646" s="1661"/>
      <c r="K2646" s="1664" t="s">
        <v>1810</v>
      </c>
      <c r="M2646" s="1629">
        <v>4</v>
      </c>
      <c r="N2646" s="1630" t="s">
        <v>295</v>
      </c>
      <c r="O2646" s="1661" t="s">
        <v>2567</v>
      </c>
      <c r="P2646" s="1629">
        <f t="shared" si="254"/>
        <v>408</v>
      </c>
      <c r="Q2646" s="1632" t="s">
        <v>340</v>
      </c>
      <c r="R2646" s="1629">
        <f t="shared" si="255"/>
        <v>1632</v>
      </c>
      <c r="W2646" s="1634"/>
      <c r="AC2646" s="1633"/>
      <c r="AD2646" s="1633"/>
      <c r="AE2646" s="1630"/>
      <c r="AG2646" s="1809">
        <f>SUM(AG2644:AG2645)</f>
        <v>4.0781250000000005E-2</v>
      </c>
      <c r="AH2646" s="1632"/>
    </row>
    <row r="2647" spans="6:36" ht="24" customHeight="1">
      <c r="G2647" s="1688"/>
      <c r="H2647" s="1661" t="s">
        <v>1813</v>
      </c>
      <c r="K2647" s="1661">
        <f>K2645/2.835</f>
        <v>7041.2179894179881</v>
      </c>
      <c r="M2647" s="1629">
        <v>1</v>
      </c>
      <c r="N2647" s="1630" t="s">
        <v>295</v>
      </c>
      <c r="O2647" s="1661" t="s">
        <v>2568</v>
      </c>
      <c r="P2647" s="1629">
        <f t="shared" si="254"/>
        <v>836</v>
      </c>
      <c r="Q2647" s="1632" t="s">
        <v>340</v>
      </c>
      <c r="R2647" s="1629">
        <f t="shared" si="255"/>
        <v>836</v>
      </c>
      <c r="W2647" s="1634"/>
      <c r="AC2647" s="1633"/>
      <c r="AD2647" s="1633"/>
      <c r="AE2647" s="1630"/>
      <c r="AF2647" s="1661" t="s">
        <v>2540</v>
      </c>
      <c r="AH2647" s="1632"/>
      <c r="AJ2647" s="1698"/>
    </row>
    <row r="2648" spans="6:36" ht="24" customHeight="1">
      <c r="G2648" s="1688"/>
      <c r="K2648" s="1664" t="s">
        <v>1810</v>
      </c>
      <c r="M2648" s="1629">
        <v>2</v>
      </c>
      <c r="N2648" s="1630" t="s">
        <v>295</v>
      </c>
      <c r="O2648" s="1629" t="s">
        <v>884</v>
      </c>
      <c r="P2648" s="1629">
        <f t="shared" si="254"/>
        <v>7.3</v>
      </c>
      <c r="Q2648" s="1632" t="s">
        <v>340</v>
      </c>
      <c r="R2648" s="1629">
        <f t="shared" si="255"/>
        <v>14.6</v>
      </c>
      <c r="W2648" s="1634"/>
      <c r="AC2648" s="1633"/>
      <c r="AD2648" s="1633"/>
      <c r="AE2648" s="1630"/>
      <c r="AH2648" s="1632"/>
      <c r="AJ2648" s="1698"/>
    </row>
    <row r="2649" spans="6:36" ht="24" customHeight="1">
      <c r="F2649" s="1662" t="s">
        <v>2571</v>
      </c>
      <c r="H2649" s="1627" t="s">
        <v>1800</v>
      </c>
      <c r="M2649" s="1629">
        <v>2</v>
      </c>
      <c r="N2649" s="1630" t="s">
        <v>295</v>
      </c>
      <c r="O2649" s="1629" t="s">
        <v>886</v>
      </c>
      <c r="P2649" s="1629">
        <f t="shared" si="254"/>
        <v>49.55</v>
      </c>
      <c r="Q2649" s="1632" t="s">
        <v>340</v>
      </c>
      <c r="R2649" s="1629">
        <f t="shared" si="255"/>
        <v>99.1</v>
      </c>
      <c r="W2649" s="1634"/>
      <c r="AC2649" s="1633"/>
      <c r="AD2649" s="1698">
        <f>AG2638</f>
        <v>2.2800000000000001E-2</v>
      </c>
      <c r="AE2649" s="1630" t="s">
        <v>151</v>
      </c>
      <c r="AF2649" s="1629" t="s">
        <v>2541</v>
      </c>
      <c r="AG2649" s="1629">
        <f>V2601</f>
        <v>111600</v>
      </c>
      <c r="AH2649" s="1632" t="s">
        <v>151</v>
      </c>
      <c r="AI2649" s="1629">
        <f>AD2649*AG2649</f>
        <v>2544.48</v>
      </c>
      <c r="AJ2649" s="1698"/>
    </row>
    <row r="2650" spans="6:36" ht="24" customHeight="1">
      <c r="H2650" s="1636" t="s">
        <v>21</v>
      </c>
      <c r="I2650" s="1636" t="s">
        <v>21</v>
      </c>
      <c r="J2650" s="1627" t="s">
        <v>21</v>
      </c>
      <c r="M2650" s="1629">
        <v>118</v>
      </c>
      <c r="N2650" s="1630"/>
      <c r="O2650" s="1629" t="s">
        <v>1733</v>
      </c>
      <c r="P2650" s="1629">
        <f>P2831</f>
        <v>2.41</v>
      </c>
      <c r="Q2650" s="1632"/>
      <c r="R2650" s="1629">
        <f t="shared" si="255"/>
        <v>284.38</v>
      </c>
      <c r="W2650" s="1634"/>
      <c r="AC2650" s="1633"/>
      <c r="AD2650" s="1698">
        <f>AG2641</f>
        <v>4.3031249999999993E-2</v>
      </c>
      <c r="AE2650" s="1630" t="s">
        <v>151</v>
      </c>
      <c r="AF2650" s="1629" t="s">
        <v>1797</v>
      </c>
      <c r="AG2650" s="1629">
        <f t="shared" ref="AG2650:AG2660" si="256">V2602</f>
        <v>99400</v>
      </c>
      <c r="AH2650" s="1632" t="s">
        <v>151</v>
      </c>
      <c r="AI2650" s="1629">
        <f t="shared" ref="AI2650:AI2660" si="257">AD2650*AG2650</f>
        <v>4277.3062499999996</v>
      </c>
      <c r="AJ2650" s="1698"/>
    </row>
    <row r="2651" spans="6:36" ht="37.5" customHeight="1">
      <c r="N2651" s="1630"/>
      <c r="Q2651" s="1632"/>
      <c r="R2651" s="1664" t="s">
        <v>1810</v>
      </c>
      <c r="W2651" s="1634"/>
      <c r="AC2651" s="1633"/>
      <c r="AD2651" s="1698">
        <f>AG2646</f>
        <v>4.0781250000000005E-2</v>
      </c>
      <c r="AE2651" s="1630" t="s">
        <v>151</v>
      </c>
      <c r="AF2651" s="1778" t="s">
        <v>2570</v>
      </c>
      <c r="AG2651" s="1629">
        <f t="shared" si="256"/>
        <v>107000</v>
      </c>
      <c r="AH2651" s="1632" t="s">
        <v>151</v>
      </c>
      <c r="AI2651" s="1629">
        <f t="shared" si="257"/>
        <v>4363.5937500000009</v>
      </c>
      <c r="AJ2651" s="1698"/>
    </row>
    <row r="2652" spans="6:36" ht="34.5" customHeight="1">
      <c r="H2652" s="1627" t="s">
        <v>1804</v>
      </c>
      <c r="N2652" s="1688"/>
      <c r="O2652" s="1661" t="s">
        <v>155</v>
      </c>
      <c r="Q2652" s="1632"/>
      <c r="R2652" s="1661">
        <f>SUM(R2640:R2650)</f>
        <v>17072.774000000001</v>
      </c>
      <c r="W2652" s="1634"/>
      <c r="AC2652" s="1633"/>
      <c r="AD2652" s="1698">
        <f>AG2637</f>
        <v>3.4424999999999999</v>
      </c>
      <c r="AE2652" s="1630" t="s">
        <v>152</v>
      </c>
      <c r="AF2652" s="1778" t="s">
        <v>1799</v>
      </c>
      <c r="AG2652" s="1629">
        <f t="shared" si="256"/>
        <v>2039.8</v>
      </c>
      <c r="AH2652" s="1632" t="s">
        <v>152</v>
      </c>
      <c r="AI2652" s="1629">
        <f t="shared" si="257"/>
        <v>7022.0114999999996</v>
      </c>
      <c r="AJ2652" s="1698"/>
    </row>
    <row r="2653" spans="6:36" ht="24" customHeight="1">
      <c r="H2653" s="1627"/>
      <c r="N2653" s="1688"/>
      <c r="O2653" s="1661"/>
      <c r="Q2653" s="1632"/>
      <c r="R2653" s="1664" t="s">
        <v>1810</v>
      </c>
      <c r="W2653" s="1634"/>
      <c r="AC2653" s="1633"/>
      <c r="AD2653" s="1633">
        <v>2</v>
      </c>
      <c r="AE2653" s="1630" t="s">
        <v>295</v>
      </c>
      <c r="AF2653" s="1629" t="s">
        <v>2565</v>
      </c>
      <c r="AG2653" s="1695">
        <v>450</v>
      </c>
      <c r="AH2653" s="1632" t="s">
        <v>340</v>
      </c>
      <c r="AI2653" s="1629">
        <f t="shared" si="257"/>
        <v>900</v>
      </c>
      <c r="AJ2653" s="1698"/>
    </row>
    <row r="2654" spans="6:36" ht="24" customHeight="1">
      <c r="H2654" s="1627" t="s">
        <v>1806</v>
      </c>
      <c r="N2654" s="1688"/>
      <c r="O2654" s="1661" t="s">
        <v>2572</v>
      </c>
      <c r="Q2654" s="1632"/>
      <c r="R2654" s="1661">
        <f>R2652/M2643</f>
        <v>7655.9524663677139</v>
      </c>
      <c r="W2654" s="1634"/>
      <c r="AC2654" s="1633"/>
      <c r="AD2654" s="1633">
        <v>6</v>
      </c>
      <c r="AE2654" s="1630" t="s">
        <v>295</v>
      </c>
      <c r="AF2654" s="1629" t="s">
        <v>2566</v>
      </c>
      <c r="AG2654" s="1695">
        <v>79</v>
      </c>
      <c r="AH2654" s="1632" t="s">
        <v>340</v>
      </c>
      <c r="AI2654" s="1629">
        <f t="shared" si="257"/>
        <v>474</v>
      </c>
      <c r="AJ2654" s="1698"/>
    </row>
    <row r="2655" spans="6:36" ht="24" customHeight="1">
      <c r="H2655" s="1627" t="s">
        <v>1807</v>
      </c>
      <c r="N2655" s="1688"/>
      <c r="Q2655" s="1632"/>
      <c r="R2655" s="1664" t="s">
        <v>1810</v>
      </c>
      <c r="W2655" s="1634"/>
      <c r="AC2655" s="1698"/>
      <c r="AD2655" s="1633">
        <v>4</v>
      </c>
      <c r="AE2655" s="1630" t="s">
        <v>295</v>
      </c>
      <c r="AF2655" s="1629" t="s">
        <v>2567</v>
      </c>
      <c r="AG2655" s="1695">
        <v>130</v>
      </c>
      <c r="AH2655" s="1632" t="s">
        <v>340</v>
      </c>
      <c r="AI2655" s="1629">
        <f t="shared" si="257"/>
        <v>520</v>
      </c>
      <c r="AJ2655" s="1698"/>
    </row>
    <row r="2656" spans="6:36" ht="24" customHeight="1">
      <c r="H2656" s="1627" t="s">
        <v>1808</v>
      </c>
      <c r="M2656" s="1629" t="s">
        <v>2571</v>
      </c>
      <c r="O2656" s="1629" t="s">
        <v>1800</v>
      </c>
      <c r="W2656" s="1634"/>
      <c r="AC2656" s="1698"/>
      <c r="AD2656" s="1633">
        <v>1</v>
      </c>
      <c r="AE2656" s="1630" t="s">
        <v>295</v>
      </c>
      <c r="AF2656" s="1629" t="s">
        <v>2568</v>
      </c>
      <c r="AG2656" s="1695">
        <v>985</v>
      </c>
      <c r="AH2656" s="1632" t="s">
        <v>340</v>
      </c>
      <c r="AI2656" s="1629">
        <f t="shared" si="257"/>
        <v>985</v>
      </c>
      <c r="AJ2656" s="1698"/>
    </row>
    <row r="2657" spans="6:36" ht="24" customHeight="1">
      <c r="H2657" s="1627" t="s">
        <v>1809</v>
      </c>
      <c r="O2657" s="1629" t="s">
        <v>21</v>
      </c>
      <c r="P2657" s="1629" t="s">
        <v>21</v>
      </c>
      <c r="Q2657" s="1629" t="s">
        <v>21</v>
      </c>
      <c r="W2657" s="1634"/>
      <c r="AC2657" s="1698"/>
      <c r="AD2657" s="1633">
        <v>2</v>
      </c>
      <c r="AE2657" s="1630" t="s">
        <v>295</v>
      </c>
      <c r="AF2657" s="1629" t="s">
        <v>2569</v>
      </c>
      <c r="AG2657" s="1629">
        <v>24.6</v>
      </c>
      <c r="AH2657" s="1632" t="s">
        <v>340</v>
      </c>
      <c r="AI2657" s="1629">
        <f t="shared" si="257"/>
        <v>49.2</v>
      </c>
      <c r="AJ2657" s="1698"/>
    </row>
    <row r="2658" spans="6:36" ht="24" customHeight="1">
      <c r="H2658" s="1627" t="s">
        <v>2573</v>
      </c>
      <c r="J2658" s="1627" t="s">
        <v>150</v>
      </c>
      <c r="K2658" s="1691">
        <v>3.7699999999999997E-2</v>
      </c>
      <c r="W2658" s="1634"/>
      <c r="AC2658" s="1698"/>
      <c r="AD2658" s="1633">
        <v>2</v>
      </c>
      <c r="AE2658" s="1630" t="s">
        <v>295</v>
      </c>
      <c r="AF2658" s="1629" t="s">
        <v>886</v>
      </c>
      <c r="AG2658" s="1629">
        <f t="shared" si="256"/>
        <v>49.55</v>
      </c>
      <c r="AH2658" s="1632" t="s">
        <v>340</v>
      </c>
      <c r="AI2658" s="1629">
        <f t="shared" si="257"/>
        <v>99.1</v>
      </c>
    </row>
    <row r="2659" spans="6:36" ht="24" customHeight="1">
      <c r="H2659" s="1627" t="s">
        <v>2574</v>
      </c>
      <c r="J2659" s="1710" t="s">
        <v>150</v>
      </c>
      <c r="K2659" s="1710" t="s">
        <v>150</v>
      </c>
      <c r="O2659" s="1629" t="s">
        <v>1804</v>
      </c>
      <c r="W2659" s="1634"/>
      <c r="AC2659" s="1633"/>
      <c r="AD2659" s="1633"/>
      <c r="AE2659" s="1630"/>
      <c r="AG2659" s="1629">
        <f t="shared" si="256"/>
        <v>0</v>
      </c>
      <c r="AH2659" s="1632"/>
      <c r="AI2659" s="1629">
        <f t="shared" si="257"/>
        <v>0</v>
      </c>
    </row>
    <row r="2660" spans="6:36" ht="24" customHeight="1">
      <c r="H2660" s="1627" t="s">
        <v>1814</v>
      </c>
      <c r="K2660" s="1710" t="s">
        <v>150</v>
      </c>
      <c r="W2660" s="1634"/>
      <c r="AC2660" s="1633"/>
      <c r="AD2660" s="1633">
        <v>118</v>
      </c>
      <c r="AE2660" s="1630"/>
      <c r="AF2660" s="1629" t="s">
        <v>1733</v>
      </c>
      <c r="AG2660" s="1629">
        <f t="shared" si="256"/>
        <v>2.41</v>
      </c>
      <c r="AH2660" s="1632"/>
      <c r="AI2660" s="1629">
        <f t="shared" si="257"/>
        <v>284.38</v>
      </c>
    </row>
    <row r="2661" spans="6:36" ht="24" customHeight="1">
      <c r="O2661" s="1629" t="s">
        <v>1806</v>
      </c>
      <c r="W2661" s="1634"/>
      <c r="AC2661" s="1633"/>
      <c r="AD2661" s="1633"/>
      <c r="AE2661" s="1688"/>
      <c r="AF2661" s="1661" t="s">
        <v>155</v>
      </c>
      <c r="AH2661" s="1632"/>
      <c r="AI2661" s="1661">
        <f>SUM(AI2649:AI2660)</f>
        <v>21519.071500000002</v>
      </c>
    </row>
    <row r="2662" spans="6:36" ht="24" customHeight="1">
      <c r="F2662" s="1715">
        <v>1.18E-2</v>
      </c>
      <c r="G2662" s="1638" t="s">
        <v>151</v>
      </c>
      <c r="H2662" s="1627" t="s">
        <v>877</v>
      </c>
      <c r="I2662" s="1640">
        <f>AE26</f>
        <v>111600</v>
      </c>
      <c r="J2662" s="1627" t="s">
        <v>151</v>
      </c>
      <c r="K2662" s="1640">
        <f t="shared" ref="K2662:K2671" si="258">(F2662*I2662)</f>
        <v>1316.8799999999999</v>
      </c>
      <c r="O2662" s="1629" t="s">
        <v>1807</v>
      </c>
      <c r="W2662" s="1634"/>
      <c r="AC2662" s="1633"/>
      <c r="AD2662" s="1633"/>
      <c r="AE2662" s="1688"/>
      <c r="AF2662" s="1661"/>
      <c r="AH2662" s="1632"/>
      <c r="AI2662" s="1664" t="s">
        <v>1810</v>
      </c>
    </row>
    <row r="2663" spans="6:36" ht="24" customHeight="1">
      <c r="F2663" s="1715">
        <v>3.7699999999999997E-2</v>
      </c>
      <c r="G2663" s="1638" t="s">
        <v>151</v>
      </c>
      <c r="H2663" s="1627" t="s">
        <v>878</v>
      </c>
      <c r="I2663" s="1640">
        <f>AE27</f>
        <v>99400</v>
      </c>
      <c r="J2663" s="1627" t="s">
        <v>151</v>
      </c>
      <c r="K2663" s="1640">
        <f t="shared" si="258"/>
        <v>3747.3799999999997</v>
      </c>
      <c r="O2663" s="1629" t="s">
        <v>1808</v>
      </c>
      <c r="W2663" s="1634"/>
      <c r="AC2663" s="1633"/>
      <c r="AD2663" s="1633"/>
      <c r="AE2663" s="1688"/>
      <c r="AF2663" s="1661" t="s">
        <v>2549</v>
      </c>
      <c r="AH2663" s="1632"/>
      <c r="AI2663" s="1661">
        <f>AI2661/3.4425</f>
        <v>6251.0011619462612</v>
      </c>
    </row>
    <row r="2664" spans="6:36" ht="24" customHeight="1">
      <c r="F2664" s="1715">
        <v>1.8550000000000001E-2</v>
      </c>
      <c r="G2664" s="1638" t="s">
        <v>151</v>
      </c>
      <c r="H2664" s="1627" t="s">
        <v>1815</v>
      </c>
      <c r="I2664" s="1640">
        <f>AG33</f>
        <v>18172</v>
      </c>
      <c r="J2664" s="1627" t="s">
        <v>151</v>
      </c>
      <c r="K2664" s="1640">
        <f t="shared" si="258"/>
        <v>337.09059999999999</v>
      </c>
      <c r="O2664" s="1629" t="s">
        <v>1809</v>
      </c>
      <c r="W2664" s="1634"/>
      <c r="AC2664" s="1633"/>
      <c r="AD2664" s="1630"/>
      <c r="AG2664" s="1632"/>
    </row>
    <row r="2665" spans="6:36" ht="24" customHeight="1">
      <c r="F2665" s="1715">
        <v>1.36</v>
      </c>
      <c r="G2665" s="1638" t="s">
        <v>152</v>
      </c>
      <c r="H2665" s="1627" t="s">
        <v>1816</v>
      </c>
      <c r="I2665" s="1690">
        <v>269.10000000000002</v>
      </c>
      <c r="J2665" s="1627" t="s">
        <v>152</v>
      </c>
      <c r="K2665" s="1640">
        <f t="shared" si="258"/>
        <v>365.97600000000006</v>
      </c>
      <c r="O2665" s="1629" t="s">
        <v>2573</v>
      </c>
      <c r="Q2665" s="1629" t="s">
        <v>150</v>
      </c>
      <c r="R2665" s="1629">
        <v>0.04</v>
      </c>
      <c r="W2665" s="1634"/>
      <c r="AC2665" s="1633"/>
      <c r="AD2665" s="1630"/>
      <c r="AG2665" s="1632"/>
    </row>
    <row r="2666" spans="6:36" ht="24" customHeight="1">
      <c r="F2666" s="1715">
        <v>2.0499999999999998</v>
      </c>
      <c r="G2666" s="1638" t="s">
        <v>152</v>
      </c>
      <c r="H2666" s="1627" t="s">
        <v>1817</v>
      </c>
      <c r="I2666" s="1640">
        <f>D30</f>
        <v>1701</v>
      </c>
      <c r="J2666" s="1627" t="s">
        <v>152</v>
      </c>
      <c r="K2666" s="1640">
        <f t="shared" si="258"/>
        <v>3487.0499999999997</v>
      </c>
      <c r="O2666" s="1629" t="s">
        <v>2574</v>
      </c>
      <c r="Q2666" s="1629" t="s">
        <v>150</v>
      </c>
      <c r="R2666" s="1629" t="s">
        <v>150</v>
      </c>
      <c r="W2666" s="1634"/>
      <c r="AC2666" s="1633"/>
      <c r="AD2666" s="1630"/>
      <c r="AG2666" s="1632"/>
    </row>
    <row r="2667" spans="6:36" ht="24" customHeight="1">
      <c r="F2667" s="1640">
        <v>2</v>
      </c>
      <c r="G2667" s="1638" t="s">
        <v>153</v>
      </c>
      <c r="H2667" s="1627" t="s">
        <v>2575</v>
      </c>
      <c r="I2667" s="1640">
        <f>E285</f>
        <v>57</v>
      </c>
      <c r="J2667" s="1627" t="s">
        <v>153</v>
      </c>
      <c r="K2667" s="1640">
        <f t="shared" si="258"/>
        <v>114</v>
      </c>
      <c r="O2667" s="1629" t="s">
        <v>1814</v>
      </c>
      <c r="R2667" s="1629" t="s">
        <v>150</v>
      </c>
      <c r="W2667" s="1634"/>
      <c r="AC2667" s="1633"/>
      <c r="AD2667" s="1688"/>
      <c r="AE2667" s="1661"/>
      <c r="AG2667" s="1632"/>
      <c r="AH2667" s="1661"/>
    </row>
    <row r="2668" spans="6:36" ht="24" customHeight="1">
      <c r="F2668" s="1640">
        <v>6</v>
      </c>
      <c r="G2668" s="1638" t="s">
        <v>153</v>
      </c>
      <c r="H2668" s="1627" t="s">
        <v>1776</v>
      </c>
      <c r="I2668" s="1640">
        <f>C282</f>
        <v>49.35</v>
      </c>
      <c r="J2668" s="1627" t="s">
        <v>153</v>
      </c>
      <c r="K2668" s="1640">
        <f t="shared" si="258"/>
        <v>296.10000000000002</v>
      </c>
      <c r="W2668" s="1634"/>
      <c r="AC2668" s="1633"/>
      <c r="AD2668" s="1688"/>
      <c r="AE2668" s="1661"/>
      <c r="AG2668" s="1632"/>
      <c r="AH2668" s="1664"/>
    </row>
    <row r="2669" spans="6:36" ht="24" customHeight="1">
      <c r="F2669" s="1640">
        <v>2</v>
      </c>
      <c r="G2669" s="1638" t="s">
        <v>153</v>
      </c>
      <c r="H2669" s="1700" t="s">
        <v>2576</v>
      </c>
      <c r="I2669" s="1640">
        <f>I1134</f>
        <v>60.9</v>
      </c>
      <c r="J2669" s="1627" t="s">
        <v>153</v>
      </c>
      <c r="K2669" s="1640">
        <f t="shared" si="258"/>
        <v>121.8</v>
      </c>
      <c r="M2669" s="1629">
        <v>0.01</v>
      </c>
      <c r="N2669" s="1629" t="s">
        <v>151</v>
      </c>
      <c r="O2669" s="1629" t="s">
        <v>877</v>
      </c>
      <c r="P2669" s="1629">
        <f>I2662</f>
        <v>111600</v>
      </c>
      <c r="Q2669" s="1629" t="s">
        <v>151</v>
      </c>
      <c r="R2669" s="1629">
        <v>764.29</v>
      </c>
      <c r="W2669" s="1634"/>
      <c r="AC2669" s="1633"/>
      <c r="AD2669" s="1688"/>
      <c r="AE2669" s="1661"/>
      <c r="AG2669" s="1632"/>
      <c r="AH2669" s="1661"/>
    </row>
    <row r="2670" spans="6:36" ht="24" customHeight="1">
      <c r="F2670" s="1640">
        <v>1</v>
      </c>
      <c r="G2670" s="1638" t="s">
        <v>153</v>
      </c>
      <c r="H2670" s="1627" t="s">
        <v>2577</v>
      </c>
      <c r="I2670" s="1690">
        <f>I1135</f>
        <v>63.2</v>
      </c>
      <c r="J2670" s="1627" t="s">
        <v>153</v>
      </c>
      <c r="K2670" s="1640">
        <f t="shared" si="258"/>
        <v>63.2</v>
      </c>
      <c r="M2670" s="1629">
        <v>0.04</v>
      </c>
      <c r="N2670" s="1629" t="s">
        <v>151</v>
      </c>
      <c r="O2670" s="1629" t="s">
        <v>878</v>
      </c>
      <c r="P2670" s="1629">
        <f>I2663</f>
        <v>99400</v>
      </c>
      <c r="Q2670" s="1629" t="s">
        <v>151</v>
      </c>
      <c r="R2670" s="1629">
        <v>2172.65</v>
      </c>
      <c r="W2670" s="1634"/>
      <c r="AC2670" s="1633"/>
    </row>
    <row r="2671" spans="6:36" ht="24" customHeight="1">
      <c r="F2671" s="1640">
        <v>2.52</v>
      </c>
      <c r="G2671" s="1638" t="s">
        <v>152</v>
      </c>
      <c r="H2671" s="1627" t="s">
        <v>1821</v>
      </c>
      <c r="I2671" s="1640">
        <f>K1167</f>
        <v>246.54000000000002</v>
      </c>
      <c r="J2671" s="1627" t="s">
        <v>152</v>
      </c>
      <c r="K2671" s="1640">
        <f t="shared" si="258"/>
        <v>621.2808</v>
      </c>
      <c r="M2671" s="1629">
        <v>0.02</v>
      </c>
      <c r="N2671" s="1629" t="s">
        <v>151</v>
      </c>
      <c r="O2671" s="1629" t="s">
        <v>1815</v>
      </c>
      <c r="P2671" s="1629">
        <f>I2664</f>
        <v>18172</v>
      </c>
      <c r="Q2671" s="1629" t="s">
        <v>151</v>
      </c>
      <c r="R2671" s="1629">
        <v>56.02</v>
      </c>
      <c r="W2671" s="1634"/>
    </row>
    <row r="2672" spans="6:36" ht="24" customHeight="1">
      <c r="H2672" s="1627" t="s">
        <v>1822</v>
      </c>
      <c r="I2672" s="1628" t="s">
        <v>226</v>
      </c>
      <c r="K2672" s="1640">
        <v>2.13</v>
      </c>
      <c r="M2672" s="1629">
        <v>1.36</v>
      </c>
      <c r="N2672" s="1629" t="s">
        <v>152</v>
      </c>
      <c r="O2672" s="1629" t="s">
        <v>1816</v>
      </c>
      <c r="P2672" s="1734">
        <v>385.89</v>
      </c>
      <c r="Q2672" s="1629" t="s">
        <v>152</v>
      </c>
      <c r="R2672" s="1629">
        <v>524.80999999999995</v>
      </c>
      <c r="W2672" s="1634"/>
    </row>
    <row r="2673" spans="6:23" ht="24" customHeight="1">
      <c r="H2673" s="1661"/>
      <c r="I2673" s="1661"/>
      <c r="J2673" s="1676"/>
      <c r="K2673" s="1679" t="s">
        <v>21</v>
      </c>
      <c r="M2673" s="1629">
        <v>2.0499999999999998</v>
      </c>
      <c r="N2673" s="1629" t="s">
        <v>152</v>
      </c>
      <c r="O2673" s="1629" t="s">
        <v>1817</v>
      </c>
      <c r="P2673" s="1629">
        <f t="shared" ref="P2673:P2678" si="259">I2666</f>
        <v>1701</v>
      </c>
      <c r="Q2673" s="1629" t="s">
        <v>152</v>
      </c>
      <c r="R2673" s="1629">
        <v>586.29999999999995</v>
      </c>
      <c r="W2673" s="1634"/>
    </row>
    <row r="2674" spans="6:23" ht="24" customHeight="1">
      <c r="H2674" s="1641" t="s">
        <v>1823</v>
      </c>
      <c r="I2674" s="1661"/>
      <c r="J2674" s="1676"/>
      <c r="K2674" s="1639">
        <f>SUM(K2662:K2672)</f>
        <v>10472.8874</v>
      </c>
      <c r="M2674" s="1629">
        <v>2</v>
      </c>
      <c r="N2674" s="1629" t="s">
        <v>153</v>
      </c>
      <c r="O2674" s="1629" t="s">
        <v>2575</v>
      </c>
      <c r="P2674" s="1629">
        <f t="shared" si="259"/>
        <v>57</v>
      </c>
      <c r="Q2674" s="1629" t="s">
        <v>153</v>
      </c>
      <c r="R2674" s="1629">
        <v>50</v>
      </c>
      <c r="W2674" s="1634"/>
    </row>
    <row r="2675" spans="6:23" ht="24" customHeight="1">
      <c r="G2675" s="1638" t="s">
        <v>150</v>
      </c>
      <c r="H2675" s="1661"/>
      <c r="I2675" s="1661"/>
      <c r="J2675" s="1676"/>
      <c r="K2675" s="1679" t="s">
        <v>21</v>
      </c>
      <c r="M2675" s="1629">
        <v>6</v>
      </c>
      <c r="N2675" s="1629" t="s">
        <v>153</v>
      </c>
      <c r="O2675" s="1629" t="s">
        <v>1776</v>
      </c>
      <c r="P2675" s="1629">
        <f t="shared" si="259"/>
        <v>49.35</v>
      </c>
      <c r="Q2675" s="1629" t="s">
        <v>153</v>
      </c>
      <c r="R2675" s="1629">
        <v>150</v>
      </c>
      <c r="W2675" s="1634"/>
    </row>
    <row r="2676" spans="6:23" ht="24" customHeight="1">
      <c r="H2676" s="1641" t="s">
        <v>155</v>
      </c>
      <c r="I2676" s="1661"/>
      <c r="J2676" s="1676"/>
      <c r="K2676" s="1639">
        <f>K2674/2.52</f>
        <v>4155.9076984126987</v>
      </c>
      <c r="M2676" s="1629">
        <v>2</v>
      </c>
      <c r="N2676" s="1629" t="s">
        <v>153</v>
      </c>
      <c r="O2676" s="1629" t="s">
        <v>2578</v>
      </c>
      <c r="P2676" s="1629">
        <f t="shared" si="259"/>
        <v>60.9</v>
      </c>
      <c r="Q2676" s="1629" t="s">
        <v>153</v>
      </c>
      <c r="R2676" s="1629">
        <v>70</v>
      </c>
      <c r="W2676" s="1634"/>
    </row>
    <row r="2677" spans="6:23" ht="24" customHeight="1">
      <c r="H2677" s="1661"/>
      <c r="I2677" s="1661"/>
      <c r="J2677" s="1676"/>
      <c r="K2677" s="1679" t="s">
        <v>156</v>
      </c>
      <c r="M2677" s="1629">
        <v>1</v>
      </c>
      <c r="N2677" s="1629" t="s">
        <v>153</v>
      </c>
      <c r="O2677" s="1629" t="s">
        <v>2577</v>
      </c>
      <c r="P2677" s="1629">
        <f t="shared" si="259"/>
        <v>63.2</v>
      </c>
      <c r="Q2677" s="1629" t="s">
        <v>153</v>
      </c>
      <c r="R2677" s="1629">
        <v>60</v>
      </c>
      <c r="W2677" s="1634"/>
    </row>
    <row r="2678" spans="6:23" ht="24" customHeight="1">
      <c r="H2678" s="1661"/>
      <c r="I2678" s="1661"/>
      <c r="J2678" s="1676"/>
      <c r="K2678" s="1661"/>
      <c r="M2678" s="1629">
        <v>2.52</v>
      </c>
      <c r="N2678" s="1629" t="s">
        <v>152</v>
      </c>
      <c r="O2678" s="1629" t="s">
        <v>1821</v>
      </c>
      <c r="P2678" s="1629">
        <f t="shared" si="259"/>
        <v>246.54000000000002</v>
      </c>
      <c r="Q2678" s="1629" t="s">
        <v>152</v>
      </c>
      <c r="R2678" s="1629">
        <v>124.71</v>
      </c>
      <c r="W2678" s="1634"/>
    </row>
    <row r="2679" spans="6:23" ht="24" customHeight="1">
      <c r="F2679" s="1810" t="s">
        <v>2579</v>
      </c>
      <c r="G2679" s="1810"/>
      <c r="H2679" s="1810"/>
      <c r="I2679" s="1810"/>
      <c r="J2679" s="1810"/>
      <c r="K2679" s="1810"/>
      <c r="O2679" s="1629" t="s">
        <v>1822</v>
      </c>
      <c r="P2679" s="1629" t="s">
        <v>226</v>
      </c>
      <c r="R2679" s="1629">
        <v>0.28000000000000003</v>
      </c>
      <c r="W2679" s="1634"/>
    </row>
    <row r="2680" spans="6:23" ht="24" customHeight="1">
      <c r="F2680" s="1811">
        <v>4</v>
      </c>
      <c r="G2680" s="1630" t="s">
        <v>1717</v>
      </c>
      <c r="H2680" s="1629" t="s">
        <v>2580</v>
      </c>
      <c r="I2680" s="1629">
        <f>C394</f>
        <v>151.4</v>
      </c>
      <c r="J2680" s="1632" t="s">
        <v>2581</v>
      </c>
      <c r="K2680" s="1811">
        <f>I2680*F2680</f>
        <v>605.6</v>
      </c>
      <c r="R2680" s="1629" t="s">
        <v>21</v>
      </c>
      <c r="W2680" s="1634"/>
    </row>
    <row r="2681" spans="6:23" ht="24" customHeight="1">
      <c r="F2681" s="1811">
        <v>2.52</v>
      </c>
      <c r="G2681" s="1630" t="s">
        <v>2581</v>
      </c>
      <c r="H2681" s="1629" t="s">
        <v>2582</v>
      </c>
      <c r="I2681" s="1629">
        <f>C34/1000</f>
        <v>53</v>
      </c>
      <c r="J2681" s="1632" t="s">
        <v>13</v>
      </c>
      <c r="K2681" s="1811">
        <f t="shared" ref="K2681:K2687" si="260">I2681*F2681</f>
        <v>133.56</v>
      </c>
      <c r="O2681" s="1629" t="s">
        <v>1823</v>
      </c>
      <c r="R2681" s="1629">
        <v>4559.0600000000004</v>
      </c>
      <c r="W2681" s="1634"/>
    </row>
    <row r="2682" spans="6:23" ht="16.5" customHeight="1">
      <c r="F2682" s="1811">
        <v>1.1299999999999999</v>
      </c>
      <c r="G2682" s="1630" t="s">
        <v>2581</v>
      </c>
      <c r="H2682" s="1629" t="s">
        <v>2583</v>
      </c>
      <c r="I2682" s="1629">
        <f>I2681</f>
        <v>53</v>
      </c>
      <c r="J2682" s="1632" t="s">
        <v>13</v>
      </c>
      <c r="K2682" s="1811">
        <f t="shared" si="260"/>
        <v>59.889999999999993</v>
      </c>
      <c r="N2682" s="1629" t="s">
        <v>150</v>
      </c>
      <c r="R2682" s="1629" t="s">
        <v>21</v>
      </c>
      <c r="W2682" s="1634"/>
    </row>
    <row r="2683" spans="6:23" ht="53.25" customHeight="1">
      <c r="F2683" s="1811">
        <v>0.35</v>
      </c>
      <c r="G2683" s="1630" t="s">
        <v>13</v>
      </c>
      <c r="H2683" s="1629" t="s">
        <v>2584</v>
      </c>
      <c r="I2683" s="1629">
        <f>I2682</f>
        <v>53</v>
      </c>
      <c r="J2683" s="1632" t="s">
        <v>13</v>
      </c>
      <c r="K2683" s="1811">
        <f t="shared" si="260"/>
        <v>18.549999999999997</v>
      </c>
      <c r="O2683" s="1629" t="s">
        <v>155</v>
      </c>
      <c r="R2683" s="1629">
        <v>1809.15</v>
      </c>
      <c r="W2683" s="1634"/>
    </row>
    <row r="2684" spans="6:23" ht="51" customHeight="1">
      <c r="F2684" s="1811">
        <v>4</v>
      </c>
      <c r="G2684" s="1630" t="s">
        <v>13</v>
      </c>
      <c r="H2684" s="1629" t="s">
        <v>2585</v>
      </c>
      <c r="I2684" s="1629">
        <f>C37</f>
        <v>73.5</v>
      </c>
      <c r="J2684" s="1632" t="s">
        <v>13</v>
      </c>
      <c r="K2684" s="1811">
        <f t="shared" si="260"/>
        <v>294</v>
      </c>
      <c r="R2684" s="1629" t="s">
        <v>156</v>
      </c>
      <c r="W2684" s="1634"/>
    </row>
    <row r="2685" spans="6:23" ht="24" customHeight="1">
      <c r="F2685" s="1811">
        <v>6</v>
      </c>
      <c r="G2685" s="1630" t="s">
        <v>1717</v>
      </c>
      <c r="H2685" s="1629" t="s">
        <v>2586</v>
      </c>
      <c r="I2685" s="1629">
        <v>1</v>
      </c>
      <c r="J2685" s="1632" t="s">
        <v>340</v>
      </c>
      <c r="K2685" s="1811">
        <f t="shared" si="260"/>
        <v>6</v>
      </c>
      <c r="W2685" s="1634"/>
    </row>
    <row r="2686" spans="6:23" ht="24" customHeight="1">
      <c r="F2686" s="1811">
        <v>0.5</v>
      </c>
      <c r="G2686" s="1630" t="s">
        <v>1717</v>
      </c>
      <c r="H2686" s="1629" t="s">
        <v>537</v>
      </c>
      <c r="I2686" s="1629">
        <f>C12</f>
        <v>865.19999999999993</v>
      </c>
      <c r="J2686" s="1632" t="s">
        <v>340</v>
      </c>
      <c r="K2686" s="1811">
        <f t="shared" si="260"/>
        <v>432.59999999999997</v>
      </c>
      <c r="W2686" s="1634"/>
    </row>
    <row r="2687" spans="6:23" ht="24" customHeight="1">
      <c r="F2687" s="1811">
        <v>0.5</v>
      </c>
      <c r="G2687" s="1630" t="s">
        <v>1717</v>
      </c>
      <c r="H2687" s="1629" t="s">
        <v>332</v>
      </c>
      <c r="I2687" s="1629">
        <f>C13</f>
        <v>709.8</v>
      </c>
      <c r="J2687" s="1632" t="s">
        <v>340</v>
      </c>
      <c r="K2687" s="1811">
        <f t="shared" si="260"/>
        <v>354.9</v>
      </c>
      <c r="W2687" s="1634"/>
    </row>
    <row r="2688" spans="6:23" ht="24" customHeight="1">
      <c r="G2688" s="1630" t="s">
        <v>226</v>
      </c>
      <c r="H2688" s="1629" t="s">
        <v>2587</v>
      </c>
      <c r="I2688" s="1694" t="s">
        <v>226</v>
      </c>
      <c r="K2688" s="1629">
        <v>21.69</v>
      </c>
      <c r="L2688" s="1629">
        <f>24*176</f>
        <v>4224</v>
      </c>
      <c r="W2688" s="1634"/>
    </row>
    <row r="2689" spans="6:23" ht="24" customHeight="1">
      <c r="G2689" s="1629"/>
      <c r="H2689" s="1735" t="s">
        <v>2588</v>
      </c>
      <c r="K2689" s="1812">
        <f>SUM(K2680:K2688)</f>
        <v>1926.79</v>
      </c>
      <c r="W2689" s="1634"/>
    </row>
    <row r="2690" spans="6:23" ht="24" customHeight="1">
      <c r="G2690" s="1629"/>
      <c r="H2690" s="1735" t="s">
        <v>2485</v>
      </c>
      <c r="K2690" s="1812">
        <f>K2689/2</f>
        <v>963.39499999999998</v>
      </c>
      <c r="W2690" s="1634"/>
    </row>
    <row r="2691" spans="6:23" ht="24" customHeight="1">
      <c r="G2691" s="1629"/>
      <c r="L2691" s="1629">
        <f>K2725+K2716</f>
        <v>248.65899999999999</v>
      </c>
      <c r="W2691" s="1634"/>
    </row>
    <row r="2692" spans="6:23" ht="24" customHeight="1">
      <c r="H2692" s="1629" t="s">
        <v>2589</v>
      </c>
      <c r="W2692" s="1634"/>
    </row>
    <row r="2693" spans="6:23" ht="24" customHeight="1">
      <c r="W2693" s="1634"/>
    </row>
    <row r="2694" spans="6:23" ht="24" customHeight="1">
      <c r="H2694" s="1774" t="s">
        <v>2590</v>
      </c>
      <c r="J2694" s="1634"/>
      <c r="W2694" s="1634"/>
    </row>
    <row r="2695" spans="6:23" ht="24" customHeight="1">
      <c r="H2695" s="1629" t="s">
        <v>2591</v>
      </c>
      <c r="J2695" s="1634"/>
      <c r="W2695" s="1634"/>
    </row>
    <row r="2696" spans="6:23" ht="24" customHeight="1">
      <c r="F2696" s="1629">
        <v>41.6</v>
      </c>
      <c r="G2696" s="1630" t="s">
        <v>13</v>
      </c>
      <c r="H2696" s="1629" t="s">
        <v>2592</v>
      </c>
      <c r="I2696" s="1629">
        <f>I2681</f>
        <v>53</v>
      </c>
      <c r="J2696" s="1634" t="s">
        <v>13</v>
      </c>
      <c r="K2696" s="1629">
        <f>F2696*I2696</f>
        <v>2204.8000000000002</v>
      </c>
      <c r="W2696" s="1634"/>
    </row>
    <row r="2697" spans="6:23" ht="24" customHeight="1">
      <c r="F2697" s="1629">
        <v>0.5</v>
      </c>
      <c r="G2697" s="1630" t="s">
        <v>68</v>
      </c>
      <c r="H2697" s="1629" t="s">
        <v>2593</v>
      </c>
      <c r="I2697" s="1629">
        <f>AG21</f>
        <v>1017.8</v>
      </c>
      <c r="J2697" s="1634" t="s">
        <v>340</v>
      </c>
      <c r="K2697" s="1629">
        <f>F2697*I2697</f>
        <v>508.9</v>
      </c>
      <c r="W2697" s="1634"/>
    </row>
    <row r="2698" spans="6:23" ht="24" customHeight="1">
      <c r="F2698" s="1629">
        <v>1</v>
      </c>
      <c r="G2698" s="1630" t="s">
        <v>345</v>
      </c>
      <c r="H2698" s="1629" t="s">
        <v>2594</v>
      </c>
      <c r="I2698" s="1629">
        <f>C10</f>
        <v>1325.8</v>
      </c>
      <c r="J2698" s="1634" t="s">
        <v>340</v>
      </c>
      <c r="K2698" s="1629">
        <f>F2698*I2698</f>
        <v>1325.8</v>
      </c>
      <c r="W2698" s="1634"/>
    </row>
    <row r="2699" spans="6:23" ht="24" customHeight="1">
      <c r="F2699" s="1629">
        <v>1</v>
      </c>
      <c r="G2699" s="1630" t="s">
        <v>345</v>
      </c>
      <c r="H2699" s="1629" t="s">
        <v>1831</v>
      </c>
      <c r="I2699" s="1629">
        <f>C13</f>
        <v>709.8</v>
      </c>
      <c r="J2699" s="1634" t="s">
        <v>340</v>
      </c>
      <c r="K2699" s="1629">
        <f>F2699*I2699</f>
        <v>709.8</v>
      </c>
      <c r="W2699" s="1634"/>
    </row>
    <row r="2700" spans="6:23" ht="24" customHeight="1">
      <c r="G2700" s="1630" t="s">
        <v>226</v>
      </c>
      <c r="H2700" s="1629" t="s">
        <v>2595</v>
      </c>
      <c r="J2700" s="1634" t="s">
        <v>226</v>
      </c>
      <c r="K2700" s="1629">
        <v>27.7</v>
      </c>
      <c r="W2700" s="1634"/>
    </row>
    <row r="2701" spans="6:23" ht="24" customHeight="1">
      <c r="H2701" s="1694" t="s">
        <v>2596</v>
      </c>
      <c r="J2701" s="1694" t="s">
        <v>2597</v>
      </c>
      <c r="K2701" s="1629">
        <f>SUM(K2696:K2700)</f>
        <v>4777</v>
      </c>
      <c r="W2701" s="1634"/>
    </row>
    <row r="2702" spans="6:23" ht="24" customHeight="1">
      <c r="H2702" s="1694" t="s">
        <v>2598</v>
      </c>
      <c r="J2702" s="1694" t="s">
        <v>2597</v>
      </c>
      <c r="K2702" s="1629">
        <f>K2701/16</f>
        <v>298.5625</v>
      </c>
      <c r="W2702" s="1634"/>
    </row>
    <row r="2703" spans="6:23" ht="24" customHeight="1">
      <c r="H2703" s="1735" t="s">
        <v>2599</v>
      </c>
      <c r="I2703" s="1661"/>
      <c r="J2703" s="1735" t="s">
        <v>2597</v>
      </c>
      <c r="K2703" s="1661">
        <f>K2702/0.95</f>
        <v>314.2763157894737</v>
      </c>
      <c r="W2703" s="1634"/>
    </row>
    <row r="2704" spans="6:23" ht="24" customHeight="1">
      <c r="J2704" s="1634"/>
      <c r="W2704" s="1634"/>
    </row>
    <row r="2705" spans="6:23" ht="24" customHeight="1">
      <c r="J2705" s="1634"/>
      <c r="W2705" s="1634"/>
    </row>
    <row r="2706" spans="6:23" ht="24" customHeight="1">
      <c r="F2706" s="1628" t="s">
        <v>2013</v>
      </c>
      <c r="G2706" s="1638" t="s">
        <v>249</v>
      </c>
      <c r="H2706" s="1627" t="s">
        <v>2014</v>
      </c>
      <c r="J2706" s="1634"/>
      <c r="W2706" s="1634"/>
    </row>
    <row r="2707" spans="6:23" ht="50.25" customHeight="1">
      <c r="H2707" s="1627" t="s">
        <v>2015</v>
      </c>
      <c r="J2707" s="1634"/>
      <c r="W2707" s="1634"/>
    </row>
    <row r="2708" spans="6:23" ht="24" customHeight="1">
      <c r="H2708" s="1627" t="s">
        <v>2016</v>
      </c>
      <c r="J2708" s="1634"/>
      <c r="W2708" s="1634"/>
    </row>
    <row r="2709" spans="6:23" ht="24" customHeight="1">
      <c r="H2709" s="1627" t="s">
        <v>2017</v>
      </c>
      <c r="J2709" s="1634"/>
      <c r="W2709" s="1634"/>
    </row>
    <row r="2710" spans="6:23" ht="24" customHeight="1">
      <c r="H2710" s="1636" t="s">
        <v>21</v>
      </c>
      <c r="J2710" s="1634"/>
      <c r="W2710" s="1634"/>
    </row>
    <row r="2711" spans="6:23" ht="24" customHeight="1">
      <c r="F2711" s="1640">
        <v>1.8</v>
      </c>
      <c r="G2711" s="1638" t="s">
        <v>13</v>
      </c>
      <c r="H2711" s="1700" t="s">
        <v>2600</v>
      </c>
      <c r="I2711" s="1640">
        <f>C609</f>
        <v>22.6</v>
      </c>
      <c r="J2711" s="1628" t="s">
        <v>13</v>
      </c>
      <c r="K2711" s="1640">
        <f>(F2711*I2711)</f>
        <v>40.680000000000007</v>
      </c>
      <c r="W2711" s="1634"/>
    </row>
    <row r="2712" spans="6:23" ht="24" customHeight="1">
      <c r="F2712" s="1640">
        <v>0.25</v>
      </c>
      <c r="G2712" s="1638" t="s">
        <v>153</v>
      </c>
      <c r="H2712" s="1627" t="s">
        <v>2019</v>
      </c>
      <c r="I2712" s="1640">
        <f>C14</f>
        <v>1058.3999999999999</v>
      </c>
      <c r="J2712" s="1628" t="s">
        <v>153</v>
      </c>
      <c r="K2712" s="1640">
        <f>(F2712*I2712)</f>
        <v>264.59999999999997</v>
      </c>
      <c r="W2712" s="1634"/>
    </row>
    <row r="2713" spans="6:23" ht="24" customHeight="1">
      <c r="F2713" s="1640">
        <v>0.25</v>
      </c>
      <c r="G2713" s="1638" t="s">
        <v>153</v>
      </c>
      <c r="H2713" s="1627" t="s">
        <v>1851</v>
      </c>
      <c r="I2713" s="1640">
        <f>C12</f>
        <v>865.19999999999993</v>
      </c>
      <c r="J2713" s="1628" t="s">
        <v>153</v>
      </c>
      <c r="K2713" s="1640">
        <f>(F2713*I2713)</f>
        <v>216.29999999999998</v>
      </c>
      <c r="W2713" s="1634"/>
    </row>
    <row r="2714" spans="6:23" ht="24" customHeight="1">
      <c r="F2714" s="1640">
        <v>0.4</v>
      </c>
      <c r="G2714" s="1638" t="s">
        <v>153</v>
      </c>
      <c r="H2714" s="1627" t="s">
        <v>236</v>
      </c>
      <c r="I2714" s="1640">
        <f>C13</f>
        <v>709.8</v>
      </c>
      <c r="J2714" s="1628" t="s">
        <v>153</v>
      </c>
      <c r="K2714" s="1640">
        <f>(F2714*I2714)</f>
        <v>283.92</v>
      </c>
      <c r="W2714" s="1634"/>
    </row>
    <row r="2715" spans="6:23" ht="24" customHeight="1">
      <c r="G2715" s="1638"/>
      <c r="H2715" s="1627"/>
      <c r="I2715" s="1627" t="s">
        <v>150</v>
      </c>
      <c r="J2715" s="1628"/>
      <c r="K2715" s="1640">
        <f>SUM(K2711:K2714)</f>
        <v>805.5</v>
      </c>
      <c r="W2715" s="1634"/>
    </row>
    <row r="2716" spans="6:23" ht="24" customHeight="1">
      <c r="H2716" s="1661"/>
      <c r="I2716" s="1661"/>
      <c r="J2716" s="1677"/>
      <c r="K2716" s="1637">
        <f>K2715/10</f>
        <v>80.55</v>
      </c>
      <c r="W2716" s="1634"/>
    </row>
    <row r="2717" spans="6:23" ht="24" customHeight="1">
      <c r="F2717" s="1640">
        <v>3</v>
      </c>
      <c r="G2717" s="1638" t="s">
        <v>13</v>
      </c>
      <c r="H2717" s="1627" t="s">
        <v>2018</v>
      </c>
      <c r="I2717" s="1656">
        <f>C271</f>
        <v>49.85</v>
      </c>
      <c r="J2717" s="1628" t="s">
        <v>13</v>
      </c>
      <c r="K2717" s="1656">
        <f>(F2717*I2717)</f>
        <v>149.55000000000001</v>
      </c>
      <c r="W2717" s="1634"/>
    </row>
    <row r="2718" spans="6:23" ht="24" customHeight="1">
      <c r="F2718" s="1640">
        <v>0.5</v>
      </c>
      <c r="G2718" s="1638" t="s">
        <v>153</v>
      </c>
      <c r="H2718" s="1627" t="s">
        <v>2019</v>
      </c>
      <c r="I2718" s="1656">
        <f>C14</f>
        <v>1058.3999999999999</v>
      </c>
      <c r="J2718" s="1628" t="s">
        <v>153</v>
      </c>
      <c r="K2718" s="1656">
        <f>(F2718*I2718)</f>
        <v>529.19999999999993</v>
      </c>
      <c r="W2718" s="1634"/>
    </row>
    <row r="2719" spans="6:23" ht="24" customHeight="1">
      <c r="F2719" s="1640">
        <v>0.5</v>
      </c>
      <c r="G2719" s="1638" t="s">
        <v>153</v>
      </c>
      <c r="H2719" s="1627" t="s">
        <v>1851</v>
      </c>
      <c r="I2719" s="1656">
        <f>I2713</f>
        <v>865.19999999999993</v>
      </c>
      <c r="J2719" s="1628" t="s">
        <v>153</v>
      </c>
      <c r="K2719" s="1656">
        <f>(F2719*I2719)</f>
        <v>432.59999999999997</v>
      </c>
      <c r="W2719" s="1634"/>
    </row>
    <row r="2720" spans="6:23" ht="24" customHeight="1">
      <c r="F2720" s="1640">
        <v>0.8</v>
      </c>
      <c r="G2720" s="1638" t="s">
        <v>153</v>
      </c>
      <c r="H2720" s="1627" t="s">
        <v>236</v>
      </c>
      <c r="I2720" s="1656">
        <f>I2714</f>
        <v>709.8</v>
      </c>
      <c r="J2720" s="1628" t="s">
        <v>153</v>
      </c>
      <c r="K2720" s="1656">
        <f>(F2720*I2720)</f>
        <v>567.84</v>
      </c>
      <c r="W2720" s="1634"/>
    </row>
    <row r="2721" spans="6:23" ht="24" customHeight="1">
      <c r="G2721" s="1638" t="s">
        <v>226</v>
      </c>
      <c r="H2721" s="1627" t="s">
        <v>316</v>
      </c>
      <c r="I2721" s="1627" t="s">
        <v>150</v>
      </c>
      <c r="J2721" s="1628" t="s">
        <v>226</v>
      </c>
      <c r="K2721" s="1640">
        <v>1.9</v>
      </c>
      <c r="W2721" s="1634"/>
    </row>
    <row r="2722" spans="6:23" ht="24" customHeight="1">
      <c r="H2722" s="1661"/>
      <c r="I2722" s="1661"/>
      <c r="J2722" s="1677"/>
      <c r="K2722" s="1679" t="s">
        <v>21</v>
      </c>
      <c r="W2722" s="1634"/>
    </row>
    <row r="2723" spans="6:23" ht="24" customHeight="1">
      <c r="H2723" s="1631" t="s">
        <v>238</v>
      </c>
      <c r="I2723" s="1661"/>
      <c r="J2723" s="1677"/>
      <c r="K2723" s="1639">
        <f>SUM(K2717:K2721)</f>
        <v>1681.0900000000001</v>
      </c>
      <c r="W2723" s="1634"/>
    </row>
    <row r="2724" spans="6:23" ht="24" customHeight="1">
      <c r="H2724" s="1661"/>
      <c r="I2724" s="1661"/>
      <c r="J2724" s="1677"/>
      <c r="K2724" s="1679" t="s">
        <v>21</v>
      </c>
      <c r="W2724" s="1634"/>
    </row>
    <row r="2725" spans="6:23" ht="24" customHeight="1">
      <c r="H2725" s="1631" t="s">
        <v>155</v>
      </c>
      <c r="I2725" s="1661"/>
      <c r="J2725" s="1677"/>
      <c r="K2725" s="1639">
        <f>(K2723/10)</f>
        <v>168.10900000000001</v>
      </c>
      <c r="W2725" s="1634"/>
    </row>
    <row r="2726" spans="6:23" ht="24" customHeight="1">
      <c r="G2726" s="1629"/>
      <c r="J2726" s="1629"/>
      <c r="W2726" s="1634"/>
    </row>
    <row r="2727" spans="6:23" ht="24" customHeight="1">
      <c r="F2727" s="1662"/>
      <c r="G2727" s="1638" t="s">
        <v>249</v>
      </c>
      <c r="H2727" s="1627" t="s">
        <v>1053</v>
      </c>
      <c r="J2727" s="1634"/>
      <c r="W2727" s="1634"/>
    </row>
    <row r="2728" spans="6:23" ht="24" customHeight="1">
      <c r="H2728" s="1627" t="s">
        <v>2174</v>
      </c>
      <c r="J2728" s="1634"/>
      <c r="W2728" s="1634"/>
    </row>
    <row r="2729" spans="6:23" ht="24" customHeight="1">
      <c r="H2729" s="1627" t="s">
        <v>2601</v>
      </c>
      <c r="J2729" s="1634"/>
      <c r="W2729" s="1634"/>
    </row>
    <row r="2730" spans="6:23" ht="24" customHeight="1">
      <c r="H2730" s="1636" t="s">
        <v>21</v>
      </c>
      <c r="J2730" s="1634"/>
      <c r="W2730" s="1634"/>
    </row>
    <row r="2731" spans="6:23" ht="24" customHeight="1">
      <c r="G2731" s="1638" t="s">
        <v>2175</v>
      </c>
      <c r="H2731" s="1627" t="s">
        <v>1119</v>
      </c>
      <c r="J2731" s="1634"/>
      <c r="K2731" s="1627" t="s">
        <v>2176</v>
      </c>
      <c r="W2731" s="1634"/>
    </row>
    <row r="2732" spans="6:23" ht="24" customHeight="1">
      <c r="H2732" s="1636" t="s">
        <v>21</v>
      </c>
      <c r="J2732" s="1634"/>
      <c r="K2732" s="1636" t="s">
        <v>156</v>
      </c>
      <c r="W2732" s="1634"/>
    </row>
    <row r="2733" spans="6:23" ht="24" customHeight="1">
      <c r="F2733" s="1640">
        <v>30</v>
      </c>
      <c r="G2733" s="1638" t="s">
        <v>552</v>
      </c>
      <c r="H2733" s="1627" t="s">
        <v>1125</v>
      </c>
      <c r="I2733" s="1640">
        <f>C661</f>
        <v>11.2</v>
      </c>
      <c r="J2733" s="1628" t="s">
        <v>552</v>
      </c>
      <c r="K2733" s="1640">
        <f>(F2733*I2733)</f>
        <v>336</v>
      </c>
      <c r="W2733" s="1634"/>
    </row>
    <row r="2734" spans="6:23" ht="24" customHeight="1">
      <c r="F2734" s="1627" t="s">
        <v>150</v>
      </c>
      <c r="H2734" s="1627" t="s">
        <v>1128</v>
      </c>
      <c r="I2734" s="1627" t="s">
        <v>150</v>
      </c>
      <c r="J2734" s="1634"/>
      <c r="K2734" s="1627" t="s">
        <v>150</v>
      </c>
      <c r="W2734" s="1634"/>
    </row>
    <row r="2735" spans="6:23" ht="24" customHeight="1">
      <c r="F2735" s="1640">
        <v>8</v>
      </c>
      <c r="G2735" s="1638" t="s">
        <v>153</v>
      </c>
      <c r="H2735" s="1627" t="s">
        <v>1069</v>
      </c>
      <c r="I2735" s="1640">
        <f>I1806</f>
        <v>8.9</v>
      </c>
      <c r="J2735" s="1628" t="s">
        <v>153</v>
      </c>
      <c r="K2735" s="1640">
        <f t="shared" ref="K2735:K2740" si="261">(F2735*I2735)</f>
        <v>71.2</v>
      </c>
      <c r="W2735" s="1634"/>
    </row>
    <row r="2736" spans="6:23" ht="24" customHeight="1">
      <c r="F2736" s="1640">
        <v>8</v>
      </c>
      <c r="G2736" s="1638" t="s">
        <v>153</v>
      </c>
      <c r="H2736" s="1627" t="s">
        <v>1072</v>
      </c>
      <c r="I2736" s="1640">
        <f>I1807</f>
        <v>12.65</v>
      </c>
      <c r="J2736" s="1628" t="s">
        <v>153</v>
      </c>
      <c r="K2736" s="1640">
        <f t="shared" si="261"/>
        <v>101.2</v>
      </c>
      <c r="L2736" s="1739"/>
      <c r="W2736" s="1634"/>
    </row>
    <row r="2737" spans="6:23" ht="24" customHeight="1">
      <c r="F2737" s="1640">
        <v>3</v>
      </c>
      <c r="G2737" s="1638" t="s">
        <v>153</v>
      </c>
      <c r="H2737" s="1627" t="s">
        <v>1133</v>
      </c>
      <c r="I2737" s="1640">
        <f>C41</f>
        <v>979.99999999999989</v>
      </c>
      <c r="J2737" s="1628" t="s">
        <v>153</v>
      </c>
      <c r="K2737" s="1640">
        <f t="shared" si="261"/>
        <v>2939.9999999999995</v>
      </c>
      <c r="L2737" s="1740"/>
      <c r="W2737" s="1634"/>
    </row>
    <row r="2738" spans="6:23" ht="24" customHeight="1">
      <c r="F2738" s="1640">
        <v>1</v>
      </c>
      <c r="G2738" s="1638" t="s">
        <v>153</v>
      </c>
      <c r="H2738" s="1627" t="s">
        <v>2177</v>
      </c>
      <c r="I2738" s="1640">
        <f>C10</f>
        <v>1325.8</v>
      </c>
      <c r="J2738" s="1628" t="s">
        <v>153</v>
      </c>
      <c r="K2738" s="1640">
        <f t="shared" si="261"/>
        <v>1325.8</v>
      </c>
      <c r="L2738" s="1740"/>
      <c r="W2738" s="1634"/>
    </row>
    <row r="2739" spans="6:23" ht="24" customHeight="1">
      <c r="F2739" s="1640">
        <v>2</v>
      </c>
      <c r="G2739" s="1638" t="s">
        <v>153</v>
      </c>
      <c r="H2739" s="1627" t="s">
        <v>235</v>
      </c>
      <c r="I2739" s="1640">
        <f>C12</f>
        <v>865.19999999999993</v>
      </c>
      <c r="J2739" s="1628" t="s">
        <v>153</v>
      </c>
      <c r="K2739" s="1640">
        <f t="shared" si="261"/>
        <v>1730.3999999999999</v>
      </c>
      <c r="L2739" s="1740"/>
      <c r="W2739" s="1634"/>
    </row>
    <row r="2740" spans="6:23" ht="24" customHeight="1">
      <c r="F2740" s="1640">
        <v>1</v>
      </c>
      <c r="G2740" s="1638" t="s">
        <v>153</v>
      </c>
      <c r="H2740" s="1627" t="s">
        <v>236</v>
      </c>
      <c r="I2740" s="1640">
        <f>C13</f>
        <v>709.8</v>
      </c>
      <c r="J2740" s="1628" t="s">
        <v>153</v>
      </c>
      <c r="K2740" s="1640">
        <f t="shared" si="261"/>
        <v>709.8</v>
      </c>
      <c r="L2740" s="1740"/>
      <c r="W2740" s="1634"/>
    </row>
    <row r="2741" spans="6:23" ht="36.75" customHeight="1">
      <c r="G2741" s="1638" t="s">
        <v>226</v>
      </c>
      <c r="H2741" s="1680" t="s">
        <v>2602</v>
      </c>
      <c r="I2741" s="1640" t="s">
        <v>2458</v>
      </c>
      <c r="J2741" s="1628" t="s">
        <v>226</v>
      </c>
      <c r="K2741" s="1640">
        <v>64.849999999999994</v>
      </c>
      <c r="L2741" s="1740"/>
      <c r="W2741" s="1634"/>
    </row>
    <row r="2742" spans="6:23" ht="24" customHeight="1">
      <c r="H2742" s="1627"/>
      <c r="I2742" s="1640"/>
      <c r="J2742" s="1634"/>
      <c r="K2742" s="1656"/>
      <c r="L2742" s="1740"/>
      <c r="W2742" s="1634"/>
    </row>
    <row r="2743" spans="6:23" ht="24" customHeight="1">
      <c r="G2743" s="1629"/>
      <c r="J2743" s="1629"/>
      <c r="L2743" s="1740"/>
      <c r="W2743" s="1634"/>
    </row>
    <row r="2744" spans="6:23" ht="24" customHeight="1">
      <c r="J2744" s="1634"/>
      <c r="K2744" s="1636" t="s">
        <v>21</v>
      </c>
      <c r="L2744" s="1740"/>
      <c r="W2744" s="1634"/>
    </row>
    <row r="2745" spans="6:23" ht="24" customHeight="1">
      <c r="H2745" s="1631" t="s">
        <v>1139</v>
      </c>
      <c r="I2745" s="1661"/>
      <c r="J2745" s="1677"/>
      <c r="K2745" s="1639">
        <f>SUM(K2733:K2744)</f>
        <v>7279.25</v>
      </c>
      <c r="L2745" s="1742"/>
      <c r="W2745" s="1634"/>
    </row>
    <row r="2746" spans="6:23" ht="24" customHeight="1">
      <c r="H2746" s="1661"/>
      <c r="I2746" s="1661"/>
      <c r="J2746" s="1677"/>
      <c r="K2746" s="1679" t="s">
        <v>21</v>
      </c>
      <c r="W2746" s="1634"/>
    </row>
    <row r="2747" spans="6:23" ht="24" customHeight="1">
      <c r="H2747" s="1631" t="s">
        <v>562</v>
      </c>
      <c r="I2747" s="1661"/>
      <c r="J2747" s="1677"/>
      <c r="K2747" s="1639">
        <f>(K2745/30)</f>
        <v>242.64166666666668</v>
      </c>
      <c r="W2747" s="1634"/>
    </row>
    <row r="2748" spans="6:23" ht="24" customHeight="1">
      <c r="G2748" s="1629"/>
      <c r="J2748" s="1629"/>
      <c r="W2748" s="1634"/>
    </row>
    <row r="2749" spans="6:23" ht="24" customHeight="1">
      <c r="G2749" s="1629"/>
      <c r="J2749" s="1629"/>
      <c r="W2749" s="1634"/>
    </row>
    <row r="2750" spans="6:23" ht="24" customHeight="1">
      <c r="F2750" s="1777">
        <v>52</v>
      </c>
      <c r="G2750" s="1638" t="s">
        <v>249</v>
      </c>
      <c r="H2750" s="1627" t="s">
        <v>2183</v>
      </c>
      <c r="J2750" s="1634"/>
      <c r="W2750" s="1634"/>
    </row>
    <row r="2751" spans="6:23" ht="24" customHeight="1">
      <c r="H2751" s="1627" t="s">
        <v>2184</v>
      </c>
      <c r="J2751" s="1634"/>
      <c r="W2751" s="1634"/>
    </row>
    <row r="2752" spans="6:23" ht="24" customHeight="1">
      <c r="H2752" s="1627" t="s">
        <v>2186</v>
      </c>
      <c r="J2752" s="1634"/>
      <c r="W2752" s="1634"/>
    </row>
    <row r="2753" spans="5:23" ht="24" customHeight="1">
      <c r="H2753" s="1627" t="s">
        <v>2188</v>
      </c>
      <c r="J2753" s="1634"/>
      <c r="W2753" s="1634"/>
    </row>
    <row r="2754" spans="5:23" ht="24" customHeight="1">
      <c r="H2754" s="1627" t="s">
        <v>2189</v>
      </c>
      <c r="J2754" s="1634"/>
      <c r="W2754" s="1634"/>
    </row>
    <row r="2755" spans="5:23" ht="24" customHeight="1">
      <c r="E2755" s="1629">
        <f>6*0.3</f>
        <v>1.7999999999999998</v>
      </c>
      <c r="H2755" s="1627" t="s">
        <v>2603</v>
      </c>
      <c r="J2755" s="1634"/>
      <c r="W2755" s="1634"/>
    </row>
    <row r="2756" spans="5:23" ht="24" customHeight="1">
      <c r="E2756" s="1629">
        <f>3.5+E2755</f>
        <v>5.3</v>
      </c>
      <c r="H2756" s="1627" t="s">
        <v>2191</v>
      </c>
      <c r="J2756" s="1634"/>
      <c r="L2756" s="1629">
        <f>K2790</f>
        <v>309.39999999999998</v>
      </c>
      <c r="W2756" s="1634"/>
    </row>
    <row r="2757" spans="5:23" ht="24" customHeight="1">
      <c r="E2757" s="1629">
        <f>3.14*0.3*0.3</f>
        <v>0.28259999999999996</v>
      </c>
      <c r="H2757" s="1627" t="s">
        <v>2192</v>
      </c>
      <c r="J2757" s="1634"/>
      <c r="L2757" s="1629">
        <f>K2791</f>
        <v>3028.2</v>
      </c>
      <c r="W2757" s="1634"/>
    </row>
    <row r="2758" spans="5:23" ht="24" customHeight="1">
      <c r="H2758" s="1636" t="s">
        <v>156</v>
      </c>
      <c r="I2758" s="1636" t="s">
        <v>156</v>
      </c>
      <c r="J2758" s="1634"/>
      <c r="W2758" s="1634"/>
    </row>
    <row r="2759" spans="5:23" ht="24" customHeight="1">
      <c r="E2759" s="1629">
        <f>E2757/4</f>
        <v>7.0649999999999991E-2</v>
      </c>
      <c r="G2759" s="1638" t="s">
        <v>249</v>
      </c>
      <c r="H2759" s="1627" t="s">
        <v>513</v>
      </c>
      <c r="J2759" s="1634"/>
      <c r="L2759" s="1629">
        <f>SUM(L2756:L2757)</f>
        <v>3337.6</v>
      </c>
      <c r="W2759" s="1634"/>
    </row>
    <row r="2760" spans="5:23" ht="24" customHeight="1">
      <c r="E2760" s="1698">
        <f>E2759*E2756</f>
        <v>0.37444499999999992</v>
      </c>
      <c r="H2760" s="1627" t="s">
        <v>591</v>
      </c>
      <c r="J2760" s="1634"/>
      <c r="W2760" s="1634"/>
    </row>
    <row r="2761" spans="5:23" ht="24" customHeight="1">
      <c r="G2761" s="1638" t="s">
        <v>514</v>
      </c>
      <c r="H2761" s="1627" t="s">
        <v>515</v>
      </c>
      <c r="J2761" s="1634"/>
      <c r="W2761" s="1634"/>
    </row>
    <row r="2762" spans="5:23" ht="24" customHeight="1">
      <c r="H2762" s="1636" t="s">
        <v>21</v>
      </c>
      <c r="J2762" s="1634"/>
      <c r="W2762" s="1634"/>
    </row>
    <row r="2763" spans="5:23" ht="24" customHeight="1">
      <c r="F2763" s="1640">
        <v>1</v>
      </c>
      <c r="G2763" s="1638" t="s">
        <v>303</v>
      </c>
      <c r="H2763" s="1627" t="s">
        <v>516</v>
      </c>
      <c r="I2763" s="1640">
        <f>I1870</f>
        <v>26</v>
      </c>
      <c r="J2763" s="1628" t="s">
        <v>303</v>
      </c>
      <c r="K2763" s="1640">
        <f>(F2763*I2763)</f>
        <v>26</v>
      </c>
      <c r="W2763" s="1634"/>
    </row>
    <row r="2764" spans="5:23" ht="24" customHeight="1">
      <c r="F2764" s="1640">
        <v>1</v>
      </c>
      <c r="G2764" s="1638" t="s">
        <v>226</v>
      </c>
      <c r="H2764" s="1627" t="s">
        <v>517</v>
      </c>
      <c r="I2764" s="1640">
        <f>I2763*0.7</f>
        <v>18.2</v>
      </c>
      <c r="J2764" s="1628" t="s">
        <v>226</v>
      </c>
      <c r="K2764" s="1640">
        <f>(F2764*I2764)</f>
        <v>18.2</v>
      </c>
      <c r="W2764" s="1634"/>
    </row>
    <row r="2765" spans="5:23" ht="24" customHeight="1">
      <c r="F2765" s="1640">
        <v>1</v>
      </c>
      <c r="G2765" s="1638" t="s">
        <v>303</v>
      </c>
      <c r="H2765" s="1627" t="s">
        <v>518</v>
      </c>
      <c r="I2765" s="1640">
        <f>K2747</f>
        <v>242.64166666666668</v>
      </c>
      <c r="J2765" s="1628" t="s">
        <v>303</v>
      </c>
      <c r="K2765" s="1640">
        <f>(F2765*I2765)</f>
        <v>242.64166666666668</v>
      </c>
      <c r="W2765" s="1634"/>
    </row>
    <row r="2766" spans="5:23" ht="24" customHeight="1">
      <c r="I2766" s="1627" t="s">
        <v>150</v>
      </c>
      <c r="J2766" s="1634"/>
      <c r="K2766" s="1636"/>
      <c r="W2766" s="1634"/>
    </row>
    <row r="2767" spans="5:23" ht="24" customHeight="1">
      <c r="H2767" s="1631" t="s">
        <v>519</v>
      </c>
      <c r="I2767" s="1661"/>
      <c r="J2767" s="1677"/>
      <c r="K2767" s="1639">
        <f>SUM(K2763:K2765)</f>
        <v>286.8416666666667</v>
      </c>
      <c r="T2767" s="1630"/>
      <c r="W2767" s="1634"/>
    </row>
    <row r="2768" spans="5:23" ht="24" customHeight="1">
      <c r="H2768" s="1627" t="s">
        <v>150</v>
      </c>
      <c r="I2768" s="1627" t="s">
        <v>150</v>
      </c>
      <c r="J2768" s="1634"/>
      <c r="K2768" s="1636" t="s">
        <v>156</v>
      </c>
      <c r="S2768" s="1673" t="s">
        <v>1693</v>
      </c>
      <c r="T2768" s="1638" t="s">
        <v>249</v>
      </c>
      <c r="U2768" s="1627" t="s">
        <v>2604</v>
      </c>
      <c r="W2768" s="1634"/>
    </row>
    <row r="2769" spans="6:31" ht="24" customHeight="1">
      <c r="G2769" s="1629"/>
      <c r="J2769" s="1629"/>
      <c r="T2769" s="1630"/>
      <c r="U2769" s="1627" t="s">
        <v>1695</v>
      </c>
      <c r="W2769" s="1634"/>
    </row>
    <row r="2770" spans="6:31" ht="24" customHeight="1">
      <c r="F2770" s="1813"/>
      <c r="G2770" s="1748"/>
      <c r="H2770" s="1748"/>
      <c r="I2770" s="1748"/>
      <c r="J2770" s="1748"/>
      <c r="K2770" s="1748"/>
      <c r="T2770" s="1630"/>
      <c r="U2770" s="1627" t="s">
        <v>1696</v>
      </c>
      <c r="W2770" s="1634"/>
    </row>
    <row r="2771" spans="6:31" ht="24" customHeight="1">
      <c r="F2771" s="1814"/>
      <c r="G2771" s="1815" t="s">
        <v>2605</v>
      </c>
      <c r="H2771" s="1753"/>
      <c r="I2771" s="1753"/>
      <c r="J2771" s="1816"/>
      <c r="K2771" s="1753"/>
      <c r="T2771" s="1630"/>
      <c r="U2771" s="1636" t="s">
        <v>21</v>
      </c>
      <c r="W2771" s="1634"/>
    </row>
    <row r="2772" spans="6:31" ht="24" customHeight="1">
      <c r="F2772" s="1750"/>
      <c r="G2772" s="1751"/>
      <c r="H2772" s="1753"/>
      <c r="I2772" s="1753"/>
      <c r="J2772" s="1816"/>
      <c r="K2772" s="1753"/>
      <c r="T2772" s="1630"/>
      <c r="U2772" s="1627" t="s">
        <v>2606</v>
      </c>
      <c r="W2772" s="1634"/>
    </row>
    <row r="2773" spans="6:31" ht="24" customHeight="1">
      <c r="F2773" s="1750">
        <v>5</v>
      </c>
      <c r="G2773" s="1751" t="s">
        <v>2607</v>
      </c>
      <c r="H2773" s="1817" t="s">
        <v>2608</v>
      </c>
      <c r="I2773" s="1818">
        <v>160</v>
      </c>
      <c r="J2773" s="1816" t="s">
        <v>2609</v>
      </c>
      <c r="K2773" s="1753">
        <f>I2773*F2773</f>
        <v>800</v>
      </c>
      <c r="T2773" s="1630"/>
      <c r="U2773" s="1627" t="s">
        <v>2610</v>
      </c>
      <c r="W2773" s="1634"/>
    </row>
    <row r="2774" spans="6:31" ht="24" customHeight="1">
      <c r="F2774" s="1750">
        <v>1</v>
      </c>
      <c r="G2774" s="1751" t="s">
        <v>68</v>
      </c>
      <c r="H2774" s="1753" t="s">
        <v>2611</v>
      </c>
      <c r="I2774" s="1753">
        <v>75</v>
      </c>
      <c r="J2774" s="1816" t="s">
        <v>340</v>
      </c>
      <c r="K2774" s="1753">
        <f>I2774*F2774</f>
        <v>75</v>
      </c>
      <c r="T2774" s="1630"/>
      <c r="W2774" s="1628" t="s">
        <v>21</v>
      </c>
    </row>
    <row r="2775" spans="6:31" ht="24" customHeight="1">
      <c r="F2775" s="1750">
        <v>2.5</v>
      </c>
      <c r="G2775" s="1751" t="s">
        <v>68</v>
      </c>
      <c r="H2775" s="1753" t="s">
        <v>2612</v>
      </c>
      <c r="I2775" s="1753">
        <f>C14</f>
        <v>1058.3999999999999</v>
      </c>
      <c r="J2775" s="1816" t="s">
        <v>68</v>
      </c>
      <c r="K2775" s="1753">
        <f>I2775*F2775</f>
        <v>2645.9999999999995</v>
      </c>
      <c r="T2775" s="1630"/>
      <c r="U2775" s="1627" t="s">
        <v>2613</v>
      </c>
      <c r="W2775" s="1634"/>
    </row>
    <row r="2776" spans="6:31" ht="24" customHeight="1">
      <c r="F2776" s="1750"/>
      <c r="G2776" s="1751"/>
      <c r="H2776" s="1753" t="s">
        <v>337</v>
      </c>
      <c r="I2776" s="1819" t="s">
        <v>226</v>
      </c>
      <c r="J2776" s="1816"/>
      <c r="K2776" s="1753">
        <v>0.25</v>
      </c>
      <c r="T2776" s="1630"/>
      <c r="U2776" s="1627" t="s">
        <v>2614</v>
      </c>
      <c r="W2776" s="1634"/>
      <c r="X2776" s="1691">
        <v>2.7099999999999999E-2</v>
      </c>
      <c r="Y2776" s="1691"/>
    </row>
    <row r="2777" spans="6:31" ht="24" customHeight="1">
      <c r="F2777" s="1750"/>
      <c r="G2777" s="1751"/>
      <c r="H2777" s="1753"/>
      <c r="I2777" s="1753"/>
      <c r="J2777" s="1816"/>
      <c r="K2777" s="1820" t="s">
        <v>156</v>
      </c>
      <c r="T2777" s="1630"/>
      <c r="W2777" s="1628" t="s">
        <v>150</v>
      </c>
      <c r="X2777" s="1636" t="s">
        <v>21</v>
      </c>
      <c r="Y2777" s="1636"/>
      <c r="Z2777" s="1723">
        <f>SUM(X2778:X2779)</f>
        <v>1.6420000000000001E-2</v>
      </c>
    </row>
    <row r="2778" spans="6:31" ht="24" customHeight="1">
      <c r="F2778" s="1750"/>
      <c r="G2778" s="1751"/>
      <c r="H2778" s="1753"/>
      <c r="I2778" s="1753" t="s">
        <v>2615</v>
      </c>
      <c r="J2778" s="1816" t="s">
        <v>156</v>
      </c>
      <c r="K2778" s="1762">
        <f>SUM(K2773:K2777)</f>
        <v>3521.2499999999995</v>
      </c>
      <c r="L2778" s="1723">
        <f>K2811+K2810</f>
        <v>1.6420000000000001E-2</v>
      </c>
      <c r="T2778" s="1630"/>
      <c r="U2778" s="1627" t="s">
        <v>2616</v>
      </c>
      <c r="W2778" s="1821" t="s">
        <v>150</v>
      </c>
      <c r="X2778" s="1691">
        <v>1.2840000000000001E-2</v>
      </c>
      <c r="Y2778" s="1691"/>
    </row>
    <row r="2779" spans="6:31" ht="24" customHeight="1">
      <c r="F2779" s="1765"/>
      <c r="G2779" s="1766"/>
      <c r="H2779" s="1767"/>
      <c r="I2779" s="1767"/>
      <c r="J2779" s="1822"/>
      <c r="K2779" s="1823" t="s">
        <v>156</v>
      </c>
      <c r="T2779" s="1630"/>
      <c r="U2779" s="1627" t="s">
        <v>2617</v>
      </c>
      <c r="W2779" s="1628" t="s">
        <v>150</v>
      </c>
      <c r="X2779" s="1691">
        <v>3.5799999999999998E-3</v>
      </c>
      <c r="Y2779" s="1691"/>
    </row>
    <row r="2780" spans="6:31" ht="24" customHeight="1">
      <c r="J2780" s="1634"/>
      <c r="T2780" s="1630"/>
      <c r="W2780" s="1634"/>
      <c r="X2780" s="1636" t="s">
        <v>21</v>
      </c>
      <c r="Y2780" s="1636"/>
    </row>
    <row r="2781" spans="6:31" ht="24" customHeight="1">
      <c r="F2781" s="1629" t="s">
        <v>2618</v>
      </c>
      <c r="J2781" s="1634"/>
      <c r="S2781" s="1658">
        <f>F2813</f>
        <v>1.898E-2</v>
      </c>
      <c r="T2781" s="1638" t="s">
        <v>151</v>
      </c>
      <c r="U2781" s="1627" t="s">
        <v>2619</v>
      </c>
      <c r="V2781" s="1640">
        <f>C86</f>
        <v>34300</v>
      </c>
      <c r="W2781" s="1628" t="s">
        <v>151</v>
      </c>
      <c r="X2781" s="1640">
        <f>(S2781*V2781)</f>
        <v>651.01400000000001</v>
      </c>
      <c r="Y2781" s="1640"/>
    </row>
    <row r="2782" spans="6:31" ht="24" customHeight="1">
      <c r="J2782" s="1634"/>
      <c r="S2782" s="1658">
        <f t="shared" ref="S2782:S2792" si="262">F2814</f>
        <v>2.7099999999999999E-2</v>
      </c>
      <c r="T2782" s="1638" t="s">
        <v>151</v>
      </c>
      <c r="U2782" s="1627" t="s">
        <v>2619</v>
      </c>
      <c r="V2782" s="1640">
        <f>V2781</f>
        <v>34300</v>
      </c>
      <c r="W2782" s="1628" t="s">
        <v>151</v>
      </c>
      <c r="X2782" s="1640">
        <f t="shared" ref="X2782:X2792" si="263">(S2782*V2782)</f>
        <v>929.53</v>
      </c>
      <c r="Y2782" s="1640"/>
    </row>
    <row r="2783" spans="6:31" ht="24" customHeight="1">
      <c r="F2783" s="1629" t="s">
        <v>2620</v>
      </c>
      <c r="J2783" s="1634"/>
      <c r="S2783" s="1658">
        <f t="shared" si="262"/>
        <v>1.6420000000000001E-2</v>
      </c>
      <c r="T2783" s="1638" t="s">
        <v>151</v>
      </c>
      <c r="U2783" s="1627" t="s">
        <v>2621</v>
      </c>
      <c r="V2783" s="1640">
        <f>C87</f>
        <v>39400</v>
      </c>
      <c r="W2783" s="1628" t="s">
        <v>151</v>
      </c>
      <c r="X2783" s="1640">
        <f t="shared" si="263"/>
        <v>646.94799999999998</v>
      </c>
      <c r="Y2783" s="1640"/>
      <c r="AE2783" s="1661" t="s">
        <v>2622</v>
      </c>
    </row>
    <row r="2784" spans="6:31" ht="24" customHeight="1">
      <c r="J2784" s="1634"/>
      <c r="S2784" s="1658"/>
      <c r="T2784" s="1630"/>
      <c r="U2784" s="1627"/>
      <c r="V2784" s="1640">
        <f>V958</f>
        <v>0</v>
      </c>
      <c r="W2784" s="1634"/>
      <c r="X2784" s="1640">
        <f t="shared" si="263"/>
        <v>0</v>
      </c>
      <c r="Y2784" s="1640"/>
      <c r="AE2784" s="1661" t="s">
        <v>2623</v>
      </c>
    </row>
    <row r="2785" spans="6:35" ht="24" customHeight="1">
      <c r="G2785" s="1824">
        <v>0.745</v>
      </c>
      <c r="H2785" s="1629" t="s">
        <v>313</v>
      </c>
      <c r="J2785" s="1634"/>
      <c r="S2785" s="1658">
        <f t="shared" si="262"/>
        <v>1.8225</v>
      </c>
      <c r="T2785" s="1638" t="s">
        <v>152</v>
      </c>
      <c r="U2785" s="1627" t="s">
        <v>1708</v>
      </c>
      <c r="V2785" s="1640">
        <f>I2817</f>
        <v>2039.8</v>
      </c>
      <c r="W2785" s="1628" t="s">
        <v>152</v>
      </c>
      <c r="X2785" s="1640">
        <f t="shared" si="263"/>
        <v>3717.5355</v>
      </c>
      <c r="Y2785" s="1640"/>
    </row>
    <row r="2786" spans="6:35" ht="24" customHeight="1">
      <c r="J2786" s="1634"/>
      <c r="S2786" s="1658">
        <f t="shared" si="262"/>
        <v>2</v>
      </c>
      <c r="T2786" s="1638" t="s">
        <v>4</v>
      </c>
      <c r="U2786" s="1627" t="s">
        <v>1709</v>
      </c>
      <c r="V2786" s="1640">
        <f t="shared" ref="V2786:V2791" si="264">I2818</f>
        <v>254.5</v>
      </c>
      <c r="W2786" s="1628" t="s">
        <v>153</v>
      </c>
      <c r="X2786" s="1640">
        <f t="shared" si="263"/>
        <v>509</v>
      </c>
      <c r="Y2786" s="1640"/>
      <c r="AD2786" s="1825">
        <v>2.6159999999999999E-2</v>
      </c>
      <c r="AE2786" s="1688" t="s">
        <v>151</v>
      </c>
      <c r="AF2786" s="1661" t="s">
        <v>1796</v>
      </c>
      <c r="AG2786" s="1661">
        <f>I2813</f>
        <v>111600</v>
      </c>
      <c r="AH2786" s="1676" t="s">
        <v>151</v>
      </c>
      <c r="AI2786" s="1661">
        <f>AG2786*AD2786</f>
        <v>2919.4560000000001</v>
      </c>
    </row>
    <row r="2787" spans="6:35" ht="24" customHeight="1">
      <c r="F2787" s="1661" t="s">
        <v>2624</v>
      </c>
      <c r="J2787" s="1634"/>
      <c r="S2787" s="1658">
        <f t="shared" si="262"/>
        <v>3</v>
      </c>
      <c r="T2787" s="1638" t="s">
        <v>153</v>
      </c>
      <c r="U2787" s="1627" t="s">
        <v>391</v>
      </c>
      <c r="V2787" s="1640">
        <f t="shared" si="264"/>
        <v>214.1</v>
      </c>
      <c r="W2787" s="1628" t="s">
        <v>153</v>
      </c>
      <c r="X2787" s="1640">
        <f t="shared" si="263"/>
        <v>642.29999999999995</v>
      </c>
      <c r="Y2787" s="1640"/>
      <c r="AD2787" s="1825">
        <v>4.7809999999999998E-2</v>
      </c>
      <c r="AE2787" s="1688" t="s">
        <v>151</v>
      </c>
      <c r="AF2787" s="1661" t="s">
        <v>1797</v>
      </c>
      <c r="AG2787" s="1661">
        <f>I2814</f>
        <v>99400</v>
      </c>
      <c r="AH2787" s="1676" t="s">
        <v>151</v>
      </c>
      <c r="AI2787" s="1661">
        <f t="shared" ref="AI2787:AI2796" si="265">AG2787*AD2787</f>
        <v>4752.3139999999994</v>
      </c>
    </row>
    <row r="2788" spans="6:35" ht="24" customHeight="1">
      <c r="J2788" s="1634"/>
      <c r="S2788" s="1658">
        <f t="shared" si="262"/>
        <v>2</v>
      </c>
      <c r="T2788" s="1638" t="s">
        <v>153</v>
      </c>
      <c r="U2788" s="1627" t="s">
        <v>392</v>
      </c>
      <c r="V2788" s="1640">
        <f t="shared" si="264"/>
        <v>408</v>
      </c>
      <c r="W2788" s="1628" t="s">
        <v>153</v>
      </c>
      <c r="X2788" s="1640">
        <f t="shared" si="263"/>
        <v>816</v>
      </c>
      <c r="Y2788" s="1640"/>
      <c r="AD2788" s="1826">
        <v>4.5879999999999997E-2</v>
      </c>
      <c r="AE2788" s="1688" t="s">
        <v>151</v>
      </c>
      <c r="AF2788" s="1661" t="s">
        <v>2625</v>
      </c>
      <c r="AG2788" s="1661">
        <f>I3320</f>
        <v>107000</v>
      </c>
      <c r="AH2788" s="1676" t="s">
        <v>151</v>
      </c>
      <c r="AI2788" s="1661">
        <f t="shared" si="265"/>
        <v>4909.16</v>
      </c>
    </row>
    <row r="2789" spans="6:35" ht="24" customHeight="1">
      <c r="F2789" s="1633">
        <v>0.37</v>
      </c>
      <c r="G2789" s="1630" t="s">
        <v>313</v>
      </c>
      <c r="H2789" s="1629" t="s">
        <v>2626</v>
      </c>
      <c r="I2789" s="1629">
        <f>X688</f>
        <v>10561.2184755</v>
      </c>
      <c r="J2789" s="1694" t="s">
        <v>313</v>
      </c>
      <c r="K2789" s="1629">
        <f>F2789*I2789</f>
        <v>3907.650835935</v>
      </c>
      <c r="S2789" s="1658">
        <f t="shared" si="262"/>
        <v>1</v>
      </c>
      <c r="T2789" s="1638" t="s">
        <v>153</v>
      </c>
      <c r="U2789" s="1627" t="s">
        <v>393</v>
      </c>
      <c r="V2789" s="1640">
        <f t="shared" si="264"/>
        <v>836</v>
      </c>
      <c r="W2789" s="1628" t="s">
        <v>153</v>
      </c>
      <c r="X2789" s="1640">
        <f t="shared" si="263"/>
        <v>836</v>
      </c>
      <c r="Y2789" s="1640"/>
      <c r="AD2789" s="1826">
        <v>3.95</v>
      </c>
      <c r="AE2789" s="1688" t="s">
        <v>152</v>
      </c>
      <c r="AF2789" s="1661" t="s">
        <v>1799</v>
      </c>
      <c r="AG2789" s="1661">
        <f>I2817</f>
        <v>2039.8</v>
      </c>
      <c r="AH2789" s="1676" t="s">
        <v>152</v>
      </c>
      <c r="AI2789" s="1661">
        <f t="shared" si="265"/>
        <v>8057.21</v>
      </c>
    </row>
    <row r="2790" spans="6:35" ht="24" customHeight="1">
      <c r="F2790" s="1629">
        <v>0.25</v>
      </c>
      <c r="G2790" s="1630" t="s">
        <v>68</v>
      </c>
      <c r="H2790" s="1629" t="s">
        <v>280</v>
      </c>
      <c r="I2790" s="1629">
        <f>C11</f>
        <v>1237.5999999999999</v>
      </c>
      <c r="J2790" s="1694" t="s">
        <v>340</v>
      </c>
      <c r="K2790" s="1629">
        <f>F2790*I2790</f>
        <v>309.39999999999998</v>
      </c>
      <c r="S2790" s="1658">
        <f t="shared" si="262"/>
        <v>1</v>
      </c>
      <c r="T2790" s="1638" t="s">
        <v>153</v>
      </c>
      <c r="U2790" s="1627" t="s">
        <v>1713</v>
      </c>
      <c r="V2790" s="1640">
        <f t="shared" si="264"/>
        <v>7.3</v>
      </c>
      <c r="W2790" s="1628" t="s">
        <v>153</v>
      </c>
      <c r="X2790" s="1640">
        <f t="shared" si="263"/>
        <v>7.3</v>
      </c>
      <c r="Y2790" s="1640"/>
      <c r="AD2790" s="1661">
        <v>2</v>
      </c>
      <c r="AE2790" s="1688" t="s">
        <v>295</v>
      </c>
      <c r="AF2790" s="1661" t="s">
        <v>1801</v>
      </c>
      <c r="AG2790" s="1661">
        <f t="shared" ref="AG2790:AG2795" si="266">I2818</f>
        <v>254.5</v>
      </c>
      <c r="AH2790" s="1676" t="s">
        <v>340</v>
      </c>
      <c r="AI2790" s="1661">
        <f t="shared" si="265"/>
        <v>509</v>
      </c>
    </row>
    <row r="2791" spans="6:35" ht="24" customHeight="1">
      <c r="F2791" s="1629">
        <v>3.5</v>
      </c>
      <c r="G2791" s="1630" t="s">
        <v>154</v>
      </c>
      <c r="H2791" s="1629" t="s">
        <v>1830</v>
      </c>
      <c r="I2791" s="1629">
        <f>C12</f>
        <v>865.19999999999993</v>
      </c>
      <c r="J2791" s="1694" t="s">
        <v>340</v>
      </c>
      <c r="K2791" s="1629">
        <f>F2791*I2791</f>
        <v>3028.2</v>
      </c>
      <c r="S2791" s="1658">
        <f t="shared" si="262"/>
        <v>1</v>
      </c>
      <c r="T2791" s="1638" t="s">
        <v>153</v>
      </c>
      <c r="U2791" s="1627" t="s">
        <v>886</v>
      </c>
      <c r="V2791" s="1640">
        <f t="shared" si="264"/>
        <v>49.55</v>
      </c>
      <c r="W2791" s="1628" t="s">
        <v>153</v>
      </c>
      <c r="X2791" s="1640">
        <f t="shared" si="263"/>
        <v>49.55</v>
      </c>
      <c r="Y2791" s="1640"/>
      <c r="AD2791" s="1661">
        <v>6</v>
      </c>
      <c r="AE2791" s="1688" t="s">
        <v>295</v>
      </c>
      <c r="AF2791" s="1661" t="s">
        <v>1802</v>
      </c>
      <c r="AG2791" s="1661">
        <f t="shared" si="266"/>
        <v>214.1</v>
      </c>
      <c r="AH2791" s="1676" t="s">
        <v>340</v>
      </c>
      <c r="AI2791" s="1661">
        <f t="shared" si="265"/>
        <v>1284.5999999999999</v>
      </c>
    </row>
    <row r="2792" spans="6:35" ht="24" customHeight="1">
      <c r="F2792" s="1629">
        <v>12</v>
      </c>
      <c r="G2792" s="1630" t="s">
        <v>534</v>
      </c>
      <c r="H2792" s="1629" t="s">
        <v>2627</v>
      </c>
      <c r="J2792" s="1694" t="s">
        <v>534</v>
      </c>
      <c r="K2792" s="1629">
        <f>I2792*F2792</f>
        <v>0</v>
      </c>
      <c r="S2792" s="1633">
        <f t="shared" si="262"/>
        <v>64</v>
      </c>
      <c r="T2792" s="1630"/>
      <c r="U2792" s="1629" t="s">
        <v>2628</v>
      </c>
      <c r="V2792" s="1629">
        <f>P2831</f>
        <v>2.41</v>
      </c>
      <c r="W2792" s="1634"/>
      <c r="X2792" s="1640">
        <f t="shared" si="263"/>
        <v>154.24</v>
      </c>
      <c r="Y2792" s="1640"/>
      <c r="AD2792" s="1661">
        <v>4</v>
      </c>
      <c r="AE2792" s="1688" t="s">
        <v>295</v>
      </c>
      <c r="AF2792" s="1661" t="s">
        <v>1803</v>
      </c>
      <c r="AG2792" s="1661">
        <f t="shared" si="266"/>
        <v>408</v>
      </c>
      <c r="AH2792" s="1676" t="s">
        <v>340</v>
      </c>
      <c r="AI2792" s="1661">
        <f t="shared" si="265"/>
        <v>1632</v>
      </c>
    </row>
    <row r="2793" spans="6:35" ht="24" customHeight="1">
      <c r="G2793" s="1629" t="s">
        <v>2629</v>
      </c>
      <c r="H2793" s="1629" t="s">
        <v>2630</v>
      </c>
      <c r="J2793" s="1694" t="s">
        <v>2458</v>
      </c>
      <c r="K2793" s="1629">
        <f>L2759*10%</f>
        <v>333.76</v>
      </c>
      <c r="T2793" s="1630"/>
      <c r="U2793" s="1627" t="s">
        <v>2631</v>
      </c>
      <c r="W2793" s="1634"/>
      <c r="X2793" s="1640">
        <f>SUM(X2781:X2792)</f>
        <v>8959.4174999999977</v>
      </c>
      <c r="Y2793" s="1640"/>
      <c r="AD2793" s="1661">
        <v>1</v>
      </c>
      <c r="AE2793" s="1688" t="s">
        <v>295</v>
      </c>
      <c r="AF2793" s="1661" t="s">
        <v>1805</v>
      </c>
      <c r="AG2793" s="1661">
        <f t="shared" si="266"/>
        <v>836</v>
      </c>
      <c r="AH2793" s="1676" t="s">
        <v>340</v>
      </c>
      <c r="AI2793" s="1661">
        <f t="shared" si="265"/>
        <v>836</v>
      </c>
    </row>
    <row r="2794" spans="6:35" ht="24" customHeight="1">
      <c r="J2794" s="1634"/>
      <c r="K2794" s="1629" t="s">
        <v>2632</v>
      </c>
      <c r="T2794" s="1630"/>
      <c r="W2794" s="1634"/>
      <c r="X2794" s="1636" t="s">
        <v>21</v>
      </c>
      <c r="Y2794" s="1636"/>
      <c r="AD2794" s="1661">
        <v>2</v>
      </c>
      <c r="AE2794" s="1688" t="s">
        <v>295</v>
      </c>
      <c r="AF2794" s="1661" t="s">
        <v>884</v>
      </c>
      <c r="AG2794" s="1661">
        <f t="shared" si="266"/>
        <v>7.3</v>
      </c>
      <c r="AH2794" s="1676" t="s">
        <v>340</v>
      </c>
      <c r="AI2794" s="1661">
        <f t="shared" si="265"/>
        <v>14.6</v>
      </c>
    </row>
    <row r="2795" spans="6:35" ht="24" customHeight="1">
      <c r="J2795" s="1634"/>
      <c r="T2795" s="1630"/>
      <c r="U2795" s="1627" t="s">
        <v>155</v>
      </c>
      <c r="W2795" s="1634"/>
      <c r="X2795" s="1640">
        <f>X2793/1.8225</f>
        <v>4916.0041152263366</v>
      </c>
      <c r="Y2795" s="1640"/>
      <c r="AD2795" s="1661">
        <v>2</v>
      </c>
      <c r="AE2795" s="1688" t="s">
        <v>295</v>
      </c>
      <c r="AF2795" s="1661" t="s">
        <v>886</v>
      </c>
      <c r="AG2795" s="1661">
        <f t="shared" si="266"/>
        <v>49.55</v>
      </c>
      <c r="AH2795" s="1676" t="s">
        <v>340</v>
      </c>
      <c r="AI2795" s="1661">
        <f t="shared" si="265"/>
        <v>99.1</v>
      </c>
    </row>
    <row r="2796" spans="6:35" ht="24" customHeight="1">
      <c r="I2796" s="1629" t="s">
        <v>2633</v>
      </c>
      <c r="J2796" s="1634"/>
      <c r="K2796" s="1629">
        <f>SUM(K2789:K2793)</f>
        <v>7579.0108359349997</v>
      </c>
      <c r="T2796" s="1630"/>
      <c r="W2796" s="1634"/>
      <c r="AD2796" s="1661">
        <v>10</v>
      </c>
      <c r="AE2796" s="1688"/>
      <c r="AF2796" s="1661" t="s">
        <v>1734</v>
      </c>
      <c r="AG2796" s="1661">
        <f>V2792</f>
        <v>2.41</v>
      </c>
      <c r="AH2796" s="1676"/>
      <c r="AI2796" s="1661">
        <f t="shared" si="265"/>
        <v>24.1</v>
      </c>
    </row>
    <row r="2797" spans="6:35" ht="24" customHeight="1">
      <c r="J2797" s="1634"/>
      <c r="W2797" s="1634"/>
      <c r="AD2797" s="1661"/>
      <c r="AE2797" s="1688"/>
      <c r="AF2797" s="1661" t="s">
        <v>155</v>
      </c>
      <c r="AG2797" s="1661"/>
      <c r="AH2797" s="1676"/>
      <c r="AI2797" s="1661">
        <f>SUM(AI2786:AI2796)</f>
        <v>25037.539999999994</v>
      </c>
    </row>
    <row r="2798" spans="6:35" ht="24" customHeight="1">
      <c r="I2798" s="1629" t="s">
        <v>2634</v>
      </c>
      <c r="J2798" s="1634"/>
      <c r="K2798" s="1629">
        <f>K2796/3.5</f>
        <v>2165.43166741</v>
      </c>
      <c r="W2798" s="1634"/>
      <c r="AD2798" s="1661"/>
      <c r="AE2798" s="1688"/>
      <c r="AF2798" s="1661"/>
      <c r="AG2798" s="1661"/>
      <c r="AH2798" s="1676"/>
      <c r="AI2798" s="1827" t="s">
        <v>1810</v>
      </c>
    </row>
    <row r="2799" spans="6:35" ht="24" customHeight="1">
      <c r="J2799" s="1634"/>
      <c r="W2799" s="1634"/>
      <c r="AD2799" s="1661"/>
      <c r="AE2799" s="1688"/>
      <c r="AF2799" s="1661" t="s">
        <v>155</v>
      </c>
      <c r="AG2799" s="1661"/>
      <c r="AH2799" s="1676"/>
      <c r="AI2799" s="1661">
        <f>AI2797/AD2789</f>
        <v>6338.6177215189855</v>
      </c>
    </row>
    <row r="2800" spans="6:35" ht="54.75" customHeight="1">
      <c r="F2800" s="1828" t="s">
        <v>1693</v>
      </c>
      <c r="G2800" s="1829" t="s">
        <v>249</v>
      </c>
      <c r="H2800" s="1653" t="s">
        <v>1700</v>
      </c>
      <c r="I2800" s="1830"/>
      <c r="J2800" s="1831"/>
      <c r="K2800" s="1830"/>
      <c r="W2800" s="1634"/>
      <c r="AD2800" s="1661"/>
      <c r="AE2800" s="1688"/>
      <c r="AF2800" s="1661"/>
      <c r="AG2800" s="1661"/>
      <c r="AH2800" s="1676"/>
      <c r="AI2800" s="1827" t="s">
        <v>1810</v>
      </c>
    </row>
    <row r="2801" spans="6:23" ht="24" customHeight="1">
      <c r="F2801" s="1830"/>
      <c r="G2801" s="1832"/>
      <c r="H2801" s="1653" t="s">
        <v>1695</v>
      </c>
      <c r="I2801" s="1830"/>
      <c r="J2801" s="1831"/>
      <c r="K2801" s="1830"/>
      <c r="W2801" s="1634"/>
    </row>
    <row r="2802" spans="6:23" ht="24" customHeight="1">
      <c r="F2802" s="1830"/>
      <c r="G2802" s="1832"/>
      <c r="H2802" s="1653" t="s">
        <v>1696</v>
      </c>
      <c r="I2802" s="1833" t="s">
        <v>2635</v>
      </c>
      <c r="J2802" s="1831"/>
      <c r="K2802" s="1830"/>
      <c r="W2802" s="1634"/>
    </row>
    <row r="2803" spans="6:23" ht="24" customHeight="1">
      <c r="F2803" s="1830"/>
      <c r="G2803" s="1832"/>
      <c r="H2803" s="1834" t="s">
        <v>21</v>
      </c>
      <c r="I2803" s="1830"/>
      <c r="J2803" s="1831"/>
      <c r="K2803" s="1830"/>
      <c r="W2803" s="1634"/>
    </row>
    <row r="2804" spans="6:23" ht="24" customHeight="1">
      <c r="F2804" s="1830"/>
      <c r="G2804" s="1832"/>
      <c r="H2804" s="1653" t="s">
        <v>2606</v>
      </c>
      <c r="I2804" s="1830"/>
      <c r="J2804" s="1831"/>
      <c r="K2804" s="1830"/>
      <c r="W2804" s="1634"/>
    </row>
    <row r="2805" spans="6:23" ht="24" customHeight="1">
      <c r="F2805" s="1830"/>
      <c r="G2805" s="1832"/>
      <c r="H2805" s="1653" t="s">
        <v>2610</v>
      </c>
      <c r="I2805" s="1830"/>
      <c r="J2805" s="1831"/>
      <c r="K2805" s="1830"/>
      <c r="W2805" s="1634"/>
    </row>
    <row r="2806" spans="6:23" ht="24" customHeight="1">
      <c r="F2806" s="1830"/>
      <c r="G2806" s="1832"/>
      <c r="H2806" s="1830"/>
      <c r="I2806" s="1830"/>
      <c r="J2806" s="1828" t="s">
        <v>21</v>
      </c>
      <c r="K2806" s="1830"/>
      <c r="W2806" s="1634"/>
    </row>
    <row r="2807" spans="6:23" ht="24" customHeight="1">
      <c r="F2807" s="1830"/>
      <c r="G2807" s="1832"/>
      <c r="H2807" s="1653" t="s">
        <v>2613</v>
      </c>
      <c r="I2807" s="1830"/>
      <c r="J2807" s="1831"/>
      <c r="K2807" s="1830"/>
      <c r="M2807" s="1628" t="s">
        <v>1693</v>
      </c>
      <c r="N2807" s="1638" t="s">
        <v>249</v>
      </c>
      <c r="O2807" s="1627" t="s">
        <v>1700</v>
      </c>
      <c r="Q2807" s="1634"/>
      <c r="W2807" s="1634"/>
    </row>
    <row r="2808" spans="6:23" ht="24" customHeight="1">
      <c r="F2808" s="1830"/>
      <c r="G2808" s="1832"/>
      <c r="H2808" s="1653" t="s">
        <v>2614</v>
      </c>
      <c r="I2808" s="1830"/>
      <c r="J2808" s="1831"/>
      <c r="K2808" s="1835">
        <v>2.7099999999999999E-2</v>
      </c>
      <c r="N2808" s="1630"/>
      <c r="O2808" s="1627" t="s">
        <v>1695</v>
      </c>
      <c r="Q2808" s="1634"/>
      <c r="W2808" s="1634"/>
    </row>
    <row r="2809" spans="6:23" ht="24" customHeight="1">
      <c r="F2809" s="1830"/>
      <c r="G2809" s="1832"/>
      <c r="H2809" s="1830"/>
      <c r="I2809" s="1830"/>
      <c r="J2809" s="1828" t="s">
        <v>150</v>
      </c>
      <c r="K2809" s="1834" t="s">
        <v>21</v>
      </c>
      <c r="N2809" s="1630"/>
      <c r="O2809" s="1627" t="s">
        <v>2636</v>
      </c>
      <c r="P2809" s="1661" t="s">
        <v>2637</v>
      </c>
      <c r="Q2809" s="1634"/>
      <c r="W2809" s="1634"/>
    </row>
    <row r="2810" spans="6:23" ht="24" customHeight="1">
      <c r="F2810" s="1830"/>
      <c r="G2810" s="1832"/>
      <c r="H2810" s="1653" t="s">
        <v>2616</v>
      </c>
      <c r="I2810" s="1830"/>
      <c r="J2810" s="1836" t="s">
        <v>150</v>
      </c>
      <c r="K2810" s="1835">
        <v>1.2840000000000001E-2</v>
      </c>
      <c r="N2810" s="1630"/>
      <c r="O2810" s="1636" t="s">
        <v>21</v>
      </c>
      <c r="Q2810" s="1634"/>
      <c r="W2810" s="1634"/>
    </row>
    <row r="2811" spans="6:23" ht="24" customHeight="1">
      <c r="F2811" s="1830"/>
      <c r="G2811" s="1832"/>
      <c r="H2811" s="1653" t="s">
        <v>2638</v>
      </c>
      <c r="I2811" s="1830"/>
      <c r="J2811" s="1828" t="s">
        <v>150</v>
      </c>
      <c r="K2811" s="1835">
        <v>3.5799999999999998E-3</v>
      </c>
      <c r="N2811" s="1630"/>
      <c r="O2811" s="1627" t="s">
        <v>2639</v>
      </c>
      <c r="Q2811" s="1634"/>
      <c r="W2811" s="1634"/>
    </row>
    <row r="2812" spans="6:23" ht="24" customHeight="1">
      <c r="F2812" s="1837"/>
      <c r="G2812" s="1832"/>
      <c r="H2812" s="1830"/>
      <c r="I2812" s="1830"/>
      <c r="J2812" s="1831"/>
      <c r="K2812" s="1834" t="s">
        <v>21</v>
      </c>
      <c r="N2812" s="1630"/>
      <c r="O2812" s="1627" t="s">
        <v>2610</v>
      </c>
      <c r="Q2812" s="1634"/>
      <c r="W2812" s="1634"/>
    </row>
    <row r="2813" spans="6:23" ht="24" customHeight="1">
      <c r="F2813" s="1835">
        <v>1.898E-2</v>
      </c>
      <c r="G2813" s="1829" t="s">
        <v>151</v>
      </c>
      <c r="H2813" s="1653" t="s">
        <v>1710</v>
      </c>
      <c r="I2813" s="1654">
        <f>AE26</f>
        <v>111600</v>
      </c>
      <c r="J2813" s="1828" t="s">
        <v>151</v>
      </c>
      <c r="K2813" s="1654">
        <f>(F2813*I2813)</f>
        <v>2118.1680000000001</v>
      </c>
      <c r="N2813" s="1630"/>
      <c r="Q2813" s="1628" t="s">
        <v>21</v>
      </c>
      <c r="W2813" s="1634"/>
    </row>
    <row r="2814" spans="6:23" ht="24" customHeight="1">
      <c r="F2814" s="1835">
        <f>K2808</f>
        <v>2.7099999999999999E-2</v>
      </c>
      <c r="G2814" s="1829" t="s">
        <v>151</v>
      </c>
      <c r="H2814" s="1653" t="s">
        <v>1711</v>
      </c>
      <c r="I2814" s="1654">
        <f>AE27</f>
        <v>99400</v>
      </c>
      <c r="J2814" s="1828" t="s">
        <v>151</v>
      </c>
      <c r="K2814" s="1654">
        <f t="shared" ref="K2814:K2824" si="267">(F2814*I2814)</f>
        <v>2693.74</v>
      </c>
      <c r="N2814" s="1630"/>
      <c r="O2814" s="1627" t="s">
        <v>2640</v>
      </c>
      <c r="Q2814" s="1634"/>
      <c r="W2814" s="1634"/>
    </row>
    <row r="2815" spans="6:23" ht="24" customHeight="1">
      <c r="F2815" s="1835">
        <f>L2778</f>
        <v>1.6420000000000001E-2</v>
      </c>
      <c r="G2815" s="1829" t="s">
        <v>151</v>
      </c>
      <c r="H2815" s="1653" t="s">
        <v>1712</v>
      </c>
      <c r="I2815" s="1654">
        <f>AE28</f>
        <v>95000</v>
      </c>
      <c r="J2815" s="1828" t="s">
        <v>151</v>
      </c>
      <c r="K2815" s="1654">
        <f t="shared" si="267"/>
        <v>1559.9</v>
      </c>
      <c r="N2815" s="1630"/>
      <c r="O2815" s="1627" t="s">
        <v>2641</v>
      </c>
      <c r="Q2815" s="1634"/>
      <c r="R2815" s="1691">
        <v>2.784E-2</v>
      </c>
      <c r="W2815" s="1634"/>
    </row>
    <row r="2816" spans="6:23" ht="24" customHeight="1">
      <c r="F2816" s="1838"/>
      <c r="G2816" s="1832"/>
      <c r="H2816" s="1653" t="s">
        <v>1785</v>
      </c>
      <c r="I2816" s="1654"/>
      <c r="J2816" s="1831"/>
      <c r="K2816" s="1654"/>
      <c r="N2816" s="1630"/>
      <c r="Q2816" s="1628" t="s">
        <v>150</v>
      </c>
      <c r="R2816" s="1636" t="s">
        <v>21</v>
      </c>
      <c r="W2816" s="1634"/>
    </row>
    <row r="2817" spans="6:23" ht="24" customHeight="1">
      <c r="F2817" s="1838">
        <v>1.8225</v>
      </c>
      <c r="G2817" s="1829" t="s">
        <v>152</v>
      </c>
      <c r="H2817" s="1653" t="s">
        <v>1708</v>
      </c>
      <c r="I2817" s="1654">
        <f>I954</f>
        <v>2039.8</v>
      </c>
      <c r="J2817" s="1828" t="s">
        <v>152</v>
      </c>
      <c r="K2817" s="1654">
        <f t="shared" si="267"/>
        <v>3717.5355</v>
      </c>
      <c r="N2817" s="1630"/>
      <c r="O2817" s="1627" t="s">
        <v>2642</v>
      </c>
      <c r="Q2817" s="1821" t="s">
        <v>150</v>
      </c>
      <c r="R2817" s="1691">
        <v>2.5499999999999998E-2</v>
      </c>
      <c r="W2817" s="1634"/>
    </row>
    <row r="2818" spans="6:23" ht="24" customHeight="1">
      <c r="F2818" s="1654">
        <v>2</v>
      </c>
      <c r="G2818" s="1829" t="s">
        <v>4</v>
      </c>
      <c r="H2818" s="1653" t="s">
        <v>5697</v>
      </c>
      <c r="I2818" s="1654">
        <v>254.5</v>
      </c>
      <c r="J2818" s="1828" t="s">
        <v>153</v>
      </c>
      <c r="K2818" s="1654">
        <f t="shared" si="267"/>
        <v>509</v>
      </c>
      <c r="N2818" s="1630"/>
      <c r="O2818" s="1627"/>
      <c r="Q2818" s="1628" t="s">
        <v>150</v>
      </c>
      <c r="R2818" s="1691"/>
      <c r="W2818" s="1634"/>
    </row>
    <row r="2819" spans="6:23" ht="24" customHeight="1">
      <c r="F2819" s="1654">
        <v>3</v>
      </c>
      <c r="G2819" s="1829" t="s">
        <v>153</v>
      </c>
      <c r="H2819" s="1653" t="s">
        <v>5698</v>
      </c>
      <c r="I2819" s="1654">
        <v>214.1</v>
      </c>
      <c r="J2819" s="1828" t="s">
        <v>153</v>
      </c>
      <c r="K2819" s="1654">
        <f t="shared" si="267"/>
        <v>642.29999999999995</v>
      </c>
      <c r="N2819" s="1630"/>
      <c r="Q2819" s="1634"/>
      <c r="R2819" s="1636" t="s">
        <v>21</v>
      </c>
      <c r="W2819" s="1634"/>
    </row>
    <row r="2820" spans="6:23" ht="24" customHeight="1">
      <c r="F2820" s="1654">
        <v>2</v>
      </c>
      <c r="G2820" s="1829" t="s">
        <v>153</v>
      </c>
      <c r="H2820" s="1653" t="s">
        <v>5699</v>
      </c>
      <c r="I2820" s="1654">
        <v>408</v>
      </c>
      <c r="J2820" s="1828" t="s">
        <v>153</v>
      </c>
      <c r="K2820" s="1654">
        <f t="shared" si="267"/>
        <v>816</v>
      </c>
      <c r="M2820" s="1691">
        <v>1.898E-2</v>
      </c>
      <c r="N2820" s="1638" t="s">
        <v>151</v>
      </c>
      <c r="O2820" s="1627" t="s">
        <v>1710</v>
      </c>
      <c r="P2820" s="1640">
        <f>I2813</f>
        <v>111600</v>
      </c>
      <c r="Q2820" s="1628" t="s">
        <v>151</v>
      </c>
      <c r="R2820" s="1640">
        <f>(M2820*P2820)</f>
        <v>2118.1680000000001</v>
      </c>
      <c r="W2820" s="1634"/>
    </row>
    <row r="2821" spans="6:23" ht="24" customHeight="1">
      <c r="F2821" s="1654">
        <v>1</v>
      </c>
      <c r="G2821" s="1829" t="s">
        <v>153</v>
      </c>
      <c r="H2821" s="1653" t="s">
        <v>5700</v>
      </c>
      <c r="I2821" s="1654">
        <v>836</v>
      </c>
      <c r="J2821" s="1828" t="s">
        <v>153</v>
      </c>
      <c r="K2821" s="1654">
        <f t="shared" si="267"/>
        <v>836</v>
      </c>
      <c r="M2821" s="1691">
        <f>R2815</f>
        <v>2.784E-2</v>
      </c>
      <c r="N2821" s="1638" t="s">
        <v>151</v>
      </c>
      <c r="O2821" s="1627" t="s">
        <v>1711</v>
      </c>
      <c r="P2821" s="1640">
        <f t="shared" ref="P2821:P2830" si="268">I2814</f>
        <v>99400</v>
      </c>
      <c r="Q2821" s="1628" t="s">
        <v>151</v>
      </c>
      <c r="R2821" s="1640">
        <f t="shared" ref="R2821:R2830" si="269">(M2821*P2821)</f>
        <v>2767.2959999999998</v>
      </c>
      <c r="W2821" s="1634"/>
    </row>
    <row r="2822" spans="6:23" ht="24" customHeight="1">
      <c r="F2822" s="1654">
        <v>1</v>
      </c>
      <c r="G2822" s="1829" t="s">
        <v>153</v>
      </c>
      <c r="H2822" s="1653" t="s">
        <v>1713</v>
      </c>
      <c r="I2822" s="1654">
        <v>7.3</v>
      </c>
      <c r="J2822" s="1828" t="s">
        <v>153</v>
      </c>
      <c r="K2822" s="1654">
        <f t="shared" si="267"/>
        <v>7.3</v>
      </c>
      <c r="M2822" s="1691">
        <f>R2817</f>
        <v>2.5499999999999998E-2</v>
      </c>
      <c r="N2822" s="1638" t="s">
        <v>151</v>
      </c>
      <c r="O2822" s="1627" t="s">
        <v>1712</v>
      </c>
      <c r="P2822" s="1640">
        <f t="shared" si="268"/>
        <v>95000</v>
      </c>
      <c r="Q2822" s="1628" t="s">
        <v>151</v>
      </c>
      <c r="R2822" s="1640">
        <f t="shared" si="269"/>
        <v>2422.5</v>
      </c>
      <c r="W2822" s="1634"/>
    </row>
    <row r="2823" spans="6:23" ht="24" customHeight="1">
      <c r="F2823" s="1654">
        <v>1</v>
      </c>
      <c r="G2823" s="1829" t="s">
        <v>153</v>
      </c>
      <c r="H2823" s="1653" t="s">
        <v>5701</v>
      </c>
      <c r="I2823" s="1654">
        <v>49.55</v>
      </c>
      <c r="J2823" s="1828" t="s">
        <v>153</v>
      </c>
      <c r="K2823" s="1654">
        <f t="shared" si="267"/>
        <v>49.55</v>
      </c>
      <c r="M2823" s="1692"/>
      <c r="N2823" s="1630"/>
      <c r="O2823" s="1627" t="s">
        <v>2647</v>
      </c>
      <c r="P2823" s="1640"/>
      <c r="Q2823" s="1634"/>
      <c r="R2823" s="1640"/>
      <c r="W2823" s="1634"/>
    </row>
    <row r="2824" spans="6:23" ht="24" customHeight="1">
      <c r="F2824" s="1830">
        <v>64</v>
      </c>
      <c r="G2824" s="1832"/>
      <c r="H2824" s="1830" t="s">
        <v>2648</v>
      </c>
      <c r="I2824" s="1830">
        <f>P1121</f>
        <v>2.41</v>
      </c>
      <c r="J2824" s="1831"/>
      <c r="K2824" s="1654">
        <f t="shared" si="267"/>
        <v>154.24</v>
      </c>
      <c r="M2824" s="1692">
        <v>2.2275</v>
      </c>
      <c r="N2824" s="1638" t="s">
        <v>152</v>
      </c>
      <c r="O2824" s="1627" t="s">
        <v>1708</v>
      </c>
      <c r="P2824" s="1640">
        <f t="shared" si="268"/>
        <v>2039.8</v>
      </c>
      <c r="Q2824" s="1628" t="s">
        <v>152</v>
      </c>
      <c r="R2824" s="1640">
        <f t="shared" si="269"/>
        <v>4543.6544999999996</v>
      </c>
      <c r="W2824" s="1634"/>
    </row>
    <row r="2825" spans="6:23" ht="24" customHeight="1">
      <c r="F2825" s="1830"/>
      <c r="G2825" s="1832"/>
      <c r="H2825" s="1653" t="s">
        <v>2631</v>
      </c>
      <c r="I2825" s="1830"/>
      <c r="J2825" s="1831"/>
      <c r="K2825" s="1654">
        <f>SUM(K2813:K2824)</f>
        <v>13103.733499999997</v>
      </c>
      <c r="M2825" s="1640">
        <v>1</v>
      </c>
      <c r="N2825" s="1638" t="s">
        <v>4</v>
      </c>
      <c r="O2825" s="1627" t="s">
        <v>1709</v>
      </c>
      <c r="P2825" s="1640">
        <f t="shared" si="268"/>
        <v>254.5</v>
      </c>
      <c r="Q2825" s="1628" t="s">
        <v>153</v>
      </c>
      <c r="R2825" s="1640">
        <f t="shared" si="269"/>
        <v>254.5</v>
      </c>
      <c r="W2825" s="1634"/>
    </row>
    <row r="2826" spans="6:23" ht="24" customHeight="1">
      <c r="F2826" s="1830"/>
      <c r="G2826" s="1832"/>
      <c r="H2826" s="1830"/>
      <c r="I2826" s="1830"/>
      <c r="J2826" s="1831"/>
      <c r="K2826" s="1834" t="s">
        <v>21</v>
      </c>
      <c r="M2826" s="1640">
        <v>3</v>
      </c>
      <c r="N2826" s="1638" t="s">
        <v>153</v>
      </c>
      <c r="O2826" s="1627" t="s">
        <v>391</v>
      </c>
      <c r="P2826" s="1640">
        <f t="shared" si="268"/>
        <v>214.1</v>
      </c>
      <c r="Q2826" s="1628" t="s">
        <v>153</v>
      </c>
      <c r="R2826" s="1640">
        <f t="shared" si="269"/>
        <v>642.29999999999995</v>
      </c>
      <c r="W2826" s="1634"/>
    </row>
    <row r="2827" spans="6:23" ht="24" customHeight="1">
      <c r="H2827" s="1627" t="s">
        <v>155</v>
      </c>
      <c r="J2827" s="1634"/>
      <c r="K2827" s="1639">
        <f>K2825/F2817</f>
        <v>7189.9772290809306</v>
      </c>
      <c r="M2827" s="1640">
        <v>2</v>
      </c>
      <c r="N2827" s="1638" t="s">
        <v>153</v>
      </c>
      <c r="O2827" s="1627" t="s">
        <v>392</v>
      </c>
      <c r="P2827" s="1640">
        <f t="shared" si="268"/>
        <v>408</v>
      </c>
      <c r="Q2827" s="1628" t="s">
        <v>153</v>
      </c>
      <c r="R2827" s="1640">
        <f t="shared" si="269"/>
        <v>816</v>
      </c>
      <c r="W2827" s="1634"/>
    </row>
    <row r="2828" spans="6:23" ht="24" customHeight="1">
      <c r="J2828" s="1634"/>
      <c r="M2828" s="1640">
        <v>1</v>
      </c>
      <c r="N2828" s="1638" t="s">
        <v>153</v>
      </c>
      <c r="O2828" s="1627" t="s">
        <v>393</v>
      </c>
      <c r="P2828" s="1640">
        <f t="shared" si="268"/>
        <v>836</v>
      </c>
      <c r="Q2828" s="1628" t="s">
        <v>153</v>
      </c>
      <c r="R2828" s="1640">
        <f t="shared" si="269"/>
        <v>836</v>
      </c>
      <c r="W2828" s="1634"/>
    </row>
    <row r="2829" spans="6:23" ht="24" customHeight="1">
      <c r="F2829" s="1628" t="s">
        <v>1693</v>
      </c>
      <c r="G2829" s="1638" t="s">
        <v>249</v>
      </c>
      <c r="H2829" s="1627" t="s">
        <v>2649</v>
      </c>
      <c r="J2829" s="1634"/>
      <c r="M2829" s="1640">
        <v>1</v>
      </c>
      <c r="N2829" s="1638" t="s">
        <v>153</v>
      </c>
      <c r="O2829" s="1627" t="s">
        <v>1713</v>
      </c>
      <c r="P2829" s="1640">
        <f t="shared" si="268"/>
        <v>7.3</v>
      </c>
      <c r="Q2829" s="1628" t="s">
        <v>153</v>
      </c>
      <c r="R2829" s="1640">
        <f t="shared" si="269"/>
        <v>7.3</v>
      </c>
      <c r="W2829" s="1634"/>
    </row>
    <row r="2830" spans="6:23" ht="24" customHeight="1">
      <c r="H2830" s="1627" t="s">
        <v>1695</v>
      </c>
      <c r="J2830" s="1634"/>
      <c r="M2830" s="1640">
        <v>1</v>
      </c>
      <c r="N2830" s="1638" t="s">
        <v>153</v>
      </c>
      <c r="O2830" s="1627" t="s">
        <v>886</v>
      </c>
      <c r="P2830" s="1640">
        <f t="shared" si="268"/>
        <v>49.55</v>
      </c>
      <c r="Q2830" s="1628" t="s">
        <v>153</v>
      </c>
      <c r="R2830" s="1640">
        <f t="shared" si="269"/>
        <v>49.55</v>
      </c>
      <c r="W2830" s="1634"/>
    </row>
    <row r="2831" spans="6:23" ht="24" customHeight="1">
      <c r="H2831" s="1627" t="s">
        <v>1696</v>
      </c>
      <c r="J2831" s="1634">
        <f>1.1*2.025</f>
        <v>2.2275</v>
      </c>
      <c r="M2831" s="1629">
        <v>58</v>
      </c>
      <c r="N2831" s="1638" t="s">
        <v>153</v>
      </c>
      <c r="O2831" s="1629" t="s">
        <v>1734</v>
      </c>
      <c r="P2831" s="1629">
        <f>P1121</f>
        <v>2.41</v>
      </c>
      <c r="Q2831" s="1634" t="s">
        <v>153</v>
      </c>
      <c r="R2831" s="1640">
        <f>(M2831*P2831)</f>
        <v>139.78</v>
      </c>
      <c r="W2831" s="1634"/>
    </row>
    <row r="2832" spans="6:23" ht="24" customHeight="1">
      <c r="H2832" s="1636" t="s">
        <v>21</v>
      </c>
      <c r="J2832" s="1634"/>
      <c r="N2832" s="1630"/>
      <c r="O2832" s="1627" t="s">
        <v>2650</v>
      </c>
      <c r="Q2832" s="1634"/>
      <c r="R2832" s="1640">
        <f>SUM(R2820:R2831)</f>
        <v>14597.048499999999</v>
      </c>
      <c r="W2832" s="1634"/>
    </row>
    <row r="2833" spans="6:23" ht="28.5" customHeight="1">
      <c r="H2833" s="1627" t="s">
        <v>1698</v>
      </c>
      <c r="J2833" s="1634"/>
      <c r="N2833" s="1630"/>
      <c r="Q2833" s="1634"/>
      <c r="R2833" s="1636" t="s">
        <v>21</v>
      </c>
      <c r="W2833" s="1634"/>
    </row>
    <row r="2834" spans="6:23" ht="63">
      <c r="F2834" s="1633">
        <v>1.823</v>
      </c>
      <c r="G2834" s="1638" t="s">
        <v>152</v>
      </c>
      <c r="H2834" s="1680" t="s">
        <v>5702</v>
      </c>
      <c r="I2834" s="1701">
        <v>2180</v>
      </c>
      <c r="J2834" s="1628" t="s">
        <v>152</v>
      </c>
      <c r="K2834" s="1629">
        <f>F2835*I2834</f>
        <v>3974.14</v>
      </c>
      <c r="N2834" s="1630"/>
      <c r="O2834" s="1627" t="s">
        <v>155</v>
      </c>
      <c r="Q2834" s="1634"/>
      <c r="R2834" s="1640">
        <f>R2832/M2824</f>
        <v>6553.1081930415257</v>
      </c>
      <c r="W2834" s="1634"/>
    </row>
    <row r="2835" spans="6:23" ht="24" customHeight="1">
      <c r="F2835" s="1658">
        <v>1.823</v>
      </c>
      <c r="G2835" s="1638" t="s">
        <v>152</v>
      </c>
      <c r="H2835" s="1700" t="s">
        <v>5230</v>
      </c>
      <c r="I2835" s="1640">
        <f>AG52</f>
        <v>284.2</v>
      </c>
      <c r="J2835" s="1628" t="s">
        <v>152</v>
      </c>
      <c r="K2835" s="1640">
        <f t="shared" ref="K2835:K2841" si="270">(F2835*I2835)</f>
        <v>518.09659999999997</v>
      </c>
      <c r="W2835" s="1634"/>
    </row>
    <row r="2836" spans="6:23" ht="24" customHeight="1">
      <c r="F2836" s="1640">
        <v>2</v>
      </c>
      <c r="G2836" s="1638" t="s">
        <v>4</v>
      </c>
      <c r="H2836" s="1627" t="s">
        <v>1709</v>
      </c>
      <c r="I2836" s="1640">
        <f t="shared" ref="I2836:I2841" si="271">I990</f>
        <v>57.65</v>
      </c>
      <c r="J2836" s="1628" t="s">
        <v>153</v>
      </c>
      <c r="K2836" s="1640">
        <f t="shared" si="270"/>
        <v>115.3</v>
      </c>
      <c r="W2836" s="1634"/>
    </row>
    <row r="2837" spans="6:23" ht="24" customHeight="1">
      <c r="F2837" s="1640">
        <v>3</v>
      </c>
      <c r="G2837" s="1638" t="s">
        <v>153</v>
      </c>
      <c r="H2837" s="1627" t="s">
        <v>391</v>
      </c>
      <c r="I2837" s="1640">
        <f t="shared" si="271"/>
        <v>89.6</v>
      </c>
      <c r="J2837" s="1628" t="s">
        <v>153</v>
      </c>
      <c r="K2837" s="1640">
        <f t="shared" si="270"/>
        <v>268.79999999999995</v>
      </c>
      <c r="W2837" s="1634"/>
    </row>
    <row r="2838" spans="6:23" ht="24" customHeight="1">
      <c r="F2838" s="1640">
        <v>2</v>
      </c>
      <c r="G2838" s="1638" t="s">
        <v>153</v>
      </c>
      <c r="H2838" s="1627" t="s">
        <v>392</v>
      </c>
      <c r="I2838" s="1640">
        <f t="shared" si="271"/>
        <v>64.8</v>
      </c>
      <c r="J2838" s="1628" t="s">
        <v>153</v>
      </c>
      <c r="K2838" s="1640">
        <f t="shared" si="270"/>
        <v>129.6</v>
      </c>
      <c r="W2838" s="1634"/>
    </row>
    <row r="2839" spans="6:23" ht="24" customHeight="1">
      <c r="F2839" s="1640">
        <v>1</v>
      </c>
      <c r="G2839" s="1638" t="s">
        <v>153</v>
      </c>
      <c r="H2839" s="1627" t="s">
        <v>393</v>
      </c>
      <c r="I2839" s="1640">
        <f t="shared" si="271"/>
        <v>181</v>
      </c>
      <c r="J2839" s="1628" t="s">
        <v>153</v>
      </c>
      <c r="K2839" s="1640">
        <f t="shared" si="270"/>
        <v>181</v>
      </c>
      <c r="W2839" s="1634"/>
    </row>
    <row r="2840" spans="6:23" ht="24" customHeight="1">
      <c r="F2840" s="1640">
        <v>1</v>
      </c>
      <c r="G2840" s="1638" t="s">
        <v>153</v>
      </c>
      <c r="H2840" s="1627" t="s">
        <v>1713</v>
      </c>
      <c r="I2840" s="1640">
        <f t="shared" si="271"/>
        <v>7.3</v>
      </c>
      <c r="J2840" s="1628" t="s">
        <v>153</v>
      </c>
      <c r="K2840" s="1640">
        <f t="shared" si="270"/>
        <v>7.3</v>
      </c>
      <c r="M2840" s="1628" t="s">
        <v>1693</v>
      </c>
      <c r="N2840" s="1638" t="s">
        <v>249</v>
      </c>
      <c r="O2840" s="1627" t="s">
        <v>1700</v>
      </c>
      <c r="Q2840" s="1634"/>
      <c r="W2840" s="1634"/>
    </row>
    <row r="2841" spans="6:23" ht="24" customHeight="1">
      <c r="F2841" s="1640">
        <v>1</v>
      </c>
      <c r="G2841" s="1638" t="s">
        <v>153</v>
      </c>
      <c r="H2841" s="1627" t="s">
        <v>886</v>
      </c>
      <c r="I2841" s="1640">
        <f t="shared" si="271"/>
        <v>49.55</v>
      </c>
      <c r="J2841" s="1628" t="s">
        <v>153</v>
      </c>
      <c r="K2841" s="1640">
        <f t="shared" si="270"/>
        <v>49.55</v>
      </c>
      <c r="N2841" s="1630"/>
      <c r="O2841" s="1627" t="s">
        <v>1695</v>
      </c>
      <c r="P2841" s="1661" t="s">
        <v>2653</v>
      </c>
      <c r="Q2841" s="1634"/>
      <c r="W2841" s="1634"/>
    </row>
    <row r="2842" spans="6:23" ht="24" customHeight="1">
      <c r="J2842" s="1634"/>
      <c r="K2842" s="1656">
        <v>0.85</v>
      </c>
      <c r="N2842" s="1630"/>
      <c r="O2842" s="1627" t="s">
        <v>2636</v>
      </c>
      <c r="P2842" s="1661" t="s">
        <v>2654</v>
      </c>
      <c r="Q2842" s="1634"/>
      <c r="W2842" s="1634"/>
    </row>
    <row r="2843" spans="6:23" ht="24" customHeight="1">
      <c r="H2843" s="1627" t="s">
        <v>2655</v>
      </c>
      <c r="J2843" s="1634"/>
      <c r="K2843" s="1640">
        <f>SUM(K2834:K2842)</f>
        <v>5244.6366000000016</v>
      </c>
      <c r="N2843" s="1630"/>
      <c r="O2843" s="1636" t="s">
        <v>21</v>
      </c>
      <c r="Q2843" s="1634"/>
      <c r="W2843" s="1634"/>
    </row>
    <row r="2844" spans="6:23" ht="24" customHeight="1">
      <c r="J2844" s="1634"/>
      <c r="K2844" s="1636" t="s">
        <v>21</v>
      </c>
      <c r="N2844" s="1630"/>
      <c r="O2844" s="1627" t="s">
        <v>2656</v>
      </c>
      <c r="Q2844" s="1634"/>
      <c r="W2844" s="1634"/>
    </row>
    <row r="2845" spans="6:23" ht="24" customHeight="1">
      <c r="H2845" s="1627" t="s">
        <v>155</v>
      </c>
      <c r="J2845" s="1634"/>
      <c r="K2845" s="1640">
        <f>K2843/F2835</f>
        <v>2876.9262753702697</v>
      </c>
      <c r="N2845" s="1630"/>
      <c r="O2845" s="1627" t="s">
        <v>2657</v>
      </c>
      <c r="Q2845" s="1634"/>
      <c r="W2845" s="1634"/>
    </row>
    <row r="2846" spans="6:23" ht="24" customHeight="1">
      <c r="F2846" s="1627" t="s">
        <v>150</v>
      </c>
      <c r="J2846" s="1634"/>
      <c r="N2846" s="1630"/>
      <c r="Q2846" s="1628" t="s">
        <v>21</v>
      </c>
      <c r="W2846" s="1634"/>
    </row>
    <row r="2847" spans="6:23" ht="24" customHeight="1">
      <c r="J2847" s="1634"/>
      <c r="N2847" s="1630"/>
      <c r="O2847" s="1627" t="s">
        <v>2658</v>
      </c>
      <c r="Q2847" s="1634"/>
      <c r="W2847" s="1634"/>
    </row>
    <row r="2848" spans="6:23" ht="24" customHeight="1">
      <c r="F2848" s="1662" t="s">
        <v>2571</v>
      </c>
      <c r="H2848" s="1627" t="s">
        <v>2659</v>
      </c>
      <c r="N2848" s="1630"/>
      <c r="O2848" s="1627" t="s">
        <v>2660</v>
      </c>
      <c r="Q2848" s="1634"/>
      <c r="R2848" s="1691">
        <v>2.8910000000000002E-2</v>
      </c>
      <c r="W2848" s="1634"/>
    </row>
    <row r="2849" spans="6:23" ht="24" customHeight="1">
      <c r="H2849" s="1636" t="s">
        <v>21</v>
      </c>
      <c r="I2849" s="1636" t="s">
        <v>21</v>
      </c>
      <c r="J2849" s="1627" t="s">
        <v>21</v>
      </c>
      <c r="N2849" s="1630"/>
      <c r="Q2849" s="1628" t="s">
        <v>150</v>
      </c>
      <c r="R2849" s="1636" t="s">
        <v>21</v>
      </c>
      <c r="W2849" s="1634"/>
    </row>
    <row r="2850" spans="6:23" ht="24" customHeight="1">
      <c r="N2850" s="1630"/>
      <c r="O2850" s="1627" t="s">
        <v>2661</v>
      </c>
      <c r="Q2850" s="1821" t="s">
        <v>150</v>
      </c>
      <c r="R2850" s="1691"/>
      <c r="W2850" s="1634"/>
    </row>
    <row r="2851" spans="6:23" ht="24" customHeight="1">
      <c r="H2851" s="1627" t="s">
        <v>1804</v>
      </c>
      <c r="N2851" s="1630"/>
      <c r="O2851" s="1627" t="s">
        <v>2662</v>
      </c>
      <c r="Q2851" s="1628" t="s">
        <v>150</v>
      </c>
      <c r="R2851" s="1691">
        <v>1.7999999999999999E-2</v>
      </c>
      <c r="W2851" s="1634"/>
    </row>
    <row r="2852" spans="6:23" ht="24" customHeight="1">
      <c r="H2852" s="1627"/>
      <c r="N2852" s="1630"/>
      <c r="Q2852" s="1634"/>
      <c r="R2852" s="1636" t="s">
        <v>21</v>
      </c>
      <c r="W2852" s="1634"/>
    </row>
    <row r="2853" spans="6:23" ht="24" customHeight="1">
      <c r="H2853" s="1710" t="s">
        <v>1806</v>
      </c>
      <c r="K2853" s="1698"/>
      <c r="M2853" s="1691">
        <v>1.9220000000000001E-2</v>
      </c>
      <c r="N2853" s="1638" t="s">
        <v>151</v>
      </c>
      <c r="O2853" s="1627" t="s">
        <v>1710</v>
      </c>
      <c r="P2853" s="1640">
        <f>P2820</f>
        <v>111600</v>
      </c>
      <c r="Q2853" s="1628" t="s">
        <v>151</v>
      </c>
      <c r="R2853" s="1640">
        <f>(M2853*P2853)</f>
        <v>2144.9520000000002</v>
      </c>
      <c r="W2853" s="1634"/>
    </row>
    <row r="2854" spans="6:23" ht="24" customHeight="1">
      <c r="H2854" s="1627" t="s">
        <v>1807</v>
      </c>
      <c r="I2854" s="1723">
        <f>0.0118+0.00675</f>
        <v>1.8550000000000001E-2</v>
      </c>
      <c r="M2854" s="1691">
        <f>R2848</f>
        <v>2.8910000000000002E-2</v>
      </c>
      <c r="N2854" s="1638" t="s">
        <v>151</v>
      </c>
      <c r="O2854" s="1627" t="s">
        <v>1711</v>
      </c>
      <c r="P2854" s="1640">
        <f t="shared" ref="P2854:P2863" si="272">P2821</f>
        <v>99400</v>
      </c>
      <c r="Q2854" s="1628" t="s">
        <v>151</v>
      </c>
      <c r="R2854" s="1640">
        <f>(M2854*P2854)</f>
        <v>2873.654</v>
      </c>
      <c r="W2854" s="1634"/>
    </row>
    <row r="2855" spans="6:23" ht="24" customHeight="1">
      <c r="H2855" s="1627" t="s">
        <v>1808</v>
      </c>
      <c r="M2855" s="1691">
        <f>R2851</f>
        <v>1.7999999999999999E-2</v>
      </c>
      <c r="N2855" s="1638" t="s">
        <v>151</v>
      </c>
      <c r="O2855" s="1627" t="s">
        <v>1712</v>
      </c>
      <c r="P2855" s="1640">
        <f t="shared" si="272"/>
        <v>95000</v>
      </c>
      <c r="Q2855" s="1628" t="s">
        <v>151</v>
      </c>
      <c r="R2855" s="1640">
        <f>(M2855*P2855)</f>
        <v>1709.9999999999998</v>
      </c>
      <c r="W2855" s="1634"/>
    </row>
    <row r="2856" spans="6:23" ht="24" customHeight="1">
      <c r="H2856" s="1627" t="s">
        <v>1809</v>
      </c>
      <c r="M2856" s="1692"/>
      <c r="N2856" s="1630"/>
      <c r="O2856" s="1627" t="s">
        <v>2647</v>
      </c>
      <c r="P2856" s="1640"/>
      <c r="Q2856" s="1634"/>
      <c r="R2856" s="1640"/>
      <c r="W2856" s="1634"/>
    </row>
    <row r="2857" spans="6:23" ht="24" customHeight="1">
      <c r="H2857" s="1627" t="s">
        <v>2573</v>
      </c>
      <c r="J2857" s="1627" t="s">
        <v>150</v>
      </c>
      <c r="K2857" s="1691">
        <v>3.7699999999999997E-2</v>
      </c>
      <c r="M2857" s="1692">
        <v>2.2549999999999999</v>
      </c>
      <c r="N2857" s="1638" t="s">
        <v>152</v>
      </c>
      <c r="O2857" s="1627" t="s">
        <v>1708</v>
      </c>
      <c r="P2857" s="1640">
        <f t="shared" si="272"/>
        <v>2039.8</v>
      </c>
      <c r="Q2857" s="1628" t="s">
        <v>152</v>
      </c>
      <c r="R2857" s="1640">
        <f t="shared" ref="R2857:R2863" si="273">(M2857*P2857)</f>
        <v>4599.7489999999998</v>
      </c>
      <c r="W2857" s="1634"/>
    </row>
    <row r="2858" spans="6:23" ht="24" customHeight="1">
      <c r="H2858" s="1627" t="s">
        <v>2663</v>
      </c>
      <c r="J2858" s="1710" t="s">
        <v>150</v>
      </c>
      <c r="K2858" s="1710" t="s">
        <v>150</v>
      </c>
      <c r="M2858" s="1640">
        <v>1</v>
      </c>
      <c r="N2858" s="1638" t="s">
        <v>4</v>
      </c>
      <c r="O2858" s="1627" t="s">
        <v>1709</v>
      </c>
      <c r="P2858" s="1640">
        <f t="shared" si="272"/>
        <v>254.5</v>
      </c>
      <c r="Q2858" s="1628" t="s">
        <v>153</v>
      </c>
      <c r="R2858" s="1640">
        <f t="shared" si="273"/>
        <v>254.5</v>
      </c>
      <c r="W2858" s="1634"/>
    </row>
    <row r="2859" spans="6:23" ht="67.5" customHeight="1">
      <c r="H2859" s="1627" t="s">
        <v>1814</v>
      </c>
      <c r="K2859" s="1710" t="s">
        <v>150</v>
      </c>
      <c r="M2859" s="1640">
        <v>3</v>
      </c>
      <c r="N2859" s="1638" t="s">
        <v>153</v>
      </c>
      <c r="O2859" s="1627" t="s">
        <v>391</v>
      </c>
      <c r="P2859" s="1640">
        <f t="shared" si="272"/>
        <v>214.1</v>
      </c>
      <c r="Q2859" s="1628" t="s">
        <v>153</v>
      </c>
      <c r="R2859" s="1640">
        <f t="shared" si="273"/>
        <v>642.29999999999995</v>
      </c>
      <c r="W2859" s="1634"/>
    </row>
    <row r="2860" spans="6:23" ht="24" customHeight="1">
      <c r="H2860" s="1627"/>
      <c r="K2860" s="1710"/>
      <c r="M2860" s="1640">
        <v>2</v>
      </c>
      <c r="N2860" s="1638" t="s">
        <v>153</v>
      </c>
      <c r="O2860" s="1627" t="s">
        <v>392</v>
      </c>
      <c r="P2860" s="1640">
        <f t="shared" si="272"/>
        <v>408</v>
      </c>
      <c r="Q2860" s="1628" t="s">
        <v>153</v>
      </c>
      <c r="R2860" s="1640">
        <f t="shared" si="273"/>
        <v>816</v>
      </c>
      <c r="W2860" s="1634"/>
    </row>
    <row r="2861" spans="6:23" ht="24" customHeight="1">
      <c r="H2861" s="1627"/>
      <c r="K2861" s="1710"/>
      <c r="M2861" s="1640">
        <v>1</v>
      </c>
      <c r="N2861" s="1638" t="s">
        <v>153</v>
      </c>
      <c r="O2861" s="1627" t="s">
        <v>393</v>
      </c>
      <c r="P2861" s="1640">
        <f t="shared" si="272"/>
        <v>836</v>
      </c>
      <c r="Q2861" s="1628" t="s">
        <v>153</v>
      </c>
      <c r="R2861" s="1640">
        <f t="shared" si="273"/>
        <v>836</v>
      </c>
      <c r="W2861" s="1634"/>
    </row>
    <row r="2862" spans="6:23" ht="24" customHeight="1">
      <c r="M2862" s="1640">
        <v>1</v>
      </c>
      <c r="N2862" s="1638" t="s">
        <v>153</v>
      </c>
      <c r="O2862" s="1627" t="s">
        <v>1713</v>
      </c>
      <c r="P2862" s="1640">
        <f t="shared" si="272"/>
        <v>7.3</v>
      </c>
      <c r="Q2862" s="1628" t="s">
        <v>153</v>
      </c>
      <c r="R2862" s="1640">
        <f t="shared" si="273"/>
        <v>7.3</v>
      </c>
      <c r="W2862" s="1634"/>
    </row>
    <row r="2863" spans="6:23" ht="24" customHeight="1">
      <c r="F2863" s="1715">
        <v>1.18E-2</v>
      </c>
      <c r="G2863" s="1638" t="s">
        <v>151</v>
      </c>
      <c r="H2863" s="1627" t="s">
        <v>877</v>
      </c>
      <c r="I2863" s="1640">
        <f>I2813</f>
        <v>111600</v>
      </c>
      <c r="J2863" s="1627" t="s">
        <v>151</v>
      </c>
      <c r="K2863" s="1640">
        <f t="shared" ref="K2863:K2872" si="274">(F2863*I2863)</f>
        <v>1316.8799999999999</v>
      </c>
      <c r="M2863" s="1640">
        <v>1</v>
      </c>
      <c r="N2863" s="1638" t="s">
        <v>153</v>
      </c>
      <c r="O2863" s="1627" t="s">
        <v>886</v>
      </c>
      <c r="P2863" s="1640">
        <f t="shared" si="272"/>
        <v>49.55</v>
      </c>
      <c r="Q2863" s="1628" t="s">
        <v>153</v>
      </c>
      <c r="R2863" s="1640">
        <f t="shared" si="273"/>
        <v>49.55</v>
      </c>
      <c r="W2863" s="1634"/>
    </row>
    <row r="2864" spans="6:23" ht="24" customHeight="1">
      <c r="F2864" s="1691">
        <v>6.7499999999999999E-3</v>
      </c>
      <c r="G2864" s="1638" t="s">
        <v>151</v>
      </c>
      <c r="H2864" s="1627" t="s">
        <v>878</v>
      </c>
      <c r="I2864" s="1640">
        <f>I2814</f>
        <v>99400</v>
      </c>
      <c r="J2864" s="1627" t="s">
        <v>151</v>
      </c>
      <c r="K2864" s="1640">
        <f t="shared" si="274"/>
        <v>670.95</v>
      </c>
      <c r="M2864" s="1629">
        <v>58</v>
      </c>
      <c r="N2864" s="1638" t="s">
        <v>153</v>
      </c>
      <c r="O2864" s="1629" t="s">
        <v>1734</v>
      </c>
      <c r="P2864" s="1629">
        <f>P2831</f>
        <v>2.41</v>
      </c>
      <c r="Q2864" s="1634" t="s">
        <v>153</v>
      </c>
      <c r="R2864" s="1640">
        <f>(M2864*P2864)</f>
        <v>139.78</v>
      </c>
      <c r="W2864" s="1634"/>
    </row>
    <row r="2865" spans="6:23" ht="24" customHeight="1">
      <c r="F2865" s="1691">
        <v>1.8550000000000001E-2</v>
      </c>
      <c r="G2865" s="1638" t="s">
        <v>151</v>
      </c>
      <c r="H2865" s="1627" t="s">
        <v>1815</v>
      </c>
      <c r="I2865" s="1640">
        <f>C30</f>
        <v>18172</v>
      </c>
      <c r="J2865" s="1627" t="s">
        <v>151</v>
      </c>
      <c r="K2865" s="1640">
        <f t="shared" si="274"/>
        <v>337.09059999999999</v>
      </c>
      <c r="N2865" s="1630"/>
      <c r="O2865" s="1627" t="s">
        <v>2664</v>
      </c>
      <c r="Q2865" s="1634"/>
      <c r="R2865" s="1640">
        <f>SUM(R2853:R2864)+21.502</f>
        <v>14095.286999999998</v>
      </c>
      <c r="W2865" s="1634"/>
    </row>
    <row r="2866" spans="6:23" ht="24" customHeight="1">
      <c r="F2866" s="1691">
        <v>2.0499999999999998</v>
      </c>
      <c r="G2866" s="1638" t="s">
        <v>152</v>
      </c>
      <c r="H2866" s="1627" t="s">
        <v>2665</v>
      </c>
      <c r="I2866" s="1640">
        <v>840</v>
      </c>
      <c r="J2866" s="1627" t="s">
        <v>152</v>
      </c>
      <c r="K2866" s="1640">
        <f t="shared" si="274"/>
        <v>1721.9999999999998</v>
      </c>
      <c r="N2866" s="1630"/>
      <c r="Q2866" s="1634"/>
      <c r="R2866" s="1636" t="s">
        <v>21</v>
      </c>
      <c r="W2866" s="1634"/>
    </row>
    <row r="2867" spans="6:23" ht="36" customHeight="1">
      <c r="F2867" s="1691">
        <v>2.0499999999999998</v>
      </c>
      <c r="G2867" s="1638" t="s">
        <v>152</v>
      </c>
      <c r="H2867" s="1839" t="s">
        <v>5231</v>
      </c>
      <c r="I2867" s="1640">
        <f>AG53</f>
        <v>438.2</v>
      </c>
      <c r="J2867" s="1627" t="s">
        <v>152</v>
      </c>
      <c r="K2867" s="1640">
        <f t="shared" si="274"/>
        <v>898.31</v>
      </c>
      <c r="N2867" s="1630"/>
      <c r="O2867" s="1627" t="s">
        <v>155</v>
      </c>
      <c r="Q2867" s="1634"/>
      <c r="R2867" s="1640">
        <f>R2865/M2857</f>
        <v>6250.6815964523275</v>
      </c>
      <c r="W2867" s="1634"/>
    </row>
    <row r="2868" spans="6:23" ht="24" customHeight="1">
      <c r="F2868" s="1640">
        <v>2</v>
      </c>
      <c r="G2868" s="1638" t="s">
        <v>153</v>
      </c>
      <c r="H2868" s="1627" t="s">
        <v>2575</v>
      </c>
      <c r="I2868" s="1640">
        <f>E285</f>
        <v>57</v>
      </c>
      <c r="J2868" s="1627" t="s">
        <v>153</v>
      </c>
      <c r="K2868" s="1640">
        <f t="shared" si="274"/>
        <v>114</v>
      </c>
      <c r="W2868" s="1634"/>
    </row>
    <row r="2869" spans="6:23" ht="24" customHeight="1">
      <c r="F2869" s="1640">
        <v>8</v>
      </c>
      <c r="G2869" s="1638" t="s">
        <v>153</v>
      </c>
      <c r="H2869" s="1627" t="s">
        <v>1776</v>
      </c>
      <c r="I2869" s="1640">
        <f>C282</f>
        <v>49.35</v>
      </c>
      <c r="J2869" s="1627" t="s">
        <v>153</v>
      </c>
      <c r="K2869" s="1640">
        <f t="shared" si="274"/>
        <v>394.8</v>
      </c>
      <c r="W2869" s="1634"/>
    </row>
    <row r="2870" spans="6:23" ht="24" customHeight="1">
      <c r="F2870" s="1640">
        <v>2</v>
      </c>
      <c r="G2870" s="1638" t="s">
        <v>153</v>
      </c>
      <c r="H2870" s="1627" t="s">
        <v>2578</v>
      </c>
      <c r="I2870" s="1640">
        <f>I1134</f>
        <v>60.9</v>
      </c>
      <c r="J2870" s="1627" t="s">
        <v>153</v>
      </c>
      <c r="K2870" s="1640">
        <f t="shared" si="274"/>
        <v>121.8</v>
      </c>
      <c r="W2870" s="1634"/>
    </row>
    <row r="2871" spans="6:23" ht="24" customHeight="1">
      <c r="F2871" s="1640">
        <v>1</v>
      </c>
      <c r="G2871" s="1638" t="s">
        <v>153</v>
      </c>
      <c r="H2871" s="1627" t="s">
        <v>2667</v>
      </c>
      <c r="I2871" s="1651">
        <f>I1135</f>
        <v>63.2</v>
      </c>
      <c r="J2871" s="1627" t="s">
        <v>153</v>
      </c>
      <c r="K2871" s="1640">
        <f t="shared" si="274"/>
        <v>63.2</v>
      </c>
      <c r="W2871" s="1634"/>
    </row>
    <row r="2872" spans="6:23" ht="24" customHeight="1">
      <c r="F2872" s="1658">
        <v>0.94499999999999995</v>
      </c>
      <c r="G2872" s="1638" t="s">
        <v>152</v>
      </c>
      <c r="H2872" s="1627" t="s">
        <v>1821</v>
      </c>
      <c r="I2872" s="1640">
        <f>K1167</f>
        <v>246.54000000000002</v>
      </c>
      <c r="J2872" s="1627" t="s">
        <v>152</v>
      </c>
      <c r="K2872" s="1640">
        <f t="shared" si="274"/>
        <v>232.9803</v>
      </c>
      <c r="W2872" s="1634"/>
    </row>
    <row r="2873" spans="6:23" ht="24" customHeight="1">
      <c r="H2873" s="1627" t="s">
        <v>1822</v>
      </c>
      <c r="I2873" s="1628" t="s">
        <v>226</v>
      </c>
      <c r="K2873" s="1640">
        <v>0.6</v>
      </c>
      <c r="W2873" s="1634"/>
    </row>
    <row r="2874" spans="6:23" ht="24" customHeight="1">
      <c r="H2874" s="1661"/>
      <c r="I2874" s="1661"/>
      <c r="J2874" s="1676"/>
      <c r="K2874" s="1679" t="s">
        <v>21</v>
      </c>
      <c r="W2874" s="1634"/>
    </row>
    <row r="2875" spans="6:23" ht="24" customHeight="1">
      <c r="H2875" s="1641" t="s">
        <v>1823</v>
      </c>
      <c r="I2875" s="1661"/>
      <c r="J2875" s="1676"/>
      <c r="K2875" s="1639">
        <f>SUM(K2863:K2873)</f>
        <v>5872.6108999999997</v>
      </c>
      <c r="W2875" s="1634"/>
    </row>
    <row r="2876" spans="6:23" ht="24" customHeight="1">
      <c r="G2876" s="1638" t="s">
        <v>150</v>
      </c>
      <c r="H2876" s="1661"/>
      <c r="I2876" s="1661"/>
      <c r="J2876" s="1676"/>
      <c r="K2876" s="1679" t="s">
        <v>21</v>
      </c>
      <c r="W2876" s="1634"/>
    </row>
    <row r="2877" spans="6:23" ht="24" customHeight="1">
      <c r="H2877" s="1641" t="s">
        <v>155</v>
      </c>
      <c r="I2877" s="1661"/>
      <c r="J2877" s="1676"/>
      <c r="K2877" s="1639">
        <f>K2875/2.52</f>
        <v>2330.4011507936507</v>
      </c>
      <c r="W2877" s="1634"/>
    </row>
    <row r="2878" spans="6:23" ht="24" customHeight="1">
      <c r="H2878" s="1661"/>
      <c r="I2878" s="1661"/>
      <c r="J2878" s="1676"/>
      <c r="K2878" s="1679" t="s">
        <v>156</v>
      </c>
      <c r="W2878" s="1634"/>
    </row>
    <row r="2879" spans="6:23" ht="24" customHeight="1">
      <c r="J2879" s="1634"/>
      <c r="W2879" s="1634"/>
    </row>
    <row r="2880" spans="6:23" ht="24" customHeight="1">
      <c r="H2880" s="1629" t="s">
        <v>2668</v>
      </c>
      <c r="J2880" s="1634"/>
      <c r="W2880" s="1634"/>
    </row>
    <row r="2881" spans="6:23" ht="24" customHeight="1">
      <c r="H2881" s="1629" t="s">
        <v>2669</v>
      </c>
      <c r="J2881" s="1634"/>
      <c r="W2881" s="1634"/>
    </row>
    <row r="2882" spans="6:23" ht="24" customHeight="1">
      <c r="J2882" s="1634"/>
      <c r="W2882" s="1634"/>
    </row>
    <row r="2883" spans="6:23" ht="24" customHeight="1">
      <c r="F2883" s="1629">
        <v>2</v>
      </c>
      <c r="G2883" s="1630" t="s">
        <v>303</v>
      </c>
      <c r="H2883" s="1629" t="s">
        <v>5232</v>
      </c>
      <c r="I2883" s="1830">
        <v>96.6</v>
      </c>
      <c r="J2883" s="1634" t="s">
        <v>303</v>
      </c>
      <c r="K2883" s="1629">
        <f>F2883*I2883</f>
        <v>193.2</v>
      </c>
      <c r="W2883" s="1634"/>
    </row>
    <row r="2884" spans="6:23" ht="24" customHeight="1">
      <c r="F2884" s="1629">
        <v>1</v>
      </c>
      <c r="G2884" s="1630" t="s">
        <v>345</v>
      </c>
      <c r="H2884" s="1629" t="s">
        <v>2671</v>
      </c>
      <c r="I2884" s="1830">
        <f>C625</f>
        <v>34.299999999999997</v>
      </c>
      <c r="J2884" s="1634" t="s">
        <v>340</v>
      </c>
      <c r="K2884" s="1629">
        <f>F2884*I2884</f>
        <v>34.299999999999997</v>
      </c>
      <c r="W2884" s="1634"/>
    </row>
    <row r="2885" spans="6:23" ht="24" customHeight="1">
      <c r="H2885" s="1629" t="s">
        <v>2672</v>
      </c>
      <c r="J2885" s="1634" t="s">
        <v>226</v>
      </c>
      <c r="K2885" s="1629">
        <v>1.4</v>
      </c>
      <c r="W2885" s="1634"/>
    </row>
    <row r="2886" spans="6:23" ht="24" customHeight="1">
      <c r="H2886" s="1694" t="s">
        <v>2673</v>
      </c>
      <c r="J2886" s="1634"/>
      <c r="K2886" s="1629">
        <f>SUM(K2883:K2885)</f>
        <v>228.9</v>
      </c>
      <c r="W2886" s="1634"/>
    </row>
    <row r="2887" spans="6:23" ht="24" customHeight="1">
      <c r="J2887" s="1634"/>
      <c r="W2887" s="1634"/>
    </row>
    <row r="2888" spans="6:23" ht="24" customHeight="1">
      <c r="H2888" s="1735" t="s">
        <v>2674</v>
      </c>
      <c r="I2888" s="1661"/>
      <c r="J2888" s="1677"/>
      <c r="K2888" s="1661">
        <f>K2886/2</f>
        <v>114.45</v>
      </c>
      <c r="W2888" s="1634"/>
    </row>
    <row r="2889" spans="6:23" ht="24" customHeight="1">
      <c r="J2889" s="1634"/>
      <c r="W2889" s="1634"/>
    </row>
    <row r="2890" spans="6:23" ht="24" customHeight="1">
      <c r="J2890" s="1634"/>
      <c r="W2890" s="1634"/>
    </row>
    <row r="2891" spans="6:23" ht="24" customHeight="1">
      <c r="J2891" s="1634"/>
      <c r="W2891" s="1634"/>
    </row>
    <row r="2892" spans="6:23" ht="24" customHeight="1">
      <c r="J2892" s="1634"/>
      <c r="W2892" s="1634"/>
    </row>
    <row r="2893" spans="6:23" ht="24" customHeight="1">
      <c r="H2893" s="1840" t="s">
        <v>2675</v>
      </c>
      <c r="J2893" s="1634"/>
      <c r="W2893" s="1634"/>
    </row>
    <row r="2894" spans="6:23" ht="24" customHeight="1">
      <c r="F2894" s="1628"/>
      <c r="G2894" s="1638" t="s">
        <v>249</v>
      </c>
      <c r="H2894" s="1627" t="s">
        <v>1127</v>
      </c>
      <c r="J2894" s="1634"/>
      <c r="W2894" s="1634"/>
    </row>
    <row r="2895" spans="6:23" ht="24" customHeight="1">
      <c r="H2895" s="1627" t="s">
        <v>920</v>
      </c>
      <c r="J2895" s="1634"/>
      <c r="W2895" s="1634"/>
    </row>
    <row r="2896" spans="6:23" ht="24" customHeight="1">
      <c r="H2896" s="1636" t="s">
        <v>21</v>
      </c>
      <c r="J2896" s="1634"/>
      <c r="W2896" s="1634"/>
    </row>
    <row r="2897" spans="6:23" ht="24" customHeight="1">
      <c r="F2897" s="1640">
        <v>9</v>
      </c>
      <c r="G2897" s="1638" t="s">
        <v>151</v>
      </c>
      <c r="H2897" s="1627" t="s">
        <v>1132</v>
      </c>
      <c r="I2897" s="1640">
        <f t="shared" ref="I2897:I2902" si="275">I503</f>
        <v>1742.0500000000002</v>
      </c>
      <c r="J2897" s="1628" t="s">
        <v>151</v>
      </c>
      <c r="K2897" s="1640">
        <f t="shared" ref="K2897:K2902" si="276">(F2897*I2897)</f>
        <v>15678.45</v>
      </c>
      <c r="W2897" s="1634"/>
    </row>
    <row r="2898" spans="6:23" ht="24" customHeight="1">
      <c r="F2898" s="1658">
        <v>3.2309999999999999</v>
      </c>
      <c r="G2898" s="1638" t="s">
        <v>251</v>
      </c>
      <c r="H2898" s="1627" t="s">
        <v>252</v>
      </c>
      <c r="I2898" s="1640">
        <f t="shared" si="275"/>
        <v>6040</v>
      </c>
      <c r="J2898" s="1628" t="s">
        <v>251</v>
      </c>
      <c r="K2898" s="1640">
        <f t="shared" si="276"/>
        <v>19515.239999999998</v>
      </c>
      <c r="W2898" s="1634"/>
    </row>
    <row r="2899" spans="6:23" ht="24" customHeight="1">
      <c r="F2899" s="1640">
        <v>4.5</v>
      </c>
      <c r="G2899" s="1638" t="s">
        <v>151</v>
      </c>
      <c r="H2899" s="1627" t="s">
        <v>253</v>
      </c>
      <c r="I2899" s="1640">
        <f t="shared" si="275"/>
        <v>2265.5</v>
      </c>
      <c r="J2899" s="1628" t="s">
        <v>151</v>
      </c>
      <c r="K2899" s="1640">
        <f t="shared" si="276"/>
        <v>10194.75</v>
      </c>
      <c r="W2899" s="1634"/>
    </row>
    <row r="2900" spans="6:23" ht="24" customHeight="1">
      <c r="F2900" s="1640">
        <v>3.5</v>
      </c>
      <c r="G2900" s="1638" t="s">
        <v>153</v>
      </c>
      <c r="H2900" s="1627" t="s">
        <v>234</v>
      </c>
      <c r="I2900" s="1640">
        <f t="shared" si="275"/>
        <v>1237.5999999999999</v>
      </c>
      <c r="J2900" s="1628" t="s">
        <v>153</v>
      </c>
      <c r="K2900" s="1640">
        <f t="shared" si="276"/>
        <v>4331.5999999999995</v>
      </c>
      <c r="W2900" s="1634"/>
    </row>
    <row r="2901" spans="6:23" ht="24" customHeight="1">
      <c r="F2901" s="1640">
        <v>21.2</v>
      </c>
      <c r="G2901" s="1638" t="s">
        <v>153</v>
      </c>
      <c r="H2901" s="1627" t="s">
        <v>235</v>
      </c>
      <c r="I2901" s="1640">
        <f t="shared" si="275"/>
        <v>865.19999999999993</v>
      </c>
      <c r="J2901" s="1628" t="s">
        <v>153</v>
      </c>
      <c r="K2901" s="1640">
        <f t="shared" si="276"/>
        <v>18342.239999999998</v>
      </c>
      <c r="W2901" s="1634"/>
    </row>
    <row r="2902" spans="6:23" ht="24" customHeight="1">
      <c r="F2902" s="1640">
        <v>35.299999999999997</v>
      </c>
      <c r="G2902" s="1638" t="s">
        <v>153</v>
      </c>
      <c r="H2902" s="1627" t="s">
        <v>236</v>
      </c>
      <c r="I2902" s="1640">
        <f t="shared" si="275"/>
        <v>709.8</v>
      </c>
      <c r="J2902" s="1628" t="s">
        <v>153</v>
      </c>
      <c r="K2902" s="1640">
        <f t="shared" si="276"/>
        <v>25055.939999999995</v>
      </c>
      <c r="W2902" s="1634"/>
    </row>
    <row r="2903" spans="6:23" ht="24" customHeight="1">
      <c r="G2903" s="1638" t="s">
        <v>226</v>
      </c>
      <c r="H2903" s="1627" t="s">
        <v>237</v>
      </c>
      <c r="I2903" s="1627" t="s">
        <v>150</v>
      </c>
      <c r="J2903" s="1628" t="s">
        <v>226</v>
      </c>
      <c r="K2903" s="1640">
        <v>0</v>
      </c>
      <c r="W2903" s="1634"/>
    </row>
    <row r="2904" spans="6:23" ht="24" customHeight="1">
      <c r="J2904" s="1634"/>
      <c r="K2904" s="1636" t="s">
        <v>21</v>
      </c>
      <c r="W2904" s="1634"/>
    </row>
    <row r="2905" spans="6:23" ht="24" customHeight="1">
      <c r="H2905" s="1627" t="s">
        <v>935</v>
      </c>
      <c r="J2905" s="1634"/>
      <c r="K2905" s="1640">
        <f>SUM(K2897:K2903)</f>
        <v>93118.22</v>
      </c>
      <c r="W2905" s="1634"/>
    </row>
    <row r="2906" spans="6:23" ht="24" customHeight="1">
      <c r="J2906" s="1634"/>
      <c r="K2906" s="1636" t="s">
        <v>21</v>
      </c>
      <c r="W2906" s="1634"/>
    </row>
    <row r="2907" spans="6:23" ht="24" customHeight="1">
      <c r="H2907" s="1627" t="s">
        <v>270</v>
      </c>
      <c r="J2907" s="1634"/>
      <c r="K2907" s="1640">
        <f>(K2905/10)</f>
        <v>9311.8220000000001</v>
      </c>
      <c r="W2907" s="1634"/>
    </row>
    <row r="2908" spans="6:23" ht="24" customHeight="1">
      <c r="J2908" s="1634"/>
      <c r="W2908" s="1634"/>
    </row>
    <row r="2909" spans="6:23" ht="24" customHeight="1">
      <c r="F2909" s="1640">
        <v>1</v>
      </c>
      <c r="G2909" s="1638" t="s">
        <v>151</v>
      </c>
      <c r="H2909" s="1627" t="s">
        <v>943</v>
      </c>
      <c r="J2909" s="1634"/>
      <c r="K2909" s="1640"/>
      <c r="W2909" s="1634"/>
    </row>
    <row r="2910" spans="6:23" ht="24" customHeight="1">
      <c r="J2910" s="1634"/>
      <c r="K2910" s="1636" t="s">
        <v>21</v>
      </c>
      <c r="W2910" s="1634"/>
    </row>
    <row r="2911" spans="6:23" ht="24" customHeight="1">
      <c r="H2911" s="1627" t="s">
        <v>2676</v>
      </c>
      <c r="J2911" s="1634"/>
      <c r="K2911" s="1640">
        <f>SUM(K2907:K2909)</f>
        <v>9311.8220000000001</v>
      </c>
      <c r="W2911" s="1634"/>
    </row>
    <row r="2912" spans="6:23" ht="24" customHeight="1">
      <c r="J2912" s="1634"/>
      <c r="K2912" s="1636" t="s">
        <v>21</v>
      </c>
      <c r="W2912" s="1634"/>
    </row>
    <row r="2913" spans="6:23" ht="24" customHeight="1">
      <c r="G2913" s="1638" t="s">
        <v>1149</v>
      </c>
      <c r="H2913" s="1627" t="s">
        <v>271</v>
      </c>
      <c r="J2913" s="1634"/>
      <c r="K2913" s="1640">
        <f>K2911+C22</f>
        <v>9470.862000000001</v>
      </c>
      <c r="W2913" s="1634"/>
    </row>
    <row r="2914" spans="6:23" ht="24" customHeight="1">
      <c r="G2914" s="1638" t="s">
        <v>1151</v>
      </c>
      <c r="H2914" s="1627" t="s">
        <v>272</v>
      </c>
      <c r="J2914" s="1634"/>
      <c r="K2914" s="1640">
        <f>K2913+C23</f>
        <v>9784.1820000000007</v>
      </c>
      <c r="W2914" s="1634"/>
    </row>
    <row r="2915" spans="6:23" ht="24" customHeight="1">
      <c r="G2915" s="1638" t="s">
        <v>1153</v>
      </c>
      <c r="H2915" s="1627" t="s">
        <v>767</v>
      </c>
      <c r="J2915" s="1634"/>
      <c r="K2915" s="1640">
        <f>K2914+C23</f>
        <v>10097.502</v>
      </c>
      <c r="W2915" s="1634"/>
    </row>
    <row r="2916" spans="6:23" ht="24" customHeight="1">
      <c r="G2916" s="1638" t="s">
        <v>1155</v>
      </c>
      <c r="H2916" s="1627" t="s">
        <v>769</v>
      </c>
      <c r="J2916" s="1634"/>
      <c r="K2916" s="1640">
        <f>K2915+C23</f>
        <v>10410.822</v>
      </c>
      <c r="W2916" s="1634"/>
    </row>
    <row r="2917" spans="6:23" ht="24" customHeight="1">
      <c r="J2917" s="1634"/>
      <c r="W2917" s="1634"/>
    </row>
    <row r="2918" spans="6:23" ht="24" customHeight="1">
      <c r="G2918" s="1735"/>
      <c r="H2918" s="1840"/>
      <c r="W2918" s="1634"/>
    </row>
    <row r="2919" spans="6:23" ht="24" customHeight="1">
      <c r="H2919" s="1661" t="s">
        <v>2677</v>
      </c>
      <c r="W2919" s="1634"/>
    </row>
    <row r="2920" spans="6:23" ht="24" customHeight="1">
      <c r="W2920" s="1634"/>
    </row>
    <row r="2921" spans="6:23" ht="24" customHeight="1">
      <c r="F2921" s="1698"/>
      <c r="H2921" s="1629" t="s">
        <v>5703</v>
      </c>
      <c r="J2921" s="1630"/>
      <c r="W2921" s="1634"/>
    </row>
    <row r="2922" spans="6:23" ht="24" customHeight="1">
      <c r="F2922" s="1633"/>
      <c r="H2922" s="1629" t="s">
        <v>2679</v>
      </c>
      <c r="J2922" s="1630"/>
      <c r="W2922" s="1634"/>
    </row>
    <row r="2923" spans="6:23" ht="24" customHeight="1">
      <c r="H2923" s="1632" t="s">
        <v>2680</v>
      </c>
      <c r="J2923" s="1694"/>
      <c r="P2923" s="1629">
        <f>0.35*4</f>
        <v>1.4</v>
      </c>
      <c r="W2923" s="1634"/>
    </row>
    <row r="2924" spans="6:23" ht="24" customHeight="1">
      <c r="H2924" s="1677" t="s">
        <v>2681</v>
      </c>
      <c r="I2924" s="1661"/>
      <c r="J2924" s="1735"/>
      <c r="K2924" s="1661"/>
      <c r="P2924" s="1629">
        <f>0.3*4</f>
        <v>1.2</v>
      </c>
      <c r="W2924" s="1634"/>
    </row>
    <row r="2925" spans="6:23" ht="24" customHeight="1">
      <c r="H2925" s="1629" t="s">
        <v>5704</v>
      </c>
      <c r="P2925" s="1629">
        <f>1.28*2</f>
        <v>2.56</v>
      </c>
      <c r="W2925" s="1634"/>
    </row>
    <row r="2926" spans="6:23" ht="24" customHeight="1">
      <c r="H2926" s="1661" t="s">
        <v>2683</v>
      </c>
      <c r="P2926" s="1629" t="s">
        <v>2684</v>
      </c>
      <c r="W2926" s="1634"/>
    </row>
    <row r="2927" spans="6:23" ht="24" customHeight="1">
      <c r="F2927" s="1698">
        <v>3.5999999999999997E-2</v>
      </c>
      <c r="G2927" s="1630" t="s">
        <v>313</v>
      </c>
      <c r="H2927" s="1629" t="s">
        <v>2685</v>
      </c>
      <c r="I2927" s="1629">
        <f>K2913</f>
        <v>9470.862000000001</v>
      </c>
      <c r="J2927" s="1630" t="s">
        <v>313</v>
      </c>
      <c r="K2927" s="1629">
        <f>F2927*I2927</f>
        <v>340.951032</v>
      </c>
      <c r="W2927" s="1634"/>
    </row>
    <row r="2928" spans="6:23" ht="24" customHeight="1">
      <c r="F2928" s="1633">
        <v>3.0649999999999999</v>
      </c>
      <c r="G2928" s="1630" t="s">
        <v>534</v>
      </c>
      <c r="H2928" s="1672" t="s">
        <v>2686</v>
      </c>
      <c r="I2928" s="1629">
        <f>K1582/1000</f>
        <v>101.43302000000001</v>
      </c>
      <c r="J2928" s="1630" t="s">
        <v>534</v>
      </c>
      <c r="K2928" s="1629">
        <f>F2928*I2928</f>
        <v>310.89220630000005</v>
      </c>
      <c r="W2928" s="1634"/>
    </row>
    <row r="2929" spans="6:23" ht="24" customHeight="1">
      <c r="F2929" s="1633">
        <v>0.79800000000000004</v>
      </c>
      <c r="G2929" s="1630" t="s">
        <v>533</v>
      </c>
      <c r="H2929" s="1629" t="s">
        <v>2687</v>
      </c>
      <c r="I2929" s="1629">
        <f>I2358</f>
        <v>1454.5518599999996</v>
      </c>
      <c r="J2929" s="1630" t="s">
        <v>533</v>
      </c>
      <c r="K2929" s="1629">
        <f>F2929*I2929</f>
        <v>1160.7323842799997</v>
      </c>
      <c r="W2929" s="1634"/>
    </row>
    <row r="2930" spans="6:23" ht="24" customHeight="1">
      <c r="H2930" s="1735" t="s">
        <v>2688</v>
      </c>
      <c r="I2930" s="1661"/>
      <c r="J2930" s="1735" t="s">
        <v>2597</v>
      </c>
      <c r="K2930" s="1661">
        <f>SUM(K2927:K2929)</f>
        <v>1812.5756225799996</v>
      </c>
      <c r="W2930" s="1634"/>
    </row>
    <row r="2931" spans="6:23" ht="24" customHeight="1">
      <c r="F2931" s="1698"/>
      <c r="H2931" s="1735" t="s">
        <v>2381</v>
      </c>
      <c r="J2931" s="1735" t="s">
        <v>2597</v>
      </c>
      <c r="K2931" s="1661">
        <f>K2930/2.1</f>
        <v>863.13124884761885</v>
      </c>
      <c r="W2931" s="1634"/>
    </row>
    <row r="2932" spans="6:23" ht="24" customHeight="1">
      <c r="F2932" s="1633"/>
      <c r="J2932" s="1630"/>
      <c r="W2932" s="1634"/>
    </row>
    <row r="2933" spans="6:23" ht="24" customHeight="1">
      <c r="H2933" s="1694"/>
      <c r="J2933" s="1694"/>
      <c r="W2933" s="1634"/>
    </row>
    <row r="2934" spans="6:23" ht="24" customHeight="1">
      <c r="H2934" s="1735"/>
      <c r="I2934" s="1661"/>
      <c r="J2934" s="1735"/>
      <c r="K2934" s="1661"/>
      <c r="W2934" s="1634"/>
    </row>
    <row r="2935" spans="6:23" ht="24" customHeight="1">
      <c r="H2935" s="1661" t="s">
        <v>2689</v>
      </c>
      <c r="W2935" s="1634"/>
    </row>
    <row r="2936" spans="6:23" ht="24" customHeight="1">
      <c r="F2936" s="1698">
        <v>3.5999999999999997E-2</v>
      </c>
      <c r="G2936" s="1630" t="s">
        <v>313</v>
      </c>
      <c r="H2936" s="1629" t="s">
        <v>2685</v>
      </c>
      <c r="I2936" s="1629">
        <f>K2914</f>
        <v>9784.1820000000007</v>
      </c>
      <c r="J2936" s="1630" t="s">
        <v>313</v>
      </c>
      <c r="K2936" s="1629">
        <f>F2936*I2936</f>
        <v>352.23055199999999</v>
      </c>
      <c r="W2936" s="1634"/>
    </row>
    <row r="2937" spans="6:23" ht="56.25" customHeight="1">
      <c r="F2937" s="1633">
        <v>3.0649999999999999</v>
      </c>
      <c r="G2937" s="1630" t="s">
        <v>534</v>
      </c>
      <c r="H2937" s="1672" t="s">
        <v>2686</v>
      </c>
      <c r="I2937" s="1629">
        <f>K1582/1000</f>
        <v>101.43302000000001</v>
      </c>
      <c r="J2937" s="1630" t="s">
        <v>534</v>
      </c>
      <c r="K2937" s="1629">
        <f>F2937*I2937</f>
        <v>310.89220630000005</v>
      </c>
      <c r="W2937" s="1634"/>
    </row>
    <row r="2938" spans="6:23" ht="24" customHeight="1">
      <c r="F2938" s="1633">
        <v>0.79800000000000004</v>
      </c>
      <c r="G2938" s="1630" t="s">
        <v>533</v>
      </c>
      <c r="H2938" s="1629" t="s">
        <v>2687</v>
      </c>
      <c r="I2938" s="1629">
        <f>I2358</f>
        <v>1454.5518599999996</v>
      </c>
      <c r="J2938" s="1630" t="s">
        <v>533</v>
      </c>
      <c r="K2938" s="1629">
        <f>F2938*I2938</f>
        <v>1160.7323842799997</v>
      </c>
      <c r="W2938" s="1634"/>
    </row>
    <row r="2939" spans="6:23" ht="24" customHeight="1">
      <c r="H2939" s="1735" t="s">
        <v>2688</v>
      </c>
      <c r="I2939" s="1661"/>
      <c r="J2939" s="1735" t="s">
        <v>2597</v>
      </c>
      <c r="K2939" s="1661">
        <f>SUM(K2936:K2938)</f>
        <v>1823.8551425799997</v>
      </c>
      <c r="W2939" s="1634"/>
    </row>
    <row r="2940" spans="6:23" ht="24" customHeight="1">
      <c r="F2940" s="1698"/>
      <c r="H2940" s="1735" t="s">
        <v>2381</v>
      </c>
      <c r="J2940" s="1735" t="s">
        <v>2597</v>
      </c>
      <c r="K2940" s="1661">
        <f>K2939/2.1</f>
        <v>868.50244884761889</v>
      </c>
      <c r="W2940" s="1634"/>
    </row>
    <row r="2941" spans="6:23" ht="24" customHeight="1">
      <c r="F2941" s="1633"/>
      <c r="J2941" s="1630"/>
      <c r="W2941" s="1634"/>
    </row>
    <row r="2942" spans="6:23" ht="24" customHeight="1">
      <c r="W2942" s="1634"/>
    </row>
    <row r="2943" spans="6:23" ht="24" customHeight="1">
      <c r="W2943" s="1634"/>
    </row>
    <row r="2944" spans="6:23" ht="24" customHeight="1">
      <c r="W2944" s="1634"/>
    </row>
    <row r="2945" spans="6:23" ht="24" customHeight="1">
      <c r="H2945" s="1661" t="s">
        <v>2690</v>
      </c>
      <c r="W2945" s="1634"/>
    </row>
    <row r="2946" spans="6:23" ht="24" customHeight="1">
      <c r="F2946" s="1698">
        <v>3.5999999999999997E-2</v>
      </c>
      <c r="G2946" s="1630" t="s">
        <v>313</v>
      </c>
      <c r="H2946" s="1629" t="s">
        <v>2685</v>
      </c>
      <c r="I2946" s="1629">
        <f>K2915</f>
        <v>10097.502</v>
      </c>
      <c r="J2946" s="1630" t="s">
        <v>313</v>
      </c>
      <c r="K2946" s="1629">
        <f>F2946*I2946</f>
        <v>363.51007199999998</v>
      </c>
      <c r="W2946" s="1634"/>
    </row>
    <row r="2947" spans="6:23" ht="24" customHeight="1">
      <c r="F2947" s="1633">
        <v>3.0649999999999999</v>
      </c>
      <c r="G2947" s="1630" t="s">
        <v>534</v>
      </c>
      <c r="H2947" s="1672" t="s">
        <v>2686</v>
      </c>
      <c r="I2947" s="1629">
        <f>I2928</f>
        <v>101.43302000000001</v>
      </c>
      <c r="J2947" s="1630" t="s">
        <v>534</v>
      </c>
      <c r="K2947" s="1629">
        <f>F2947*I2947</f>
        <v>310.89220630000005</v>
      </c>
      <c r="W2947" s="1634"/>
    </row>
    <row r="2948" spans="6:23" ht="24" customHeight="1">
      <c r="F2948" s="1633">
        <v>0.79800000000000004</v>
      </c>
      <c r="G2948" s="1630" t="s">
        <v>533</v>
      </c>
      <c r="H2948" s="1629" t="s">
        <v>2687</v>
      </c>
      <c r="I2948" s="1629">
        <f>I2929</f>
        <v>1454.5518599999996</v>
      </c>
      <c r="J2948" s="1630" t="s">
        <v>533</v>
      </c>
      <c r="K2948" s="1629">
        <f>F2948*I2948</f>
        <v>1160.7323842799997</v>
      </c>
      <c r="W2948" s="1634"/>
    </row>
    <row r="2949" spans="6:23" ht="24" customHeight="1">
      <c r="H2949" s="1735" t="s">
        <v>2688</v>
      </c>
      <c r="I2949" s="1661"/>
      <c r="J2949" s="1735" t="s">
        <v>2597</v>
      </c>
      <c r="K2949" s="1661">
        <f>SUM(K2946:K2948)</f>
        <v>1835.1346625799997</v>
      </c>
      <c r="W2949" s="1634"/>
    </row>
    <row r="2950" spans="6:23" ht="24" customHeight="1">
      <c r="F2950" s="1698"/>
      <c r="H2950" s="1735" t="s">
        <v>2381</v>
      </c>
      <c r="J2950" s="1735" t="s">
        <v>2597</v>
      </c>
      <c r="K2950" s="1661">
        <f>K2949/2.1</f>
        <v>873.87364884761882</v>
      </c>
      <c r="W2950" s="1634"/>
    </row>
    <row r="2951" spans="6:23" ht="24" customHeight="1">
      <c r="F2951" s="1633"/>
      <c r="J2951" s="1630"/>
      <c r="W2951" s="1634"/>
    </row>
    <row r="2952" spans="6:23" ht="24" customHeight="1">
      <c r="W2952" s="1634"/>
    </row>
    <row r="2953" spans="6:23" ht="24" customHeight="1">
      <c r="W2953" s="1634"/>
    </row>
    <row r="2954" spans="6:23" ht="24" customHeight="1">
      <c r="H2954" s="1661" t="s">
        <v>2691</v>
      </c>
      <c r="W2954" s="1634"/>
    </row>
    <row r="2955" spans="6:23" ht="24" customHeight="1">
      <c r="F2955" s="1698">
        <v>3.5999999999999997E-2</v>
      </c>
      <c r="G2955" s="1630" t="s">
        <v>313</v>
      </c>
      <c r="H2955" s="1629" t="s">
        <v>2685</v>
      </c>
      <c r="I2955" s="1629">
        <f>K2916</f>
        <v>10410.822</v>
      </c>
      <c r="J2955" s="1630" t="s">
        <v>313</v>
      </c>
      <c r="K2955" s="1629">
        <f>F2955*I2955</f>
        <v>374.78959199999997</v>
      </c>
      <c r="W2955" s="1634"/>
    </row>
    <row r="2956" spans="6:23" ht="24" customHeight="1">
      <c r="F2956" s="1633">
        <v>3.0649999999999999</v>
      </c>
      <c r="G2956" s="1630" t="s">
        <v>534</v>
      </c>
      <c r="H2956" s="1672" t="s">
        <v>2686</v>
      </c>
      <c r="I2956" s="1629">
        <f>I2947</f>
        <v>101.43302000000001</v>
      </c>
      <c r="J2956" s="1630" t="s">
        <v>534</v>
      </c>
      <c r="K2956" s="1629">
        <f>F2956*I2956</f>
        <v>310.89220630000005</v>
      </c>
      <c r="W2956" s="1634"/>
    </row>
    <row r="2957" spans="6:23" ht="24" customHeight="1">
      <c r="F2957" s="1633">
        <v>0.79800000000000004</v>
      </c>
      <c r="G2957" s="1630" t="s">
        <v>533</v>
      </c>
      <c r="H2957" s="1629" t="s">
        <v>2687</v>
      </c>
      <c r="I2957" s="1629">
        <f>I2948</f>
        <v>1454.5518599999996</v>
      </c>
      <c r="J2957" s="1630" t="s">
        <v>533</v>
      </c>
      <c r="K2957" s="1629">
        <f>F2957*I2957</f>
        <v>1160.7323842799997</v>
      </c>
      <c r="W2957" s="1634"/>
    </row>
    <row r="2958" spans="6:23" ht="24" customHeight="1">
      <c r="H2958" s="1735" t="s">
        <v>2688</v>
      </c>
      <c r="I2958" s="1661"/>
      <c r="J2958" s="1735" t="s">
        <v>2597</v>
      </c>
      <c r="K2958" s="1661">
        <f>SUM(K2955:K2957)</f>
        <v>1846.4141825799998</v>
      </c>
      <c r="W2958" s="1634"/>
    </row>
    <row r="2959" spans="6:23" ht="24" customHeight="1">
      <c r="F2959" s="1698"/>
      <c r="H2959" s="1735" t="s">
        <v>2381</v>
      </c>
      <c r="J2959" s="1735" t="s">
        <v>2597</v>
      </c>
      <c r="K2959" s="1661">
        <f>K2958/2.1</f>
        <v>879.24484884761887</v>
      </c>
      <c r="W2959" s="1634"/>
    </row>
    <row r="2960" spans="6:23" ht="24" customHeight="1">
      <c r="F2960" s="1633"/>
      <c r="J2960" s="1630"/>
      <c r="W2960" s="1634"/>
    </row>
    <row r="2961" spans="6:23" ht="24" customHeight="1">
      <c r="J2961" s="1634"/>
      <c r="W2961" s="1634"/>
    </row>
    <row r="2962" spans="6:23" ht="24" customHeight="1">
      <c r="J2962" s="1634"/>
      <c r="W2962" s="1634"/>
    </row>
    <row r="2963" spans="6:23" ht="24" customHeight="1">
      <c r="I2963" s="1629">
        <f>160*10.76</f>
        <v>1721.6</v>
      </c>
      <c r="J2963" s="1634"/>
      <c r="W2963" s="1634"/>
    </row>
    <row r="2964" spans="6:23" ht="24" customHeight="1">
      <c r="F2964" s="1628" t="s">
        <v>1693</v>
      </c>
      <c r="G2964" s="1638" t="s">
        <v>249</v>
      </c>
      <c r="H2964" s="1627" t="s">
        <v>2649</v>
      </c>
      <c r="I2964" s="1629">
        <f>148*10.76</f>
        <v>1592.48</v>
      </c>
      <c r="J2964" s="1634"/>
      <c r="W2964" s="1634"/>
    </row>
    <row r="2965" spans="6:23" ht="24" customHeight="1">
      <c r="H2965" s="1627" t="s">
        <v>1695</v>
      </c>
      <c r="J2965" s="1634"/>
      <c r="W2965" s="1634"/>
    </row>
    <row r="2966" spans="6:23" ht="24" customHeight="1">
      <c r="H2966" s="1627" t="s">
        <v>1721</v>
      </c>
      <c r="J2966" s="1634"/>
      <c r="W2966" s="1634"/>
    </row>
    <row r="2967" spans="6:23" ht="24" customHeight="1">
      <c r="H2967" s="1636" t="s">
        <v>21</v>
      </c>
      <c r="I2967" s="1698">
        <f>1.4*2.025</f>
        <v>2.8349999999999995</v>
      </c>
      <c r="J2967" s="1634"/>
      <c r="W2967" s="1634"/>
    </row>
    <row r="2968" spans="6:23" ht="24" customHeight="1">
      <c r="H2968" s="1627" t="s">
        <v>2692</v>
      </c>
      <c r="J2968" s="1634"/>
      <c r="W2968" s="1634"/>
    </row>
    <row r="2969" spans="6:23" ht="24" customHeight="1">
      <c r="J2969" s="1634"/>
      <c r="W2969" s="1634"/>
    </row>
    <row r="2970" spans="6:23" ht="24" customHeight="1">
      <c r="F2970" s="1633">
        <v>1.64</v>
      </c>
      <c r="G2970" s="1638" t="s">
        <v>152</v>
      </c>
      <c r="H2970" s="1680" t="s">
        <v>2651</v>
      </c>
      <c r="I2970" s="1734">
        <f>I2834</f>
        <v>2180</v>
      </c>
      <c r="J2970" s="1628" t="s">
        <v>152</v>
      </c>
      <c r="K2970" s="1629">
        <f>F2971*I2970</f>
        <v>3575.2</v>
      </c>
      <c r="W2970" s="1634"/>
    </row>
    <row r="2971" spans="6:23" ht="44.25" customHeight="1">
      <c r="F2971" s="1658">
        <v>1.64</v>
      </c>
      <c r="G2971" s="1638" t="s">
        <v>152</v>
      </c>
      <c r="H2971" s="1627" t="s">
        <v>1708</v>
      </c>
      <c r="I2971" s="1629">
        <f t="shared" ref="I2971:I2977" si="277">I2835</f>
        <v>284.2</v>
      </c>
      <c r="J2971" s="1628" t="s">
        <v>152</v>
      </c>
      <c r="K2971" s="1640">
        <f t="shared" ref="K2971:K2977" si="278">(F2971*I2971)</f>
        <v>466.08799999999997</v>
      </c>
      <c r="O2971" s="1627" t="s">
        <v>2649</v>
      </c>
      <c r="W2971" s="1634"/>
    </row>
    <row r="2972" spans="6:23" ht="24" customHeight="1">
      <c r="F2972" s="1640">
        <v>2</v>
      </c>
      <c r="G2972" s="1638" t="s">
        <v>4</v>
      </c>
      <c r="H2972" s="1627" t="s">
        <v>1709</v>
      </c>
      <c r="I2972" s="1629">
        <f t="shared" si="277"/>
        <v>57.65</v>
      </c>
      <c r="J2972" s="1628" t="s">
        <v>153</v>
      </c>
      <c r="K2972" s="1640">
        <f t="shared" si="278"/>
        <v>115.3</v>
      </c>
      <c r="O2972" s="1627" t="s">
        <v>1695</v>
      </c>
      <c r="W2972" s="1634"/>
    </row>
    <row r="2973" spans="6:23" ht="24" customHeight="1">
      <c r="F2973" s="1640">
        <v>3</v>
      </c>
      <c r="G2973" s="1638" t="s">
        <v>153</v>
      </c>
      <c r="H2973" s="1627" t="s">
        <v>391</v>
      </c>
      <c r="I2973" s="1629">
        <f t="shared" si="277"/>
        <v>89.6</v>
      </c>
      <c r="J2973" s="1628" t="s">
        <v>153</v>
      </c>
      <c r="K2973" s="1640">
        <f t="shared" si="278"/>
        <v>268.79999999999995</v>
      </c>
      <c r="O2973" s="1627" t="s">
        <v>2693</v>
      </c>
      <c r="W2973" s="1634"/>
    </row>
    <row r="2974" spans="6:23" ht="24" customHeight="1">
      <c r="F2974" s="1640">
        <v>2</v>
      </c>
      <c r="G2974" s="1638" t="s">
        <v>153</v>
      </c>
      <c r="H2974" s="1627" t="s">
        <v>392</v>
      </c>
      <c r="I2974" s="1629">
        <f t="shared" si="277"/>
        <v>64.8</v>
      </c>
      <c r="J2974" s="1628" t="s">
        <v>153</v>
      </c>
      <c r="K2974" s="1640">
        <f t="shared" si="278"/>
        <v>129.6</v>
      </c>
      <c r="O2974" s="1636" t="s">
        <v>21</v>
      </c>
      <c r="W2974" s="1634"/>
    </row>
    <row r="2975" spans="6:23" ht="24" customHeight="1">
      <c r="F2975" s="1640">
        <v>1</v>
      </c>
      <c r="G2975" s="1638" t="s">
        <v>153</v>
      </c>
      <c r="H2975" s="1627" t="s">
        <v>393</v>
      </c>
      <c r="I2975" s="1629">
        <f t="shared" si="277"/>
        <v>181</v>
      </c>
      <c r="J2975" s="1628" t="s">
        <v>153</v>
      </c>
      <c r="K2975" s="1640">
        <f t="shared" si="278"/>
        <v>181</v>
      </c>
      <c r="L2975" s="1629" t="s">
        <v>150</v>
      </c>
      <c r="O2975" s="1627" t="s">
        <v>2694</v>
      </c>
      <c r="W2975" s="1634"/>
    </row>
    <row r="2976" spans="6:23" ht="24" customHeight="1">
      <c r="F2976" s="1640">
        <v>1</v>
      </c>
      <c r="G2976" s="1638" t="s">
        <v>153</v>
      </c>
      <c r="H2976" s="1627" t="s">
        <v>1713</v>
      </c>
      <c r="I2976" s="1629">
        <f t="shared" si="277"/>
        <v>7.3</v>
      </c>
      <c r="J2976" s="1628" t="s">
        <v>153</v>
      </c>
      <c r="K2976" s="1640">
        <f t="shared" si="278"/>
        <v>7.3</v>
      </c>
      <c r="W2976" s="1634"/>
    </row>
    <row r="2977" spans="6:23" ht="24" customHeight="1">
      <c r="F2977" s="1640">
        <v>1</v>
      </c>
      <c r="G2977" s="1638" t="s">
        <v>153</v>
      </c>
      <c r="H2977" s="1627" t="s">
        <v>886</v>
      </c>
      <c r="I2977" s="1629">
        <f t="shared" si="277"/>
        <v>49.55</v>
      </c>
      <c r="J2977" s="1628" t="s">
        <v>153</v>
      </c>
      <c r="K2977" s="1640">
        <f t="shared" si="278"/>
        <v>49.55</v>
      </c>
      <c r="M2977" s="1633">
        <v>2.2549999999999999</v>
      </c>
      <c r="N2977" s="1638" t="s">
        <v>152</v>
      </c>
      <c r="O2977" s="1680" t="s">
        <v>2651</v>
      </c>
      <c r="P2977" s="1629">
        <f>I2970</f>
        <v>2180</v>
      </c>
      <c r="Q2977" s="1628" t="s">
        <v>152</v>
      </c>
      <c r="R2977" s="1629">
        <f>M2978*P2977</f>
        <v>4915.8999999999996</v>
      </c>
      <c r="W2977" s="1634"/>
    </row>
    <row r="2978" spans="6:23" ht="39.75" customHeight="1">
      <c r="J2978" s="1634"/>
      <c r="K2978" s="1656">
        <v>0.63</v>
      </c>
      <c r="M2978" s="1658">
        <v>2.2549999999999999</v>
      </c>
      <c r="N2978" s="1638" t="s">
        <v>152</v>
      </c>
      <c r="O2978" s="1627" t="s">
        <v>1708</v>
      </c>
      <c r="P2978" s="1629">
        <f t="shared" ref="P2978:P2984" si="279">I2971</f>
        <v>284.2</v>
      </c>
      <c r="Q2978" s="1628" t="s">
        <v>152</v>
      </c>
      <c r="R2978" s="1640">
        <f t="shared" ref="R2978:R2984" si="280">(M2978*P2978)</f>
        <v>640.87099999999998</v>
      </c>
      <c r="W2978" s="1634"/>
    </row>
    <row r="2979" spans="6:23" ht="24" customHeight="1">
      <c r="H2979" s="1627" t="s">
        <v>2695</v>
      </c>
      <c r="J2979" s="1634"/>
      <c r="K2979" s="1640">
        <f>SUM(K2970:K2978)</f>
        <v>4793.4680000000008</v>
      </c>
      <c r="M2979" s="1640">
        <v>2</v>
      </c>
      <c r="N2979" s="1638" t="s">
        <v>4</v>
      </c>
      <c r="O2979" s="1627" t="s">
        <v>1709</v>
      </c>
      <c r="P2979" s="1629">
        <f t="shared" si="279"/>
        <v>57.65</v>
      </c>
      <c r="Q2979" s="1628" t="s">
        <v>153</v>
      </c>
      <c r="R2979" s="1640">
        <f t="shared" si="280"/>
        <v>115.3</v>
      </c>
      <c r="W2979" s="1634"/>
    </row>
    <row r="2980" spans="6:23" ht="24" customHeight="1">
      <c r="J2980" s="1634"/>
      <c r="K2980" s="1636" t="s">
        <v>21</v>
      </c>
      <c r="M2980" s="1640">
        <v>3</v>
      </c>
      <c r="N2980" s="1638" t="s">
        <v>153</v>
      </c>
      <c r="O2980" s="1627" t="s">
        <v>391</v>
      </c>
      <c r="P2980" s="1629">
        <f t="shared" si="279"/>
        <v>89.6</v>
      </c>
      <c r="Q2980" s="1628" t="s">
        <v>153</v>
      </c>
      <c r="R2980" s="1640">
        <f t="shared" si="280"/>
        <v>268.79999999999995</v>
      </c>
      <c r="W2980" s="1634"/>
    </row>
    <row r="2981" spans="6:23" ht="24" customHeight="1">
      <c r="H2981" s="1627" t="s">
        <v>155</v>
      </c>
      <c r="J2981" s="1634"/>
      <c r="K2981" s="1640">
        <f>K2979/F2971</f>
        <v>2922.8463414634152</v>
      </c>
      <c r="M2981" s="1640">
        <v>2</v>
      </c>
      <c r="N2981" s="1638" t="s">
        <v>153</v>
      </c>
      <c r="O2981" s="1627" t="s">
        <v>392</v>
      </c>
      <c r="P2981" s="1629">
        <f t="shared" si="279"/>
        <v>64.8</v>
      </c>
      <c r="Q2981" s="1628" t="s">
        <v>153</v>
      </c>
      <c r="R2981" s="1640">
        <f t="shared" si="280"/>
        <v>129.6</v>
      </c>
      <c r="W2981" s="1634"/>
    </row>
    <row r="2982" spans="6:23" ht="24" customHeight="1">
      <c r="F2982" s="1627" t="s">
        <v>150</v>
      </c>
      <c r="J2982" s="1634"/>
      <c r="M2982" s="1640">
        <v>1</v>
      </c>
      <c r="N2982" s="1638" t="s">
        <v>153</v>
      </c>
      <c r="O2982" s="1627" t="s">
        <v>393</v>
      </c>
      <c r="P2982" s="1629">
        <f t="shared" si="279"/>
        <v>181</v>
      </c>
      <c r="Q2982" s="1628" t="s">
        <v>153</v>
      </c>
      <c r="R2982" s="1640">
        <f t="shared" si="280"/>
        <v>181</v>
      </c>
      <c r="W2982" s="1634"/>
    </row>
    <row r="2983" spans="6:23" ht="24" customHeight="1">
      <c r="J2983" s="1634"/>
      <c r="M2983" s="1640">
        <v>1</v>
      </c>
      <c r="N2983" s="1638" t="s">
        <v>153</v>
      </c>
      <c r="O2983" s="1627" t="s">
        <v>1713</v>
      </c>
      <c r="P2983" s="1629">
        <f t="shared" si="279"/>
        <v>7.3</v>
      </c>
      <c r="Q2983" s="1628" t="s">
        <v>153</v>
      </c>
      <c r="R2983" s="1640">
        <f t="shared" si="280"/>
        <v>7.3</v>
      </c>
      <c r="W2983" s="1634"/>
    </row>
    <row r="2984" spans="6:23" ht="24" customHeight="1">
      <c r="F2984" s="1753" t="s">
        <v>2696</v>
      </c>
      <c r="G2984" s="1751"/>
      <c r="H2984" s="1753"/>
      <c r="I2984" s="1753"/>
      <c r="J2984" s="1816"/>
      <c r="K2984" s="1753"/>
      <c r="M2984" s="1640">
        <v>1</v>
      </c>
      <c r="N2984" s="1638" t="s">
        <v>153</v>
      </c>
      <c r="O2984" s="1627" t="s">
        <v>886</v>
      </c>
      <c r="P2984" s="1629">
        <f t="shared" si="279"/>
        <v>49.55</v>
      </c>
      <c r="Q2984" s="1628" t="s">
        <v>153</v>
      </c>
      <c r="R2984" s="1640">
        <f t="shared" si="280"/>
        <v>49.55</v>
      </c>
      <c r="W2984" s="1634"/>
    </row>
    <row r="2985" spans="6:23" ht="24" customHeight="1">
      <c r="F2985" s="1753"/>
      <c r="G2985" s="1751"/>
      <c r="H2985" s="1753"/>
      <c r="I2985" s="1753"/>
      <c r="J2985" s="1816"/>
      <c r="K2985" s="1753"/>
      <c r="N2985" s="1630"/>
      <c r="Q2985" s="1634"/>
      <c r="R2985" s="1636" t="s">
        <v>21</v>
      </c>
      <c r="W2985" s="1634"/>
    </row>
    <row r="2986" spans="6:23" ht="24" customHeight="1">
      <c r="F2986" s="1753" t="s">
        <v>2697</v>
      </c>
      <c r="G2986" s="1751"/>
      <c r="H2986" s="1753"/>
      <c r="I2986" s="1753"/>
      <c r="J2986" s="1816"/>
      <c r="K2986" s="1753"/>
      <c r="N2986" s="1630"/>
      <c r="O2986" s="1627" t="s">
        <v>2698</v>
      </c>
      <c r="Q2986" s="1634"/>
      <c r="R2986" s="1640">
        <f>SUM(R2977:R2984)+0.17</f>
        <v>6308.4910000000009</v>
      </c>
      <c r="W2986" s="1634"/>
    </row>
    <row r="2987" spans="6:23" ht="24" customHeight="1">
      <c r="F2987" s="1753"/>
      <c r="G2987" s="1751"/>
      <c r="H2987" s="1753"/>
      <c r="I2987" s="1753"/>
      <c r="J2987" s="1816"/>
      <c r="K2987" s="1753"/>
      <c r="N2987" s="1630"/>
      <c r="Q2987" s="1634"/>
      <c r="R2987" s="1636" t="s">
        <v>21</v>
      </c>
      <c r="W2987" s="1634"/>
    </row>
    <row r="2988" spans="6:23" ht="24" customHeight="1">
      <c r="F2988" s="1753"/>
      <c r="G2988" s="1841">
        <v>0.99350000000000005</v>
      </c>
      <c r="H2988" s="1753" t="s">
        <v>313</v>
      </c>
      <c r="I2988" s="1753"/>
      <c r="J2988" s="1816"/>
      <c r="K2988" s="1753"/>
      <c r="N2988" s="1630"/>
      <c r="O2988" s="1627" t="s">
        <v>155</v>
      </c>
      <c r="Q2988" s="1634"/>
      <c r="R2988" s="1640">
        <f>R2986/M2978</f>
        <v>2797.5569844789361</v>
      </c>
      <c r="W2988" s="1634"/>
    </row>
    <row r="2989" spans="6:23" ht="24" customHeight="1">
      <c r="F2989" s="1753"/>
      <c r="G2989" s="1751"/>
      <c r="H2989" s="1753"/>
      <c r="I2989" s="1753"/>
      <c r="J2989" s="1816"/>
      <c r="K2989" s="1753"/>
      <c r="W2989" s="1634"/>
    </row>
    <row r="2990" spans="6:23" ht="24" customHeight="1">
      <c r="F2990" s="1762" t="s">
        <v>2624</v>
      </c>
      <c r="G2990" s="1751"/>
      <c r="H2990" s="1753"/>
      <c r="I2990" s="1753"/>
      <c r="J2990" s="1816"/>
      <c r="K2990" s="1753"/>
      <c r="W2990" s="1634"/>
    </row>
    <row r="2991" spans="6:23" ht="24" customHeight="1">
      <c r="F2991" s="1753"/>
      <c r="G2991" s="1751"/>
      <c r="H2991" s="1753"/>
      <c r="I2991" s="1753"/>
      <c r="J2991" s="1816"/>
      <c r="K2991" s="1753"/>
      <c r="W2991" s="1634"/>
    </row>
    <row r="2992" spans="6:23" ht="24" customHeight="1">
      <c r="F2992" s="1842">
        <v>0.42</v>
      </c>
      <c r="G2992" s="1751" t="s">
        <v>313</v>
      </c>
      <c r="H2992" s="1753" t="s">
        <v>2699</v>
      </c>
      <c r="I2992" s="1753">
        <f>K817</f>
        <v>10596.532999999999</v>
      </c>
      <c r="J2992" s="1819" t="s">
        <v>313</v>
      </c>
      <c r="K2992" s="1753">
        <f>F2992*I2992</f>
        <v>4450.5438599999998</v>
      </c>
      <c r="W2992" s="1634"/>
    </row>
    <row r="2993" spans="6:23" ht="24" customHeight="1">
      <c r="F2993" s="1753">
        <v>0.25</v>
      </c>
      <c r="G2993" s="1751" t="s">
        <v>68</v>
      </c>
      <c r="H2993" s="1753" t="s">
        <v>280</v>
      </c>
      <c r="I2993" s="1753">
        <f>C11</f>
        <v>1237.5999999999999</v>
      </c>
      <c r="J2993" s="1819" t="s">
        <v>340</v>
      </c>
      <c r="K2993" s="1753">
        <f>F2993*I2993</f>
        <v>309.39999999999998</v>
      </c>
      <c r="W2993" s="1634"/>
    </row>
    <row r="2994" spans="6:23" ht="24" customHeight="1">
      <c r="F2994" s="1753">
        <v>3.5</v>
      </c>
      <c r="G2994" s="1751" t="s">
        <v>154</v>
      </c>
      <c r="H2994" s="1753" t="s">
        <v>1830</v>
      </c>
      <c r="I2994" s="1753">
        <f>C12</f>
        <v>865.19999999999993</v>
      </c>
      <c r="J2994" s="1819" t="s">
        <v>340</v>
      </c>
      <c r="K2994" s="1753">
        <f>F2994*I2994</f>
        <v>3028.2</v>
      </c>
      <c r="W2994" s="1634"/>
    </row>
    <row r="2995" spans="6:23" ht="24" customHeight="1">
      <c r="F2995" s="1843">
        <v>32.1</v>
      </c>
      <c r="G2995" s="1844" t="s">
        <v>13</v>
      </c>
      <c r="H2995" s="1843" t="s">
        <v>2700</v>
      </c>
      <c r="I2995" s="1753"/>
      <c r="J2995" s="1819"/>
      <c r="K2995" s="1753">
        <f>(F2995*I2995)/1000</f>
        <v>0</v>
      </c>
      <c r="W2995" s="1634"/>
    </row>
    <row r="2996" spans="6:23" ht="24" customHeight="1">
      <c r="F2996" s="1753"/>
      <c r="G2996" s="1753" t="s">
        <v>2629</v>
      </c>
      <c r="H2996" s="1753" t="s">
        <v>2630</v>
      </c>
      <c r="I2996" s="1753"/>
      <c r="J2996" s="1819" t="s">
        <v>2458</v>
      </c>
      <c r="K2996" s="1753">
        <f>(K2993+K2994)*10%</f>
        <v>333.76</v>
      </c>
      <c r="W2996" s="1634"/>
    </row>
    <row r="2997" spans="6:23" ht="24" customHeight="1">
      <c r="F2997" s="1753"/>
      <c r="G2997" s="1751"/>
      <c r="H2997" s="1753"/>
      <c r="I2997" s="1753"/>
      <c r="J2997" s="1816"/>
      <c r="K2997" s="1753" t="s">
        <v>2632</v>
      </c>
      <c r="W2997" s="1634"/>
    </row>
    <row r="2998" spans="6:23" ht="24" customHeight="1">
      <c r="F2998" s="1753"/>
      <c r="G2998" s="1751"/>
      <c r="H2998" s="1753"/>
      <c r="I2998" s="1753"/>
      <c r="J2998" s="1816"/>
      <c r="K2998" s="1753"/>
      <c r="W2998" s="1634"/>
    </row>
    <row r="2999" spans="6:23" ht="24" customHeight="1">
      <c r="F2999" s="1753"/>
      <c r="G2999" s="1751"/>
      <c r="H2999" s="1753"/>
      <c r="I2999" s="1753" t="s">
        <v>2701</v>
      </c>
      <c r="J2999" s="1816"/>
      <c r="K2999" s="1753">
        <f>SUM(K2992:K2996)</f>
        <v>8121.9038599999994</v>
      </c>
      <c r="W2999" s="1634"/>
    </row>
    <row r="3000" spans="6:23" ht="24" customHeight="1">
      <c r="F3000" s="1753"/>
      <c r="G3000" s="1751"/>
      <c r="H3000" s="1753"/>
      <c r="I3000" s="1753"/>
      <c r="J3000" s="1816"/>
      <c r="K3000" s="1753"/>
      <c r="W3000" s="1634"/>
    </row>
    <row r="3001" spans="6:23" ht="24" customHeight="1">
      <c r="F3001" s="1753"/>
      <c r="G3001" s="1751"/>
      <c r="H3001" s="1753"/>
      <c r="I3001" s="1753" t="s">
        <v>2634</v>
      </c>
      <c r="J3001" s="1816"/>
      <c r="K3001" s="1753">
        <f>K2999/3.5</f>
        <v>2320.54396</v>
      </c>
      <c r="W3001" s="1634"/>
    </row>
    <row r="3002" spans="6:23" ht="24" customHeight="1">
      <c r="F3002" s="1753"/>
      <c r="G3002" s="1815" t="s">
        <v>2702</v>
      </c>
      <c r="H3002" s="1753"/>
      <c r="I3002" s="1753"/>
      <c r="J3002" s="1816"/>
      <c r="K3002" s="1753"/>
      <c r="W3002" s="1634"/>
    </row>
    <row r="3003" spans="6:23" ht="24" customHeight="1">
      <c r="J3003" s="1634"/>
      <c r="W3003" s="1634"/>
    </row>
    <row r="3004" spans="6:23" ht="24" customHeight="1">
      <c r="F3004" s="1629">
        <v>1</v>
      </c>
      <c r="G3004" s="1751" t="s">
        <v>313</v>
      </c>
      <c r="H3004" s="1629" t="s">
        <v>710</v>
      </c>
      <c r="I3004" s="1629">
        <f>AE38</f>
        <v>222.7</v>
      </c>
      <c r="J3004" s="1819" t="s">
        <v>313</v>
      </c>
      <c r="K3004" s="1753">
        <f>F3004*I3004</f>
        <v>222.7</v>
      </c>
      <c r="W3004" s="1634"/>
    </row>
    <row r="3005" spans="6:23" ht="42" customHeight="1">
      <c r="F3005" s="1629">
        <v>1</v>
      </c>
      <c r="G3005" s="1751" t="s">
        <v>313</v>
      </c>
      <c r="H3005" s="1629" t="s">
        <v>2703</v>
      </c>
      <c r="I3005" s="1629">
        <f>AG28</f>
        <v>51.730000000000004</v>
      </c>
      <c r="J3005" s="1819" t="s">
        <v>313</v>
      </c>
      <c r="K3005" s="1753">
        <f>F3005*I3005</f>
        <v>51.730000000000004</v>
      </c>
      <c r="W3005" s="1634"/>
    </row>
    <row r="3006" spans="6:23" ht="24" customHeight="1">
      <c r="J3006" s="1634"/>
      <c r="K3006" s="1661">
        <f>SUM(K3004:K3005)</f>
        <v>274.43</v>
      </c>
      <c r="W3006" s="1634"/>
    </row>
    <row r="3007" spans="6:23" ht="24" customHeight="1">
      <c r="W3007" s="1634"/>
    </row>
    <row r="3008" spans="6:23" ht="24" customHeight="1">
      <c r="H3008" s="1630" t="s">
        <v>2704</v>
      </c>
      <c r="I3008" s="1778"/>
      <c r="J3008" s="1634"/>
      <c r="W3008" s="1634"/>
    </row>
    <row r="3009" spans="8:23" s="1629" customFormat="1" ht="24" customHeight="1">
      <c r="H3009" s="1778" t="s">
        <v>5705</v>
      </c>
      <c r="I3009" s="1629">
        <v>1020</v>
      </c>
      <c r="J3009" s="1634" t="s">
        <v>1950</v>
      </c>
      <c r="K3009" s="1629">
        <f>I3009</f>
        <v>1020</v>
      </c>
      <c r="S3009" s="1633"/>
      <c r="W3009" s="1634"/>
    </row>
    <row r="3010" spans="8:23" s="1629" customFormat="1" ht="32.25" customHeight="1">
      <c r="J3010" s="1634"/>
      <c r="S3010" s="1633"/>
      <c r="W3010" s="1634"/>
    </row>
    <row r="3011" spans="8:23" s="1629" customFormat="1" ht="24" customHeight="1">
      <c r="J3011" s="1634"/>
      <c r="S3011" s="1633"/>
      <c r="W3011" s="1634"/>
    </row>
    <row r="3012" spans="8:23" s="1629" customFormat="1" ht="24" customHeight="1">
      <c r="H3012" s="1629" t="s">
        <v>5706</v>
      </c>
      <c r="I3012" s="1701">
        <v>494.7</v>
      </c>
      <c r="J3012" s="1634" t="s">
        <v>1950</v>
      </c>
      <c r="K3012" s="1629">
        <f>I3012</f>
        <v>494.7</v>
      </c>
      <c r="S3012" s="1633"/>
      <c r="W3012" s="1634"/>
    </row>
    <row r="3013" spans="8:23" s="1629" customFormat="1" ht="24" customHeight="1">
      <c r="J3013" s="1634"/>
      <c r="S3013" s="1633"/>
      <c r="W3013" s="1634"/>
    </row>
    <row r="3014" spans="8:23" s="1629" customFormat="1" ht="24" customHeight="1">
      <c r="H3014" s="1629" t="s">
        <v>5707</v>
      </c>
      <c r="I3014" s="1701">
        <v>398.3</v>
      </c>
      <c r="J3014" s="1634" t="s">
        <v>1950</v>
      </c>
      <c r="K3014" s="1629">
        <f>I3014</f>
        <v>398.3</v>
      </c>
      <c r="S3014" s="1633"/>
      <c r="W3014" s="1634"/>
    </row>
    <row r="3015" spans="8:23" s="1629" customFormat="1" ht="24" customHeight="1">
      <c r="J3015" s="1634"/>
      <c r="S3015" s="1633"/>
      <c r="W3015" s="1634"/>
    </row>
    <row r="3016" spans="8:23" s="1629" customFormat="1" ht="24" customHeight="1">
      <c r="H3016" s="1629" t="s">
        <v>2708</v>
      </c>
      <c r="J3016" s="1634"/>
      <c r="S3016" s="1633"/>
      <c r="W3016" s="1634"/>
    </row>
    <row r="3017" spans="8:23" s="1629" customFormat="1" ht="24" customHeight="1">
      <c r="H3017" s="1629" t="s">
        <v>5708</v>
      </c>
      <c r="I3017" s="1701">
        <v>995</v>
      </c>
      <c r="J3017" s="1634" t="s">
        <v>1950</v>
      </c>
      <c r="K3017" s="1629">
        <f>I3017</f>
        <v>995</v>
      </c>
      <c r="S3017" s="1633"/>
      <c r="W3017" s="1634"/>
    </row>
    <row r="3018" spans="8:23" s="1629" customFormat="1" ht="24" customHeight="1">
      <c r="H3018" s="1627" t="s">
        <v>2710</v>
      </c>
      <c r="I3018" s="1629">
        <f>K2291</f>
        <v>2149.15</v>
      </c>
      <c r="J3018" s="1634"/>
      <c r="K3018" s="1629">
        <f>I3018</f>
        <v>2149.15</v>
      </c>
      <c r="S3018" s="1633"/>
      <c r="W3018" s="1634"/>
    </row>
    <row r="3019" spans="8:23" s="1629" customFormat="1" ht="24" customHeight="1">
      <c r="J3019" s="1634"/>
      <c r="S3019" s="1633"/>
      <c r="W3019" s="1634"/>
    </row>
    <row r="3020" spans="8:23" s="1629" customFormat="1" ht="24" customHeight="1">
      <c r="J3020" s="1634"/>
      <c r="S3020" s="1633"/>
      <c r="W3020" s="1634"/>
    </row>
    <row r="3021" spans="8:23" s="1629" customFormat="1" ht="44.25" customHeight="1">
      <c r="J3021" s="1634"/>
      <c r="S3021" s="1633"/>
      <c r="W3021" s="1634"/>
    </row>
    <row r="3022" spans="8:23" s="1629" customFormat="1" ht="68.25" customHeight="1">
      <c r="J3022" s="1634"/>
      <c r="S3022" s="1633"/>
      <c r="W3022" s="1634"/>
    </row>
    <row r="3023" spans="8:23" s="1629" customFormat="1" ht="24" customHeight="1">
      <c r="J3023" s="1634"/>
      <c r="S3023" s="1633"/>
      <c r="W3023" s="1634"/>
    </row>
    <row r="3024" spans="8:23" s="1629" customFormat="1" ht="24" customHeight="1">
      <c r="J3024" s="1634"/>
      <c r="S3024" s="1633"/>
      <c r="W3024" s="1634"/>
    </row>
    <row r="3025" spans="8:23" s="1629" customFormat="1" ht="24" customHeight="1">
      <c r="H3025" s="1694"/>
      <c r="J3025" s="1634"/>
      <c r="S3025" s="1633"/>
      <c r="W3025" s="1634"/>
    </row>
    <row r="3026" spans="8:23" s="1629" customFormat="1" ht="24" customHeight="1">
      <c r="J3026" s="1634"/>
      <c r="S3026" s="1633"/>
      <c r="W3026" s="1634"/>
    </row>
    <row r="3027" spans="8:23" s="1629" customFormat="1" ht="24" customHeight="1">
      <c r="H3027" s="1735"/>
      <c r="I3027" s="1661"/>
      <c r="J3027" s="1677"/>
      <c r="K3027" s="1661"/>
      <c r="S3027" s="1633"/>
      <c r="W3027" s="1634"/>
    </row>
    <row r="3028" spans="8:23" s="1629" customFormat="1" ht="24" customHeight="1">
      <c r="J3028" s="1632"/>
      <c r="S3028" s="1633"/>
      <c r="W3028" s="1634"/>
    </row>
    <row r="3029" spans="8:23" s="1629" customFormat="1" ht="24" customHeight="1">
      <c r="J3029" s="1632"/>
      <c r="S3029" s="1633"/>
      <c r="W3029" s="1634"/>
    </row>
    <row r="3030" spans="8:23" s="1629" customFormat="1" ht="24" customHeight="1">
      <c r="H3030" s="1629" t="s">
        <v>2711</v>
      </c>
      <c r="J3030" s="1632"/>
      <c r="S3030" s="1633"/>
      <c r="W3030" s="1634"/>
    </row>
    <row r="3031" spans="8:23" s="1629" customFormat="1" ht="24" customHeight="1">
      <c r="H3031" s="1629" t="s">
        <v>2712</v>
      </c>
      <c r="J3031" s="1632" t="s">
        <v>340</v>
      </c>
      <c r="K3031" s="1701">
        <v>130</v>
      </c>
      <c r="S3031" s="1633"/>
      <c r="W3031" s="1634"/>
    </row>
    <row r="3032" spans="8:23" s="1629" customFormat="1" ht="24" customHeight="1">
      <c r="J3032" s="1632"/>
      <c r="S3032" s="1633"/>
      <c r="W3032" s="1634"/>
    </row>
    <row r="3033" spans="8:23" s="1629" customFormat="1" ht="24" customHeight="1">
      <c r="H3033" s="1629" t="s">
        <v>2713</v>
      </c>
      <c r="J3033" s="1632" t="s">
        <v>340</v>
      </c>
      <c r="K3033" s="1701">
        <v>170</v>
      </c>
      <c r="S3033" s="1633"/>
      <c r="W3033" s="1634"/>
    </row>
    <row r="3034" spans="8:23" s="1629" customFormat="1" ht="24" customHeight="1">
      <c r="J3034" s="1632"/>
      <c r="S3034" s="1633"/>
      <c r="W3034" s="1634"/>
    </row>
    <row r="3035" spans="8:23" s="1629" customFormat="1" ht="24" customHeight="1">
      <c r="J3035" s="1632"/>
      <c r="S3035" s="1633"/>
      <c r="W3035" s="1634"/>
    </row>
    <row r="3036" spans="8:23" s="1629" customFormat="1" ht="24" customHeight="1">
      <c r="H3036" s="1627" t="s">
        <v>2714</v>
      </c>
      <c r="J3036" s="1632" t="s">
        <v>340</v>
      </c>
      <c r="K3036" s="1690">
        <v>443</v>
      </c>
      <c r="S3036" s="1633"/>
      <c r="W3036" s="1634"/>
    </row>
    <row r="3037" spans="8:23" s="1629" customFormat="1" ht="24" customHeight="1">
      <c r="J3037" s="1632"/>
      <c r="S3037" s="1633"/>
      <c r="W3037" s="1634"/>
    </row>
    <row r="3038" spans="8:23" s="1629" customFormat="1" ht="24" customHeight="1">
      <c r="H3038" s="1680" t="s">
        <v>2715</v>
      </c>
      <c r="J3038" s="1632" t="s">
        <v>340</v>
      </c>
      <c r="K3038" s="1640">
        <f>[7]Elec.Data!K936</f>
        <v>1552.7</v>
      </c>
      <c r="S3038" s="1633"/>
      <c r="W3038" s="1634"/>
    </row>
    <row r="3039" spans="8:23" s="1629" customFormat="1" ht="45" customHeight="1">
      <c r="J3039" s="1632"/>
      <c r="S3039" s="1633"/>
      <c r="W3039" s="1634"/>
    </row>
    <row r="3040" spans="8:23" s="1629" customFormat="1" ht="24" customHeight="1">
      <c r="J3040" s="1632"/>
      <c r="S3040" s="1633"/>
      <c r="W3040" s="1634"/>
    </row>
    <row r="3041" spans="6:23" ht="41.25" customHeight="1">
      <c r="H3041" s="1629" t="s">
        <v>2708</v>
      </c>
      <c r="J3041" s="1632" t="s">
        <v>340</v>
      </c>
      <c r="K3041" s="1629">
        <f>K3017</f>
        <v>995</v>
      </c>
      <c r="W3041" s="1634"/>
    </row>
    <row r="3042" spans="6:23" ht="24" customHeight="1">
      <c r="H3042" s="1629" t="s">
        <v>2716</v>
      </c>
      <c r="W3042" s="1634"/>
    </row>
    <row r="3043" spans="6:23" ht="24" customHeight="1">
      <c r="W3043" s="1634"/>
    </row>
    <row r="3044" spans="6:23" ht="24" customHeight="1">
      <c r="F3044" s="1629">
        <v>0.5</v>
      </c>
      <c r="H3044" s="1629" t="s">
        <v>2717</v>
      </c>
      <c r="J3044" s="1632">
        <f>C15</f>
        <v>1149.3999999999999</v>
      </c>
      <c r="K3044" s="1629">
        <f>J3044*F3044</f>
        <v>574.69999999999993</v>
      </c>
      <c r="W3044" s="1634"/>
    </row>
    <row r="3045" spans="6:23" ht="24" customHeight="1">
      <c r="F3045" s="1629">
        <v>0.5</v>
      </c>
      <c r="H3045" s="1629" t="s">
        <v>1830</v>
      </c>
      <c r="J3045" s="1632">
        <f>C12</f>
        <v>865.19999999999993</v>
      </c>
      <c r="K3045" s="1629">
        <f>J3045*F3045</f>
        <v>432.59999999999997</v>
      </c>
      <c r="W3045" s="1634"/>
    </row>
    <row r="3046" spans="6:23" ht="24" customHeight="1">
      <c r="I3046" s="2017" t="s">
        <v>2718</v>
      </c>
      <c r="J3046" s="2017"/>
      <c r="K3046" s="1661">
        <f>SUM(K3041:K3045)</f>
        <v>2002.2999999999997</v>
      </c>
      <c r="W3046" s="1634"/>
    </row>
    <row r="3047" spans="6:23" ht="24" customHeight="1">
      <c r="W3047" s="1634"/>
    </row>
    <row r="3048" spans="6:23" ht="24" customHeight="1">
      <c r="W3048" s="1634"/>
    </row>
    <row r="3049" spans="6:23" ht="24" customHeight="1">
      <c r="F3049" s="1628" t="s">
        <v>1693</v>
      </c>
      <c r="G3049" s="1638" t="s">
        <v>249</v>
      </c>
      <c r="H3049" s="1627" t="s">
        <v>2649</v>
      </c>
      <c r="J3049" s="1634"/>
      <c r="W3049" s="1634"/>
    </row>
    <row r="3050" spans="6:23" ht="24" customHeight="1">
      <c r="H3050" s="1627" t="s">
        <v>1695</v>
      </c>
      <c r="J3050" s="1634"/>
      <c r="W3050" s="1634"/>
    </row>
    <row r="3051" spans="6:23" ht="24" customHeight="1">
      <c r="H3051" s="1627" t="s">
        <v>2719</v>
      </c>
      <c r="J3051" s="1634"/>
      <c r="W3051" s="1634"/>
    </row>
    <row r="3052" spans="6:23" ht="24" customHeight="1">
      <c r="H3052" s="1636" t="s">
        <v>21</v>
      </c>
      <c r="J3052" s="1634"/>
      <c r="W3052" s="1634"/>
    </row>
    <row r="3053" spans="6:23" ht="24" customHeight="1">
      <c r="H3053" s="1627" t="s">
        <v>2720</v>
      </c>
      <c r="J3053" s="1634"/>
      <c r="W3053" s="1634"/>
    </row>
    <row r="3054" spans="6:23" ht="24" customHeight="1">
      <c r="J3054" s="1634"/>
      <c r="W3054" s="1634"/>
    </row>
    <row r="3055" spans="6:23" ht="24" customHeight="1">
      <c r="F3055" s="1698">
        <v>2.2275</v>
      </c>
      <c r="G3055" s="1638" t="s">
        <v>152</v>
      </c>
      <c r="H3055" s="1680" t="s">
        <v>2651</v>
      </c>
      <c r="I3055" s="1629">
        <f>I2834</f>
        <v>2180</v>
      </c>
      <c r="J3055" s="1628" t="s">
        <v>152</v>
      </c>
      <c r="K3055" s="1629">
        <f>F3056*I3055</f>
        <v>4855.95</v>
      </c>
      <c r="W3055" s="1634"/>
    </row>
    <row r="3056" spans="6:23" ht="38.25" customHeight="1">
      <c r="F3056" s="1692">
        <f>F3055</f>
        <v>2.2275</v>
      </c>
      <c r="G3056" s="1638" t="s">
        <v>152</v>
      </c>
      <c r="H3056" s="1700" t="s">
        <v>1708</v>
      </c>
      <c r="I3056" s="1656">
        <f>I2867</f>
        <v>438.2</v>
      </c>
      <c r="J3056" s="1628" t="s">
        <v>152</v>
      </c>
      <c r="K3056" s="1640">
        <f t="shared" ref="K3056:K3062" si="281">(F3056*I3056)</f>
        <v>976.09050000000002</v>
      </c>
      <c r="M3056" s="1628" t="s">
        <v>1693</v>
      </c>
      <c r="N3056" s="1638" t="s">
        <v>249</v>
      </c>
      <c r="O3056" s="1627" t="s">
        <v>2649</v>
      </c>
      <c r="Q3056" s="1634"/>
      <c r="W3056" s="1634"/>
    </row>
    <row r="3057" spans="6:23" ht="24" customHeight="1">
      <c r="F3057" s="1640">
        <v>4</v>
      </c>
      <c r="G3057" s="1638" t="s">
        <v>4</v>
      </c>
      <c r="H3057" s="1627" t="s">
        <v>1709</v>
      </c>
      <c r="I3057" s="1629">
        <f t="shared" ref="I3057:I3062" si="282">I2972</f>
        <v>57.65</v>
      </c>
      <c r="J3057" s="1628" t="s">
        <v>153</v>
      </c>
      <c r="K3057" s="1640">
        <f t="shared" si="281"/>
        <v>230.6</v>
      </c>
      <c r="N3057" s="1630"/>
      <c r="O3057" s="1627" t="s">
        <v>1695</v>
      </c>
      <c r="Q3057" s="1634"/>
      <c r="W3057" s="1634"/>
    </row>
    <row r="3058" spans="6:23" ht="24" customHeight="1">
      <c r="F3058" s="1640">
        <v>6</v>
      </c>
      <c r="G3058" s="1638" t="s">
        <v>153</v>
      </c>
      <c r="H3058" s="1627" t="s">
        <v>391</v>
      </c>
      <c r="I3058" s="1629">
        <f t="shared" si="282"/>
        <v>89.6</v>
      </c>
      <c r="J3058" s="1628" t="s">
        <v>153</v>
      </c>
      <c r="K3058" s="1640">
        <f t="shared" si="281"/>
        <v>537.59999999999991</v>
      </c>
      <c r="N3058" s="1630"/>
      <c r="O3058" s="1627" t="s">
        <v>2721</v>
      </c>
      <c r="Q3058" s="1634"/>
      <c r="W3058" s="1634"/>
    </row>
    <row r="3059" spans="6:23" ht="24" customHeight="1">
      <c r="F3059" s="1640">
        <v>4</v>
      </c>
      <c r="G3059" s="1638" t="s">
        <v>153</v>
      </c>
      <c r="H3059" s="1627" t="s">
        <v>392</v>
      </c>
      <c r="I3059" s="1629">
        <f t="shared" si="282"/>
        <v>64.8</v>
      </c>
      <c r="J3059" s="1628" t="s">
        <v>153</v>
      </c>
      <c r="K3059" s="1640">
        <f t="shared" si="281"/>
        <v>259.2</v>
      </c>
      <c r="N3059" s="1630"/>
      <c r="O3059" s="1636" t="s">
        <v>21</v>
      </c>
      <c r="Q3059" s="1634"/>
      <c r="W3059" s="1634"/>
    </row>
    <row r="3060" spans="6:23" ht="24" customHeight="1">
      <c r="F3060" s="1640">
        <v>1</v>
      </c>
      <c r="G3060" s="1638" t="s">
        <v>153</v>
      </c>
      <c r="H3060" s="1627" t="s">
        <v>393</v>
      </c>
      <c r="I3060" s="1629">
        <f t="shared" si="282"/>
        <v>181</v>
      </c>
      <c r="J3060" s="1628" t="s">
        <v>153</v>
      </c>
      <c r="K3060" s="1640">
        <f t="shared" si="281"/>
        <v>181</v>
      </c>
      <c r="N3060" s="1630"/>
      <c r="O3060" s="1627" t="s">
        <v>2722</v>
      </c>
      <c r="Q3060" s="1634"/>
      <c r="W3060" s="1634"/>
    </row>
    <row r="3061" spans="6:23" ht="24" customHeight="1">
      <c r="F3061" s="1640">
        <v>2</v>
      </c>
      <c r="G3061" s="1638" t="s">
        <v>153</v>
      </c>
      <c r="H3061" s="1627" t="s">
        <v>1713</v>
      </c>
      <c r="I3061" s="1629">
        <f t="shared" si="282"/>
        <v>7.3</v>
      </c>
      <c r="J3061" s="1628" t="s">
        <v>153</v>
      </c>
      <c r="K3061" s="1640">
        <f t="shared" si="281"/>
        <v>14.6</v>
      </c>
      <c r="N3061" s="1630"/>
      <c r="Q3061" s="1634"/>
      <c r="W3061" s="1634"/>
    </row>
    <row r="3062" spans="6:23" ht="24" customHeight="1">
      <c r="F3062" s="1640">
        <v>2</v>
      </c>
      <c r="G3062" s="1638" t="s">
        <v>153</v>
      </c>
      <c r="H3062" s="1627" t="s">
        <v>886</v>
      </c>
      <c r="I3062" s="1629">
        <f t="shared" si="282"/>
        <v>49.55</v>
      </c>
      <c r="J3062" s="1628" t="s">
        <v>153</v>
      </c>
      <c r="K3062" s="1640">
        <f t="shared" si="281"/>
        <v>99.1</v>
      </c>
      <c r="M3062" s="1633">
        <v>3.29</v>
      </c>
      <c r="N3062" s="1638" t="s">
        <v>152</v>
      </c>
      <c r="O3062" s="1680" t="s">
        <v>2651</v>
      </c>
      <c r="P3062" s="1629">
        <f>I3055</f>
        <v>2180</v>
      </c>
      <c r="Q3062" s="1628" t="s">
        <v>152</v>
      </c>
      <c r="R3062" s="1629">
        <f>M3063*P3062</f>
        <v>7172.2</v>
      </c>
      <c r="W3062" s="1634"/>
    </row>
    <row r="3063" spans="6:23" ht="33.75" customHeight="1">
      <c r="J3063" s="1634"/>
      <c r="K3063" s="1656">
        <v>0.2</v>
      </c>
      <c r="M3063" s="1658">
        <v>3.29</v>
      </c>
      <c r="N3063" s="1638" t="s">
        <v>152</v>
      </c>
      <c r="O3063" s="1627" t="s">
        <v>1708</v>
      </c>
      <c r="P3063" s="1629">
        <f t="shared" ref="P3063:P3069" si="283">I3056</f>
        <v>438.2</v>
      </c>
      <c r="Q3063" s="1628" t="s">
        <v>152</v>
      </c>
      <c r="R3063" s="1640">
        <f t="shared" ref="R3063:R3069" si="284">(M3063*P3063)</f>
        <v>1441.6779999999999</v>
      </c>
      <c r="W3063" s="1634"/>
    </row>
    <row r="3064" spans="6:23" ht="33.75" customHeight="1">
      <c r="H3064" s="1627" t="s">
        <v>2723</v>
      </c>
      <c r="J3064" s="1634"/>
      <c r="K3064" s="1640">
        <f>SUM(K3055:K3063)</f>
        <v>7154.3405000000002</v>
      </c>
      <c r="M3064" s="1640">
        <v>4</v>
      </c>
      <c r="N3064" s="1638" t="s">
        <v>4</v>
      </c>
      <c r="O3064" s="1627" t="s">
        <v>1709</v>
      </c>
      <c r="P3064" s="1629">
        <f t="shared" si="283"/>
        <v>57.65</v>
      </c>
      <c r="Q3064" s="1628" t="s">
        <v>153</v>
      </c>
      <c r="R3064" s="1640">
        <f t="shared" si="284"/>
        <v>230.6</v>
      </c>
      <c r="W3064" s="1634"/>
    </row>
    <row r="3065" spans="6:23" ht="24" customHeight="1">
      <c r="J3065" s="1634"/>
      <c r="K3065" s="1636" t="s">
        <v>21</v>
      </c>
      <c r="M3065" s="1640">
        <v>6</v>
      </c>
      <c r="N3065" s="1638" t="s">
        <v>153</v>
      </c>
      <c r="O3065" s="1627" t="s">
        <v>391</v>
      </c>
      <c r="P3065" s="1629">
        <f t="shared" si="283"/>
        <v>89.6</v>
      </c>
      <c r="Q3065" s="1628" t="s">
        <v>153</v>
      </c>
      <c r="R3065" s="1640">
        <f t="shared" si="284"/>
        <v>537.59999999999991</v>
      </c>
      <c r="W3065" s="1634"/>
    </row>
    <row r="3066" spans="6:23" ht="24" customHeight="1">
      <c r="H3066" s="1627" t="s">
        <v>155</v>
      </c>
      <c r="J3066" s="1634"/>
      <c r="K3066" s="1640">
        <f>K3064/F3056</f>
        <v>3211.8251402918072</v>
      </c>
      <c r="M3066" s="1640">
        <v>4</v>
      </c>
      <c r="N3066" s="1638" t="s">
        <v>153</v>
      </c>
      <c r="O3066" s="1627" t="s">
        <v>392</v>
      </c>
      <c r="P3066" s="1629">
        <f t="shared" si="283"/>
        <v>64.8</v>
      </c>
      <c r="Q3066" s="1628" t="s">
        <v>153</v>
      </c>
      <c r="R3066" s="1640">
        <f t="shared" si="284"/>
        <v>259.2</v>
      </c>
      <c r="W3066" s="1634"/>
    </row>
    <row r="3067" spans="6:23" ht="24" customHeight="1">
      <c r="M3067" s="1640">
        <v>1</v>
      </c>
      <c r="N3067" s="1638" t="s">
        <v>153</v>
      </c>
      <c r="O3067" s="1627" t="s">
        <v>393</v>
      </c>
      <c r="P3067" s="1629">
        <f t="shared" si="283"/>
        <v>181</v>
      </c>
      <c r="Q3067" s="1628" t="s">
        <v>153</v>
      </c>
      <c r="R3067" s="1640">
        <f t="shared" si="284"/>
        <v>181</v>
      </c>
      <c r="W3067" s="1634"/>
    </row>
    <row r="3068" spans="6:23" ht="24" customHeight="1">
      <c r="F3068" s="1628" t="s">
        <v>1693</v>
      </c>
      <c r="G3068" s="1638" t="s">
        <v>249</v>
      </c>
      <c r="H3068" s="1627" t="s">
        <v>2649</v>
      </c>
      <c r="J3068" s="1634"/>
      <c r="M3068" s="1640">
        <v>2</v>
      </c>
      <c r="N3068" s="1638" t="s">
        <v>153</v>
      </c>
      <c r="O3068" s="1627" t="s">
        <v>1713</v>
      </c>
      <c r="P3068" s="1629">
        <f t="shared" si="283"/>
        <v>7.3</v>
      </c>
      <c r="Q3068" s="1628" t="s">
        <v>153</v>
      </c>
      <c r="R3068" s="1640">
        <f t="shared" si="284"/>
        <v>14.6</v>
      </c>
      <c r="W3068" s="1634"/>
    </row>
    <row r="3069" spans="6:23" ht="24" customHeight="1">
      <c r="H3069" s="1627" t="s">
        <v>1695</v>
      </c>
      <c r="J3069" s="1634"/>
      <c r="M3069" s="1640">
        <v>2</v>
      </c>
      <c r="N3069" s="1638" t="s">
        <v>153</v>
      </c>
      <c r="O3069" s="1627" t="s">
        <v>886</v>
      </c>
      <c r="P3069" s="1629">
        <f t="shared" si="283"/>
        <v>49.55</v>
      </c>
      <c r="Q3069" s="1628" t="s">
        <v>153</v>
      </c>
      <c r="R3069" s="1640">
        <f t="shared" si="284"/>
        <v>99.1</v>
      </c>
      <c r="W3069" s="1634"/>
    </row>
    <row r="3070" spans="6:23" ht="24" customHeight="1">
      <c r="H3070" s="1627" t="s">
        <v>2724</v>
      </c>
      <c r="J3070" s="1634"/>
      <c r="N3070" s="1630"/>
      <c r="Q3070" s="1634"/>
      <c r="R3070" s="1636" t="s">
        <v>21</v>
      </c>
      <c r="W3070" s="1634"/>
    </row>
    <row r="3071" spans="6:23" ht="24" customHeight="1">
      <c r="H3071" s="1636" t="s">
        <v>21</v>
      </c>
      <c r="J3071" s="1634"/>
      <c r="N3071" s="1630"/>
      <c r="O3071" s="1627" t="s">
        <v>2725</v>
      </c>
      <c r="Q3071" s="1634"/>
      <c r="R3071" s="1640">
        <f>SUM(R3062:R3070)+0.5</f>
        <v>9936.4780000000028</v>
      </c>
      <c r="W3071" s="1634"/>
    </row>
    <row r="3072" spans="6:23" ht="24" customHeight="1">
      <c r="H3072" s="1627" t="s">
        <v>2726</v>
      </c>
      <c r="J3072" s="1634"/>
      <c r="N3072" s="1630"/>
      <c r="Q3072" s="1634"/>
      <c r="R3072" s="1636" t="s">
        <v>21</v>
      </c>
      <c r="W3072" s="1634"/>
    </row>
    <row r="3073" spans="6:23" ht="24" customHeight="1">
      <c r="J3073" s="1634"/>
      <c r="N3073" s="1630"/>
      <c r="O3073" s="1627" t="s">
        <v>155</v>
      </c>
      <c r="Q3073" s="1634"/>
      <c r="R3073" s="1640">
        <f>R3071/M3062</f>
        <v>3020.2060790273563</v>
      </c>
      <c r="W3073" s="1634"/>
    </row>
    <row r="3074" spans="6:23" ht="24" customHeight="1">
      <c r="F3074" s="1633">
        <v>2.87</v>
      </c>
      <c r="G3074" s="1638" t="s">
        <v>152</v>
      </c>
      <c r="H3074" s="1680" t="s">
        <v>2651</v>
      </c>
      <c r="I3074" s="1629">
        <f>I3055</f>
        <v>2180</v>
      </c>
      <c r="J3074" s="1628" t="s">
        <v>152</v>
      </c>
      <c r="K3074" s="1629">
        <f>F3075*I3074</f>
        <v>6256.6</v>
      </c>
      <c r="N3074" s="1630"/>
      <c r="Q3074" s="1632"/>
      <c r="W3074" s="1634"/>
    </row>
    <row r="3075" spans="6:23" ht="24" customHeight="1">
      <c r="F3075" s="1658">
        <f>F3074</f>
        <v>2.87</v>
      </c>
      <c r="G3075" s="1638" t="s">
        <v>152</v>
      </c>
      <c r="H3075" s="1700" t="s">
        <v>1708</v>
      </c>
      <c r="I3075" s="1656">
        <f t="shared" ref="I3075:I3081" si="285">I3056</f>
        <v>438.2</v>
      </c>
      <c r="J3075" s="1628" t="s">
        <v>152</v>
      </c>
      <c r="K3075" s="1640">
        <f t="shared" ref="K3075:K3081" si="286">(F3075*I3075)</f>
        <v>1257.634</v>
      </c>
      <c r="W3075" s="1634"/>
    </row>
    <row r="3076" spans="6:23" ht="24" customHeight="1">
      <c r="F3076" s="1640">
        <v>4</v>
      </c>
      <c r="G3076" s="1638" t="s">
        <v>4</v>
      </c>
      <c r="H3076" s="1627" t="s">
        <v>1709</v>
      </c>
      <c r="I3076" s="1629">
        <f t="shared" si="285"/>
        <v>57.65</v>
      </c>
      <c r="J3076" s="1628" t="s">
        <v>153</v>
      </c>
      <c r="K3076" s="1640">
        <f t="shared" si="286"/>
        <v>230.6</v>
      </c>
      <c r="W3076" s="1634"/>
    </row>
    <row r="3077" spans="6:23" ht="24" customHeight="1">
      <c r="F3077" s="1640">
        <v>6</v>
      </c>
      <c r="G3077" s="1638" t="s">
        <v>153</v>
      </c>
      <c r="H3077" s="1627" t="s">
        <v>391</v>
      </c>
      <c r="I3077" s="1629">
        <f t="shared" si="285"/>
        <v>89.6</v>
      </c>
      <c r="J3077" s="1628" t="s">
        <v>153</v>
      </c>
      <c r="K3077" s="1640">
        <f t="shared" si="286"/>
        <v>537.59999999999991</v>
      </c>
      <c r="W3077" s="1634"/>
    </row>
    <row r="3078" spans="6:23" ht="24" customHeight="1">
      <c r="F3078" s="1640">
        <v>4</v>
      </c>
      <c r="G3078" s="1638" t="s">
        <v>153</v>
      </c>
      <c r="H3078" s="1627" t="s">
        <v>392</v>
      </c>
      <c r="I3078" s="1629">
        <f t="shared" si="285"/>
        <v>64.8</v>
      </c>
      <c r="J3078" s="1628" t="s">
        <v>153</v>
      </c>
      <c r="K3078" s="1640">
        <f t="shared" si="286"/>
        <v>259.2</v>
      </c>
      <c r="W3078" s="1634"/>
    </row>
    <row r="3079" spans="6:23" ht="24" customHeight="1">
      <c r="F3079" s="1640">
        <v>1</v>
      </c>
      <c r="G3079" s="1638" t="s">
        <v>153</v>
      </c>
      <c r="H3079" s="1627" t="s">
        <v>393</v>
      </c>
      <c r="I3079" s="1629">
        <f t="shared" si="285"/>
        <v>181</v>
      </c>
      <c r="J3079" s="1628" t="s">
        <v>153</v>
      </c>
      <c r="K3079" s="1640">
        <f t="shared" si="286"/>
        <v>181</v>
      </c>
      <c r="W3079" s="1634"/>
    </row>
    <row r="3080" spans="6:23" ht="24" customHeight="1">
      <c r="F3080" s="1640">
        <v>2</v>
      </c>
      <c r="G3080" s="1638" t="s">
        <v>153</v>
      </c>
      <c r="H3080" s="1627" t="s">
        <v>1713</v>
      </c>
      <c r="I3080" s="1629">
        <f t="shared" si="285"/>
        <v>7.3</v>
      </c>
      <c r="J3080" s="1628" t="s">
        <v>153</v>
      </c>
      <c r="K3080" s="1640">
        <f t="shared" si="286"/>
        <v>14.6</v>
      </c>
      <c r="W3080" s="1634"/>
    </row>
    <row r="3081" spans="6:23" ht="24" customHeight="1">
      <c r="F3081" s="1640">
        <v>2</v>
      </c>
      <c r="G3081" s="1638" t="s">
        <v>153</v>
      </c>
      <c r="H3081" s="1627" t="s">
        <v>886</v>
      </c>
      <c r="I3081" s="1629">
        <f t="shared" si="285"/>
        <v>49.55</v>
      </c>
      <c r="J3081" s="1628" t="s">
        <v>153</v>
      </c>
      <c r="K3081" s="1640">
        <f t="shared" si="286"/>
        <v>99.1</v>
      </c>
      <c r="W3081" s="1634"/>
    </row>
    <row r="3082" spans="6:23" ht="24" customHeight="1">
      <c r="J3082" s="1634"/>
      <c r="K3082" s="1656">
        <f>1.19+0.16</f>
        <v>1.3499999999999999</v>
      </c>
      <c r="W3082" s="1634"/>
    </row>
    <row r="3083" spans="6:23" ht="24" customHeight="1">
      <c r="H3083" s="1627" t="s">
        <v>2727</v>
      </c>
      <c r="J3083" s="1634"/>
      <c r="K3083" s="1640">
        <f>SUM(K3074:K3082)</f>
        <v>8837.6840000000029</v>
      </c>
      <c r="W3083" s="1634"/>
    </row>
    <row r="3084" spans="6:23" ht="24" customHeight="1">
      <c r="J3084" s="1634"/>
      <c r="K3084" s="1636" t="s">
        <v>21</v>
      </c>
      <c r="W3084" s="1634"/>
    </row>
    <row r="3085" spans="6:23" ht="24" customHeight="1">
      <c r="H3085" s="1627" t="s">
        <v>155</v>
      </c>
      <c r="J3085" s="1634"/>
      <c r="K3085" s="1640">
        <f>K3083/F3075</f>
        <v>3079.3324041811857</v>
      </c>
      <c r="W3085" s="1634"/>
    </row>
    <row r="3086" spans="6:23" ht="24" customHeight="1">
      <c r="W3086" s="1634"/>
    </row>
    <row r="3087" spans="6:23" ht="24" customHeight="1">
      <c r="F3087" s="1662" t="s">
        <v>2571</v>
      </c>
      <c r="H3087" s="1627" t="s">
        <v>2728</v>
      </c>
      <c r="W3087" s="1634"/>
    </row>
    <row r="3088" spans="6:23" ht="24" customHeight="1">
      <c r="H3088" s="1636" t="s">
        <v>21</v>
      </c>
      <c r="I3088" s="1636" t="s">
        <v>21</v>
      </c>
      <c r="J3088" s="1627" t="s">
        <v>21</v>
      </c>
      <c r="W3088" s="1634"/>
    </row>
    <row r="3089" spans="6:44" ht="24" customHeight="1">
      <c r="W3089" s="1634"/>
    </row>
    <row r="3090" spans="6:44" ht="24" customHeight="1">
      <c r="H3090" s="1627" t="s">
        <v>1804</v>
      </c>
      <c r="W3090" s="1634"/>
    </row>
    <row r="3091" spans="6:44" ht="24" customHeight="1">
      <c r="H3091" s="1627"/>
      <c r="W3091" s="1634"/>
    </row>
    <row r="3092" spans="6:44" ht="24" customHeight="1">
      <c r="H3092" s="1627" t="s">
        <v>1806</v>
      </c>
      <c r="W3092" s="1634"/>
    </row>
    <row r="3093" spans="6:44" ht="24" customHeight="1">
      <c r="H3093" s="1627" t="s">
        <v>1807</v>
      </c>
      <c r="W3093" s="1634"/>
    </row>
    <row r="3094" spans="6:44" ht="24" customHeight="1">
      <c r="H3094" s="1627" t="s">
        <v>1808</v>
      </c>
      <c r="S3094" s="1628"/>
      <c r="T3094" s="1638"/>
      <c r="U3094" s="1627"/>
      <c r="W3094" s="1634"/>
    </row>
    <row r="3095" spans="6:44" ht="24" customHeight="1">
      <c r="H3095" s="1627" t="s">
        <v>1809</v>
      </c>
      <c r="S3095" s="1629"/>
      <c r="U3095" s="1627"/>
      <c r="W3095" s="1634"/>
    </row>
    <row r="3096" spans="6:44" ht="24" customHeight="1">
      <c r="H3096" s="1627" t="s">
        <v>2573</v>
      </c>
      <c r="J3096" s="1627" t="s">
        <v>150</v>
      </c>
      <c r="K3096" s="1691">
        <v>3.7699999999999997E-2</v>
      </c>
      <c r="S3096" s="1629"/>
      <c r="T3096" s="1630"/>
      <c r="U3096" s="1627"/>
      <c r="W3096" s="1634"/>
    </row>
    <row r="3097" spans="6:44" ht="24" customHeight="1">
      <c r="H3097" s="1627" t="s">
        <v>2729</v>
      </c>
      <c r="J3097" s="1710" t="s">
        <v>150</v>
      </c>
      <c r="K3097" s="1710" t="s">
        <v>150</v>
      </c>
      <c r="S3097" s="1629"/>
      <c r="T3097" s="1630"/>
      <c r="U3097" s="1627"/>
      <c r="W3097" s="1634"/>
    </row>
    <row r="3098" spans="6:44" ht="24" customHeight="1">
      <c r="H3098" s="1627" t="s">
        <v>1814</v>
      </c>
      <c r="K3098" s="1710" t="s">
        <v>150</v>
      </c>
      <c r="S3098" s="1629"/>
      <c r="T3098" s="1630"/>
      <c r="U3098" s="1627"/>
      <c r="W3098" s="1634"/>
    </row>
    <row r="3099" spans="6:44" ht="24" customHeight="1">
      <c r="S3099" s="1629"/>
      <c r="T3099" s="1630"/>
      <c r="U3099" s="1630" t="s">
        <v>2730</v>
      </c>
      <c r="W3099" s="1634"/>
    </row>
    <row r="3100" spans="6:44" ht="31.5" customHeight="1">
      <c r="F3100" s="1715">
        <v>1.18E-2</v>
      </c>
      <c r="G3100" s="1638" t="s">
        <v>151</v>
      </c>
      <c r="H3100" s="1627" t="s">
        <v>877</v>
      </c>
      <c r="I3100" s="1640">
        <f>I2662</f>
        <v>111600</v>
      </c>
      <c r="J3100" s="1627" t="s">
        <v>151</v>
      </c>
      <c r="K3100" s="1640">
        <f t="shared" ref="K3100:K3108" si="287">(F3100*I3100)</f>
        <v>1316.8799999999999</v>
      </c>
      <c r="S3100" s="1629"/>
      <c r="T3100" s="1630"/>
      <c r="U3100" s="1637"/>
      <c r="W3100" s="1634"/>
    </row>
    <row r="3101" spans="6:44" ht="24.75" customHeight="1">
      <c r="F3101" s="1715">
        <v>3.7699999999999997E-2</v>
      </c>
      <c r="G3101" s="1638" t="s">
        <v>151</v>
      </c>
      <c r="H3101" s="1627" t="s">
        <v>878</v>
      </c>
      <c r="I3101" s="1640">
        <f t="shared" ref="I3101:I3108" si="288">I2663</f>
        <v>99400</v>
      </c>
      <c r="J3101" s="1627" t="s">
        <v>151</v>
      </c>
      <c r="K3101" s="1640">
        <f t="shared" si="287"/>
        <v>3747.3799999999997</v>
      </c>
      <c r="S3101" s="1629"/>
      <c r="T3101" s="1630"/>
      <c r="U3101" s="1627" t="s">
        <v>2731</v>
      </c>
      <c r="V3101" s="1698">
        <f xml:space="preserve"> 3.08*2.1</f>
        <v>6.4680000000000009</v>
      </c>
      <c r="W3101" s="1634" t="s">
        <v>533</v>
      </c>
      <c r="X3101" s="1629" t="s">
        <v>533</v>
      </c>
    </row>
    <row r="3102" spans="6:44" ht="36" customHeight="1">
      <c r="F3102" s="1715">
        <v>1.8550000000000001E-2</v>
      </c>
      <c r="G3102" s="1638" t="s">
        <v>151</v>
      </c>
      <c r="H3102" s="1627" t="s">
        <v>1815</v>
      </c>
      <c r="I3102" s="1640">
        <f t="shared" si="288"/>
        <v>18172</v>
      </c>
      <c r="J3102" s="1627" t="s">
        <v>151</v>
      </c>
      <c r="K3102" s="1640">
        <f t="shared" si="287"/>
        <v>337.09059999999999</v>
      </c>
      <c r="S3102" s="1629"/>
      <c r="T3102" s="1630"/>
      <c r="U3102" s="1627" t="s">
        <v>2732</v>
      </c>
      <c r="V3102" s="1723">
        <f>4*2.05*0.075*0.0375</f>
        <v>2.3062499999999996E-2</v>
      </c>
      <c r="W3102" s="1634" t="s">
        <v>276</v>
      </c>
      <c r="AG3102" s="1661" t="s">
        <v>1582</v>
      </c>
      <c r="AR3102" s="1661" t="s">
        <v>2733</v>
      </c>
    </row>
    <row r="3103" spans="6:44" ht="45" customHeight="1">
      <c r="F3103" s="1715">
        <v>1.36</v>
      </c>
      <c r="G3103" s="1638" t="s">
        <v>152</v>
      </c>
      <c r="H3103" s="1627" t="s">
        <v>2734</v>
      </c>
      <c r="I3103" s="1640">
        <f>I1055</f>
        <v>387.4</v>
      </c>
      <c r="J3103" s="1627" t="s">
        <v>152</v>
      </c>
      <c r="K3103" s="1640">
        <f t="shared" si="287"/>
        <v>526.86400000000003</v>
      </c>
      <c r="S3103" s="1629"/>
      <c r="T3103" s="1630"/>
      <c r="W3103" s="1628" t="s">
        <v>21</v>
      </c>
      <c r="AG3103" s="1629" t="s">
        <v>2735</v>
      </c>
      <c r="AR3103" s="1629" t="s">
        <v>2735</v>
      </c>
    </row>
    <row r="3104" spans="6:44" ht="31.5" customHeight="1">
      <c r="F3104" s="1715">
        <v>2.0499999999999998</v>
      </c>
      <c r="G3104" s="1638" t="s">
        <v>152</v>
      </c>
      <c r="H3104" s="1627" t="s">
        <v>1817</v>
      </c>
      <c r="I3104" s="1640">
        <f t="shared" si="288"/>
        <v>1701</v>
      </c>
      <c r="J3104" s="1627" t="s">
        <v>152</v>
      </c>
      <c r="K3104" s="1640">
        <f t="shared" si="287"/>
        <v>3487.0499999999997</v>
      </c>
      <c r="S3104" s="1629"/>
      <c r="T3104" s="1630"/>
      <c r="U3104" s="1627" t="s">
        <v>2736</v>
      </c>
      <c r="V3104" s="1723">
        <f>2*3*0.55*0.15*0.0375</f>
        <v>1.8562499999999999E-2</v>
      </c>
      <c r="W3104" s="1634" t="s">
        <v>276</v>
      </c>
      <c r="AG3104" s="1629" t="s">
        <v>2737</v>
      </c>
      <c r="AR3104" s="1629" t="s">
        <v>2737</v>
      </c>
    </row>
    <row r="3105" spans="6:49" ht="31.5" customHeight="1">
      <c r="F3105" s="1640">
        <v>2</v>
      </c>
      <c r="G3105" s="1638" t="s">
        <v>153</v>
      </c>
      <c r="H3105" s="1627" t="s">
        <v>5709</v>
      </c>
      <c r="I3105" s="1690">
        <v>57</v>
      </c>
      <c r="J3105" s="1627" t="s">
        <v>153</v>
      </c>
      <c r="K3105" s="1640">
        <f t="shared" si="287"/>
        <v>114</v>
      </c>
      <c r="S3105" s="1629"/>
      <c r="T3105" s="1630"/>
      <c r="U3105" s="1627" t="s">
        <v>150</v>
      </c>
      <c r="V3105" s="1627" t="s">
        <v>150</v>
      </c>
      <c r="W3105" s="1634"/>
      <c r="X3105" s="1710" t="s">
        <v>150</v>
      </c>
      <c r="Y3105" s="1710"/>
      <c r="AE3105" s="1629">
        <v>0.1</v>
      </c>
      <c r="AF3105" s="1629" t="s">
        <v>154</v>
      </c>
      <c r="AG3105" s="1629" t="s">
        <v>536</v>
      </c>
      <c r="AH3105" s="1629">
        <f>AG17</f>
        <v>1170.3999999999999</v>
      </c>
      <c r="AI3105" s="1629" t="s">
        <v>340</v>
      </c>
      <c r="AJ3105" s="1629">
        <f>AE3105*AH3105</f>
        <v>117.03999999999999</v>
      </c>
      <c r="AO3105" s="1629">
        <v>0.1</v>
      </c>
      <c r="AP3105" s="1629" t="s">
        <v>154</v>
      </c>
      <c r="AR3105" s="1629" t="s">
        <v>536</v>
      </c>
      <c r="AS3105" s="1629">
        <f>AH3105</f>
        <v>1170.3999999999999</v>
      </c>
      <c r="AT3105" s="1629" t="s">
        <v>340</v>
      </c>
      <c r="AU3105" s="1629">
        <f>AS3105*AO3105</f>
        <v>117.03999999999999</v>
      </c>
    </row>
    <row r="3106" spans="6:49" ht="36" customHeight="1">
      <c r="F3106" s="1640">
        <v>6</v>
      </c>
      <c r="G3106" s="1638" t="s">
        <v>153</v>
      </c>
      <c r="H3106" s="1627" t="s">
        <v>1776</v>
      </c>
      <c r="I3106" s="1640">
        <f t="shared" si="288"/>
        <v>49.35</v>
      </c>
      <c r="J3106" s="1627" t="s">
        <v>153</v>
      </c>
      <c r="K3106" s="1640">
        <f t="shared" si="287"/>
        <v>296.10000000000002</v>
      </c>
      <c r="S3106" s="1629"/>
      <c r="T3106" s="1630"/>
      <c r="W3106" s="1628" t="s">
        <v>150</v>
      </c>
      <c r="X3106" s="1627" t="s">
        <v>150</v>
      </c>
      <c r="Y3106" s="1627"/>
      <c r="AE3106" s="1629">
        <v>0.1</v>
      </c>
      <c r="AF3106" s="1629" t="s">
        <v>2739</v>
      </c>
      <c r="AG3106" s="1629" t="s">
        <v>1830</v>
      </c>
      <c r="AH3106" s="1629">
        <f>AG11</f>
        <v>865.19999999999993</v>
      </c>
      <c r="AI3106" s="1629" t="s">
        <v>340</v>
      </c>
      <c r="AJ3106" s="1629">
        <f>AE3106*AH3106</f>
        <v>86.52</v>
      </c>
      <c r="AO3106" s="1629">
        <v>0.1</v>
      </c>
      <c r="AP3106" s="1629" t="s">
        <v>2739</v>
      </c>
      <c r="AR3106" s="1629" t="s">
        <v>1830</v>
      </c>
      <c r="AS3106" s="1629">
        <f>AH3106</f>
        <v>865.19999999999993</v>
      </c>
      <c r="AT3106" s="1629" t="s">
        <v>340</v>
      </c>
      <c r="AU3106" s="1629">
        <f>AS3106*AO3106</f>
        <v>86.52</v>
      </c>
    </row>
    <row r="3107" spans="6:49" ht="24.75" customHeight="1">
      <c r="F3107" s="1640">
        <v>2</v>
      </c>
      <c r="G3107" s="1638" t="s">
        <v>153</v>
      </c>
      <c r="H3107" s="1627" t="s">
        <v>2578</v>
      </c>
      <c r="I3107" s="1640">
        <f t="shared" si="288"/>
        <v>60.9</v>
      </c>
      <c r="J3107" s="1627" t="s">
        <v>153</v>
      </c>
      <c r="K3107" s="1640">
        <f t="shared" si="287"/>
        <v>121.8</v>
      </c>
      <c r="S3107" s="1629"/>
      <c r="T3107" s="1630"/>
      <c r="U3107" s="1627" t="s">
        <v>2740</v>
      </c>
      <c r="V3107" s="1629">
        <f>2*0.625*0.425</f>
        <v>0.53125</v>
      </c>
      <c r="W3107" s="1821" t="s">
        <v>150</v>
      </c>
      <c r="X3107" s="1710" t="s">
        <v>150</v>
      </c>
      <c r="Y3107" s="1710"/>
      <c r="AE3107" s="1629">
        <v>10</v>
      </c>
      <c r="AF3107" s="1629" t="s">
        <v>2741</v>
      </c>
      <c r="AG3107" s="1629" t="s">
        <v>3400</v>
      </c>
      <c r="AH3107" s="1629">
        <v>18.45</v>
      </c>
      <c r="AI3107" s="1629" t="s">
        <v>2743</v>
      </c>
      <c r="AJ3107" s="1629">
        <f>(AE3107*AH3107)/100</f>
        <v>1.845</v>
      </c>
      <c r="AO3107" s="1629">
        <v>10</v>
      </c>
      <c r="AP3107" s="1629" t="s">
        <v>2741</v>
      </c>
      <c r="AR3107" s="1629" t="s">
        <v>2744</v>
      </c>
      <c r="AS3107" s="1629">
        <f>AH3107</f>
        <v>18.45</v>
      </c>
      <c r="AT3107" s="1629" t="s">
        <v>2743</v>
      </c>
      <c r="AU3107" s="1629">
        <f>(AS3107*AO3107)/100</f>
        <v>1.845</v>
      </c>
    </row>
    <row r="3108" spans="6:49" ht="29.25" customHeight="1">
      <c r="F3108" s="1640">
        <v>1</v>
      </c>
      <c r="G3108" s="1638" t="s">
        <v>153</v>
      </c>
      <c r="H3108" s="1627" t="s">
        <v>2577</v>
      </c>
      <c r="I3108" s="1640">
        <f t="shared" si="288"/>
        <v>63.2</v>
      </c>
      <c r="J3108" s="1627" t="s">
        <v>153</v>
      </c>
      <c r="K3108" s="1640">
        <f t="shared" si="287"/>
        <v>63.2</v>
      </c>
      <c r="S3108" s="1629"/>
      <c r="T3108" s="1630"/>
      <c r="U3108" s="1627" t="s">
        <v>2745</v>
      </c>
      <c r="V3108" s="1629">
        <f>2*0.425*1.025</f>
        <v>0.87124999999999986</v>
      </c>
      <c r="W3108" s="1634"/>
      <c r="X3108" s="1710">
        <v>1.26</v>
      </c>
      <c r="Y3108" s="1710"/>
      <c r="AE3108" s="1629">
        <v>0.25</v>
      </c>
      <c r="AF3108" s="1629" t="s">
        <v>154</v>
      </c>
      <c r="AG3108" s="1629" t="s">
        <v>3401</v>
      </c>
      <c r="AH3108" s="1629">
        <v>3.6</v>
      </c>
      <c r="AI3108" s="1629" t="s">
        <v>340</v>
      </c>
      <c r="AJ3108" s="1629">
        <v>1</v>
      </c>
      <c r="AO3108" s="1629">
        <v>0.25</v>
      </c>
      <c r="AP3108" s="1629" t="s">
        <v>154</v>
      </c>
      <c r="AR3108" s="1629" t="s">
        <v>2747</v>
      </c>
      <c r="AS3108" s="1629">
        <f>AH3108</f>
        <v>3.6</v>
      </c>
      <c r="AT3108" s="1629" t="s">
        <v>340</v>
      </c>
      <c r="AU3108" s="1629">
        <f>AS3108*AO3108</f>
        <v>0.9</v>
      </c>
      <c r="AW3108" s="1629">
        <f>3.09/0.25</f>
        <v>12.36</v>
      </c>
    </row>
    <row r="3109" spans="6:49" ht="24" customHeight="1">
      <c r="F3109" s="1640">
        <v>6.55</v>
      </c>
      <c r="G3109" s="1638" t="s">
        <v>152</v>
      </c>
      <c r="H3109" s="1627" t="s">
        <v>2748</v>
      </c>
      <c r="I3109" s="1640">
        <f>K1540</f>
        <v>283.40549999999996</v>
      </c>
      <c r="J3109" s="1627" t="s">
        <v>152</v>
      </c>
      <c r="K3109" s="1640">
        <f>(F3109*I3109)</f>
        <v>1856.3060249999996</v>
      </c>
      <c r="S3109" s="1629"/>
      <c r="T3109" s="1630"/>
      <c r="V3109" s="1661">
        <f>SUM(V3107:V3108)</f>
        <v>1.4024999999999999</v>
      </c>
      <c r="W3109" s="1634" t="s">
        <v>533</v>
      </c>
      <c r="X3109" s="1627" t="s">
        <v>150</v>
      </c>
      <c r="Y3109" s="1627"/>
      <c r="AH3109" s="1629" t="s">
        <v>2749</v>
      </c>
      <c r="AJ3109" s="1629">
        <f>SUM(AJ3105:AJ3108)</f>
        <v>206.405</v>
      </c>
      <c r="AS3109" s="1629" t="s">
        <v>2749</v>
      </c>
      <c r="AU3109" s="1629">
        <f>SUM(AU3105:AU3108)</f>
        <v>206.30500000000001</v>
      </c>
    </row>
    <row r="3110" spans="6:49" ht="27.75" customHeight="1">
      <c r="F3110" s="1629">
        <v>50</v>
      </c>
      <c r="G3110" s="1630" t="s">
        <v>154</v>
      </c>
      <c r="H3110" s="1627" t="s">
        <v>2750</v>
      </c>
      <c r="I3110" s="1656">
        <f>I961</f>
        <v>2.41</v>
      </c>
      <c r="K3110" s="1640">
        <f>(F3110*I3110)</f>
        <v>120.5</v>
      </c>
      <c r="S3110" s="1629"/>
      <c r="T3110" s="1630"/>
      <c r="W3110" s="1634"/>
      <c r="X3110" s="1710" t="s">
        <v>150</v>
      </c>
      <c r="Y3110" s="1710"/>
    </row>
    <row r="3111" spans="6:49" ht="24" customHeight="1">
      <c r="H3111" s="1661"/>
      <c r="I3111" s="1661"/>
      <c r="J3111" s="1676"/>
      <c r="K3111" s="1679" t="s">
        <v>21</v>
      </c>
      <c r="S3111" s="1629"/>
      <c r="T3111" s="1630"/>
      <c r="W3111" s="1634"/>
      <c r="X3111" s="1627" t="s">
        <v>150</v>
      </c>
      <c r="Y3111" s="1627"/>
      <c r="AG3111" s="1629" t="s">
        <v>2624</v>
      </c>
      <c r="AH3111" s="1629" t="s">
        <v>2751</v>
      </c>
      <c r="AI3111" s="1629" t="s">
        <v>2751</v>
      </c>
      <c r="AJ3111" s="1629" t="s">
        <v>2752</v>
      </c>
      <c r="AR3111" s="1629" t="s">
        <v>2624</v>
      </c>
      <c r="AS3111" s="1661" t="s">
        <v>2751</v>
      </c>
      <c r="AT3111" s="1661" t="s">
        <v>2752</v>
      </c>
    </row>
    <row r="3112" spans="6:49" ht="26.25" customHeight="1">
      <c r="H3112" s="1641" t="s">
        <v>1823</v>
      </c>
      <c r="I3112" s="1661"/>
      <c r="J3112" s="1676"/>
      <c r="K3112" s="1639">
        <f>SUM(K3100:K3110)</f>
        <v>11987.170624999999</v>
      </c>
      <c r="S3112" s="1628" t="s">
        <v>1729</v>
      </c>
      <c r="T3112" s="1638"/>
      <c r="U3112" s="1631" t="s">
        <v>2753</v>
      </c>
      <c r="W3112" s="1634"/>
      <c r="X3112" s="1627" t="s">
        <v>150</v>
      </c>
      <c r="Y3112" s="1627"/>
      <c r="AH3112" s="1629">
        <v>331</v>
      </c>
      <c r="AI3112" s="1629">
        <v>331</v>
      </c>
      <c r="AJ3112" s="1629">
        <v>283</v>
      </c>
    </row>
    <row r="3113" spans="6:49" ht="24" customHeight="1">
      <c r="G3113" s="1638" t="s">
        <v>150</v>
      </c>
      <c r="H3113" s="1661"/>
      <c r="I3113" s="1661"/>
      <c r="J3113" s="1676"/>
      <c r="K3113" s="1679" t="s">
        <v>21</v>
      </c>
      <c r="S3113" s="1629"/>
      <c r="T3113" s="1630"/>
      <c r="U3113" s="1636" t="s">
        <v>21</v>
      </c>
      <c r="W3113" s="1634"/>
      <c r="AG3113" s="1629" t="s">
        <v>2754</v>
      </c>
      <c r="AH3113" s="1629">
        <f>AJ3109</f>
        <v>206.405</v>
      </c>
      <c r="AI3113" s="1629">
        <f>AJ3109</f>
        <v>206.405</v>
      </c>
      <c r="AJ3113" s="1629">
        <f>AJ3109</f>
        <v>206.405</v>
      </c>
      <c r="AR3113" s="1629" t="s">
        <v>2754</v>
      </c>
      <c r="AS3113" s="1661">
        <v>96</v>
      </c>
      <c r="AT3113" s="1661">
        <v>85</v>
      </c>
      <c r="AU3113" s="1661">
        <v>85</v>
      </c>
    </row>
    <row r="3114" spans="6:49" ht="24" customHeight="1">
      <c r="H3114" s="1641" t="s">
        <v>155</v>
      </c>
      <c r="I3114" s="1661"/>
      <c r="J3114" s="1676"/>
      <c r="K3114" s="1639">
        <f>K3112/2.52</f>
        <v>4756.8137400793648</v>
      </c>
      <c r="S3114" s="1691">
        <v>7.0699999999999999E-2</v>
      </c>
      <c r="T3114" s="1638" t="s">
        <v>151</v>
      </c>
      <c r="U3114" s="1627" t="s">
        <v>2755</v>
      </c>
      <c r="V3114" s="1640">
        <f>P3154</f>
        <v>99400</v>
      </c>
      <c r="W3114" s="1628" t="s">
        <v>151</v>
      </c>
      <c r="X3114" s="1640">
        <f>V3114*S3114</f>
        <v>7027.58</v>
      </c>
      <c r="Y3114" s="1640"/>
      <c r="AG3114" s="1629" t="s">
        <v>2379</v>
      </c>
      <c r="AH3114" s="1629">
        <f>SUM(AH3112:AH3113)</f>
        <v>537.40499999999997</v>
      </c>
      <c r="AI3114" s="1629">
        <f>SUM(AI3112:AI3113)</f>
        <v>537.40499999999997</v>
      </c>
      <c r="AJ3114" s="1629">
        <f>SUM(AJ3112:AJ3113)</f>
        <v>489.40499999999997</v>
      </c>
      <c r="AR3114" s="1629" t="s">
        <v>2379</v>
      </c>
      <c r="AS3114" s="1629">
        <f>AU3109</f>
        <v>206.30500000000001</v>
      </c>
      <c r="AT3114" s="1629">
        <f>AU3109</f>
        <v>206.30500000000001</v>
      </c>
    </row>
    <row r="3115" spans="6:49" ht="21" customHeight="1">
      <c r="H3115" s="1661"/>
      <c r="I3115" s="1661"/>
      <c r="J3115" s="1676"/>
      <c r="K3115" s="1679" t="s">
        <v>156</v>
      </c>
      <c r="S3115" s="1691">
        <v>3.6659999999999999</v>
      </c>
      <c r="T3115" s="1638" t="s">
        <v>152</v>
      </c>
      <c r="U3115" s="1627" t="s">
        <v>2756</v>
      </c>
      <c r="V3115" s="1640">
        <f>I1176</f>
        <v>306.89999999999998</v>
      </c>
      <c r="W3115" s="1628" t="s">
        <v>151</v>
      </c>
      <c r="X3115" s="1640">
        <f t="shared" ref="X3115:X3122" si="289">V3115*S3115</f>
        <v>1125.0953999999999</v>
      </c>
      <c r="Y3115" s="1640"/>
      <c r="AH3115" s="1629">
        <f>ROUNDUP(AH3114,0)</f>
        <v>538</v>
      </c>
      <c r="AI3115" s="1629">
        <f>ROUNDUP(AI3114,0)</f>
        <v>538</v>
      </c>
      <c r="AJ3115" s="1629">
        <f>ROUNDUP(AJ3114,0)</f>
        <v>490</v>
      </c>
      <c r="AS3115" s="1661">
        <f>SUM(AS3112:AS3114)</f>
        <v>302.30500000000001</v>
      </c>
      <c r="AT3115" s="1661">
        <f>SUM(AT3112:AT3114)</f>
        <v>291.30500000000001</v>
      </c>
    </row>
    <row r="3116" spans="6:49" ht="23.25" customHeight="1">
      <c r="S3116" s="1692">
        <v>5.16</v>
      </c>
      <c r="T3116" s="1638" t="s">
        <v>152</v>
      </c>
      <c r="U3116" s="1627" t="s">
        <v>880</v>
      </c>
      <c r="V3116" s="1640">
        <f>AG32</f>
        <v>1906.8</v>
      </c>
      <c r="W3116" s="1628" t="s">
        <v>152</v>
      </c>
      <c r="X3116" s="1640">
        <f t="shared" si="289"/>
        <v>9839.0879999999997</v>
      </c>
      <c r="Y3116" s="1640"/>
      <c r="AS3116" s="1629">
        <f>ROUNDUP(AS3115,0)</f>
        <v>303</v>
      </c>
      <c r="AT3116" s="1629">
        <f>ROUNDUP(AT3115,0)</f>
        <v>292</v>
      </c>
    </row>
    <row r="3117" spans="6:49" ht="39" customHeight="1">
      <c r="S3117" s="1692">
        <v>22.66</v>
      </c>
      <c r="T3117" s="1638" t="s">
        <v>2757</v>
      </c>
      <c r="U3117" s="1627" t="s">
        <v>2758</v>
      </c>
      <c r="V3117" s="1640">
        <v>15.45</v>
      </c>
      <c r="W3117" s="1628" t="s">
        <v>5710</v>
      </c>
      <c r="X3117" s="1640">
        <f t="shared" si="289"/>
        <v>350.09699999999998</v>
      </c>
      <c r="Y3117" s="1640"/>
    </row>
    <row r="3118" spans="6:49" ht="39" customHeight="1">
      <c r="H3118" s="1661" t="s">
        <v>2759</v>
      </c>
      <c r="N3118" s="1630"/>
      <c r="O3118" s="1661" t="s">
        <v>2760</v>
      </c>
      <c r="Q3118" s="1632"/>
      <c r="S3118" s="1640">
        <v>15</v>
      </c>
      <c r="T3118" s="1638" t="s">
        <v>153</v>
      </c>
      <c r="U3118" s="1627" t="s">
        <v>1731</v>
      </c>
      <c r="V3118" s="1640">
        <f>C279</f>
        <v>89.6</v>
      </c>
      <c r="W3118" s="1628" t="s">
        <v>153</v>
      </c>
      <c r="X3118" s="1640">
        <f t="shared" si="289"/>
        <v>1344</v>
      </c>
      <c r="Y3118" s="1640"/>
    </row>
    <row r="3119" spans="6:49" ht="39" customHeight="1">
      <c r="F3119" s="1629">
        <v>1</v>
      </c>
      <c r="H3119" s="1629" t="s">
        <v>2761</v>
      </c>
      <c r="I3119" s="1701">
        <v>143.97999999999999</v>
      </c>
      <c r="J3119" s="1632" t="s">
        <v>340</v>
      </c>
      <c r="K3119" s="1629">
        <f>I3119</f>
        <v>143.97999999999999</v>
      </c>
      <c r="M3119" s="1629">
        <v>1</v>
      </c>
      <c r="N3119" s="1630"/>
      <c r="O3119" s="1629" t="s">
        <v>2762</v>
      </c>
      <c r="P3119" s="1629">
        <v>17.2</v>
      </c>
      <c r="Q3119" s="1632" t="s">
        <v>340</v>
      </c>
      <c r="R3119" s="1629">
        <f>P3119</f>
        <v>17.2</v>
      </c>
      <c r="S3119" s="1640">
        <v>10</v>
      </c>
      <c r="T3119" s="1638" t="s">
        <v>153</v>
      </c>
      <c r="U3119" s="1627" t="s">
        <v>2763</v>
      </c>
      <c r="V3119" s="1640">
        <v>82.25</v>
      </c>
      <c r="W3119" s="1628" t="s">
        <v>153</v>
      </c>
      <c r="X3119" s="1640">
        <f t="shared" si="289"/>
        <v>822.5</v>
      </c>
      <c r="Y3119" s="1640"/>
    </row>
    <row r="3120" spans="6:49" ht="39" customHeight="1">
      <c r="F3120" s="1629">
        <v>1</v>
      </c>
      <c r="H3120" s="1629" t="s">
        <v>2764</v>
      </c>
      <c r="I3120" s="1701">
        <v>49.2</v>
      </c>
      <c r="J3120" s="1632" t="s">
        <v>340</v>
      </c>
      <c r="K3120" s="1629">
        <f>I3120</f>
        <v>49.2</v>
      </c>
      <c r="M3120" s="1629">
        <v>1</v>
      </c>
      <c r="N3120" s="1630"/>
      <c r="O3120" s="1629" t="s">
        <v>2765</v>
      </c>
      <c r="P3120" s="1629">
        <v>8.5</v>
      </c>
      <c r="Q3120" s="1632" t="s">
        <v>340</v>
      </c>
      <c r="R3120" s="1629">
        <f>P3120</f>
        <v>8.5</v>
      </c>
      <c r="S3120" s="1640">
        <v>5</v>
      </c>
      <c r="T3120" s="1638" t="s">
        <v>153</v>
      </c>
      <c r="U3120" s="1627" t="s">
        <v>2766</v>
      </c>
      <c r="V3120" s="1640">
        <f>P3161</f>
        <v>57.65</v>
      </c>
      <c r="W3120" s="1628" t="s">
        <v>153</v>
      </c>
      <c r="X3120" s="1640">
        <f t="shared" si="289"/>
        <v>288.25</v>
      </c>
      <c r="Y3120" s="1640"/>
    </row>
    <row r="3121" spans="6:25" ht="39" customHeight="1">
      <c r="F3121" s="1633">
        <v>0.125</v>
      </c>
      <c r="H3121" s="1629" t="s">
        <v>2767</v>
      </c>
      <c r="I3121" s="1629">
        <f>C15</f>
        <v>1149.3999999999999</v>
      </c>
      <c r="J3121" s="1632" t="s">
        <v>340</v>
      </c>
      <c r="K3121" s="1629">
        <f>F3121*I3121</f>
        <v>143.67499999999998</v>
      </c>
      <c r="M3121" s="1633">
        <v>0.125</v>
      </c>
      <c r="N3121" s="1630"/>
      <c r="O3121" s="1629" t="s">
        <v>2767</v>
      </c>
      <c r="P3121" s="1629">
        <f>I3121</f>
        <v>1149.3999999999999</v>
      </c>
      <c r="Q3121" s="1632" t="s">
        <v>340</v>
      </c>
      <c r="R3121" s="1629">
        <f>M3121*P3121</f>
        <v>143.67499999999998</v>
      </c>
      <c r="S3121" s="1640">
        <v>5</v>
      </c>
      <c r="T3121" s="1638" t="s">
        <v>153</v>
      </c>
      <c r="U3121" s="1627" t="s">
        <v>884</v>
      </c>
      <c r="V3121" s="1640">
        <f>P3160</f>
        <v>7.3</v>
      </c>
      <c r="W3121" s="1628" t="s">
        <v>153</v>
      </c>
      <c r="X3121" s="1640">
        <f t="shared" si="289"/>
        <v>36.5</v>
      </c>
      <c r="Y3121" s="1640"/>
    </row>
    <row r="3122" spans="6:25" ht="39" customHeight="1">
      <c r="F3122" s="1633"/>
      <c r="H3122" s="1629" t="s">
        <v>337</v>
      </c>
      <c r="K3122" s="1629">
        <v>2.11</v>
      </c>
      <c r="M3122" s="1633"/>
      <c r="N3122" s="1630"/>
      <c r="O3122" s="1629" t="s">
        <v>337</v>
      </c>
      <c r="Q3122" s="1632"/>
      <c r="R3122" s="1629">
        <v>4.37</v>
      </c>
      <c r="S3122" s="1640">
        <v>10</v>
      </c>
      <c r="T3122" s="1638" t="s">
        <v>153</v>
      </c>
      <c r="U3122" s="1627" t="s">
        <v>2768</v>
      </c>
      <c r="V3122" s="1640">
        <f>I3110</f>
        <v>2.41</v>
      </c>
      <c r="W3122" s="1628" t="s">
        <v>153</v>
      </c>
      <c r="X3122" s="1640">
        <f t="shared" si="289"/>
        <v>24.1</v>
      </c>
      <c r="Y3122" s="1640"/>
    </row>
    <row r="3123" spans="6:25" ht="39" customHeight="1">
      <c r="H3123" s="1735" t="s">
        <v>2485</v>
      </c>
      <c r="I3123" s="1661"/>
      <c r="J3123" s="1676"/>
      <c r="K3123" s="1661">
        <f>SUM(K3119:K3122)</f>
        <v>338.96500000000003</v>
      </c>
      <c r="N3123" s="1630"/>
      <c r="O3123" s="1629" t="s">
        <v>337</v>
      </c>
      <c r="P3123" s="1661"/>
      <c r="Q3123" s="1676"/>
      <c r="R3123" s="1661">
        <f>SUM(R3119:R3122)</f>
        <v>173.74499999999998</v>
      </c>
      <c r="S3123" s="1640"/>
      <c r="T3123" s="1638">
        <f>R3123-90</f>
        <v>83.744999999999976</v>
      </c>
      <c r="U3123" s="1627"/>
      <c r="V3123" s="1640"/>
      <c r="W3123" s="1628" t="s">
        <v>153</v>
      </c>
      <c r="X3123" s="1636" t="s">
        <v>21</v>
      </c>
      <c r="Y3123" s="1636"/>
    </row>
    <row r="3124" spans="6:25" ht="24" customHeight="1">
      <c r="R3124" s="1629">
        <f>R3123-87</f>
        <v>86.744999999999976</v>
      </c>
      <c r="S3124" s="1640"/>
      <c r="T3124" s="1630"/>
      <c r="U3124" s="1628" t="s">
        <v>2769</v>
      </c>
      <c r="W3124" s="1634"/>
      <c r="X3124" s="1640">
        <f>SUM(X3114:X3122)</f>
        <v>20857.2104</v>
      </c>
      <c r="Y3124" s="1640"/>
    </row>
    <row r="3125" spans="6:25" ht="24" customHeight="1">
      <c r="S3125" s="1629"/>
      <c r="T3125" s="1630"/>
      <c r="W3125" s="1634"/>
      <c r="X3125" s="1636" t="s">
        <v>21</v>
      </c>
      <c r="Y3125" s="1636"/>
    </row>
    <row r="3126" spans="6:25" ht="24" customHeight="1">
      <c r="F3126" s="1628" t="s">
        <v>1742</v>
      </c>
      <c r="G3126" s="1638" t="s">
        <v>249</v>
      </c>
      <c r="H3126" s="1627" t="s">
        <v>1743</v>
      </c>
      <c r="S3126" s="1629"/>
      <c r="T3126" s="1638" t="s">
        <v>150</v>
      </c>
      <c r="U3126" s="1641" t="s">
        <v>155</v>
      </c>
      <c r="W3126" s="1634"/>
      <c r="X3126" s="1639">
        <f>X3124/S3116</f>
        <v>4042.0950387596899</v>
      </c>
      <c r="Y3126" s="1639"/>
    </row>
    <row r="3127" spans="6:25" ht="24" customHeight="1">
      <c r="H3127" s="1627" t="s">
        <v>1744</v>
      </c>
      <c r="S3127" s="1629"/>
      <c r="T3127" s="1630"/>
      <c r="W3127" s="1634"/>
      <c r="X3127" s="1636" t="s">
        <v>156</v>
      </c>
      <c r="Y3127" s="1636"/>
    </row>
    <row r="3128" spans="6:25" ht="24" customHeight="1">
      <c r="H3128" s="1627" t="s">
        <v>1746</v>
      </c>
      <c r="S3128" s="1629"/>
      <c r="T3128" s="1630"/>
      <c r="W3128" s="1634"/>
    </row>
    <row r="3129" spans="6:25" ht="24" customHeight="1">
      <c r="H3129" s="1627" t="s">
        <v>1747</v>
      </c>
      <c r="S3129" s="1628"/>
      <c r="T3129" s="1638"/>
      <c r="U3129" s="1627" t="s">
        <v>2770</v>
      </c>
      <c r="W3129" s="1634"/>
      <c r="X3129" s="1627" t="s">
        <v>150</v>
      </c>
      <c r="Y3129" s="1627"/>
    </row>
    <row r="3130" spans="6:25" ht="24" customHeight="1">
      <c r="H3130" s="1627" t="s">
        <v>1748</v>
      </c>
      <c r="S3130" s="1629"/>
      <c r="T3130" s="1630"/>
      <c r="U3130" s="1636" t="s">
        <v>21</v>
      </c>
      <c r="W3130" s="1634"/>
    </row>
    <row r="3131" spans="6:25" ht="24" customHeight="1">
      <c r="H3131" s="1627" t="s">
        <v>1749</v>
      </c>
      <c r="S3131" s="1691">
        <v>2.7400000000000001E-2</v>
      </c>
      <c r="T3131" s="1638" t="s">
        <v>151</v>
      </c>
      <c r="U3131" s="1627" t="s">
        <v>2755</v>
      </c>
      <c r="V3131" s="1640">
        <f>V3114</f>
        <v>99400</v>
      </c>
      <c r="W3131" s="1628" t="s">
        <v>151</v>
      </c>
      <c r="X3131" s="1640">
        <f>V3131*S3131</f>
        <v>2723.56</v>
      </c>
      <c r="Y3131" s="1640"/>
    </row>
    <row r="3132" spans="6:25" ht="24" customHeight="1">
      <c r="H3132" s="1636" t="s">
        <v>21</v>
      </c>
      <c r="S3132" s="1691">
        <v>1.1599999999999999</v>
      </c>
      <c r="T3132" s="1638" t="s">
        <v>152</v>
      </c>
      <c r="U3132" s="1627" t="s">
        <v>2756</v>
      </c>
      <c r="V3132" s="1640">
        <f t="shared" ref="V3132:V3139" si="290">V3115</f>
        <v>306.89999999999998</v>
      </c>
      <c r="W3132" s="1628" t="s">
        <v>151</v>
      </c>
      <c r="X3132" s="1640">
        <f t="shared" ref="X3132:X3139" si="291">V3132*S3132</f>
        <v>356.00399999999996</v>
      </c>
      <c r="Y3132" s="1640"/>
    </row>
    <row r="3133" spans="6:25" ht="24" customHeight="1">
      <c r="H3133" s="1627" t="s">
        <v>2771</v>
      </c>
      <c r="M3133" s="1628" t="s">
        <v>1742</v>
      </c>
      <c r="N3133" s="1638" t="s">
        <v>249</v>
      </c>
      <c r="O3133" s="1627" t="s">
        <v>1743</v>
      </c>
      <c r="Q3133" s="1632"/>
      <c r="S3133" s="1692">
        <v>1.74</v>
      </c>
      <c r="T3133" s="1638" t="s">
        <v>152</v>
      </c>
      <c r="U3133" s="1627" t="s">
        <v>880</v>
      </c>
      <c r="V3133" s="1640">
        <f t="shared" si="290"/>
        <v>1906.8</v>
      </c>
      <c r="W3133" s="1628" t="s">
        <v>152</v>
      </c>
      <c r="X3133" s="1640">
        <f t="shared" si="291"/>
        <v>3317.8319999999999</v>
      </c>
      <c r="Y3133" s="1640"/>
    </row>
    <row r="3134" spans="6:25" ht="24" customHeight="1">
      <c r="H3134" s="1627" t="s">
        <v>1751</v>
      </c>
      <c r="N3134" s="1630"/>
      <c r="O3134" s="1627" t="s">
        <v>1744</v>
      </c>
      <c r="Q3134" s="1632"/>
      <c r="S3134" s="1692">
        <v>8.74</v>
      </c>
      <c r="T3134" s="1638" t="s">
        <v>2757</v>
      </c>
      <c r="U3134" s="1627" t="s">
        <v>2758</v>
      </c>
      <c r="V3134" s="1640">
        <f t="shared" si="290"/>
        <v>15.45</v>
      </c>
      <c r="W3134" s="1628" t="s">
        <v>152</v>
      </c>
      <c r="X3134" s="1640">
        <f t="shared" si="291"/>
        <v>135.03299999999999</v>
      </c>
      <c r="Y3134" s="1640"/>
    </row>
    <row r="3135" spans="6:25" ht="24" customHeight="1">
      <c r="J3135" s="1627" t="s">
        <v>21</v>
      </c>
      <c r="N3135" s="1630"/>
      <c r="O3135" s="1627" t="s">
        <v>1746</v>
      </c>
      <c r="Q3135" s="1632"/>
      <c r="S3135" s="1640">
        <v>6</v>
      </c>
      <c r="T3135" s="1638" t="s">
        <v>153</v>
      </c>
      <c r="U3135" s="1627" t="s">
        <v>1731</v>
      </c>
      <c r="V3135" s="1640">
        <f t="shared" si="290"/>
        <v>89.6</v>
      </c>
      <c r="W3135" s="1628" t="s">
        <v>153</v>
      </c>
      <c r="X3135" s="1640">
        <f t="shared" si="291"/>
        <v>537.59999999999991</v>
      </c>
      <c r="Y3135" s="1640"/>
    </row>
    <row r="3136" spans="6:25" ht="24" customHeight="1">
      <c r="H3136" s="1627" t="s">
        <v>2772</v>
      </c>
      <c r="N3136" s="1630"/>
      <c r="O3136" s="1627" t="s">
        <v>1747</v>
      </c>
      <c r="Q3136" s="1632"/>
      <c r="S3136" s="1640">
        <v>4</v>
      </c>
      <c r="T3136" s="1638" t="s">
        <v>153</v>
      </c>
      <c r="U3136" s="1627" t="s">
        <v>2763</v>
      </c>
      <c r="V3136" s="1640">
        <f t="shared" si="290"/>
        <v>82.25</v>
      </c>
      <c r="W3136" s="1628" t="s">
        <v>153</v>
      </c>
      <c r="X3136" s="1640">
        <f t="shared" si="291"/>
        <v>329</v>
      </c>
      <c r="Y3136" s="1640"/>
    </row>
    <row r="3137" spans="6:25" ht="24" customHeight="1">
      <c r="H3137" s="1627" t="s">
        <v>150</v>
      </c>
      <c r="I3137" s="1627" t="s">
        <v>150</v>
      </c>
      <c r="K3137" s="1710" t="s">
        <v>150</v>
      </c>
      <c r="N3137" s="1630"/>
      <c r="O3137" s="1627" t="s">
        <v>1748</v>
      </c>
      <c r="Q3137" s="1632"/>
      <c r="S3137" s="1640">
        <v>2</v>
      </c>
      <c r="T3137" s="1638" t="s">
        <v>153</v>
      </c>
      <c r="U3137" s="1627" t="s">
        <v>2766</v>
      </c>
      <c r="V3137" s="1640">
        <f t="shared" si="290"/>
        <v>57.65</v>
      </c>
      <c r="W3137" s="1628" t="s">
        <v>153</v>
      </c>
      <c r="X3137" s="1640">
        <f t="shared" si="291"/>
        <v>115.3</v>
      </c>
      <c r="Y3137" s="1640"/>
    </row>
    <row r="3138" spans="6:25" ht="24" customHeight="1">
      <c r="J3138" s="1627" t="s">
        <v>150</v>
      </c>
      <c r="K3138" s="1627" t="s">
        <v>150</v>
      </c>
      <c r="N3138" s="1630"/>
      <c r="O3138" s="1627" t="s">
        <v>1749</v>
      </c>
      <c r="Q3138" s="1632"/>
      <c r="S3138" s="1640">
        <v>2</v>
      </c>
      <c r="T3138" s="1638" t="s">
        <v>153</v>
      </c>
      <c r="U3138" s="1627" t="s">
        <v>884</v>
      </c>
      <c r="V3138" s="1640">
        <f t="shared" si="290"/>
        <v>7.3</v>
      </c>
      <c r="W3138" s="1628" t="s">
        <v>153</v>
      </c>
      <c r="X3138" s="1640">
        <f t="shared" si="291"/>
        <v>14.6</v>
      </c>
      <c r="Y3138" s="1640"/>
    </row>
    <row r="3139" spans="6:25" ht="24" customHeight="1">
      <c r="H3139" s="1627" t="s">
        <v>2773</v>
      </c>
      <c r="J3139" s="1710" t="s">
        <v>150</v>
      </c>
      <c r="K3139" s="1710" t="s">
        <v>150</v>
      </c>
      <c r="N3139" s="1630"/>
      <c r="O3139" s="1637" t="s">
        <v>2774</v>
      </c>
      <c r="Q3139" s="1632"/>
      <c r="S3139" s="1640">
        <v>10</v>
      </c>
      <c r="T3139" s="1638" t="s">
        <v>153</v>
      </c>
      <c r="U3139" s="1627" t="s">
        <v>2768</v>
      </c>
      <c r="V3139" s="1640">
        <f t="shared" si="290"/>
        <v>2.41</v>
      </c>
      <c r="W3139" s="1628" t="s">
        <v>153</v>
      </c>
      <c r="X3139" s="1640">
        <f t="shared" si="291"/>
        <v>24.1</v>
      </c>
      <c r="Y3139" s="1640"/>
    </row>
    <row r="3140" spans="6:25" ht="24" customHeight="1">
      <c r="H3140" s="1627" t="s">
        <v>2775</v>
      </c>
      <c r="K3140" s="1710">
        <v>1.26</v>
      </c>
      <c r="N3140" s="1630"/>
      <c r="O3140" s="1627" t="s">
        <v>2776</v>
      </c>
      <c r="P3140" s="1698">
        <f>1.1*2.05</f>
        <v>2.2549999999999999</v>
      </c>
      <c r="Q3140" s="1632" t="s">
        <v>533</v>
      </c>
      <c r="S3140" s="1640"/>
      <c r="T3140" s="1638"/>
      <c r="U3140" s="1627"/>
      <c r="V3140" s="1640"/>
      <c r="W3140" s="1628" t="s">
        <v>153</v>
      </c>
      <c r="X3140" s="1636" t="s">
        <v>21</v>
      </c>
      <c r="Y3140" s="1636"/>
    </row>
    <row r="3141" spans="6:25" ht="24" customHeight="1">
      <c r="K3141" s="1627" t="s">
        <v>150</v>
      </c>
      <c r="N3141" s="1630"/>
      <c r="O3141" s="1627" t="s">
        <v>2777</v>
      </c>
      <c r="P3141" s="1723">
        <f>2*2.05*0.075*0.0375</f>
        <v>1.1531249999999998E-2</v>
      </c>
      <c r="Q3141" s="1632" t="s">
        <v>276</v>
      </c>
      <c r="S3141" s="1640"/>
      <c r="T3141" s="1630"/>
      <c r="U3141" s="1628" t="s">
        <v>2778</v>
      </c>
      <c r="W3141" s="1634"/>
      <c r="X3141" s="1640">
        <f>SUM(X3131:X3139)</f>
        <v>7553.0290000000014</v>
      </c>
      <c r="Y3141" s="1640"/>
    </row>
    <row r="3142" spans="6:25" ht="24" customHeight="1">
      <c r="K3142" s="1710" t="s">
        <v>150</v>
      </c>
      <c r="N3142" s="1630"/>
      <c r="Q3142" s="1627" t="s">
        <v>21</v>
      </c>
      <c r="S3142" s="1629"/>
      <c r="T3142" s="1630"/>
      <c r="W3142" s="1634"/>
      <c r="X3142" s="1636" t="s">
        <v>21</v>
      </c>
      <c r="Y3142" s="1636"/>
    </row>
    <row r="3143" spans="6:25" ht="24" customHeight="1">
      <c r="K3143" s="1627" t="s">
        <v>150</v>
      </c>
      <c r="N3143" s="1630"/>
      <c r="O3143" s="1627" t="s">
        <v>2779</v>
      </c>
      <c r="P3143" s="1723">
        <f>1*3*1.1*0.15*0.0375</f>
        <v>1.8562499999999999E-2</v>
      </c>
      <c r="Q3143" s="1632" t="s">
        <v>276</v>
      </c>
      <c r="S3143" s="1629"/>
      <c r="T3143" s="1638" t="s">
        <v>150</v>
      </c>
      <c r="U3143" s="1641" t="s">
        <v>155</v>
      </c>
      <c r="W3143" s="1634"/>
      <c r="X3143" s="1639">
        <f>X3141/S3133</f>
        <v>4340.8212643678171</v>
      </c>
      <c r="Y3143" s="1639"/>
    </row>
    <row r="3144" spans="6:25" ht="24" customHeight="1">
      <c r="F3144" s="1628" t="s">
        <v>1729</v>
      </c>
      <c r="G3144" s="1638"/>
      <c r="H3144" s="1627" t="s">
        <v>1769</v>
      </c>
      <c r="K3144" s="1627" t="s">
        <v>150</v>
      </c>
      <c r="N3144" s="1630"/>
      <c r="O3144" s="1627" t="s">
        <v>150</v>
      </c>
      <c r="P3144" s="1627" t="s">
        <v>150</v>
      </c>
      <c r="Q3144" s="1632"/>
      <c r="R3144" s="1710" t="s">
        <v>150</v>
      </c>
      <c r="S3144" s="1629"/>
      <c r="T3144" s="1630"/>
      <c r="W3144" s="1634"/>
      <c r="X3144" s="1636" t="s">
        <v>156</v>
      </c>
      <c r="Y3144" s="1636"/>
    </row>
    <row r="3145" spans="6:25" ht="24" customHeight="1">
      <c r="H3145" s="1636" t="s">
        <v>21</v>
      </c>
      <c r="N3145" s="1630"/>
      <c r="Q3145" s="1627" t="s">
        <v>150</v>
      </c>
      <c r="R3145" s="1627" t="s">
        <v>150</v>
      </c>
      <c r="W3145" s="1634"/>
    </row>
    <row r="3146" spans="6:25" ht="24" customHeight="1">
      <c r="F3146" s="1691">
        <v>1.153E-2</v>
      </c>
      <c r="G3146" s="1638" t="s">
        <v>151</v>
      </c>
      <c r="H3146" s="1627" t="s">
        <v>877</v>
      </c>
      <c r="I3146" s="1640">
        <f>AE26</f>
        <v>111600</v>
      </c>
      <c r="J3146" s="1627" t="s">
        <v>151</v>
      </c>
      <c r="K3146" s="1640">
        <f>I3146*F3146</f>
        <v>1286.748</v>
      </c>
      <c r="N3146" s="1630"/>
      <c r="O3146" s="1627" t="s">
        <v>2780</v>
      </c>
      <c r="P3146" s="1629">
        <f>1*0.625*0.975</f>
        <v>0.609375</v>
      </c>
      <c r="Q3146" s="1710" t="s">
        <v>150</v>
      </c>
      <c r="R3146" s="1710" t="s">
        <v>150</v>
      </c>
      <c r="W3146" s="1634"/>
    </row>
    <row r="3147" spans="6:25" ht="24" customHeight="1">
      <c r="F3147" s="1692">
        <v>1.52E-2</v>
      </c>
      <c r="G3147" s="1638" t="s">
        <v>151</v>
      </c>
      <c r="H3147" s="1627" t="s">
        <v>878</v>
      </c>
      <c r="I3147" s="1640">
        <f>AE27</f>
        <v>99400</v>
      </c>
      <c r="J3147" s="1627" t="s">
        <v>151</v>
      </c>
      <c r="K3147" s="1640">
        <f t="shared" ref="K3147:K3155" si="292">I3147*F3147</f>
        <v>1510.88</v>
      </c>
      <c r="N3147" s="1630"/>
      <c r="O3147" s="1627" t="s">
        <v>2745</v>
      </c>
      <c r="P3147" s="1629">
        <f>1*0.975*1.025</f>
        <v>0.9993749999999999</v>
      </c>
      <c r="Q3147" s="1632"/>
      <c r="R3147" s="1710">
        <v>1.26</v>
      </c>
      <c r="U3147" s="1631" t="s">
        <v>2781</v>
      </c>
      <c r="W3147" s="1634"/>
    </row>
    <row r="3148" spans="6:25" ht="24" customHeight="1">
      <c r="F3148" s="1692">
        <f>K3140</f>
        <v>1.26</v>
      </c>
      <c r="G3148" s="1638" t="s">
        <v>152</v>
      </c>
      <c r="H3148" s="1627" t="s">
        <v>879</v>
      </c>
      <c r="I3148" s="1640">
        <f>C783</f>
        <v>387.4</v>
      </c>
      <c r="J3148" s="1627" t="s">
        <v>152</v>
      </c>
      <c r="K3148" s="1640">
        <f t="shared" si="292"/>
        <v>488.12399999999997</v>
      </c>
      <c r="N3148" s="1630"/>
      <c r="P3148" s="1661">
        <f>SUM(P3146:P3147)</f>
        <v>1.6087499999999999</v>
      </c>
      <c r="Q3148" s="1632" t="s">
        <v>533</v>
      </c>
      <c r="R3148" s="1627" t="s">
        <v>150</v>
      </c>
      <c r="S3148" s="2018" t="s">
        <v>2782</v>
      </c>
      <c r="T3148" s="2018"/>
      <c r="U3148" s="1633">
        <f>2*2*0.075*0.0375*1.95</f>
        <v>2.1937499999999999E-2</v>
      </c>
      <c r="W3148" s="1634"/>
    </row>
    <row r="3149" spans="6:25" ht="24" customHeight="1">
      <c r="F3149" s="1692">
        <v>1.845</v>
      </c>
      <c r="G3149" s="1638" t="s">
        <v>152</v>
      </c>
      <c r="H3149" s="1627" t="s">
        <v>880</v>
      </c>
      <c r="I3149" s="1640">
        <f>D30</f>
        <v>1701</v>
      </c>
      <c r="J3149" s="1627" t="s">
        <v>152</v>
      </c>
      <c r="K3149" s="1640">
        <f t="shared" si="292"/>
        <v>3138.3449999999998</v>
      </c>
      <c r="N3149" s="1630"/>
      <c r="Q3149" s="1632"/>
      <c r="R3149" s="1710" t="s">
        <v>150</v>
      </c>
      <c r="S3149" s="1824" t="s">
        <v>2783</v>
      </c>
      <c r="T3149" s="1630"/>
      <c r="U3149" s="1723">
        <f>2*2*0.065*0.075*0.375</f>
        <v>7.3124999999999996E-3</v>
      </c>
      <c r="W3149" s="1634"/>
    </row>
    <row r="3150" spans="6:25" ht="24" customHeight="1">
      <c r="F3150" s="1640">
        <v>2</v>
      </c>
      <c r="G3150" s="1638" t="s">
        <v>153</v>
      </c>
      <c r="H3150" s="1627" t="s">
        <v>881</v>
      </c>
      <c r="I3150" s="1640">
        <f>C284</f>
        <v>64.8</v>
      </c>
      <c r="J3150" s="1627" t="s">
        <v>153</v>
      </c>
      <c r="K3150" s="1640">
        <f t="shared" si="292"/>
        <v>129.6</v>
      </c>
      <c r="N3150" s="1630"/>
      <c r="Q3150" s="1632"/>
      <c r="R3150" s="1627" t="s">
        <v>150</v>
      </c>
      <c r="S3150" s="1824"/>
      <c r="T3150" s="1630"/>
      <c r="U3150" s="1808">
        <f>SUM(U3148:U3149)</f>
        <v>2.9249999999999998E-2</v>
      </c>
      <c r="V3150" s="1629" t="s">
        <v>2784</v>
      </c>
      <c r="W3150" s="1634"/>
    </row>
    <row r="3151" spans="6:25" ht="24" customHeight="1">
      <c r="F3151" s="1640">
        <v>3</v>
      </c>
      <c r="G3151" s="1638" t="s">
        <v>153</v>
      </c>
      <c r="H3151" s="1627" t="s">
        <v>1731</v>
      </c>
      <c r="I3151" s="1640">
        <f>C279</f>
        <v>89.6</v>
      </c>
      <c r="J3151" s="1627" t="s">
        <v>153</v>
      </c>
      <c r="K3151" s="1640">
        <f t="shared" si="292"/>
        <v>268.79999999999995</v>
      </c>
      <c r="M3151" s="1628" t="s">
        <v>1729</v>
      </c>
      <c r="N3151" s="1638"/>
      <c r="O3151" s="1627" t="s">
        <v>2785</v>
      </c>
      <c r="Q3151" s="1632"/>
      <c r="R3151" s="1627" t="s">
        <v>150</v>
      </c>
      <c r="S3151" s="1824" t="s">
        <v>2786</v>
      </c>
      <c r="T3151" s="1630"/>
      <c r="U3151" s="1633">
        <f>2*0.65*1.95</f>
        <v>2.5350000000000001</v>
      </c>
      <c r="V3151" s="1629" t="s">
        <v>910</v>
      </c>
      <c r="W3151" s="1634"/>
    </row>
    <row r="3152" spans="6:25" ht="24" customHeight="1">
      <c r="F3152" s="1640">
        <v>1</v>
      </c>
      <c r="G3152" s="1638" t="s">
        <v>153</v>
      </c>
      <c r="H3152" s="1627" t="s">
        <v>883</v>
      </c>
      <c r="I3152" s="1640">
        <f>C286</f>
        <v>181</v>
      </c>
      <c r="J3152" s="1627" t="s">
        <v>153</v>
      </c>
      <c r="K3152" s="1640">
        <f t="shared" si="292"/>
        <v>181</v>
      </c>
      <c r="N3152" s="1630"/>
      <c r="O3152" s="1636" t="s">
        <v>21</v>
      </c>
      <c r="Q3152" s="1632"/>
      <c r="S3152" s="1824" t="s">
        <v>2787</v>
      </c>
      <c r="T3152" s="1630"/>
      <c r="U3152" s="1633">
        <f>1*2*0.525*1.825</f>
        <v>1.91625</v>
      </c>
      <c r="V3152" s="1629" t="s">
        <v>2788</v>
      </c>
      <c r="W3152" s="1634"/>
    </row>
    <row r="3153" spans="6:25" ht="24" customHeight="1">
      <c r="F3153" s="1640">
        <v>1</v>
      </c>
      <c r="G3153" s="1638" t="s">
        <v>153</v>
      </c>
      <c r="H3153" s="1627" t="s">
        <v>884</v>
      </c>
      <c r="I3153" s="1640">
        <f>C288</f>
        <v>7.3</v>
      </c>
      <c r="J3153" s="1627" t="s">
        <v>153</v>
      </c>
      <c r="K3153" s="1640">
        <f t="shared" si="292"/>
        <v>7.3</v>
      </c>
      <c r="M3153" s="1691">
        <f>P3141</f>
        <v>1.1531249999999998E-2</v>
      </c>
      <c r="N3153" s="1638" t="s">
        <v>151</v>
      </c>
      <c r="O3153" s="1627" t="s">
        <v>877</v>
      </c>
      <c r="P3153" s="1640">
        <f>I3146</f>
        <v>111600</v>
      </c>
      <c r="Q3153" s="1627" t="s">
        <v>151</v>
      </c>
      <c r="R3153" s="1640">
        <f>P3153*M3153</f>
        <v>1286.8874999999998</v>
      </c>
      <c r="S3153" s="1824" t="s">
        <v>2789</v>
      </c>
      <c r="T3153" s="1630"/>
      <c r="U3153" s="1633">
        <f>2*2*(0.525+1.825)</f>
        <v>9.4</v>
      </c>
      <c r="V3153" s="1629" t="s">
        <v>2790</v>
      </c>
      <c r="W3153" s="1634"/>
    </row>
    <row r="3154" spans="6:25" ht="24" customHeight="1">
      <c r="F3154" s="1640">
        <v>1</v>
      </c>
      <c r="G3154" s="1638" t="s">
        <v>153</v>
      </c>
      <c r="H3154" s="1627" t="s">
        <v>1763</v>
      </c>
      <c r="I3154" s="1640">
        <f>C598</f>
        <v>57.65</v>
      </c>
      <c r="J3154" s="1627" t="s">
        <v>153</v>
      </c>
      <c r="K3154" s="1640">
        <f t="shared" si="292"/>
        <v>57.65</v>
      </c>
      <c r="M3154" s="1691">
        <f>P3143</f>
        <v>1.8562499999999999E-2</v>
      </c>
      <c r="N3154" s="1638" t="s">
        <v>151</v>
      </c>
      <c r="O3154" s="1627" t="s">
        <v>878</v>
      </c>
      <c r="P3154" s="1640">
        <f t="shared" ref="P3154:P3162" si="293">I3147</f>
        <v>99400</v>
      </c>
      <c r="Q3154" s="1627" t="s">
        <v>151</v>
      </c>
      <c r="R3154" s="1640">
        <f t="shared" ref="R3154:R3163" si="294">P3154*M3154</f>
        <v>1845.1125</v>
      </c>
      <c r="S3154" s="1628"/>
      <c r="T3154" s="1638"/>
      <c r="W3154" s="1634"/>
      <c r="X3154" s="1627" t="s">
        <v>150</v>
      </c>
      <c r="Y3154" s="1627"/>
    </row>
    <row r="3155" spans="6:25" ht="24" customHeight="1">
      <c r="F3155" s="1640">
        <v>1</v>
      </c>
      <c r="G3155" s="1638" t="s">
        <v>153</v>
      </c>
      <c r="H3155" s="1627" t="s">
        <v>886</v>
      </c>
      <c r="I3155" s="1640">
        <f>D598</f>
        <v>49.55</v>
      </c>
      <c r="J3155" s="1627" t="s">
        <v>153</v>
      </c>
      <c r="K3155" s="1640">
        <f t="shared" si="292"/>
        <v>49.55</v>
      </c>
      <c r="M3155" s="1692">
        <f>P3148</f>
        <v>1.6087499999999999</v>
      </c>
      <c r="N3155" s="1638" t="s">
        <v>152</v>
      </c>
      <c r="O3155" s="1627" t="s">
        <v>879</v>
      </c>
      <c r="P3155" s="1640">
        <f t="shared" si="293"/>
        <v>387.4</v>
      </c>
      <c r="Q3155" s="1627" t="s">
        <v>152</v>
      </c>
      <c r="R3155" s="1640">
        <f t="shared" si="294"/>
        <v>623.22974999999997</v>
      </c>
      <c r="S3155" s="1629"/>
      <c r="T3155" s="1630"/>
      <c r="U3155" s="1636" t="s">
        <v>21</v>
      </c>
      <c r="W3155" s="1634"/>
    </row>
    <row r="3156" spans="6:25" ht="24" customHeight="1">
      <c r="H3156" s="1629" t="s">
        <v>2768</v>
      </c>
      <c r="K3156" s="1656">
        <f>10*2.18</f>
        <v>21.8</v>
      </c>
      <c r="M3156" s="1692">
        <f>P3140</f>
        <v>2.2549999999999999</v>
      </c>
      <c r="N3156" s="1638" t="s">
        <v>152</v>
      </c>
      <c r="O3156" s="1627" t="s">
        <v>880</v>
      </c>
      <c r="P3156" s="1640">
        <f t="shared" si="293"/>
        <v>1701</v>
      </c>
      <c r="Q3156" s="1627" t="s">
        <v>152</v>
      </c>
      <c r="R3156" s="1640">
        <f t="shared" si="294"/>
        <v>3835.7549999999997</v>
      </c>
      <c r="S3156" s="1691">
        <v>9.2099999999999994E-3</v>
      </c>
      <c r="T3156" s="1638" t="s">
        <v>151</v>
      </c>
      <c r="U3156" s="1627" t="s">
        <v>2755</v>
      </c>
      <c r="V3156" s="1640">
        <f>V3131</f>
        <v>99400</v>
      </c>
      <c r="W3156" s="1628" t="s">
        <v>151</v>
      </c>
      <c r="X3156" s="1640">
        <f>V3156*S3156</f>
        <v>915.47399999999993</v>
      </c>
      <c r="Y3156" s="1640"/>
    </row>
    <row r="3157" spans="6:25" ht="24" customHeight="1">
      <c r="H3157" s="1628" t="s">
        <v>2791</v>
      </c>
      <c r="K3157" s="1640">
        <f>SUM(K3146:K3156)</f>
        <v>7139.7970000000005</v>
      </c>
      <c r="M3157" s="1640">
        <v>2</v>
      </c>
      <c r="N3157" s="1638" t="s">
        <v>153</v>
      </c>
      <c r="O3157" s="1627" t="s">
        <v>881</v>
      </c>
      <c r="P3157" s="1640">
        <f t="shared" si="293"/>
        <v>64.8</v>
      </c>
      <c r="Q3157" s="1627" t="s">
        <v>153</v>
      </c>
      <c r="R3157" s="1640">
        <f t="shared" si="294"/>
        <v>129.6</v>
      </c>
      <c r="S3157" s="1691">
        <v>0.65249999999999997</v>
      </c>
      <c r="T3157" s="1638" t="s">
        <v>152</v>
      </c>
      <c r="U3157" s="1627" t="s">
        <v>2756</v>
      </c>
      <c r="V3157" s="1640">
        <f>V3132</f>
        <v>306.89999999999998</v>
      </c>
      <c r="W3157" s="1628" t="s">
        <v>151</v>
      </c>
      <c r="X3157" s="1640">
        <f t="shared" ref="X3157:X3164" si="295">V3157*S3157</f>
        <v>200.25224999999998</v>
      </c>
      <c r="Y3157" s="1640"/>
    </row>
    <row r="3158" spans="6:25" ht="24" customHeight="1">
      <c r="G3158" s="1638" t="s">
        <v>150</v>
      </c>
      <c r="K3158" s="1636" t="s">
        <v>21</v>
      </c>
      <c r="M3158" s="1640">
        <v>3</v>
      </c>
      <c r="N3158" s="1638" t="s">
        <v>153</v>
      </c>
      <c r="O3158" s="1627" t="s">
        <v>1731</v>
      </c>
      <c r="P3158" s="1640">
        <f t="shared" si="293"/>
        <v>89.6</v>
      </c>
      <c r="Q3158" s="1627" t="s">
        <v>153</v>
      </c>
      <c r="R3158" s="1640">
        <f t="shared" si="294"/>
        <v>268.79999999999995</v>
      </c>
      <c r="S3158" s="1692">
        <v>0.879</v>
      </c>
      <c r="T3158" s="1638" t="s">
        <v>152</v>
      </c>
      <c r="U3158" s="1627" t="s">
        <v>880</v>
      </c>
      <c r="V3158" s="1640">
        <f t="shared" ref="V3158:V3163" si="296">V3133</f>
        <v>1906.8</v>
      </c>
      <c r="W3158" s="1628" t="s">
        <v>152</v>
      </c>
      <c r="X3158" s="1640">
        <f t="shared" si="295"/>
        <v>1676.0771999999999</v>
      </c>
      <c r="Y3158" s="1640"/>
    </row>
    <row r="3159" spans="6:25" ht="24" customHeight="1">
      <c r="H3159" s="1641" t="s">
        <v>155</v>
      </c>
      <c r="K3159" s="1639">
        <f>K3157/F3149</f>
        <v>3869.8086720867213</v>
      </c>
      <c r="M3159" s="1640">
        <v>1</v>
      </c>
      <c r="N3159" s="1638" t="s">
        <v>153</v>
      </c>
      <c r="O3159" s="1627" t="s">
        <v>883</v>
      </c>
      <c r="P3159" s="1640">
        <f t="shared" si="293"/>
        <v>181</v>
      </c>
      <c r="Q3159" s="1627" t="s">
        <v>153</v>
      </c>
      <c r="R3159" s="1640">
        <f t="shared" si="294"/>
        <v>181</v>
      </c>
      <c r="S3159" s="1692">
        <v>4.3250000000000002</v>
      </c>
      <c r="T3159" s="1638" t="s">
        <v>2757</v>
      </c>
      <c r="U3159" s="1627" t="s">
        <v>2758</v>
      </c>
      <c r="V3159" s="1640">
        <f t="shared" si="296"/>
        <v>15.45</v>
      </c>
      <c r="W3159" s="1628" t="s">
        <v>152</v>
      </c>
      <c r="X3159" s="1640">
        <f t="shared" si="295"/>
        <v>66.821250000000006</v>
      </c>
      <c r="Y3159" s="1640"/>
    </row>
    <row r="3160" spans="6:25" ht="24" customHeight="1">
      <c r="K3160" s="1636" t="s">
        <v>156</v>
      </c>
      <c r="M3160" s="1640">
        <v>1</v>
      </c>
      <c r="N3160" s="1638" t="s">
        <v>153</v>
      </c>
      <c r="O3160" s="1627" t="s">
        <v>884</v>
      </c>
      <c r="P3160" s="1640">
        <f t="shared" si="293"/>
        <v>7.3</v>
      </c>
      <c r="Q3160" s="1627" t="s">
        <v>153</v>
      </c>
      <c r="R3160" s="1640">
        <f t="shared" si="294"/>
        <v>7.3</v>
      </c>
      <c r="S3160" s="1640">
        <v>3</v>
      </c>
      <c r="T3160" s="1638" t="s">
        <v>153</v>
      </c>
      <c r="U3160" s="1627" t="s">
        <v>1731</v>
      </c>
      <c r="V3160" s="1640">
        <f t="shared" si="296"/>
        <v>89.6</v>
      </c>
      <c r="W3160" s="1628" t="s">
        <v>153</v>
      </c>
      <c r="X3160" s="1640">
        <f t="shared" si="295"/>
        <v>268.79999999999995</v>
      </c>
      <c r="Y3160" s="1640"/>
    </row>
    <row r="3161" spans="6:25" ht="24" customHeight="1">
      <c r="M3161" s="1640">
        <v>1</v>
      </c>
      <c r="N3161" s="1638" t="s">
        <v>153</v>
      </c>
      <c r="O3161" s="1627" t="s">
        <v>1763</v>
      </c>
      <c r="P3161" s="1640">
        <f t="shared" si="293"/>
        <v>57.65</v>
      </c>
      <c r="Q3161" s="1627" t="s">
        <v>153</v>
      </c>
      <c r="R3161" s="1640">
        <f t="shared" si="294"/>
        <v>57.65</v>
      </c>
      <c r="S3161" s="1640">
        <v>2</v>
      </c>
      <c r="T3161" s="1638" t="s">
        <v>153</v>
      </c>
      <c r="U3161" s="1627" t="s">
        <v>2763</v>
      </c>
      <c r="V3161" s="1640">
        <f t="shared" si="296"/>
        <v>82.25</v>
      </c>
      <c r="W3161" s="1628" t="s">
        <v>153</v>
      </c>
      <c r="X3161" s="1640">
        <f t="shared" si="295"/>
        <v>164.5</v>
      </c>
      <c r="Y3161" s="1640"/>
    </row>
    <row r="3162" spans="6:25" ht="24" customHeight="1">
      <c r="M3162" s="1640">
        <v>1</v>
      </c>
      <c r="N3162" s="1638" t="s">
        <v>153</v>
      </c>
      <c r="O3162" s="1627" t="s">
        <v>886</v>
      </c>
      <c r="P3162" s="1640">
        <f t="shared" si="293"/>
        <v>49.55</v>
      </c>
      <c r="Q3162" s="1627" t="s">
        <v>153</v>
      </c>
      <c r="R3162" s="1640">
        <f t="shared" si="294"/>
        <v>49.55</v>
      </c>
      <c r="S3162" s="1640">
        <v>1</v>
      </c>
      <c r="T3162" s="1638" t="s">
        <v>153</v>
      </c>
      <c r="U3162" s="1627" t="s">
        <v>2766</v>
      </c>
      <c r="V3162" s="1640">
        <f t="shared" si="296"/>
        <v>57.65</v>
      </c>
      <c r="W3162" s="1628" t="s">
        <v>153</v>
      </c>
      <c r="X3162" s="1640">
        <f t="shared" si="295"/>
        <v>57.65</v>
      </c>
      <c r="Y3162" s="1640"/>
    </row>
    <row r="3163" spans="6:25" ht="24" customHeight="1">
      <c r="M3163" s="1640">
        <v>58</v>
      </c>
      <c r="N3163" s="1630"/>
      <c r="O3163" s="1629" t="s">
        <v>2768</v>
      </c>
      <c r="P3163" s="1629">
        <f>P2864</f>
        <v>2.41</v>
      </c>
      <c r="Q3163" s="1632"/>
      <c r="R3163" s="1640">
        <f t="shared" si="294"/>
        <v>139.78</v>
      </c>
      <c r="S3163" s="1640">
        <v>1</v>
      </c>
      <c r="T3163" s="1638" t="s">
        <v>153</v>
      </c>
      <c r="U3163" s="1627" t="s">
        <v>884</v>
      </c>
      <c r="V3163" s="1640">
        <f t="shared" si="296"/>
        <v>7.3</v>
      </c>
      <c r="W3163" s="1628" t="s">
        <v>153</v>
      </c>
      <c r="X3163" s="1640">
        <f t="shared" si="295"/>
        <v>7.3</v>
      </c>
      <c r="Y3163" s="1640"/>
    </row>
    <row r="3164" spans="6:25" ht="24" customHeight="1">
      <c r="N3164" s="1630"/>
      <c r="O3164" s="1628" t="s">
        <v>2664</v>
      </c>
      <c r="Q3164" s="1632"/>
      <c r="R3164" s="1640">
        <f>SUM(R3153:R3163)</f>
        <v>8424.6647499999999</v>
      </c>
      <c r="S3164" s="1640">
        <v>36</v>
      </c>
      <c r="T3164" s="1638" t="s">
        <v>153</v>
      </c>
      <c r="U3164" s="1627" t="s">
        <v>2768</v>
      </c>
      <c r="V3164" s="1640">
        <f>V3139</f>
        <v>2.41</v>
      </c>
      <c r="W3164" s="1628" t="s">
        <v>153</v>
      </c>
      <c r="X3164" s="1640">
        <f t="shared" si="295"/>
        <v>86.76</v>
      </c>
      <c r="Y3164" s="1640"/>
    </row>
    <row r="3165" spans="6:25" ht="24" customHeight="1">
      <c r="N3165" s="1638" t="s">
        <v>150</v>
      </c>
      <c r="Q3165" s="1632"/>
      <c r="R3165" s="1636" t="s">
        <v>21</v>
      </c>
      <c r="S3165" s="1640"/>
      <c r="T3165" s="1638"/>
      <c r="U3165" s="1627"/>
      <c r="V3165" s="1640"/>
      <c r="W3165" s="1628" t="s">
        <v>153</v>
      </c>
      <c r="X3165" s="1636" t="s">
        <v>21</v>
      </c>
      <c r="Y3165" s="1636"/>
    </row>
    <row r="3166" spans="6:25" ht="24" customHeight="1">
      <c r="H3166" s="1629" t="s">
        <v>2792</v>
      </c>
      <c r="J3166" s="1629"/>
      <c r="N3166" s="1630"/>
      <c r="O3166" s="1641" t="s">
        <v>155</v>
      </c>
      <c r="Q3166" s="1632"/>
      <c r="R3166" s="1639">
        <f>R3164/M3156</f>
        <v>3735.9932372505546</v>
      </c>
      <c r="S3166" s="1640"/>
      <c r="T3166" s="1630"/>
      <c r="U3166" s="1641" t="s">
        <v>2793</v>
      </c>
      <c r="W3166" s="1634"/>
      <c r="X3166" s="1640">
        <f>SUM(X3156:X3164)</f>
        <v>3443.6347000000001</v>
      </c>
      <c r="Y3166" s="1640"/>
    </row>
    <row r="3167" spans="6:25" ht="24" customHeight="1">
      <c r="J3167" s="1629"/>
      <c r="N3167" s="1630"/>
      <c r="Q3167" s="1632"/>
      <c r="R3167" s="1636" t="s">
        <v>156</v>
      </c>
      <c r="S3167" s="1629"/>
      <c r="T3167" s="1630"/>
      <c r="W3167" s="1634"/>
      <c r="X3167" s="1636" t="s">
        <v>21</v>
      </c>
      <c r="Y3167" s="1636"/>
    </row>
    <row r="3168" spans="6:25" ht="24" customHeight="1">
      <c r="F3168" s="1629">
        <v>3.23</v>
      </c>
      <c r="G3168" s="1630" t="s">
        <v>534</v>
      </c>
      <c r="H3168" s="1629" t="s">
        <v>2794</v>
      </c>
      <c r="I3168" s="1629">
        <f>I1505</f>
        <v>49.85</v>
      </c>
      <c r="J3168" s="1630" t="s">
        <v>534</v>
      </c>
      <c r="K3168" s="1629">
        <f>I3168*F3168</f>
        <v>161.0155</v>
      </c>
      <c r="S3168" s="1629"/>
      <c r="T3168" s="1638" t="s">
        <v>150</v>
      </c>
      <c r="U3168" s="1641" t="s">
        <v>155</v>
      </c>
      <c r="W3168" s="1634"/>
      <c r="X3168" s="1639">
        <f>X3166/S3158</f>
        <v>3917.673151308305</v>
      </c>
      <c r="Y3168" s="1639"/>
    </row>
    <row r="3169" spans="6:25" ht="24" customHeight="1">
      <c r="F3169" s="1629">
        <v>0.5</v>
      </c>
      <c r="G3169" s="1630" t="s">
        <v>305</v>
      </c>
      <c r="H3169" s="1629" t="s">
        <v>2795</v>
      </c>
      <c r="I3169" s="1629">
        <f>I1506</f>
        <v>1058.3999999999999</v>
      </c>
      <c r="J3169" s="1630" t="s">
        <v>305</v>
      </c>
      <c r="K3169" s="1629">
        <f>I3169*F3169</f>
        <v>529.19999999999993</v>
      </c>
      <c r="S3169" s="1629"/>
      <c r="T3169" s="1630"/>
      <c r="W3169" s="1634"/>
      <c r="X3169" s="1636" t="s">
        <v>156</v>
      </c>
      <c r="Y3169" s="1636"/>
    </row>
    <row r="3170" spans="6:25" ht="24" customHeight="1">
      <c r="F3170" s="1629">
        <v>0.5</v>
      </c>
      <c r="G3170" s="1630" t="s">
        <v>305</v>
      </c>
      <c r="H3170" s="1627" t="s">
        <v>235</v>
      </c>
      <c r="I3170" s="1629">
        <f>I1507</f>
        <v>865.19999999999993</v>
      </c>
      <c r="J3170" s="1630" t="s">
        <v>305</v>
      </c>
      <c r="K3170" s="1629">
        <f>I3170*F3170</f>
        <v>432.59999999999997</v>
      </c>
      <c r="M3170" s="1628"/>
      <c r="N3170" s="1638" t="s">
        <v>249</v>
      </c>
      <c r="O3170" s="1627" t="s">
        <v>2796</v>
      </c>
      <c r="Q3170" s="1634"/>
      <c r="W3170" s="1634"/>
    </row>
    <row r="3171" spans="6:25" ht="24" customHeight="1">
      <c r="F3171" s="1629">
        <v>0.8</v>
      </c>
      <c r="G3171" s="1630" t="s">
        <v>305</v>
      </c>
      <c r="H3171" s="1627" t="s">
        <v>236</v>
      </c>
      <c r="I3171" s="1629">
        <f>I1508</f>
        <v>709.8</v>
      </c>
      <c r="J3171" s="1630" t="s">
        <v>305</v>
      </c>
      <c r="K3171" s="1629">
        <f>I3171*F3171</f>
        <v>567.84</v>
      </c>
      <c r="N3171" s="1630"/>
      <c r="O3171" s="1627" t="s">
        <v>1695</v>
      </c>
      <c r="Q3171" s="1634"/>
      <c r="W3171" s="1634"/>
    </row>
    <row r="3172" spans="6:25" ht="24" customHeight="1">
      <c r="F3172" s="1629">
        <v>10</v>
      </c>
      <c r="G3172" s="1630" t="s">
        <v>306</v>
      </c>
      <c r="H3172" s="1627" t="s">
        <v>2797</v>
      </c>
      <c r="I3172" s="1629">
        <f>C460</f>
        <v>5.6</v>
      </c>
      <c r="J3172" s="1630" t="s">
        <v>306</v>
      </c>
      <c r="K3172" s="1629">
        <f>I3172*F3172</f>
        <v>56</v>
      </c>
      <c r="N3172" s="1630"/>
      <c r="O3172" s="1631" t="s">
        <v>2798</v>
      </c>
      <c r="Q3172" s="1634"/>
      <c r="W3172" s="1634"/>
    </row>
    <row r="3173" spans="6:25" ht="24" customHeight="1">
      <c r="H3173" s="1627" t="s">
        <v>307</v>
      </c>
      <c r="I3173" s="1694" t="s">
        <v>287</v>
      </c>
      <c r="J3173" s="1634"/>
      <c r="K3173" s="1629">
        <v>1.75</v>
      </c>
      <c r="N3173" s="1630"/>
      <c r="O3173" s="1636" t="s">
        <v>21</v>
      </c>
      <c r="Q3173" s="1634"/>
      <c r="W3173" s="1634"/>
    </row>
    <row r="3174" spans="6:25" ht="24" customHeight="1">
      <c r="J3174" s="1634"/>
      <c r="K3174" s="1629">
        <f>SUM(K3168:K3173)</f>
        <v>1748.4054999999998</v>
      </c>
      <c r="N3174" s="1630"/>
      <c r="O3174" s="1627" t="s">
        <v>2799</v>
      </c>
      <c r="P3174" s="1694" t="s">
        <v>156</v>
      </c>
      <c r="Q3174" s="1725">
        <v>3.1219999999999999</v>
      </c>
      <c r="R3174" s="1629" t="s">
        <v>306</v>
      </c>
      <c r="W3174" s="1634"/>
    </row>
    <row r="3175" spans="6:25" ht="24" customHeight="1">
      <c r="J3175" s="1634"/>
      <c r="K3175" s="1629">
        <f>K3174/10</f>
        <v>174.84054999999998</v>
      </c>
      <c r="N3175" s="1630"/>
      <c r="O3175" s="1627"/>
      <c r="P3175" s="1694"/>
      <c r="Q3175" s="1725"/>
      <c r="W3175" s="1634"/>
    </row>
    <row r="3176" spans="6:25" ht="24" customHeight="1">
      <c r="G3176" s="1629"/>
      <c r="J3176" s="1629"/>
      <c r="L3176" s="1629">
        <f>K3210</f>
        <v>317.73700000000002</v>
      </c>
      <c r="N3176" s="1630"/>
      <c r="O3176" s="1627" t="s">
        <v>5711</v>
      </c>
      <c r="P3176" s="1694" t="s">
        <v>156</v>
      </c>
      <c r="Q3176" s="1809">
        <v>5.1999999999999998E-2</v>
      </c>
      <c r="R3176" s="1629" t="s">
        <v>313</v>
      </c>
      <c r="W3176" s="1634"/>
    </row>
    <row r="3177" spans="6:25" ht="24" customHeight="1">
      <c r="G3177" s="1629"/>
      <c r="J3177" s="1629"/>
      <c r="L3177" s="1629">
        <f>K3211</f>
        <v>740.87999999999988</v>
      </c>
      <c r="N3177" s="1630"/>
      <c r="O3177" s="1627" t="s">
        <v>2801</v>
      </c>
      <c r="Q3177" s="1694"/>
      <c r="W3177" s="1634"/>
    </row>
    <row r="3178" spans="6:25" ht="24" customHeight="1">
      <c r="G3178" s="1629"/>
      <c r="J3178" s="1629"/>
      <c r="N3178" s="1630"/>
      <c r="O3178" s="1627" t="s">
        <v>2802</v>
      </c>
      <c r="P3178" s="1694" t="s">
        <v>156</v>
      </c>
      <c r="Q3178" s="1845">
        <v>2.2780000000000002E-2</v>
      </c>
      <c r="W3178" s="1634"/>
    </row>
    <row r="3179" spans="6:25" ht="24" customHeight="1">
      <c r="H3179" s="1629" t="s">
        <v>2803</v>
      </c>
      <c r="J3179" s="1629"/>
      <c r="L3179" s="1629">
        <v>1.5</v>
      </c>
      <c r="N3179" s="1630"/>
      <c r="O3179" s="1627" t="s">
        <v>2804</v>
      </c>
      <c r="P3179" s="1694" t="s">
        <v>156</v>
      </c>
      <c r="Q3179" s="1845">
        <v>1.013E-2</v>
      </c>
      <c r="R3179" s="1691"/>
      <c r="W3179" s="1634"/>
    </row>
    <row r="3180" spans="6:25" ht="24" customHeight="1">
      <c r="J3180" s="1629"/>
      <c r="L3180" s="1629">
        <f>SUM(L3176:L3179)</f>
        <v>1060.117</v>
      </c>
      <c r="N3180" s="1630"/>
      <c r="Q3180" s="1636" t="s">
        <v>21</v>
      </c>
      <c r="W3180" s="1634"/>
    </row>
    <row r="3181" spans="6:25" ht="24" customHeight="1">
      <c r="F3181" s="1629">
        <v>1.8</v>
      </c>
      <c r="G3181" s="1630" t="s">
        <v>534</v>
      </c>
      <c r="H3181" s="1629" t="s">
        <v>2794</v>
      </c>
      <c r="I3181" s="1629">
        <f>I3168</f>
        <v>49.85</v>
      </c>
      <c r="J3181" s="1630" t="s">
        <v>534</v>
      </c>
      <c r="K3181" s="1629">
        <f>I3181*F3181</f>
        <v>89.73</v>
      </c>
      <c r="N3181" s="1630"/>
      <c r="Q3181" s="1846">
        <v>3.2910000000000002E-2</v>
      </c>
      <c r="R3181" s="1629" t="s">
        <v>313</v>
      </c>
      <c r="W3181" s="1634"/>
    </row>
    <row r="3182" spans="6:25" ht="24" customHeight="1">
      <c r="F3182" s="1629">
        <v>0.25</v>
      </c>
      <c r="G3182" s="1630" t="s">
        <v>305</v>
      </c>
      <c r="H3182" s="1629" t="s">
        <v>2795</v>
      </c>
      <c r="I3182" s="1629">
        <f>I3169</f>
        <v>1058.3999999999999</v>
      </c>
      <c r="J3182" s="1630" t="s">
        <v>305</v>
      </c>
      <c r="K3182" s="1629">
        <f>I3182*F3182</f>
        <v>264.59999999999997</v>
      </c>
      <c r="L3182" s="1629">
        <f>L3180/10</f>
        <v>106.01169999999999</v>
      </c>
      <c r="N3182" s="1630"/>
      <c r="Q3182" s="1636" t="s">
        <v>21</v>
      </c>
      <c r="W3182" s="1634"/>
    </row>
    <row r="3183" spans="6:25" ht="24" customHeight="1">
      <c r="F3183" s="1629">
        <v>0.25</v>
      </c>
      <c r="G3183" s="1630" t="s">
        <v>305</v>
      </c>
      <c r="H3183" s="1627" t="s">
        <v>235</v>
      </c>
      <c r="I3183" s="1629">
        <f>I3170</f>
        <v>865.19999999999993</v>
      </c>
      <c r="J3183" s="1630" t="s">
        <v>305</v>
      </c>
      <c r="K3183" s="1629">
        <f>I3183*F3183</f>
        <v>216.29999999999998</v>
      </c>
      <c r="N3183" s="1630"/>
      <c r="O3183" s="1627" t="s">
        <v>2805</v>
      </c>
      <c r="Q3183" s="1847">
        <v>1.7600000000000001E-2</v>
      </c>
      <c r="R3183" s="1691"/>
      <c r="W3183" s="1634"/>
    </row>
    <row r="3184" spans="6:25" ht="24" customHeight="1">
      <c r="F3184" s="1629">
        <v>0.4</v>
      </c>
      <c r="G3184" s="1630" t="s">
        <v>305</v>
      </c>
      <c r="H3184" s="1627" t="s">
        <v>236</v>
      </c>
      <c r="I3184" s="1629">
        <f>I3171</f>
        <v>709.8</v>
      </c>
      <c r="J3184" s="1630" t="s">
        <v>305</v>
      </c>
      <c r="K3184" s="1629">
        <f>I3184*F3184</f>
        <v>283.92</v>
      </c>
      <c r="N3184" s="1630"/>
      <c r="O3184" s="1627" t="s">
        <v>2806</v>
      </c>
      <c r="Q3184" s="1848">
        <v>8.3999999999999995E-3</v>
      </c>
      <c r="R3184" s="1691"/>
      <c r="W3184" s="1634"/>
    </row>
    <row r="3185" spans="6:23" ht="24" customHeight="1">
      <c r="F3185" s="1629">
        <v>10</v>
      </c>
      <c r="G3185" s="1630" t="s">
        <v>306</v>
      </c>
      <c r="H3185" s="1627" t="s">
        <v>401</v>
      </c>
      <c r="I3185" s="1629">
        <f>I3172</f>
        <v>5.6</v>
      </c>
      <c r="J3185" s="1630" t="s">
        <v>306</v>
      </c>
      <c r="K3185" s="1629">
        <f>I3185*F3185</f>
        <v>56</v>
      </c>
      <c r="N3185" s="1630"/>
      <c r="O3185" s="1627"/>
      <c r="Q3185" s="1636" t="s">
        <v>21</v>
      </c>
      <c r="R3185" s="1691"/>
      <c r="W3185" s="1634"/>
    </row>
    <row r="3186" spans="6:23" ht="24" customHeight="1">
      <c r="H3186" s="1627" t="s">
        <v>307</v>
      </c>
      <c r="I3186" s="1694" t="s">
        <v>2807</v>
      </c>
      <c r="J3186" s="1634"/>
      <c r="K3186" s="1629">
        <v>1.6</v>
      </c>
      <c r="N3186" s="1630"/>
      <c r="O3186" s="1627"/>
      <c r="Q3186" s="1849">
        <v>2.5999999999999999E-2</v>
      </c>
      <c r="R3186" s="1691" t="s">
        <v>313</v>
      </c>
      <c r="W3186" s="1634"/>
    </row>
    <row r="3187" spans="6:23" ht="24" customHeight="1">
      <c r="J3187" s="1634"/>
      <c r="K3187" s="1629">
        <f>SUM(K3181:K3186)</f>
        <v>912.15</v>
      </c>
      <c r="N3187" s="1630"/>
      <c r="Q3187" s="1636" t="s">
        <v>21</v>
      </c>
      <c r="R3187" s="1636"/>
      <c r="W3187" s="1634"/>
    </row>
    <row r="3188" spans="6:23" ht="24" customHeight="1">
      <c r="J3188" s="1634"/>
      <c r="K3188" s="1629">
        <f>K3187/10</f>
        <v>91.215000000000003</v>
      </c>
      <c r="M3188" s="1691">
        <v>5.1999999999999998E-2</v>
      </c>
      <c r="N3188" s="1638" t="s">
        <v>151</v>
      </c>
      <c r="O3188" s="1627" t="s">
        <v>1710</v>
      </c>
      <c r="P3188" s="1640">
        <f>AE26</f>
        <v>111600</v>
      </c>
      <c r="Q3188" s="1628" t="s">
        <v>151</v>
      </c>
      <c r="R3188" s="1640">
        <f>P3188*M3188</f>
        <v>5803.2</v>
      </c>
      <c r="W3188" s="1634"/>
    </row>
    <row r="3189" spans="6:23" ht="24" customHeight="1">
      <c r="G3189" s="1629"/>
      <c r="J3189" s="1629"/>
      <c r="M3189" s="1691">
        <v>3.2910000000000002E-2</v>
      </c>
      <c r="N3189" s="1638" t="s">
        <v>151</v>
      </c>
      <c r="O3189" s="1627" t="s">
        <v>1711</v>
      </c>
      <c r="P3189" s="1640">
        <f>AE27</f>
        <v>99400</v>
      </c>
      <c r="Q3189" s="1628" t="s">
        <v>151</v>
      </c>
      <c r="R3189" s="1640">
        <f t="shared" ref="R3189:R3199" si="297">P3189*M3189</f>
        <v>3271.2540000000004</v>
      </c>
      <c r="W3189" s="1634"/>
    </row>
    <row r="3190" spans="6:23" ht="24" customHeight="1">
      <c r="G3190" s="1629"/>
      <c r="J3190" s="1629"/>
      <c r="M3190" s="1691">
        <v>2.5999999999999999E-2</v>
      </c>
      <c r="N3190" s="1638" t="s">
        <v>151</v>
      </c>
      <c r="O3190" s="1627" t="s">
        <v>2808</v>
      </c>
      <c r="P3190" s="1640">
        <v>107000</v>
      </c>
      <c r="Q3190" s="1628" t="s">
        <v>151</v>
      </c>
      <c r="R3190" s="1640">
        <f t="shared" si="297"/>
        <v>2782</v>
      </c>
      <c r="W3190" s="1634"/>
    </row>
    <row r="3191" spans="6:23" ht="24" customHeight="1">
      <c r="G3191" s="1629"/>
      <c r="J3191" s="1629"/>
      <c r="L3191" s="1629">
        <f>K3225</f>
        <v>530.35800000000006</v>
      </c>
      <c r="M3191" s="1692"/>
      <c r="N3191" s="1630"/>
      <c r="O3191" s="1627" t="s">
        <v>2809</v>
      </c>
      <c r="P3191" s="1640"/>
      <c r="Q3191" s="1634"/>
      <c r="R3191" s="1640">
        <f t="shared" si="297"/>
        <v>0</v>
      </c>
      <c r="W3191" s="1634"/>
    </row>
    <row r="3192" spans="6:23" ht="24" customHeight="1">
      <c r="H3192" s="1629" t="s">
        <v>2810</v>
      </c>
      <c r="J3192" s="1629"/>
      <c r="L3192" s="1629">
        <f>K3226</f>
        <v>1270.0799999999997</v>
      </c>
      <c r="M3192" s="1692">
        <v>3.1219999999999999</v>
      </c>
      <c r="N3192" s="1638" t="s">
        <v>152</v>
      </c>
      <c r="O3192" s="1627" t="s">
        <v>1708</v>
      </c>
      <c r="P3192" s="1640">
        <f>I954</f>
        <v>2039.8</v>
      </c>
      <c r="Q3192" s="1628" t="s">
        <v>152</v>
      </c>
      <c r="R3192" s="1640">
        <f t="shared" si="297"/>
        <v>6368.2555999999995</v>
      </c>
      <c r="W3192" s="1634"/>
    </row>
    <row r="3193" spans="6:23" ht="24" customHeight="1">
      <c r="H3193" s="1629" t="s">
        <v>318</v>
      </c>
      <c r="J3193" s="1629"/>
      <c r="M3193" s="1640">
        <v>4</v>
      </c>
      <c r="N3193" s="1638" t="s">
        <v>4</v>
      </c>
      <c r="O3193" s="1627" t="s">
        <v>2811</v>
      </c>
      <c r="P3193" s="1640">
        <f>I2637</f>
        <v>254.5</v>
      </c>
      <c r="Q3193" s="1628" t="s">
        <v>153</v>
      </c>
      <c r="R3193" s="1640">
        <f t="shared" si="297"/>
        <v>1018</v>
      </c>
      <c r="W3193" s="1634"/>
    </row>
    <row r="3194" spans="6:23" ht="24" customHeight="1">
      <c r="H3194" s="1629" t="s">
        <v>319</v>
      </c>
      <c r="J3194" s="1629"/>
      <c r="L3194" s="1629">
        <f>K3228</f>
        <v>6.65</v>
      </c>
      <c r="M3194" s="1640">
        <v>8</v>
      </c>
      <c r="N3194" s="1638" t="s">
        <v>153</v>
      </c>
      <c r="O3194" s="1627" t="s">
        <v>391</v>
      </c>
      <c r="P3194" s="1640">
        <f>P3158</f>
        <v>89.6</v>
      </c>
      <c r="Q3194" s="1628" t="s">
        <v>153</v>
      </c>
      <c r="R3194" s="1640">
        <f t="shared" si="297"/>
        <v>716.8</v>
      </c>
      <c r="W3194" s="1634"/>
    </row>
    <row r="3195" spans="6:23" ht="24" customHeight="1">
      <c r="J3195" s="1629"/>
      <c r="L3195" s="1629">
        <f>SUM(L3191:L3194)</f>
        <v>1807.0879999999997</v>
      </c>
      <c r="M3195" s="1640">
        <v>4</v>
      </c>
      <c r="N3195" s="1638" t="s">
        <v>153</v>
      </c>
      <c r="O3195" s="1693" t="s">
        <v>5233</v>
      </c>
      <c r="P3195" s="1640">
        <v>97.85</v>
      </c>
      <c r="Q3195" s="1628" t="s">
        <v>153</v>
      </c>
      <c r="R3195" s="1640">
        <f t="shared" si="297"/>
        <v>391.4</v>
      </c>
      <c r="W3195" s="1634"/>
    </row>
    <row r="3196" spans="6:23" ht="24" customHeight="1">
      <c r="F3196" s="1629">
        <v>1.1100000000000001</v>
      </c>
      <c r="G3196" s="1630" t="s">
        <v>325</v>
      </c>
      <c r="H3196" s="1629" t="s">
        <v>321</v>
      </c>
      <c r="I3196" s="1629">
        <f>I1547</f>
        <v>227.6</v>
      </c>
      <c r="J3196" s="1630" t="s">
        <v>325</v>
      </c>
      <c r="K3196" s="1629">
        <f>I3196*F3196</f>
        <v>252.63600000000002</v>
      </c>
      <c r="M3196" s="1640">
        <v>1</v>
      </c>
      <c r="N3196" s="1638" t="s">
        <v>153</v>
      </c>
      <c r="O3196" s="1693" t="s">
        <v>5234</v>
      </c>
      <c r="P3196" s="1640">
        <v>209.9</v>
      </c>
      <c r="Q3196" s="1628" t="s">
        <v>153</v>
      </c>
      <c r="R3196" s="1640">
        <f t="shared" si="297"/>
        <v>209.9</v>
      </c>
      <c r="W3196" s="1634"/>
    </row>
    <row r="3197" spans="6:23" ht="24" customHeight="1">
      <c r="F3197" s="1629">
        <v>0.7</v>
      </c>
      <c r="G3197" s="1630" t="s">
        <v>305</v>
      </c>
      <c r="H3197" s="1629" t="s">
        <v>322</v>
      </c>
      <c r="I3197" s="1629">
        <f>I3182</f>
        <v>1058.3999999999999</v>
      </c>
      <c r="J3197" s="1630" t="s">
        <v>305</v>
      </c>
      <c r="K3197" s="1629">
        <f>I3197*F3197</f>
        <v>740.87999999999988</v>
      </c>
      <c r="L3197" s="1629">
        <f>L3195/10</f>
        <v>180.70879999999997</v>
      </c>
      <c r="M3197" s="1640">
        <v>2</v>
      </c>
      <c r="N3197" s="1638" t="s">
        <v>153</v>
      </c>
      <c r="O3197" s="1693" t="s">
        <v>5235</v>
      </c>
      <c r="P3197" s="1640">
        <v>23.1</v>
      </c>
      <c r="Q3197" s="1628" t="s">
        <v>153</v>
      </c>
      <c r="R3197" s="1640">
        <f t="shared" si="297"/>
        <v>46.2</v>
      </c>
      <c r="W3197" s="1634"/>
    </row>
    <row r="3198" spans="6:23" ht="24" customHeight="1">
      <c r="F3198" s="1629">
        <v>10</v>
      </c>
      <c r="G3198" s="1630" t="s">
        <v>306</v>
      </c>
      <c r="H3198" s="1700" t="s">
        <v>5236</v>
      </c>
      <c r="I3198" s="1629">
        <f>AG54</f>
        <v>12.11</v>
      </c>
      <c r="J3198" s="1630" t="s">
        <v>306</v>
      </c>
      <c r="K3198" s="1629">
        <f>I3198*F3198</f>
        <v>121.1</v>
      </c>
      <c r="M3198" s="1640">
        <v>2</v>
      </c>
      <c r="N3198" s="1638" t="s">
        <v>153</v>
      </c>
      <c r="O3198" s="1693" t="s">
        <v>5237</v>
      </c>
      <c r="P3198" s="1640">
        <v>49.55</v>
      </c>
      <c r="Q3198" s="1628" t="s">
        <v>153</v>
      </c>
      <c r="R3198" s="1640">
        <f t="shared" si="297"/>
        <v>99.1</v>
      </c>
      <c r="S3198" s="1633">
        <f>0.42*3.122</f>
        <v>1.31124</v>
      </c>
      <c r="T3198" s="1629">
        <f>S3198+19.79</f>
        <v>21.101240000000001</v>
      </c>
      <c r="W3198" s="1634"/>
    </row>
    <row r="3199" spans="6:23" ht="24" customHeight="1">
      <c r="H3199" s="1627" t="s">
        <v>307</v>
      </c>
      <c r="I3199" s="1629" t="s">
        <v>287</v>
      </c>
      <c r="J3199" s="1634"/>
      <c r="K3199" s="1629">
        <v>2.8</v>
      </c>
      <c r="M3199" s="1640">
        <v>118</v>
      </c>
      <c r="N3199" s="1638" t="s">
        <v>153</v>
      </c>
      <c r="O3199" s="1629" t="s">
        <v>2768</v>
      </c>
      <c r="P3199" s="1629">
        <f>I961</f>
        <v>2.41</v>
      </c>
      <c r="Q3199" s="1628" t="s">
        <v>153</v>
      </c>
      <c r="R3199" s="1640">
        <f t="shared" si="297"/>
        <v>284.38</v>
      </c>
      <c r="W3199" s="1634"/>
    </row>
    <row r="3200" spans="6:23" ht="24" customHeight="1">
      <c r="H3200" s="1629" t="s">
        <v>238</v>
      </c>
      <c r="J3200" s="1634"/>
      <c r="K3200" s="1629">
        <f>SUM(K3196:K3199)</f>
        <v>1117.4159999999997</v>
      </c>
      <c r="N3200" s="1630"/>
      <c r="Q3200" s="1634"/>
      <c r="R3200" s="1636" t="s">
        <v>21</v>
      </c>
      <c r="W3200" s="1634"/>
    </row>
    <row r="3201" spans="6:23" ht="24" customHeight="1">
      <c r="J3201" s="1634"/>
      <c r="N3201" s="1630"/>
      <c r="O3201" s="1627" t="s">
        <v>2817</v>
      </c>
      <c r="Q3201" s="1634"/>
      <c r="R3201" s="1640">
        <f>SUM(R3188:R3199)</f>
        <v>20990.489600000001</v>
      </c>
      <c r="W3201" s="1634"/>
    </row>
    <row r="3202" spans="6:23" ht="24" customHeight="1">
      <c r="H3202" s="1629" t="s">
        <v>155</v>
      </c>
      <c r="J3202" s="1634"/>
      <c r="K3202" s="1629">
        <f>K3200/10</f>
        <v>111.74159999999998</v>
      </c>
      <c r="N3202" s="1630"/>
      <c r="Q3202" s="1634"/>
      <c r="R3202" s="1636" t="s">
        <v>21</v>
      </c>
      <c r="W3202" s="1634"/>
    </row>
    <row r="3203" spans="6:23" ht="24" customHeight="1">
      <c r="J3203" s="1634"/>
      <c r="N3203" s="1630"/>
      <c r="O3203" s="1631" t="s">
        <v>155</v>
      </c>
      <c r="Q3203" s="1735" t="s">
        <v>2597</v>
      </c>
      <c r="R3203" s="1639">
        <f>R3201/M3192</f>
        <v>6723.4111467008333</v>
      </c>
      <c r="W3203" s="1634"/>
    </row>
    <row r="3204" spans="6:23" ht="24" customHeight="1">
      <c r="J3204" s="1634"/>
      <c r="M3204" s="1628"/>
      <c r="N3204" s="1638" t="s">
        <v>249</v>
      </c>
      <c r="O3204" s="1627" t="s">
        <v>2818</v>
      </c>
      <c r="Q3204" s="1634"/>
      <c r="W3204" s="1634"/>
    </row>
    <row r="3205" spans="6:23" ht="24" customHeight="1">
      <c r="J3205" s="1634"/>
      <c r="N3205" s="1630"/>
      <c r="O3205" s="1627" t="s">
        <v>1695</v>
      </c>
      <c r="Q3205" s="1634"/>
      <c r="W3205" s="1634"/>
    </row>
    <row r="3206" spans="6:23" ht="24" customHeight="1">
      <c r="H3206" s="1629" t="s">
        <v>2810</v>
      </c>
      <c r="J3206" s="1634"/>
      <c r="N3206" s="1630"/>
      <c r="O3206" s="1631" t="s">
        <v>2798</v>
      </c>
      <c r="Q3206" s="1634"/>
      <c r="W3206" s="1634"/>
    </row>
    <row r="3207" spans="6:23" ht="24" customHeight="1">
      <c r="H3207" s="1629" t="s">
        <v>324</v>
      </c>
      <c r="J3207" s="1634"/>
      <c r="L3207" s="1629">
        <f>K3241</f>
        <v>430.16399999999999</v>
      </c>
      <c r="N3207" s="1630"/>
      <c r="O3207" s="1636" t="s">
        <v>21</v>
      </c>
      <c r="Q3207" s="1634"/>
      <c r="W3207" s="1634"/>
    </row>
    <row r="3208" spans="6:23" ht="24" customHeight="1">
      <c r="H3208" s="1629" t="s">
        <v>319</v>
      </c>
      <c r="J3208" s="1634"/>
      <c r="L3208" s="1629">
        <f>K3242</f>
        <v>1164.24</v>
      </c>
      <c r="N3208" s="1630"/>
      <c r="O3208" s="1627" t="s">
        <v>2799</v>
      </c>
      <c r="P3208" s="1694" t="s">
        <v>156</v>
      </c>
      <c r="Q3208" s="1725">
        <v>3.1219999999999999</v>
      </c>
      <c r="R3208" s="1632" t="s">
        <v>306</v>
      </c>
      <c r="W3208" s="1634"/>
    </row>
    <row r="3209" spans="6:23" ht="24" customHeight="1">
      <c r="J3209" s="1634"/>
      <c r="N3209" s="1630"/>
      <c r="O3209" s="1627"/>
      <c r="P3209" s="1694"/>
      <c r="Q3209" s="1725"/>
      <c r="R3209" s="1632"/>
      <c r="W3209" s="1634"/>
    </row>
    <row r="3210" spans="6:23" ht="24" customHeight="1">
      <c r="F3210" s="1629">
        <v>1.33</v>
      </c>
      <c r="G3210" s="1630" t="s">
        <v>325</v>
      </c>
      <c r="H3210" s="1629" t="s">
        <v>321</v>
      </c>
      <c r="I3210" s="1629">
        <f>I1534</f>
        <v>238.9</v>
      </c>
      <c r="J3210" s="1630" t="s">
        <v>325</v>
      </c>
      <c r="K3210" s="1629">
        <f>I3210*F3210</f>
        <v>317.73700000000002</v>
      </c>
      <c r="L3210" s="1629">
        <f>K3244</f>
        <v>1.9</v>
      </c>
      <c r="N3210" s="1630"/>
      <c r="O3210" s="1627" t="s">
        <v>5711</v>
      </c>
      <c r="P3210" s="1694" t="s">
        <v>156</v>
      </c>
      <c r="Q3210" s="1809">
        <v>5.1999999999999998E-2</v>
      </c>
      <c r="R3210" s="1632" t="s">
        <v>313</v>
      </c>
      <c r="W3210" s="1634"/>
    </row>
    <row r="3211" spans="6:23" ht="24" customHeight="1">
      <c r="F3211" s="1629">
        <v>0.7</v>
      </c>
      <c r="G3211" s="1630" t="s">
        <v>305</v>
      </c>
      <c r="H3211" s="1629" t="s">
        <v>322</v>
      </c>
      <c r="I3211" s="1629">
        <f>I3197</f>
        <v>1058.3999999999999</v>
      </c>
      <c r="J3211" s="1630" t="s">
        <v>305</v>
      </c>
      <c r="K3211" s="1629">
        <f>I3211*F3211</f>
        <v>740.87999999999988</v>
      </c>
      <c r="L3211" s="1629">
        <f>SUM(L3207:L3210)</f>
        <v>1596.3040000000001</v>
      </c>
      <c r="N3211" s="1630"/>
      <c r="O3211" s="1627" t="s">
        <v>2801</v>
      </c>
      <c r="Q3211" s="1694"/>
      <c r="R3211" s="1632"/>
      <c r="W3211" s="1634"/>
    </row>
    <row r="3212" spans="6:23" ht="24" customHeight="1">
      <c r="F3212" s="1629">
        <v>10</v>
      </c>
      <c r="G3212" s="1630" t="s">
        <v>306</v>
      </c>
      <c r="H3212" s="1701" t="s">
        <v>2819</v>
      </c>
      <c r="I3212" s="1629">
        <f>AG55</f>
        <v>13.089999999999998</v>
      </c>
      <c r="J3212" s="1630" t="s">
        <v>306</v>
      </c>
      <c r="K3212" s="1629">
        <f>I3212*F3212</f>
        <v>130.89999999999998</v>
      </c>
      <c r="N3212" s="1630"/>
      <c r="O3212" s="1627" t="s">
        <v>2820</v>
      </c>
      <c r="P3212" s="1694" t="s">
        <v>156</v>
      </c>
      <c r="Q3212" s="1845">
        <v>2.2780000000000002E-2</v>
      </c>
      <c r="R3212" s="1632"/>
      <c r="W3212" s="1634"/>
    </row>
    <row r="3213" spans="6:23" ht="24" customHeight="1">
      <c r="H3213" s="1629" t="s">
        <v>307</v>
      </c>
      <c r="I3213" s="1629" t="s">
        <v>287</v>
      </c>
      <c r="J3213" s="1634"/>
      <c r="K3213" s="1629">
        <v>3.43</v>
      </c>
      <c r="N3213" s="1630"/>
      <c r="O3213" s="1627" t="s">
        <v>2804</v>
      </c>
      <c r="P3213" s="1694" t="s">
        <v>156</v>
      </c>
      <c r="Q3213" s="1845">
        <v>1.013E-2</v>
      </c>
      <c r="R3213" s="1710"/>
      <c r="W3213" s="1634"/>
    </row>
    <row r="3214" spans="6:23" ht="24" customHeight="1">
      <c r="H3214" s="1629" t="s">
        <v>238</v>
      </c>
      <c r="J3214" s="1634"/>
      <c r="K3214" s="1629">
        <f>SUM(K3210:K3213)</f>
        <v>1192.9469999999999</v>
      </c>
      <c r="N3214" s="1630"/>
      <c r="Q3214" s="1850" t="s">
        <v>2821</v>
      </c>
      <c r="R3214" s="1632"/>
      <c r="W3214" s="1634"/>
    </row>
    <row r="3215" spans="6:23" ht="24" customHeight="1">
      <c r="J3215" s="1634"/>
      <c r="N3215" s="1630"/>
      <c r="Q3215" s="1846">
        <v>3.2910000000000002E-2</v>
      </c>
      <c r="R3215" s="1632" t="s">
        <v>313</v>
      </c>
      <c r="W3215" s="1634"/>
    </row>
    <row r="3216" spans="6:23" ht="24" customHeight="1">
      <c r="H3216" s="1629" t="s">
        <v>155</v>
      </c>
      <c r="J3216" s="1634"/>
      <c r="K3216" s="1629">
        <f>K3214/10</f>
        <v>119.29469999999999</v>
      </c>
      <c r="N3216" s="1630"/>
      <c r="Q3216" s="1850" t="s">
        <v>2821</v>
      </c>
      <c r="R3216" s="1632"/>
      <c r="W3216" s="1634"/>
    </row>
    <row r="3217" spans="6:23" ht="24" customHeight="1">
      <c r="J3217" s="1634"/>
      <c r="N3217" s="1630"/>
      <c r="O3217" s="1627" t="s">
        <v>2822</v>
      </c>
      <c r="Q3217" s="1809">
        <v>0.94</v>
      </c>
      <c r="R3217" s="1710" t="s">
        <v>306</v>
      </c>
      <c r="W3217" s="1634"/>
    </row>
    <row r="3218" spans="6:23" ht="24" customHeight="1">
      <c r="J3218" s="1634"/>
      <c r="N3218" s="1630"/>
      <c r="O3218" s="1627" t="s">
        <v>2823</v>
      </c>
      <c r="Q3218" s="1849">
        <v>8.3999999999999995E-3</v>
      </c>
      <c r="R3218" s="1710" t="s">
        <v>313</v>
      </c>
      <c r="W3218" s="1634"/>
    </row>
    <row r="3219" spans="6:23" ht="24" customHeight="1">
      <c r="J3219" s="1634"/>
      <c r="N3219" s="1630"/>
      <c r="O3219" s="1627" t="s">
        <v>2824</v>
      </c>
      <c r="Q3219" s="1849">
        <v>7.9</v>
      </c>
      <c r="R3219" s="1710" t="s">
        <v>303</v>
      </c>
      <c r="W3219" s="1634"/>
    </row>
    <row r="3220" spans="6:23" ht="24" customHeight="1">
      <c r="J3220" s="1634"/>
      <c r="N3220" s="1630"/>
      <c r="Q3220" s="1636"/>
      <c r="R3220" s="1636"/>
      <c r="W3220" s="1634"/>
    </row>
    <row r="3221" spans="6:23" ht="24" customHeight="1">
      <c r="H3221" s="1629" t="s">
        <v>400</v>
      </c>
      <c r="J3221" s="1634"/>
      <c r="M3221" s="1691">
        <v>5.1999999999999998E-2</v>
      </c>
      <c r="N3221" s="1638" t="s">
        <v>151</v>
      </c>
      <c r="O3221" s="1627" t="s">
        <v>1710</v>
      </c>
      <c r="P3221" s="1640">
        <f>P3188</f>
        <v>111600</v>
      </c>
      <c r="Q3221" s="1628" t="s">
        <v>151</v>
      </c>
      <c r="R3221" s="1640">
        <f>P3221*M3221</f>
        <v>5803.2</v>
      </c>
      <c r="W3221" s="1634"/>
    </row>
    <row r="3222" spans="6:23" ht="24" customHeight="1">
      <c r="H3222" s="1629" t="s">
        <v>324</v>
      </c>
      <c r="J3222" s="1634"/>
      <c r="M3222" s="1691">
        <v>3.2910000000000002E-2</v>
      </c>
      <c r="N3222" s="1638" t="s">
        <v>151</v>
      </c>
      <c r="O3222" s="1627" t="s">
        <v>1711</v>
      </c>
      <c r="P3222" s="1640">
        <f>P3189</f>
        <v>99400</v>
      </c>
      <c r="Q3222" s="1628" t="s">
        <v>151</v>
      </c>
      <c r="R3222" s="1640">
        <f t="shared" ref="R3222:R3234" si="298">P3222*M3222</f>
        <v>3271.2540000000004</v>
      </c>
      <c r="W3222" s="1634"/>
    </row>
    <row r="3223" spans="6:23" ht="24" customHeight="1">
      <c r="H3223" s="1629" t="s">
        <v>319</v>
      </c>
      <c r="J3223" s="1634"/>
      <c r="M3223" s="1691">
        <v>8.3999999999999995E-3</v>
      </c>
      <c r="N3223" s="1638" t="s">
        <v>151</v>
      </c>
      <c r="O3223" s="1685" t="s">
        <v>2808</v>
      </c>
      <c r="P3223" s="1640">
        <f>P3190</f>
        <v>107000</v>
      </c>
      <c r="Q3223" s="1628" t="s">
        <v>151</v>
      </c>
      <c r="R3223" s="1640">
        <f t="shared" si="298"/>
        <v>898.8</v>
      </c>
      <c r="W3223" s="1634"/>
    </row>
    <row r="3224" spans="6:23" ht="24" customHeight="1">
      <c r="J3224" s="1634"/>
      <c r="M3224" s="1692"/>
      <c r="N3224" s="1630"/>
      <c r="O3224" s="1627" t="s">
        <v>2825</v>
      </c>
      <c r="P3224" s="1640"/>
      <c r="Q3224" s="1634"/>
      <c r="R3224" s="1640">
        <f t="shared" si="298"/>
        <v>0</v>
      </c>
      <c r="W3224" s="1634"/>
    </row>
    <row r="3225" spans="6:23" ht="24" customHeight="1">
      <c r="F3225" s="1629">
        <v>2.2200000000000002</v>
      </c>
      <c r="G3225" s="1630" t="s">
        <v>325</v>
      </c>
      <c r="H3225" s="1629" t="s">
        <v>321</v>
      </c>
      <c r="I3225" s="1629">
        <f>I3210</f>
        <v>238.9</v>
      </c>
      <c r="J3225" s="1630" t="s">
        <v>325</v>
      </c>
      <c r="K3225" s="1629">
        <f>I3225*F3225</f>
        <v>530.35800000000006</v>
      </c>
      <c r="M3225" s="1692">
        <v>0.94</v>
      </c>
      <c r="N3225" s="1638" t="s">
        <v>152</v>
      </c>
      <c r="O3225" s="1685" t="s">
        <v>5238</v>
      </c>
      <c r="P3225" s="1640">
        <v>562.5</v>
      </c>
      <c r="Q3225" s="1634" t="s">
        <v>152</v>
      </c>
      <c r="R3225" s="1640">
        <f t="shared" si="298"/>
        <v>528.75</v>
      </c>
      <c r="W3225" s="1634"/>
    </row>
    <row r="3226" spans="6:23" ht="24" customHeight="1">
      <c r="F3226" s="1629">
        <v>1.2</v>
      </c>
      <c r="G3226" s="1630" t="s">
        <v>305</v>
      </c>
      <c r="H3226" s="1629" t="s">
        <v>322</v>
      </c>
      <c r="I3226" s="1629">
        <f>I3211</f>
        <v>1058.3999999999999</v>
      </c>
      <c r="J3226" s="1630" t="s">
        <v>305</v>
      </c>
      <c r="K3226" s="1629">
        <f>I3226*F3226</f>
        <v>1270.0799999999997</v>
      </c>
      <c r="M3226" s="1692">
        <v>7.9</v>
      </c>
      <c r="N3226" s="1638" t="s">
        <v>552</v>
      </c>
      <c r="O3226" s="1685" t="s">
        <v>5239</v>
      </c>
      <c r="P3226" s="1640">
        <v>15.45</v>
      </c>
      <c r="Q3226" s="1634" t="s">
        <v>303</v>
      </c>
      <c r="R3226" s="1640">
        <f t="shared" si="298"/>
        <v>122.05500000000001</v>
      </c>
      <c r="W3226" s="1634"/>
    </row>
    <row r="3227" spans="6:23" ht="24" customHeight="1">
      <c r="F3227" s="1629">
        <v>10</v>
      </c>
      <c r="G3227" s="1630" t="s">
        <v>306</v>
      </c>
      <c r="H3227" s="1629" t="s">
        <v>401</v>
      </c>
      <c r="I3227" s="1629">
        <f>I3212</f>
        <v>13.089999999999998</v>
      </c>
      <c r="J3227" s="1630" t="s">
        <v>306</v>
      </c>
      <c r="K3227" s="1629">
        <f>I3227*F3227</f>
        <v>130.89999999999998</v>
      </c>
      <c r="M3227" s="1692">
        <v>3.1219999999999999</v>
      </c>
      <c r="N3227" s="1638" t="s">
        <v>152</v>
      </c>
      <c r="O3227" s="1685" t="s">
        <v>2828</v>
      </c>
      <c r="P3227" s="1640">
        <f>AG58</f>
        <v>1906.8</v>
      </c>
      <c r="Q3227" s="1628" t="s">
        <v>152</v>
      </c>
      <c r="R3227" s="1640">
        <f t="shared" si="298"/>
        <v>5953.0295999999998</v>
      </c>
      <c r="W3227" s="1634"/>
    </row>
    <row r="3228" spans="6:23" ht="24" customHeight="1">
      <c r="H3228" s="1629" t="s">
        <v>307</v>
      </c>
      <c r="I3228" s="1629" t="s">
        <v>287</v>
      </c>
      <c r="J3228" s="1634"/>
      <c r="K3228" s="1629">
        <v>6.65</v>
      </c>
      <c r="M3228" s="1640">
        <v>4</v>
      </c>
      <c r="N3228" s="1638" t="s">
        <v>4</v>
      </c>
      <c r="O3228" s="1627" t="s">
        <v>2829</v>
      </c>
      <c r="P3228" s="1640">
        <f>C598</f>
        <v>57.65</v>
      </c>
      <c r="Q3228" s="1628" t="s">
        <v>153</v>
      </c>
      <c r="R3228" s="1640">
        <f t="shared" si="298"/>
        <v>230.6</v>
      </c>
      <c r="W3228" s="1634"/>
    </row>
    <row r="3229" spans="6:23" ht="24" customHeight="1">
      <c r="H3229" s="1629" t="s">
        <v>238</v>
      </c>
      <c r="J3229" s="1634"/>
      <c r="K3229" s="1629">
        <f>SUM(K3225:K3228)</f>
        <v>1937.9879999999998</v>
      </c>
      <c r="M3229" s="1640">
        <v>8</v>
      </c>
      <c r="N3229" s="1638" t="s">
        <v>153</v>
      </c>
      <c r="O3229" s="1627" t="s">
        <v>2830</v>
      </c>
      <c r="P3229" s="1640">
        <f>C279</f>
        <v>89.6</v>
      </c>
      <c r="Q3229" s="1628" t="s">
        <v>153</v>
      </c>
      <c r="R3229" s="1640">
        <f t="shared" si="298"/>
        <v>716.8</v>
      </c>
      <c r="W3229" s="1634"/>
    </row>
    <row r="3230" spans="6:23" ht="24" customHeight="1">
      <c r="J3230" s="1634"/>
      <c r="M3230" s="1640">
        <v>4</v>
      </c>
      <c r="N3230" s="1638" t="s">
        <v>153</v>
      </c>
      <c r="O3230" s="1627" t="s">
        <v>2831</v>
      </c>
      <c r="P3230" s="1640">
        <f>P3195</f>
        <v>97.85</v>
      </c>
      <c r="Q3230" s="1628" t="s">
        <v>153</v>
      </c>
      <c r="R3230" s="1640">
        <f t="shared" si="298"/>
        <v>391.4</v>
      </c>
      <c r="W3230" s="1634"/>
    </row>
    <row r="3231" spans="6:23" ht="24" customHeight="1">
      <c r="H3231" s="1629" t="s">
        <v>155</v>
      </c>
      <c r="J3231" s="1634"/>
      <c r="K3231" s="1629">
        <f>K3229/10</f>
        <v>193.79879999999997</v>
      </c>
      <c r="M3231" s="1640">
        <v>1</v>
      </c>
      <c r="N3231" s="1638" t="s">
        <v>153</v>
      </c>
      <c r="O3231" s="1627" t="s">
        <v>2832</v>
      </c>
      <c r="P3231" s="1640">
        <f>P3196</f>
        <v>209.9</v>
      </c>
      <c r="Q3231" s="1628" t="s">
        <v>153</v>
      </c>
      <c r="R3231" s="1640">
        <f t="shared" si="298"/>
        <v>209.9</v>
      </c>
      <c r="W3231" s="1634"/>
    </row>
    <row r="3232" spans="6:23" ht="24" customHeight="1">
      <c r="J3232" s="1634"/>
      <c r="L3232" s="1629">
        <f>K3266</f>
        <v>284.40000000000003</v>
      </c>
      <c r="M3232" s="1640">
        <v>2</v>
      </c>
      <c r="N3232" s="1638" t="s">
        <v>153</v>
      </c>
      <c r="O3232" s="1627" t="s">
        <v>2833</v>
      </c>
      <c r="P3232" s="1640">
        <f>P3197</f>
        <v>23.1</v>
      </c>
      <c r="Q3232" s="1628" t="s">
        <v>153</v>
      </c>
      <c r="R3232" s="1640">
        <f t="shared" si="298"/>
        <v>46.2</v>
      </c>
      <c r="W3232" s="1634"/>
    </row>
    <row r="3233" spans="6:25" ht="24" customHeight="1">
      <c r="J3233" s="1634"/>
      <c r="L3233" s="1629">
        <f>K3267</f>
        <v>264.59999999999997</v>
      </c>
      <c r="M3233" s="1640">
        <v>2</v>
      </c>
      <c r="N3233" s="1638" t="s">
        <v>153</v>
      </c>
      <c r="O3233" s="1627" t="s">
        <v>2834</v>
      </c>
      <c r="P3233" s="1640">
        <f>P3198</f>
        <v>49.55</v>
      </c>
      <c r="Q3233" s="1628" t="s">
        <v>153</v>
      </c>
      <c r="R3233" s="1640">
        <f t="shared" si="298"/>
        <v>99.1</v>
      </c>
      <c r="W3233" s="1634"/>
    </row>
    <row r="3234" spans="6:25" ht="24" customHeight="1">
      <c r="J3234" s="1634"/>
      <c r="L3234" s="1629">
        <f>K3268</f>
        <v>216.29999999999998</v>
      </c>
      <c r="M3234" s="1640">
        <v>118</v>
      </c>
      <c r="N3234" s="1638" t="s">
        <v>153</v>
      </c>
      <c r="O3234" s="1629" t="s">
        <v>2768</v>
      </c>
      <c r="P3234" s="1629">
        <f>P3199</f>
        <v>2.41</v>
      </c>
      <c r="Q3234" s="1628" t="s">
        <v>153</v>
      </c>
      <c r="R3234" s="1640">
        <f t="shared" si="298"/>
        <v>284.38</v>
      </c>
      <c r="W3234" s="1634"/>
    </row>
    <row r="3235" spans="6:25" ht="24" customHeight="1">
      <c r="J3235" s="1634"/>
      <c r="L3235" s="1629">
        <f>K3269</f>
        <v>283.92</v>
      </c>
      <c r="N3235" s="1630"/>
      <c r="Q3235" s="1634"/>
      <c r="R3235" s="1636" t="s">
        <v>21</v>
      </c>
      <c r="W3235" s="1634"/>
    </row>
    <row r="3236" spans="6:25" ht="24" customHeight="1">
      <c r="J3236" s="1634"/>
      <c r="L3236" s="1629">
        <f>K3270</f>
        <v>1.65</v>
      </c>
      <c r="N3236" s="1630"/>
      <c r="O3236" s="1627" t="s">
        <v>2817</v>
      </c>
      <c r="Q3236" s="1634"/>
      <c r="R3236" s="1640">
        <f>SUM(R3221:R3234)</f>
        <v>18555.4686</v>
      </c>
      <c r="W3236" s="1634"/>
    </row>
    <row r="3237" spans="6:25" ht="24" customHeight="1">
      <c r="H3237" s="1629" t="s">
        <v>400</v>
      </c>
      <c r="J3237" s="1634"/>
      <c r="N3237" s="1630"/>
      <c r="Q3237" s="1634"/>
      <c r="R3237" s="1636" t="s">
        <v>21</v>
      </c>
      <c r="W3237" s="1634"/>
    </row>
    <row r="3238" spans="6:25" ht="24" customHeight="1">
      <c r="H3238" s="1629" t="s">
        <v>318</v>
      </c>
      <c r="J3238" s="1634"/>
      <c r="N3238" s="1630"/>
      <c r="O3238" s="1631" t="s">
        <v>155</v>
      </c>
      <c r="Q3238" s="1735" t="s">
        <v>2597</v>
      </c>
      <c r="R3238" s="1639">
        <f>R3236/M3227</f>
        <v>5943.4556694426656</v>
      </c>
      <c r="W3238" s="1634"/>
    </row>
    <row r="3239" spans="6:25" ht="24" customHeight="1">
      <c r="H3239" s="1629" t="s">
        <v>319</v>
      </c>
      <c r="J3239" s="1634"/>
      <c r="L3239" s="1629">
        <f>SUM(L3232:L3238)</f>
        <v>1050.8700000000001</v>
      </c>
      <c r="M3239" s="1628"/>
      <c r="N3239" s="1638" t="s">
        <v>249</v>
      </c>
      <c r="O3239" s="1627" t="s">
        <v>2796</v>
      </c>
      <c r="Q3239" s="1634"/>
      <c r="W3239" s="1634"/>
    </row>
    <row r="3240" spans="6:25" ht="24" customHeight="1">
      <c r="J3240" s="1634"/>
      <c r="N3240" s="1630"/>
      <c r="O3240" s="1627" t="s">
        <v>1695</v>
      </c>
      <c r="Q3240" s="1634"/>
      <c r="W3240" s="1634"/>
    </row>
    <row r="3241" spans="6:25" ht="24" customHeight="1">
      <c r="F3241" s="1629">
        <v>1.89</v>
      </c>
      <c r="G3241" s="1630" t="s">
        <v>325</v>
      </c>
      <c r="H3241" s="1629" t="s">
        <v>321</v>
      </c>
      <c r="I3241" s="1629">
        <f>I3196</f>
        <v>227.6</v>
      </c>
      <c r="J3241" s="1630" t="s">
        <v>325</v>
      </c>
      <c r="K3241" s="1629">
        <f>I3241*F3241</f>
        <v>430.16399999999999</v>
      </c>
      <c r="L3241" s="1629">
        <f>L3239/10</f>
        <v>105.08700000000002</v>
      </c>
      <c r="N3241" s="1630"/>
      <c r="O3241" s="1631" t="s">
        <v>2835</v>
      </c>
      <c r="Q3241" s="1634"/>
      <c r="W3241" s="1634"/>
    </row>
    <row r="3242" spans="6:25" ht="24" customHeight="1">
      <c r="F3242" s="1629">
        <v>1.1000000000000001</v>
      </c>
      <c r="G3242" s="1630" t="s">
        <v>305</v>
      </c>
      <c r="H3242" s="1629" t="s">
        <v>322</v>
      </c>
      <c r="I3242" s="1629">
        <f>I3197</f>
        <v>1058.3999999999999</v>
      </c>
      <c r="J3242" s="1630" t="s">
        <v>305</v>
      </c>
      <c r="K3242" s="1629">
        <f>I3242*F3242</f>
        <v>1164.24</v>
      </c>
      <c r="N3242" s="1630"/>
      <c r="O3242" s="1636" t="s">
        <v>21</v>
      </c>
      <c r="Q3242" s="1634"/>
      <c r="W3242" s="1634"/>
    </row>
    <row r="3243" spans="6:25" ht="24" customHeight="1">
      <c r="F3243" s="1629">
        <v>10</v>
      </c>
      <c r="G3243" s="1630" t="s">
        <v>306</v>
      </c>
      <c r="H3243" s="1627" t="s">
        <v>401</v>
      </c>
      <c r="I3243" s="1629">
        <f>I3198</f>
        <v>12.11</v>
      </c>
      <c r="J3243" s="1630" t="s">
        <v>306</v>
      </c>
      <c r="K3243" s="1629">
        <f>I3243*F3243</f>
        <v>121.1</v>
      </c>
      <c r="N3243" s="1630"/>
      <c r="O3243" s="1627" t="s">
        <v>2836</v>
      </c>
      <c r="P3243" s="1694" t="s">
        <v>156</v>
      </c>
      <c r="Q3243" s="1725">
        <v>2.4279999999999999</v>
      </c>
      <c r="R3243" s="1629" t="s">
        <v>306</v>
      </c>
      <c r="W3243" s="1634"/>
    </row>
    <row r="3244" spans="6:25" ht="30" customHeight="1">
      <c r="H3244" s="1627" t="s">
        <v>307</v>
      </c>
      <c r="I3244" s="1629" t="s">
        <v>287</v>
      </c>
      <c r="J3244" s="1634"/>
      <c r="K3244" s="1629">
        <v>1.9</v>
      </c>
      <c r="N3244" s="1630"/>
      <c r="O3244" s="1627"/>
      <c r="P3244" s="1694"/>
      <c r="Q3244" s="1725"/>
      <c r="W3244" s="1634"/>
    </row>
    <row r="3245" spans="6:25" ht="30" customHeight="1">
      <c r="H3245" s="1629" t="s">
        <v>238</v>
      </c>
      <c r="J3245" s="1634"/>
      <c r="K3245" s="1629">
        <f>SUM(K3241:K3244)</f>
        <v>1717.404</v>
      </c>
      <c r="N3245" s="1630"/>
      <c r="O3245" s="1627" t="s">
        <v>5711</v>
      </c>
      <c r="P3245" s="1694" t="s">
        <v>156</v>
      </c>
      <c r="Q3245" s="1809">
        <v>5.1999999999999998E-2</v>
      </c>
      <c r="R3245" s="1629" t="s">
        <v>313</v>
      </c>
      <c r="T3245" s="1661" t="s">
        <v>2837</v>
      </c>
      <c r="W3245" s="1634"/>
    </row>
    <row r="3246" spans="6:25" ht="30" customHeight="1">
      <c r="J3246" s="1634"/>
      <c r="N3246" s="1630"/>
      <c r="O3246" s="1627" t="s">
        <v>2801</v>
      </c>
      <c r="Q3246" s="1694"/>
      <c r="T3246" s="1661" t="s">
        <v>2838</v>
      </c>
      <c r="W3246" s="1634"/>
    </row>
    <row r="3247" spans="6:25" ht="30" customHeight="1">
      <c r="H3247" s="1629" t="s">
        <v>155</v>
      </c>
      <c r="J3247" s="1634"/>
      <c r="K3247" s="1629">
        <f>K3245/10</f>
        <v>171.74039999999999</v>
      </c>
      <c r="N3247" s="1630"/>
      <c r="O3247" s="1627" t="s">
        <v>2839</v>
      </c>
      <c r="P3247" s="1694" t="s">
        <v>156</v>
      </c>
      <c r="Q3247" s="1851">
        <v>1.7718999999999999E-2</v>
      </c>
      <c r="S3247" s="1785">
        <v>6.3E-2</v>
      </c>
      <c r="T3247" s="1688" t="s">
        <v>151</v>
      </c>
      <c r="U3247" s="1661" t="s">
        <v>1796</v>
      </c>
      <c r="V3247" s="1661">
        <f>P3291</f>
        <v>111600</v>
      </c>
      <c r="W3247" s="1677" t="s">
        <v>151</v>
      </c>
      <c r="X3247" s="1661">
        <f>V3247*S3247</f>
        <v>7030.8</v>
      </c>
      <c r="Y3247" s="1661"/>
    </row>
    <row r="3248" spans="6:25" ht="30" customHeight="1">
      <c r="G3248" s="1629"/>
      <c r="J3248" s="1629"/>
      <c r="N3248" s="1630"/>
      <c r="O3248" s="1627" t="s">
        <v>2840</v>
      </c>
      <c r="P3248" s="1694" t="s">
        <v>156</v>
      </c>
      <c r="Q3248" s="1851">
        <v>7.8750000000000001E-3</v>
      </c>
      <c r="R3248" s="1691"/>
      <c r="S3248" s="1785">
        <v>4.8000000000000001E-2</v>
      </c>
      <c r="T3248" s="1688" t="s">
        <v>151</v>
      </c>
      <c r="U3248" s="1661" t="s">
        <v>2841</v>
      </c>
      <c r="V3248" s="1661">
        <f>I3280</f>
        <v>99400</v>
      </c>
      <c r="W3248" s="1677" t="s">
        <v>151</v>
      </c>
      <c r="X3248" s="1661">
        <f>V3248*S3248</f>
        <v>4771.2</v>
      </c>
      <c r="Y3248" s="1661"/>
    </row>
    <row r="3249" spans="6:25" ht="30" customHeight="1">
      <c r="G3249" s="1629"/>
      <c r="H3249" s="1627" t="s">
        <v>1849</v>
      </c>
      <c r="J3249" s="1629"/>
      <c r="N3249" s="1630"/>
      <c r="Q3249" s="1636" t="s">
        <v>21</v>
      </c>
      <c r="S3249" s="1785">
        <v>1.54</v>
      </c>
      <c r="T3249" s="1688" t="s">
        <v>152</v>
      </c>
      <c r="U3249" s="1661" t="s">
        <v>2842</v>
      </c>
      <c r="V3249" s="1661">
        <f t="shared" ref="V3249:V3258" si="299">I3281</f>
        <v>2152</v>
      </c>
      <c r="W3249" s="1677" t="s">
        <v>306</v>
      </c>
      <c r="X3249" s="1661">
        <f t="shared" ref="X3249:X3258" si="300">V3249*S3249</f>
        <v>3314.08</v>
      </c>
      <c r="Y3249" s="1661"/>
    </row>
    <row r="3250" spans="6:25" ht="30" customHeight="1">
      <c r="G3250" s="1629"/>
      <c r="H3250" s="1627" t="s">
        <v>2843</v>
      </c>
      <c r="J3250" s="1629"/>
      <c r="N3250" s="1630"/>
      <c r="Q3250" s="1846">
        <v>2.5590000000000002E-2</v>
      </c>
      <c r="R3250" s="1629" t="s">
        <v>313</v>
      </c>
      <c r="S3250" s="1785">
        <v>3.9E-2</v>
      </c>
      <c r="T3250" s="1688" t="s">
        <v>151</v>
      </c>
      <c r="U3250" s="1705" t="s">
        <v>1798</v>
      </c>
      <c r="V3250" s="1661">
        <f t="shared" si="299"/>
        <v>95000</v>
      </c>
      <c r="W3250" s="1677" t="s">
        <v>151</v>
      </c>
      <c r="X3250" s="1661">
        <f t="shared" si="300"/>
        <v>3705</v>
      </c>
      <c r="Y3250" s="1661"/>
    </row>
    <row r="3251" spans="6:25" ht="30" customHeight="1">
      <c r="G3251" s="1629"/>
      <c r="J3251" s="1629"/>
      <c r="N3251" s="1630"/>
      <c r="Q3251" s="1636" t="s">
        <v>21</v>
      </c>
      <c r="S3251" s="1785">
        <v>3.488</v>
      </c>
      <c r="T3251" s="1688" t="s">
        <v>152</v>
      </c>
      <c r="U3251" s="1705" t="s">
        <v>1799</v>
      </c>
      <c r="V3251" s="1661">
        <f t="shared" si="299"/>
        <v>2039.8</v>
      </c>
      <c r="W3251" s="1677" t="s">
        <v>152</v>
      </c>
      <c r="X3251" s="1661">
        <f t="shared" si="300"/>
        <v>7114.8224</v>
      </c>
      <c r="Y3251" s="1661"/>
    </row>
    <row r="3252" spans="6:25" ht="30" customHeight="1">
      <c r="F3252" s="1640">
        <v>0.22</v>
      </c>
      <c r="G3252" s="1638" t="s">
        <v>151</v>
      </c>
      <c r="H3252" s="1627" t="s">
        <v>259</v>
      </c>
      <c r="I3252" s="1640">
        <f>K49</f>
        <v>4159.0200000000004</v>
      </c>
      <c r="J3252" s="1628" t="s">
        <v>151</v>
      </c>
      <c r="K3252" s="1640">
        <f>(F3252*I3252)</f>
        <v>914.98440000000005</v>
      </c>
      <c r="N3252" s="1630"/>
      <c r="O3252" s="1627" t="s">
        <v>2844</v>
      </c>
      <c r="Q3252" s="1847">
        <v>1.0999999999999999E-2</v>
      </c>
      <c r="R3252" s="1691"/>
      <c r="S3252" s="1785">
        <v>6</v>
      </c>
      <c r="T3252" s="1688" t="s">
        <v>295</v>
      </c>
      <c r="U3252" s="1661" t="s">
        <v>2845</v>
      </c>
      <c r="V3252" s="1661">
        <f t="shared" si="299"/>
        <v>214.1</v>
      </c>
      <c r="W3252" s="1677" t="s">
        <v>340</v>
      </c>
      <c r="X3252" s="1661">
        <f t="shared" si="300"/>
        <v>1284.5999999999999</v>
      </c>
      <c r="Y3252" s="1661"/>
    </row>
    <row r="3253" spans="6:25" ht="30" customHeight="1">
      <c r="F3253" s="1640">
        <v>2.2000000000000002</v>
      </c>
      <c r="G3253" s="1638" t="s">
        <v>4</v>
      </c>
      <c r="H3253" s="1627" t="s">
        <v>269</v>
      </c>
      <c r="I3253" s="1640">
        <f>AG9</f>
        <v>1325.8</v>
      </c>
      <c r="J3253" s="1628" t="s">
        <v>4</v>
      </c>
      <c r="K3253" s="1640">
        <f>(F3253*I3253)</f>
        <v>2916.76</v>
      </c>
      <c r="N3253" s="1630"/>
      <c r="O3253" s="1627" t="s">
        <v>2846</v>
      </c>
      <c r="Q3253" s="1848">
        <v>5.3E-3</v>
      </c>
      <c r="R3253" s="1691"/>
      <c r="S3253" s="1785">
        <v>1</v>
      </c>
      <c r="T3253" s="1688" t="s">
        <v>295</v>
      </c>
      <c r="U3253" s="1661" t="s">
        <v>2847</v>
      </c>
      <c r="V3253" s="1661">
        <f t="shared" si="299"/>
        <v>1020</v>
      </c>
      <c r="W3253" s="1677" t="s">
        <v>340</v>
      </c>
      <c r="X3253" s="1661">
        <f t="shared" si="300"/>
        <v>1020</v>
      </c>
      <c r="Y3253" s="1661"/>
    </row>
    <row r="3254" spans="6:25" ht="30" customHeight="1">
      <c r="F3254" s="1640">
        <v>0.5</v>
      </c>
      <c r="G3254" s="1638" t="s">
        <v>4</v>
      </c>
      <c r="H3254" s="1627" t="s">
        <v>1851</v>
      </c>
      <c r="I3254" s="1640">
        <f>I3183</f>
        <v>865.19999999999993</v>
      </c>
      <c r="J3254" s="1628" t="s">
        <v>4</v>
      </c>
      <c r="K3254" s="1640">
        <f>(F3254*I3254)</f>
        <v>432.59999999999997</v>
      </c>
      <c r="N3254" s="1630"/>
      <c r="O3254" s="1627"/>
      <c r="Q3254" s="1636" t="s">
        <v>21</v>
      </c>
      <c r="R3254" s="1691"/>
      <c r="S3254" s="1785">
        <v>2</v>
      </c>
      <c r="T3254" s="1688" t="s">
        <v>295</v>
      </c>
      <c r="U3254" s="1661" t="s">
        <v>2848</v>
      </c>
      <c r="V3254" s="1661">
        <f t="shared" si="299"/>
        <v>540</v>
      </c>
      <c r="W3254" s="1677" t="s">
        <v>340</v>
      </c>
      <c r="X3254" s="1661">
        <f t="shared" si="300"/>
        <v>1080</v>
      </c>
      <c r="Y3254" s="1661"/>
    </row>
    <row r="3255" spans="6:25" ht="30" customHeight="1">
      <c r="F3255" s="1640">
        <v>3.2</v>
      </c>
      <c r="G3255" s="1638" t="s">
        <v>4</v>
      </c>
      <c r="H3255" s="1627" t="s">
        <v>236</v>
      </c>
      <c r="I3255" s="1640">
        <f>I3184</f>
        <v>709.8</v>
      </c>
      <c r="J3255" s="1628" t="s">
        <v>4</v>
      </c>
      <c r="K3255" s="1640">
        <f>(F3255*I3255)</f>
        <v>2271.36</v>
      </c>
      <c r="N3255" s="1630"/>
      <c r="O3255" s="1627"/>
      <c r="Q3255" s="1849">
        <v>1.6299999999999999E-2</v>
      </c>
      <c r="R3255" s="1691" t="s">
        <v>313</v>
      </c>
      <c r="S3255" s="1785">
        <v>2</v>
      </c>
      <c r="T3255" s="1688" t="s">
        <v>295</v>
      </c>
      <c r="U3255" s="1661" t="s">
        <v>2849</v>
      </c>
      <c r="V3255" s="1661">
        <f t="shared" si="299"/>
        <v>764</v>
      </c>
      <c r="W3255" s="1677" t="s">
        <v>340</v>
      </c>
      <c r="X3255" s="1661">
        <f t="shared" si="300"/>
        <v>1528</v>
      </c>
      <c r="Y3255" s="1661"/>
    </row>
    <row r="3256" spans="6:25" ht="30" customHeight="1">
      <c r="F3256" s="1640">
        <v>10</v>
      </c>
      <c r="G3256" s="1638" t="s">
        <v>533</v>
      </c>
      <c r="H3256" s="1839" t="s">
        <v>5240</v>
      </c>
      <c r="I3256" s="1656">
        <f>AG56</f>
        <v>13.579999999999998</v>
      </c>
      <c r="J3256" s="1628" t="s">
        <v>533</v>
      </c>
      <c r="K3256" s="1640">
        <f>(F3256*I3256)</f>
        <v>135.79999999999998</v>
      </c>
      <c r="N3256" s="1630"/>
      <c r="Q3256" s="1636" t="s">
        <v>21</v>
      </c>
      <c r="R3256" s="1636"/>
      <c r="S3256" s="1785">
        <v>1</v>
      </c>
      <c r="T3256" s="1688" t="s">
        <v>295</v>
      </c>
      <c r="U3256" s="1661" t="s">
        <v>2851</v>
      </c>
      <c r="V3256" s="1661">
        <f t="shared" si="299"/>
        <v>985</v>
      </c>
      <c r="W3256" s="1677" t="s">
        <v>340</v>
      </c>
      <c r="X3256" s="1661">
        <f t="shared" si="300"/>
        <v>985</v>
      </c>
      <c r="Y3256" s="1661"/>
    </row>
    <row r="3257" spans="6:25" ht="39.75" customHeight="1">
      <c r="J3257" s="1634"/>
      <c r="K3257" s="1636" t="s">
        <v>21</v>
      </c>
      <c r="M3257" s="1691">
        <v>5.1999999999999998E-2</v>
      </c>
      <c r="N3257" s="1638" t="s">
        <v>151</v>
      </c>
      <c r="O3257" s="1627" t="s">
        <v>1710</v>
      </c>
      <c r="P3257" s="1640">
        <f>P3188</f>
        <v>111600</v>
      </c>
      <c r="Q3257" s="1628" t="s">
        <v>151</v>
      </c>
      <c r="R3257" s="1640">
        <f>P3257*M3257</f>
        <v>5803.2</v>
      </c>
      <c r="S3257" s="1785">
        <v>2</v>
      </c>
      <c r="T3257" s="1688" t="s">
        <v>295</v>
      </c>
      <c r="U3257" s="1661" t="s">
        <v>2852</v>
      </c>
      <c r="V3257" s="1661">
        <f t="shared" si="299"/>
        <v>450</v>
      </c>
      <c r="W3257" s="1677" t="s">
        <v>340</v>
      </c>
      <c r="X3257" s="1661">
        <f t="shared" si="300"/>
        <v>900</v>
      </c>
      <c r="Y3257" s="1661"/>
    </row>
    <row r="3258" spans="6:25" ht="30" customHeight="1">
      <c r="H3258" s="1627" t="s">
        <v>238</v>
      </c>
      <c r="J3258" s="1634"/>
      <c r="K3258" s="1640">
        <f>SUM(K3252:K3257)</f>
        <v>6671.5044000000007</v>
      </c>
      <c r="M3258" s="1691">
        <v>2.5590000000000002E-2</v>
      </c>
      <c r="N3258" s="1638" t="s">
        <v>151</v>
      </c>
      <c r="O3258" s="1627" t="s">
        <v>1711</v>
      </c>
      <c r="P3258" s="1640">
        <f>P3189</f>
        <v>99400</v>
      </c>
      <c r="Q3258" s="1628" t="s">
        <v>151</v>
      </c>
      <c r="R3258" s="1640">
        <f t="shared" ref="R3258:R3268" si="301">P3258*M3258</f>
        <v>2543.6460000000002</v>
      </c>
      <c r="S3258" s="1785">
        <v>0</v>
      </c>
      <c r="T3258" s="1688" t="s">
        <v>154</v>
      </c>
      <c r="U3258" s="1661" t="s">
        <v>5712</v>
      </c>
      <c r="V3258" s="1661">
        <f t="shared" si="299"/>
        <v>2.41</v>
      </c>
      <c r="W3258" s="1677" t="s">
        <v>340</v>
      </c>
      <c r="X3258" s="1827">
        <f t="shared" si="300"/>
        <v>0</v>
      </c>
      <c r="Y3258" s="1827"/>
    </row>
    <row r="3259" spans="6:25" ht="30" customHeight="1">
      <c r="J3259" s="1634"/>
      <c r="K3259" s="1636" t="s">
        <v>21</v>
      </c>
      <c r="M3259" s="1691">
        <v>1.6299999999999999E-2</v>
      </c>
      <c r="N3259" s="1638" t="s">
        <v>151</v>
      </c>
      <c r="O3259" s="1685" t="s">
        <v>2854</v>
      </c>
      <c r="P3259" s="1640">
        <f>AE28</f>
        <v>95000</v>
      </c>
      <c r="Q3259" s="1628" t="s">
        <v>151</v>
      </c>
      <c r="R3259" s="1640">
        <f t="shared" si="301"/>
        <v>1548.4999999999998</v>
      </c>
      <c r="S3259" s="1785"/>
      <c r="T3259" s="1688"/>
      <c r="U3259" s="1661" t="s">
        <v>2855</v>
      </c>
      <c r="V3259" s="1661"/>
      <c r="W3259" s="1677"/>
      <c r="X3259" s="1661">
        <f>SUM(X3247:X3258)</f>
        <v>32733.502400000001</v>
      </c>
      <c r="Y3259" s="1661"/>
    </row>
    <row r="3260" spans="6:25" ht="30" customHeight="1">
      <c r="H3260" s="1627" t="s">
        <v>155</v>
      </c>
      <c r="J3260" s="1634"/>
      <c r="K3260" s="1640">
        <f>(K3258/10)</f>
        <v>667.15044000000012</v>
      </c>
      <c r="M3260" s="1692"/>
      <c r="N3260" s="1630"/>
      <c r="O3260" s="1627" t="s">
        <v>1785</v>
      </c>
      <c r="P3260" s="1640"/>
      <c r="Q3260" s="1634"/>
      <c r="R3260" s="1640">
        <f t="shared" si="301"/>
        <v>0</v>
      </c>
      <c r="S3260" s="1785"/>
      <c r="T3260" s="1688"/>
      <c r="U3260" s="1661"/>
      <c r="V3260" s="1661"/>
      <c r="W3260" s="1677"/>
      <c r="X3260" s="1827" t="s">
        <v>1810</v>
      </c>
      <c r="Y3260" s="1827"/>
    </row>
    <row r="3261" spans="6:25" ht="30" customHeight="1">
      <c r="J3261" s="1634"/>
      <c r="K3261" s="1636" t="s">
        <v>156</v>
      </c>
      <c r="M3261" s="1692">
        <v>2.4279999999999999</v>
      </c>
      <c r="N3261" s="1638" t="s">
        <v>152</v>
      </c>
      <c r="O3261" s="1627" t="s">
        <v>1708</v>
      </c>
      <c r="P3261" s="1640">
        <f t="shared" ref="P3261:P3267" si="302">P3192</f>
        <v>2039.8</v>
      </c>
      <c r="Q3261" s="1628" t="s">
        <v>152</v>
      </c>
      <c r="R3261" s="1640">
        <f t="shared" si="301"/>
        <v>4952.6343999999999</v>
      </c>
      <c r="S3261" s="1785"/>
      <c r="T3261" s="1688"/>
      <c r="U3261" s="1661" t="s">
        <v>2856</v>
      </c>
      <c r="V3261" s="1661"/>
      <c r="W3261" s="1677"/>
      <c r="X3261" s="1661">
        <f>X3259/S3251</f>
        <v>9384.6050458715599</v>
      </c>
      <c r="Y3261" s="1661"/>
    </row>
    <row r="3262" spans="6:25" ht="24" customHeight="1">
      <c r="G3262" s="1629"/>
      <c r="J3262" s="1629"/>
      <c r="K3262" s="1629">
        <f>54000+7000</f>
        <v>61000</v>
      </c>
      <c r="M3262" s="1640">
        <v>4</v>
      </c>
      <c r="N3262" s="1638" t="s">
        <v>4</v>
      </c>
      <c r="O3262" s="1627" t="s">
        <v>2811</v>
      </c>
      <c r="P3262" s="1640">
        <f>P3228</f>
        <v>57.65</v>
      </c>
      <c r="Q3262" s="1628" t="s">
        <v>153</v>
      </c>
      <c r="R3262" s="1640">
        <f t="shared" si="301"/>
        <v>230.6</v>
      </c>
      <c r="S3262" s="1785"/>
      <c r="T3262" s="1688"/>
      <c r="U3262" s="1661"/>
      <c r="V3262" s="1661"/>
      <c r="W3262" s="1677"/>
      <c r="X3262" s="1827" t="s">
        <v>1810</v>
      </c>
      <c r="Y3262" s="1827"/>
    </row>
    <row r="3263" spans="6:25" ht="24" customHeight="1">
      <c r="G3263" s="1629"/>
      <c r="J3263" s="1629"/>
      <c r="M3263" s="1640">
        <v>8</v>
      </c>
      <c r="N3263" s="1638" t="s">
        <v>153</v>
      </c>
      <c r="O3263" s="1627" t="s">
        <v>391</v>
      </c>
      <c r="P3263" s="1640">
        <f>P3229</f>
        <v>89.6</v>
      </c>
      <c r="Q3263" s="1628" t="s">
        <v>153</v>
      </c>
      <c r="R3263" s="1640">
        <f t="shared" si="301"/>
        <v>716.8</v>
      </c>
      <c r="W3263" s="1634"/>
    </row>
    <row r="3264" spans="6:25" ht="24" customHeight="1">
      <c r="F3264" s="1628" t="s">
        <v>2020</v>
      </c>
      <c r="G3264" s="1638" t="s">
        <v>249</v>
      </c>
      <c r="H3264" s="1628" t="s">
        <v>2857</v>
      </c>
      <c r="J3264" s="1634"/>
      <c r="M3264" s="1640">
        <v>4</v>
      </c>
      <c r="N3264" s="1638" t="s">
        <v>153</v>
      </c>
      <c r="O3264" s="1627" t="s">
        <v>2831</v>
      </c>
      <c r="P3264" s="1640">
        <f t="shared" si="302"/>
        <v>97.85</v>
      </c>
      <c r="Q3264" s="1628" t="s">
        <v>153</v>
      </c>
      <c r="R3264" s="1640">
        <f t="shared" si="301"/>
        <v>391.4</v>
      </c>
      <c r="W3264" s="1634"/>
    </row>
    <row r="3265" spans="6:23" ht="24" customHeight="1">
      <c r="H3265" s="1628" t="s">
        <v>1024</v>
      </c>
      <c r="J3265" s="1634"/>
      <c r="M3265" s="1640">
        <v>1</v>
      </c>
      <c r="N3265" s="1638" t="s">
        <v>153</v>
      </c>
      <c r="O3265" s="1627" t="s">
        <v>2832</v>
      </c>
      <c r="P3265" s="1640">
        <f t="shared" si="302"/>
        <v>209.9</v>
      </c>
      <c r="Q3265" s="1628" t="s">
        <v>153</v>
      </c>
      <c r="R3265" s="1640">
        <f t="shared" si="301"/>
        <v>209.9</v>
      </c>
      <c r="W3265" s="1634"/>
    </row>
    <row r="3266" spans="6:23" ht="24" customHeight="1">
      <c r="F3266" s="1640">
        <v>1.8</v>
      </c>
      <c r="G3266" s="1638" t="s">
        <v>2023</v>
      </c>
      <c r="H3266" s="1627" t="s">
        <v>2024</v>
      </c>
      <c r="I3266" s="1640">
        <f>E271</f>
        <v>158</v>
      </c>
      <c r="J3266" s="1628" t="s">
        <v>2023</v>
      </c>
      <c r="K3266" s="1640">
        <f>(F3266*I3266)</f>
        <v>284.40000000000003</v>
      </c>
      <c r="M3266" s="1640">
        <v>2</v>
      </c>
      <c r="N3266" s="1638" t="s">
        <v>153</v>
      </c>
      <c r="O3266" s="1627" t="s">
        <v>2833</v>
      </c>
      <c r="P3266" s="1640">
        <f t="shared" si="302"/>
        <v>23.1</v>
      </c>
      <c r="Q3266" s="1628" t="s">
        <v>153</v>
      </c>
      <c r="R3266" s="1640">
        <f t="shared" si="301"/>
        <v>46.2</v>
      </c>
      <c r="W3266" s="1634"/>
    </row>
    <row r="3267" spans="6:23" ht="24" customHeight="1">
      <c r="F3267" s="1640">
        <v>0.25</v>
      </c>
      <c r="G3267" s="1638" t="s">
        <v>345</v>
      </c>
      <c r="H3267" s="1627" t="s">
        <v>2025</v>
      </c>
      <c r="I3267" s="1640">
        <f>I3242</f>
        <v>1058.3999999999999</v>
      </c>
      <c r="J3267" s="1628" t="s">
        <v>345</v>
      </c>
      <c r="K3267" s="1640">
        <f>(F3267*I3267)</f>
        <v>264.59999999999997</v>
      </c>
      <c r="M3267" s="1640">
        <v>2</v>
      </c>
      <c r="N3267" s="1638" t="s">
        <v>153</v>
      </c>
      <c r="O3267" s="1627" t="s">
        <v>2834</v>
      </c>
      <c r="P3267" s="1640">
        <f t="shared" si="302"/>
        <v>49.55</v>
      </c>
      <c r="Q3267" s="1628" t="s">
        <v>153</v>
      </c>
      <c r="R3267" s="1640">
        <f t="shared" si="301"/>
        <v>99.1</v>
      </c>
      <c r="W3267" s="1634"/>
    </row>
    <row r="3268" spans="6:23" ht="24" customHeight="1">
      <c r="F3268" s="1640">
        <v>0.25</v>
      </c>
      <c r="G3268" s="1638" t="s">
        <v>345</v>
      </c>
      <c r="H3268" s="1627" t="s">
        <v>1198</v>
      </c>
      <c r="I3268" s="1640">
        <f>I3183</f>
        <v>865.19999999999993</v>
      </c>
      <c r="J3268" s="1628" t="s">
        <v>345</v>
      </c>
      <c r="K3268" s="1640">
        <f>(F3268*I3268)</f>
        <v>216.29999999999998</v>
      </c>
      <c r="M3268" s="1629">
        <v>118</v>
      </c>
      <c r="N3268" s="1638" t="s">
        <v>153</v>
      </c>
      <c r="O3268" s="1629" t="s">
        <v>2768</v>
      </c>
      <c r="P3268" s="1629">
        <f>P3234</f>
        <v>2.41</v>
      </c>
      <c r="Q3268" s="1634"/>
      <c r="R3268" s="1640">
        <f t="shared" si="301"/>
        <v>284.38</v>
      </c>
      <c r="W3268" s="1634"/>
    </row>
    <row r="3269" spans="6:23" ht="24" customHeight="1">
      <c r="F3269" s="1640">
        <v>0.4</v>
      </c>
      <c r="G3269" s="1638" t="s">
        <v>345</v>
      </c>
      <c r="H3269" s="1627" t="s">
        <v>2026</v>
      </c>
      <c r="I3269" s="1640">
        <f>I3184</f>
        <v>709.8</v>
      </c>
      <c r="J3269" s="1628" t="s">
        <v>345</v>
      </c>
      <c r="K3269" s="1640">
        <f>(F3269*I3269)</f>
        <v>283.92</v>
      </c>
      <c r="N3269" s="1630"/>
      <c r="Q3269" s="1634"/>
      <c r="R3269" s="1636" t="s">
        <v>21</v>
      </c>
      <c r="W3269" s="1634"/>
    </row>
    <row r="3270" spans="6:23" ht="24" customHeight="1">
      <c r="G3270" s="1638" t="s">
        <v>226</v>
      </c>
      <c r="H3270" s="1627" t="s">
        <v>316</v>
      </c>
      <c r="J3270" s="1628" t="s">
        <v>226</v>
      </c>
      <c r="K3270" s="1640">
        <v>1.65</v>
      </c>
      <c r="N3270" s="1630"/>
      <c r="O3270" s="1627" t="s">
        <v>2858</v>
      </c>
      <c r="Q3270" s="1634"/>
      <c r="R3270" s="1640">
        <f>SUM(R3257:R3268)</f>
        <v>16826.360400000001</v>
      </c>
      <c r="W3270" s="1634"/>
    </row>
    <row r="3271" spans="6:23" ht="24" customHeight="1">
      <c r="F3271" s="1629">
        <v>10</v>
      </c>
      <c r="H3271" s="1627" t="s">
        <v>2859</v>
      </c>
      <c r="I3271" s="1629">
        <f>I3172</f>
        <v>5.6</v>
      </c>
      <c r="J3271" s="1634" t="s">
        <v>533</v>
      </c>
      <c r="K3271" s="1640">
        <f>I3271*F3271</f>
        <v>56</v>
      </c>
      <c r="N3271" s="1630"/>
      <c r="Q3271" s="1634"/>
      <c r="R3271" s="1636" t="s">
        <v>21</v>
      </c>
      <c r="W3271" s="1634"/>
    </row>
    <row r="3272" spans="6:23" ht="24" customHeight="1">
      <c r="J3272" s="1634"/>
      <c r="K3272" s="1636" t="s">
        <v>21</v>
      </c>
      <c r="N3272" s="1630"/>
      <c r="O3272" s="1631" t="s">
        <v>155</v>
      </c>
      <c r="Q3272" s="1735" t="s">
        <v>2597</v>
      </c>
      <c r="R3272" s="1639">
        <f>R3270/M3261</f>
        <v>6930.1319604612854</v>
      </c>
      <c r="W3272" s="1634"/>
    </row>
    <row r="3273" spans="6:23" ht="24" customHeight="1">
      <c r="H3273" s="1628" t="s">
        <v>2028</v>
      </c>
      <c r="J3273" s="1634"/>
      <c r="K3273" s="1640">
        <f>SUM(K3266:K3272)</f>
        <v>1106.8700000000001</v>
      </c>
      <c r="M3273" s="1628"/>
      <c r="N3273" s="1638" t="s">
        <v>249</v>
      </c>
      <c r="O3273" s="1627" t="s">
        <v>2860</v>
      </c>
      <c r="Q3273" s="1634"/>
      <c r="W3273" s="1634"/>
    </row>
    <row r="3274" spans="6:23" ht="24" customHeight="1">
      <c r="J3274" s="1634"/>
      <c r="K3274" s="1636" t="s">
        <v>21</v>
      </c>
      <c r="N3274" s="1630"/>
      <c r="O3274" s="1627" t="s">
        <v>1695</v>
      </c>
      <c r="Q3274" s="1634"/>
      <c r="W3274" s="1634"/>
    </row>
    <row r="3275" spans="6:23" ht="24" customHeight="1">
      <c r="F3275" s="1627" t="s">
        <v>150</v>
      </c>
      <c r="G3275" s="1638" t="s">
        <v>150</v>
      </c>
      <c r="H3275" s="1628" t="s">
        <v>350</v>
      </c>
      <c r="I3275" s="1627" t="s">
        <v>150</v>
      </c>
      <c r="J3275" s="1628" t="s">
        <v>150</v>
      </c>
      <c r="K3275" s="1640">
        <f>K3273/10</f>
        <v>110.68700000000001</v>
      </c>
      <c r="N3275" s="1630"/>
      <c r="O3275" s="1631" t="s">
        <v>2835</v>
      </c>
      <c r="Q3275" s="1634"/>
      <c r="W3275" s="1634"/>
    </row>
    <row r="3276" spans="6:23" ht="24" customHeight="1">
      <c r="J3276" s="1634"/>
      <c r="K3276" s="1636" t="s">
        <v>156</v>
      </c>
      <c r="N3276" s="1630"/>
      <c r="O3276" s="1636" t="s">
        <v>21</v>
      </c>
      <c r="Q3276" s="1634"/>
      <c r="W3276" s="1634"/>
    </row>
    <row r="3277" spans="6:23" ht="24" customHeight="1">
      <c r="G3277" s="1661" t="s">
        <v>2861</v>
      </c>
      <c r="J3277" s="1629"/>
      <c r="N3277" s="1630"/>
      <c r="O3277" s="1627" t="s">
        <v>2836</v>
      </c>
      <c r="P3277" s="1694" t="s">
        <v>156</v>
      </c>
      <c r="Q3277" s="1725">
        <v>2.4279999999999999</v>
      </c>
      <c r="R3277" s="1629" t="s">
        <v>306</v>
      </c>
      <c r="W3277" s="1634"/>
    </row>
    <row r="3278" spans="6:23" ht="24" customHeight="1">
      <c r="G3278" s="1661" t="s">
        <v>2838</v>
      </c>
      <c r="J3278" s="1629"/>
      <c r="N3278" s="1630"/>
      <c r="O3278" s="1627"/>
      <c r="P3278" s="1694"/>
      <c r="Q3278" s="1725"/>
      <c r="W3278" s="1634"/>
    </row>
    <row r="3279" spans="6:23" ht="24" customHeight="1">
      <c r="G3279" s="1629"/>
      <c r="J3279" s="1629"/>
      <c r="N3279" s="1630"/>
      <c r="O3279" s="1627" t="s">
        <v>5711</v>
      </c>
      <c r="P3279" s="1694" t="s">
        <v>156</v>
      </c>
      <c r="Q3279" s="1809">
        <v>5.1999999999999998E-2</v>
      </c>
      <c r="R3279" s="1629" t="s">
        <v>313</v>
      </c>
      <c r="W3279" s="1634"/>
    </row>
    <row r="3280" spans="6:23" ht="24" customHeight="1">
      <c r="F3280" s="1825">
        <v>0.10299999999999999</v>
      </c>
      <c r="G3280" s="1688" t="s">
        <v>151</v>
      </c>
      <c r="H3280" s="1661" t="s">
        <v>2841</v>
      </c>
      <c r="I3280" s="1661">
        <f>I1102</f>
        <v>99400</v>
      </c>
      <c r="J3280" s="1676" t="s">
        <v>151</v>
      </c>
      <c r="K3280" s="1661">
        <f>I3280*F3280</f>
        <v>10238.199999999999</v>
      </c>
      <c r="N3280" s="1630"/>
      <c r="O3280" s="1627" t="s">
        <v>2801</v>
      </c>
      <c r="Q3280" s="1694"/>
      <c r="W3280" s="1634"/>
    </row>
    <row r="3281" spans="6:23" ht="24" customHeight="1">
      <c r="F3281" s="1825">
        <v>1.32</v>
      </c>
      <c r="G3281" s="1688" t="s">
        <v>152</v>
      </c>
      <c r="H3281" s="1661" t="s">
        <v>2842</v>
      </c>
      <c r="I3281" s="1852">
        <v>2152</v>
      </c>
      <c r="J3281" s="1676" t="s">
        <v>306</v>
      </c>
      <c r="K3281" s="1661">
        <f t="shared" ref="K3281:K3290" si="303">I3281*F3281</f>
        <v>2840.6400000000003</v>
      </c>
      <c r="N3281" s="1630"/>
      <c r="O3281" s="1627" t="s">
        <v>2839</v>
      </c>
      <c r="P3281" s="1694" t="s">
        <v>156</v>
      </c>
      <c r="Q3281" s="1851">
        <v>1.7718999999999999E-2</v>
      </c>
      <c r="W3281" s="1634"/>
    </row>
    <row r="3282" spans="6:23" ht="24" customHeight="1">
      <c r="F3282" s="1826">
        <v>3.3000000000000002E-2</v>
      </c>
      <c r="G3282" s="1688" t="s">
        <v>151</v>
      </c>
      <c r="H3282" s="1705" t="s">
        <v>1798</v>
      </c>
      <c r="I3282" s="1661">
        <f>AE28</f>
        <v>95000</v>
      </c>
      <c r="J3282" s="1676" t="s">
        <v>151</v>
      </c>
      <c r="K3282" s="1661">
        <f t="shared" si="303"/>
        <v>3135</v>
      </c>
      <c r="N3282" s="1630"/>
      <c r="O3282" s="1627" t="s">
        <v>2840</v>
      </c>
      <c r="P3282" s="1694" t="s">
        <v>156</v>
      </c>
      <c r="Q3282" s="1851">
        <v>7.8750000000000001E-3</v>
      </c>
      <c r="R3282" s="1691"/>
      <c r="W3282" s="1634"/>
    </row>
    <row r="3283" spans="6:23" ht="24" customHeight="1">
      <c r="F3283" s="1826">
        <v>3.0225</v>
      </c>
      <c r="G3283" s="1688" t="s">
        <v>152</v>
      </c>
      <c r="H3283" s="1705" t="s">
        <v>1799</v>
      </c>
      <c r="I3283" s="1661">
        <f>AG30</f>
        <v>2039.8</v>
      </c>
      <c r="J3283" s="1676" t="s">
        <v>152</v>
      </c>
      <c r="K3283" s="1661">
        <f t="shared" si="303"/>
        <v>6165.2955000000002</v>
      </c>
      <c r="N3283" s="1630"/>
      <c r="Q3283" s="1636" t="s">
        <v>21</v>
      </c>
      <c r="W3283" s="1634"/>
    </row>
    <row r="3284" spans="6:23" ht="24" customHeight="1">
      <c r="F3284" s="1661">
        <v>6</v>
      </c>
      <c r="G3284" s="1688" t="s">
        <v>295</v>
      </c>
      <c r="H3284" s="1661" t="s">
        <v>5713</v>
      </c>
      <c r="I3284" s="1852">
        <v>214.1</v>
      </c>
      <c r="J3284" s="1676" t="s">
        <v>340</v>
      </c>
      <c r="K3284" s="1661">
        <f t="shared" si="303"/>
        <v>1284.5999999999999</v>
      </c>
      <c r="N3284" s="1630"/>
      <c r="Q3284" s="1846">
        <v>2.5590000000000002E-2</v>
      </c>
      <c r="R3284" s="1629" t="s">
        <v>313</v>
      </c>
      <c r="W3284" s="1634"/>
    </row>
    <row r="3285" spans="6:23" ht="24" customHeight="1">
      <c r="F3285" s="1661">
        <v>1</v>
      </c>
      <c r="G3285" s="1688" t="s">
        <v>295</v>
      </c>
      <c r="H3285" s="1661" t="s">
        <v>5714</v>
      </c>
      <c r="I3285" s="1661">
        <v>1020</v>
      </c>
      <c r="J3285" s="1676" t="s">
        <v>340</v>
      </c>
      <c r="K3285" s="1661">
        <f t="shared" si="303"/>
        <v>1020</v>
      </c>
      <c r="N3285" s="1630"/>
      <c r="Q3285" s="1636" t="s">
        <v>21</v>
      </c>
      <c r="W3285" s="1634"/>
    </row>
    <row r="3286" spans="6:23" ht="24" customHeight="1">
      <c r="F3286" s="1661">
        <v>2</v>
      </c>
      <c r="G3286" s="1688" t="s">
        <v>295</v>
      </c>
      <c r="H3286" s="1661" t="s">
        <v>2848</v>
      </c>
      <c r="I3286" s="1661">
        <v>540</v>
      </c>
      <c r="J3286" s="1676" t="s">
        <v>340</v>
      </c>
      <c r="K3286" s="1661">
        <f t="shared" si="303"/>
        <v>1080</v>
      </c>
      <c r="N3286" s="1630"/>
      <c r="O3286" s="1627" t="s">
        <v>2862</v>
      </c>
      <c r="Q3286" s="1847">
        <v>0.58750000000000002</v>
      </c>
      <c r="R3286" s="1691"/>
      <c r="W3286" s="1634"/>
    </row>
    <row r="3287" spans="6:23" ht="24" customHeight="1">
      <c r="F3287" s="1661">
        <v>2</v>
      </c>
      <c r="G3287" s="1688" t="s">
        <v>295</v>
      </c>
      <c r="H3287" s="1661" t="s">
        <v>2849</v>
      </c>
      <c r="I3287" s="1661">
        <v>764</v>
      </c>
      <c r="J3287" s="1676" t="s">
        <v>340</v>
      </c>
      <c r="K3287" s="1661">
        <f t="shared" si="303"/>
        <v>1528</v>
      </c>
      <c r="N3287" s="1630"/>
      <c r="O3287" s="1627" t="s">
        <v>2863</v>
      </c>
      <c r="Q3287" s="1848">
        <v>0.28129999999999999</v>
      </c>
      <c r="R3287" s="1691"/>
      <c r="W3287" s="1634"/>
    </row>
    <row r="3288" spans="6:23" ht="24" customHeight="1">
      <c r="F3288" s="1661">
        <v>1</v>
      </c>
      <c r="G3288" s="1688" t="s">
        <v>295</v>
      </c>
      <c r="H3288" s="1661" t="s">
        <v>2851</v>
      </c>
      <c r="I3288" s="1661">
        <v>985</v>
      </c>
      <c r="J3288" s="1676" t="s">
        <v>340</v>
      </c>
      <c r="K3288" s="1661">
        <f t="shared" si="303"/>
        <v>985</v>
      </c>
      <c r="N3288" s="1630"/>
      <c r="O3288" s="1627"/>
      <c r="Q3288" s="1636" t="s">
        <v>21</v>
      </c>
      <c r="R3288" s="1691"/>
      <c r="W3288" s="1634"/>
    </row>
    <row r="3289" spans="6:23" ht="24" customHeight="1">
      <c r="F3289" s="1661">
        <v>2</v>
      </c>
      <c r="G3289" s="1688" t="s">
        <v>295</v>
      </c>
      <c r="H3289" s="1661" t="s">
        <v>2852</v>
      </c>
      <c r="I3289" s="1661">
        <v>450</v>
      </c>
      <c r="J3289" s="1676" t="s">
        <v>340</v>
      </c>
      <c r="K3289" s="1661">
        <f t="shared" si="303"/>
        <v>900</v>
      </c>
      <c r="N3289" s="1630"/>
      <c r="O3289" s="1627"/>
      <c r="Q3289" s="1848">
        <v>0.86880000000000002</v>
      </c>
      <c r="R3289" s="1661" t="s">
        <v>306</v>
      </c>
      <c r="W3289" s="1634"/>
    </row>
    <row r="3290" spans="6:23" ht="24" customHeight="1">
      <c r="F3290" s="1661">
        <v>0</v>
      </c>
      <c r="G3290" s="1688" t="s">
        <v>154</v>
      </c>
      <c r="H3290" s="1661" t="s">
        <v>5712</v>
      </c>
      <c r="I3290" s="1661">
        <f>I961</f>
        <v>2.41</v>
      </c>
      <c r="J3290" s="1676" t="s">
        <v>340</v>
      </c>
      <c r="K3290" s="1827">
        <f t="shared" si="303"/>
        <v>0</v>
      </c>
      <c r="N3290" s="1630"/>
      <c r="Q3290" s="1636" t="s">
        <v>21</v>
      </c>
      <c r="R3290" s="1636"/>
      <c r="W3290" s="1634"/>
    </row>
    <row r="3291" spans="6:23" ht="24" customHeight="1">
      <c r="F3291" s="1661"/>
      <c r="G3291" s="1688"/>
      <c r="H3291" s="1661" t="s">
        <v>2855</v>
      </c>
      <c r="I3291" s="1661"/>
      <c r="J3291" s="1676"/>
      <c r="K3291" s="1661">
        <f>SUM(K3280:K3290)</f>
        <v>29176.735499999999</v>
      </c>
      <c r="M3291" s="1691">
        <v>5.1999999999999998E-2</v>
      </c>
      <c r="N3291" s="1638" t="s">
        <v>151</v>
      </c>
      <c r="O3291" s="1627" t="s">
        <v>1710</v>
      </c>
      <c r="P3291" s="1640">
        <f>P3188</f>
        <v>111600</v>
      </c>
      <c r="Q3291" s="1628" t="s">
        <v>151</v>
      </c>
      <c r="R3291" s="1640">
        <f>P3291*M3291</f>
        <v>5803.2</v>
      </c>
      <c r="W3291" s="1634"/>
    </row>
    <row r="3292" spans="6:23" ht="24" customHeight="1">
      <c r="F3292" s="1661"/>
      <c r="G3292" s="1688"/>
      <c r="H3292" s="1661"/>
      <c r="I3292" s="1661"/>
      <c r="J3292" s="1676"/>
      <c r="K3292" s="1827" t="s">
        <v>1810</v>
      </c>
      <c r="M3292" s="1691">
        <v>2.5590000000000002E-2</v>
      </c>
      <c r="N3292" s="1638" t="s">
        <v>151</v>
      </c>
      <c r="O3292" s="1627" t="s">
        <v>1711</v>
      </c>
      <c r="P3292" s="1640">
        <f>P3189</f>
        <v>99400</v>
      </c>
      <c r="Q3292" s="1628" t="s">
        <v>151</v>
      </c>
      <c r="R3292" s="1640">
        <f t="shared" ref="R3292:R3300" si="304">P3292*M3292</f>
        <v>2543.6460000000002</v>
      </c>
      <c r="W3292" s="1634"/>
    </row>
    <row r="3293" spans="6:23" ht="24" customHeight="1">
      <c r="F3293" s="1661"/>
      <c r="G3293" s="1688"/>
      <c r="H3293" s="1661" t="s">
        <v>2856</v>
      </c>
      <c r="I3293" s="1661"/>
      <c r="J3293" s="1676"/>
      <c r="K3293" s="1661">
        <f>K3291/F3283</f>
        <v>9653.1796526054586</v>
      </c>
      <c r="M3293" s="1640">
        <v>0.87</v>
      </c>
      <c r="N3293" s="1638" t="s">
        <v>152</v>
      </c>
      <c r="O3293" s="1627" t="s">
        <v>879</v>
      </c>
      <c r="P3293" s="1640">
        <f>C783</f>
        <v>387.4</v>
      </c>
      <c r="Q3293" s="1628" t="s">
        <v>151</v>
      </c>
      <c r="R3293" s="1640">
        <f t="shared" si="304"/>
        <v>337.03799999999995</v>
      </c>
      <c r="W3293" s="1634"/>
    </row>
    <row r="3294" spans="6:23" ht="24" customHeight="1">
      <c r="F3294" s="1661"/>
      <c r="G3294" s="1688"/>
      <c r="H3294" s="1661"/>
      <c r="I3294" s="1661"/>
      <c r="J3294" s="1676"/>
      <c r="K3294" s="1827" t="s">
        <v>1810</v>
      </c>
      <c r="M3294" s="1692">
        <v>2.4279999999999999</v>
      </c>
      <c r="N3294" s="1638" t="s">
        <v>152</v>
      </c>
      <c r="O3294" s="1627" t="s">
        <v>1708</v>
      </c>
      <c r="P3294" s="1640">
        <f>D30</f>
        <v>1701</v>
      </c>
      <c r="Q3294" s="1628" t="s">
        <v>152</v>
      </c>
      <c r="R3294" s="1640">
        <f t="shared" si="304"/>
        <v>4130.0280000000002</v>
      </c>
      <c r="W3294" s="1634"/>
    </row>
    <row r="3295" spans="6:23" ht="24" customHeight="1">
      <c r="G3295" s="1629"/>
      <c r="J3295" s="1629"/>
      <c r="M3295" s="1640">
        <v>4</v>
      </c>
      <c r="N3295" s="1638" t="s">
        <v>4</v>
      </c>
      <c r="O3295" s="1627" t="s">
        <v>2811</v>
      </c>
      <c r="P3295" s="1640">
        <f t="shared" ref="P3295:P3300" si="305">P3228</f>
        <v>57.65</v>
      </c>
      <c r="Q3295" s="1628" t="s">
        <v>153</v>
      </c>
      <c r="R3295" s="1640">
        <f t="shared" si="304"/>
        <v>230.6</v>
      </c>
      <c r="W3295" s="1634"/>
    </row>
    <row r="3296" spans="6:23" ht="24" customHeight="1">
      <c r="G3296" s="1629"/>
      <c r="J3296" s="1629"/>
      <c r="M3296" s="1640">
        <v>8</v>
      </c>
      <c r="N3296" s="1638" t="s">
        <v>153</v>
      </c>
      <c r="O3296" s="1627" t="s">
        <v>391</v>
      </c>
      <c r="P3296" s="1640">
        <f t="shared" si="305"/>
        <v>89.6</v>
      </c>
      <c r="Q3296" s="1628" t="s">
        <v>153</v>
      </c>
      <c r="R3296" s="1640">
        <f t="shared" si="304"/>
        <v>716.8</v>
      </c>
      <c r="W3296" s="1634"/>
    </row>
    <row r="3297" spans="6:23" ht="24" customHeight="1">
      <c r="G3297" s="1638" t="s">
        <v>514</v>
      </c>
      <c r="H3297" s="1628" t="s">
        <v>1649</v>
      </c>
      <c r="M3297" s="1640">
        <v>4</v>
      </c>
      <c r="N3297" s="1638" t="s">
        <v>153</v>
      </c>
      <c r="O3297" s="1627" t="s">
        <v>2831</v>
      </c>
      <c r="P3297" s="1640">
        <f t="shared" si="305"/>
        <v>97.85</v>
      </c>
      <c r="Q3297" s="1628" t="s">
        <v>153</v>
      </c>
      <c r="R3297" s="1640">
        <f t="shared" si="304"/>
        <v>391.4</v>
      </c>
      <c r="W3297" s="1634"/>
    </row>
    <row r="3298" spans="6:23" ht="24" customHeight="1">
      <c r="H3298" s="1628" t="s">
        <v>1662</v>
      </c>
      <c r="M3298" s="1640">
        <v>1</v>
      </c>
      <c r="N3298" s="1638" t="s">
        <v>153</v>
      </c>
      <c r="O3298" s="1627" t="s">
        <v>2832</v>
      </c>
      <c r="P3298" s="1640">
        <f t="shared" si="305"/>
        <v>209.9</v>
      </c>
      <c r="Q3298" s="1628" t="s">
        <v>153</v>
      </c>
      <c r="R3298" s="1640">
        <f t="shared" si="304"/>
        <v>209.9</v>
      </c>
      <c r="W3298" s="1634"/>
    </row>
    <row r="3299" spans="6:23" ht="24" customHeight="1">
      <c r="F3299" s="1691">
        <v>6.5000000000000002E-2</v>
      </c>
      <c r="G3299" s="1638" t="s">
        <v>151</v>
      </c>
      <c r="H3299" s="1627" t="s">
        <v>1652</v>
      </c>
      <c r="I3299" s="1640">
        <f>I859</f>
        <v>9891.1648755000006</v>
      </c>
      <c r="J3299" s="1627" t="s">
        <v>151</v>
      </c>
      <c r="K3299" s="1640">
        <f>I3299*F3299</f>
        <v>642.92571690750003</v>
      </c>
      <c r="M3299" s="1640">
        <v>2</v>
      </c>
      <c r="N3299" s="1638" t="s">
        <v>153</v>
      </c>
      <c r="O3299" s="1627" t="s">
        <v>2833</v>
      </c>
      <c r="P3299" s="1640">
        <f t="shared" si="305"/>
        <v>23.1</v>
      </c>
      <c r="Q3299" s="1628" t="s">
        <v>153</v>
      </c>
      <c r="R3299" s="1640">
        <f t="shared" si="304"/>
        <v>46.2</v>
      </c>
      <c r="W3299" s="1634"/>
    </row>
    <row r="3300" spans="6:23" ht="24" customHeight="1">
      <c r="F3300" s="1706">
        <v>8.4499999999999993</v>
      </c>
      <c r="G3300" s="1638" t="s">
        <v>13</v>
      </c>
      <c r="H3300" s="1627" t="s">
        <v>1654</v>
      </c>
      <c r="I3300" s="1640">
        <f t="shared" ref="I3300:I3310" si="306">I860</f>
        <v>98792.5</v>
      </c>
      <c r="J3300" s="1627" t="s">
        <v>251</v>
      </c>
      <c r="K3300" s="1640">
        <f>I3300*F3300/1000</f>
        <v>834.79662499999984</v>
      </c>
      <c r="M3300" s="1640">
        <v>2</v>
      </c>
      <c r="N3300" s="1638" t="s">
        <v>153</v>
      </c>
      <c r="O3300" s="1627" t="s">
        <v>2834</v>
      </c>
      <c r="P3300" s="1640">
        <f t="shared" si="305"/>
        <v>49.55</v>
      </c>
      <c r="Q3300" s="1628" t="s">
        <v>153</v>
      </c>
      <c r="R3300" s="1640">
        <f t="shared" si="304"/>
        <v>99.1</v>
      </c>
      <c r="W3300" s="1634"/>
    </row>
    <row r="3301" spans="6:23" ht="24" customHeight="1">
      <c r="F3301" s="1640">
        <v>3</v>
      </c>
      <c r="G3301" s="1638" t="s">
        <v>153</v>
      </c>
      <c r="H3301" s="1627" t="s">
        <v>1656</v>
      </c>
      <c r="I3301" s="1640">
        <f t="shared" si="306"/>
        <v>14.8</v>
      </c>
      <c r="J3301" s="1627" t="s">
        <v>153</v>
      </c>
      <c r="K3301" s="1640">
        <f t="shared" ref="K3301:K3308" si="307">I3301*F3301</f>
        <v>44.400000000000006</v>
      </c>
      <c r="N3301" s="1630"/>
      <c r="O3301" s="1629" t="s">
        <v>2768</v>
      </c>
      <c r="Q3301" s="1634"/>
      <c r="R3301" s="1656">
        <f>R3199</f>
        <v>284.38</v>
      </c>
      <c r="W3301" s="1634"/>
    </row>
    <row r="3302" spans="6:23" ht="24" customHeight="1">
      <c r="F3302" s="1640">
        <v>12</v>
      </c>
      <c r="G3302" s="1638" t="s">
        <v>153</v>
      </c>
      <c r="H3302" s="1627" t="s">
        <v>1657</v>
      </c>
      <c r="I3302" s="1640">
        <f t="shared" si="306"/>
        <v>2</v>
      </c>
      <c r="J3302" s="1627" t="s">
        <v>153</v>
      </c>
      <c r="K3302" s="1640">
        <f t="shared" si="307"/>
        <v>24</v>
      </c>
      <c r="N3302" s="1630"/>
      <c r="Q3302" s="1634"/>
      <c r="R3302" s="1636" t="s">
        <v>21</v>
      </c>
      <c r="W3302" s="1634"/>
    </row>
    <row r="3303" spans="6:23" ht="24" customHeight="1">
      <c r="F3303" s="1640">
        <v>2</v>
      </c>
      <c r="G3303" s="1638" t="s">
        <v>153</v>
      </c>
      <c r="H3303" s="1627" t="s">
        <v>1658</v>
      </c>
      <c r="I3303" s="1640">
        <f t="shared" si="306"/>
        <v>4.9000000000000004</v>
      </c>
      <c r="J3303" s="1627" t="s">
        <v>153</v>
      </c>
      <c r="K3303" s="1640">
        <f t="shared" si="307"/>
        <v>9.8000000000000007</v>
      </c>
      <c r="N3303" s="1630"/>
      <c r="O3303" s="1627" t="s">
        <v>2858</v>
      </c>
      <c r="Q3303" s="1634"/>
      <c r="R3303" s="1640">
        <f>SUM(R3291:R3301)</f>
        <v>14792.291999999999</v>
      </c>
      <c r="W3303" s="1634"/>
    </row>
    <row r="3304" spans="6:23" ht="24" customHeight="1">
      <c r="F3304" s="1640">
        <v>6</v>
      </c>
      <c r="G3304" s="1638" t="s">
        <v>153</v>
      </c>
      <c r="H3304" s="1627" t="s">
        <v>1660</v>
      </c>
      <c r="I3304" s="1640">
        <f t="shared" si="306"/>
        <v>4.45</v>
      </c>
      <c r="J3304" s="1627" t="s">
        <v>153</v>
      </c>
      <c r="K3304" s="1640">
        <f t="shared" si="307"/>
        <v>26.700000000000003</v>
      </c>
      <c r="N3304" s="1630"/>
      <c r="Q3304" s="1634"/>
      <c r="R3304" s="1636" t="s">
        <v>21</v>
      </c>
      <c r="W3304" s="1634"/>
    </row>
    <row r="3305" spans="6:23" ht="24" customHeight="1">
      <c r="F3305" s="1640">
        <v>1</v>
      </c>
      <c r="G3305" s="1638" t="s">
        <v>153</v>
      </c>
      <c r="H3305" s="1627" t="s">
        <v>1663</v>
      </c>
      <c r="I3305" s="1640">
        <f t="shared" si="306"/>
        <v>1325.8</v>
      </c>
      <c r="J3305" s="1627" t="s">
        <v>153</v>
      </c>
      <c r="K3305" s="1640">
        <f t="shared" si="307"/>
        <v>1325.8</v>
      </c>
      <c r="N3305" s="1630"/>
      <c r="O3305" s="1631" t="s">
        <v>155</v>
      </c>
      <c r="Q3305" s="1735" t="s">
        <v>2597</v>
      </c>
      <c r="R3305" s="1639">
        <f>R3303/M3294</f>
        <v>6092.3772652388798</v>
      </c>
      <c r="W3305" s="1634"/>
    </row>
    <row r="3306" spans="6:23" ht="24" customHeight="1">
      <c r="F3306" s="1640">
        <v>1</v>
      </c>
      <c r="G3306" s="1638" t="s">
        <v>153</v>
      </c>
      <c r="H3306" s="1627" t="s">
        <v>1664</v>
      </c>
      <c r="I3306" s="1640">
        <f t="shared" si="306"/>
        <v>865.19999999999993</v>
      </c>
      <c r="J3306" s="1627" t="s">
        <v>153</v>
      </c>
      <c r="K3306" s="1640">
        <f t="shared" si="307"/>
        <v>865.19999999999993</v>
      </c>
      <c r="M3306" s="1628"/>
      <c r="N3306" s="1638" t="s">
        <v>249</v>
      </c>
      <c r="O3306" s="1627" t="s">
        <v>2864</v>
      </c>
      <c r="Q3306" s="1634"/>
      <c r="W3306" s="1634"/>
    </row>
    <row r="3307" spans="6:23" ht="24" customHeight="1">
      <c r="F3307" s="1640">
        <v>1</v>
      </c>
      <c r="G3307" s="1638" t="s">
        <v>153</v>
      </c>
      <c r="H3307" s="1627" t="s">
        <v>1665</v>
      </c>
      <c r="I3307" s="1640">
        <f t="shared" si="306"/>
        <v>25</v>
      </c>
      <c r="J3307" s="1627" t="s">
        <v>153</v>
      </c>
      <c r="K3307" s="1640">
        <f t="shared" si="307"/>
        <v>25</v>
      </c>
      <c r="N3307" s="1630"/>
      <c r="O3307" s="1627" t="s">
        <v>1695</v>
      </c>
      <c r="Q3307" s="1634"/>
      <c r="W3307" s="1634"/>
    </row>
    <row r="3308" spans="6:23" ht="24" customHeight="1">
      <c r="F3308" s="1640">
        <v>0.5</v>
      </c>
      <c r="G3308" s="1638" t="s">
        <v>153</v>
      </c>
      <c r="H3308" s="1627" t="s">
        <v>1666</v>
      </c>
      <c r="I3308" s="1640">
        <f t="shared" si="306"/>
        <v>709.8</v>
      </c>
      <c r="J3308" s="1627" t="s">
        <v>153</v>
      </c>
      <c r="K3308" s="1640">
        <f t="shared" si="307"/>
        <v>354.9</v>
      </c>
      <c r="N3308" s="1630"/>
      <c r="O3308" s="1631" t="s">
        <v>2798</v>
      </c>
      <c r="Q3308" s="1634"/>
      <c r="W3308" s="1634"/>
    </row>
    <row r="3309" spans="6:23" ht="24" customHeight="1">
      <c r="G3309" s="1638" t="s">
        <v>226</v>
      </c>
      <c r="H3309" s="1627" t="s">
        <v>1667</v>
      </c>
      <c r="I3309" s="1640">
        <f t="shared" si="306"/>
        <v>0</v>
      </c>
      <c r="J3309" s="1627" t="s">
        <v>226</v>
      </c>
      <c r="K3309" s="1640">
        <v>2.1</v>
      </c>
      <c r="N3309" s="1630"/>
      <c r="O3309" s="1636" t="s">
        <v>21</v>
      </c>
      <c r="Q3309" s="1634"/>
      <c r="W3309" s="1634"/>
    </row>
    <row r="3310" spans="6:23" ht="24" customHeight="1">
      <c r="I3310" s="1640">
        <f t="shared" si="306"/>
        <v>0</v>
      </c>
      <c r="K3310" s="1636" t="s">
        <v>21</v>
      </c>
      <c r="N3310" s="1630"/>
      <c r="O3310" s="1627" t="s">
        <v>2799</v>
      </c>
      <c r="P3310" s="1694" t="s">
        <v>156</v>
      </c>
      <c r="Q3310" s="1725">
        <v>3.1219999999999999</v>
      </c>
      <c r="R3310" s="1632" t="s">
        <v>306</v>
      </c>
      <c r="W3310" s="1634"/>
    </row>
    <row r="3311" spans="6:23" ht="24" customHeight="1">
      <c r="H3311" s="1641" t="s">
        <v>1668</v>
      </c>
      <c r="K3311" s="1635">
        <f>SUM(K3299:K3310)</f>
        <v>4155.6223419074995</v>
      </c>
      <c r="N3311" s="1630"/>
      <c r="O3311" s="1627"/>
      <c r="P3311" s="1694"/>
      <c r="Q3311" s="1725"/>
      <c r="R3311" s="1632"/>
      <c r="W3311" s="1634"/>
    </row>
    <row r="3312" spans="6:23" ht="24" customHeight="1">
      <c r="K3312" s="1636" t="s">
        <v>21</v>
      </c>
      <c r="N3312" s="1630"/>
      <c r="O3312" s="1627" t="s">
        <v>5711</v>
      </c>
      <c r="P3312" s="1694" t="s">
        <v>156</v>
      </c>
      <c r="Q3312" s="1809">
        <v>5.1999999999999998E-2</v>
      </c>
      <c r="R3312" s="1632" t="s">
        <v>313</v>
      </c>
      <c r="W3312" s="1634"/>
    </row>
    <row r="3313" spans="6:23" ht="24" customHeight="1">
      <c r="G3313" s="1629"/>
      <c r="J3313" s="1629"/>
      <c r="N3313" s="1630"/>
      <c r="O3313" s="1627" t="s">
        <v>2801</v>
      </c>
      <c r="Q3313" s="1694"/>
      <c r="R3313" s="1632"/>
      <c r="W3313" s="1634"/>
    </row>
    <row r="3314" spans="6:23" ht="24" customHeight="1">
      <c r="G3314" s="1629"/>
      <c r="J3314" s="1629"/>
      <c r="N3314" s="1630"/>
      <c r="O3314" s="1627" t="s">
        <v>2802</v>
      </c>
      <c r="P3314" s="1694" t="s">
        <v>156</v>
      </c>
      <c r="Q3314" s="1845">
        <v>2.2780000000000002E-2</v>
      </c>
      <c r="R3314" s="1632"/>
      <c r="W3314" s="1634"/>
    </row>
    <row r="3315" spans="6:23" ht="24" customHeight="1">
      <c r="G3315" s="1661" t="s">
        <v>2622</v>
      </c>
      <c r="J3315" s="1629"/>
      <c r="N3315" s="1630"/>
      <c r="O3315" s="1627" t="s">
        <v>2804</v>
      </c>
      <c r="P3315" s="1694" t="s">
        <v>156</v>
      </c>
      <c r="Q3315" s="1851">
        <v>1.0125E-2</v>
      </c>
      <c r="R3315" s="1710"/>
      <c r="W3315" s="1634"/>
    </row>
    <row r="3316" spans="6:23" ht="24" customHeight="1">
      <c r="G3316" s="1661" t="s">
        <v>2623</v>
      </c>
      <c r="J3316" s="1629"/>
      <c r="N3316" s="1630"/>
      <c r="Q3316" s="1850" t="s">
        <v>2821</v>
      </c>
      <c r="R3316" s="1632"/>
      <c r="W3316" s="1634"/>
    </row>
    <row r="3317" spans="6:23" ht="24" customHeight="1">
      <c r="G3317" s="1629"/>
      <c r="J3317" s="1629"/>
      <c r="N3317" s="1630"/>
      <c r="Q3317" s="1846">
        <v>3.2910000000000002E-2</v>
      </c>
      <c r="R3317" s="1632" t="s">
        <v>313</v>
      </c>
      <c r="W3317" s="1634"/>
    </row>
    <row r="3318" spans="6:23" ht="24" customHeight="1">
      <c r="F3318" s="1826">
        <v>2.6159999999999999E-2</v>
      </c>
      <c r="G3318" s="1688" t="s">
        <v>151</v>
      </c>
      <c r="H3318" s="1661" t="s">
        <v>1796</v>
      </c>
      <c r="I3318" s="1661">
        <f>AE26</f>
        <v>111600</v>
      </c>
      <c r="J3318" s="1676" t="s">
        <v>151</v>
      </c>
      <c r="K3318" s="1661">
        <f>I3318*F3318</f>
        <v>2919.4560000000001</v>
      </c>
      <c r="N3318" s="1630"/>
      <c r="Q3318" s="1850" t="s">
        <v>2821</v>
      </c>
      <c r="R3318" s="1632"/>
      <c r="W3318" s="1634"/>
    </row>
    <row r="3319" spans="6:23" ht="24" customHeight="1">
      <c r="F3319" s="1826">
        <v>4.7809999999999998E-2</v>
      </c>
      <c r="G3319" s="1688" t="s">
        <v>151</v>
      </c>
      <c r="H3319" s="1661" t="s">
        <v>1797</v>
      </c>
      <c r="I3319" s="1661">
        <f>AE27</f>
        <v>99400</v>
      </c>
      <c r="J3319" s="1676" t="s">
        <v>151</v>
      </c>
      <c r="K3319" s="1661">
        <f t="shared" ref="K3319:K3327" si="308">I3319*F3319</f>
        <v>4752.3139999999994</v>
      </c>
      <c r="N3319" s="1630"/>
      <c r="O3319" s="1627" t="s">
        <v>2822</v>
      </c>
      <c r="Q3319" s="1809">
        <v>0.94</v>
      </c>
      <c r="R3319" s="1710" t="s">
        <v>306</v>
      </c>
      <c r="W3319" s="1634"/>
    </row>
    <row r="3320" spans="6:23" ht="31.5" customHeight="1">
      <c r="F3320" s="1853">
        <v>4.5879999999999997E-2</v>
      </c>
      <c r="G3320" s="1854" t="s">
        <v>151</v>
      </c>
      <c r="H3320" s="1855" t="s">
        <v>5715</v>
      </c>
      <c r="I3320" s="1854">
        <v>107000</v>
      </c>
      <c r="J3320" s="1810" t="s">
        <v>151</v>
      </c>
      <c r="K3320" s="1854">
        <f t="shared" si="308"/>
        <v>4909.16</v>
      </c>
      <c r="N3320" s="1630"/>
      <c r="O3320" s="1627" t="s">
        <v>2866</v>
      </c>
      <c r="Q3320" s="1849">
        <v>0.45</v>
      </c>
      <c r="R3320" s="1710" t="s">
        <v>313</v>
      </c>
      <c r="W3320" s="1634"/>
    </row>
    <row r="3321" spans="6:23" ht="24" customHeight="1">
      <c r="F3321" s="1826">
        <v>3.95</v>
      </c>
      <c r="G3321" s="1688" t="s">
        <v>152</v>
      </c>
      <c r="H3321" s="1661" t="s">
        <v>1799</v>
      </c>
      <c r="I3321" s="1661">
        <f>P3261</f>
        <v>2039.8</v>
      </c>
      <c r="J3321" s="1676" t="s">
        <v>152</v>
      </c>
      <c r="K3321" s="1661">
        <f t="shared" si="308"/>
        <v>8057.21</v>
      </c>
      <c r="N3321" s="1630"/>
      <c r="O3321" s="1627" t="s">
        <v>2824</v>
      </c>
      <c r="Q3321" s="1849">
        <v>7.9</v>
      </c>
      <c r="R3321" s="1710" t="s">
        <v>303</v>
      </c>
      <c r="W3321" s="1634"/>
    </row>
    <row r="3322" spans="6:23" ht="24" customHeight="1">
      <c r="F3322" s="1661">
        <v>2</v>
      </c>
      <c r="G3322" s="1688" t="s">
        <v>295</v>
      </c>
      <c r="H3322" s="1661" t="s">
        <v>1801</v>
      </c>
      <c r="I3322" s="1661">
        <f t="shared" ref="I3322:I3327" si="309">P3262</f>
        <v>57.65</v>
      </c>
      <c r="J3322" s="1676" t="s">
        <v>340</v>
      </c>
      <c r="K3322" s="1661">
        <f t="shared" si="308"/>
        <v>115.3</v>
      </c>
      <c r="N3322" s="1630"/>
      <c r="Q3322" s="1636"/>
      <c r="R3322" s="1636"/>
      <c r="W3322" s="1634"/>
    </row>
    <row r="3323" spans="6:23" ht="24" customHeight="1">
      <c r="F3323" s="1661">
        <v>6</v>
      </c>
      <c r="G3323" s="1688" t="s">
        <v>295</v>
      </c>
      <c r="H3323" s="1661" t="s">
        <v>1802</v>
      </c>
      <c r="I3323" s="1661">
        <f t="shared" si="309"/>
        <v>89.6</v>
      </c>
      <c r="J3323" s="1676" t="s">
        <v>340</v>
      </c>
      <c r="K3323" s="1661">
        <f t="shared" si="308"/>
        <v>537.59999999999991</v>
      </c>
      <c r="M3323" s="1691">
        <v>5.1999999999999998E-2</v>
      </c>
      <c r="N3323" s="1638" t="s">
        <v>151</v>
      </c>
      <c r="O3323" s="1627" t="s">
        <v>1710</v>
      </c>
      <c r="P3323" s="1640">
        <f>P3221</f>
        <v>111600</v>
      </c>
      <c r="Q3323" s="1628" t="s">
        <v>151</v>
      </c>
      <c r="R3323" s="1640">
        <f>P3323*M3323</f>
        <v>5803.2</v>
      </c>
      <c r="W3323" s="1634"/>
    </row>
    <row r="3324" spans="6:23" ht="24" customHeight="1">
      <c r="F3324" s="1661">
        <v>4</v>
      </c>
      <c r="G3324" s="1688" t="s">
        <v>295</v>
      </c>
      <c r="H3324" s="1661" t="s">
        <v>1803</v>
      </c>
      <c r="I3324" s="1661">
        <f t="shared" si="309"/>
        <v>97.85</v>
      </c>
      <c r="J3324" s="1676" t="s">
        <v>340</v>
      </c>
      <c r="K3324" s="1661">
        <f t="shared" si="308"/>
        <v>391.4</v>
      </c>
      <c r="M3324" s="1691">
        <v>3.2910000000000002E-2</v>
      </c>
      <c r="N3324" s="1638" t="s">
        <v>151</v>
      </c>
      <c r="O3324" s="1627" t="s">
        <v>1711</v>
      </c>
      <c r="P3324" s="1640">
        <f>P3222</f>
        <v>99400</v>
      </c>
      <c r="Q3324" s="1628" t="s">
        <v>151</v>
      </c>
      <c r="R3324" s="1640">
        <f t="shared" ref="R3324:R3335" si="310">P3324*M3324</f>
        <v>3271.2540000000004</v>
      </c>
      <c r="W3324" s="1634"/>
    </row>
    <row r="3325" spans="6:23" ht="24" customHeight="1">
      <c r="F3325" s="1661">
        <v>1</v>
      </c>
      <c r="G3325" s="1688" t="s">
        <v>295</v>
      </c>
      <c r="H3325" s="1661" t="s">
        <v>1805</v>
      </c>
      <c r="I3325" s="1661">
        <f t="shared" si="309"/>
        <v>209.9</v>
      </c>
      <c r="J3325" s="1676" t="s">
        <v>340</v>
      </c>
      <c r="K3325" s="1661">
        <f t="shared" si="308"/>
        <v>209.9</v>
      </c>
      <c r="M3325" s="1691">
        <v>0.45</v>
      </c>
      <c r="N3325" s="1638" t="s">
        <v>152</v>
      </c>
      <c r="O3325" s="1627" t="s">
        <v>879</v>
      </c>
      <c r="P3325" s="1640">
        <f>P3293</f>
        <v>387.4</v>
      </c>
      <c r="Q3325" s="1628" t="s">
        <v>151</v>
      </c>
      <c r="R3325" s="1640">
        <f t="shared" si="310"/>
        <v>174.32999999999998</v>
      </c>
      <c r="W3325" s="1634"/>
    </row>
    <row r="3326" spans="6:23" ht="24" customHeight="1">
      <c r="F3326" s="1661">
        <v>2</v>
      </c>
      <c r="G3326" s="1688" t="s">
        <v>295</v>
      </c>
      <c r="H3326" s="1661" t="s">
        <v>2867</v>
      </c>
      <c r="I3326" s="1661">
        <f t="shared" si="309"/>
        <v>23.1</v>
      </c>
      <c r="J3326" s="1676" t="s">
        <v>340</v>
      </c>
      <c r="K3326" s="1661">
        <f t="shared" si="308"/>
        <v>46.2</v>
      </c>
      <c r="M3326" s="1692">
        <v>0.94</v>
      </c>
      <c r="N3326" s="1638" t="s">
        <v>152</v>
      </c>
      <c r="O3326" s="1627" t="s">
        <v>2868</v>
      </c>
      <c r="P3326" s="1640">
        <f t="shared" ref="P3326:P3334" si="311">P3225</f>
        <v>562.5</v>
      </c>
      <c r="Q3326" s="1634" t="s">
        <v>152</v>
      </c>
      <c r="R3326" s="1640">
        <f t="shared" si="310"/>
        <v>528.75</v>
      </c>
      <c r="W3326" s="1634"/>
    </row>
    <row r="3327" spans="6:23" ht="24" customHeight="1">
      <c r="F3327" s="1661">
        <v>2</v>
      </c>
      <c r="G3327" s="1688" t="s">
        <v>295</v>
      </c>
      <c r="H3327" s="1661" t="s">
        <v>886</v>
      </c>
      <c r="I3327" s="1661">
        <f t="shared" si="309"/>
        <v>49.55</v>
      </c>
      <c r="J3327" s="1676" t="s">
        <v>340</v>
      </c>
      <c r="K3327" s="1661">
        <f t="shared" si="308"/>
        <v>99.1</v>
      </c>
      <c r="M3327" s="1692">
        <v>7.9</v>
      </c>
      <c r="N3327" s="1638" t="s">
        <v>552</v>
      </c>
      <c r="O3327" s="1627" t="s">
        <v>2869</v>
      </c>
      <c r="P3327" s="1640">
        <f t="shared" si="311"/>
        <v>15.45</v>
      </c>
      <c r="Q3327" s="1634"/>
      <c r="R3327" s="1640">
        <f t="shared" si="310"/>
        <v>122.05500000000001</v>
      </c>
      <c r="W3327" s="1634"/>
    </row>
    <row r="3328" spans="6:23" ht="24" customHeight="1">
      <c r="F3328" s="1661">
        <v>10</v>
      </c>
      <c r="G3328" s="1688"/>
      <c r="H3328" s="1852" t="s">
        <v>2870</v>
      </c>
      <c r="I3328" s="1661">
        <f>I3290</f>
        <v>2.41</v>
      </c>
      <c r="J3328" s="1676"/>
      <c r="K3328" s="1661">
        <v>24.3</v>
      </c>
      <c r="M3328" s="1692">
        <v>3.1219999999999999</v>
      </c>
      <c r="N3328" s="1638" t="s">
        <v>152</v>
      </c>
      <c r="O3328" s="1627" t="s">
        <v>1708</v>
      </c>
      <c r="P3328" s="1640">
        <f t="shared" si="311"/>
        <v>1906.8</v>
      </c>
      <c r="Q3328" s="1628" t="s">
        <v>152</v>
      </c>
      <c r="R3328" s="1640">
        <f t="shared" si="310"/>
        <v>5953.0295999999998</v>
      </c>
      <c r="W3328" s="1634"/>
    </row>
    <row r="3329" spans="6:23" ht="24" customHeight="1">
      <c r="F3329" s="1661"/>
      <c r="G3329" s="1688"/>
      <c r="H3329" s="1661" t="s">
        <v>5716</v>
      </c>
      <c r="I3329" s="1661"/>
      <c r="J3329" s="1676"/>
      <c r="K3329" s="1661">
        <f>SUM(K3318:K3328)</f>
        <v>22061.94</v>
      </c>
      <c r="M3329" s="1640">
        <v>4</v>
      </c>
      <c r="N3329" s="1638" t="s">
        <v>4</v>
      </c>
      <c r="O3329" s="1627" t="s">
        <v>2811</v>
      </c>
      <c r="P3329" s="1640">
        <f t="shared" si="311"/>
        <v>57.65</v>
      </c>
      <c r="Q3329" s="1628" t="s">
        <v>153</v>
      </c>
      <c r="R3329" s="1640">
        <f t="shared" si="310"/>
        <v>230.6</v>
      </c>
      <c r="W3329" s="1634"/>
    </row>
    <row r="3330" spans="6:23" ht="24" customHeight="1">
      <c r="F3330" s="1661"/>
      <c r="G3330" s="1688"/>
      <c r="H3330" s="1661"/>
      <c r="I3330" s="1661"/>
      <c r="J3330" s="1676"/>
      <c r="K3330" s="1827" t="s">
        <v>1810</v>
      </c>
      <c r="M3330" s="1640">
        <v>8</v>
      </c>
      <c r="N3330" s="1638" t="s">
        <v>153</v>
      </c>
      <c r="O3330" s="1627" t="s">
        <v>391</v>
      </c>
      <c r="P3330" s="1640">
        <f t="shared" si="311"/>
        <v>89.6</v>
      </c>
      <c r="Q3330" s="1628" t="s">
        <v>153</v>
      </c>
      <c r="R3330" s="1640">
        <f t="shared" si="310"/>
        <v>716.8</v>
      </c>
      <c r="W3330" s="1634"/>
    </row>
    <row r="3331" spans="6:23" ht="24" customHeight="1">
      <c r="F3331" s="1661"/>
      <c r="G3331" s="1688"/>
      <c r="H3331" s="1661" t="s">
        <v>155</v>
      </c>
      <c r="I3331" s="1661"/>
      <c r="J3331" s="1676"/>
      <c r="K3331" s="1661">
        <f>K3329/F3321</f>
        <v>5585.3012658227844</v>
      </c>
      <c r="M3331" s="1640">
        <v>4</v>
      </c>
      <c r="N3331" s="1638" t="s">
        <v>153</v>
      </c>
      <c r="O3331" s="1627" t="s">
        <v>2831</v>
      </c>
      <c r="P3331" s="1640">
        <f t="shared" si="311"/>
        <v>97.85</v>
      </c>
      <c r="Q3331" s="1628" t="s">
        <v>153</v>
      </c>
      <c r="R3331" s="1640">
        <f t="shared" si="310"/>
        <v>391.4</v>
      </c>
      <c r="W3331" s="1634"/>
    </row>
    <row r="3332" spans="6:23" ht="24" customHeight="1">
      <c r="F3332" s="1661"/>
      <c r="G3332" s="1688"/>
      <c r="H3332" s="1661"/>
      <c r="I3332" s="1661"/>
      <c r="J3332" s="1676"/>
      <c r="K3332" s="1827" t="s">
        <v>1810</v>
      </c>
      <c r="M3332" s="1640">
        <v>1</v>
      </c>
      <c r="N3332" s="1638" t="s">
        <v>153</v>
      </c>
      <c r="O3332" s="1627" t="s">
        <v>2832</v>
      </c>
      <c r="P3332" s="1640">
        <f t="shared" si="311"/>
        <v>209.9</v>
      </c>
      <c r="Q3332" s="1628" t="s">
        <v>153</v>
      </c>
      <c r="R3332" s="1640">
        <f t="shared" si="310"/>
        <v>209.9</v>
      </c>
      <c r="W3332" s="1634"/>
    </row>
    <row r="3333" spans="6:23" ht="24" customHeight="1">
      <c r="G3333" s="1629"/>
      <c r="J3333" s="1629"/>
      <c r="M3333" s="1640">
        <v>2</v>
      </c>
      <c r="N3333" s="1638" t="s">
        <v>153</v>
      </c>
      <c r="O3333" s="1627" t="s">
        <v>2833</v>
      </c>
      <c r="P3333" s="1640">
        <f t="shared" si="311"/>
        <v>23.1</v>
      </c>
      <c r="Q3333" s="1628" t="s">
        <v>153</v>
      </c>
      <c r="R3333" s="1640">
        <f t="shared" si="310"/>
        <v>46.2</v>
      </c>
      <c r="W3333" s="1634"/>
    </row>
    <row r="3334" spans="6:23" ht="24" customHeight="1">
      <c r="G3334" s="1629"/>
      <c r="J3334" s="1629"/>
      <c r="M3334" s="1640">
        <v>2</v>
      </c>
      <c r="N3334" s="1638" t="s">
        <v>153</v>
      </c>
      <c r="O3334" s="1627" t="s">
        <v>2834</v>
      </c>
      <c r="P3334" s="1640">
        <f t="shared" si="311"/>
        <v>49.55</v>
      </c>
      <c r="Q3334" s="1628" t="s">
        <v>153</v>
      </c>
      <c r="R3334" s="1640">
        <f t="shared" si="310"/>
        <v>99.1</v>
      </c>
      <c r="W3334" s="1634"/>
    </row>
    <row r="3335" spans="6:23" ht="24" customHeight="1">
      <c r="G3335" s="1629"/>
      <c r="J3335" s="1629"/>
      <c r="M3335" s="1629">
        <v>118</v>
      </c>
      <c r="N3335" s="1638" t="s">
        <v>153</v>
      </c>
      <c r="O3335" s="1629" t="s">
        <v>2768</v>
      </c>
      <c r="P3335" s="1629">
        <f>P3268</f>
        <v>2.41</v>
      </c>
      <c r="Q3335" s="1628" t="s">
        <v>153</v>
      </c>
      <c r="R3335" s="1640">
        <f t="shared" si="310"/>
        <v>284.38</v>
      </c>
      <c r="W3335" s="1634"/>
    </row>
    <row r="3336" spans="6:23" ht="24" customHeight="1">
      <c r="F3336" s="1628"/>
      <c r="G3336" s="1638" t="s">
        <v>249</v>
      </c>
      <c r="H3336" s="1627" t="s">
        <v>5717</v>
      </c>
      <c r="J3336" s="1634"/>
      <c r="N3336" s="1630"/>
      <c r="Q3336" s="1634"/>
      <c r="R3336" s="1636" t="s">
        <v>21</v>
      </c>
      <c r="W3336" s="1634"/>
    </row>
    <row r="3337" spans="6:23" ht="24" customHeight="1">
      <c r="H3337" s="1627" t="s">
        <v>394</v>
      </c>
      <c r="J3337" s="1634"/>
      <c r="N3337" s="1630"/>
      <c r="O3337" s="1627" t="s">
        <v>2817</v>
      </c>
      <c r="Q3337" s="1634"/>
      <c r="R3337" s="1640">
        <f>SUM(R3323:R3335)</f>
        <v>17830.998600000003</v>
      </c>
      <c r="W3337" s="1634"/>
    </row>
    <row r="3338" spans="6:23" ht="24" customHeight="1">
      <c r="H3338" s="1631" t="s">
        <v>395</v>
      </c>
      <c r="J3338" s="1634"/>
      <c r="N3338" s="1630"/>
      <c r="Q3338" s="1634"/>
      <c r="R3338" s="1636" t="s">
        <v>21</v>
      </c>
      <c r="W3338" s="1634"/>
    </row>
    <row r="3339" spans="6:23" ht="24" customHeight="1">
      <c r="H3339" s="1636" t="s">
        <v>21</v>
      </c>
      <c r="J3339" s="1634"/>
      <c r="N3339" s="1630"/>
      <c r="O3339" s="1631" t="s">
        <v>155</v>
      </c>
      <c r="Q3339" s="1735" t="s">
        <v>2597</v>
      </c>
      <c r="R3339" s="1639">
        <f>R3337/M3328</f>
        <v>5711.4024983984636</v>
      </c>
      <c r="W3339" s="1634"/>
    </row>
    <row r="3340" spans="6:23" ht="24" customHeight="1">
      <c r="F3340" s="1640">
        <v>1.34</v>
      </c>
      <c r="G3340" s="1638" t="s">
        <v>13</v>
      </c>
      <c r="H3340" s="1700" t="s">
        <v>3410</v>
      </c>
      <c r="I3340" s="1640">
        <v>73.8</v>
      </c>
      <c r="J3340" s="1627" t="s">
        <v>13</v>
      </c>
      <c r="K3340" s="1640">
        <f>(F3340*I3340)</f>
        <v>98.891999999999996</v>
      </c>
      <c r="W3340" s="1634"/>
    </row>
    <row r="3341" spans="6:23" ht="24" customHeight="1">
      <c r="F3341" s="1640">
        <v>0.5</v>
      </c>
      <c r="G3341" s="1638" t="s">
        <v>4</v>
      </c>
      <c r="H3341" s="1627" t="s">
        <v>322</v>
      </c>
      <c r="I3341" s="1640">
        <f>AG13</f>
        <v>1058.3999999999999</v>
      </c>
      <c r="J3341" s="1638" t="s">
        <v>4</v>
      </c>
      <c r="K3341" s="1640">
        <f>(F3341*I3341)</f>
        <v>529.19999999999993</v>
      </c>
      <c r="W3341" s="1634"/>
    </row>
    <row r="3342" spans="6:23" ht="24" customHeight="1">
      <c r="F3342" s="1640">
        <v>0.5</v>
      </c>
      <c r="G3342" s="1638" t="s">
        <v>4</v>
      </c>
      <c r="H3342" s="1627" t="s">
        <v>235</v>
      </c>
      <c r="I3342" s="1640">
        <f>AG11</f>
        <v>865.19999999999993</v>
      </c>
      <c r="J3342" s="1638" t="s">
        <v>4</v>
      </c>
      <c r="K3342" s="1640">
        <f>(F3342*I3342)</f>
        <v>432.59999999999997</v>
      </c>
      <c r="M3342" s="1628"/>
      <c r="N3342" s="1638" t="s">
        <v>249</v>
      </c>
      <c r="O3342" s="1627" t="s">
        <v>2872</v>
      </c>
      <c r="Q3342" s="1634"/>
      <c r="W3342" s="1634"/>
    </row>
    <row r="3343" spans="6:23" ht="24" customHeight="1">
      <c r="F3343" s="1640">
        <v>0.8</v>
      </c>
      <c r="G3343" s="1638" t="s">
        <v>4</v>
      </c>
      <c r="H3343" s="1627" t="s">
        <v>236</v>
      </c>
      <c r="I3343" s="1640">
        <f>AG12</f>
        <v>709.8</v>
      </c>
      <c r="J3343" s="1638" t="s">
        <v>4</v>
      </c>
      <c r="K3343" s="1640">
        <f>(F3343*I3343)</f>
        <v>567.84</v>
      </c>
      <c r="N3343" s="1630"/>
      <c r="O3343" s="1627" t="s">
        <v>1695</v>
      </c>
      <c r="Q3343" s="1634"/>
      <c r="W3343" s="1634"/>
    </row>
    <row r="3344" spans="6:23" ht="24" customHeight="1">
      <c r="G3344" s="1638" t="s">
        <v>226</v>
      </c>
      <c r="H3344" s="1627" t="s">
        <v>323</v>
      </c>
      <c r="I3344" s="1627" t="s">
        <v>150</v>
      </c>
      <c r="J3344" s="1628" t="s">
        <v>226</v>
      </c>
      <c r="K3344" s="1640">
        <v>2.6</v>
      </c>
      <c r="N3344" s="1630"/>
      <c r="O3344" s="1631" t="s">
        <v>2873</v>
      </c>
      <c r="Q3344" s="1634"/>
      <c r="W3344" s="1634"/>
    </row>
    <row r="3345" spans="6:23" ht="24" customHeight="1">
      <c r="J3345" s="1634"/>
      <c r="K3345" s="1636" t="s">
        <v>21</v>
      </c>
      <c r="N3345" s="1630"/>
      <c r="O3345" s="1636" t="s">
        <v>21</v>
      </c>
      <c r="Q3345" s="1634"/>
      <c r="W3345" s="1634"/>
    </row>
    <row r="3346" spans="6:23" ht="24" customHeight="1">
      <c r="H3346" s="1627" t="s">
        <v>238</v>
      </c>
      <c r="J3346" s="1634"/>
      <c r="K3346" s="1640">
        <f>SUM(K3340:K3345)</f>
        <v>1631.1319999999996</v>
      </c>
      <c r="N3346" s="1630"/>
      <c r="O3346" s="1627" t="s">
        <v>2874</v>
      </c>
      <c r="P3346" s="1694" t="s">
        <v>156</v>
      </c>
      <c r="Q3346" s="1725">
        <v>1.734</v>
      </c>
      <c r="R3346" s="1629" t="s">
        <v>306</v>
      </c>
      <c r="W3346" s="1634"/>
    </row>
    <row r="3347" spans="6:23" ht="24" customHeight="1">
      <c r="J3347" s="1634"/>
      <c r="K3347" s="1636" t="s">
        <v>21</v>
      </c>
      <c r="N3347" s="1630"/>
      <c r="O3347" s="1627"/>
      <c r="P3347" s="1694"/>
      <c r="Q3347" s="1725"/>
      <c r="W3347" s="1634"/>
    </row>
    <row r="3348" spans="6:23" ht="24" customHeight="1">
      <c r="H3348" s="1631" t="s">
        <v>155</v>
      </c>
      <c r="J3348" s="1634"/>
      <c r="K3348" s="1639">
        <f>(K3346/10)</f>
        <v>163.11319999999995</v>
      </c>
      <c r="N3348" s="1630"/>
      <c r="O3348" s="1627" t="s">
        <v>5718</v>
      </c>
      <c r="P3348" s="1694" t="s">
        <v>156</v>
      </c>
      <c r="Q3348" s="1809">
        <v>3.9E-2</v>
      </c>
      <c r="R3348" s="1629" t="s">
        <v>313</v>
      </c>
      <c r="W3348" s="1634"/>
    </row>
    <row r="3349" spans="6:23" ht="24" customHeight="1">
      <c r="F3349" s="1627" t="s">
        <v>150</v>
      </c>
      <c r="J3349" s="1634"/>
      <c r="N3349" s="1630"/>
      <c r="O3349" s="1627" t="s">
        <v>2801</v>
      </c>
      <c r="Q3349" s="1694"/>
      <c r="W3349" s="1634"/>
    </row>
    <row r="3350" spans="6:23" ht="24" customHeight="1">
      <c r="G3350" s="1629"/>
      <c r="J3350" s="1629"/>
      <c r="N3350" s="1630"/>
      <c r="O3350" s="1627" t="s">
        <v>2876</v>
      </c>
      <c r="P3350" s="1694" t="s">
        <v>156</v>
      </c>
      <c r="Q3350" s="1845">
        <v>1.2659999999999999E-2</v>
      </c>
      <c r="W3350" s="1634"/>
    </row>
    <row r="3351" spans="6:23" ht="24" customHeight="1">
      <c r="H3351" s="1661" t="s">
        <v>2877</v>
      </c>
      <c r="J3351" s="1629"/>
      <c r="N3351" s="1630"/>
      <c r="O3351" s="1627" t="s">
        <v>2878</v>
      </c>
      <c r="P3351" s="1694" t="s">
        <v>156</v>
      </c>
      <c r="Q3351" s="1851">
        <v>5.6249999999999998E-3</v>
      </c>
      <c r="R3351" s="1691"/>
      <c r="W3351" s="1634"/>
    </row>
    <row r="3352" spans="6:23" ht="24" customHeight="1">
      <c r="J3352" s="1629"/>
      <c r="N3352" s="1630"/>
      <c r="Q3352" s="1636" t="s">
        <v>21</v>
      </c>
      <c r="W3352" s="1634"/>
    </row>
    <row r="3353" spans="6:23" ht="24" customHeight="1">
      <c r="F3353" s="1629">
        <v>1.4</v>
      </c>
      <c r="G3353" s="1638" t="s">
        <v>320</v>
      </c>
      <c r="H3353" s="1629" t="s">
        <v>304</v>
      </c>
      <c r="I3353" s="1694">
        <f>I3366</f>
        <v>295.60000000000002</v>
      </c>
      <c r="J3353" s="1638" t="s">
        <v>320</v>
      </c>
      <c r="K3353" s="1629">
        <f>I3353*F3353</f>
        <v>413.84000000000003</v>
      </c>
      <c r="N3353" s="1630"/>
      <c r="Q3353" s="1846">
        <v>1.8290000000000001E-2</v>
      </c>
      <c r="R3353" s="1629" t="s">
        <v>313</v>
      </c>
      <c r="W3353" s="1634"/>
    </row>
    <row r="3354" spans="6:23" ht="24" customHeight="1">
      <c r="F3354" s="1629">
        <v>1.5</v>
      </c>
      <c r="G3354" s="1638" t="s">
        <v>4</v>
      </c>
      <c r="H3354" s="1629" t="s">
        <v>2879</v>
      </c>
      <c r="I3354" s="1694">
        <f>I3367</f>
        <v>1058.3999999999999</v>
      </c>
      <c r="J3354" s="1638" t="s">
        <v>4</v>
      </c>
      <c r="K3354" s="1629">
        <f>I3354*F3354</f>
        <v>1587.6</v>
      </c>
      <c r="N3354" s="1630"/>
      <c r="Q3354" s="1636" t="s">
        <v>21</v>
      </c>
      <c r="W3354" s="1634"/>
    </row>
    <row r="3355" spans="6:23" ht="24" customHeight="1">
      <c r="F3355" s="1629">
        <v>10</v>
      </c>
      <c r="G3355" s="1630" t="s">
        <v>306</v>
      </c>
      <c r="H3355" s="1627" t="s">
        <v>2797</v>
      </c>
      <c r="I3355" s="1694">
        <f>I3368</f>
        <v>5.6</v>
      </c>
      <c r="J3355" s="1630" t="s">
        <v>306</v>
      </c>
      <c r="K3355" s="1629">
        <f>I3355*F3355</f>
        <v>56</v>
      </c>
      <c r="N3355" s="1630"/>
      <c r="O3355" s="1627" t="s">
        <v>2880</v>
      </c>
      <c r="Q3355" s="1847">
        <v>0.4113</v>
      </c>
      <c r="R3355" s="1691"/>
      <c r="W3355" s="1634"/>
    </row>
    <row r="3356" spans="6:23" ht="24" customHeight="1">
      <c r="H3356" s="1627" t="s">
        <v>307</v>
      </c>
      <c r="I3356" s="1694" t="s">
        <v>2807</v>
      </c>
      <c r="J3356" s="1634"/>
      <c r="K3356" s="1629">
        <v>4.33</v>
      </c>
      <c r="N3356" s="1630"/>
      <c r="O3356" s="1627" t="s">
        <v>2881</v>
      </c>
      <c r="Q3356" s="1848">
        <v>0.19689999999999999</v>
      </c>
      <c r="R3356" s="1691"/>
      <c r="W3356" s="1634"/>
    </row>
    <row r="3357" spans="6:23" ht="24" customHeight="1">
      <c r="H3357" s="1627" t="s">
        <v>238</v>
      </c>
      <c r="J3357" s="1634"/>
      <c r="K3357" s="1629">
        <f>SUM(K3353:K3356)</f>
        <v>2061.77</v>
      </c>
      <c r="N3357" s="1630"/>
      <c r="O3357" s="1627"/>
      <c r="Q3357" s="1636" t="s">
        <v>21</v>
      </c>
      <c r="R3357" s="1691"/>
      <c r="W3357" s="1634"/>
    </row>
    <row r="3358" spans="6:23" ht="24" customHeight="1">
      <c r="H3358" s="1631" t="s">
        <v>155</v>
      </c>
      <c r="J3358" s="1634"/>
      <c r="K3358" s="1629">
        <f>K3357/10</f>
        <v>206.17699999999999</v>
      </c>
      <c r="N3358" s="1630"/>
      <c r="O3358" s="1627"/>
      <c r="Q3358" s="1849">
        <v>0.60819999999999996</v>
      </c>
      <c r="R3358" s="1661"/>
      <c r="W3358" s="1634"/>
    </row>
    <row r="3359" spans="6:23" ht="24" customHeight="1">
      <c r="J3359" s="1634"/>
      <c r="N3359" s="1630"/>
      <c r="Q3359" s="1636" t="s">
        <v>21</v>
      </c>
      <c r="R3359" s="1636"/>
      <c r="W3359" s="1634"/>
    </row>
    <row r="3360" spans="6:23" ht="24" customHeight="1">
      <c r="J3360" s="1634"/>
      <c r="M3360" s="1691">
        <v>3.9E-2</v>
      </c>
      <c r="N3360" s="1638" t="s">
        <v>151</v>
      </c>
      <c r="O3360" s="1627" t="s">
        <v>1710</v>
      </c>
      <c r="P3360" s="1640">
        <f>P3291</f>
        <v>111600</v>
      </c>
      <c r="Q3360" s="1628" t="s">
        <v>151</v>
      </c>
      <c r="R3360" s="1640">
        <f>P3360*M3360</f>
        <v>4352.3999999999996</v>
      </c>
      <c r="W3360" s="1634"/>
    </row>
    <row r="3361" spans="6:23" ht="24" customHeight="1">
      <c r="G3361" s="1629"/>
      <c r="J3361" s="1629"/>
      <c r="M3361" s="1691">
        <v>1.8290000000000001E-2</v>
      </c>
      <c r="N3361" s="1638" t="s">
        <v>151</v>
      </c>
      <c r="O3361" s="1627" t="s">
        <v>1711</v>
      </c>
      <c r="P3361" s="1640">
        <f>P3292</f>
        <v>99400</v>
      </c>
      <c r="Q3361" s="1628" t="s">
        <v>151</v>
      </c>
      <c r="R3361" s="1640">
        <f t="shared" ref="R3361:R3370" si="312">P3361*M3361</f>
        <v>1818.0260000000001</v>
      </c>
      <c r="W3361" s="1634"/>
    </row>
    <row r="3362" spans="6:23" ht="24" customHeight="1">
      <c r="G3362" s="1629"/>
      <c r="J3362" s="1629"/>
      <c r="M3362" s="1691">
        <v>0.60819999999999996</v>
      </c>
      <c r="N3362" s="1638" t="s">
        <v>152</v>
      </c>
      <c r="O3362" s="1627" t="s">
        <v>879</v>
      </c>
      <c r="P3362" s="1640">
        <f>P3325</f>
        <v>387.4</v>
      </c>
      <c r="Q3362" s="1628" t="s">
        <v>151</v>
      </c>
      <c r="R3362" s="1640">
        <f t="shared" si="312"/>
        <v>235.61667999999997</v>
      </c>
      <c r="W3362" s="1634"/>
    </row>
    <row r="3363" spans="6:23" ht="24" customHeight="1">
      <c r="G3363" s="1629"/>
      <c r="J3363" s="1629"/>
      <c r="M3363" s="1692">
        <v>1.734</v>
      </c>
      <c r="N3363" s="1638" t="s">
        <v>152</v>
      </c>
      <c r="O3363" s="1627" t="s">
        <v>1708</v>
      </c>
      <c r="P3363" s="1640">
        <f>P3328</f>
        <v>1906.8</v>
      </c>
      <c r="Q3363" s="1628" t="s">
        <v>152</v>
      </c>
      <c r="R3363" s="1640">
        <f t="shared" si="312"/>
        <v>3306.3912</v>
      </c>
      <c r="W3363" s="1634"/>
    </row>
    <row r="3364" spans="6:23" ht="24" customHeight="1">
      <c r="H3364" s="1661" t="s">
        <v>2882</v>
      </c>
      <c r="J3364" s="1629"/>
      <c r="M3364" s="1640">
        <v>2</v>
      </c>
      <c r="N3364" s="1638" t="s">
        <v>4</v>
      </c>
      <c r="O3364" s="1627" t="s">
        <v>2811</v>
      </c>
      <c r="P3364" s="1640">
        <f t="shared" ref="P3364:P3369" si="313">P3295</f>
        <v>57.65</v>
      </c>
      <c r="Q3364" s="1628" t="s">
        <v>153</v>
      </c>
      <c r="R3364" s="1640">
        <f t="shared" si="312"/>
        <v>115.3</v>
      </c>
      <c r="W3364" s="1634"/>
    </row>
    <row r="3365" spans="6:23" ht="24" customHeight="1">
      <c r="J3365" s="1629"/>
      <c r="M3365" s="1640">
        <v>4</v>
      </c>
      <c r="N3365" s="1638" t="s">
        <v>153</v>
      </c>
      <c r="O3365" s="1627" t="s">
        <v>391</v>
      </c>
      <c r="P3365" s="1640">
        <f t="shared" si="313"/>
        <v>89.6</v>
      </c>
      <c r="Q3365" s="1628" t="s">
        <v>153</v>
      </c>
      <c r="R3365" s="1640">
        <f t="shared" si="312"/>
        <v>358.4</v>
      </c>
      <c r="W3365" s="1634"/>
    </row>
    <row r="3366" spans="6:23" ht="24" customHeight="1">
      <c r="F3366" s="1629">
        <v>0.8</v>
      </c>
      <c r="G3366" s="1638" t="s">
        <v>320</v>
      </c>
      <c r="H3366" s="1629" t="s">
        <v>304</v>
      </c>
      <c r="I3366" s="1694">
        <f>P1319</f>
        <v>295.60000000000002</v>
      </c>
      <c r="J3366" s="1638" t="s">
        <v>320</v>
      </c>
      <c r="K3366" s="1629">
        <f>I3366*F3366</f>
        <v>236.48000000000002</v>
      </c>
      <c r="M3366" s="1640">
        <v>2</v>
      </c>
      <c r="N3366" s="1638" t="s">
        <v>153</v>
      </c>
      <c r="O3366" s="1627" t="s">
        <v>2831</v>
      </c>
      <c r="P3366" s="1640">
        <f t="shared" si="313"/>
        <v>97.85</v>
      </c>
      <c r="Q3366" s="1628" t="s">
        <v>153</v>
      </c>
      <c r="R3366" s="1640">
        <f t="shared" si="312"/>
        <v>195.7</v>
      </c>
      <c r="W3366" s="1634"/>
    </row>
    <row r="3367" spans="6:23" ht="24" customHeight="1">
      <c r="F3367" s="1629">
        <v>0.7</v>
      </c>
      <c r="G3367" s="1638" t="s">
        <v>4</v>
      </c>
      <c r="H3367" s="1629" t="s">
        <v>2879</v>
      </c>
      <c r="I3367" s="1629">
        <f>I3341</f>
        <v>1058.3999999999999</v>
      </c>
      <c r="J3367" s="1638" t="s">
        <v>4</v>
      </c>
      <c r="K3367" s="1629">
        <f>I3367*F3367</f>
        <v>740.87999999999988</v>
      </c>
      <c r="M3367" s="1640">
        <v>1</v>
      </c>
      <c r="N3367" s="1638" t="s">
        <v>153</v>
      </c>
      <c r="O3367" s="1627" t="s">
        <v>2832</v>
      </c>
      <c r="P3367" s="1640">
        <f t="shared" si="313"/>
        <v>209.9</v>
      </c>
      <c r="Q3367" s="1628" t="s">
        <v>153</v>
      </c>
      <c r="R3367" s="1640">
        <f t="shared" si="312"/>
        <v>209.9</v>
      </c>
      <c r="W3367" s="1634"/>
    </row>
    <row r="3368" spans="6:23" ht="24" customHeight="1">
      <c r="F3368" s="1629">
        <v>10</v>
      </c>
      <c r="G3368" s="1630" t="s">
        <v>306</v>
      </c>
      <c r="H3368" s="1627" t="s">
        <v>2797</v>
      </c>
      <c r="I3368" s="1629">
        <f>I3185</f>
        <v>5.6</v>
      </c>
      <c r="J3368" s="1630" t="s">
        <v>306</v>
      </c>
      <c r="K3368" s="1629">
        <f>I3368*F3368</f>
        <v>56</v>
      </c>
      <c r="M3368" s="1640">
        <v>1</v>
      </c>
      <c r="N3368" s="1638" t="s">
        <v>153</v>
      </c>
      <c r="O3368" s="1627" t="s">
        <v>2833</v>
      </c>
      <c r="P3368" s="1640">
        <f t="shared" si="313"/>
        <v>23.1</v>
      </c>
      <c r="Q3368" s="1628" t="s">
        <v>153</v>
      </c>
      <c r="R3368" s="1640">
        <f t="shared" si="312"/>
        <v>23.1</v>
      </c>
      <c r="W3368" s="1634"/>
    </row>
    <row r="3369" spans="6:23" ht="24" customHeight="1">
      <c r="H3369" s="1627" t="s">
        <v>307</v>
      </c>
      <c r="I3369" s="1694" t="s">
        <v>2807</v>
      </c>
      <c r="J3369" s="1634"/>
      <c r="K3369" s="1629">
        <v>1.6</v>
      </c>
      <c r="M3369" s="1640">
        <v>1</v>
      </c>
      <c r="N3369" s="1638" t="s">
        <v>153</v>
      </c>
      <c r="O3369" s="1627" t="s">
        <v>2834</v>
      </c>
      <c r="P3369" s="1640">
        <f t="shared" si="313"/>
        <v>49.55</v>
      </c>
      <c r="Q3369" s="1628" t="s">
        <v>153</v>
      </c>
      <c r="R3369" s="1640">
        <f t="shared" si="312"/>
        <v>49.55</v>
      </c>
      <c r="W3369" s="1634"/>
    </row>
    <row r="3370" spans="6:23" ht="24" customHeight="1">
      <c r="H3370" s="1627" t="s">
        <v>238</v>
      </c>
      <c r="J3370" s="1634"/>
      <c r="K3370" s="1629">
        <f>SUM(K3366:K3369)</f>
        <v>1034.9599999999998</v>
      </c>
      <c r="M3370" s="1640">
        <v>58</v>
      </c>
      <c r="N3370" s="1638" t="s">
        <v>153</v>
      </c>
      <c r="O3370" s="1629" t="s">
        <v>2768</v>
      </c>
      <c r="P3370" s="1629">
        <f>P3335</f>
        <v>2.41</v>
      </c>
      <c r="Q3370" s="1628" t="s">
        <v>153</v>
      </c>
      <c r="R3370" s="1640">
        <f t="shared" si="312"/>
        <v>139.78</v>
      </c>
      <c r="W3370" s="1634"/>
    </row>
    <row r="3371" spans="6:23" ht="24" customHeight="1">
      <c r="H3371" s="1631" t="s">
        <v>155</v>
      </c>
      <c r="J3371" s="1634"/>
      <c r="K3371" s="1629">
        <f>K3370/10</f>
        <v>103.49599999999998</v>
      </c>
      <c r="N3371" s="1630"/>
      <c r="Q3371" s="1634"/>
      <c r="R3371" s="1636" t="s">
        <v>21</v>
      </c>
      <c r="W3371" s="1634"/>
    </row>
    <row r="3372" spans="6:23" ht="24" customHeight="1">
      <c r="N3372" s="1630"/>
      <c r="O3372" s="1627" t="s">
        <v>2883</v>
      </c>
      <c r="Q3372" s="1634"/>
      <c r="R3372" s="1640">
        <f>SUM(R3360:R3370)</f>
        <v>10804.16388</v>
      </c>
      <c r="W3372" s="1634"/>
    </row>
    <row r="3373" spans="6:23" ht="24" customHeight="1">
      <c r="N3373" s="1630"/>
      <c r="Q3373" s="1634"/>
      <c r="R3373" s="1636" t="s">
        <v>21</v>
      </c>
      <c r="W3373" s="1634"/>
    </row>
    <row r="3374" spans="6:23" ht="24" customHeight="1">
      <c r="H3374" s="1627"/>
      <c r="I3374" s="1694"/>
      <c r="J3374" s="1725"/>
      <c r="N3374" s="1630"/>
      <c r="O3374" s="1631" t="s">
        <v>155</v>
      </c>
      <c r="Q3374" s="1735" t="s">
        <v>2597</v>
      </c>
      <c r="R3374" s="1639">
        <f>R3372/M3363</f>
        <v>6230.7750173010381</v>
      </c>
      <c r="W3374" s="1634"/>
    </row>
    <row r="3375" spans="6:23" ht="24" customHeight="1">
      <c r="H3375" s="1627" t="s">
        <v>5718</v>
      </c>
      <c r="I3375" s="1694" t="s">
        <v>156</v>
      </c>
      <c r="J3375" s="1809">
        <v>3.9E-2</v>
      </c>
      <c r="K3375" s="1629" t="s">
        <v>313</v>
      </c>
      <c r="N3375" s="1630"/>
      <c r="Q3375" s="1632"/>
      <c r="R3375" s="1636" t="s">
        <v>156</v>
      </c>
      <c r="W3375" s="1634"/>
    </row>
    <row r="3376" spans="6:23" ht="24" customHeight="1">
      <c r="H3376" s="1627" t="s">
        <v>2801</v>
      </c>
      <c r="J3376" s="1694"/>
      <c r="M3376" s="1628"/>
      <c r="N3376" s="1638" t="s">
        <v>249</v>
      </c>
      <c r="O3376" s="1627" t="s">
        <v>2872</v>
      </c>
      <c r="Q3376" s="1634"/>
      <c r="W3376" s="1634"/>
    </row>
    <row r="3377" spans="6:23" ht="24" customHeight="1">
      <c r="H3377" s="1627" t="s">
        <v>2884</v>
      </c>
      <c r="I3377" s="1694" t="s">
        <v>156</v>
      </c>
      <c r="J3377" s="1845">
        <v>1.519E-2</v>
      </c>
      <c r="N3377" s="1630"/>
      <c r="O3377" s="1627" t="s">
        <v>1695</v>
      </c>
      <c r="Q3377" s="1634"/>
      <c r="W3377" s="1634"/>
    </row>
    <row r="3378" spans="6:23" ht="24" customHeight="1">
      <c r="H3378" s="1627" t="s">
        <v>2885</v>
      </c>
      <c r="I3378" s="1694" t="s">
        <v>156</v>
      </c>
      <c r="J3378" s="1851">
        <v>6.7499999999999999E-3</v>
      </c>
      <c r="K3378" s="1691"/>
      <c r="N3378" s="1630"/>
      <c r="O3378" s="1631" t="s">
        <v>2886</v>
      </c>
      <c r="Q3378" s="1634"/>
      <c r="W3378" s="1634"/>
    </row>
    <row r="3379" spans="6:23" ht="24" customHeight="1">
      <c r="J3379" s="1636" t="s">
        <v>21</v>
      </c>
      <c r="N3379" s="1630"/>
      <c r="O3379" s="1636" t="s">
        <v>21</v>
      </c>
      <c r="Q3379" s="1634"/>
      <c r="W3379" s="1634"/>
    </row>
    <row r="3380" spans="6:23" ht="24" customHeight="1">
      <c r="J3380" s="1846">
        <v>2.1940000000000001E-2</v>
      </c>
      <c r="K3380" s="1629" t="s">
        <v>313</v>
      </c>
      <c r="N3380" s="1630"/>
      <c r="O3380" s="1627" t="s">
        <v>2887</v>
      </c>
      <c r="P3380" s="1694" t="s">
        <v>156</v>
      </c>
      <c r="Q3380" s="1725">
        <v>2.081</v>
      </c>
      <c r="R3380" s="1629" t="s">
        <v>306</v>
      </c>
      <c r="W3380" s="1634"/>
    </row>
    <row r="3381" spans="6:23" ht="24" customHeight="1">
      <c r="J3381" s="1636" t="s">
        <v>21</v>
      </c>
      <c r="N3381" s="1630"/>
      <c r="O3381" s="1627"/>
      <c r="P3381" s="1694"/>
      <c r="Q3381" s="1725"/>
      <c r="W3381" s="1634"/>
    </row>
    <row r="3382" spans="6:23" ht="24" customHeight="1">
      <c r="H3382" s="1627" t="s">
        <v>2862</v>
      </c>
      <c r="J3382" s="1847">
        <v>0.58750000000000002</v>
      </c>
      <c r="K3382" s="1691"/>
      <c r="N3382" s="1630"/>
      <c r="O3382" s="1627" t="s">
        <v>5718</v>
      </c>
      <c r="P3382" s="1694" t="s">
        <v>156</v>
      </c>
      <c r="Q3382" s="1809">
        <v>3.9E-2</v>
      </c>
      <c r="R3382" s="1629" t="s">
        <v>313</v>
      </c>
      <c r="W3382" s="1634"/>
    </row>
    <row r="3383" spans="6:23" ht="24" customHeight="1">
      <c r="H3383" s="1627" t="s">
        <v>2863</v>
      </c>
      <c r="J3383" s="1848">
        <v>0.28129999999999999</v>
      </c>
      <c r="K3383" s="1691"/>
      <c r="N3383" s="1630"/>
      <c r="O3383" s="1627" t="s">
        <v>2801</v>
      </c>
      <c r="Q3383" s="1694"/>
      <c r="W3383" s="1634"/>
    </row>
    <row r="3384" spans="6:23" ht="24" customHeight="1">
      <c r="H3384" s="1627"/>
      <c r="J3384" s="1636" t="s">
        <v>21</v>
      </c>
      <c r="K3384" s="1691"/>
      <c r="N3384" s="1630"/>
      <c r="O3384" s="1627" t="s">
        <v>2884</v>
      </c>
      <c r="P3384" s="1694" t="s">
        <v>156</v>
      </c>
      <c r="Q3384" s="1845">
        <v>1.519E-2</v>
      </c>
      <c r="W3384" s="1634"/>
    </row>
    <row r="3385" spans="6:23" ht="24" customHeight="1">
      <c r="H3385" s="1627"/>
      <c r="J3385" s="1849">
        <v>0.86880000000000002</v>
      </c>
      <c r="K3385" s="1661"/>
      <c r="N3385" s="1630"/>
      <c r="O3385" s="1627" t="s">
        <v>2885</v>
      </c>
      <c r="P3385" s="1694" t="s">
        <v>156</v>
      </c>
      <c r="Q3385" s="1851">
        <v>6.7499999999999999E-3</v>
      </c>
      <c r="R3385" s="1691"/>
      <c r="W3385" s="1634"/>
    </row>
    <row r="3386" spans="6:23" ht="24" customHeight="1">
      <c r="J3386" s="1636" t="s">
        <v>21</v>
      </c>
      <c r="K3386" s="1636"/>
      <c r="N3386" s="1630"/>
      <c r="Q3386" s="1636" t="s">
        <v>21</v>
      </c>
      <c r="W3386" s="1634"/>
    </row>
    <row r="3387" spans="6:23" ht="24" customHeight="1">
      <c r="F3387" s="1691">
        <v>3.9E-2</v>
      </c>
      <c r="G3387" s="1638" t="s">
        <v>151</v>
      </c>
      <c r="H3387" s="1627" t="s">
        <v>1710</v>
      </c>
      <c r="I3387" s="1640">
        <f>C88</f>
        <v>111600</v>
      </c>
      <c r="J3387" s="1628" t="s">
        <v>151</v>
      </c>
      <c r="K3387" s="1640">
        <v>2868.26</v>
      </c>
      <c r="N3387" s="1630"/>
      <c r="Q3387" s="1846">
        <v>2.1940000000000001E-2</v>
      </c>
      <c r="R3387" s="1629" t="s">
        <v>313</v>
      </c>
      <c r="W3387" s="1634"/>
    </row>
    <row r="3388" spans="6:23" ht="24" customHeight="1">
      <c r="F3388" s="1691">
        <v>2.1940000000000001E-2</v>
      </c>
      <c r="G3388" s="1638" t="s">
        <v>151</v>
      </c>
      <c r="H3388" s="1627" t="s">
        <v>1711</v>
      </c>
      <c r="I3388" s="1640">
        <f>C89</f>
        <v>99400</v>
      </c>
      <c r="J3388" s="1628" t="s">
        <v>151</v>
      </c>
      <c r="K3388" s="1640">
        <v>1435.86</v>
      </c>
      <c r="N3388" s="1630"/>
      <c r="Q3388" s="1636" t="s">
        <v>21</v>
      </c>
      <c r="W3388" s="1634"/>
    </row>
    <row r="3389" spans="6:23" ht="24" customHeight="1">
      <c r="F3389" s="1691">
        <v>0.86880000000000002</v>
      </c>
      <c r="G3389" s="1638" t="s">
        <v>152</v>
      </c>
      <c r="H3389" s="1627" t="s">
        <v>879</v>
      </c>
      <c r="I3389" s="1640">
        <f>C783</f>
        <v>387.4</v>
      </c>
      <c r="J3389" s="1628" t="s">
        <v>151</v>
      </c>
      <c r="K3389" s="1640">
        <v>336.66</v>
      </c>
      <c r="N3389" s="1630"/>
      <c r="O3389" s="1627" t="s">
        <v>2862</v>
      </c>
      <c r="Q3389" s="1847">
        <v>0.58750000000000002</v>
      </c>
      <c r="R3389" s="1691"/>
      <c r="W3389" s="1634"/>
    </row>
    <row r="3390" spans="6:23" ht="24" customHeight="1">
      <c r="F3390" s="1692">
        <v>2.081</v>
      </c>
      <c r="G3390" s="1638" t="s">
        <v>152</v>
      </c>
      <c r="H3390" s="1627" t="s">
        <v>1708</v>
      </c>
      <c r="I3390" s="1690">
        <v>363</v>
      </c>
      <c r="J3390" s="1628" t="s">
        <v>152</v>
      </c>
      <c r="K3390" s="1640">
        <v>755.4</v>
      </c>
      <c r="N3390" s="1630"/>
      <c r="O3390" s="1627" t="s">
        <v>2863</v>
      </c>
      <c r="Q3390" s="1848">
        <v>0.28129999999999999</v>
      </c>
      <c r="R3390" s="1691"/>
      <c r="W3390" s="1634"/>
    </row>
    <row r="3391" spans="6:23" ht="24" customHeight="1">
      <c r="F3391" s="1640">
        <v>2</v>
      </c>
      <c r="G3391" s="1638" t="s">
        <v>4</v>
      </c>
      <c r="H3391" s="1700" t="s">
        <v>2888</v>
      </c>
      <c r="I3391" s="1640">
        <f t="shared" ref="I3391:I3396" si="314">I3322</f>
        <v>57.65</v>
      </c>
      <c r="J3391" s="1628" t="s">
        <v>153</v>
      </c>
      <c r="K3391" s="1640">
        <v>84</v>
      </c>
      <c r="N3391" s="1630"/>
      <c r="O3391" s="1627"/>
      <c r="Q3391" s="1636" t="s">
        <v>21</v>
      </c>
      <c r="R3391" s="1691"/>
      <c r="W3391" s="1634"/>
    </row>
    <row r="3392" spans="6:23" ht="24" customHeight="1">
      <c r="F3392" s="1640">
        <v>4</v>
      </c>
      <c r="G3392" s="1638" t="s">
        <v>153</v>
      </c>
      <c r="H3392" s="1700" t="s">
        <v>2889</v>
      </c>
      <c r="I3392" s="1640">
        <f t="shared" si="314"/>
        <v>89.6</v>
      </c>
      <c r="J3392" s="1628" t="s">
        <v>153</v>
      </c>
      <c r="K3392" s="1640">
        <v>232</v>
      </c>
      <c r="N3392" s="1630"/>
      <c r="O3392" s="1627"/>
      <c r="Q3392" s="1849">
        <v>0.86880000000000002</v>
      </c>
      <c r="R3392" s="1661"/>
      <c r="W3392" s="1634"/>
    </row>
    <row r="3393" spans="6:23" ht="24" customHeight="1">
      <c r="F3393" s="1640">
        <v>2</v>
      </c>
      <c r="G3393" s="1638" t="s">
        <v>153</v>
      </c>
      <c r="H3393" s="1700" t="s">
        <v>2890</v>
      </c>
      <c r="I3393" s="1640">
        <f t="shared" si="314"/>
        <v>97.85</v>
      </c>
      <c r="J3393" s="1628" t="s">
        <v>153</v>
      </c>
      <c r="K3393" s="1640">
        <v>126</v>
      </c>
      <c r="N3393" s="1630"/>
      <c r="Q3393" s="1636" t="s">
        <v>21</v>
      </c>
      <c r="R3393" s="1636"/>
      <c r="W3393" s="1634"/>
    </row>
    <row r="3394" spans="6:23" ht="24" customHeight="1">
      <c r="F3394" s="1640">
        <v>1</v>
      </c>
      <c r="G3394" s="1638" t="s">
        <v>153</v>
      </c>
      <c r="H3394" s="1700" t="s">
        <v>2891</v>
      </c>
      <c r="I3394" s="1640">
        <f t="shared" si="314"/>
        <v>209.9</v>
      </c>
      <c r="J3394" s="1628" t="s">
        <v>153</v>
      </c>
      <c r="K3394" s="1640">
        <v>152</v>
      </c>
      <c r="M3394" s="1691">
        <v>3.9E-2</v>
      </c>
      <c r="N3394" s="1638" t="s">
        <v>151</v>
      </c>
      <c r="O3394" s="1627" t="s">
        <v>1710</v>
      </c>
      <c r="P3394" s="1640">
        <f>P3291</f>
        <v>111600</v>
      </c>
      <c r="Q3394" s="1628" t="s">
        <v>151</v>
      </c>
      <c r="R3394" s="1640">
        <f>P3394*M3394</f>
        <v>4352.3999999999996</v>
      </c>
      <c r="W3394" s="1634"/>
    </row>
    <row r="3395" spans="6:23" ht="24" customHeight="1">
      <c r="F3395" s="1640">
        <v>1</v>
      </c>
      <c r="G3395" s="1638" t="s">
        <v>153</v>
      </c>
      <c r="H3395" s="1700" t="s">
        <v>2833</v>
      </c>
      <c r="I3395" s="1640">
        <f t="shared" si="314"/>
        <v>23.1</v>
      </c>
      <c r="J3395" s="1628" t="s">
        <v>153</v>
      </c>
      <c r="K3395" s="1640">
        <v>20</v>
      </c>
      <c r="M3395" s="1691">
        <v>2.1940000000000001E-2</v>
      </c>
      <c r="N3395" s="1638" t="s">
        <v>151</v>
      </c>
      <c r="O3395" s="1627" t="s">
        <v>1711</v>
      </c>
      <c r="P3395" s="1640">
        <f>P3292</f>
        <v>99400</v>
      </c>
      <c r="Q3395" s="1628" t="s">
        <v>151</v>
      </c>
      <c r="R3395" s="1640">
        <f t="shared" ref="R3395:R3404" si="315">P3395*M3395</f>
        <v>2180.8360000000002</v>
      </c>
      <c r="W3395" s="1634"/>
    </row>
    <row r="3396" spans="6:23" ht="24" customHeight="1">
      <c r="F3396" s="1640">
        <v>1</v>
      </c>
      <c r="G3396" s="1638" t="s">
        <v>153</v>
      </c>
      <c r="H3396" s="1700" t="s">
        <v>2834</v>
      </c>
      <c r="I3396" s="1640">
        <f t="shared" si="314"/>
        <v>49.55</v>
      </c>
      <c r="J3396" s="1628" t="s">
        <v>153</v>
      </c>
      <c r="K3396" s="1640">
        <v>37</v>
      </c>
      <c r="M3396" s="1691">
        <v>0.86880000000000002</v>
      </c>
      <c r="N3396" s="1638" t="s">
        <v>152</v>
      </c>
      <c r="O3396" s="1627" t="s">
        <v>879</v>
      </c>
      <c r="P3396" s="1640">
        <f>P3362</f>
        <v>387.4</v>
      </c>
      <c r="Q3396" s="1628" t="s">
        <v>151</v>
      </c>
      <c r="R3396" s="1640">
        <f t="shared" si="315"/>
        <v>336.57311999999996</v>
      </c>
      <c r="W3396" s="1634"/>
    </row>
    <row r="3397" spans="6:23" ht="24" customHeight="1">
      <c r="H3397" s="1629" t="s">
        <v>2768</v>
      </c>
      <c r="J3397" s="1634"/>
      <c r="K3397" s="1856"/>
      <c r="M3397" s="1692">
        <v>2.081</v>
      </c>
      <c r="N3397" s="1638" t="s">
        <v>152</v>
      </c>
      <c r="O3397" s="1627" t="s">
        <v>1708</v>
      </c>
      <c r="P3397" s="1640">
        <f>P3294</f>
        <v>1701</v>
      </c>
      <c r="Q3397" s="1628" t="s">
        <v>152</v>
      </c>
      <c r="R3397" s="1640">
        <f t="shared" si="315"/>
        <v>3539.7809999999999</v>
      </c>
      <c r="W3397" s="1634"/>
    </row>
    <row r="3398" spans="6:23" ht="24" customHeight="1">
      <c r="J3398" s="1634"/>
      <c r="K3398" s="1636" t="s">
        <v>21</v>
      </c>
      <c r="M3398" s="1640">
        <v>2</v>
      </c>
      <c r="N3398" s="1638" t="s">
        <v>4</v>
      </c>
      <c r="O3398" s="1627" t="s">
        <v>2811</v>
      </c>
      <c r="P3398" s="1640">
        <f t="shared" ref="P3398:P3403" si="316">P3295</f>
        <v>57.65</v>
      </c>
      <c r="Q3398" s="1628" t="s">
        <v>153</v>
      </c>
      <c r="R3398" s="1640">
        <f t="shared" si="315"/>
        <v>115.3</v>
      </c>
      <c r="W3398" s="1634"/>
    </row>
    <row r="3399" spans="6:23" ht="24" customHeight="1">
      <c r="H3399" s="1627" t="s">
        <v>2892</v>
      </c>
      <c r="J3399" s="1634"/>
      <c r="K3399" s="1640">
        <v>6067.81</v>
      </c>
      <c r="M3399" s="1640">
        <v>4</v>
      </c>
      <c r="N3399" s="1638" t="s">
        <v>153</v>
      </c>
      <c r="O3399" s="1627" t="s">
        <v>391</v>
      </c>
      <c r="P3399" s="1640">
        <f t="shared" si="316"/>
        <v>89.6</v>
      </c>
      <c r="Q3399" s="1628" t="s">
        <v>153</v>
      </c>
      <c r="R3399" s="1640">
        <f t="shared" si="315"/>
        <v>358.4</v>
      </c>
      <c r="W3399" s="1634"/>
    </row>
    <row r="3400" spans="6:23" ht="24" customHeight="1">
      <c r="J3400" s="1634"/>
      <c r="K3400" s="1636" t="s">
        <v>21</v>
      </c>
      <c r="M3400" s="1640">
        <v>2</v>
      </c>
      <c r="N3400" s="1638" t="s">
        <v>153</v>
      </c>
      <c r="O3400" s="1627" t="s">
        <v>2831</v>
      </c>
      <c r="P3400" s="1640">
        <f t="shared" si="316"/>
        <v>97.85</v>
      </c>
      <c r="Q3400" s="1628" t="s">
        <v>153</v>
      </c>
      <c r="R3400" s="1640">
        <f t="shared" si="315"/>
        <v>195.7</v>
      </c>
      <c r="W3400" s="1634"/>
    </row>
    <row r="3401" spans="6:23" ht="24" customHeight="1">
      <c r="H3401" s="1631" t="s">
        <v>155</v>
      </c>
      <c r="J3401" s="1735" t="s">
        <v>2597</v>
      </c>
      <c r="K3401" s="1639">
        <v>2915.81</v>
      </c>
      <c r="M3401" s="1640">
        <v>1</v>
      </c>
      <c r="N3401" s="1638" t="s">
        <v>153</v>
      </c>
      <c r="O3401" s="1627" t="s">
        <v>2832</v>
      </c>
      <c r="P3401" s="1640">
        <f t="shared" si="316"/>
        <v>209.9</v>
      </c>
      <c r="Q3401" s="1628" t="s">
        <v>153</v>
      </c>
      <c r="R3401" s="1640">
        <f t="shared" si="315"/>
        <v>209.9</v>
      </c>
      <c r="W3401" s="1634"/>
    </row>
    <row r="3402" spans="6:23" ht="24" customHeight="1">
      <c r="K3402" s="1636" t="s">
        <v>156</v>
      </c>
      <c r="M3402" s="1640">
        <v>1</v>
      </c>
      <c r="N3402" s="1638" t="s">
        <v>153</v>
      </c>
      <c r="O3402" s="1627" t="s">
        <v>2833</v>
      </c>
      <c r="P3402" s="1640">
        <f t="shared" si="316"/>
        <v>23.1</v>
      </c>
      <c r="Q3402" s="1628" t="s">
        <v>153</v>
      </c>
      <c r="R3402" s="1640">
        <f t="shared" si="315"/>
        <v>23.1</v>
      </c>
      <c r="W3402" s="1634"/>
    </row>
    <row r="3403" spans="6:23" ht="24" customHeight="1">
      <c r="M3403" s="1640">
        <v>1</v>
      </c>
      <c r="N3403" s="1638" t="s">
        <v>153</v>
      </c>
      <c r="O3403" s="1627" t="s">
        <v>2834</v>
      </c>
      <c r="P3403" s="1640">
        <f t="shared" si="316"/>
        <v>49.55</v>
      </c>
      <c r="Q3403" s="1628" t="s">
        <v>153</v>
      </c>
      <c r="R3403" s="1640">
        <f t="shared" si="315"/>
        <v>49.55</v>
      </c>
      <c r="W3403" s="1634"/>
    </row>
    <row r="3404" spans="6:23" ht="24" customHeight="1">
      <c r="M3404" s="1640">
        <v>58</v>
      </c>
      <c r="N3404" s="1638" t="s">
        <v>153</v>
      </c>
      <c r="O3404" s="1629" t="s">
        <v>2768</v>
      </c>
      <c r="P3404" s="1629">
        <f>P3370</f>
        <v>2.41</v>
      </c>
      <c r="Q3404" s="1634"/>
      <c r="R3404" s="1640">
        <f t="shared" si="315"/>
        <v>139.78</v>
      </c>
      <c r="W3404" s="1634"/>
    </row>
    <row r="3405" spans="6:23" ht="24" customHeight="1">
      <c r="N3405" s="1630"/>
      <c r="Q3405" s="1634"/>
      <c r="R3405" s="1636" t="s">
        <v>21</v>
      </c>
      <c r="W3405" s="1634"/>
    </row>
    <row r="3406" spans="6:23" ht="24" customHeight="1">
      <c r="H3406" s="1677" t="s">
        <v>2893</v>
      </c>
      <c r="I3406" s="1677"/>
      <c r="N3406" s="1630"/>
      <c r="O3406" s="1627" t="s">
        <v>2892</v>
      </c>
      <c r="Q3406" s="1634"/>
      <c r="R3406" s="1640">
        <f>SUM(R3394:R3404)</f>
        <v>11501.32012</v>
      </c>
      <c r="W3406" s="1634"/>
    </row>
    <row r="3407" spans="6:23" ht="24" customHeight="1">
      <c r="N3407" s="1630"/>
      <c r="Q3407" s="1634"/>
      <c r="R3407" s="1636" t="s">
        <v>21</v>
      </c>
      <c r="W3407" s="1634"/>
    </row>
    <row r="3408" spans="6:23" ht="24" customHeight="1">
      <c r="F3408" s="1629" t="s">
        <v>2894</v>
      </c>
      <c r="I3408" s="1808">
        <f>2*0.95*2.325</f>
        <v>4.4175000000000004</v>
      </c>
      <c r="N3408" s="1630"/>
      <c r="O3408" s="1631" t="s">
        <v>155</v>
      </c>
      <c r="Q3408" s="1735" t="s">
        <v>2597</v>
      </c>
      <c r="R3408" s="1639">
        <f>R3406/M3397</f>
        <v>5526.8237001441621</v>
      </c>
      <c r="W3408" s="1634"/>
    </row>
    <row r="3409" spans="6:23" ht="24" customHeight="1">
      <c r="F3409" s="1629" t="s">
        <v>2895</v>
      </c>
      <c r="I3409" s="1808">
        <f>2*2*2.325*0.075*0.0375</f>
        <v>2.6156249999999999E-2</v>
      </c>
      <c r="N3409" s="1630"/>
      <c r="Q3409" s="1632"/>
      <c r="R3409" s="1636" t="s">
        <v>156</v>
      </c>
      <c r="W3409" s="1634"/>
    </row>
    <row r="3410" spans="6:23" ht="24" customHeight="1">
      <c r="F3410" s="1629" t="s">
        <v>2544</v>
      </c>
      <c r="I3410" s="1698">
        <f>2*3*0.95*0.15*0.0375</f>
        <v>3.2062499999999994E-2</v>
      </c>
      <c r="W3410" s="1634"/>
    </row>
    <row r="3411" spans="6:23" ht="24" customHeight="1">
      <c r="F3411" s="1629" t="s">
        <v>2896</v>
      </c>
      <c r="G3411" s="1630" t="s">
        <v>2897</v>
      </c>
      <c r="I3411" s="1698">
        <f>2*2*0.95*0.075*0.0375</f>
        <v>1.0687499999999999E-2</v>
      </c>
      <c r="N3411" s="1630"/>
      <c r="O3411" s="1661"/>
      <c r="Q3411" s="1632"/>
      <c r="W3411" s="1634"/>
    </row>
    <row r="3412" spans="6:23" ht="24" customHeight="1">
      <c r="I3412" s="1809">
        <f>SUM(I3410:I3411)</f>
        <v>4.2749999999999996E-2</v>
      </c>
      <c r="W3412" s="1634"/>
    </row>
    <row r="3413" spans="6:23" ht="24" customHeight="1">
      <c r="W3413" s="1634"/>
    </row>
    <row r="3414" spans="6:23" ht="24" customHeight="1">
      <c r="W3414" s="1634"/>
    </row>
    <row r="3415" spans="6:23" ht="24" customHeight="1">
      <c r="F3415" s="1629" t="s">
        <v>2898</v>
      </c>
      <c r="I3415" s="1698">
        <f>2*4*0.825*0.36*0.01875</f>
        <v>4.4549999999999999E-2</v>
      </c>
      <c r="W3415" s="1634"/>
    </row>
    <row r="3416" spans="6:23" ht="24" customHeight="1">
      <c r="F3416" s="1629" t="s">
        <v>2899</v>
      </c>
      <c r="I3416" s="1698">
        <f>2*0.825*0.36*0.01875</f>
        <v>1.11375E-2</v>
      </c>
      <c r="W3416" s="1634"/>
    </row>
    <row r="3417" spans="6:23" ht="24" customHeight="1">
      <c r="I3417" s="1809">
        <f>SUM(I3415:I3416)</f>
        <v>5.5687500000000001E-2</v>
      </c>
      <c r="W3417" s="1634"/>
    </row>
    <row r="3418" spans="6:23" ht="24" customHeight="1">
      <c r="H3418" s="1661" t="s">
        <v>2540</v>
      </c>
      <c r="M3418" s="1628"/>
      <c r="N3418" s="1638" t="s">
        <v>249</v>
      </c>
      <c r="O3418" s="1627" t="s">
        <v>2818</v>
      </c>
      <c r="Q3418" s="1634"/>
      <c r="W3418" s="1634"/>
    </row>
    <row r="3419" spans="6:23" ht="24" customHeight="1">
      <c r="N3419" s="1630"/>
      <c r="O3419" s="1627" t="s">
        <v>1695</v>
      </c>
      <c r="Q3419" s="1634"/>
      <c r="W3419" s="1634"/>
    </row>
    <row r="3420" spans="6:23" ht="24" customHeight="1">
      <c r="F3420" s="1698">
        <f>I3409</f>
        <v>2.6156249999999999E-2</v>
      </c>
      <c r="G3420" s="1630" t="s">
        <v>151</v>
      </c>
      <c r="H3420" s="1629" t="s">
        <v>2541</v>
      </c>
      <c r="I3420" s="1629">
        <f>I2633</f>
        <v>111600</v>
      </c>
      <c r="J3420" s="1632" t="s">
        <v>151</v>
      </c>
      <c r="K3420" s="1629">
        <f>F3420*I3420</f>
        <v>2919.0374999999999</v>
      </c>
      <c r="N3420" s="1630"/>
      <c r="O3420" s="1631" t="s">
        <v>2835</v>
      </c>
      <c r="Q3420" s="1634"/>
      <c r="W3420" s="1634"/>
    </row>
    <row r="3421" spans="6:23" ht="24" customHeight="1">
      <c r="F3421" s="1698">
        <f>I3412</f>
        <v>4.2749999999999996E-2</v>
      </c>
      <c r="G3421" s="1630" t="s">
        <v>151</v>
      </c>
      <c r="H3421" s="1629" t="s">
        <v>1797</v>
      </c>
      <c r="I3421" s="1629">
        <f>I2634</f>
        <v>99400</v>
      </c>
      <c r="J3421" s="1632" t="s">
        <v>151</v>
      </c>
      <c r="K3421" s="1629">
        <f t="shared" ref="K3421:K3430" si="317">F3421*I3421</f>
        <v>4249.3499999999995</v>
      </c>
      <c r="N3421" s="1630"/>
      <c r="O3421" s="1636" t="s">
        <v>21</v>
      </c>
      <c r="Q3421" s="1634"/>
      <c r="W3421" s="1634"/>
    </row>
    <row r="3422" spans="6:23" ht="24" customHeight="1">
      <c r="F3422" s="1723">
        <f>I3417</f>
        <v>5.5687500000000001E-2</v>
      </c>
      <c r="G3422" s="1630" t="s">
        <v>151</v>
      </c>
      <c r="H3422" s="1629" t="s">
        <v>2900</v>
      </c>
      <c r="I3422" s="1629">
        <f>I2635</f>
        <v>107000</v>
      </c>
      <c r="J3422" s="1632" t="s">
        <v>151</v>
      </c>
      <c r="K3422" s="1629">
        <f t="shared" si="317"/>
        <v>5958.5625</v>
      </c>
      <c r="N3422" s="1630"/>
      <c r="O3422" s="1627" t="s">
        <v>2836</v>
      </c>
      <c r="P3422" s="1694" t="s">
        <v>156</v>
      </c>
      <c r="Q3422" s="1725">
        <v>2.4279999999999999</v>
      </c>
      <c r="R3422" s="1629" t="s">
        <v>306</v>
      </c>
      <c r="W3422" s="1634"/>
    </row>
    <row r="3423" spans="6:23" ht="24" customHeight="1">
      <c r="F3423" s="1698">
        <f>I3408</f>
        <v>4.4175000000000004</v>
      </c>
      <c r="G3423" s="1630" t="s">
        <v>152</v>
      </c>
      <c r="H3423" s="1629" t="s">
        <v>1799</v>
      </c>
      <c r="I3423" s="1629">
        <f>I2636</f>
        <v>2039.8</v>
      </c>
      <c r="J3423" s="1632" t="s">
        <v>152</v>
      </c>
      <c r="K3423" s="1629">
        <f t="shared" si="317"/>
        <v>9010.8165000000008</v>
      </c>
      <c r="N3423" s="1630"/>
      <c r="O3423" s="1627"/>
      <c r="P3423" s="1694"/>
      <c r="Q3423" s="1725"/>
      <c r="W3423" s="1634"/>
    </row>
    <row r="3424" spans="6:23" ht="24" customHeight="1">
      <c r="F3424" s="1629">
        <v>2</v>
      </c>
      <c r="G3424" s="1630" t="s">
        <v>295</v>
      </c>
      <c r="H3424" s="1629" t="s">
        <v>2565</v>
      </c>
      <c r="I3424" s="1629">
        <v>450</v>
      </c>
      <c r="J3424" s="1632" t="s">
        <v>340</v>
      </c>
      <c r="K3424" s="1629">
        <f t="shared" si="317"/>
        <v>900</v>
      </c>
      <c r="N3424" s="1630"/>
      <c r="O3424" s="1627" t="s">
        <v>5711</v>
      </c>
      <c r="P3424" s="1694" t="s">
        <v>156</v>
      </c>
      <c r="Q3424" s="1809">
        <v>5.1999999999999998E-2</v>
      </c>
      <c r="R3424" s="1629" t="s">
        <v>313</v>
      </c>
      <c r="W3424" s="1634"/>
    </row>
    <row r="3425" spans="6:23" ht="24" customHeight="1">
      <c r="F3425" s="1629">
        <v>6</v>
      </c>
      <c r="G3425" s="1630" t="s">
        <v>295</v>
      </c>
      <c r="H3425" s="1629" t="s">
        <v>2566</v>
      </c>
      <c r="I3425" s="1629">
        <v>79</v>
      </c>
      <c r="J3425" s="1632" t="s">
        <v>340</v>
      </c>
      <c r="K3425" s="1629">
        <f t="shared" si="317"/>
        <v>474</v>
      </c>
      <c r="N3425" s="1630"/>
      <c r="O3425" s="1627" t="s">
        <v>2801</v>
      </c>
      <c r="Q3425" s="1694"/>
      <c r="W3425" s="1634"/>
    </row>
    <row r="3426" spans="6:23" ht="24" customHeight="1">
      <c r="F3426" s="1629">
        <v>4</v>
      </c>
      <c r="G3426" s="1630" t="s">
        <v>295</v>
      </c>
      <c r="H3426" s="1629" t="s">
        <v>2567</v>
      </c>
      <c r="I3426" s="1629">
        <v>130</v>
      </c>
      <c r="J3426" s="1632" t="s">
        <v>340</v>
      </c>
      <c r="K3426" s="1629">
        <f t="shared" si="317"/>
        <v>520</v>
      </c>
      <c r="N3426" s="1630"/>
      <c r="O3426" s="1627" t="s">
        <v>2839</v>
      </c>
      <c r="P3426" s="1694" t="s">
        <v>156</v>
      </c>
      <c r="Q3426" s="1845">
        <v>1.772E-2</v>
      </c>
      <c r="W3426" s="1634"/>
    </row>
    <row r="3427" spans="6:23" ht="24" customHeight="1">
      <c r="F3427" s="1629">
        <v>1</v>
      </c>
      <c r="G3427" s="1630" t="s">
        <v>295</v>
      </c>
      <c r="H3427" s="1629" t="s">
        <v>2568</v>
      </c>
      <c r="I3427" s="1629">
        <v>985</v>
      </c>
      <c r="J3427" s="1632" t="s">
        <v>340</v>
      </c>
      <c r="K3427" s="1629">
        <f t="shared" si="317"/>
        <v>985</v>
      </c>
      <c r="N3427" s="1630"/>
      <c r="O3427" s="1627" t="s">
        <v>2840</v>
      </c>
      <c r="P3427" s="1694" t="s">
        <v>156</v>
      </c>
      <c r="Q3427" s="1851">
        <v>7.8750000000000001E-3</v>
      </c>
      <c r="R3427" s="1691"/>
      <c r="W3427" s="1634"/>
    </row>
    <row r="3428" spans="6:23" ht="24" customHeight="1">
      <c r="F3428" s="1629">
        <v>2</v>
      </c>
      <c r="G3428" s="1630" t="s">
        <v>295</v>
      </c>
      <c r="H3428" s="1629" t="s">
        <v>2569</v>
      </c>
      <c r="I3428" s="1629">
        <f>I3395</f>
        <v>23.1</v>
      </c>
      <c r="J3428" s="1632" t="s">
        <v>340</v>
      </c>
      <c r="K3428" s="1629">
        <f t="shared" si="317"/>
        <v>46.2</v>
      </c>
      <c r="N3428" s="1630"/>
      <c r="Q3428" s="1636" t="s">
        <v>21</v>
      </c>
      <c r="W3428" s="1634"/>
    </row>
    <row r="3429" spans="6:23" ht="24" customHeight="1">
      <c r="F3429" s="1629">
        <v>2</v>
      </c>
      <c r="G3429" s="1630" t="s">
        <v>295</v>
      </c>
      <c r="H3429" s="1629" t="s">
        <v>886</v>
      </c>
      <c r="I3429" s="1629">
        <f>I3396</f>
        <v>49.55</v>
      </c>
      <c r="J3429" s="1632" t="s">
        <v>340</v>
      </c>
      <c r="K3429" s="1629">
        <f t="shared" si="317"/>
        <v>99.1</v>
      </c>
      <c r="N3429" s="1630"/>
      <c r="Q3429" s="1846">
        <v>2.5600000000000001E-2</v>
      </c>
      <c r="R3429" s="1629" t="s">
        <v>313</v>
      </c>
      <c r="W3429" s="1634"/>
    </row>
    <row r="3430" spans="6:23" ht="24" customHeight="1">
      <c r="F3430" s="1633">
        <v>130</v>
      </c>
      <c r="G3430" s="1630" t="s">
        <v>295</v>
      </c>
      <c r="H3430" s="1629" t="s">
        <v>1733</v>
      </c>
      <c r="I3430" s="1629">
        <f>I3328</f>
        <v>2.41</v>
      </c>
      <c r="K3430" s="1629">
        <f t="shared" si="317"/>
        <v>313.3</v>
      </c>
      <c r="N3430" s="1630"/>
      <c r="Q3430" s="1636" t="s">
        <v>21</v>
      </c>
      <c r="W3430" s="1634"/>
    </row>
    <row r="3431" spans="6:23" ht="24" customHeight="1">
      <c r="K3431" s="1664"/>
      <c r="N3431" s="1630"/>
      <c r="O3431" s="1627" t="s">
        <v>2901</v>
      </c>
      <c r="Q3431" s="1809">
        <v>0.58750000000000002</v>
      </c>
      <c r="R3431" s="1710" t="s">
        <v>306</v>
      </c>
      <c r="W3431" s="1634"/>
    </row>
    <row r="3432" spans="6:23" ht="24" customHeight="1">
      <c r="G3432" s="1688"/>
      <c r="H3432" s="1661" t="s">
        <v>2902</v>
      </c>
      <c r="K3432" s="1661">
        <f>SUM(K3420:K3431)</f>
        <v>25475.366499999996</v>
      </c>
      <c r="N3432" s="1630"/>
      <c r="O3432" s="1627" t="s">
        <v>2903</v>
      </c>
      <c r="Q3432" s="1849">
        <v>5.3E-3</v>
      </c>
      <c r="R3432" s="1710" t="s">
        <v>313</v>
      </c>
      <c r="W3432" s="1634"/>
    </row>
    <row r="3433" spans="6:23" ht="24" customHeight="1">
      <c r="G3433" s="1688"/>
      <c r="K3433" s="1664" t="s">
        <v>1810</v>
      </c>
      <c r="N3433" s="1630"/>
      <c r="O3433" s="1627" t="s">
        <v>2904</v>
      </c>
      <c r="Q3433" s="1849">
        <v>6.7</v>
      </c>
      <c r="R3433" s="1710" t="s">
        <v>303</v>
      </c>
      <c r="W3433" s="1634"/>
    </row>
    <row r="3434" spans="6:23" ht="24" customHeight="1">
      <c r="G3434" s="1688"/>
      <c r="H3434" s="1661" t="s">
        <v>155</v>
      </c>
      <c r="K3434" s="1661">
        <f>K3432/F3423</f>
        <v>5766.9194114318043</v>
      </c>
      <c r="N3434" s="1630"/>
      <c r="Q3434" s="1636"/>
      <c r="R3434" s="1636"/>
      <c r="W3434" s="1634"/>
    </row>
    <row r="3435" spans="6:23" ht="24" customHeight="1">
      <c r="G3435" s="1629"/>
      <c r="J3435" s="1629"/>
      <c r="M3435" s="1691">
        <v>5.1999999999999998E-2</v>
      </c>
      <c r="N3435" s="1638" t="s">
        <v>151</v>
      </c>
      <c r="O3435" s="1627" t="s">
        <v>1710</v>
      </c>
      <c r="P3435" s="1640">
        <f>P3221</f>
        <v>111600</v>
      </c>
      <c r="Q3435" s="1628" t="s">
        <v>151</v>
      </c>
      <c r="R3435" s="1640">
        <f>P3435*M3435</f>
        <v>5803.2</v>
      </c>
      <c r="W3435" s="1634"/>
    </row>
    <row r="3436" spans="6:23" ht="24" customHeight="1">
      <c r="M3436" s="1691">
        <v>2.5600000000000001E-2</v>
      </c>
      <c r="N3436" s="1638" t="s">
        <v>151</v>
      </c>
      <c r="O3436" s="1627" t="s">
        <v>1711</v>
      </c>
      <c r="P3436" s="1640">
        <f>P3222</f>
        <v>99400</v>
      </c>
      <c r="Q3436" s="1628" t="s">
        <v>151</v>
      </c>
      <c r="R3436" s="1640">
        <f t="shared" ref="R3436:R3448" si="318">P3436*M3436</f>
        <v>2544.6400000000003</v>
      </c>
      <c r="W3436" s="1634"/>
    </row>
    <row r="3437" spans="6:23" ht="24" customHeight="1">
      <c r="M3437" s="1691">
        <v>5.3E-3</v>
      </c>
      <c r="N3437" s="1638" t="s">
        <v>151</v>
      </c>
      <c r="O3437" s="1627" t="s">
        <v>2808</v>
      </c>
      <c r="P3437" s="1640">
        <f>P3223</f>
        <v>107000</v>
      </c>
      <c r="Q3437" s="1628" t="s">
        <v>151</v>
      </c>
      <c r="R3437" s="1640">
        <f t="shared" si="318"/>
        <v>567.1</v>
      </c>
      <c r="W3437" s="1634"/>
    </row>
    <row r="3438" spans="6:23" ht="24" customHeight="1">
      <c r="M3438" s="1692"/>
      <c r="N3438" s="1630"/>
      <c r="O3438" s="1627" t="s">
        <v>1785</v>
      </c>
      <c r="P3438" s="1640"/>
      <c r="Q3438" s="1634"/>
      <c r="R3438" s="1640">
        <f t="shared" si="318"/>
        <v>0</v>
      </c>
      <c r="W3438" s="1634"/>
    </row>
    <row r="3439" spans="6:23" ht="24" customHeight="1">
      <c r="M3439" s="1692">
        <v>0.58750000000000002</v>
      </c>
      <c r="N3439" s="1638" t="s">
        <v>152</v>
      </c>
      <c r="O3439" s="1627" t="s">
        <v>2868</v>
      </c>
      <c r="P3439" s="1640">
        <f>P3225</f>
        <v>562.5</v>
      </c>
      <c r="Q3439" s="1634" t="s">
        <v>152</v>
      </c>
      <c r="R3439" s="1640">
        <f t="shared" si="318"/>
        <v>330.46875</v>
      </c>
      <c r="W3439" s="1634"/>
    </row>
    <row r="3440" spans="6:23" ht="24" customHeight="1">
      <c r="M3440" s="1692">
        <v>6.7</v>
      </c>
      <c r="N3440" s="1638" t="s">
        <v>552</v>
      </c>
      <c r="O3440" s="1627" t="s">
        <v>2869</v>
      </c>
      <c r="P3440" s="1640">
        <f>P3226</f>
        <v>15.45</v>
      </c>
      <c r="Q3440" s="1634" t="s">
        <v>303</v>
      </c>
      <c r="R3440" s="1640">
        <f t="shared" si="318"/>
        <v>103.515</v>
      </c>
      <c r="W3440" s="1634"/>
    </row>
    <row r="3441" spans="6:23" ht="24" customHeight="1">
      <c r="M3441" s="1692">
        <v>2.4279999999999999</v>
      </c>
      <c r="N3441" s="1638" t="s">
        <v>152</v>
      </c>
      <c r="O3441" s="1627" t="s">
        <v>1708</v>
      </c>
      <c r="P3441" s="1640">
        <f>P3227</f>
        <v>1906.8</v>
      </c>
      <c r="Q3441" s="1628" t="s">
        <v>152</v>
      </c>
      <c r="R3441" s="1640">
        <f t="shared" si="318"/>
        <v>4629.7103999999999</v>
      </c>
      <c r="W3441" s="1634"/>
    </row>
    <row r="3442" spans="6:23" ht="24" customHeight="1">
      <c r="M3442" s="1640">
        <v>4</v>
      </c>
      <c r="N3442" s="1638" t="s">
        <v>4</v>
      </c>
      <c r="O3442" s="1627" t="s">
        <v>2811</v>
      </c>
      <c r="P3442" s="1640">
        <f t="shared" ref="P3442:P3447" si="319">P3228</f>
        <v>57.65</v>
      </c>
      <c r="Q3442" s="1628" t="s">
        <v>153</v>
      </c>
      <c r="R3442" s="1640">
        <f t="shared" si="318"/>
        <v>230.6</v>
      </c>
      <c r="W3442" s="1634"/>
    </row>
    <row r="3443" spans="6:23" ht="55.5" customHeight="1">
      <c r="M3443" s="1640">
        <v>8</v>
      </c>
      <c r="N3443" s="1638" t="s">
        <v>153</v>
      </c>
      <c r="O3443" s="1627" t="s">
        <v>391</v>
      </c>
      <c r="P3443" s="1640">
        <f t="shared" si="319"/>
        <v>89.6</v>
      </c>
      <c r="Q3443" s="1628" t="s">
        <v>153</v>
      </c>
      <c r="R3443" s="1640">
        <f t="shared" si="318"/>
        <v>716.8</v>
      </c>
      <c r="W3443" s="1634"/>
    </row>
    <row r="3444" spans="6:23" ht="24" customHeight="1">
      <c r="M3444" s="1640">
        <v>4</v>
      </c>
      <c r="N3444" s="1638" t="s">
        <v>153</v>
      </c>
      <c r="O3444" s="1627" t="s">
        <v>2831</v>
      </c>
      <c r="P3444" s="1640">
        <f t="shared" si="319"/>
        <v>97.85</v>
      </c>
      <c r="Q3444" s="1628" t="s">
        <v>153</v>
      </c>
      <c r="R3444" s="1640">
        <f t="shared" si="318"/>
        <v>391.4</v>
      </c>
      <c r="W3444" s="1634"/>
    </row>
    <row r="3445" spans="6:23" ht="24" customHeight="1">
      <c r="M3445" s="1640">
        <v>1</v>
      </c>
      <c r="N3445" s="1638" t="s">
        <v>153</v>
      </c>
      <c r="O3445" s="1627" t="s">
        <v>2832</v>
      </c>
      <c r="P3445" s="1640">
        <f t="shared" si="319"/>
        <v>209.9</v>
      </c>
      <c r="Q3445" s="1628" t="s">
        <v>153</v>
      </c>
      <c r="R3445" s="1640">
        <f t="shared" si="318"/>
        <v>209.9</v>
      </c>
      <c r="W3445" s="1634"/>
    </row>
    <row r="3446" spans="6:23" ht="24" customHeight="1">
      <c r="M3446" s="1640">
        <v>2</v>
      </c>
      <c r="N3446" s="1638" t="s">
        <v>153</v>
      </c>
      <c r="O3446" s="1627" t="s">
        <v>2833</v>
      </c>
      <c r="P3446" s="1640">
        <f t="shared" si="319"/>
        <v>23.1</v>
      </c>
      <c r="Q3446" s="1628" t="s">
        <v>153</v>
      </c>
      <c r="R3446" s="1640">
        <f t="shared" si="318"/>
        <v>46.2</v>
      </c>
      <c r="W3446" s="1634"/>
    </row>
    <row r="3447" spans="6:23" ht="24" customHeight="1">
      <c r="M3447" s="1640">
        <v>2</v>
      </c>
      <c r="N3447" s="1638" t="s">
        <v>153</v>
      </c>
      <c r="O3447" s="1627" t="s">
        <v>2834</v>
      </c>
      <c r="P3447" s="1640">
        <f t="shared" si="319"/>
        <v>49.55</v>
      </c>
      <c r="Q3447" s="1628" t="s">
        <v>153</v>
      </c>
      <c r="R3447" s="1640">
        <f t="shared" si="318"/>
        <v>99.1</v>
      </c>
      <c r="W3447" s="1634"/>
    </row>
    <row r="3448" spans="6:23" ht="24" customHeight="1">
      <c r="M3448" s="1629">
        <v>118</v>
      </c>
      <c r="N3448" s="1638" t="s">
        <v>153</v>
      </c>
      <c r="O3448" s="1629" t="s">
        <v>2768</v>
      </c>
      <c r="P3448" s="1629">
        <f>P3404</f>
        <v>2.41</v>
      </c>
      <c r="Q3448" s="1628" t="s">
        <v>153</v>
      </c>
      <c r="R3448" s="1640">
        <f t="shared" si="318"/>
        <v>284.38</v>
      </c>
      <c r="W3448" s="1634"/>
    </row>
    <row r="3449" spans="6:23" ht="24" customHeight="1">
      <c r="N3449" s="1630"/>
      <c r="Q3449" s="1634"/>
      <c r="R3449" s="1636" t="s">
        <v>21</v>
      </c>
      <c r="W3449" s="1634"/>
    </row>
    <row r="3450" spans="6:23" ht="24" customHeight="1">
      <c r="F3450" s="1662">
        <v>29.5</v>
      </c>
      <c r="G3450" s="1638" t="s">
        <v>249</v>
      </c>
      <c r="H3450" s="1627" t="s">
        <v>2905</v>
      </c>
      <c r="J3450" s="1634"/>
      <c r="N3450" s="1630"/>
      <c r="O3450" s="1627" t="s">
        <v>2858</v>
      </c>
      <c r="Q3450" s="1634"/>
      <c r="R3450" s="1640">
        <f>SUM(R3435:R3449)</f>
        <v>15957.014149999999</v>
      </c>
      <c r="W3450" s="1634"/>
    </row>
    <row r="3451" spans="6:23" ht="24" customHeight="1">
      <c r="H3451" s="1627" t="s">
        <v>2906</v>
      </c>
      <c r="J3451" s="1634"/>
      <c r="N3451" s="1630"/>
      <c r="Q3451" s="1634"/>
      <c r="R3451" s="1636" t="s">
        <v>21</v>
      </c>
      <c r="W3451" s="1634"/>
    </row>
    <row r="3452" spans="6:23" ht="24" customHeight="1">
      <c r="H3452" s="1627" t="s">
        <v>1882</v>
      </c>
      <c r="J3452" s="1634"/>
      <c r="N3452" s="1630"/>
      <c r="O3452" s="1631" t="s">
        <v>155</v>
      </c>
      <c r="Q3452" s="1735" t="s">
        <v>2597</v>
      </c>
      <c r="R3452" s="1639">
        <f>R3450/M3441</f>
        <v>6572.081610378912</v>
      </c>
      <c r="W3452" s="1634"/>
    </row>
    <row r="3453" spans="6:23" ht="24" customHeight="1">
      <c r="H3453" s="1636" t="s">
        <v>21</v>
      </c>
      <c r="I3453" s="1636" t="s">
        <v>21</v>
      </c>
      <c r="J3453" s="1634"/>
      <c r="K3453" s="1640"/>
      <c r="W3453" s="1634"/>
    </row>
    <row r="3454" spans="6:23" ht="24" customHeight="1">
      <c r="F3454" s="1640">
        <v>10</v>
      </c>
      <c r="G3454" s="1638" t="s">
        <v>152</v>
      </c>
      <c r="H3454" s="1631" t="s">
        <v>2907</v>
      </c>
      <c r="I3454" s="1637">
        <v>416</v>
      </c>
      <c r="J3454" s="1628" t="s">
        <v>152</v>
      </c>
      <c r="K3454" s="1640">
        <f>F3454*I3454</f>
        <v>4160</v>
      </c>
      <c r="W3454" s="1634"/>
    </row>
    <row r="3455" spans="6:23" ht="24" customHeight="1">
      <c r="F3455" s="1640">
        <v>0.21</v>
      </c>
      <c r="G3455" s="1638" t="s">
        <v>151</v>
      </c>
      <c r="H3455" s="1627" t="s">
        <v>298</v>
      </c>
      <c r="I3455" s="1640">
        <f>K32</f>
        <v>5318.7</v>
      </c>
      <c r="J3455" s="1628" t="s">
        <v>151</v>
      </c>
      <c r="K3455" s="1640">
        <f>(F3455*I3455)</f>
        <v>1116.9269999999999</v>
      </c>
      <c r="W3455" s="1634"/>
    </row>
    <row r="3456" spans="6:23" ht="24" customHeight="1">
      <c r="H3456" s="1627" t="s">
        <v>1860</v>
      </c>
      <c r="I3456" s="1640"/>
      <c r="J3456" s="1634"/>
      <c r="K3456" s="1627" t="s">
        <v>150</v>
      </c>
      <c r="M3456" s="1662">
        <v>29.5</v>
      </c>
      <c r="N3456" s="1638" t="s">
        <v>249</v>
      </c>
      <c r="O3456" s="1627" t="s">
        <v>2905</v>
      </c>
      <c r="Q3456" s="1634"/>
      <c r="W3456" s="1634"/>
    </row>
    <row r="3457" spans="6:23" ht="24" customHeight="1">
      <c r="F3457" s="1640">
        <v>1.1000000000000001</v>
      </c>
      <c r="G3457" s="1638" t="s">
        <v>4</v>
      </c>
      <c r="H3457" s="1627" t="s">
        <v>269</v>
      </c>
      <c r="I3457" s="1640">
        <f>C10</f>
        <v>1325.8</v>
      </c>
      <c r="J3457" s="1628" t="s">
        <v>4</v>
      </c>
      <c r="K3457" s="1640">
        <f>(F3457*I3457)</f>
        <v>1458.38</v>
      </c>
      <c r="N3457" s="1630"/>
      <c r="O3457" s="1627" t="s">
        <v>2906</v>
      </c>
      <c r="Q3457" s="1634"/>
      <c r="W3457" s="1634"/>
    </row>
    <row r="3458" spans="6:23" ht="24" customHeight="1">
      <c r="F3458" s="1640">
        <v>1.1000000000000001</v>
      </c>
      <c r="G3458" s="1638" t="s">
        <v>4</v>
      </c>
      <c r="H3458" s="1627" t="s">
        <v>234</v>
      </c>
      <c r="I3458" s="1640">
        <f>C11</f>
        <v>1237.5999999999999</v>
      </c>
      <c r="J3458" s="1628" t="s">
        <v>4</v>
      </c>
      <c r="K3458" s="1640">
        <f>(F3458*I3458)</f>
        <v>1361.36</v>
      </c>
      <c r="N3458" s="1630"/>
      <c r="O3458" s="1627" t="s">
        <v>1882</v>
      </c>
      <c r="Q3458" s="1634"/>
      <c r="W3458" s="1634"/>
    </row>
    <row r="3459" spans="6:23" ht="24" customHeight="1">
      <c r="F3459" s="1640">
        <v>2.2000000000000002</v>
      </c>
      <c r="G3459" s="1638" t="s">
        <v>4</v>
      </c>
      <c r="H3459" s="1627" t="s">
        <v>235</v>
      </c>
      <c r="I3459" s="1640">
        <f>C12</f>
        <v>865.19999999999993</v>
      </c>
      <c r="J3459" s="1628" t="s">
        <v>4</v>
      </c>
      <c r="K3459" s="1640">
        <f>(F3459*I3459)</f>
        <v>1903.44</v>
      </c>
      <c r="N3459" s="1630"/>
      <c r="O3459" s="1636" t="s">
        <v>21</v>
      </c>
      <c r="P3459" s="1636" t="s">
        <v>21</v>
      </c>
      <c r="Q3459" s="1634"/>
      <c r="R3459" s="1640"/>
      <c r="W3459" s="1634"/>
    </row>
    <row r="3460" spans="6:23" ht="24" customHeight="1">
      <c r="F3460" s="1640">
        <v>2.2000000000000002</v>
      </c>
      <c r="G3460" s="1638" t="s">
        <v>4</v>
      </c>
      <c r="H3460" s="1627" t="s">
        <v>236</v>
      </c>
      <c r="I3460" s="1640">
        <f>C13</f>
        <v>709.8</v>
      </c>
      <c r="J3460" s="1628" t="s">
        <v>4</v>
      </c>
      <c r="K3460" s="1640">
        <f>(F3460*I3460)</f>
        <v>1561.56</v>
      </c>
      <c r="M3460" s="1640">
        <v>10</v>
      </c>
      <c r="N3460" s="1638" t="s">
        <v>152</v>
      </c>
      <c r="O3460" s="1631" t="s">
        <v>2907</v>
      </c>
      <c r="P3460" s="1857">
        <f>I3454</f>
        <v>416</v>
      </c>
      <c r="Q3460" s="1628" t="s">
        <v>152</v>
      </c>
      <c r="R3460" s="1640">
        <f>P3460*M3460</f>
        <v>4160</v>
      </c>
      <c r="W3460" s="1634"/>
    </row>
    <row r="3461" spans="6:23" ht="24" customHeight="1">
      <c r="F3461" s="1658">
        <v>20</v>
      </c>
      <c r="G3461" s="1638" t="s">
        <v>13</v>
      </c>
      <c r="H3461" s="1627" t="s">
        <v>252</v>
      </c>
      <c r="I3461" s="1640">
        <f>AE31</f>
        <v>6040</v>
      </c>
      <c r="J3461" s="1628" t="s">
        <v>251</v>
      </c>
      <c r="K3461" s="1640">
        <f>(F3461*I3461)/1000</f>
        <v>120.8</v>
      </c>
      <c r="M3461" s="1640">
        <v>0.21</v>
      </c>
      <c r="N3461" s="1638" t="s">
        <v>151</v>
      </c>
      <c r="O3461" s="1627" t="s">
        <v>298</v>
      </c>
      <c r="P3461" s="1637">
        <f t="shared" ref="P3461:P3471" si="320">I3455</f>
        <v>5318.7</v>
      </c>
      <c r="Q3461" s="1628" t="s">
        <v>151</v>
      </c>
      <c r="R3461" s="1640">
        <f t="shared" ref="R3461:R3471" si="321">P3461*M3461</f>
        <v>1116.9269999999999</v>
      </c>
      <c r="W3461" s="1634"/>
    </row>
    <row r="3462" spans="6:23" ht="24" customHeight="1">
      <c r="F3462" s="1658">
        <v>2</v>
      </c>
      <c r="G3462" s="1638" t="s">
        <v>13</v>
      </c>
      <c r="H3462" s="1627" t="s">
        <v>1864</v>
      </c>
      <c r="I3462" s="1640">
        <f>I1256</f>
        <v>36.1</v>
      </c>
      <c r="J3462" s="1628" t="s">
        <v>13</v>
      </c>
      <c r="K3462" s="1640">
        <f>(F3462*I3462)</f>
        <v>72.2</v>
      </c>
      <c r="N3462" s="1630"/>
      <c r="O3462" s="1627" t="s">
        <v>1860</v>
      </c>
      <c r="P3462" s="1637">
        <f t="shared" si="320"/>
        <v>0</v>
      </c>
      <c r="Q3462" s="1634"/>
      <c r="R3462" s="1640">
        <f t="shared" si="321"/>
        <v>0</v>
      </c>
      <c r="W3462" s="1634"/>
    </row>
    <row r="3463" spans="6:23" ht="24" customHeight="1">
      <c r="F3463" s="1640">
        <v>1.6</v>
      </c>
      <c r="G3463" s="1638" t="s">
        <v>4</v>
      </c>
      <c r="H3463" s="1627" t="s">
        <v>234</v>
      </c>
      <c r="I3463" s="1640">
        <f>I3458</f>
        <v>1237.5999999999999</v>
      </c>
      <c r="J3463" s="1628" t="s">
        <v>4</v>
      </c>
      <c r="K3463" s="1640">
        <f>(F3463*I3463)</f>
        <v>1980.1599999999999</v>
      </c>
      <c r="M3463" s="1640">
        <v>1.1000000000000001</v>
      </c>
      <c r="N3463" s="1638" t="s">
        <v>4</v>
      </c>
      <c r="O3463" s="1627" t="s">
        <v>269</v>
      </c>
      <c r="P3463" s="1637">
        <f t="shared" si="320"/>
        <v>1325.8</v>
      </c>
      <c r="Q3463" s="1628" t="s">
        <v>4</v>
      </c>
      <c r="R3463" s="1640">
        <f t="shared" si="321"/>
        <v>1458.38</v>
      </c>
      <c r="W3463" s="1634"/>
    </row>
    <row r="3464" spans="6:23" ht="24" customHeight="1">
      <c r="F3464" s="1640">
        <v>0.5</v>
      </c>
      <c r="G3464" s="1638" t="s">
        <v>4</v>
      </c>
      <c r="H3464" s="1627" t="s">
        <v>235</v>
      </c>
      <c r="I3464" s="1640">
        <f>I3459</f>
        <v>865.19999999999993</v>
      </c>
      <c r="J3464" s="1628" t="s">
        <v>4</v>
      </c>
      <c r="K3464" s="1640">
        <f>(F3464*I3464)</f>
        <v>432.59999999999997</v>
      </c>
      <c r="M3464" s="1640">
        <v>1.1000000000000001</v>
      </c>
      <c r="N3464" s="1638" t="s">
        <v>4</v>
      </c>
      <c r="O3464" s="1627" t="s">
        <v>234</v>
      </c>
      <c r="P3464" s="1637">
        <f t="shared" si="320"/>
        <v>1237.5999999999999</v>
      </c>
      <c r="Q3464" s="1628" t="s">
        <v>4</v>
      </c>
      <c r="R3464" s="1640">
        <f t="shared" si="321"/>
        <v>1361.36</v>
      </c>
      <c r="W3464" s="1634"/>
    </row>
    <row r="3465" spans="6:23" ht="24" customHeight="1">
      <c r="F3465" s="1640">
        <v>1.1000000000000001</v>
      </c>
      <c r="G3465" s="1638" t="s">
        <v>4</v>
      </c>
      <c r="H3465" s="1627" t="s">
        <v>236</v>
      </c>
      <c r="I3465" s="1640">
        <f>I3460</f>
        <v>709.8</v>
      </c>
      <c r="J3465" s="1628" t="s">
        <v>4</v>
      </c>
      <c r="K3465" s="1640">
        <f>(F3465*I3465)</f>
        <v>780.78</v>
      </c>
      <c r="M3465" s="1640">
        <v>2.2000000000000002</v>
      </c>
      <c r="N3465" s="1638" t="s">
        <v>4</v>
      </c>
      <c r="O3465" s="1627" t="s">
        <v>235</v>
      </c>
      <c r="P3465" s="1637">
        <f t="shared" si="320"/>
        <v>865.19999999999993</v>
      </c>
      <c r="Q3465" s="1628" t="s">
        <v>4</v>
      </c>
      <c r="R3465" s="1640">
        <f t="shared" si="321"/>
        <v>1903.44</v>
      </c>
      <c r="W3465" s="1634"/>
    </row>
    <row r="3466" spans="6:23" ht="24" customHeight="1">
      <c r="G3466" s="1638" t="s">
        <v>226</v>
      </c>
      <c r="H3466" s="1627" t="s">
        <v>237</v>
      </c>
      <c r="I3466" s="1640">
        <f>I1262</f>
        <v>0</v>
      </c>
      <c r="J3466" s="1628" t="s">
        <v>226</v>
      </c>
      <c r="K3466" s="1640">
        <v>0</v>
      </c>
      <c r="M3466" s="1640">
        <v>2.2000000000000002</v>
      </c>
      <c r="N3466" s="1638" t="s">
        <v>4</v>
      </c>
      <c r="O3466" s="1627" t="s">
        <v>236</v>
      </c>
      <c r="P3466" s="1637">
        <f t="shared" si="320"/>
        <v>709.8</v>
      </c>
      <c r="Q3466" s="1628" t="s">
        <v>4</v>
      </c>
      <c r="R3466" s="1640">
        <f t="shared" si="321"/>
        <v>1561.56</v>
      </c>
      <c r="W3466" s="1634"/>
    </row>
    <row r="3467" spans="6:23" ht="24" customHeight="1">
      <c r="J3467" s="1634"/>
      <c r="K3467" s="1636" t="s">
        <v>21</v>
      </c>
      <c r="M3467" s="1658">
        <v>20</v>
      </c>
      <c r="N3467" s="1638" t="s">
        <v>13</v>
      </c>
      <c r="O3467" s="1627" t="s">
        <v>252</v>
      </c>
      <c r="P3467" s="1637">
        <f t="shared" si="320"/>
        <v>6040</v>
      </c>
      <c r="Q3467" s="1628" t="s">
        <v>251</v>
      </c>
      <c r="R3467" s="1640">
        <f>P3467*M3467/1000</f>
        <v>120.8</v>
      </c>
      <c r="W3467" s="1634"/>
    </row>
    <row r="3468" spans="6:23" ht="24" customHeight="1">
      <c r="H3468" s="1627" t="s">
        <v>238</v>
      </c>
      <c r="J3468" s="1634"/>
      <c r="K3468" s="1640">
        <f>SUM(K3454:K3466)</f>
        <v>14948.207</v>
      </c>
      <c r="M3468" s="1658">
        <v>2</v>
      </c>
      <c r="N3468" s="1638" t="s">
        <v>13</v>
      </c>
      <c r="O3468" s="1627" t="s">
        <v>2908</v>
      </c>
      <c r="P3468" s="1637">
        <f>I3644</f>
        <v>24.925000000000001</v>
      </c>
      <c r="Q3468" s="1628" t="s">
        <v>13</v>
      </c>
      <c r="R3468" s="1640">
        <f t="shared" si="321"/>
        <v>49.85</v>
      </c>
      <c r="W3468" s="1634"/>
    </row>
    <row r="3469" spans="6:23" ht="24" customHeight="1">
      <c r="J3469" s="1634"/>
      <c r="K3469" s="1636" t="s">
        <v>21</v>
      </c>
      <c r="M3469" s="1640">
        <v>1.6</v>
      </c>
      <c r="N3469" s="1638" t="s">
        <v>4</v>
      </c>
      <c r="O3469" s="1627" t="s">
        <v>234</v>
      </c>
      <c r="P3469" s="1637">
        <f t="shared" si="320"/>
        <v>1237.5999999999999</v>
      </c>
      <c r="Q3469" s="1628" t="s">
        <v>4</v>
      </c>
      <c r="R3469" s="1640">
        <f t="shared" si="321"/>
        <v>1980.1599999999999</v>
      </c>
      <c r="W3469" s="1634"/>
    </row>
    <row r="3470" spans="6:23" ht="24" customHeight="1">
      <c r="H3470" s="1627" t="s">
        <v>155</v>
      </c>
      <c r="J3470" s="1634"/>
      <c r="K3470" s="1639">
        <f>(K3468/10)</f>
        <v>1494.8207</v>
      </c>
      <c r="M3470" s="1640">
        <v>0.5</v>
      </c>
      <c r="N3470" s="1638" t="s">
        <v>4</v>
      </c>
      <c r="O3470" s="1627" t="s">
        <v>235</v>
      </c>
      <c r="P3470" s="1637">
        <f t="shared" si="320"/>
        <v>865.19999999999993</v>
      </c>
      <c r="Q3470" s="1628" t="s">
        <v>4</v>
      </c>
      <c r="R3470" s="1640">
        <f t="shared" si="321"/>
        <v>432.59999999999997</v>
      </c>
      <c r="W3470" s="1634"/>
    </row>
    <row r="3471" spans="6:23" ht="24" customHeight="1">
      <c r="J3471" s="1634"/>
      <c r="K3471" s="1636" t="s">
        <v>156</v>
      </c>
      <c r="M3471" s="1640">
        <v>1.1000000000000001</v>
      </c>
      <c r="N3471" s="1638" t="s">
        <v>4</v>
      </c>
      <c r="O3471" s="1627" t="s">
        <v>236</v>
      </c>
      <c r="P3471" s="1637">
        <f t="shared" si="320"/>
        <v>709.8</v>
      </c>
      <c r="Q3471" s="1628" t="s">
        <v>4</v>
      </c>
      <c r="R3471" s="1640">
        <f t="shared" si="321"/>
        <v>780.78</v>
      </c>
      <c r="W3471" s="1634"/>
    </row>
    <row r="3472" spans="6:23" ht="24" customHeight="1">
      <c r="N3472" s="1638" t="s">
        <v>226</v>
      </c>
      <c r="O3472" s="1627" t="s">
        <v>237</v>
      </c>
      <c r="P3472" s="1640">
        <v>0</v>
      </c>
      <c r="Q3472" s="1628" t="s">
        <v>226</v>
      </c>
      <c r="R3472" s="1640">
        <v>0</v>
      </c>
      <c r="W3472" s="1634"/>
    </row>
    <row r="3473" spans="6:23" ht="24" customHeight="1">
      <c r="N3473" s="1630"/>
      <c r="Q3473" s="1634"/>
      <c r="R3473" s="1636" t="s">
        <v>21</v>
      </c>
      <c r="W3473" s="1634"/>
    </row>
    <row r="3474" spans="6:23" ht="24" customHeight="1">
      <c r="N3474" s="1630"/>
      <c r="O3474" s="1627" t="s">
        <v>238</v>
      </c>
      <c r="Q3474" s="1634"/>
      <c r="R3474" s="1640">
        <f>SUM(R3460:R3473)</f>
        <v>14925.857</v>
      </c>
      <c r="W3474" s="1634"/>
    </row>
    <row r="3475" spans="6:23" ht="24" customHeight="1">
      <c r="N3475" s="1630"/>
      <c r="Q3475" s="1634"/>
      <c r="R3475" s="1636" t="s">
        <v>21</v>
      </c>
      <c r="W3475" s="1634"/>
    </row>
    <row r="3476" spans="6:23" ht="24" customHeight="1">
      <c r="G3476" s="1858">
        <v>90</v>
      </c>
      <c r="H3476" s="1859" t="s">
        <v>5719</v>
      </c>
      <c r="N3476" s="1630"/>
      <c r="O3476" s="1627" t="s">
        <v>155</v>
      </c>
      <c r="Q3476" s="1634"/>
      <c r="R3476" s="1639">
        <f>R3474/10</f>
        <v>1492.5857000000001</v>
      </c>
      <c r="W3476" s="1634"/>
    </row>
    <row r="3477" spans="6:23" ht="57.75" customHeight="1">
      <c r="F3477" s="1698">
        <v>3.8100000000000002E-2</v>
      </c>
      <c r="G3477" s="1630" t="s">
        <v>151</v>
      </c>
      <c r="H3477" s="1629" t="s">
        <v>2910</v>
      </c>
      <c r="I3477" s="1629">
        <f>I3387</f>
        <v>111600</v>
      </c>
      <c r="J3477" s="1629">
        <f>J2279</f>
        <v>0</v>
      </c>
      <c r="K3477" s="1629">
        <f>F3477*I3477</f>
        <v>4251.96</v>
      </c>
      <c r="N3477" s="1630"/>
      <c r="Q3477" s="1634"/>
      <c r="R3477" s="1636" t="s">
        <v>156</v>
      </c>
      <c r="W3477" s="1634"/>
    </row>
    <row r="3478" spans="6:23" ht="24" customHeight="1">
      <c r="F3478" s="1633">
        <v>2.4E-2</v>
      </c>
      <c r="G3478" s="1630" t="s">
        <v>151</v>
      </c>
      <c r="H3478" s="1629" t="s">
        <v>2841</v>
      </c>
      <c r="I3478" s="1629">
        <f>I3388</f>
        <v>99400</v>
      </c>
      <c r="J3478" s="1629">
        <f>J2280</f>
        <v>0</v>
      </c>
      <c r="K3478" s="1629">
        <f t="shared" ref="K3478:K3491" si="322">F3478*I3478</f>
        <v>2385.6</v>
      </c>
      <c r="W3478" s="1634"/>
    </row>
    <row r="3479" spans="6:23" ht="24" customHeight="1">
      <c r="F3479" s="1629">
        <v>0.01</v>
      </c>
      <c r="G3479" s="1630" t="s">
        <v>151</v>
      </c>
      <c r="H3479" s="1627" t="s">
        <v>1712</v>
      </c>
      <c r="I3479" s="1629">
        <f>I2815</f>
        <v>95000</v>
      </c>
      <c r="J3479" s="1629">
        <f>J2281</f>
        <v>0</v>
      </c>
      <c r="K3479" s="1629">
        <f t="shared" si="322"/>
        <v>950</v>
      </c>
      <c r="W3479" s="1634"/>
    </row>
    <row r="3480" spans="6:23" ht="24" customHeight="1">
      <c r="H3480" s="1627" t="s">
        <v>1714</v>
      </c>
      <c r="W3480" s="1634"/>
    </row>
    <row r="3481" spans="6:23" ht="24" customHeight="1">
      <c r="F3481" s="1629">
        <v>1.05</v>
      </c>
      <c r="G3481" s="1638" t="s">
        <v>152</v>
      </c>
      <c r="H3481" s="1701" t="s">
        <v>5720</v>
      </c>
      <c r="I3481" s="1629">
        <v>362.5</v>
      </c>
      <c r="J3481" s="1632" t="s">
        <v>152</v>
      </c>
      <c r="K3481" s="1629">
        <f t="shared" si="322"/>
        <v>380.625</v>
      </c>
      <c r="W3481" s="1634"/>
    </row>
    <row r="3482" spans="6:23" ht="24" customHeight="1">
      <c r="F3482" s="1629">
        <v>12</v>
      </c>
      <c r="G3482" s="1638" t="s">
        <v>2161</v>
      </c>
      <c r="H3482" s="1629" t="s">
        <v>2912</v>
      </c>
      <c r="I3482" s="1629">
        <f>I2537</f>
        <v>70.150000000000006</v>
      </c>
      <c r="J3482" s="1632" t="s">
        <v>2161</v>
      </c>
      <c r="K3482" s="1629">
        <f t="shared" si="322"/>
        <v>841.80000000000007</v>
      </c>
      <c r="S3482" s="1785" t="s">
        <v>2913</v>
      </c>
      <c r="W3482" s="1634"/>
    </row>
    <row r="3483" spans="6:23" ht="24" customHeight="1">
      <c r="F3483" s="1629">
        <v>2.85</v>
      </c>
      <c r="G3483" s="1638" t="s">
        <v>152</v>
      </c>
      <c r="H3483" s="1629" t="s">
        <v>2914</v>
      </c>
      <c r="I3483" s="1629">
        <f>D31</f>
        <v>1906.8</v>
      </c>
      <c r="J3483" s="1632" t="s">
        <v>152</v>
      </c>
      <c r="K3483" s="1629">
        <f t="shared" si="322"/>
        <v>5434.38</v>
      </c>
      <c r="W3483" s="1634"/>
    </row>
    <row r="3484" spans="6:23" ht="24" customHeight="1">
      <c r="F3484" s="1629">
        <v>6</v>
      </c>
      <c r="G3484" s="1638" t="s">
        <v>68</v>
      </c>
      <c r="H3484" s="1627" t="s">
        <v>391</v>
      </c>
      <c r="I3484" s="1629">
        <f>I2819</f>
        <v>214.1</v>
      </c>
      <c r="J3484" s="1632" t="s">
        <v>4</v>
      </c>
      <c r="K3484" s="1629">
        <f t="shared" si="322"/>
        <v>1284.5999999999999</v>
      </c>
      <c r="W3484" s="1634"/>
    </row>
    <row r="3485" spans="6:23" ht="24" customHeight="1">
      <c r="F3485" s="1629">
        <v>1</v>
      </c>
      <c r="G3485" s="1638" t="s">
        <v>68</v>
      </c>
      <c r="H3485" s="1629" t="s">
        <v>2915</v>
      </c>
      <c r="I3485" s="1629">
        <f>I2821</f>
        <v>836</v>
      </c>
      <c r="J3485" s="1632" t="s">
        <v>4</v>
      </c>
      <c r="K3485" s="1629">
        <f t="shared" si="322"/>
        <v>836</v>
      </c>
      <c r="W3485" s="1634"/>
    </row>
    <row r="3486" spans="6:23" ht="24" customHeight="1">
      <c r="F3486" s="1629">
        <v>3</v>
      </c>
      <c r="G3486" s="1638" t="s">
        <v>68</v>
      </c>
      <c r="H3486" s="1627" t="s">
        <v>392</v>
      </c>
      <c r="I3486" s="1629">
        <f>I2820</f>
        <v>408</v>
      </c>
      <c r="J3486" s="1632" t="s">
        <v>4</v>
      </c>
      <c r="K3486" s="1629">
        <f t="shared" si="322"/>
        <v>1224</v>
      </c>
      <c r="W3486" s="1634"/>
    </row>
    <row r="3487" spans="6:23" ht="24" customHeight="1">
      <c r="F3487" s="1629">
        <v>2</v>
      </c>
      <c r="G3487" s="1638" t="s">
        <v>68</v>
      </c>
      <c r="H3487" s="1627" t="s">
        <v>2916</v>
      </c>
      <c r="I3487" s="1629">
        <f>I2820</f>
        <v>408</v>
      </c>
      <c r="J3487" s="1632" t="s">
        <v>4</v>
      </c>
      <c r="K3487" s="1629">
        <f t="shared" si="322"/>
        <v>816</v>
      </c>
      <c r="W3487" s="1634"/>
    </row>
    <row r="3488" spans="6:23" ht="24" customHeight="1">
      <c r="F3488" s="1629">
        <v>2</v>
      </c>
      <c r="G3488" s="1638" t="s">
        <v>68</v>
      </c>
      <c r="H3488" s="1627" t="s">
        <v>886</v>
      </c>
      <c r="I3488" s="1629">
        <f>I2823</f>
        <v>49.55</v>
      </c>
      <c r="J3488" s="1632" t="s">
        <v>4</v>
      </c>
      <c r="K3488" s="1629">
        <f t="shared" si="322"/>
        <v>99.1</v>
      </c>
      <c r="W3488" s="1634"/>
    </row>
    <row r="3489" spans="6:23" ht="24" customHeight="1">
      <c r="F3489" s="1629">
        <v>2</v>
      </c>
      <c r="G3489" s="1638" t="s">
        <v>68</v>
      </c>
      <c r="H3489" s="1627" t="s">
        <v>1713</v>
      </c>
      <c r="I3489" s="1629">
        <f>I2822</f>
        <v>7.3</v>
      </c>
      <c r="J3489" s="1632" t="s">
        <v>4</v>
      </c>
      <c r="K3489" s="1629">
        <f t="shared" si="322"/>
        <v>14.6</v>
      </c>
      <c r="W3489" s="1634"/>
    </row>
    <row r="3490" spans="6:23" ht="24" customHeight="1">
      <c r="F3490" s="1629">
        <v>1.05</v>
      </c>
      <c r="G3490" s="1638" t="s">
        <v>152</v>
      </c>
      <c r="H3490" s="1627" t="s">
        <v>2917</v>
      </c>
      <c r="I3490" s="1629">
        <f>K1553</f>
        <v>167.10120000000001</v>
      </c>
      <c r="J3490" s="1632" t="s">
        <v>152</v>
      </c>
      <c r="K3490" s="1629">
        <f t="shared" si="322"/>
        <v>175.45626000000001</v>
      </c>
      <c r="W3490" s="1634"/>
    </row>
    <row r="3491" spans="6:23" ht="24" customHeight="1">
      <c r="F3491" s="1860">
        <v>3.15</v>
      </c>
      <c r="G3491" s="1638" t="s">
        <v>152</v>
      </c>
      <c r="H3491" s="1627" t="s">
        <v>2918</v>
      </c>
      <c r="I3491" s="1629">
        <f>K1167</f>
        <v>246.54000000000002</v>
      </c>
      <c r="J3491" s="1632" t="s">
        <v>152</v>
      </c>
      <c r="K3491" s="1629">
        <f t="shared" si="322"/>
        <v>776.601</v>
      </c>
      <c r="W3491" s="1634"/>
    </row>
    <row r="3492" spans="6:23" ht="24" customHeight="1">
      <c r="G3492" s="1638"/>
      <c r="H3492" s="1627" t="s">
        <v>2919</v>
      </c>
      <c r="I3492" s="2009" t="s">
        <v>226</v>
      </c>
      <c r="J3492" s="2009"/>
      <c r="K3492" s="1629">
        <f>R3199</f>
        <v>284.38</v>
      </c>
      <c r="W3492" s="1634"/>
    </row>
    <row r="3493" spans="6:23" ht="24" customHeight="1">
      <c r="K3493" s="1806" t="s">
        <v>156</v>
      </c>
      <c r="W3493" s="1634"/>
    </row>
    <row r="3494" spans="6:23" ht="24" customHeight="1">
      <c r="H3494" s="1631" t="s">
        <v>2920</v>
      </c>
      <c r="I3494" s="1661"/>
      <c r="J3494" s="1676"/>
      <c r="K3494" s="1661">
        <f>SUM(K3477:K3493)</f>
        <v>19755.102259999992</v>
      </c>
      <c r="W3494" s="1634"/>
    </row>
    <row r="3495" spans="6:23" ht="24" customHeight="1">
      <c r="K3495" s="1806" t="s">
        <v>156</v>
      </c>
      <c r="W3495" s="1634"/>
    </row>
    <row r="3496" spans="6:23" ht="24" customHeight="1">
      <c r="W3496" s="1634"/>
    </row>
    <row r="3497" spans="6:23" ht="24" customHeight="1">
      <c r="J3497" s="1634"/>
      <c r="W3497" s="1634"/>
    </row>
    <row r="3498" spans="6:23" ht="24" customHeight="1">
      <c r="G3498" s="1632" t="s">
        <v>5721</v>
      </c>
      <c r="J3498" s="1634"/>
      <c r="W3498" s="1634"/>
    </row>
    <row r="3499" spans="6:23" ht="24" customHeight="1">
      <c r="J3499" s="1634"/>
      <c r="W3499" s="1634"/>
    </row>
    <row r="3500" spans="6:23" ht="24" customHeight="1">
      <c r="F3500" s="1698">
        <v>1.8</v>
      </c>
      <c r="G3500" s="1630" t="s">
        <v>151</v>
      </c>
      <c r="H3500" s="1629" t="s">
        <v>2922</v>
      </c>
      <c r="I3500" s="1629">
        <f>((505+583)/2)+AA15</f>
        <v>658.5</v>
      </c>
      <c r="J3500" s="1634" t="s">
        <v>151</v>
      </c>
      <c r="K3500" s="1694">
        <f>I3500*F3500</f>
        <v>1185.3</v>
      </c>
      <c r="W3500" s="1634"/>
    </row>
    <row r="3501" spans="6:23" ht="24" customHeight="1">
      <c r="J3501" s="1634"/>
      <c r="K3501" s="1694"/>
      <c r="W3501" s="1634"/>
    </row>
    <row r="3502" spans="6:23" ht="24" customHeight="1">
      <c r="F3502" s="1698">
        <v>1.2</v>
      </c>
      <c r="G3502" s="1630" t="s">
        <v>151</v>
      </c>
      <c r="H3502" s="1629" t="s">
        <v>2923</v>
      </c>
      <c r="I3502" s="1629">
        <f>((1054+906+1467+1362+1001)/5)+AA15</f>
        <v>1272.5</v>
      </c>
      <c r="J3502" s="1634" t="s">
        <v>151</v>
      </c>
      <c r="K3502" s="1694">
        <f t="shared" ref="K3502:K3510" si="323">I3502*F3502</f>
        <v>1527</v>
      </c>
      <c r="W3502" s="1634"/>
    </row>
    <row r="3503" spans="6:23" ht="24" customHeight="1">
      <c r="J3503" s="1634"/>
      <c r="K3503" s="1694"/>
      <c r="W3503" s="1634"/>
    </row>
    <row r="3504" spans="6:23" ht="24" customHeight="1">
      <c r="F3504" s="1698">
        <v>0.6</v>
      </c>
      <c r="G3504" s="1630" t="s">
        <v>151</v>
      </c>
      <c r="H3504" s="1629" t="s">
        <v>2924</v>
      </c>
      <c r="I3504" s="1629">
        <f>AE16</f>
        <v>2265.5</v>
      </c>
      <c r="J3504" s="1634" t="s">
        <v>151</v>
      </c>
      <c r="K3504" s="1694">
        <f t="shared" si="323"/>
        <v>1359.3</v>
      </c>
      <c r="O3504" s="1661" t="s">
        <v>2925</v>
      </c>
      <c r="W3504" s="1634"/>
    </row>
    <row r="3505" spans="6:24" ht="24" customHeight="1">
      <c r="J3505" s="1634"/>
      <c r="K3505" s="1694"/>
      <c r="W3505" s="1634"/>
    </row>
    <row r="3506" spans="6:24" ht="24" customHeight="1">
      <c r="F3506" s="1698">
        <v>3</v>
      </c>
      <c r="G3506" s="1630" t="s">
        <v>151</v>
      </c>
      <c r="H3506" s="1629" t="s">
        <v>2926</v>
      </c>
      <c r="I3506" s="1629">
        <f>R3519</f>
        <v>2754.9899999999993</v>
      </c>
      <c r="J3506" s="1634" t="s">
        <v>151</v>
      </c>
      <c r="K3506" s="1694">
        <f t="shared" si="323"/>
        <v>8264.9699999999975</v>
      </c>
      <c r="W3506" s="1634"/>
    </row>
    <row r="3507" spans="6:24" ht="24" customHeight="1">
      <c r="F3507" s="1698"/>
      <c r="J3507" s="1634"/>
      <c r="K3507" s="1694"/>
      <c r="M3507" s="1629">
        <f>(1.08/8)</f>
        <v>0.13500000000000001</v>
      </c>
      <c r="N3507" s="1629" t="s">
        <v>151</v>
      </c>
      <c r="O3507" s="1629" t="s">
        <v>235</v>
      </c>
      <c r="P3507" s="1629">
        <f>P3515</f>
        <v>865.19999999999993</v>
      </c>
      <c r="Q3507" s="1629" t="s">
        <v>151</v>
      </c>
      <c r="R3507" s="1629">
        <f>P3507*M3507</f>
        <v>116.80199999999999</v>
      </c>
      <c r="W3507" s="1634"/>
    </row>
    <row r="3508" spans="6:24" ht="24" customHeight="1">
      <c r="F3508" s="1698">
        <v>3</v>
      </c>
      <c r="G3508" s="1630" t="s">
        <v>151</v>
      </c>
      <c r="H3508" s="1629" t="s">
        <v>2927</v>
      </c>
      <c r="I3508" s="1629">
        <f>R3521</f>
        <v>36.950000000000003</v>
      </c>
      <c r="J3508" s="1634" t="s">
        <v>151</v>
      </c>
      <c r="K3508" s="1694">
        <f t="shared" si="323"/>
        <v>110.85000000000001</v>
      </c>
      <c r="W3508" s="1634"/>
    </row>
    <row r="3509" spans="6:24" ht="24" customHeight="1">
      <c r="F3509" s="1698"/>
      <c r="J3509" s="1634"/>
      <c r="K3509" s="1694"/>
      <c r="O3509" s="1694" t="s">
        <v>2928</v>
      </c>
      <c r="R3509" s="1629">
        <f>R3507</f>
        <v>116.80199999999999</v>
      </c>
      <c r="W3509" s="1634"/>
    </row>
    <row r="3510" spans="6:24" ht="24" customHeight="1">
      <c r="F3510" s="1698">
        <v>3</v>
      </c>
      <c r="G3510" s="1630" t="s">
        <v>151</v>
      </c>
      <c r="H3510" s="1629" t="s">
        <v>2929</v>
      </c>
      <c r="I3510" s="1629">
        <f>AG26</f>
        <v>92.679999999999993</v>
      </c>
      <c r="J3510" s="1634" t="s">
        <v>151</v>
      </c>
      <c r="K3510" s="1694">
        <f t="shared" si="323"/>
        <v>278.03999999999996</v>
      </c>
      <c r="O3510" s="1694" t="s">
        <v>2930</v>
      </c>
      <c r="R3510" s="1629">
        <f>R3509/0.75</f>
        <v>155.73599999999999</v>
      </c>
      <c r="W3510" s="1634"/>
    </row>
    <row r="3511" spans="6:24" ht="24" customHeight="1">
      <c r="J3511" s="1634"/>
      <c r="K3511" s="1694"/>
      <c r="W3511" s="1634"/>
    </row>
    <row r="3512" spans="6:24" ht="24" customHeight="1">
      <c r="H3512" s="1629" t="s">
        <v>2931</v>
      </c>
      <c r="J3512" s="1634" t="s">
        <v>226</v>
      </c>
      <c r="K3512" s="1694">
        <v>1.84</v>
      </c>
      <c r="O3512" s="1661" t="s">
        <v>2932</v>
      </c>
      <c r="W3512" s="1634"/>
    </row>
    <row r="3513" spans="6:24" ht="24" customHeight="1">
      <c r="J3513" s="1634"/>
      <c r="K3513" s="1694"/>
      <c r="W3513" s="1634"/>
    </row>
    <row r="3514" spans="6:24" ht="24" customHeight="1">
      <c r="H3514" s="1694" t="s">
        <v>5722</v>
      </c>
      <c r="J3514" s="1634"/>
      <c r="K3514" s="1735">
        <f>SUM(K3500:K3513)</f>
        <v>12727.3</v>
      </c>
      <c r="M3514" s="1629">
        <v>1.8</v>
      </c>
      <c r="N3514" s="1629" t="s">
        <v>154</v>
      </c>
      <c r="O3514" s="1629" t="s">
        <v>2934</v>
      </c>
      <c r="P3514" s="1629">
        <f>AG10</f>
        <v>1237.5999999999999</v>
      </c>
      <c r="Q3514" s="1629" t="s">
        <v>340</v>
      </c>
      <c r="R3514" s="1629">
        <f>P3514*M3514</f>
        <v>2227.6799999999998</v>
      </c>
      <c r="W3514" s="1634"/>
    </row>
    <row r="3515" spans="6:24" ht="24" customHeight="1">
      <c r="H3515" s="1694" t="s">
        <v>2935</v>
      </c>
      <c r="J3515" s="1634"/>
      <c r="K3515" s="1661">
        <f>K3514/F3506</f>
        <v>4242.4333333333334</v>
      </c>
      <c r="M3515" s="1629">
        <v>17.7</v>
      </c>
      <c r="N3515" s="1629" t="s">
        <v>154</v>
      </c>
      <c r="O3515" s="1629" t="s">
        <v>2936</v>
      </c>
      <c r="P3515" s="1629">
        <f>AG11</f>
        <v>865.19999999999993</v>
      </c>
      <c r="Q3515" s="1629" t="s">
        <v>340</v>
      </c>
      <c r="R3515" s="1629">
        <f>P3515*M3515</f>
        <v>15314.039999999999</v>
      </c>
      <c r="W3515" s="1634"/>
    </row>
    <row r="3516" spans="6:24" ht="24" customHeight="1">
      <c r="J3516" s="1634"/>
      <c r="K3516" s="1806" t="s">
        <v>156</v>
      </c>
      <c r="M3516" s="1629">
        <v>14.1</v>
      </c>
      <c r="N3516" s="1629" t="s">
        <v>154</v>
      </c>
      <c r="O3516" s="1629" t="s">
        <v>2937</v>
      </c>
      <c r="P3516" s="1629">
        <f>AG12</f>
        <v>709.8</v>
      </c>
      <c r="Q3516" s="1629" t="s">
        <v>340</v>
      </c>
      <c r="R3516" s="1629">
        <f>P3516*M3516</f>
        <v>10008.179999999998</v>
      </c>
      <c r="S3516" s="1629"/>
      <c r="T3516" s="1630"/>
      <c r="U3516" s="1629" t="s">
        <v>2963</v>
      </c>
      <c r="W3516" s="1634"/>
    </row>
    <row r="3517" spans="6:24" ht="24" customHeight="1">
      <c r="S3517" s="1629"/>
      <c r="T3517" s="1630"/>
      <c r="U3517" s="1629" t="s">
        <v>5723</v>
      </c>
      <c r="V3517" s="1629">
        <f>1.1*2.325</f>
        <v>2.5575000000000006</v>
      </c>
      <c r="W3517" s="1634"/>
    </row>
    <row r="3518" spans="6:24" ht="24" customHeight="1">
      <c r="O3518" s="1694" t="s">
        <v>2938</v>
      </c>
      <c r="R3518" s="1629">
        <f>SUM(R3514:R3517)</f>
        <v>27549.899999999994</v>
      </c>
      <c r="S3518" s="1629">
        <f>V3517</f>
        <v>2.5575000000000006</v>
      </c>
      <c r="T3518" s="1630" t="s">
        <v>152</v>
      </c>
      <c r="U3518" s="1629" t="s">
        <v>2967</v>
      </c>
      <c r="V3518" s="1629">
        <f>V3538</f>
        <v>2255</v>
      </c>
      <c r="W3518" s="1634" t="s">
        <v>152</v>
      </c>
      <c r="X3518" s="1629">
        <f>V3518*S3518</f>
        <v>5767.1625000000013</v>
      </c>
    </row>
    <row r="3519" spans="6:24" ht="24" customHeight="1">
      <c r="O3519" s="1694" t="s">
        <v>2930</v>
      </c>
      <c r="R3519" s="1629">
        <f>R3518/10</f>
        <v>2754.9899999999993</v>
      </c>
      <c r="S3519" s="1629">
        <f>V3517</f>
        <v>2.5575000000000006</v>
      </c>
      <c r="T3519" s="1630" t="s">
        <v>152</v>
      </c>
      <c r="U3519" s="1629" t="s">
        <v>2970</v>
      </c>
      <c r="V3519" s="1629">
        <f t="shared" ref="V3519:V3527" si="324">V3539</f>
        <v>284.2</v>
      </c>
      <c r="W3519" s="1634" t="s">
        <v>152</v>
      </c>
      <c r="X3519" s="1629">
        <f t="shared" ref="X3519:X3526" si="325">V3519*S3519</f>
        <v>726.84150000000011</v>
      </c>
    </row>
    <row r="3520" spans="6:24" ht="24" customHeight="1">
      <c r="H3520" s="1629" t="s">
        <v>2939</v>
      </c>
      <c r="O3520" s="1694"/>
      <c r="S3520" s="1629">
        <v>2</v>
      </c>
      <c r="T3520" s="1630" t="s">
        <v>4</v>
      </c>
      <c r="U3520" s="1629" t="s">
        <v>2953</v>
      </c>
      <c r="V3520" s="1629">
        <f t="shared" si="324"/>
        <v>57.65</v>
      </c>
      <c r="W3520" s="1634" t="s">
        <v>4</v>
      </c>
      <c r="X3520" s="1629">
        <f t="shared" si="325"/>
        <v>115.3</v>
      </c>
    </row>
    <row r="3521" spans="6:34" ht="24" customHeight="1">
      <c r="H3521" s="1629" t="s">
        <v>2940</v>
      </c>
      <c r="I3521" s="1629">
        <f>1.1*2.325</f>
        <v>2.5575000000000006</v>
      </c>
      <c r="O3521" s="1661" t="s">
        <v>2941</v>
      </c>
      <c r="R3521" s="1661">
        <f>AH67</f>
        <v>36.950000000000003</v>
      </c>
      <c r="S3521" s="1629">
        <v>4</v>
      </c>
      <c r="T3521" s="1630" t="s">
        <v>4</v>
      </c>
      <c r="U3521" s="1629" t="s">
        <v>2955</v>
      </c>
      <c r="V3521" s="1629">
        <f t="shared" si="324"/>
        <v>89.6</v>
      </c>
      <c r="W3521" s="1634" t="s">
        <v>4</v>
      </c>
      <c r="X3521" s="1629">
        <f t="shared" si="325"/>
        <v>358.4</v>
      </c>
    </row>
    <row r="3522" spans="6:34" ht="24" customHeight="1">
      <c r="F3522" s="1629">
        <f>I3521</f>
        <v>2.5575000000000006</v>
      </c>
      <c r="G3522" s="1630" t="s">
        <v>152</v>
      </c>
      <c r="H3522" s="1629" t="s">
        <v>5241</v>
      </c>
      <c r="I3522" s="1629">
        <v>2255</v>
      </c>
      <c r="J3522" s="1630" t="s">
        <v>152</v>
      </c>
      <c r="K3522" s="1629">
        <f>I3522*F3522</f>
        <v>5767.1625000000013</v>
      </c>
      <c r="S3522" s="1629">
        <v>2</v>
      </c>
      <c r="T3522" s="1630" t="s">
        <v>4</v>
      </c>
      <c r="U3522" s="1629" t="s">
        <v>2957</v>
      </c>
      <c r="V3522" s="1629">
        <f t="shared" si="324"/>
        <v>64.8</v>
      </c>
      <c r="W3522" s="1634" t="s">
        <v>4</v>
      </c>
      <c r="X3522" s="1629">
        <f t="shared" si="325"/>
        <v>129.6</v>
      </c>
    </row>
    <row r="3523" spans="6:34" ht="24" customHeight="1">
      <c r="F3523" s="1629">
        <f>F3522</f>
        <v>2.5575000000000006</v>
      </c>
      <c r="G3523" s="1630" t="s">
        <v>152</v>
      </c>
      <c r="H3523" s="1629" t="s">
        <v>2943</v>
      </c>
      <c r="I3523" s="1629">
        <f>AG53</f>
        <v>438.2</v>
      </c>
      <c r="J3523" s="1630" t="s">
        <v>152</v>
      </c>
      <c r="K3523" s="1629">
        <f t="shared" ref="K3523:K3530" si="326">I3523*F3523</f>
        <v>1120.6965000000002</v>
      </c>
      <c r="S3523" s="1629">
        <v>1</v>
      </c>
      <c r="T3523" s="1630" t="s">
        <v>4</v>
      </c>
      <c r="U3523" s="1629" t="s">
        <v>2915</v>
      </c>
      <c r="V3523" s="1629">
        <f t="shared" si="324"/>
        <v>181</v>
      </c>
      <c r="W3523" s="1634" t="s">
        <v>4</v>
      </c>
      <c r="X3523" s="1629">
        <f t="shared" si="325"/>
        <v>181</v>
      </c>
    </row>
    <row r="3524" spans="6:34" ht="24" customHeight="1">
      <c r="F3524" s="1629">
        <v>4</v>
      </c>
      <c r="G3524" s="1630" t="s">
        <v>4</v>
      </c>
      <c r="H3524" s="1629" t="s">
        <v>2944</v>
      </c>
      <c r="I3524" s="1629">
        <f>P3228</f>
        <v>57.65</v>
      </c>
      <c r="J3524" s="1630" t="s">
        <v>4</v>
      </c>
      <c r="K3524" s="1629">
        <f t="shared" si="326"/>
        <v>230.6</v>
      </c>
      <c r="N3524" s="1630"/>
      <c r="O3524" s="1661" t="s">
        <v>2945</v>
      </c>
      <c r="Q3524" s="1632"/>
      <c r="S3524" s="1629">
        <v>92</v>
      </c>
      <c r="T3524" s="1630" t="s">
        <v>4</v>
      </c>
      <c r="U3524" s="1629" t="s">
        <v>2952</v>
      </c>
      <c r="V3524" s="1629">
        <f t="shared" si="324"/>
        <v>2.41</v>
      </c>
      <c r="W3524" s="1634" t="s">
        <v>4</v>
      </c>
      <c r="X3524" s="1629">
        <f t="shared" si="325"/>
        <v>221.72000000000003</v>
      </c>
    </row>
    <row r="3525" spans="6:34" ht="24" customHeight="1">
      <c r="F3525" s="1629">
        <v>8</v>
      </c>
      <c r="G3525" s="1630" t="s">
        <v>4</v>
      </c>
      <c r="H3525" s="1629" t="s">
        <v>2946</v>
      </c>
      <c r="I3525" s="1629">
        <f>P3229</f>
        <v>89.6</v>
      </c>
      <c r="J3525" s="1630" t="s">
        <v>4</v>
      </c>
      <c r="K3525" s="1629">
        <f t="shared" si="326"/>
        <v>716.8</v>
      </c>
      <c r="N3525" s="1630"/>
      <c r="O3525" s="1629" t="s">
        <v>2947</v>
      </c>
      <c r="P3525" s="1629">
        <f>1.4*2.325</f>
        <v>3.2549999999999999</v>
      </c>
      <c r="Q3525" s="1632"/>
      <c r="S3525" s="1629">
        <v>1</v>
      </c>
      <c r="T3525" s="1630" t="s">
        <v>4</v>
      </c>
      <c r="U3525" s="1629" t="s">
        <v>2960</v>
      </c>
      <c r="V3525" s="1629">
        <f t="shared" si="324"/>
        <v>23.1</v>
      </c>
      <c r="W3525" s="1634" t="s">
        <v>4</v>
      </c>
      <c r="X3525" s="1629">
        <f t="shared" si="325"/>
        <v>23.1</v>
      </c>
    </row>
    <row r="3526" spans="6:34" ht="24" customHeight="1">
      <c r="F3526" s="1629">
        <v>4</v>
      </c>
      <c r="G3526" s="1630" t="s">
        <v>4</v>
      </c>
      <c r="H3526" s="1629" t="s">
        <v>2948</v>
      </c>
      <c r="I3526" s="1629">
        <f>C284</f>
        <v>64.8</v>
      </c>
      <c r="J3526" s="1630" t="s">
        <v>4</v>
      </c>
      <c r="K3526" s="1629">
        <f t="shared" si="326"/>
        <v>259.2</v>
      </c>
      <c r="M3526" s="1629">
        <f>P3525</f>
        <v>3.2549999999999999</v>
      </c>
      <c r="N3526" s="1630" t="s">
        <v>152</v>
      </c>
      <c r="O3526" s="1629" t="s">
        <v>2949</v>
      </c>
      <c r="P3526" s="1629">
        <f>I3522</f>
        <v>2255</v>
      </c>
      <c r="Q3526" s="1630" t="s">
        <v>152</v>
      </c>
      <c r="R3526" s="1629">
        <f t="shared" ref="R3526:R3534" si="327">P3526*M3526</f>
        <v>7340.0249999999996</v>
      </c>
      <c r="S3526" s="1629">
        <v>1</v>
      </c>
      <c r="T3526" s="1630" t="s">
        <v>4</v>
      </c>
      <c r="U3526" s="1629" t="s">
        <v>2956</v>
      </c>
      <c r="V3526" s="1629">
        <f t="shared" si="324"/>
        <v>49.55</v>
      </c>
      <c r="W3526" s="1634" t="s">
        <v>4</v>
      </c>
      <c r="X3526" s="1629">
        <f t="shared" si="325"/>
        <v>49.55</v>
      </c>
    </row>
    <row r="3527" spans="6:34" ht="24" customHeight="1">
      <c r="F3527" s="1629">
        <v>1</v>
      </c>
      <c r="G3527" s="1630" t="s">
        <v>4</v>
      </c>
      <c r="H3527" s="1629" t="s">
        <v>2950</v>
      </c>
      <c r="I3527" s="1629">
        <f>C286</f>
        <v>181</v>
      </c>
      <c r="J3527" s="1630" t="s">
        <v>4</v>
      </c>
      <c r="K3527" s="1629">
        <f t="shared" si="326"/>
        <v>181</v>
      </c>
      <c r="M3527" s="1629">
        <f>M3526</f>
        <v>3.2549999999999999</v>
      </c>
      <c r="N3527" s="1630" t="s">
        <v>152</v>
      </c>
      <c r="O3527" s="1629" t="s">
        <v>2951</v>
      </c>
      <c r="P3527" s="1629">
        <f t="shared" ref="P3527:P3534" si="328">I3523</f>
        <v>438.2</v>
      </c>
      <c r="Q3527" s="1630" t="s">
        <v>152</v>
      </c>
      <c r="R3527" s="1629">
        <f t="shared" si="327"/>
        <v>1426.3409999999999</v>
      </c>
      <c r="S3527" s="1633">
        <v>0.39</v>
      </c>
      <c r="T3527" s="1630" t="s">
        <v>152</v>
      </c>
      <c r="U3527" s="1629" t="s">
        <v>2975</v>
      </c>
      <c r="V3527" s="1629">
        <f t="shared" si="324"/>
        <v>283.40549999999996</v>
      </c>
      <c r="W3527" s="1634" t="s">
        <v>152</v>
      </c>
    </row>
    <row r="3528" spans="6:34" ht="24" customHeight="1">
      <c r="F3528" s="1629">
        <v>118</v>
      </c>
      <c r="G3528" s="1630" t="s">
        <v>4</v>
      </c>
      <c r="H3528" s="1629" t="s">
        <v>2952</v>
      </c>
      <c r="I3528" s="1629">
        <f>P3448</f>
        <v>2.41</v>
      </c>
      <c r="J3528" s="1630" t="s">
        <v>4</v>
      </c>
      <c r="K3528" s="1629">
        <f t="shared" si="326"/>
        <v>284.38</v>
      </c>
      <c r="M3528" s="1629">
        <v>4</v>
      </c>
      <c r="N3528" s="1630" t="s">
        <v>4</v>
      </c>
      <c r="O3528" s="1629" t="s">
        <v>2953</v>
      </c>
      <c r="P3528" s="1629">
        <f t="shared" si="328"/>
        <v>57.65</v>
      </c>
      <c r="Q3528" s="1630" t="s">
        <v>4</v>
      </c>
      <c r="R3528" s="1629">
        <f t="shared" si="327"/>
        <v>230.6</v>
      </c>
      <c r="S3528" s="1629"/>
      <c r="T3528" s="1630"/>
      <c r="U3528" s="1629" t="s">
        <v>2977</v>
      </c>
      <c r="W3528" s="1634"/>
      <c r="X3528" s="1629">
        <f>SUM(X3518:X3527)</f>
        <v>7572.6740000000027</v>
      </c>
    </row>
    <row r="3529" spans="6:34" ht="24" customHeight="1">
      <c r="F3529" s="1629">
        <v>2</v>
      </c>
      <c r="G3529" s="1630" t="s">
        <v>4</v>
      </c>
      <c r="H3529" s="1629" t="s">
        <v>2954</v>
      </c>
      <c r="I3529" s="1629">
        <f>P3197</f>
        <v>23.1</v>
      </c>
      <c r="J3529" s="1630" t="s">
        <v>4</v>
      </c>
      <c r="K3529" s="1629">
        <f t="shared" si="326"/>
        <v>46.2</v>
      </c>
      <c r="M3529" s="1629">
        <v>10</v>
      </c>
      <c r="N3529" s="1630" t="s">
        <v>4</v>
      </c>
      <c r="O3529" s="1629" t="s">
        <v>2955</v>
      </c>
      <c r="P3529" s="1629">
        <f t="shared" si="328"/>
        <v>89.6</v>
      </c>
      <c r="Q3529" s="1630" t="s">
        <v>4</v>
      </c>
      <c r="R3529" s="1629">
        <f t="shared" si="327"/>
        <v>896</v>
      </c>
      <c r="S3529" s="1629"/>
      <c r="T3529" s="1630"/>
      <c r="U3529" s="1629" t="s">
        <v>2462</v>
      </c>
      <c r="W3529" s="1634"/>
      <c r="X3529" s="1629">
        <f>X3528/S3519</f>
        <v>2960.9673509286417</v>
      </c>
    </row>
    <row r="3530" spans="6:34" ht="24" customHeight="1">
      <c r="F3530" s="1629">
        <v>2</v>
      </c>
      <c r="G3530" s="1630" t="s">
        <v>4</v>
      </c>
      <c r="H3530" s="1629" t="s">
        <v>2956</v>
      </c>
      <c r="I3530" s="1629">
        <f>P3403</f>
        <v>49.55</v>
      </c>
      <c r="J3530" s="1630" t="s">
        <v>4</v>
      </c>
      <c r="K3530" s="1629">
        <f t="shared" si="326"/>
        <v>99.1</v>
      </c>
      <c r="M3530" s="1629">
        <v>3</v>
      </c>
      <c r="N3530" s="1630" t="s">
        <v>4</v>
      </c>
      <c r="O3530" s="1629" t="s">
        <v>2957</v>
      </c>
      <c r="P3530" s="1629">
        <f t="shared" si="328"/>
        <v>64.8</v>
      </c>
      <c r="Q3530" s="1630" t="s">
        <v>4</v>
      </c>
      <c r="R3530" s="1629">
        <f t="shared" si="327"/>
        <v>194.39999999999998</v>
      </c>
      <c r="W3530" s="1634"/>
    </row>
    <row r="3531" spans="6:34" ht="24" customHeight="1">
      <c r="F3531" s="1633">
        <v>0.41099999999999998</v>
      </c>
      <c r="G3531" s="1630" t="s">
        <v>152</v>
      </c>
      <c r="H3531" s="1629" t="s">
        <v>2958</v>
      </c>
      <c r="I3531" s="1629">
        <f>I1136</f>
        <v>246.54000000000002</v>
      </c>
      <c r="J3531" s="1630" t="s">
        <v>152</v>
      </c>
      <c r="M3531" s="1629">
        <v>1</v>
      </c>
      <c r="N3531" s="1630" t="s">
        <v>4</v>
      </c>
      <c r="O3531" s="1629" t="s">
        <v>2915</v>
      </c>
      <c r="P3531" s="1629">
        <f t="shared" si="328"/>
        <v>181</v>
      </c>
      <c r="Q3531" s="1630" t="s">
        <v>4</v>
      </c>
      <c r="R3531" s="1629">
        <f t="shared" si="327"/>
        <v>181</v>
      </c>
      <c r="W3531" s="1634"/>
    </row>
    <row r="3532" spans="6:34" ht="24" customHeight="1">
      <c r="H3532" s="1629" t="s">
        <v>2979</v>
      </c>
      <c r="K3532" s="1629">
        <f>SUM(K3522:K3531)</f>
        <v>8705.1390000000029</v>
      </c>
      <c r="M3532" s="1629">
        <v>162</v>
      </c>
      <c r="N3532" s="1630" t="s">
        <v>4</v>
      </c>
      <c r="O3532" s="1629" t="s">
        <v>2952</v>
      </c>
      <c r="P3532" s="1629">
        <f t="shared" si="328"/>
        <v>2.41</v>
      </c>
      <c r="Q3532" s="1630" t="s">
        <v>4</v>
      </c>
      <c r="R3532" s="1629">
        <f t="shared" si="327"/>
        <v>390.42</v>
      </c>
      <c r="W3532" s="1634"/>
    </row>
    <row r="3533" spans="6:34" ht="24" customHeight="1">
      <c r="H3533" s="1629" t="s">
        <v>2462</v>
      </c>
      <c r="K3533" s="1629">
        <f>K3532/F3523</f>
        <v>3403.7689149560119</v>
      </c>
      <c r="M3533" s="1629">
        <v>2</v>
      </c>
      <c r="N3533" s="1630" t="s">
        <v>4</v>
      </c>
      <c r="O3533" s="1629" t="s">
        <v>2960</v>
      </c>
      <c r="P3533" s="1629">
        <f t="shared" si="328"/>
        <v>23.1</v>
      </c>
      <c r="Q3533" s="1630" t="s">
        <v>4</v>
      </c>
      <c r="R3533" s="1629">
        <f t="shared" si="327"/>
        <v>46.2</v>
      </c>
      <c r="W3533" s="1634"/>
    </row>
    <row r="3534" spans="6:34" ht="24" customHeight="1">
      <c r="M3534" s="1629">
        <v>2</v>
      </c>
      <c r="N3534" s="1630" t="s">
        <v>4</v>
      </c>
      <c r="O3534" s="1629" t="s">
        <v>2956</v>
      </c>
      <c r="P3534" s="1629">
        <f t="shared" si="328"/>
        <v>49.55</v>
      </c>
      <c r="Q3534" s="1630" t="s">
        <v>4</v>
      </c>
      <c r="R3534" s="1629">
        <f t="shared" si="327"/>
        <v>99.1</v>
      </c>
      <c r="W3534" s="1634"/>
    </row>
    <row r="3535" spans="6:34" ht="24" customHeight="1">
      <c r="M3535" s="1633">
        <v>0</v>
      </c>
      <c r="N3535" s="1630" t="s">
        <v>152</v>
      </c>
      <c r="O3535" s="1629" t="s">
        <v>2958</v>
      </c>
      <c r="P3535" s="1629">
        <f>I3531</f>
        <v>246.54000000000002</v>
      </c>
      <c r="Q3535" s="1630" t="s">
        <v>152</v>
      </c>
      <c r="R3535" s="1629">
        <f>P3535*M3535</f>
        <v>0</v>
      </c>
      <c r="W3535" s="1634"/>
    </row>
    <row r="3536" spans="6:34" ht="24" customHeight="1">
      <c r="H3536" s="1629" t="s">
        <v>2961</v>
      </c>
      <c r="N3536" s="1630"/>
      <c r="O3536" s="1629" t="s">
        <v>2962</v>
      </c>
      <c r="Q3536" s="1632"/>
      <c r="R3536" s="1629">
        <f>SUM(R3526:R3535)</f>
        <v>10804.086000000001</v>
      </c>
      <c r="S3536" s="1629"/>
      <c r="T3536" s="1630"/>
      <c r="U3536" s="1629" t="s">
        <v>2963</v>
      </c>
      <c r="W3536" s="1634"/>
      <c r="AE3536" s="1630"/>
      <c r="AF3536" s="1629" t="s">
        <v>2964</v>
      </c>
      <c r="AH3536" s="1632"/>
    </row>
    <row r="3537" spans="6:35" ht="24" customHeight="1">
      <c r="H3537" s="1629" t="s">
        <v>2965</v>
      </c>
      <c r="I3537" s="1629">
        <f>0.9*2.025</f>
        <v>1.8225</v>
      </c>
      <c r="N3537" s="1630"/>
      <c r="O3537" s="1629" t="s">
        <v>2462</v>
      </c>
      <c r="Q3537" s="1632"/>
      <c r="R3537" s="1629">
        <f>R3536/M3527</f>
        <v>3319.2276497695857</v>
      </c>
      <c r="S3537" s="1629"/>
      <c r="T3537" s="1630"/>
      <c r="U3537" s="1629" t="s">
        <v>2966</v>
      </c>
      <c r="V3537" s="1629">
        <f>0.9*2.325</f>
        <v>2.0925000000000002</v>
      </c>
      <c r="W3537" s="1634"/>
      <c r="AE3537" s="1630"/>
      <c r="AF3537" s="1629" t="s">
        <v>5242</v>
      </c>
      <c r="AG3537" s="1629">
        <f>0.8*2.025</f>
        <v>1.62</v>
      </c>
      <c r="AH3537" s="1632"/>
    </row>
    <row r="3538" spans="6:35" ht="24" customHeight="1">
      <c r="F3538" s="1629">
        <f>I3537</f>
        <v>1.8225</v>
      </c>
      <c r="G3538" s="1630" t="s">
        <v>152</v>
      </c>
      <c r="H3538" s="1629" t="s">
        <v>2967</v>
      </c>
      <c r="I3538" s="1629">
        <f>I3522</f>
        <v>2255</v>
      </c>
      <c r="J3538" s="1630" t="s">
        <v>152</v>
      </c>
      <c r="K3538" s="1629">
        <f>I3538*F3538</f>
        <v>4109.7375000000002</v>
      </c>
      <c r="Q3538" s="1630"/>
      <c r="R3538" s="1661"/>
      <c r="S3538" s="1629">
        <f>V3537</f>
        <v>2.0925000000000002</v>
      </c>
      <c r="T3538" s="1630" t="s">
        <v>152</v>
      </c>
      <c r="U3538" s="1629" t="s">
        <v>2967</v>
      </c>
      <c r="V3538" s="1629">
        <f>I3538</f>
        <v>2255</v>
      </c>
      <c r="W3538" s="1634" t="s">
        <v>152</v>
      </c>
      <c r="X3538" s="1629">
        <f>V3538*S3538</f>
        <v>4718.5875000000005</v>
      </c>
      <c r="AD3538" s="1629">
        <f>AG3537</f>
        <v>1.62</v>
      </c>
      <c r="AE3538" s="1630" t="s">
        <v>152</v>
      </c>
      <c r="AF3538" s="1629" t="s">
        <v>2968</v>
      </c>
      <c r="AG3538" s="1629">
        <f>I3522</f>
        <v>2255</v>
      </c>
      <c r="AH3538" s="1630" t="s">
        <v>152</v>
      </c>
      <c r="AI3538" s="1629">
        <f>AG3538*AD3538</f>
        <v>3653.1000000000004</v>
      </c>
    </row>
    <row r="3539" spans="6:35" ht="24" customHeight="1">
      <c r="F3539" s="1629">
        <f>I3537</f>
        <v>1.8225</v>
      </c>
      <c r="G3539" s="1630" t="s">
        <v>152</v>
      </c>
      <c r="H3539" s="1629" t="s">
        <v>2969</v>
      </c>
      <c r="I3539" s="1629">
        <f>AG52</f>
        <v>284.2</v>
      </c>
      <c r="J3539" s="1630" t="s">
        <v>152</v>
      </c>
      <c r="K3539" s="1629">
        <f t="shared" ref="K3539:K3546" si="329">I3539*F3539</f>
        <v>517.95449999999994</v>
      </c>
      <c r="S3539" s="1629">
        <f>V3537</f>
        <v>2.0925000000000002</v>
      </c>
      <c r="T3539" s="1630" t="s">
        <v>152</v>
      </c>
      <c r="U3539" s="1629" t="s">
        <v>2970</v>
      </c>
      <c r="V3539" s="1629">
        <f t="shared" ref="V3539:V3547" si="330">I3539</f>
        <v>284.2</v>
      </c>
      <c r="W3539" s="1634" t="s">
        <v>152</v>
      </c>
      <c r="X3539" s="1629">
        <f t="shared" ref="X3539:X3546" si="331">V3539*S3539</f>
        <v>594.68850000000009</v>
      </c>
      <c r="AD3539" s="1629">
        <f>AG3537</f>
        <v>1.62</v>
      </c>
      <c r="AE3539" s="1630" t="s">
        <v>152</v>
      </c>
      <c r="AF3539" s="1629" t="s">
        <v>2971</v>
      </c>
      <c r="AG3539" s="1629">
        <f>I3539</f>
        <v>284.2</v>
      </c>
      <c r="AH3539" s="1630" t="s">
        <v>152</v>
      </c>
      <c r="AI3539" s="1629">
        <f t="shared" ref="AI3539:AI3546" si="332">AG3539*AD3539</f>
        <v>460.404</v>
      </c>
    </row>
    <row r="3540" spans="6:35" ht="24" customHeight="1">
      <c r="F3540" s="1629">
        <v>2</v>
      </c>
      <c r="G3540" s="1630" t="s">
        <v>4</v>
      </c>
      <c r="H3540" s="1629" t="s">
        <v>2953</v>
      </c>
      <c r="I3540" s="1629">
        <f t="shared" ref="I3540:I3546" si="333">I3524</f>
        <v>57.65</v>
      </c>
      <c r="J3540" s="1630" t="s">
        <v>4</v>
      </c>
      <c r="K3540" s="1629">
        <f t="shared" si="329"/>
        <v>115.3</v>
      </c>
      <c r="N3540" s="1630"/>
      <c r="O3540" s="1629" t="s">
        <v>2972</v>
      </c>
      <c r="Q3540" s="1632"/>
      <c r="S3540" s="1629">
        <v>2</v>
      </c>
      <c r="T3540" s="1630" t="s">
        <v>4</v>
      </c>
      <c r="U3540" s="1629" t="s">
        <v>2953</v>
      </c>
      <c r="V3540" s="1629">
        <f t="shared" si="330"/>
        <v>57.65</v>
      </c>
      <c r="W3540" s="1634" t="s">
        <v>4</v>
      </c>
      <c r="X3540" s="1629">
        <f t="shared" si="331"/>
        <v>115.3</v>
      </c>
      <c r="AD3540" s="1629">
        <v>2</v>
      </c>
      <c r="AE3540" s="1630" t="s">
        <v>4</v>
      </c>
      <c r="AF3540" s="1629" t="s">
        <v>2953</v>
      </c>
      <c r="AG3540" s="1629">
        <f t="shared" ref="AG3540:AG3547" si="334">I3540</f>
        <v>57.65</v>
      </c>
      <c r="AH3540" s="1630" t="s">
        <v>4</v>
      </c>
      <c r="AI3540" s="1629">
        <f t="shared" si="332"/>
        <v>115.3</v>
      </c>
    </row>
    <row r="3541" spans="6:35" ht="24" customHeight="1">
      <c r="F3541" s="1629">
        <v>3</v>
      </c>
      <c r="G3541" s="1630" t="s">
        <v>4</v>
      </c>
      <c r="H3541" s="1629" t="s">
        <v>2955</v>
      </c>
      <c r="I3541" s="1629">
        <f t="shared" si="333"/>
        <v>89.6</v>
      </c>
      <c r="J3541" s="1630" t="s">
        <v>4</v>
      </c>
      <c r="K3541" s="1629">
        <f t="shared" si="329"/>
        <v>268.79999999999995</v>
      </c>
      <c r="N3541" s="1630"/>
      <c r="O3541" s="1629" t="s">
        <v>2973</v>
      </c>
      <c r="P3541" s="1629">
        <f>1.1*2.325</f>
        <v>2.5575000000000006</v>
      </c>
      <c r="Q3541" s="1632"/>
      <c r="S3541" s="1629">
        <v>4</v>
      </c>
      <c r="T3541" s="1630" t="s">
        <v>4</v>
      </c>
      <c r="U3541" s="1629" t="s">
        <v>2955</v>
      </c>
      <c r="V3541" s="1629">
        <f t="shared" si="330"/>
        <v>89.6</v>
      </c>
      <c r="W3541" s="1634" t="s">
        <v>4</v>
      </c>
      <c r="X3541" s="1629">
        <f t="shared" si="331"/>
        <v>358.4</v>
      </c>
      <c r="AD3541" s="1629">
        <v>3</v>
      </c>
      <c r="AE3541" s="1630" t="s">
        <v>4</v>
      </c>
      <c r="AF3541" s="1629" t="s">
        <v>2955</v>
      </c>
      <c r="AG3541" s="1629">
        <f t="shared" si="334"/>
        <v>89.6</v>
      </c>
      <c r="AH3541" s="1630" t="s">
        <v>4</v>
      </c>
      <c r="AI3541" s="1629">
        <f t="shared" si="332"/>
        <v>268.79999999999995</v>
      </c>
    </row>
    <row r="3542" spans="6:35" ht="24" customHeight="1">
      <c r="F3542" s="1629">
        <v>2</v>
      </c>
      <c r="G3542" s="1630" t="s">
        <v>4</v>
      </c>
      <c r="H3542" s="1629" t="s">
        <v>2957</v>
      </c>
      <c r="I3542" s="1629">
        <f t="shared" si="333"/>
        <v>64.8</v>
      </c>
      <c r="J3542" s="1630" t="s">
        <v>4</v>
      </c>
      <c r="K3542" s="1629">
        <f t="shared" si="329"/>
        <v>129.6</v>
      </c>
      <c r="M3542" s="1629">
        <f>P3541</f>
        <v>2.5575000000000006</v>
      </c>
      <c r="N3542" s="1630" t="s">
        <v>152</v>
      </c>
      <c r="O3542" s="1629" t="s">
        <v>2967</v>
      </c>
      <c r="P3542" s="1629">
        <f>I3538</f>
        <v>2255</v>
      </c>
      <c r="Q3542" s="1630" t="s">
        <v>152</v>
      </c>
      <c r="R3542" s="1629">
        <f>P3542*M3542</f>
        <v>5767.1625000000013</v>
      </c>
      <c r="S3542" s="1629">
        <v>2</v>
      </c>
      <c r="T3542" s="1630" t="s">
        <v>4</v>
      </c>
      <c r="U3542" s="1629" t="s">
        <v>2957</v>
      </c>
      <c r="V3542" s="1629">
        <f t="shared" si="330"/>
        <v>64.8</v>
      </c>
      <c r="W3542" s="1634" t="s">
        <v>4</v>
      </c>
      <c r="X3542" s="1629">
        <f t="shared" si="331"/>
        <v>129.6</v>
      </c>
      <c r="AD3542" s="1629">
        <v>2</v>
      </c>
      <c r="AE3542" s="1630" t="s">
        <v>4</v>
      </c>
      <c r="AF3542" s="1629" t="s">
        <v>2957</v>
      </c>
      <c r="AG3542" s="1629">
        <f t="shared" si="334"/>
        <v>64.8</v>
      </c>
      <c r="AH3542" s="1630" t="s">
        <v>4</v>
      </c>
      <c r="AI3542" s="1629">
        <f t="shared" si="332"/>
        <v>129.6</v>
      </c>
    </row>
    <row r="3543" spans="6:35" ht="24" customHeight="1">
      <c r="F3543" s="1629">
        <v>1</v>
      </c>
      <c r="G3543" s="1630" t="s">
        <v>4</v>
      </c>
      <c r="H3543" s="1629" t="s">
        <v>2915</v>
      </c>
      <c r="I3543" s="1629">
        <f t="shared" si="333"/>
        <v>181</v>
      </c>
      <c r="J3543" s="1630" t="s">
        <v>4</v>
      </c>
      <c r="K3543" s="1629">
        <f t="shared" si="329"/>
        <v>181</v>
      </c>
      <c r="M3543" s="1629">
        <f>P3541</f>
        <v>2.5575000000000006</v>
      </c>
      <c r="N3543" s="1630" t="s">
        <v>152</v>
      </c>
      <c r="O3543" s="1629" t="s">
        <v>2974</v>
      </c>
      <c r="P3543" s="1629">
        <f t="shared" ref="P3543:P3551" si="335">I3539</f>
        <v>284.2</v>
      </c>
      <c r="Q3543" s="1630" t="s">
        <v>152</v>
      </c>
      <c r="R3543" s="1629">
        <f t="shared" ref="R3543:R3551" si="336">P3543*M3543</f>
        <v>726.84150000000011</v>
      </c>
      <c r="S3543" s="1629">
        <v>1</v>
      </c>
      <c r="T3543" s="1630" t="s">
        <v>4</v>
      </c>
      <c r="U3543" s="1629" t="s">
        <v>2915</v>
      </c>
      <c r="V3543" s="1629">
        <f t="shared" si="330"/>
        <v>181</v>
      </c>
      <c r="W3543" s="1634" t="s">
        <v>4</v>
      </c>
      <c r="X3543" s="1629">
        <f t="shared" si="331"/>
        <v>181</v>
      </c>
      <c r="AD3543" s="1629">
        <v>1</v>
      </c>
      <c r="AE3543" s="1630" t="s">
        <v>4</v>
      </c>
      <c r="AF3543" s="1629" t="s">
        <v>2915</v>
      </c>
      <c r="AG3543" s="1629">
        <f t="shared" si="334"/>
        <v>181</v>
      </c>
      <c r="AH3543" s="1630" t="s">
        <v>4</v>
      </c>
      <c r="AI3543" s="1629">
        <f t="shared" si="332"/>
        <v>181</v>
      </c>
    </row>
    <row r="3544" spans="6:35" ht="24" customHeight="1">
      <c r="F3544" s="1629">
        <v>92</v>
      </c>
      <c r="G3544" s="1630" t="s">
        <v>4</v>
      </c>
      <c r="H3544" s="1629" t="s">
        <v>2952</v>
      </c>
      <c r="I3544" s="1629">
        <f t="shared" si="333"/>
        <v>2.41</v>
      </c>
      <c r="J3544" s="1630" t="s">
        <v>4</v>
      </c>
      <c r="K3544" s="1629">
        <f t="shared" si="329"/>
        <v>221.72000000000003</v>
      </c>
      <c r="M3544" s="1629">
        <f>F3540</f>
        <v>2</v>
      </c>
      <c r="N3544" s="1630" t="s">
        <v>4</v>
      </c>
      <c r="O3544" s="1629" t="s">
        <v>2953</v>
      </c>
      <c r="P3544" s="1629">
        <f t="shared" si="335"/>
        <v>57.65</v>
      </c>
      <c r="Q3544" s="1630" t="s">
        <v>4</v>
      </c>
      <c r="R3544" s="1629">
        <f t="shared" si="336"/>
        <v>115.3</v>
      </c>
      <c r="S3544" s="1629">
        <v>92</v>
      </c>
      <c r="T3544" s="1630" t="s">
        <v>4</v>
      </c>
      <c r="U3544" s="1629" t="s">
        <v>2952</v>
      </c>
      <c r="V3544" s="1629">
        <f t="shared" si="330"/>
        <v>2.41</v>
      </c>
      <c r="W3544" s="1634" t="s">
        <v>4</v>
      </c>
      <c r="X3544" s="1629">
        <f t="shared" si="331"/>
        <v>221.72000000000003</v>
      </c>
      <c r="AD3544" s="1629">
        <v>92</v>
      </c>
      <c r="AE3544" s="1630" t="s">
        <v>4</v>
      </c>
      <c r="AF3544" s="1629" t="s">
        <v>2952</v>
      </c>
      <c r="AG3544" s="1629">
        <f t="shared" si="334"/>
        <v>2.41</v>
      </c>
      <c r="AH3544" s="1630" t="s">
        <v>4</v>
      </c>
      <c r="AI3544" s="1629">
        <f t="shared" si="332"/>
        <v>221.72000000000003</v>
      </c>
    </row>
    <row r="3545" spans="6:35" ht="24" customHeight="1">
      <c r="F3545" s="1629">
        <v>1</v>
      </c>
      <c r="G3545" s="1630" t="s">
        <v>4</v>
      </c>
      <c r="H3545" s="1629" t="s">
        <v>2960</v>
      </c>
      <c r="I3545" s="1629">
        <f t="shared" si="333"/>
        <v>23.1</v>
      </c>
      <c r="J3545" s="1630" t="s">
        <v>4</v>
      </c>
      <c r="K3545" s="1629">
        <f t="shared" si="329"/>
        <v>23.1</v>
      </c>
      <c r="M3545" s="1629">
        <f t="shared" ref="M3545:M3550" si="337">F3541</f>
        <v>3</v>
      </c>
      <c r="N3545" s="1630" t="s">
        <v>4</v>
      </c>
      <c r="O3545" s="1629" t="s">
        <v>2955</v>
      </c>
      <c r="P3545" s="1629">
        <f t="shared" si="335"/>
        <v>89.6</v>
      </c>
      <c r="Q3545" s="1630" t="s">
        <v>4</v>
      </c>
      <c r="R3545" s="1629">
        <f t="shared" si="336"/>
        <v>268.79999999999995</v>
      </c>
      <c r="S3545" s="1629">
        <v>1</v>
      </c>
      <c r="T3545" s="1630" t="s">
        <v>4</v>
      </c>
      <c r="U3545" s="1629" t="s">
        <v>2960</v>
      </c>
      <c r="V3545" s="1629">
        <f t="shared" si="330"/>
        <v>23.1</v>
      </c>
      <c r="W3545" s="1634" t="s">
        <v>4</v>
      </c>
      <c r="X3545" s="1629">
        <f t="shared" si="331"/>
        <v>23.1</v>
      </c>
      <c r="AD3545" s="1629">
        <v>1</v>
      </c>
      <c r="AE3545" s="1630" t="s">
        <v>4</v>
      </c>
      <c r="AF3545" s="1629" t="s">
        <v>2960</v>
      </c>
      <c r="AG3545" s="1629">
        <f t="shared" si="334"/>
        <v>23.1</v>
      </c>
      <c r="AH3545" s="1630" t="s">
        <v>4</v>
      </c>
      <c r="AI3545" s="1629">
        <f t="shared" si="332"/>
        <v>23.1</v>
      </c>
    </row>
    <row r="3546" spans="6:35" ht="24" customHeight="1">
      <c r="F3546" s="1629">
        <v>1</v>
      </c>
      <c r="G3546" s="1630" t="s">
        <v>4</v>
      </c>
      <c r="H3546" s="1629" t="s">
        <v>2956</v>
      </c>
      <c r="I3546" s="1629">
        <f t="shared" si="333"/>
        <v>49.55</v>
      </c>
      <c r="J3546" s="1630" t="s">
        <v>4</v>
      </c>
      <c r="K3546" s="1629">
        <f t="shared" si="329"/>
        <v>49.55</v>
      </c>
      <c r="M3546" s="1629">
        <f t="shared" si="337"/>
        <v>2</v>
      </c>
      <c r="N3546" s="1630" t="s">
        <v>4</v>
      </c>
      <c r="O3546" s="1629" t="s">
        <v>2957</v>
      </c>
      <c r="P3546" s="1629">
        <f t="shared" si="335"/>
        <v>64.8</v>
      </c>
      <c r="Q3546" s="1630" t="s">
        <v>4</v>
      </c>
      <c r="R3546" s="1629">
        <f t="shared" si="336"/>
        <v>129.6</v>
      </c>
      <c r="S3546" s="1629">
        <v>1</v>
      </c>
      <c r="T3546" s="1630" t="s">
        <v>4</v>
      </c>
      <c r="U3546" s="1629" t="s">
        <v>2956</v>
      </c>
      <c r="V3546" s="1629">
        <f t="shared" si="330"/>
        <v>49.55</v>
      </c>
      <c r="W3546" s="1634" t="s">
        <v>4</v>
      </c>
      <c r="X3546" s="1629">
        <f t="shared" si="331"/>
        <v>49.55</v>
      </c>
      <c r="AD3546" s="1629">
        <v>1</v>
      </c>
      <c r="AE3546" s="1630" t="s">
        <v>4</v>
      </c>
      <c r="AF3546" s="1629" t="s">
        <v>2956</v>
      </c>
      <c r="AG3546" s="1629">
        <f t="shared" si="334"/>
        <v>49.55</v>
      </c>
      <c r="AH3546" s="1630" t="s">
        <v>4</v>
      </c>
      <c r="AI3546" s="1629">
        <f t="shared" si="332"/>
        <v>49.55</v>
      </c>
    </row>
    <row r="3547" spans="6:35" ht="24" customHeight="1">
      <c r="F3547" s="1633">
        <v>0.35</v>
      </c>
      <c r="G3547" s="1630" t="s">
        <v>152</v>
      </c>
      <c r="H3547" s="1629" t="s">
        <v>2975</v>
      </c>
      <c r="I3547" s="1629">
        <f>K1540</f>
        <v>283.40549999999996</v>
      </c>
      <c r="J3547" s="1630" t="s">
        <v>152</v>
      </c>
      <c r="M3547" s="1629">
        <f t="shared" si="337"/>
        <v>1</v>
      </c>
      <c r="N3547" s="1630" t="s">
        <v>4</v>
      </c>
      <c r="O3547" s="1629" t="s">
        <v>2915</v>
      </c>
      <c r="P3547" s="1629">
        <f t="shared" si="335"/>
        <v>181</v>
      </c>
      <c r="Q3547" s="1630" t="s">
        <v>4</v>
      </c>
      <c r="R3547" s="1629">
        <f t="shared" si="336"/>
        <v>181</v>
      </c>
      <c r="S3547" s="1633">
        <v>0.39</v>
      </c>
      <c r="T3547" s="1630" t="s">
        <v>152</v>
      </c>
      <c r="U3547" s="1629" t="s">
        <v>2975</v>
      </c>
      <c r="V3547" s="1629">
        <f t="shared" si="330"/>
        <v>283.40549999999996</v>
      </c>
      <c r="W3547" s="1634" t="s">
        <v>152</v>
      </c>
      <c r="AD3547" s="1633">
        <v>0.35</v>
      </c>
      <c r="AE3547" s="1630" t="s">
        <v>152</v>
      </c>
      <c r="AF3547" s="1629" t="s">
        <v>2975</v>
      </c>
      <c r="AG3547" s="1629">
        <f t="shared" si="334"/>
        <v>283.40549999999996</v>
      </c>
      <c r="AH3547" s="1630" t="s">
        <v>152</v>
      </c>
    </row>
    <row r="3548" spans="6:35" ht="24" customHeight="1">
      <c r="H3548" s="1629" t="s">
        <v>2976</v>
      </c>
      <c r="K3548" s="1629">
        <f>SUM(K3538:K3547)</f>
        <v>5616.7620000000015</v>
      </c>
      <c r="M3548" s="1629">
        <f t="shared" si="337"/>
        <v>92</v>
      </c>
      <c r="N3548" s="1630" t="s">
        <v>4</v>
      </c>
      <c r="O3548" s="1629" t="s">
        <v>2952</v>
      </c>
      <c r="P3548" s="1629">
        <f t="shared" si="335"/>
        <v>2.41</v>
      </c>
      <c r="Q3548" s="1630" t="s">
        <v>4</v>
      </c>
      <c r="R3548" s="1629">
        <f t="shared" si="336"/>
        <v>221.72000000000003</v>
      </c>
      <c r="S3548" s="1629"/>
      <c r="T3548" s="1630"/>
      <c r="U3548" s="1629" t="s">
        <v>2977</v>
      </c>
      <c r="W3548" s="1634"/>
      <c r="X3548" s="1629">
        <f>SUM(X3538:X3547)</f>
        <v>6391.9460000000017</v>
      </c>
      <c r="AE3548" s="1630"/>
      <c r="AF3548" s="1629" t="s">
        <v>2978</v>
      </c>
      <c r="AH3548" s="1632"/>
      <c r="AI3548" s="1629">
        <f>SUM(AI3538:AI3547)</f>
        <v>5102.5740000000023</v>
      </c>
    </row>
    <row r="3549" spans="6:35" ht="24" customHeight="1">
      <c r="H3549" s="1629" t="s">
        <v>2462</v>
      </c>
      <c r="K3549" s="1629">
        <f>K3548/F3539</f>
        <v>3081.8995884773672</v>
      </c>
      <c r="M3549" s="1629">
        <f t="shared" si="337"/>
        <v>1</v>
      </c>
      <c r="N3549" s="1630" t="s">
        <v>4</v>
      </c>
      <c r="O3549" s="1629" t="s">
        <v>2960</v>
      </c>
      <c r="P3549" s="1629">
        <f t="shared" si="335"/>
        <v>23.1</v>
      </c>
      <c r="Q3549" s="1630" t="s">
        <v>4</v>
      </c>
      <c r="R3549" s="1629">
        <f t="shared" si="336"/>
        <v>23.1</v>
      </c>
      <c r="S3549" s="1629"/>
      <c r="T3549" s="1630"/>
      <c r="U3549" s="1629" t="s">
        <v>2462</v>
      </c>
      <c r="W3549" s="1634"/>
      <c r="X3549" s="1629">
        <f>X3548/S3539</f>
        <v>3054.6934289127844</v>
      </c>
      <c r="AE3549" s="1630"/>
      <c r="AF3549" s="1629" t="s">
        <v>2462</v>
      </c>
      <c r="AH3549" s="1632"/>
      <c r="AI3549" s="1629">
        <f>AI3548/AD3539</f>
        <v>3149.7370370370381</v>
      </c>
    </row>
    <row r="3550" spans="6:35" ht="24" customHeight="1">
      <c r="M3550" s="1629">
        <f t="shared" si="337"/>
        <v>1</v>
      </c>
      <c r="N3550" s="1630" t="s">
        <v>4</v>
      </c>
      <c r="O3550" s="1629" t="s">
        <v>2956</v>
      </c>
      <c r="P3550" s="1629">
        <f t="shared" si="335"/>
        <v>49.55</v>
      </c>
      <c r="Q3550" s="1630" t="s">
        <v>4</v>
      </c>
      <c r="R3550" s="1629">
        <f t="shared" si="336"/>
        <v>49.55</v>
      </c>
      <c r="W3550" s="1634"/>
      <c r="AE3550" s="1630"/>
      <c r="AH3550" s="1632"/>
    </row>
    <row r="3551" spans="6:35" ht="24" customHeight="1">
      <c r="M3551" s="1633"/>
      <c r="N3551" s="1630" t="s">
        <v>152</v>
      </c>
      <c r="O3551" s="1629" t="s">
        <v>2958</v>
      </c>
      <c r="P3551" s="1629">
        <f t="shared" si="335"/>
        <v>283.40549999999996</v>
      </c>
      <c r="Q3551" s="1630" t="s">
        <v>152</v>
      </c>
      <c r="R3551" s="1629">
        <f t="shared" si="336"/>
        <v>0</v>
      </c>
      <c r="W3551" s="1634"/>
    </row>
    <row r="3552" spans="6:35" ht="24" customHeight="1">
      <c r="F3552" s="1662"/>
      <c r="G3552" s="1638" t="s">
        <v>249</v>
      </c>
      <c r="H3552" s="1627" t="s">
        <v>2208</v>
      </c>
      <c r="N3552" s="1630"/>
      <c r="O3552" s="1629" t="s">
        <v>2979</v>
      </c>
      <c r="Q3552" s="1632"/>
      <c r="R3552" s="1629">
        <f>SUM(R3542:R3551)</f>
        <v>7483.0740000000033</v>
      </c>
      <c r="S3552" s="1629"/>
      <c r="T3552" s="1630"/>
      <c r="U3552" s="1629" t="s">
        <v>2980</v>
      </c>
      <c r="W3552" s="1634"/>
      <c r="AE3552" s="1630"/>
      <c r="AF3552" s="1629" t="s">
        <v>5243</v>
      </c>
      <c r="AH3552" s="1632"/>
    </row>
    <row r="3553" spans="6:35" ht="24" customHeight="1">
      <c r="H3553" s="1631" t="s">
        <v>5724</v>
      </c>
      <c r="N3553" s="1630"/>
      <c r="O3553" s="1629" t="s">
        <v>2462</v>
      </c>
      <c r="Q3553" s="1632"/>
      <c r="R3553" s="1629">
        <f>R3552/M3543</f>
        <v>2925.9331378299125</v>
      </c>
      <c r="S3553" s="1629"/>
      <c r="T3553" s="1630"/>
      <c r="U3553" s="1629" t="s">
        <v>2982</v>
      </c>
      <c r="V3553" s="1629">
        <f>1.4*2.025</f>
        <v>2.8349999999999995</v>
      </c>
      <c r="W3553" s="1634"/>
      <c r="AE3553" s="1630"/>
      <c r="AF3553" s="1629" t="s">
        <v>5244</v>
      </c>
      <c r="AG3553" s="1629">
        <f>0.8*2.325</f>
        <v>1.8600000000000003</v>
      </c>
      <c r="AH3553" s="1632"/>
    </row>
    <row r="3554" spans="6:35" ht="24" customHeight="1">
      <c r="H3554" s="1627" t="s">
        <v>2210</v>
      </c>
      <c r="N3554" s="1630"/>
      <c r="Q3554" s="1632"/>
      <c r="S3554" s="1629">
        <f>V3553</f>
        <v>2.8349999999999995</v>
      </c>
      <c r="T3554" s="1630" t="s">
        <v>152</v>
      </c>
      <c r="U3554" s="1629" t="s">
        <v>2967</v>
      </c>
      <c r="V3554" s="1629">
        <f>P3526</f>
        <v>2255</v>
      </c>
      <c r="W3554" s="1634" t="s">
        <v>152</v>
      </c>
      <c r="X3554" s="1629">
        <f>V3554*S3554</f>
        <v>6392.9249999999993</v>
      </c>
      <c r="AD3554" s="1629">
        <f>AG3553</f>
        <v>1.8600000000000003</v>
      </c>
      <c r="AE3554" s="1630" t="s">
        <v>152</v>
      </c>
      <c r="AF3554" s="1629" t="s">
        <v>2967</v>
      </c>
      <c r="AG3554" s="1629">
        <f>AG3538</f>
        <v>2255</v>
      </c>
      <c r="AH3554" s="1630" t="s">
        <v>152</v>
      </c>
      <c r="AI3554" s="1629">
        <f>AG3554*AD3554</f>
        <v>4194.3000000000011</v>
      </c>
    </row>
    <row r="3555" spans="6:35" ht="24" customHeight="1">
      <c r="H3555" s="1627" t="s">
        <v>2211</v>
      </c>
      <c r="M3555" s="1662"/>
      <c r="N3555" s="1638" t="s">
        <v>249</v>
      </c>
      <c r="O3555" s="1627" t="s">
        <v>2208</v>
      </c>
      <c r="Q3555" s="1632"/>
      <c r="S3555" s="1629">
        <f>V3553</f>
        <v>2.8349999999999995</v>
      </c>
      <c r="T3555" s="1630" t="s">
        <v>152</v>
      </c>
      <c r="U3555" s="1629" t="s">
        <v>2970</v>
      </c>
      <c r="V3555" s="1629">
        <f>P3527</f>
        <v>438.2</v>
      </c>
      <c r="W3555" s="1634" t="s">
        <v>152</v>
      </c>
      <c r="X3555" s="1629">
        <f t="shared" ref="X3555:X3562" si="338">V3555*S3555</f>
        <v>1242.2969999999998</v>
      </c>
      <c r="AD3555" s="1629">
        <f>AG3553</f>
        <v>1.8600000000000003</v>
      </c>
      <c r="AE3555" s="1630" t="s">
        <v>152</v>
      </c>
      <c r="AF3555" s="1629" t="s">
        <v>2970</v>
      </c>
      <c r="AG3555" s="1629">
        <f t="shared" ref="AG3555:AG3563" si="339">AG3539</f>
        <v>284.2</v>
      </c>
      <c r="AH3555" s="1630" t="s">
        <v>152</v>
      </c>
      <c r="AI3555" s="1629">
        <f t="shared" ref="AI3555:AI3562" si="340">AG3555*AD3555</f>
        <v>528.61200000000008</v>
      </c>
    </row>
    <row r="3556" spans="6:35" ht="24" customHeight="1">
      <c r="H3556" s="1636" t="s">
        <v>21</v>
      </c>
      <c r="N3556" s="1630"/>
      <c r="O3556" s="1631" t="s">
        <v>5724</v>
      </c>
      <c r="Q3556" s="1632"/>
      <c r="S3556" s="1629">
        <v>4</v>
      </c>
      <c r="T3556" s="1630" t="s">
        <v>4</v>
      </c>
      <c r="U3556" s="1629" t="s">
        <v>2953</v>
      </c>
      <c r="V3556" s="1629">
        <f t="shared" ref="V3556:V3563" si="341">V3540</f>
        <v>57.65</v>
      </c>
      <c r="W3556" s="1634" t="s">
        <v>4</v>
      </c>
      <c r="X3556" s="1629">
        <f t="shared" si="338"/>
        <v>230.6</v>
      </c>
      <c r="AD3556" s="1629">
        <v>2</v>
      </c>
      <c r="AE3556" s="1630" t="s">
        <v>4</v>
      </c>
      <c r="AF3556" s="1629" t="s">
        <v>2953</v>
      </c>
      <c r="AG3556" s="1629">
        <f t="shared" si="339"/>
        <v>57.65</v>
      </c>
      <c r="AH3556" s="1630" t="s">
        <v>4</v>
      </c>
      <c r="AI3556" s="1629">
        <f t="shared" si="340"/>
        <v>115.3</v>
      </c>
    </row>
    <row r="3557" spans="6:35" ht="117.75" customHeight="1">
      <c r="F3557" s="1779">
        <v>1</v>
      </c>
      <c r="G3557" s="1779" t="s">
        <v>153</v>
      </c>
      <c r="H3557" s="1680" t="s">
        <v>2983</v>
      </c>
      <c r="I3557" s="1779">
        <v>1672</v>
      </c>
      <c r="J3557" s="1780" t="s">
        <v>153</v>
      </c>
      <c r="K3557" s="1779">
        <f>(F3557*I3557)</f>
        <v>1672</v>
      </c>
      <c r="N3557" s="1630"/>
      <c r="O3557" s="1627" t="s">
        <v>2210</v>
      </c>
      <c r="Q3557" s="1632"/>
      <c r="S3557" s="1629">
        <v>6</v>
      </c>
      <c r="T3557" s="1630" t="s">
        <v>4</v>
      </c>
      <c r="U3557" s="1629" t="s">
        <v>2955</v>
      </c>
      <c r="V3557" s="1629">
        <f t="shared" si="341"/>
        <v>89.6</v>
      </c>
      <c r="W3557" s="1634" t="s">
        <v>4</v>
      </c>
      <c r="X3557" s="1629">
        <f t="shared" si="338"/>
        <v>537.59999999999991</v>
      </c>
      <c r="AD3557" s="1629">
        <v>4</v>
      </c>
      <c r="AE3557" s="1630" t="s">
        <v>4</v>
      </c>
      <c r="AF3557" s="1629" t="s">
        <v>2955</v>
      </c>
      <c r="AG3557" s="1629">
        <f t="shared" si="339"/>
        <v>89.6</v>
      </c>
      <c r="AH3557" s="1630" t="s">
        <v>4</v>
      </c>
      <c r="AI3557" s="1629">
        <f t="shared" si="340"/>
        <v>358.4</v>
      </c>
    </row>
    <row r="3558" spans="6:35" ht="33.75" customHeight="1">
      <c r="F3558" s="1640"/>
      <c r="G3558" s="1638"/>
      <c r="H3558" s="1627"/>
      <c r="I3558" s="1640"/>
      <c r="J3558" s="1627"/>
      <c r="K3558" s="1640"/>
      <c r="N3558" s="1630"/>
      <c r="O3558" s="1627" t="s">
        <v>2211</v>
      </c>
      <c r="Q3558" s="1632"/>
      <c r="S3558" s="1629">
        <v>4</v>
      </c>
      <c r="T3558" s="1630" t="s">
        <v>4</v>
      </c>
      <c r="U3558" s="1629" t="s">
        <v>2957</v>
      </c>
      <c r="V3558" s="1629">
        <f t="shared" si="341"/>
        <v>64.8</v>
      </c>
      <c r="W3558" s="1634" t="s">
        <v>4</v>
      </c>
      <c r="X3558" s="1629">
        <f t="shared" si="338"/>
        <v>259.2</v>
      </c>
      <c r="AD3558" s="1629">
        <v>2</v>
      </c>
      <c r="AE3558" s="1630" t="s">
        <v>4</v>
      </c>
      <c r="AF3558" s="1629" t="s">
        <v>2957</v>
      </c>
      <c r="AG3558" s="1629">
        <f t="shared" si="339"/>
        <v>64.8</v>
      </c>
      <c r="AH3558" s="1630" t="s">
        <v>4</v>
      </c>
      <c r="AI3558" s="1629">
        <f t="shared" si="340"/>
        <v>129.6</v>
      </c>
    </row>
    <row r="3559" spans="6:35" ht="24" customHeight="1">
      <c r="F3559" s="1640"/>
      <c r="G3559" s="1638"/>
      <c r="H3559" s="1627"/>
      <c r="I3559" s="1640"/>
      <c r="J3559" s="1628"/>
      <c r="K3559" s="1640"/>
      <c r="N3559" s="1630"/>
      <c r="O3559" s="1636" t="s">
        <v>21</v>
      </c>
      <c r="Q3559" s="1632"/>
      <c r="S3559" s="1629">
        <v>1</v>
      </c>
      <c r="T3559" s="1630" t="s">
        <v>4</v>
      </c>
      <c r="U3559" s="1629" t="s">
        <v>2915</v>
      </c>
      <c r="V3559" s="1629">
        <f t="shared" si="341"/>
        <v>181</v>
      </c>
      <c r="W3559" s="1634" t="s">
        <v>4</v>
      </c>
      <c r="X3559" s="1629">
        <f t="shared" si="338"/>
        <v>181</v>
      </c>
      <c r="AD3559" s="1629">
        <v>1</v>
      </c>
      <c r="AE3559" s="1630" t="s">
        <v>4</v>
      </c>
      <c r="AF3559" s="1629" t="s">
        <v>2915</v>
      </c>
      <c r="AG3559" s="1629">
        <f t="shared" si="339"/>
        <v>181</v>
      </c>
      <c r="AH3559" s="1630" t="s">
        <v>4</v>
      </c>
      <c r="AI3559" s="1629">
        <f t="shared" si="340"/>
        <v>181</v>
      </c>
    </row>
    <row r="3560" spans="6:35" ht="93" customHeight="1">
      <c r="F3560" s="1779">
        <v>1</v>
      </c>
      <c r="G3560" s="1779" t="s">
        <v>153</v>
      </c>
      <c r="H3560" s="1627" t="s">
        <v>2984</v>
      </c>
      <c r="I3560" s="1690">
        <f>I1939</f>
        <v>-169</v>
      </c>
      <c r="J3560" s="1627" t="s">
        <v>153</v>
      </c>
      <c r="K3560" s="1779">
        <f>(F3560*I3560)</f>
        <v>-169</v>
      </c>
      <c r="M3560" s="1779">
        <v>1</v>
      </c>
      <c r="N3560" s="1779" t="s">
        <v>153</v>
      </c>
      <c r="O3560" s="1680" t="s">
        <v>2983</v>
      </c>
      <c r="P3560" s="1779">
        <v>1672</v>
      </c>
      <c r="Q3560" s="1780" t="s">
        <v>153</v>
      </c>
      <c r="R3560" s="1779">
        <f>(M3560*P3560)</f>
        <v>1672</v>
      </c>
      <c r="S3560" s="1629">
        <v>118</v>
      </c>
      <c r="T3560" s="1630" t="s">
        <v>4</v>
      </c>
      <c r="U3560" s="1629" t="s">
        <v>2952</v>
      </c>
      <c r="V3560" s="1629">
        <f t="shared" si="341"/>
        <v>2.41</v>
      </c>
      <c r="W3560" s="1634" t="s">
        <v>4</v>
      </c>
      <c r="X3560" s="1629">
        <f t="shared" si="338"/>
        <v>284.38</v>
      </c>
      <c r="AD3560" s="1629">
        <v>92</v>
      </c>
      <c r="AE3560" s="1630" t="s">
        <v>4</v>
      </c>
      <c r="AF3560" s="1629" t="s">
        <v>2952</v>
      </c>
      <c r="AG3560" s="1629">
        <f t="shared" si="339"/>
        <v>2.41</v>
      </c>
      <c r="AH3560" s="1630" t="s">
        <v>4</v>
      </c>
      <c r="AI3560" s="1629">
        <f t="shared" si="340"/>
        <v>221.72000000000003</v>
      </c>
    </row>
    <row r="3561" spans="6:35" ht="24" customHeight="1">
      <c r="F3561" s="1640"/>
      <c r="G3561" s="1638"/>
      <c r="H3561" s="1627"/>
      <c r="I3561" s="1640"/>
      <c r="J3561" s="1628"/>
      <c r="K3561" s="1640"/>
      <c r="M3561" s="1640"/>
      <c r="N3561" s="1638"/>
      <c r="O3561" s="1627"/>
      <c r="P3561" s="1640"/>
      <c r="Q3561" s="1627"/>
      <c r="R3561" s="1640"/>
      <c r="S3561" s="1629">
        <v>2</v>
      </c>
      <c r="T3561" s="1630" t="s">
        <v>4</v>
      </c>
      <c r="U3561" s="1629" t="s">
        <v>2960</v>
      </c>
      <c r="V3561" s="1629">
        <f t="shared" si="341"/>
        <v>23.1</v>
      </c>
      <c r="W3561" s="1634" t="s">
        <v>4</v>
      </c>
      <c r="X3561" s="1629">
        <f t="shared" si="338"/>
        <v>46.2</v>
      </c>
      <c r="AD3561" s="1629">
        <v>1</v>
      </c>
      <c r="AE3561" s="1630" t="s">
        <v>4</v>
      </c>
      <c r="AF3561" s="1629" t="s">
        <v>2960</v>
      </c>
      <c r="AG3561" s="1629">
        <f t="shared" si="339"/>
        <v>23.1</v>
      </c>
      <c r="AH3561" s="1630" t="s">
        <v>4</v>
      </c>
      <c r="AI3561" s="1629">
        <f t="shared" si="340"/>
        <v>23.1</v>
      </c>
    </row>
    <row r="3562" spans="6:35" ht="24" customHeight="1">
      <c r="F3562" s="1640">
        <v>1</v>
      </c>
      <c r="G3562" s="1638" t="s">
        <v>153</v>
      </c>
      <c r="H3562" s="1627" t="s">
        <v>2214</v>
      </c>
      <c r="I3562" s="1690">
        <v>250</v>
      </c>
      <c r="J3562" s="1627" t="s">
        <v>153</v>
      </c>
      <c r="K3562" s="1779">
        <f>(F3562*I3562)</f>
        <v>250</v>
      </c>
      <c r="M3562" s="1640"/>
      <c r="N3562" s="1638"/>
      <c r="O3562" s="1627"/>
      <c r="P3562" s="1640"/>
      <c r="Q3562" s="1628"/>
      <c r="R3562" s="1640"/>
      <c r="S3562" s="1629">
        <v>2</v>
      </c>
      <c r="T3562" s="1630" t="s">
        <v>4</v>
      </c>
      <c r="U3562" s="1629" t="s">
        <v>2956</v>
      </c>
      <c r="V3562" s="1629">
        <f t="shared" si="341"/>
        <v>49.55</v>
      </c>
      <c r="W3562" s="1634" t="s">
        <v>4</v>
      </c>
      <c r="X3562" s="1629">
        <f t="shared" si="338"/>
        <v>99.1</v>
      </c>
      <c r="AD3562" s="1629">
        <v>1</v>
      </c>
      <c r="AE3562" s="1630" t="s">
        <v>4</v>
      </c>
      <c r="AF3562" s="1629" t="s">
        <v>2956</v>
      </c>
      <c r="AG3562" s="1629">
        <f t="shared" si="339"/>
        <v>49.55</v>
      </c>
      <c r="AH3562" s="1630" t="s">
        <v>4</v>
      </c>
      <c r="AI3562" s="1629">
        <f t="shared" si="340"/>
        <v>49.55</v>
      </c>
    </row>
    <row r="3563" spans="6:35" ht="24" customHeight="1">
      <c r="F3563" s="1640"/>
      <c r="G3563" s="1638"/>
      <c r="H3563" s="1627"/>
      <c r="I3563" s="1640"/>
      <c r="J3563" s="1627"/>
      <c r="K3563" s="1640"/>
      <c r="M3563" s="1779">
        <v>1</v>
      </c>
      <c r="N3563" s="1779" t="s">
        <v>153</v>
      </c>
      <c r="O3563" s="1627" t="s">
        <v>2984</v>
      </c>
      <c r="P3563" s="1690">
        <f>I3560</f>
        <v>-169</v>
      </c>
      <c r="Q3563" s="1627" t="s">
        <v>153</v>
      </c>
      <c r="R3563" s="1779">
        <f>(M3563*P3563)</f>
        <v>-169</v>
      </c>
      <c r="S3563" s="1633">
        <v>0.65</v>
      </c>
      <c r="T3563" s="1630" t="s">
        <v>152</v>
      </c>
      <c r="U3563" s="1629" t="s">
        <v>2975</v>
      </c>
      <c r="V3563" s="1629">
        <f t="shared" si="341"/>
        <v>283.40549999999996</v>
      </c>
      <c r="W3563" s="1634" t="s">
        <v>152</v>
      </c>
      <c r="AD3563" s="1633">
        <v>0.39</v>
      </c>
      <c r="AE3563" s="1630" t="s">
        <v>152</v>
      </c>
      <c r="AF3563" s="1629" t="s">
        <v>2975</v>
      </c>
      <c r="AG3563" s="1629">
        <f t="shared" si="339"/>
        <v>283.40549999999996</v>
      </c>
      <c r="AH3563" s="1630" t="s">
        <v>152</v>
      </c>
    </row>
    <row r="3564" spans="6:35" ht="24" customHeight="1">
      <c r="F3564" s="1640">
        <v>0.5</v>
      </c>
      <c r="G3564" s="1638" t="s">
        <v>153</v>
      </c>
      <c r="H3564" s="1627" t="s">
        <v>558</v>
      </c>
      <c r="I3564" s="1640">
        <f>I1943</f>
        <v>1149.3999999999999</v>
      </c>
      <c r="J3564" s="1627" t="s">
        <v>153</v>
      </c>
      <c r="K3564" s="1640">
        <f>(F3564*I3564)</f>
        <v>574.69999999999993</v>
      </c>
      <c r="M3564" s="1640"/>
      <c r="N3564" s="1638"/>
      <c r="O3564" s="1627"/>
      <c r="P3564" s="1640"/>
      <c r="Q3564" s="1628"/>
      <c r="R3564" s="1640"/>
      <c r="S3564" s="1629"/>
      <c r="T3564" s="1630"/>
      <c r="U3564" s="1629" t="s">
        <v>2985</v>
      </c>
      <c r="W3564" s="1634"/>
      <c r="X3564" s="1629">
        <f>SUM(X3554:X3563)</f>
        <v>9273.3019999999997</v>
      </c>
      <c r="AE3564" s="1630"/>
      <c r="AF3564" s="1629" t="s">
        <v>5245</v>
      </c>
      <c r="AH3564" s="1632"/>
      <c r="AI3564" s="1629">
        <f>SUM(AI3554:AI3563)</f>
        <v>5801.5820000000022</v>
      </c>
    </row>
    <row r="3565" spans="6:35" ht="24" customHeight="1">
      <c r="F3565" s="1640">
        <v>1</v>
      </c>
      <c r="G3565" s="1638" t="s">
        <v>153</v>
      </c>
      <c r="H3565" s="1627" t="s">
        <v>235</v>
      </c>
      <c r="I3565" s="1640">
        <f>I1944</f>
        <v>865.19999999999993</v>
      </c>
      <c r="J3565" s="1627" t="s">
        <v>153</v>
      </c>
      <c r="K3565" s="1640">
        <f>(F3565*I3565)</f>
        <v>865.19999999999993</v>
      </c>
      <c r="M3565" s="1640">
        <v>1</v>
      </c>
      <c r="N3565" s="1638" t="s">
        <v>153</v>
      </c>
      <c r="O3565" s="1627" t="s">
        <v>2214</v>
      </c>
      <c r="P3565" s="1690">
        <v>250</v>
      </c>
      <c r="Q3565" s="1627" t="s">
        <v>153</v>
      </c>
      <c r="R3565" s="1779">
        <f>(M3565*P3565)</f>
        <v>250</v>
      </c>
      <c r="S3565" s="1629"/>
      <c r="T3565" s="1630"/>
      <c r="U3565" s="1629" t="s">
        <v>2462</v>
      </c>
      <c r="W3565" s="1634"/>
      <c r="X3565" s="1629">
        <f>X3564/S3555</f>
        <v>3271.0059964726634</v>
      </c>
      <c r="AE3565" s="1630"/>
      <c r="AF3565" s="1629" t="s">
        <v>2462</v>
      </c>
      <c r="AH3565" s="1632"/>
      <c r="AI3565" s="1629">
        <f>AI3564/AD3555</f>
        <v>3119.1301075268825</v>
      </c>
    </row>
    <row r="3566" spans="6:35" ht="24" customHeight="1">
      <c r="F3566" s="1640">
        <v>0.5</v>
      </c>
      <c r="G3566" s="1638" t="s">
        <v>153</v>
      </c>
      <c r="H3566" s="1627" t="s">
        <v>269</v>
      </c>
      <c r="I3566" s="1640">
        <f>I1945</f>
        <v>1325.8</v>
      </c>
      <c r="J3566" s="1627" t="s">
        <v>153</v>
      </c>
      <c r="K3566" s="1640">
        <f>(F3566*I3566)</f>
        <v>662.9</v>
      </c>
      <c r="M3566" s="1640"/>
      <c r="N3566" s="1638"/>
      <c r="O3566" s="1627"/>
      <c r="P3566" s="1640"/>
      <c r="Q3566" s="1627"/>
      <c r="R3566" s="1640"/>
      <c r="W3566" s="1634"/>
    </row>
    <row r="3567" spans="6:35" ht="24" customHeight="1">
      <c r="G3567" s="1638" t="s">
        <v>226</v>
      </c>
      <c r="H3567" s="1627" t="s">
        <v>2215</v>
      </c>
      <c r="J3567" s="1627" t="s">
        <v>226</v>
      </c>
      <c r="K3567" s="1640">
        <v>0.82</v>
      </c>
      <c r="M3567" s="1640">
        <v>0.5</v>
      </c>
      <c r="N3567" s="1638" t="s">
        <v>153</v>
      </c>
      <c r="O3567" s="1627" t="s">
        <v>558</v>
      </c>
      <c r="P3567" s="1640">
        <f>I3564</f>
        <v>1149.3999999999999</v>
      </c>
      <c r="Q3567" s="1627" t="s">
        <v>153</v>
      </c>
      <c r="R3567" s="1640">
        <f>(M3567*P3567)</f>
        <v>574.69999999999993</v>
      </c>
      <c r="W3567" s="1634"/>
    </row>
    <row r="3568" spans="6:35" ht="24" customHeight="1">
      <c r="K3568" s="1636" t="s">
        <v>21</v>
      </c>
      <c r="M3568" s="1640">
        <v>1</v>
      </c>
      <c r="N3568" s="1638" t="s">
        <v>153</v>
      </c>
      <c r="O3568" s="1627" t="s">
        <v>235</v>
      </c>
      <c r="P3568" s="1640">
        <f>I3565</f>
        <v>865.19999999999993</v>
      </c>
      <c r="Q3568" s="1627" t="s">
        <v>153</v>
      </c>
      <c r="R3568" s="1640">
        <f>(M3568*P3568)</f>
        <v>865.19999999999993</v>
      </c>
      <c r="S3568" s="1629"/>
      <c r="T3568" s="1630"/>
      <c r="U3568" s="1629" t="s">
        <v>2986</v>
      </c>
      <c r="W3568" s="1634"/>
    </row>
    <row r="3569" spans="1:121" ht="24" customHeight="1">
      <c r="H3569" s="1627" t="s">
        <v>1233</v>
      </c>
      <c r="K3569" s="1639">
        <f>SUM(K3557:K3567)</f>
        <v>3856.62</v>
      </c>
      <c r="M3569" s="1640">
        <v>0.5</v>
      </c>
      <c r="N3569" s="1638" t="s">
        <v>153</v>
      </c>
      <c r="O3569" s="1627" t="s">
        <v>269</v>
      </c>
      <c r="P3569" s="1640">
        <f>I3566</f>
        <v>1325.8</v>
      </c>
      <c r="Q3569" s="1627" t="s">
        <v>153</v>
      </c>
      <c r="R3569" s="1640">
        <f>(M3569*P3569)</f>
        <v>662.9</v>
      </c>
      <c r="S3569" s="1629"/>
      <c r="T3569" s="1630"/>
      <c r="U3569" s="1629" t="s">
        <v>2987</v>
      </c>
      <c r="V3569" s="1629">
        <f>1.4*2.325</f>
        <v>3.2549999999999999</v>
      </c>
      <c r="W3569" s="1634"/>
    </row>
    <row r="3570" spans="1:121" ht="24" customHeight="1">
      <c r="K3570" s="1636" t="s">
        <v>21</v>
      </c>
      <c r="N3570" s="1638" t="s">
        <v>226</v>
      </c>
      <c r="O3570" s="1627" t="s">
        <v>2215</v>
      </c>
      <c r="Q3570" s="1627" t="s">
        <v>226</v>
      </c>
      <c r="R3570" s="1640">
        <v>0.82</v>
      </c>
      <c r="S3570" s="1629">
        <f>V3569</f>
        <v>3.2549999999999999</v>
      </c>
      <c r="T3570" s="1630" t="s">
        <v>152</v>
      </c>
      <c r="U3570" s="1629" t="s">
        <v>2967</v>
      </c>
      <c r="V3570" s="1629">
        <f>V3554</f>
        <v>2255</v>
      </c>
      <c r="W3570" s="1634" t="s">
        <v>152</v>
      </c>
      <c r="X3570" s="1629">
        <f>V3570*S3570</f>
        <v>7340.0249999999996</v>
      </c>
    </row>
    <row r="3571" spans="1:121" ht="24" customHeight="1">
      <c r="G3571" s="1629"/>
      <c r="I3571" s="1633"/>
      <c r="J3571" s="1629"/>
      <c r="N3571" s="1630"/>
      <c r="Q3571" s="1632"/>
      <c r="R3571" s="1636" t="s">
        <v>21</v>
      </c>
      <c r="S3571" s="1629">
        <f>V3569</f>
        <v>3.2549999999999999</v>
      </c>
      <c r="T3571" s="1630" t="s">
        <v>152</v>
      </c>
      <c r="U3571" s="1629" t="s">
        <v>2970</v>
      </c>
      <c r="V3571" s="1629">
        <f t="shared" ref="V3571:V3579" si="342">V3555</f>
        <v>438.2</v>
      </c>
      <c r="W3571" s="1634" t="s">
        <v>152</v>
      </c>
      <c r="X3571" s="1629">
        <f t="shared" ref="X3571:X3578" si="343">V3571*S3571</f>
        <v>1426.3409999999999</v>
      </c>
    </row>
    <row r="3572" spans="1:121" ht="24" customHeight="1">
      <c r="G3572" s="1629"/>
      <c r="H3572" s="1861" t="s">
        <v>2988</v>
      </c>
      <c r="I3572" s="1633"/>
      <c r="J3572" s="1629"/>
      <c r="N3572" s="1630"/>
      <c r="O3572" s="1627" t="s">
        <v>1233</v>
      </c>
      <c r="Q3572" s="1632"/>
      <c r="R3572" s="1639">
        <f>SUM(R3560:R3570)</f>
        <v>3856.62</v>
      </c>
      <c r="S3572" s="1629">
        <v>4</v>
      </c>
      <c r="T3572" s="1630" t="s">
        <v>4</v>
      </c>
      <c r="U3572" s="1629" t="s">
        <v>2953</v>
      </c>
      <c r="V3572" s="1629">
        <f t="shared" si="342"/>
        <v>57.65</v>
      </c>
      <c r="W3572" s="1634" t="s">
        <v>4</v>
      </c>
      <c r="X3572" s="1629">
        <f t="shared" si="343"/>
        <v>230.6</v>
      </c>
    </row>
    <row r="3573" spans="1:121" ht="35.1" customHeight="1">
      <c r="F3573" s="1629">
        <v>70</v>
      </c>
      <c r="G3573" s="1630" t="s">
        <v>303</v>
      </c>
      <c r="H3573" s="1701" t="s">
        <v>2989</v>
      </c>
      <c r="I3573" s="1629">
        <f>P1353</f>
        <v>33</v>
      </c>
      <c r="J3573" s="1632" t="s">
        <v>2990</v>
      </c>
      <c r="K3573" s="1629">
        <f>I3573*F3573</f>
        <v>2310</v>
      </c>
      <c r="N3573" s="1630"/>
      <c r="Q3573" s="1632"/>
      <c r="R3573" s="1636" t="s">
        <v>21</v>
      </c>
      <c r="S3573" s="1629">
        <v>6</v>
      </c>
      <c r="T3573" s="1630" t="s">
        <v>4</v>
      </c>
      <c r="U3573" s="1629" t="s">
        <v>2955</v>
      </c>
      <c r="V3573" s="1629">
        <f t="shared" si="342"/>
        <v>89.6</v>
      </c>
      <c r="W3573" s="1634" t="s">
        <v>4</v>
      </c>
      <c r="X3573" s="1629">
        <f t="shared" si="343"/>
        <v>537.59999999999991</v>
      </c>
    </row>
    <row r="3574" spans="1:121" ht="35.1" customHeight="1">
      <c r="F3574" s="1629">
        <v>0.3</v>
      </c>
      <c r="G3574" s="1630" t="s">
        <v>276</v>
      </c>
      <c r="H3574" s="1701" t="s">
        <v>2991</v>
      </c>
      <c r="I3574" s="1629">
        <f>P1355</f>
        <v>17600</v>
      </c>
      <c r="J3574" s="1632" t="s">
        <v>2992</v>
      </c>
      <c r="K3574" s="1629">
        <f>I3574*F3574</f>
        <v>5280</v>
      </c>
      <c r="S3574" s="1629">
        <v>4</v>
      </c>
      <c r="T3574" s="1630" t="s">
        <v>4</v>
      </c>
      <c r="U3574" s="1629" t="s">
        <v>2957</v>
      </c>
      <c r="V3574" s="1629">
        <f t="shared" si="342"/>
        <v>64.8</v>
      </c>
      <c r="W3574" s="1634" t="s">
        <v>4</v>
      </c>
      <c r="X3574" s="1629">
        <f t="shared" si="343"/>
        <v>259.2</v>
      </c>
    </row>
    <row r="3575" spans="1:121" ht="35.1" customHeight="1">
      <c r="H3575" s="1629" t="s">
        <v>2993</v>
      </c>
      <c r="K3575" s="1629">
        <f>SUM(K3573:K3574)</f>
        <v>7590</v>
      </c>
      <c r="S3575" s="1629">
        <v>1</v>
      </c>
      <c r="T3575" s="1630" t="s">
        <v>4</v>
      </c>
      <c r="U3575" s="1629" t="s">
        <v>2915</v>
      </c>
      <c r="V3575" s="1629">
        <f t="shared" si="342"/>
        <v>181</v>
      </c>
      <c r="W3575" s="1634" t="s">
        <v>4</v>
      </c>
      <c r="X3575" s="1629">
        <f t="shared" si="343"/>
        <v>181</v>
      </c>
    </row>
    <row r="3576" spans="1:121" ht="35.1" customHeight="1">
      <c r="H3576" s="1661" t="s">
        <v>2994</v>
      </c>
      <c r="I3576" s="1661"/>
      <c r="J3576" s="1676"/>
      <c r="K3576" s="1661">
        <f>K3575/10</f>
        <v>759</v>
      </c>
      <c r="S3576" s="1629">
        <v>118</v>
      </c>
      <c r="T3576" s="1630" t="s">
        <v>4</v>
      </c>
      <c r="U3576" s="1629" t="s">
        <v>2952</v>
      </c>
      <c r="V3576" s="1629">
        <f t="shared" si="342"/>
        <v>2.41</v>
      </c>
      <c r="W3576" s="1634" t="s">
        <v>4</v>
      </c>
      <c r="X3576" s="1629">
        <f t="shared" si="343"/>
        <v>284.38</v>
      </c>
    </row>
    <row r="3577" spans="1:121" ht="35.1" customHeight="1">
      <c r="F3577" s="1629">
        <v>1</v>
      </c>
      <c r="G3577" s="1630" t="s">
        <v>2995</v>
      </c>
      <c r="H3577" s="1629" t="s">
        <v>2996</v>
      </c>
      <c r="I3577" s="1629">
        <f>K3576</f>
        <v>759</v>
      </c>
      <c r="J3577" s="1632" t="s">
        <v>2995</v>
      </c>
      <c r="K3577" s="1629">
        <f>I3577*F3577</f>
        <v>759</v>
      </c>
      <c r="S3577" s="1629">
        <v>2</v>
      </c>
      <c r="T3577" s="1630" t="s">
        <v>4</v>
      </c>
      <c r="U3577" s="1629" t="s">
        <v>2960</v>
      </c>
      <c r="V3577" s="1629">
        <f t="shared" si="342"/>
        <v>23.1</v>
      </c>
      <c r="W3577" s="1634" t="s">
        <v>4</v>
      </c>
      <c r="X3577" s="1629">
        <f t="shared" si="343"/>
        <v>46.2</v>
      </c>
    </row>
    <row r="3578" spans="1:121" ht="35.1" customHeight="1">
      <c r="F3578" s="1629">
        <v>2</v>
      </c>
      <c r="G3578" s="1630" t="s">
        <v>154</v>
      </c>
      <c r="H3578" s="1701" t="s">
        <v>2416</v>
      </c>
      <c r="I3578" s="1629">
        <f>I2349</f>
        <v>865.19999999999993</v>
      </c>
      <c r="J3578" s="1632" t="s">
        <v>340</v>
      </c>
      <c r="K3578" s="1629">
        <f>I3578*F3578</f>
        <v>1730.3999999999999</v>
      </c>
      <c r="S3578" s="1629">
        <v>2</v>
      </c>
      <c r="T3578" s="1630" t="s">
        <v>4</v>
      </c>
      <c r="U3578" s="1629" t="s">
        <v>2956</v>
      </c>
      <c r="V3578" s="1629">
        <f t="shared" si="342"/>
        <v>49.55</v>
      </c>
      <c r="W3578" s="1634" t="s">
        <v>4</v>
      </c>
      <c r="X3578" s="1629">
        <f t="shared" si="343"/>
        <v>99.1</v>
      </c>
    </row>
    <row r="3579" spans="1:121" ht="35.1" customHeight="1">
      <c r="H3579" s="1629" t="s">
        <v>2997</v>
      </c>
      <c r="K3579" s="1629">
        <v>10.3</v>
      </c>
      <c r="S3579" s="1633">
        <v>0.73</v>
      </c>
      <c r="T3579" s="1630" t="s">
        <v>152</v>
      </c>
      <c r="U3579" s="1629" t="s">
        <v>2975</v>
      </c>
      <c r="V3579" s="1629">
        <f t="shared" si="342"/>
        <v>283.40549999999996</v>
      </c>
      <c r="W3579" s="1634" t="s">
        <v>152</v>
      </c>
    </row>
    <row r="3580" spans="1:121" ht="35.1" customHeight="1">
      <c r="H3580" s="1629" t="s">
        <v>2998</v>
      </c>
      <c r="K3580" s="1629">
        <f>SUM(K3577:K3579)</f>
        <v>2499.6999999999998</v>
      </c>
      <c r="S3580" s="1629"/>
      <c r="T3580" s="1630"/>
      <c r="U3580" s="1629" t="s">
        <v>2962</v>
      </c>
      <c r="W3580" s="1634"/>
      <c r="X3580" s="1629">
        <f>SUM(X3570:X3579)</f>
        <v>10404.446000000002</v>
      </c>
    </row>
    <row r="3581" spans="1:121" ht="35.1" customHeight="1">
      <c r="A3581" s="1661"/>
      <c r="B3581" s="1661"/>
      <c r="C3581" s="1661"/>
      <c r="D3581" s="1661"/>
      <c r="E3581" s="1661"/>
      <c r="F3581" s="1661"/>
      <c r="G3581" s="1688"/>
      <c r="H3581" s="1661" t="s">
        <v>2999</v>
      </c>
      <c r="I3581" s="1661"/>
      <c r="J3581" s="1676"/>
      <c r="K3581" s="1661">
        <f>K3580/6</f>
        <v>416.61666666666662</v>
      </c>
      <c r="L3581" s="1661"/>
      <c r="M3581" s="1661"/>
      <c r="N3581" s="1661"/>
      <c r="O3581" s="1661"/>
      <c r="P3581" s="1661"/>
      <c r="Q3581" s="1661"/>
      <c r="R3581" s="1661"/>
      <c r="S3581" s="1629"/>
      <c r="T3581" s="1630"/>
      <c r="U3581" s="1629" t="s">
        <v>2462</v>
      </c>
      <c r="W3581" s="1634"/>
      <c r="X3581" s="1629">
        <f>X3580/S3571</f>
        <v>3196.4503840245784</v>
      </c>
      <c r="Z3581" s="1661"/>
      <c r="AA3581" s="1661"/>
      <c r="AB3581" s="1661"/>
      <c r="AC3581" s="1661"/>
      <c r="AD3581" s="1661"/>
      <c r="AE3581" s="1661"/>
      <c r="AF3581" s="1661"/>
      <c r="AG3581" s="1661"/>
      <c r="AH3581" s="1661"/>
      <c r="AI3581" s="1661"/>
      <c r="AJ3581" s="1661"/>
      <c r="AK3581" s="1661"/>
      <c r="AL3581" s="1661"/>
      <c r="AM3581" s="1661"/>
      <c r="AN3581" s="1661"/>
      <c r="AO3581" s="1661"/>
      <c r="AP3581" s="1661"/>
      <c r="AQ3581" s="1661"/>
      <c r="AR3581" s="1661"/>
      <c r="AS3581" s="1661"/>
      <c r="AT3581" s="1661"/>
      <c r="AU3581" s="1661"/>
      <c r="AV3581" s="1661"/>
      <c r="AW3581" s="1661"/>
      <c r="AX3581" s="1661"/>
      <c r="AY3581" s="1661"/>
      <c r="AZ3581" s="1661"/>
      <c r="BA3581" s="1661"/>
      <c r="BB3581" s="1661"/>
      <c r="BC3581" s="1661"/>
      <c r="BD3581" s="1661"/>
      <c r="BE3581" s="1661"/>
      <c r="BF3581" s="1661"/>
      <c r="BG3581" s="1661"/>
      <c r="BH3581" s="1661"/>
      <c r="BI3581" s="1661"/>
      <c r="BJ3581" s="1661"/>
      <c r="BK3581" s="1661"/>
      <c r="BL3581" s="1661"/>
      <c r="BM3581" s="1661"/>
      <c r="BN3581" s="1661"/>
      <c r="BO3581" s="1661"/>
      <c r="BP3581" s="1661"/>
      <c r="BQ3581" s="1661"/>
      <c r="BR3581" s="1661"/>
      <c r="BS3581" s="1661"/>
      <c r="BT3581" s="1661"/>
      <c r="BU3581" s="1661"/>
      <c r="BV3581" s="1661"/>
      <c r="BW3581" s="1661"/>
      <c r="BX3581" s="1661"/>
      <c r="BY3581" s="1661"/>
      <c r="BZ3581" s="1661"/>
      <c r="CA3581" s="1661"/>
      <c r="CB3581" s="1661"/>
      <c r="CC3581" s="1661"/>
      <c r="CD3581" s="1661"/>
      <c r="CE3581" s="1661"/>
      <c r="CF3581" s="1661"/>
      <c r="CG3581" s="1661"/>
      <c r="CH3581" s="1661"/>
      <c r="CI3581" s="1661"/>
      <c r="CJ3581" s="1661"/>
      <c r="CK3581" s="1661"/>
      <c r="CL3581" s="1661"/>
      <c r="CM3581" s="1661"/>
      <c r="CN3581" s="1661"/>
      <c r="CO3581" s="1661"/>
      <c r="CP3581" s="1661"/>
      <c r="CQ3581" s="1661"/>
      <c r="CR3581" s="1661"/>
      <c r="CS3581" s="1661"/>
      <c r="CT3581" s="1661"/>
      <c r="CU3581" s="1661"/>
      <c r="CV3581" s="1661"/>
      <c r="CW3581" s="1661"/>
      <c r="CX3581" s="1661"/>
      <c r="CY3581" s="1661"/>
      <c r="CZ3581" s="1661"/>
      <c r="DA3581" s="1661"/>
      <c r="DB3581" s="1661"/>
      <c r="DC3581" s="1661"/>
      <c r="DD3581" s="1661"/>
      <c r="DE3581" s="1661"/>
      <c r="DF3581" s="1661"/>
      <c r="DG3581" s="1661"/>
      <c r="DH3581" s="1661"/>
      <c r="DI3581" s="1661"/>
      <c r="DJ3581" s="1661"/>
      <c r="DK3581" s="1661"/>
      <c r="DL3581" s="1661"/>
      <c r="DM3581" s="1661"/>
      <c r="DN3581" s="1661"/>
      <c r="DO3581" s="1661"/>
      <c r="DP3581" s="1661"/>
      <c r="DQ3581" s="1661"/>
    </row>
    <row r="3582" spans="1:121" s="1661" customFormat="1" ht="35.1" customHeight="1">
      <c r="A3582" s="1629"/>
      <c r="B3582" s="1629"/>
      <c r="C3582" s="1629"/>
      <c r="D3582" s="1629"/>
      <c r="E3582" s="1629"/>
      <c r="F3582" s="1629"/>
      <c r="G3582" s="1630"/>
      <c r="H3582" s="1661" t="s">
        <v>3000</v>
      </c>
      <c r="I3582" s="1629"/>
      <c r="J3582" s="1632"/>
      <c r="K3582" s="1629"/>
      <c r="L3582" s="1629"/>
      <c r="M3582" s="1629"/>
      <c r="N3582" s="1629"/>
      <c r="O3582" s="1629"/>
      <c r="P3582" s="1629"/>
      <c r="Q3582" s="1629"/>
      <c r="R3582" s="1629"/>
      <c r="S3582" s="1633"/>
      <c r="T3582" s="1629"/>
      <c r="U3582" s="1629"/>
      <c r="V3582" s="1629"/>
      <c r="W3582" s="1634"/>
      <c r="X3582" s="1629"/>
      <c r="Y3582" s="1629"/>
      <c r="Z3582" s="1629"/>
      <c r="AA3582" s="1629"/>
      <c r="AB3582" s="1629"/>
      <c r="AC3582" s="1629"/>
      <c r="AD3582" s="1629"/>
      <c r="AE3582" s="1629"/>
      <c r="AF3582" s="1629"/>
      <c r="AG3582" s="1629"/>
      <c r="AH3582" s="1629"/>
      <c r="AI3582" s="1629"/>
      <c r="AJ3582" s="1629"/>
      <c r="AK3582" s="1629"/>
      <c r="AL3582" s="1629"/>
      <c r="AM3582" s="1629"/>
      <c r="AN3582" s="1629"/>
      <c r="AO3582" s="1629"/>
      <c r="AP3582" s="1629"/>
      <c r="AQ3582" s="1629"/>
      <c r="AR3582" s="1629"/>
      <c r="AS3582" s="1629"/>
      <c r="AT3582" s="1629"/>
      <c r="AU3582" s="1629"/>
      <c r="AV3582" s="1629"/>
      <c r="AW3582" s="1629"/>
      <c r="AX3582" s="1629"/>
      <c r="AY3582" s="1629"/>
      <c r="AZ3582" s="1629"/>
      <c r="BA3582" s="1629"/>
      <c r="BB3582" s="1629"/>
      <c r="BC3582" s="1629"/>
      <c r="BD3582" s="1629"/>
      <c r="BE3582" s="1629"/>
      <c r="BF3582" s="1629"/>
      <c r="BG3582" s="1629"/>
      <c r="BH3582" s="1629"/>
      <c r="BI3582" s="1629"/>
      <c r="BJ3582" s="1629"/>
      <c r="BK3582" s="1629"/>
      <c r="BL3582" s="1629"/>
      <c r="BM3582" s="1629"/>
      <c r="BN3582" s="1629"/>
      <c r="BO3582" s="1629"/>
      <c r="BP3582" s="1629"/>
      <c r="BQ3582" s="1629"/>
      <c r="BR3582" s="1629"/>
      <c r="BS3582" s="1629"/>
      <c r="BT3582" s="1629"/>
      <c r="BU3582" s="1629"/>
      <c r="BV3582" s="1629"/>
      <c r="BW3582" s="1629"/>
      <c r="BX3582" s="1629"/>
      <c r="BY3582" s="1629"/>
      <c r="BZ3582" s="1629"/>
      <c r="CA3582" s="1629"/>
      <c r="CB3582" s="1629"/>
      <c r="CC3582" s="1629"/>
      <c r="CD3582" s="1629"/>
      <c r="CE3582" s="1629"/>
      <c r="CF3582" s="1629"/>
      <c r="CG3582" s="1629"/>
      <c r="CH3582" s="1629"/>
      <c r="CI3582" s="1629"/>
      <c r="CJ3582" s="1629"/>
      <c r="CK3582" s="1629"/>
      <c r="CL3582" s="1629"/>
      <c r="CM3582" s="1629"/>
      <c r="CN3582" s="1629"/>
      <c r="CO3582" s="1629"/>
      <c r="CP3582" s="1629"/>
      <c r="CQ3582" s="1629"/>
      <c r="CR3582" s="1629"/>
      <c r="CS3582" s="1629"/>
      <c r="CT3582" s="1629"/>
      <c r="CU3582" s="1629"/>
      <c r="CV3582" s="1629"/>
      <c r="CW3582" s="1629"/>
      <c r="CX3582" s="1629"/>
      <c r="CY3582" s="1629"/>
      <c r="CZ3582" s="1629"/>
      <c r="DA3582" s="1629"/>
      <c r="DB3582" s="1629"/>
      <c r="DC3582" s="1629"/>
      <c r="DD3582" s="1629"/>
      <c r="DE3582" s="1629"/>
      <c r="DF3582" s="1629"/>
      <c r="DG3582" s="1629"/>
      <c r="DH3582" s="1629"/>
      <c r="DI3582" s="1629"/>
      <c r="DJ3582" s="1629"/>
      <c r="DK3582" s="1629"/>
      <c r="DL3582" s="1629"/>
      <c r="DM3582" s="1629"/>
      <c r="DN3582" s="1629"/>
      <c r="DO3582" s="1629"/>
      <c r="DP3582" s="1629"/>
      <c r="DQ3582" s="1629"/>
    </row>
    <row r="3583" spans="1:121" ht="35.1" customHeight="1">
      <c r="F3583" s="1629">
        <v>49</v>
      </c>
      <c r="G3583" s="1630" t="s">
        <v>54</v>
      </c>
      <c r="H3583" s="1629" t="s">
        <v>3001</v>
      </c>
      <c r="I3583" s="1629">
        <f>I3573</f>
        <v>33</v>
      </c>
      <c r="J3583" s="1632" t="s">
        <v>2990</v>
      </c>
      <c r="K3583" s="1629">
        <f>F3583*I3583</f>
        <v>1617</v>
      </c>
      <c r="S3583" s="1629"/>
      <c r="T3583" s="1630"/>
      <c r="U3583" s="1629" t="s">
        <v>3002</v>
      </c>
      <c r="W3583" s="1634"/>
    </row>
    <row r="3584" spans="1:121" ht="35.1" customHeight="1">
      <c r="F3584" s="1629">
        <v>0.3</v>
      </c>
      <c r="G3584" s="1630" t="s">
        <v>276</v>
      </c>
      <c r="H3584" s="1629" t="s">
        <v>3003</v>
      </c>
      <c r="I3584" s="1629">
        <f>I3574</f>
        <v>17600</v>
      </c>
      <c r="J3584" s="1632" t="s">
        <v>276</v>
      </c>
      <c r="K3584" s="1629">
        <f>F3584*I3584</f>
        <v>5280</v>
      </c>
      <c r="S3584" s="1629"/>
      <c r="T3584" s="1630"/>
      <c r="U3584" s="1629" t="s">
        <v>3004</v>
      </c>
      <c r="V3584" s="1629">
        <f>1.7*2.325</f>
        <v>3.9525000000000001</v>
      </c>
      <c r="W3584" s="1634"/>
    </row>
    <row r="3585" spans="1:121" ht="35.1" customHeight="1">
      <c r="H3585" s="1661" t="s">
        <v>3005</v>
      </c>
      <c r="K3585" s="1661">
        <f>SUM(K3583:K3584)</f>
        <v>6897</v>
      </c>
      <c r="S3585" s="1629">
        <f>V3584</f>
        <v>3.9525000000000001</v>
      </c>
      <c r="T3585" s="1630" t="s">
        <v>152</v>
      </c>
      <c r="U3585" s="1629" t="s">
        <v>2967</v>
      </c>
      <c r="V3585" s="1629">
        <f>V3570</f>
        <v>2255</v>
      </c>
      <c r="W3585" s="1634" t="s">
        <v>152</v>
      </c>
      <c r="X3585" s="1629">
        <f>V3585*S3585</f>
        <v>8912.8875000000007</v>
      </c>
    </row>
    <row r="3586" spans="1:121" ht="35.1" customHeight="1">
      <c r="H3586" s="1661" t="s">
        <v>2994</v>
      </c>
      <c r="K3586" s="1661">
        <f>K3585/10</f>
        <v>689.7</v>
      </c>
      <c r="S3586" s="1629">
        <f>S3585</f>
        <v>3.9525000000000001</v>
      </c>
      <c r="T3586" s="1630" t="s">
        <v>152</v>
      </c>
      <c r="U3586" s="1629" t="s">
        <v>2970</v>
      </c>
      <c r="V3586" s="1629">
        <f t="shared" ref="V3586:V3593" si="344">V3571</f>
        <v>438.2</v>
      </c>
      <c r="W3586" s="1634" t="s">
        <v>152</v>
      </c>
      <c r="X3586" s="1629">
        <f t="shared" ref="X3586:X3593" si="345">V3586*S3586</f>
        <v>1731.9855</v>
      </c>
    </row>
    <row r="3587" spans="1:121" ht="35.1" customHeight="1">
      <c r="F3587" s="1629">
        <v>2</v>
      </c>
      <c r="G3587" s="1630" t="s">
        <v>305</v>
      </c>
      <c r="H3587" s="1629" t="s">
        <v>2416</v>
      </c>
      <c r="I3587" s="1629">
        <f>I3578</f>
        <v>865.19999999999993</v>
      </c>
      <c r="J3587" s="1632" t="s">
        <v>305</v>
      </c>
      <c r="K3587" s="1629">
        <f>F3587*I3587</f>
        <v>1730.3999999999999</v>
      </c>
      <c r="S3587" s="1629">
        <v>4</v>
      </c>
      <c r="T3587" s="1630" t="s">
        <v>4</v>
      </c>
      <c r="U3587" s="1629" t="s">
        <v>2953</v>
      </c>
      <c r="V3587" s="1629">
        <f t="shared" si="344"/>
        <v>57.65</v>
      </c>
      <c r="W3587" s="1634" t="s">
        <v>4</v>
      </c>
      <c r="X3587" s="1629">
        <f t="shared" si="345"/>
        <v>230.6</v>
      </c>
    </row>
    <row r="3588" spans="1:121" ht="35.1" customHeight="1">
      <c r="H3588" s="1629" t="s">
        <v>3006</v>
      </c>
      <c r="K3588" s="1629">
        <v>4.3499999999999996</v>
      </c>
      <c r="S3588" s="1629">
        <v>8</v>
      </c>
      <c r="T3588" s="1630" t="s">
        <v>4</v>
      </c>
      <c r="U3588" s="1629" t="s">
        <v>2955</v>
      </c>
      <c r="V3588" s="1629">
        <f t="shared" si="344"/>
        <v>89.6</v>
      </c>
      <c r="W3588" s="1634" t="s">
        <v>4</v>
      </c>
      <c r="X3588" s="1629">
        <f t="shared" si="345"/>
        <v>716.8</v>
      </c>
    </row>
    <row r="3589" spans="1:121" ht="35.1" customHeight="1">
      <c r="H3589" s="1629" t="s">
        <v>3007</v>
      </c>
      <c r="K3589" s="1629">
        <f>SUM(K3586:K3588)</f>
        <v>2424.4499999999998</v>
      </c>
      <c r="S3589" s="1629">
        <v>4</v>
      </c>
      <c r="T3589" s="1630" t="s">
        <v>4</v>
      </c>
      <c r="U3589" s="1629" t="s">
        <v>2957</v>
      </c>
      <c r="V3589" s="1629">
        <f t="shared" si="344"/>
        <v>64.8</v>
      </c>
      <c r="W3589" s="1634" t="s">
        <v>4</v>
      </c>
      <c r="X3589" s="1629">
        <f t="shared" si="345"/>
        <v>259.2</v>
      </c>
    </row>
    <row r="3590" spans="1:121" ht="35.1" customHeight="1">
      <c r="H3590" s="1661" t="s">
        <v>3008</v>
      </c>
      <c r="I3590" s="1661"/>
      <c r="J3590" s="1676"/>
      <c r="K3590" s="1661">
        <f>K3589/6</f>
        <v>404.07499999999999</v>
      </c>
      <c r="S3590" s="1629">
        <v>1</v>
      </c>
      <c r="T3590" s="1630" t="s">
        <v>4</v>
      </c>
      <c r="U3590" s="1629" t="s">
        <v>2915</v>
      </c>
      <c r="V3590" s="1629">
        <f t="shared" si="344"/>
        <v>181</v>
      </c>
      <c r="W3590" s="1634" t="s">
        <v>4</v>
      </c>
      <c r="X3590" s="1629">
        <f t="shared" si="345"/>
        <v>181</v>
      </c>
    </row>
    <row r="3591" spans="1:121" ht="35.1" customHeight="1">
      <c r="A3591" s="1661"/>
      <c r="B3591" s="1661"/>
      <c r="C3591" s="1661"/>
      <c r="D3591" s="1661"/>
      <c r="E3591" s="1661"/>
      <c r="F3591" s="1661"/>
      <c r="G3591" s="1688"/>
      <c r="H3591" s="1629" t="s">
        <v>3009</v>
      </c>
      <c r="K3591" s="1629">
        <f>K3581</f>
        <v>416.61666666666662</v>
      </c>
      <c r="L3591" s="1661"/>
      <c r="M3591" s="1661"/>
      <c r="N3591" s="1661"/>
      <c r="O3591" s="1661"/>
      <c r="P3591" s="1661"/>
      <c r="Q3591" s="1661"/>
      <c r="R3591" s="1661"/>
      <c r="S3591" s="1629">
        <v>118</v>
      </c>
      <c r="T3591" s="1630" t="s">
        <v>4</v>
      </c>
      <c r="U3591" s="1629" t="s">
        <v>2952</v>
      </c>
      <c r="V3591" s="1629">
        <f t="shared" si="344"/>
        <v>2.41</v>
      </c>
      <c r="W3591" s="1634" t="s">
        <v>4</v>
      </c>
      <c r="X3591" s="1629">
        <f t="shared" si="345"/>
        <v>284.38</v>
      </c>
      <c r="AA3591" s="1661"/>
      <c r="AB3591" s="1661"/>
      <c r="AC3591" s="1661"/>
      <c r="AD3591" s="1661"/>
      <c r="AE3591" s="1661"/>
      <c r="AF3591" s="1661"/>
      <c r="AG3591" s="1661"/>
      <c r="AH3591" s="1661"/>
      <c r="AI3591" s="1661"/>
      <c r="AJ3591" s="1661"/>
      <c r="AK3591" s="1661"/>
      <c r="AL3591" s="1661"/>
      <c r="AM3591" s="1661"/>
      <c r="AN3591" s="1661"/>
      <c r="AO3591" s="1661"/>
      <c r="AP3591" s="1661"/>
      <c r="AQ3591" s="1661"/>
      <c r="AR3591" s="1661"/>
      <c r="AS3591" s="1661"/>
      <c r="AT3591" s="1661"/>
      <c r="AU3591" s="1661"/>
      <c r="AV3591" s="1661"/>
      <c r="AW3591" s="1661"/>
      <c r="AX3591" s="1661"/>
      <c r="AY3591" s="1661"/>
      <c r="AZ3591" s="1661"/>
      <c r="BA3591" s="1661"/>
      <c r="BB3591" s="1661"/>
      <c r="BC3591" s="1661"/>
      <c r="BD3591" s="1661"/>
      <c r="BE3591" s="1661"/>
      <c r="BF3591" s="1661"/>
      <c r="BG3591" s="1661"/>
      <c r="BH3591" s="1661"/>
      <c r="BI3591" s="1661"/>
      <c r="BJ3591" s="1661"/>
      <c r="BK3591" s="1661"/>
      <c r="BL3591" s="1661"/>
      <c r="BM3591" s="1661"/>
      <c r="BN3591" s="1661"/>
      <c r="BO3591" s="1661"/>
      <c r="BP3591" s="1661"/>
      <c r="BQ3591" s="1661"/>
      <c r="BR3591" s="1661"/>
      <c r="BS3591" s="1661"/>
      <c r="BT3591" s="1661"/>
      <c r="BU3591" s="1661"/>
      <c r="BV3591" s="1661"/>
      <c r="BW3591" s="1661"/>
      <c r="BX3591" s="1661"/>
      <c r="BY3591" s="1661"/>
      <c r="BZ3591" s="1661"/>
      <c r="CA3591" s="1661"/>
      <c r="CB3591" s="1661"/>
      <c r="CC3591" s="1661"/>
      <c r="CD3591" s="1661"/>
      <c r="CE3591" s="1661"/>
      <c r="CF3591" s="1661"/>
      <c r="CG3591" s="1661"/>
      <c r="CH3591" s="1661"/>
      <c r="CI3591" s="1661"/>
      <c r="CJ3591" s="1661"/>
      <c r="CK3591" s="1661"/>
      <c r="CL3591" s="1661"/>
      <c r="CM3591" s="1661"/>
      <c r="CN3591" s="1661"/>
      <c r="CO3591" s="1661"/>
      <c r="CP3591" s="1661"/>
      <c r="CQ3591" s="1661"/>
      <c r="CR3591" s="1661"/>
      <c r="CS3591" s="1661"/>
      <c r="CT3591" s="1661"/>
      <c r="CU3591" s="1661"/>
      <c r="CV3591" s="1661"/>
      <c r="CW3591" s="1661"/>
      <c r="CX3591" s="1661"/>
      <c r="CY3591" s="1661"/>
      <c r="CZ3591" s="1661"/>
      <c r="DA3591" s="1661"/>
      <c r="DB3591" s="1661"/>
      <c r="DC3591" s="1661"/>
      <c r="DD3591" s="1661"/>
      <c r="DE3591" s="1661"/>
      <c r="DF3591" s="1661"/>
      <c r="DG3591" s="1661"/>
      <c r="DH3591" s="1661"/>
      <c r="DI3591" s="1661"/>
      <c r="DJ3591" s="1661"/>
      <c r="DK3591" s="1661"/>
      <c r="DL3591" s="1661"/>
      <c r="DM3591" s="1661"/>
      <c r="DN3591" s="1661"/>
      <c r="DO3591" s="1661"/>
      <c r="DP3591" s="1661"/>
      <c r="DQ3591" s="1661"/>
    </row>
    <row r="3592" spans="1:121" s="1661" customFormat="1" ht="35.1" customHeight="1">
      <c r="G3592" s="1688"/>
      <c r="H3592" s="1629" t="s">
        <v>3010</v>
      </c>
      <c r="I3592" s="1629">
        <f>K3591</f>
        <v>416.61666666666662</v>
      </c>
      <c r="J3592" s="1632">
        <f>K3590</f>
        <v>404.07499999999999</v>
      </c>
      <c r="K3592" s="1629">
        <f>SUM(I3592:J3592)</f>
        <v>820.69166666666661</v>
      </c>
      <c r="S3592" s="1629">
        <v>2</v>
      </c>
      <c r="T3592" s="1630" t="s">
        <v>4</v>
      </c>
      <c r="U3592" s="1629" t="s">
        <v>2960</v>
      </c>
      <c r="V3592" s="1629">
        <f t="shared" si="344"/>
        <v>23.1</v>
      </c>
      <c r="W3592" s="1634" t="s">
        <v>4</v>
      </c>
      <c r="X3592" s="1629">
        <f t="shared" si="345"/>
        <v>46.2</v>
      </c>
      <c r="Y3592" s="1629"/>
      <c r="Z3592" s="1629"/>
    </row>
    <row r="3593" spans="1:121" s="1661" customFormat="1" ht="35.1" customHeight="1">
      <c r="G3593" s="1688"/>
      <c r="H3593" s="1629" t="s">
        <v>3011</v>
      </c>
      <c r="I3593" s="1629">
        <f>K3592</f>
        <v>820.69166666666661</v>
      </c>
      <c r="J3593" s="1632">
        <f>J3592</f>
        <v>404.07499999999999</v>
      </c>
      <c r="K3593" s="1629">
        <f>SUM(I3593:J3593)</f>
        <v>1224.7666666666667</v>
      </c>
      <c r="S3593" s="1629">
        <v>2</v>
      </c>
      <c r="T3593" s="1630" t="s">
        <v>4</v>
      </c>
      <c r="U3593" s="1629" t="s">
        <v>2956</v>
      </c>
      <c r="V3593" s="1629">
        <f t="shared" si="344"/>
        <v>49.55</v>
      </c>
      <c r="W3593" s="1634" t="s">
        <v>4</v>
      </c>
      <c r="X3593" s="1629">
        <f t="shared" si="345"/>
        <v>99.1</v>
      </c>
      <c r="Y3593" s="1629"/>
      <c r="Z3593" s="1629"/>
    </row>
    <row r="3594" spans="1:121" s="1661" customFormat="1" ht="35.1" customHeight="1">
      <c r="G3594" s="1688"/>
      <c r="H3594" s="1629" t="s">
        <v>3012</v>
      </c>
      <c r="I3594" s="1629">
        <f>K3593</f>
        <v>1224.7666666666667</v>
      </c>
      <c r="J3594" s="1632">
        <f>J3593</f>
        <v>404.07499999999999</v>
      </c>
      <c r="K3594" s="1629">
        <f>SUM(I3594:J3594)</f>
        <v>1628.8416666666667</v>
      </c>
      <c r="S3594" s="1633"/>
      <c r="T3594" s="1630"/>
      <c r="U3594" s="1629"/>
      <c r="V3594" s="1629"/>
      <c r="W3594" s="1634" t="s">
        <v>152</v>
      </c>
      <c r="X3594" s="1629">
        <f>V3594*S3594</f>
        <v>0</v>
      </c>
      <c r="Y3594" s="1629"/>
      <c r="Z3594" s="1629"/>
    </row>
    <row r="3595" spans="1:121" s="1661" customFormat="1" ht="35.1" customHeight="1">
      <c r="G3595" s="1688"/>
      <c r="H3595" s="1629" t="s">
        <v>3013</v>
      </c>
      <c r="I3595" s="1629">
        <f>K3594</f>
        <v>1628.8416666666667</v>
      </c>
      <c r="J3595" s="1632">
        <f>J3594</f>
        <v>404.07499999999999</v>
      </c>
      <c r="K3595" s="1629">
        <f>SUM(I3595:J3595)</f>
        <v>2032.9166666666667</v>
      </c>
      <c r="S3595" s="1629"/>
      <c r="T3595" s="1630"/>
      <c r="U3595" s="1629" t="s">
        <v>3014</v>
      </c>
      <c r="V3595" s="1629"/>
      <c r="W3595" s="1634"/>
      <c r="X3595" s="1629">
        <f>SUM(X3585:X3594)</f>
        <v>12462.153000000002</v>
      </c>
      <c r="Y3595" s="1629"/>
      <c r="Z3595" s="1629"/>
    </row>
    <row r="3596" spans="1:121" s="1661" customFormat="1" ht="35.1" customHeight="1">
      <c r="A3596" s="1629"/>
      <c r="B3596" s="1629"/>
      <c r="C3596" s="1629"/>
      <c r="D3596" s="1629"/>
      <c r="E3596" s="1629"/>
      <c r="F3596" s="1629"/>
      <c r="G3596" s="1630"/>
      <c r="H3596" s="1629"/>
      <c r="I3596" s="1629"/>
      <c r="J3596" s="1632"/>
      <c r="K3596" s="1629"/>
      <c r="L3596" s="1629"/>
      <c r="M3596" s="1629"/>
      <c r="N3596" s="1629"/>
      <c r="O3596" s="1629"/>
      <c r="P3596" s="1629"/>
      <c r="Q3596" s="1629"/>
      <c r="R3596" s="1629"/>
      <c r="S3596" s="1629"/>
      <c r="T3596" s="1630"/>
      <c r="U3596" s="1629" t="s">
        <v>2462</v>
      </c>
      <c r="V3596" s="1629"/>
      <c r="W3596" s="1634"/>
      <c r="X3596" s="1629">
        <f>X3595/S3586</f>
        <v>3152.9798861480081</v>
      </c>
      <c r="Y3596" s="1629"/>
      <c r="Z3596" s="1629">
        <f>[8]Data!X3597</f>
        <v>213.6</v>
      </c>
      <c r="AA3596" s="1629"/>
      <c r="AB3596" s="1629"/>
      <c r="AC3596" s="1629"/>
      <c r="AD3596" s="1629"/>
      <c r="AE3596" s="1629"/>
      <c r="AF3596" s="1629"/>
      <c r="AG3596" s="1629"/>
      <c r="AH3596" s="1629"/>
      <c r="AI3596" s="1629"/>
      <c r="AJ3596" s="1629"/>
      <c r="AK3596" s="1629"/>
      <c r="AL3596" s="1629"/>
      <c r="AM3596" s="1629"/>
      <c r="AN3596" s="1629"/>
      <c r="AO3596" s="1629"/>
      <c r="AP3596" s="1629"/>
      <c r="AQ3596" s="1629"/>
      <c r="AR3596" s="1629"/>
      <c r="AS3596" s="1629"/>
      <c r="AT3596" s="1629"/>
      <c r="AU3596" s="1629"/>
      <c r="AV3596" s="1629"/>
      <c r="AW3596" s="1629"/>
      <c r="AX3596" s="1629"/>
      <c r="AY3596" s="1629"/>
      <c r="AZ3596" s="1629"/>
      <c r="BA3596" s="1629"/>
      <c r="BB3596" s="1629"/>
      <c r="BC3596" s="1629"/>
      <c r="BD3596" s="1629"/>
      <c r="BE3596" s="1629"/>
      <c r="BF3596" s="1629"/>
      <c r="BG3596" s="1629"/>
      <c r="BH3596" s="1629"/>
      <c r="BI3596" s="1629"/>
      <c r="BJ3596" s="1629"/>
      <c r="BK3596" s="1629"/>
      <c r="BL3596" s="1629"/>
      <c r="BM3596" s="1629"/>
      <c r="BN3596" s="1629"/>
      <c r="BO3596" s="1629"/>
      <c r="BP3596" s="1629"/>
      <c r="BQ3596" s="1629"/>
      <c r="BR3596" s="1629"/>
      <c r="BS3596" s="1629"/>
      <c r="BT3596" s="1629"/>
      <c r="BU3596" s="1629"/>
      <c r="BV3596" s="1629"/>
      <c r="BW3596" s="1629"/>
      <c r="BX3596" s="1629"/>
      <c r="BY3596" s="1629"/>
      <c r="BZ3596" s="1629"/>
      <c r="CA3596" s="1629"/>
      <c r="CB3596" s="1629"/>
      <c r="CC3596" s="1629"/>
      <c r="CD3596" s="1629"/>
      <c r="CE3596" s="1629"/>
      <c r="CF3596" s="1629"/>
      <c r="CG3596" s="1629"/>
      <c r="CH3596" s="1629"/>
      <c r="CI3596" s="1629"/>
      <c r="CJ3596" s="1629"/>
      <c r="CK3596" s="1629"/>
      <c r="CL3596" s="1629"/>
      <c r="CM3596" s="1629"/>
      <c r="CN3596" s="1629"/>
      <c r="CO3596" s="1629"/>
      <c r="CP3596" s="1629"/>
      <c r="CQ3596" s="1629"/>
      <c r="CR3596" s="1629"/>
      <c r="CS3596" s="1629"/>
      <c r="CT3596" s="1629"/>
      <c r="CU3596" s="1629"/>
      <c r="CV3596" s="1629"/>
      <c r="CW3596" s="1629"/>
      <c r="CX3596" s="1629"/>
      <c r="CY3596" s="1629"/>
      <c r="CZ3596" s="1629"/>
      <c r="DA3596" s="1629"/>
      <c r="DB3596" s="1629"/>
      <c r="DC3596" s="1629"/>
      <c r="DD3596" s="1629"/>
      <c r="DE3596" s="1629"/>
      <c r="DF3596" s="1629"/>
      <c r="DG3596" s="1629"/>
      <c r="DH3596" s="1629"/>
      <c r="DI3596" s="1629"/>
      <c r="DJ3596" s="1629"/>
      <c r="DK3596" s="1629"/>
      <c r="DL3596" s="1629"/>
      <c r="DM3596" s="1629"/>
      <c r="DN3596" s="1629"/>
      <c r="DO3596" s="1629"/>
      <c r="DP3596" s="1629"/>
      <c r="DQ3596" s="1629"/>
    </row>
    <row r="3597" spans="1:121" ht="24" customHeight="1">
      <c r="F3597" s="1628"/>
      <c r="G3597" s="1638" t="s">
        <v>249</v>
      </c>
      <c r="H3597" s="1631" t="s">
        <v>3015</v>
      </c>
      <c r="L3597" s="1632"/>
      <c r="S3597" s="1629"/>
      <c r="T3597" s="1630"/>
      <c r="W3597" s="1634"/>
    </row>
    <row r="3598" spans="1:121" ht="24" customHeight="1">
      <c r="H3598" s="1631" t="s">
        <v>3016</v>
      </c>
      <c r="L3598" s="1627"/>
      <c r="W3598" s="1634"/>
    </row>
    <row r="3599" spans="1:121" ht="24" customHeight="1">
      <c r="H3599" s="1636" t="s">
        <v>21</v>
      </c>
      <c r="L3599" s="1627"/>
      <c r="W3599" s="1634"/>
    </row>
    <row r="3600" spans="1:121" ht="24" customHeight="1">
      <c r="F3600" s="1715">
        <v>7.0699999999999999E-2</v>
      </c>
      <c r="G3600" s="1638" t="s">
        <v>276</v>
      </c>
      <c r="H3600" s="1627" t="s">
        <v>1773</v>
      </c>
      <c r="I3600" s="1640">
        <f>I2814</f>
        <v>99400</v>
      </c>
      <c r="J3600" s="1627" t="s">
        <v>151</v>
      </c>
      <c r="K3600" s="1640">
        <f t="shared" ref="K3600:K3608" si="346">(F3600*I3600)</f>
        <v>7027.58</v>
      </c>
      <c r="L3600" s="1627"/>
      <c r="S3600" s="1629"/>
      <c r="T3600" s="1630"/>
      <c r="U3600" s="1629" t="s">
        <v>3017</v>
      </c>
      <c r="W3600" s="1634"/>
    </row>
    <row r="3601" spans="6:31" ht="24" customHeight="1">
      <c r="F3601" s="1715">
        <v>5.16</v>
      </c>
      <c r="G3601" s="1638" t="s">
        <v>152</v>
      </c>
      <c r="H3601" s="1627" t="s">
        <v>3018</v>
      </c>
      <c r="I3601" s="1640">
        <f>AG57</f>
        <v>2053.7999999999997</v>
      </c>
      <c r="J3601" s="1627" t="s">
        <v>151</v>
      </c>
      <c r="K3601" s="1640">
        <f t="shared" si="346"/>
        <v>10597.607999999998</v>
      </c>
      <c r="L3601" s="1627"/>
      <c r="S3601" s="1629"/>
      <c r="T3601" s="1630"/>
      <c r="U3601" s="1629" t="s">
        <v>3019</v>
      </c>
      <c r="V3601" s="1629">
        <f>1.7*2.025</f>
        <v>3.4424999999999999</v>
      </c>
      <c r="W3601" s="1634"/>
    </row>
    <row r="3602" spans="6:31" ht="24" customHeight="1">
      <c r="F3602" s="1715">
        <v>3.6659999999999999</v>
      </c>
      <c r="G3602" s="1638" t="s">
        <v>152</v>
      </c>
      <c r="H3602" s="1627" t="s">
        <v>3020</v>
      </c>
      <c r="I3602" s="1640">
        <f>P1395</f>
        <v>306.89999999999998</v>
      </c>
      <c r="J3602" s="1627" t="s">
        <v>152</v>
      </c>
      <c r="K3602" s="1640">
        <f t="shared" si="346"/>
        <v>1125.0953999999999</v>
      </c>
      <c r="L3602" s="1627"/>
      <c r="S3602" s="1629">
        <f>V3601</f>
        <v>3.4424999999999999</v>
      </c>
      <c r="T3602" s="1630" t="s">
        <v>152</v>
      </c>
      <c r="U3602" s="1629" t="s">
        <v>2967</v>
      </c>
      <c r="V3602" s="1629">
        <f>V3585</f>
        <v>2255</v>
      </c>
      <c r="W3602" s="1634" t="s">
        <v>152</v>
      </c>
      <c r="X3602" s="1629">
        <f>V3602*S3602</f>
        <v>7762.8374999999996</v>
      </c>
    </row>
    <row r="3603" spans="6:31" ht="24" customHeight="1">
      <c r="F3603" s="1640">
        <v>22.66</v>
      </c>
      <c r="G3603" s="1638" t="s">
        <v>303</v>
      </c>
      <c r="H3603" s="1627" t="s">
        <v>5725</v>
      </c>
      <c r="I3603" s="1640">
        <v>15.45</v>
      </c>
      <c r="J3603" s="1638" t="s">
        <v>303</v>
      </c>
      <c r="K3603" s="1640">
        <f t="shared" si="346"/>
        <v>350.09699999999998</v>
      </c>
      <c r="L3603" s="1627"/>
      <c r="S3603" s="1629">
        <f>S3602</f>
        <v>3.4424999999999999</v>
      </c>
      <c r="T3603" s="1630" t="s">
        <v>152</v>
      </c>
      <c r="U3603" s="1629" t="s">
        <v>2970</v>
      </c>
      <c r="V3603" s="1629">
        <f t="shared" ref="V3603:V3610" si="347">V3586</f>
        <v>438.2</v>
      </c>
      <c r="W3603" s="1634" t="s">
        <v>152</v>
      </c>
      <c r="X3603" s="1629">
        <f t="shared" ref="X3603:X3610" si="348">V3603*S3603</f>
        <v>1508.5034999999998</v>
      </c>
    </row>
    <row r="3604" spans="6:31" ht="24" customHeight="1">
      <c r="F3604" s="1640">
        <v>15</v>
      </c>
      <c r="G3604" s="1638" t="s">
        <v>153</v>
      </c>
      <c r="H3604" s="1627" t="s">
        <v>1731</v>
      </c>
      <c r="I3604" s="1640">
        <f>C279</f>
        <v>89.6</v>
      </c>
      <c r="J3604" s="1627" t="s">
        <v>153</v>
      </c>
      <c r="K3604" s="1640">
        <f>(F3603*I3604)</f>
        <v>2030.3359999999998</v>
      </c>
      <c r="L3604" s="1627"/>
      <c r="S3604" s="1629">
        <v>4</v>
      </c>
      <c r="T3604" s="1630" t="s">
        <v>4</v>
      </c>
      <c r="U3604" s="1629" t="s">
        <v>2953</v>
      </c>
      <c r="V3604" s="1629">
        <f t="shared" si="347"/>
        <v>57.65</v>
      </c>
      <c r="W3604" s="1634" t="s">
        <v>4</v>
      </c>
      <c r="X3604" s="1629">
        <f t="shared" si="348"/>
        <v>230.6</v>
      </c>
    </row>
    <row r="3605" spans="6:31" ht="24" customHeight="1">
      <c r="F3605" s="1640">
        <v>10</v>
      </c>
      <c r="G3605" s="1638" t="s">
        <v>153</v>
      </c>
      <c r="H3605" s="1627" t="s">
        <v>5726</v>
      </c>
      <c r="I3605" s="1640">
        <v>82.25</v>
      </c>
      <c r="J3605" s="1627" t="s">
        <v>153</v>
      </c>
      <c r="K3605" s="1640">
        <f>(F3604*I3605)</f>
        <v>1233.75</v>
      </c>
      <c r="L3605" s="1627"/>
      <c r="S3605" s="1629">
        <v>6</v>
      </c>
      <c r="T3605" s="1630" t="s">
        <v>4</v>
      </c>
      <c r="U3605" s="1629" t="s">
        <v>2955</v>
      </c>
      <c r="V3605" s="1629">
        <f t="shared" si="347"/>
        <v>89.6</v>
      </c>
      <c r="W3605" s="1634" t="s">
        <v>4</v>
      </c>
      <c r="X3605" s="1629">
        <f t="shared" si="348"/>
        <v>537.59999999999991</v>
      </c>
    </row>
    <row r="3606" spans="6:31" ht="24" customHeight="1">
      <c r="F3606" s="1640">
        <v>5</v>
      </c>
      <c r="G3606" s="1638" t="s">
        <v>153</v>
      </c>
      <c r="H3606" s="1627" t="s">
        <v>3023</v>
      </c>
      <c r="I3606" s="1640">
        <v>57.65</v>
      </c>
      <c r="J3606" s="1627" t="s">
        <v>153</v>
      </c>
      <c r="K3606" s="1640">
        <f>(F3607*I3606)</f>
        <v>288.25</v>
      </c>
      <c r="L3606" s="1632"/>
      <c r="S3606" s="1629">
        <v>4</v>
      </c>
      <c r="T3606" s="1630" t="s">
        <v>4</v>
      </c>
      <c r="U3606" s="1629" t="s">
        <v>2957</v>
      </c>
      <c r="V3606" s="1629">
        <f t="shared" si="347"/>
        <v>64.8</v>
      </c>
      <c r="W3606" s="1634" t="s">
        <v>4</v>
      </c>
      <c r="X3606" s="1629">
        <f t="shared" si="348"/>
        <v>259.2</v>
      </c>
    </row>
    <row r="3607" spans="6:31" ht="24" customHeight="1">
      <c r="F3607" s="1640">
        <v>5</v>
      </c>
      <c r="G3607" s="1638" t="s">
        <v>153</v>
      </c>
      <c r="H3607" s="1627" t="s">
        <v>1779</v>
      </c>
      <c r="I3607" s="1640">
        <v>7.3</v>
      </c>
      <c r="J3607" s="1627" t="s">
        <v>153</v>
      </c>
      <c r="K3607" s="1640">
        <f>(F3605*I3607)</f>
        <v>73</v>
      </c>
      <c r="L3607" s="1632"/>
      <c r="S3607" s="1629">
        <v>1</v>
      </c>
      <c r="T3607" s="1630" t="s">
        <v>4</v>
      </c>
      <c r="U3607" s="1629" t="s">
        <v>2915</v>
      </c>
      <c r="V3607" s="1629">
        <f t="shared" si="347"/>
        <v>181</v>
      </c>
      <c r="W3607" s="1634" t="s">
        <v>4</v>
      </c>
      <c r="X3607" s="1629">
        <f t="shared" si="348"/>
        <v>181</v>
      </c>
    </row>
    <row r="3608" spans="6:31" ht="24" customHeight="1">
      <c r="F3608" s="1640">
        <v>10</v>
      </c>
      <c r="H3608" s="1627" t="s">
        <v>1733</v>
      </c>
      <c r="I3608" s="1640">
        <f>I3430</f>
        <v>2.41</v>
      </c>
      <c r="J3608" s="1627" t="s">
        <v>153</v>
      </c>
      <c r="K3608" s="1640">
        <f t="shared" si="346"/>
        <v>24.1</v>
      </c>
      <c r="L3608" s="1632"/>
      <c r="S3608" s="1629">
        <v>118</v>
      </c>
      <c r="T3608" s="1630" t="s">
        <v>4</v>
      </c>
      <c r="U3608" s="1629" t="s">
        <v>2952</v>
      </c>
      <c r="V3608" s="1629">
        <f t="shared" si="347"/>
        <v>2.41</v>
      </c>
      <c r="W3608" s="1634" t="s">
        <v>4</v>
      </c>
      <c r="X3608" s="1629">
        <f t="shared" si="348"/>
        <v>284.38</v>
      </c>
    </row>
    <row r="3609" spans="6:31" ht="24" customHeight="1">
      <c r="K3609" s="1636" t="s">
        <v>21</v>
      </c>
      <c r="L3609" s="1632"/>
      <c r="S3609" s="1629">
        <v>2</v>
      </c>
      <c r="T3609" s="1630" t="s">
        <v>4</v>
      </c>
      <c r="U3609" s="1629" t="s">
        <v>2960</v>
      </c>
      <c r="V3609" s="1629">
        <f t="shared" si="347"/>
        <v>23.1</v>
      </c>
      <c r="W3609" s="1634" t="s">
        <v>4</v>
      </c>
      <c r="X3609" s="1629">
        <f t="shared" si="348"/>
        <v>46.2</v>
      </c>
    </row>
    <row r="3610" spans="6:31" ht="24" customHeight="1">
      <c r="H3610" s="1628" t="s">
        <v>3024</v>
      </c>
      <c r="K3610" s="1640">
        <f>SUM(K3596:K3608)</f>
        <v>22749.816399999996</v>
      </c>
      <c r="L3610" s="1632"/>
      <c r="S3610" s="1629">
        <v>2</v>
      </c>
      <c r="T3610" s="1630" t="s">
        <v>4</v>
      </c>
      <c r="U3610" s="1629" t="s">
        <v>2956</v>
      </c>
      <c r="V3610" s="1629">
        <f t="shared" si="347"/>
        <v>49.55</v>
      </c>
      <c r="W3610" s="1634" t="s">
        <v>4</v>
      </c>
      <c r="X3610" s="1629">
        <f t="shared" si="348"/>
        <v>99.1</v>
      </c>
    </row>
    <row r="3611" spans="6:31" ht="24" customHeight="1">
      <c r="K3611" s="1636" t="s">
        <v>21</v>
      </c>
      <c r="L3611" s="1632"/>
      <c r="T3611" s="1630"/>
      <c r="W3611" s="1634" t="s">
        <v>152</v>
      </c>
      <c r="X3611" s="1629">
        <f>V3611*S3611</f>
        <v>0</v>
      </c>
    </row>
    <row r="3612" spans="6:31" ht="24" customHeight="1">
      <c r="H3612" s="1641" t="s">
        <v>155</v>
      </c>
      <c r="I3612" s="1627" t="s">
        <v>150</v>
      </c>
      <c r="K3612" s="1639">
        <f>K3610/F3601</f>
        <v>4408.8791472868206</v>
      </c>
      <c r="S3612" s="1629"/>
      <c r="T3612" s="1630"/>
      <c r="U3612" s="1629" t="s">
        <v>3025</v>
      </c>
      <c r="W3612" s="1634"/>
      <c r="X3612" s="1629">
        <f>SUM(X3602:X3611)</f>
        <v>10909.421000000002</v>
      </c>
    </row>
    <row r="3613" spans="6:31" ht="24" customHeight="1">
      <c r="K3613" s="1636" t="s">
        <v>156</v>
      </c>
      <c r="S3613" s="1629"/>
      <c r="T3613" s="1630"/>
      <c r="U3613" s="1629" t="s">
        <v>2462</v>
      </c>
      <c r="W3613" s="1634"/>
      <c r="X3613" s="1629">
        <f>X3612/S3603</f>
        <v>3169.0402323892527</v>
      </c>
    </row>
    <row r="3614" spans="6:31" ht="24" customHeight="1">
      <c r="F3614" s="1628" t="s">
        <v>1787</v>
      </c>
      <c r="G3614" s="1638" t="s">
        <v>249</v>
      </c>
      <c r="H3614" s="1627" t="s">
        <v>3026</v>
      </c>
      <c r="S3614" s="1629"/>
      <c r="W3614" s="1634"/>
    </row>
    <row r="3615" spans="6:31" ht="24" customHeight="1">
      <c r="H3615" s="1627" t="s">
        <v>3027</v>
      </c>
      <c r="S3615" s="1629"/>
      <c r="T3615" s="1630"/>
      <c r="U3615" s="1629" t="s">
        <v>5246</v>
      </c>
      <c r="W3615" s="1634"/>
    </row>
    <row r="3616" spans="6:31" ht="24" customHeight="1">
      <c r="H3616" s="1636" t="s">
        <v>21</v>
      </c>
      <c r="S3616" s="1629"/>
      <c r="T3616" s="1630"/>
      <c r="U3616" s="1629" t="s">
        <v>5247</v>
      </c>
      <c r="W3616" s="1634">
        <f>1.1*2.025</f>
        <v>2.2275</v>
      </c>
      <c r="AA3616" s="1630"/>
      <c r="AB3616" s="1630"/>
      <c r="AC3616" s="1629" t="s">
        <v>5727</v>
      </c>
      <c r="AE3616" s="1632"/>
    </row>
    <row r="3617" spans="6:32" ht="18.75" customHeight="1">
      <c r="H3617" s="1627" t="s">
        <v>3030</v>
      </c>
      <c r="I3617" s="1694" t="s">
        <v>156</v>
      </c>
      <c r="J3617" s="1809">
        <f>0.65*0.65</f>
        <v>0.42250000000000004</v>
      </c>
      <c r="K3617" s="1629" t="s">
        <v>306</v>
      </c>
      <c r="S3617" s="1629">
        <f>W3616</f>
        <v>2.2275</v>
      </c>
      <c r="T3617" s="1630" t="s">
        <v>152</v>
      </c>
      <c r="U3617" s="1629" t="s">
        <v>2967</v>
      </c>
      <c r="V3617" s="1629">
        <f>AG3554</f>
        <v>2255</v>
      </c>
      <c r="W3617" s="1634" t="s">
        <v>152</v>
      </c>
      <c r="X3617" s="1629">
        <f>V3617*S3617</f>
        <v>5023.0124999999998</v>
      </c>
      <c r="AA3617" s="1630"/>
      <c r="AB3617" s="1630"/>
      <c r="AC3617" s="1629" t="s">
        <v>5728</v>
      </c>
      <c r="AE3617" s="1632">
        <f>0.65*2.025</f>
        <v>1.3162499999999999</v>
      </c>
    </row>
    <row r="3618" spans="6:32" ht="18.75" customHeight="1">
      <c r="H3618" s="1627"/>
      <c r="I3618" s="1694"/>
      <c r="J3618" s="1725"/>
      <c r="S3618" s="1629">
        <f>S3617</f>
        <v>2.2275</v>
      </c>
      <c r="T3618" s="1630" t="s">
        <v>152</v>
      </c>
      <c r="U3618" s="1629" t="s">
        <v>2970</v>
      </c>
      <c r="V3618" s="1629">
        <f>V3603</f>
        <v>438.2</v>
      </c>
      <c r="W3618" s="1634" t="s">
        <v>152</v>
      </c>
      <c r="X3618" s="1629">
        <f t="shared" ref="X3618:X3625" si="349">V3618*S3618</f>
        <v>976.09050000000002</v>
      </c>
      <c r="Z3618" s="1629">
        <f>AE3617</f>
        <v>1.3162499999999999</v>
      </c>
      <c r="AA3618" s="1630" t="s">
        <v>152</v>
      </c>
      <c r="AB3618" s="1630"/>
      <c r="AC3618" s="1629" t="s">
        <v>2967</v>
      </c>
      <c r="AD3618" s="1629">
        <f>V3618</f>
        <v>438.2</v>
      </c>
      <c r="AE3618" s="1630" t="s">
        <v>152</v>
      </c>
      <c r="AF3618" s="1629">
        <f>AD3618*Z3618</f>
        <v>576.7807499999999</v>
      </c>
    </row>
    <row r="3619" spans="6:32" ht="18.75" customHeight="1">
      <c r="H3619" s="1627" t="s">
        <v>5729</v>
      </c>
      <c r="I3619" s="1694" t="s">
        <v>156</v>
      </c>
      <c r="J3619" s="1809">
        <v>5.1999999999999998E-2</v>
      </c>
      <c r="K3619" s="1629" t="s">
        <v>313</v>
      </c>
      <c r="S3619" s="1629">
        <v>4</v>
      </c>
      <c r="T3619" s="1630" t="s">
        <v>4</v>
      </c>
      <c r="U3619" s="1629" t="s">
        <v>2953</v>
      </c>
      <c r="V3619" s="1629">
        <f t="shared" ref="V3619:V3625" si="350">AG3556</f>
        <v>57.65</v>
      </c>
      <c r="W3619" s="1634" t="s">
        <v>4</v>
      </c>
      <c r="X3619" s="1629">
        <f t="shared" si="349"/>
        <v>230.6</v>
      </c>
      <c r="Z3619" s="1629">
        <f>Z3618</f>
        <v>1.3162499999999999</v>
      </c>
      <c r="AA3619" s="1630" t="s">
        <v>152</v>
      </c>
      <c r="AB3619" s="1630"/>
      <c r="AC3619" s="1629" t="s">
        <v>2970</v>
      </c>
      <c r="AD3619" s="1629">
        <f t="shared" ref="AD3619:AD3626" si="351">V3619</f>
        <v>57.65</v>
      </c>
      <c r="AE3619" s="1630" t="s">
        <v>152</v>
      </c>
      <c r="AF3619" s="1629">
        <f t="shared" ref="AF3619:AF3627" si="352">AD3619*Z3619</f>
        <v>75.881812499999995</v>
      </c>
    </row>
    <row r="3620" spans="6:32" ht="18.75" customHeight="1">
      <c r="H3620" s="1627" t="s">
        <v>2801</v>
      </c>
      <c r="J3620" s="1694"/>
      <c r="S3620" s="1629">
        <v>6</v>
      </c>
      <c r="T3620" s="1630" t="s">
        <v>4</v>
      </c>
      <c r="U3620" s="1629" t="s">
        <v>2955</v>
      </c>
      <c r="V3620" s="1629">
        <f t="shared" si="350"/>
        <v>89.6</v>
      </c>
      <c r="W3620" s="1634" t="s">
        <v>4</v>
      </c>
      <c r="X3620" s="1629">
        <f t="shared" si="349"/>
        <v>537.59999999999991</v>
      </c>
      <c r="Z3620" s="1629">
        <v>2</v>
      </c>
      <c r="AA3620" s="1630" t="s">
        <v>4</v>
      </c>
      <c r="AB3620" s="1630"/>
      <c r="AC3620" s="1629" t="s">
        <v>2953</v>
      </c>
      <c r="AD3620" s="1629">
        <f t="shared" si="351"/>
        <v>89.6</v>
      </c>
      <c r="AE3620" s="1630" t="s">
        <v>4</v>
      </c>
      <c r="AF3620" s="1629">
        <f t="shared" si="352"/>
        <v>179.2</v>
      </c>
    </row>
    <row r="3621" spans="6:32" ht="18.75" customHeight="1">
      <c r="H3621" s="1627" t="s">
        <v>3032</v>
      </c>
      <c r="I3621" s="1694" t="s">
        <v>156</v>
      </c>
      <c r="J3621" s="1845">
        <v>1.772E-2</v>
      </c>
      <c r="S3621" s="1629">
        <v>4</v>
      </c>
      <c r="T3621" s="1630" t="s">
        <v>4</v>
      </c>
      <c r="U3621" s="1629" t="s">
        <v>2957</v>
      </c>
      <c r="V3621" s="1629">
        <f t="shared" si="350"/>
        <v>64.8</v>
      </c>
      <c r="W3621" s="1634" t="s">
        <v>4</v>
      </c>
      <c r="X3621" s="1629">
        <f t="shared" si="349"/>
        <v>259.2</v>
      </c>
      <c r="Z3621" s="1629">
        <v>3</v>
      </c>
      <c r="AA3621" s="1630" t="s">
        <v>4</v>
      </c>
      <c r="AB3621" s="1630"/>
      <c r="AC3621" s="1629" t="s">
        <v>2955</v>
      </c>
      <c r="AD3621" s="1629">
        <f t="shared" si="351"/>
        <v>64.8</v>
      </c>
      <c r="AE3621" s="1630" t="s">
        <v>4</v>
      </c>
      <c r="AF3621" s="1629">
        <f t="shared" si="352"/>
        <v>194.39999999999998</v>
      </c>
    </row>
    <row r="3622" spans="6:32" ht="18.75" customHeight="1">
      <c r="H3622" s="1636"/>
      <c r="S3622" s="1629">
        <v>1</v>
      </c>
      <c r="T3622" s="1630" t="s">
        <v>4</v>
      </c>
      <c r="U3622" s="1629" t="s">
        <v>2915</v>
      </c>
      <c r="V3622" s="1629">
        <f t="shared" si="350"/>
        <v>181</v>
      </c>
      <c r="W3622" s="1634" t="s">
        <v>4</v>
      </c>
      <c r="X3622" s="1629">
        <f t="shared" si="349"/>
        <v>181</v>
      </c>
      <c r="Z3622" s="1629">
        <v>2</v>
      </c>
      <c r="AA3622" s="1630" t="s">
        <v>4</v>
      </c>
      <c r="AB3622" s="1630"/>
      <c r="AC3622" s="1629" t="s">
        <v>2957</v>
      </c>
      <c r="AD3622" s="1629">
        <f t="shared" si="351"/>
        <v>181</v>
      </c>
      <c r="AE3622" s="1630" t="s">
        <v>4</v>
      </c>
      <c r="AF3622" s="1629">
        <f t="shared" si="352"/>
        <v>362</v>
      </c>
    </row>
    <row r="3623" spans="6:32" ht="18.75" customHeight="1">
      <c r="F3623" s="1715">
        <v>5.3E-3</v>
      </c>
      <c r="G3623" s="1638" t="s">
        <v>276</v>
      </c>
      <c r="H3623" s="1627" t="s">
        <v>1773</v>
      </c>
      <c r="I3623" s="1640">
        <f>I3600</f>
        <v>99400</v>
      </c>
      <c r="J3623" s="1627" t="s">
        <v>151</v>
      </c>
      <c r="K3623" s="1640">
        <f t="shared" ref="K3623:K3629" si="353">(F3623*I3623)</f>
        <v>526.82000000000005</v>
      </c>
      <c r="S3623" s="1629">
        <v>118</v>
      </c>
      <c r="T3623" s="1630" t="s">
        <v>4</v>
      </c>
      <c r="U3623" s="1629" t="s">
        <v>2952</v>
      </c>
      <c r="V3623" s="1629">
        <f t="shared" si="350"/>
        <v>2.41</v>
      </c>
      <c r="W3623" s="1634" t="s">
        <v>4</v>
      </c>
      <c r="X3623" s="1629">
        <f t="shared" si="349"/>
        <v>284.38</v>
      </c>
      <c r="Z3623" s="1629">
        <v>1</v>
      </c>
      <c r="AA3623" s="1630" t="s">
        <v>4</v>
      </c>
      <c r="AB3623" s="1630"/>
      <c r="AC3623" s="1629" t="s">
        <v>2915</v>
      </c>
      <c r="AD3623" s="1629">
        <f t="shared" si="351"/>
        <v>2.41</v>
      </c>
      <c r="AE3623" s="1630" t="s">
        <v>4</v>
      </c>
      <c r="AF3623" s="1629">
        <f t="shared" si="352"/>
        <v>2.41</v>
      </c>
    </row>
    <row r="3624" spans="6:32" ht="24" customHeight="1">
      <c r="F3624" s="1715">
        <v>0.27450000000000002</v>
      </c>
      <c r="G3624" s="1638" t="s">
        <v>152</v>
      </c>
      <c r="H3624" s="1627" t="str">
        <f>H3602</f>
        <v>4 mm thicj frosted glass</v>
      </c>
      <c r="I3624" s="1640">
        <f>I3602</f>
        <v>306.89999999999998</v>
      </c>
      <c r="J3624" s="1627" t="s">
        <v>151</v>
      </c>
      <c r="K3624" s="1640">
        <f t="shared" si="353"/>
        <v>84.244050000000001</v>
      </c>
      <c r="S3624" s="1629">
        <v>2</v>
      </c>
      <c r="T3624" s="1630" t="s">
        <v>4</v>
      </c>
      <c r="U3624" s="1629" t="s">
        <v>2960</v>
      </c>
      <c r="V3624" s="1629">
        <f t="shared" si="350"/>
        <v>23.1</v>
      </c>
      <c r="W3624" s="1634" t="s">
        <v>4</v>
      </c>
      <c r="X3624" s="1629">
        <f t="shared" si="349"/>
        <v>46.2</v>
      </c>
      <c r="Z3624" s="1629">
        <v>92</v>
      </c>
      <c r="AA3624" s="1630" t="s">
        <v>4</v>
      </c>
      <c r="AB3624" s="1630"/>
      <c r="AC3624" s="1629" t="s">
        <v>2952</v>
      </c>
      <c r="AD3624" s="1629">
        <f t="shared" si="351"/>
        <v>23.1</v>
      </c>
      <c r="AE3624" s="1630" t="s">
        <v>4</v>
      </c>
      <c r="AF3624" s="1629">
        <f t="shared" si="352"/>
        <v>2125.2000000000003</v>
      </c>
    </row>
    <row r="3625" spans="6:32" ht="24" customHeight="1">
      <c r="F3625" s="1715">
        <v>0.4</v>
      </c>
      <c r="G3625" s="1638" t="s">
        <v>152</v>
      </c>
      <c r="H3625" s="1627" t="s">
        <v>880</v>
      </c>
      <c r="I3625" s="1640">
        <f>AG34</f>
        <v>1589</v>
      </c>
      <c r="J3625" s="1627" t="s">
        <v>152</v>
      </c>
      <c r="K3625" s="1640">
        <f t="shared" si="353"/>
        <v>635.6</v>
      </c>
      <c r="S3625" s="1629">
        <v>2</v>
      </c>
      <c r="T3625" s="1630" t="s">
        <v>4</v>
      </c>
      <c r="U3625" s="1629" t="s">
        <v>2956</v>
      </c>
      <c r="V3625" s="1629">
        <f t="shared" si="350"/>
        <v>49.55</v>
      </c>
      <c r="W3625" s="1634" t="s">
        <v>4</v>
      </c>
      <c r="X3625" s="1629">
        <f t="shared" si="349"/>
        <v>99.1</v>
      </c>
      <c r="Z3625" s="1629">
        <v>1</v>
      </c>
      <c r="AA3625" s="1630" t="s">
        <v>4</v>
      </c>
      <c r="AB3625" s="1630"/>
      <c r="AC3625" s="1629" t="s">
        <v>2960</v>
      </c>
      <c r="AD3625" s="1629">
        <f t="shared" si="351"/>
        <v>49.55</v>
      </c>
      <c r="AE3625" s="1630" t="s">
        <v>4</v>
      </c>
      <c r="AF3625" s="1629">
        <f t="shared" si="352"/>
        <v>49.55</v>
      </c>
    </row>
    <row r="3626" spans="6:32" ht="24" customHeight="1">
      <c r="F3626" s="1640">
        <v>2</v>
      </c>
      <c r="G3626" s="1638" t="s">
        <v>1790</v>
      </c>
      <c r="H3626" s="1627" t="s">
        <v>1791</v>
      </c>
      <c r="I3626" s="1640">
        <v>148</v>
      </c>
      <c r="J3626" s="1627" t="s">
        <v>1790</v>
      </c>
      <c r="K3626" s="1640">
        <f t="shared" si="353"/>
        <v>296</v>
      </c>
      <c r="T3626" s="1630" t="s">
        <v>152</v>
      </c>
      <c r="W3626" s="1634" t="s">
        <v>152</v>
      </c>
      <c r="X3626" s="1629">
        <f>V3625*S3626</f>
        <v>0</v>
      </c>
      <c r="Z3626" s="1629">
        <v>1</v>
      </c>
      <c r="AA3626" s="1630" t="s">
        <v>4</v>
      </c>
      <c r="AB3626" s="1630"/>
      <c r="AC3626" s="1629" t="s">
        <v>2956</v>
      </c>
      <c r="AD3626" s="1629">
        <f t="shared" si="351"/>
        <v>0</v>
      </c>
      <c r="AE3626" s="1630" t="s">
        <v>4</v>
      </c>
      <c r="AF3626" s="1629">
        <f t="shared" si="352"/>
        <v>0</v>
      </c>
    </row>
    <row r="3627" spans="6:32" ht="24" customHeight="1">
      <c r="F3627" s="1640">
        <v>1</v>
      </c>
      <c r="G3627" s="1638" t="s">
        <v>153</v>
      </c>
      <c r="H3627" s="1627" t="s">
        <v>1792</v>
      </c>
      <c r="I3627" s="1640">
        <f>C293</f>
        <v>6.1</v>
      </c>
      <c r="J3627" s="1627" t="s">
        <v>153</v>
      </c>
      <c r="K3627" s="1640">
        <f t="shared" si="353"/>
        <v>6.1</v>
      </c>
      <c r="S3627" s="1629"/>
      <c r="T3627" s="1630"/>
      <c r="U3627" s="1629" t="s">
        <v>2959</v>
      </c>
      <c r="W3627" s="1634"/>
      <c r="X3627" s="1629">
        <f>SUM(X3617:X3626)</f>
        <v>7637.183</v>
      </c>
      <c r="Z3627" s="1633">
        <v>0.35</v>
      </c>
      <c r="AA3627" s="1630" t="s">
        <v>152</v>
      </c>
      <c r="AB3627" s="1630"/>
      <c r="AE3627" s="1630" t="s">
        <v>152</v>
      </c>
      <c r="AF3627" s="1629">
        <f t="shared" si="352"/>
        <v>0</v>
      </c>
    </row>
    <row r="3628" spans="6:32" ht="24" customHeight="1">
      <c r="F3628" s="1640">
        <v>1</v>
      </c>
      <c r="G3628" s="1638" t="s">
        <v>153</v>
      </c>
      <c r="H3628" s="1627" t="s">
        <v>1793</v>
      </c>
      <c r="I3628" s="1640">
        <f>C291</f>
        <v>11.8</v>
      </c>
      <c r="J3628" s="1627" t="s">
        <v>153</v>
      </c>
      <c r="K3628" s="1640">
        <f t="shared" si="353"/>
        <v>11.8</v>
      </c>
      <c r="S3628" s="1629"/>
      <c r="T3628" s="1630"/>
      <c r="U3628" s="1629" t="s">
        <v>2462</v>
      </c>
      <c r="W3628" s="1634"/>
      <c r="X3628" s="1629">
        <f>X3627/S3618</f>
        <v>3428.5894500561167</v>
      </c>
      <c r="AA3628" s="1630"/>
      <c r="AB3628" s="1630"/>
      <c r="AC3628" s="1629" t="s">
        <v>2959</v>
      </c>
      <c r="AE3628" s="1632"/>
      <c r="AF3628" s="1629">
        <f>SUM(AF3618:AF3627)</f>
        <v>3565.4225625000008</v>
      </c>
    </row>
    <row r="3629" spans="6:32" ht="24" customHeight="1">
      <c r="F3629" s="1640">
        <v>10</v>
      </c>
      <c r="H3629" s="1627" t="s">
        <v>1733</v>
      </c>
      <c r="I3629" s="1640">
        <f>I3608</f>
        <v>2.41</v>
      </c>
      <c r="J3629" s="1627" t="s">
        <v>153</v>
      </c>
      <c r="K3629" s="1640">
        <f t="shared" si="353"/>
        <v>24.1</v>
      </c>
      <c r="W3629" s="1634"/>
      <c r="AA3629" s="1630"/>
      <c r="AB3629" s="1630"/>
      <c r="AC3629" s="1629" t="s">
        <v>2462</v>
      </c>
      <c r="AE3629" s="1632"/>
      <c r="AF3629" s="1629">
        <f>AF3628/Z3619</f>
        <v>2708.7730769230775</v>
      </c>
    </row>
    <row r="3630" spans="6:32" ht="24" customHeight="1">
      <c r="K3630" s="1636" t="s">
        <v>21</v>
      </c>
      <c r="S3630" s="1629"/>
      <c r="U3630" s="1631" t="s">
        <v>1794</v>
      </c>
      <c r="W3630" s="1634"/>
    </row>
    <row r="3631" spans="6:32" ht="24" customHeight="1">
      <c r="H3631" s="1628" t="s">
        <v>1795</v>
      </c>
      <c r="K3631" s="1640">
        <f>SUM(K3613:K3629)</f>
        <v>1584.6640499999999</v>
      </c>
      <c r="S3631" s="1629"/>
      <c r="U3631" s="1677" t="s">
        <v>3033</v>
      </c>
      <c r="W3631" s="1634"/>
    </row>
    <row r="3632" spans="6:32" ht="24" customHeight="1">
      <c r="K3632" s="1636" t="s">
        <v>21</v>
      </c>
      <c r="S3632" s="1629"/>
      <c r="W3632" s="1634"/>
    </row>
    <row r="3633" spans="6:35" ht="24" customHeight="1">
      <c r="H3633" s="1641" t="s">
        <v>155</v>
      </c>
      <c r="I3633" s="1627" t="s">
        <v>150</v>
      </c>
      <c r="K3633" s="1639">
        <f>K3631/F3625</f>
        <v>3961.6601249999994</v>
      </c>
      <c r="S3633" s="1629"/>
      <c r="W3633" s="1634"/>
    </row>
    <row r="3634" spans="6:35" ht="24" customHeight="1">
      <c r="F3634" s="1627" t="s">
        <v>150</v>
      </c>
      <c r="S3634" s="1698">
        <v>2.2800000000000001E-2</v>
      </c>
      <c r="T3634" s="1630" t="s">
        <v>151</v>
      </c>
      <c r="U3634" s="1629" t="s">
        <v>1796</v>
      </c>
      <c r="V3634" s="1629">
        <f>P1111</f>
        <v>111600</v>
      </c>
      <c r="W3634" s="1634" t="s">
        <v>151</v>
      </c>
      <c r="X3634" s="1629">
        <f>V3634*S3634</f>
        <v>2544.48</v>
      </c>
    </row>
    <row r="3635" spans="6:35" ht="24" customHeight="1">
      <c r="K3635" s="1636" t="s">
        <v>156</v>
      </c>
      <c r="S3635" s="1698">
        <v>3.5400000000000001E-2</v>
      </c>
      <c r="T3635" s="1630" t="s">
        <v>151</v>
      </c>
      <c r="U3635" s="1629" t="s">
        <v>1797</v>
      </c>
      <c r="V3635" s="1629">
        <f>P1112</f>
        <v>99400</v>
      </c>
      <c r="W3635" s="1634" t="s">
        <v>151</v>
      </c>
      <c r="X3635" s="1629">
        <f t="shared" ref="X3635:X3644" si="354">V3635*S3635</f>
        <v>3518.76</v>
      </c>
    </row>
    <row r="3636" spans="6:35" ht="24" customHeight="1">
      <c r="F3636" s="1629">
        <v>45</v>
      </c>
      <c r="H3636" s="1862" t="s">
        <v>3034</v>
      </c>
      <c r="I3636" s="1862"/>
      <c r="J3636" s="1862"/>
      <c r="S3636" s="1723">
        <v>3.2300000000000002E-2</v>
      </c>
      <c r="T3636" s="1630" t="s">
        <v>151</v>
      </c>
      <c r="U3636" s="1629" t="s">
        <v>1798</v>
      </c>
      <c r="V3636" s="1629">
        <f>P1113</f>
        <v>95000</v>
      </c>
      <c r="W3636" s="1634" t="s">
        <v>151</v>
      </c>
      <c r="X3636" s="1629">
        <f t="shared" si="354"/>
        <v>3068.5</v>
      </c>
    </row>
    <row r="3637" spans="6:35" ht="24" customHeight="1">
      <c r="H3637" s="1862"/>
      <c r="I3637" s="1862"/>
      <c r="J3637" s="1862"/>
      <c r="S3637" s="1633">
        <v>2.835</v>
      </c>
      <c r="T3637" s="1630" t="s">
        <v>152</v>
      </c>
      <c r="U3637" s="1629" t="s">
        <v>1799</v>
      </c>
      <c r="V3637" s="1629">
        <f>P1114</f>
        <v>2039.8</v>
      </c>
      <c r="W3637" s="1634" t="s">
        <v>152</v>
      </c>
      <c r="X3637" s="1629">
        <f t="shared" si="354"/>
        <v>5782.8329999999996</v>
      </c>
    </row>
    <row r="3638" spans="6:35" ht="24" customHeight="1">
      <c r="S3638" s="1629">
        <v>2</v>
      </c>
      <c r="T3638" s="1630" t="s">
        <v>295</v>
      </c>
      <c r="U3638" s="1629" t="s">
        <v>2565</v>
      </c>
      <c r="V3638" s="1629">
        <v>254.5</v>
      </c>
      <c r="W3638" s="1634" t="s">
        <v>340</v>
      </c>
      <c r="X3638" s="1629">
        <f t="shared" si="354"/>
        <v>509</v>
      </c>
    </row>
    <row r="3639" spans="6:35" ht="24" customHeight="1">
      <c r="F3639" s="1863">
        <v>0.15</v>
      </c>
      <c r="G3639" s="1864" t="s">
        <v>151</v>
      </c>
      <c r="H3639" s="1672" t="s">
        <v>5730</v>
      </c>
      <c r="I3639" s="1864">
        <f>91.1/0.0354</f>
        <v>2573.4463276836154</v>
      </c>
      <c r="J3639" s="1865" t="s">
        <v>151</v>
      </c>
      <c r="K3639" s="1864">
        <f t="shared" ref="K3639:K3644" si="355">I3639*F3639</f>
        <v>386.01694915254228</v>
      </c>
      <c r="L3639" s="1864"/>
      <c r="S3639" s="1629">
        <v>6</v>
      </c>
      <c r="T3639" s="1630" t="s">
        <v>295</v>
      </c>
      <c r="U3639" s="1629" t="s">
        <v>2566</v>
      </c>
      <c r="V3639" s="1629">
        <v>214.1</v>
      </c>
      <c r="W3639" s="1634" t="s">
        <v>340</v>
      </c>
      <c r="X3639" s="1629">
        <f t="shared" si="354"/>
        <v>1284.5999999999999</v>
      </c>
    </row>
    <row r="3640" spans="6:35" ht="33" customHeight="1">
      <c r="F3640" s="1692">
        <v>7.1999999999999995E-2</v>
      </c>
      <c r="G3640" s="1630" t="s">
        <v>251</v>
      </c>
      <c r="H3640" s="1629" t="s">
        <v>252</v>
      </c>
      <c r="I3640" s="1629">
        <f>I1645</f>
        <v>6040</v>
      </c>
      <c r="J3640" s="1632" t="s">
        <v>251</v>
      </c>
      <c r="K3640" s="1629">
        <f t="shared" si="355"/>
        <v>434.88</v>
      </c>
      <c r="S3640" s="1629">
        <v>4</v>
      </c>
      <c r="T3640" s="1630" t="s">
        <v>295</v>
      </c>
      <c r="U3640" s="1629" t="s">
        <v>2567</v>
      </c>
      <c r="V3640" s="1629">
        <v>408</v>
      </c>
      <c r="W3640" s="1634" t="s">
        <v>340</v>
      </c>
      <c r="X3640" s="1629">
        <f t="shared" si="354"/>
        <v>1632</v>
      </c>
    </row>
    <row r="3641" spans="6:35" ht="24" customHeight="1">
      <c r="F3641" s="1640">
        <v>1.6</v>
      </c>
      <c r="G3641" s="1630" t="s">
        <v>4</v>
      </c>
      <c r="H3641" s="1629" t="s">
        <v>269</v>
      </c>
      <c r="I3641" s="1629">
        <f>I1646</f>
        <v>1325.8</v>
      </c>
      <c r="J3641" s="1632" t="s">
        <v>4</v>
      </c>
      <c r="K3641" s="1629">
        <f t="shared" si="355"/>
        <v>2121.2800000000002</v>
      </c>
      <c r="S3641" s="1629">
        <v>1</v>
      </c>
      <c r="T3641" s="1630" t="s">
        <v>295</v>
      </c>
      <c r="U3641" s="1629" t="s">
        <v>2568</v>
      </c>
      <c r="V3641" s="1629">
        <v>985</v>
      </c>
      <c r="W3641" s="1634" t="s">
        <v>340</v>
      </c>
      <c r="X3641" s="1629">
        <f t="shared" si="354"/>
        <v>985</v>
      </c>
    </row>
    <row r="3642" spans="6:35" ht="24" customHeight="1">
      <c r="F3642" s="1640">
        <v>0.5</v>
      </c>
      <c r="G3642" s="1630" t="s">
        <v>4</v>
      </c>
      <c r="H3642" s="1629" t="s">
        <v>235</v>
      </c>
      <c r="I3642" s="1629">
        <f>I1647</f>
        <v>865.19999999999993</v>
      </c>
      <c r="J3642" s="1632" t="s">
        <v>4</v>
      </c>
      <c r="K3642" s="1629">
        <f t="shared" si="355"/>
        <v>432.59999999999997</v>
      </c>
      <c r="S3642" s="1629">
        <v>2</v>
      </c>
      <c r="T3642" s="1630" t="s">
        <v>295</v>
      </c>
      <c r="U3642" s="1629" t="s">
        <v>2569</v>
      </c>
      <c r="V3642" s="1629">
        <v>23.1</v>
      </c>
      <c r="W3642" s="1634" t="s">
        <v>340</v>
      </c>
      <c r="X3642" s="1629">
        <f t="shared" si="354"/>
        <v>46.2</v>
      </c>
    </row>
    <row r="3643" spans="6:35" ht="24" customHeight="1">
      <c r="F3643" s="1640">
        <v>1.1000000000000001</v>
      </c>
      <c r="G3643" s="1630" t="s">
        <v>4</v>
      </c>
      <c r="H3643" s="1629" t="s">
        <v>236</v>
      </c>
      <c r="I3643" s="1629">
        <f>I1648</f>
        <v>709.8</v>
      </c>
      <c r="J3643" s="1632" t="s">
        <v>4</v>
      </c>
      <c r="K3643" s="1629">
        <f t="shared" si="355"/>
        <v>780.78</v>
      </c>
      <c r="S3643" s="1629">
        <v>2</v>
      </c>
      <c r="T3643" s="1630" t="s">
        <v>295</v>
      </c>
      <c r="U3643" s="1629" t="s">
        <v>886</v>
      </c>
      <c r="V3643" s="1629">
        <v>49.55</v>
      </c>
      <c r="W3643" s="1634" t="s">
        <v>340</v>
      </c>
      <c r="X3643" s="1629">
        <f t="shared" si="354"/>
        <v>99.1</v>
      </c>
    </row>
    <row r="3644" spans="6:35" ht="24" customHeight="1">
      <c r="F3644" s="1640">
        <v>14.5</v>
      </c>
      <c r="G3644" s="1630" t="s">
        <v>2161</v>
      </c>
      <c r="H3644" s="1629" t="s">
        <v>3036</v>
      </c>
      <c r="I3644" s="1629">
        <f>I3747</f>
        <v>24.925000000000001</v>
      </c>
      <c r="J3644" s="1632" t="s">
        <v>2161</v>
      </c>
      <c r="K3644" s="1629">
        <f t="shared" si="355"/>
        <v>361.41250000000002</v>
      </c>
      <c r="S3644" s="1629">
        <v>118</v>
      </c>
      <c r="T3644" s="1688"/>
      <c r="U3644" s="1629" t="s">
        <v>1733</v>
      </c>
      <c r="V3644" s="1629">
        <v>2.41</v>
      </c>
      <c r="W3644" s="1634"/>
      <c r="X3644" s="1629">
        <f t="shared" si="354"/>
        <v>284.38</v>
      </c>
    </row>
    <row r="3645" spans="6:35" ht="24" customHeight="1">
      <c r="G3645" s="1630" t="s">
        <v>287</v>
      </c>
      <c r="H3645" s="1629" t="s">
        <v>237</v>
      </c>
      <c r="J3645" s="1632" t="s">
        <v>287</v>
      </c>
      <c r="K3645" s="1629">
        <v>7</v>
      </c>
      <c r="S3645" s="1629"/>
      <c r="W3645" s="1634"/>
      <c r="X3645" s="1661">
        <f>SUM(X3634:X3644)</f>
        <v>19754.852999999999</v>
      </c>
      <c r="Y3645" s="1661"/>
    </row>
    <row r="3646" spans="6:35" ht="24" customHeight="1">
      <c r="S3646" s="1629"/>
      <c r="T3646" s="1688"/>
      <c r="U3646" s="1661"/>
      <c r="W3646" s="1634"/>
      <c r="X3646" s="1664" t="s">
        <v>1810</v>
      </c>
      <c r="Y3646" s="1664"/>
    </row>
    <row r="3647" spans="6:35" ht="24" customHeight="1">
      <c r="H3647" s="1629" t="s">
        <v>238</v>
      </c>
      <c r="K3647" s="1629">
        <f>SUM(K3639:K3646)</f>
        <v>4523.9694491525424</v>
      </c>
      <c r="S3647" s="1629"/>
      <c r="T3647" s="1688"/>
      <c r="U3647" s="1661" t="s">
        <v>1813</v>
      </c>
      <c r="W3647" s="1634"/>
      <c r="X3647" s="1661">
        <f>X3645/2.835</f>
        <v>6968.2021164021162</v>
      </c>
      <c r="Y3647" s="1661"/>
    </row>
    <row r="3648" spans="6:35" ht="24" customHeight="1">
      <c r="H3648" s="1629" t="s">
        <v>155</v>
      </c>
      <c r="K3648" s="1629">
        <f>K3647/10</f>
        <v>452.39694491525427</v>
      </c>
      <c r="S3648" s="1629"/>
      <c r="T3648" s="1688"/>
      <c r="W3648" s="1634"/>
      <c r="X3648" s="1664" t="s">
        <v>1810</v>
      </c>
      <c r="Y3648" s="1664"/>
      <c r="AD3648" s="2010" t="s">
        <v>5731</v>
      </c>
      <c r="AE3648" s="2010"/>
      <c r="AF3648" s="2010"/>
      <c r="AG3648" s="2010"/>
      <c r="AH3648" s="2010"/>
      <c r="AI3648" s="2010"/>
    </row>
    <row r="3649" spans="6:35" ht="24" customHeight="1">
      <c r="S3649" s="1629"/>
      <c r="W3649" s="1634"/>
      <c r="AD3649" s="2010"/>
      <c r="AE3649" s="2010"/>
      <c r="AF3649" s="2010"/>
      <c r="AG3649" s="2010"/>
      <c r="AH3649" s="2010"/>
      <c r="AI3649" s="2010"/>
    </row>
    <row r="3650" spans="6:35" ht="24" customHeight="1">
      <c r="K3650" s="1629" t="s">
        <v>156</v>
      </c>
      <c r="S3650" s="1866" t="s">
        <v>3037</v>
      </c>
      <c r="T3650" s="1866"/>
      <c r="U3650" s="1866"/>
      <c r="V3650" s="1866"/>
      <c r="W3650" s="1736"/>
      <c r="X3650" s="1736"/>
      <c r="Y3650" s="1736"/>
      <c r="Z3650" s="1737"/>
      <c r="AD3650" s="1692"/>
      <c r="AE3650" s="1638"/>
      <c r="AF3650" s="1641"/>
      <c r="AG3650" s="1640"/>
      <c r="AH3650" s="1638"/>
      <c r="AI3650" s="1640"/>
    </row>
    <row r="3651" spans="6:35" ht="24" customHeight="1">
      <c r="S3651" s="1692"/>
      <c r="T3651" s="1638"/>
      <c r="U3651" s="1641"/>
      <c r="V3651" s="1640"/>
      <c r="W3651" s="1628"/>
      <c r="X3651" s="1640"/>
      <c r="Y3651" s="1640"/>
      <c r="Z3651" s="1737"/>
      <c r="AD3651" s="1692"/>
      <c r="AE3651" s="1638"/>
      <c r="AF3651" s="1627"/>
      <c r="AG3651" s="1640"/>
      <c r="AH3651" s="1638"/>
      <c r="AI3651" s="1640"/>
    </row>
    <row r="3652" spans="6:35" ht="24" customHeight="1">
      <c r="G3652" s="1629"/>
      <c r="H3652" s="1641" t="s">
        <v>3038</v>
      </c>
      <c r="J3652" s="1629"/>
      <c r="S3652" s="1692"/>
      <c r="T3652" s="1638"/>
      <c r="U3652" s="1627"/>
      <c r="V3652" s="1640"/>
      <c r="W3652" s="1628"/>
      <c r="X3652" s="1640"/>
      <c r="Y3652" s="1640"/>
      <c r="Z3652" s="1737"/>
      <c r="AD3652" s="1692">
        <v>38.86</v>
      </c>
      <c r="AE3652" s="1638" t="s">
        <v>534</v>
      </c>
      <c r="AF3652" s="1680" t="s">
        <v>3039</v>
      </c>
      <c r="AG3652" s="1640">
        <f>V3653</f>
        <v>325</v>
      </c>
      <c r="AH3652" s="1638" t="s">
        <v>534</v>
      </c>
      <c r="AI3652" s="1640">
        <f>AG3652*AD3652</f>
        <v>12629.5</v>
      </c>
    </row>
    <row r="3653" spans="6:35" ht="24" customHeight="1">
      <c r="G3653" s="1629"/>
      <c r="H3653" s="1636" t="s">
        <v>21</v>
      </c>
      <c r="J3653" s="1629"/>
      <c r="S3653" s="1692">
        <v>28.49</v>
      </c>
      <c r="T3653" s="1638" t="s">
        <v>534</v>
      </c>
      <c r="U3653" s="1680" t="s">
        <v>3039</v>
      </c>
      <c r="V3653" s="1640">
        <f>I3781</f>
        <v>325</v>
      </c>
      <c r="W3653" s="1628" t="s">
        <v>534</v>
      </c>
      <c r="X3653" s="1640">
        <f>V3653*S3653</f>
        <v>9259.25</v>
      </c>
      <c r="Y3653" s="1640"/>
      <c r="Z3653" s="1737"/>
      <c r="AD3653" s="1848">
        <v>34.65</v>
      </c>
      <c r="AE3653" s="1638" t="s">
        <v>303</v>
      </c>
      <c r="AF3653" s="1627" t="s">
        <v>3041</v>
      </c>
      <c r="AG3653" s="1640">
        <f>V3654</f>
        <v>38.25</v>
      </c>
      <c r="AH3653" s="1638" t="s">
        <v>303</v>
      </c>
      <c r="AI3653" s="1640">
        <f t="shared" ref="AI3653:AI3660" si="356">AG3653*AD3653</f>
        <v>1325.3625</v>
      </c>
    </row>
    <row r="3654" spans="6:35" ht="24" customHeight="1">
      <c r="G3654" s="1627" t="s">
        <v>249</v>
      </c>
      <c r="H3654" s="1631" t="s">
        <v>3040</v>
      </c>
      <c r="J3654" s="1629"/>
      <c r="S3654" s="1848">
        <v>3.82</v>
      </c>
      <c r="T3654" s="1638" t="s">
        <v>303</v>
      </c>
      <c r="U3654" s="1627" t="s">
        <v>5732</v>
      </c>
      <c r="V3654" s="1640">
        <v>38.25</v>
      </c>
      <c r="W3654" s="1628" t="s">
        <v>303</v>
      </c>
      <c r="X3654" s="1640">
        <v>501.66</v>
      </c>
      <c r="Y3654" s="1640"/>
      <c r="Z3654" s="1737"/>
      <c r="AD3654" s="1692">
        <v>2.4300000000000002</v>
      </c>
      <c r="AE3654" s="1638" t="s">
        <v>533</v>
      </c>
      <c r="AF3654" s="1627" t="s">
        <v>3043</v>
      </c>
      <c r="AG3654" s="1640">
        <f>V3655</f>
        <v>362.5</v>
      </c>
      <c r="AH3654" s="1638" t="s">
        <v>533</v>
      </c>
      <c r="AI3654" s="1640">
        <f t="shared" si="356"/>
        <v>880.87500000000011</v>
      </c>
    </row>
    <row r="3655" spans="6:35" ht="24" customHeight="1">
      <c r="G3655" s="1629"/>
      <c r="H3655" s="1631" t="s">
        <v>3042</v>
      </c>
      <c r="J3655" s="1629"/>
      <c r="S3655" s="1692">
        <v>1.52</v>
      </c>
      <c r="T3655" s="1638" t="s">
        <v>533</v>
      </c>
      <c r="U3655" s="1627" t="s">
        <v>3043</v>
      </c>
      <c r="V3655" s="1640">
        <v>362.5</v>
      </c>
      <c r="W3655" s="1628" t="s">
        <v>533</v>
      </c>
      <c r="X3655" s="1640">
        <f t="shared" ref="X3655:X3664" si="357">V3655*S3655</f>
        <v>551</v>
      </c>
      <c r="Y3655" s="1640"/>
      <c r="Z3655" s="1737"/>
      <c r="AD3655" s="1692">
        <v>4.8499999999999996</v>
      </c>
      <c r="AE3655" s="1638" t="s">
        <v>533</v>
      </c>
      <c r="AF3655" s="1627" t="s">
        <v>3044</v>
      </c>
      <c r="AG3655" s="1640">
        <f>V3656</f>
        <v>695</v>
      </c>
      <c r="AH3655" s="1638" t="s">
        <v>4</v>
      </c>
      <c r="AI3655" s="1640">
        <f t="shared" si="356"/>
        <v>3370.7499999999995</v>
      </c>
    </row>
    <row r="3656" spans="6:35" ht="24" customHeight="1">
      <c r="G3656" s="1629"/>
      <c r="H3656" s="1631" t="s">
        <v>1055</v>
      </c>
      <c r="J3656" s="1629"/>
      <c r="S3656" s="1692">
        <v>1.52</v>
      </c>
      <c r="T3656" s="1638" t="s">
        <v>533</v>
      </c>
      <c r="U3656" s="1627" t="s">
        <v>3044</v>
      </c>
      <c r="V3656" s="1640">
        <v>695</v>
      </c>
      <c r="W3656" s="1628" t="s">
        <v>4</v>
      </c>
      <c r="X3656" s="1640">
        <f t="shared" si="357"/>
        <v>1056.4000000000001</v>
      </c>
      <c r="Y3656" s="1640"/>
      <c r="Z3656" s="1737"/>
      <c r="AD3656" s="1737">
        <v>144</v>
      </c>
      <c r="AE3656" s="1741" t="s">
        <v>295</v>
      </c>
      <c r="AF3656" s="1737" t="s">
        <v>5733</v>
      </c>
      <c r="AG3656" s="1640">
        <v>2.41</v>
      </c>
      <c r="AH3656" s="1744" t="s">
        <v>68</v>
      </c>
      <c r="AI3656" s="1640">
        <f>AG3656*AD3656</f>
        <v>347.04</v>
      </c>
    </row>
    <row r="3657" spans="6:35" ht="31.5" customHeight="1">
      <c r="G3657" s="1629"/>
      <c r="H3657" s="1636" t="s">
        <v>21</v>
      </c>
      <c r="J3657" s="1629"/>
      <c r="S3657" s="1692">
        <v>3</v>
      </c>
      <c r="T3657" s="1638" t="s">
        <v>10</v>
      </c>
      <c r="U3657" s="1627" t="s">
        <v>5734</v>
      </c>
      <c r="V3657" s="1640">
        <v>11.9</v>
      </c>
      <c r="W3657" s="1628" t="s">
        <v>10</v>
      </c>
      <c r="X3657" s="1640">
        <f t="shared" si="357"/>
        <v>35.700000000000003</v>
      </c>
      <c r="Y3657" s="1640"/>
      <c r="Z3657" s="1737"/>
      <c r="AD3657" s="1737">
        <v>12</v>
      </c>
      <c r="AE3657" s="1741" t="s">
        <v>295</v>
      </c>
      <c r="AF3657" s="1737" t="s">
        <v>5735</v>
      </c>
      <c r="AG3657" s="1640">
        <v>4.88</v>
      </c>
      <c r="AH3657" s="1744" t="s">
        <v>68</v>
      </c>
      <c r="AI3657" s="1640">
        <f>AG3657*AD3657</f>
        <v>58.56</v>
      </c>
    </row>
    <row r="3658" spans="6:35" ht="34.5" customHeight="1">
      <c r="G3658" s="1627" t="s">
        <v>1056</v>
      </c>
      <c r="H3658" s="1867" t="s">
        <v>3046</v>
      </c>
      <c r="J3658" s="1629"/>
      <c r="S3658" s="1692">
        <v>4.2</v>
      </c>
      <c r="T3658" s="1638" t="s">
        <v>340</v>
      </c>
      <c r="U3658" s="1627" t="s">
        <v>5248</v>
      </c>
      <c r="V3658" s="1640">
        <v>7.95</v>
      </c>
      <c r="W3658" s="1628" t="s">
        <v>4</v>
      </c>
      <c r="X3658" s="1640">
        <f t="shared" si="357"/>
        <v>33.39</v>
      </c>
      <c r="Y3658" s="1640"/>
      <c r="Z3658" s="1737"/>
      <c r="AD3658" s="1737">
        <v>12</v>
      </c>
      <c r="AE3658" s="1741" t="s">
        <v>295</v>
      </c>
      <c r="AF3658" s="1737" t="s">
        <v>5736</v>
      </c>
      <c r="AG3658" s="1640">
        <v>1.08</v>
      </c>
      <c r="AH3658" s="1744" t="s">
        <v>68</v>
      </c>
      <c r="AI3658" s="1640">
        <f>AG3658*AD3658</f>
        <v>12.96</v>
      </c>
    </row>
    <row r="3659" spans="6:35" ht="24" customHeight="1">
      <c r="G3659" s="1629"/>
      <c r="H3659" s="1636" t="s">
        <v>21</v>
      </c>
      <c r="J3659" s="1629"/>
      <c r="S3659" s="1692">
        <v>3.15</v>
      </c>
      <c r="T3659" s="1638" t="s">
        <v>306</v>
      </c>
      <c r="U3659" s="1627" t="s">
        <v>2041</v>
      </c>
      <c r="V3659" s="1737">
        <f>X3675</f>
        <v>2654.3999999999996</v>
      </c>
      <c r="W3659" s="1628" t="s">
        <v>306</v>
      </c>
      <c r="X3659" s="1640">
        <f t="shared" si="357"/>
        <v>8361.3599999999988</v>
      </c>
      <c r="Y3659" s="1640"/>
      <c r="Z3659" s="1737"/>
      <c r="AD3659" s="1692">
        <v>2</v>
      </c>
      <c r="AE3659" s="1638" t="s">
        <v>10</v>
      </c>
      <c r="AF3659" s="1627" t="s">
        <v>3045</v>
      </c>
      <c r="AG3659" s="1640">
        <f>V3657</f>
        <v>11.9</v>
      </c>
      <c r="AH3659" s="1638" t="s">
        <v>10</v>
      </c>
      <c r="AI3659" s="1640">
        <f t="shared" si="356"/>
        <v>23.8</v>
      </c>
    </row>
    <row r="3660" spans="6:35" ht="24" customHeight="1">
      <c r="F3660" s="1640">
        <v>18.899999999999999</v>
      </c>
      <c r="G3660" s="1627" t="s">
        <v>151</v>
      </c>
      <c r="H3660" s="1627" t="s">
        <v>1060</v>
      </c>
      <c r="I3660" s="1640">
        <f>P431</f>
        <v>297.5</v>
      </c>
      <c r="J3660" s="1627" t="s">
        <v>151</v>
      </c>
      <c r="K3660" s="1640">
        <f>(F3660*I3660)</f>
        <v>5622.75</v>
      </c>
      <c r="S3660" s="1661">
        <v>1</v>
      </c>
      <c r="T3660" s="1688" t="s">
        <v>295</v>
      </c>
      <c r="U3660" s="1661" t="s">
        <v>5249</v>
      </c>
      <c r="V3660" s="1661">
        <v>49.55</v>
      </c>
      <c r="W3660" s="1677" t="s">
        <v>340</v>
      </c>
      <c r="X3660" s="1661">
        <f t="shared" si="357"/>
        <v>49.55</v>
      </c>
      <c r="Y3660" s="1661"/>
      <c r="Z3660" s="1737"/>
      <c r="AD3660" s="1692">
        <v>6.6150000000000002</v>
      </c>
      <c r="AE3660" s="1638" t="s">
        <v>306</v>
      </c>
      <c r="AF3660" s="1627" t="s">
        <v>2041</v>
      </c>
      <c r="AG3660" s="1640">
        <f>V3659</f>
        <v>2654.3999999999996</v>
      </c>
      <c r="AH3660" s="1638" t="s">
        <v>306</v>
      </c>
      <c r="AI3660" s="1640">
        <f t="shared" si="356"/>
        <v>17558.856</v>
      </c>
    </row>
    <row r="3661" spans="6:35" ht="24" customHeight="1">
      <c r="F3661" s="1640">
        <v>18.63</v>
      </c>
      <c r="G3661" s="1627" t="s">
        <v>151</v>
      </c>
      <c r="H3661" s="1627" t="s">
        <v>1061</v>
      </c>
      <c r="I3661" s="1640">
        <f>P432</f>
        <v>51.730000000000004</v>
      </c>
      <c r="J3661" s="1627" t="s">
        <v>151</v>
      </c>
      <c r="K3661" s="1640">
        <f>(F3661*I3661)</f>
        <v>963.72990000000004</v>
      </c>
      <c r="S3661" s="1661">
        <v>1</v>
      </c>
      <c r="T3661" s="1688" t="s">
        <v>295</v>
      </c>
      <c r="U3661" s="1661" t="s">
        <v>3049</v>
      </c>
      <c r="V3661" s="1661">
        <v>1008</v>
      </c>
      <c r="W3661" s="1677" t="s">
        <v>340</v>
      </c>
      <c r="X3661" s="1661">
        <f t="shared" si="357"/>
        <v>1008</v>
      </c>
      <c r="Y3661" s="1661"/>
      <c r="Z3661" s="1737"/>
      <c r="AD3661" s="1692"/>
      <c r="AE3661" s="1638"/>
      <c r="AF3661" s="1627" t="s">
        <v>3128</v>
      </c>
      <c r="AG3661" s="1640"/>
      <c r="AH3661" s="1638"/>
      <c r="AI3661" s="1639">
        <f>SUM(AI3652:AI3660)</f>
        <v>36207.703500000003</v>
      </c>
    </row>
    <row r="3662" spans="6:35" ht="40.5" customHeight="1">
      <c r="F3662" s="1640">
        <v>30</v>
      </c>
      <c r="G3662" s="1627" t="s">
        <v>552</v>
      </c>
      <c r="H3662" s="1678" t="s">
        <v>5737</v>
      </c>
      <c r="I3662" s="1639">
        <v>288</v>
      </c>
      <c r="J3662" s="1627" t="s">
        <v>552</v>
      </c>
      <c r="K3662" s="1640">
        <f>(F3662*I3662)</f>
        <v>8640</v>
      </c>
      <c r="S3662" s="1737">
        <v>45</v>
      </c>
      <c r="T3662" s="1741" t="s">
        <v>295</v>
      </c>
      <c r="U3662" s="1737" t="s">
        <v>5250</v>
      </c>
      <c r="V3662" s="1640">
        <v>2.21</v>
      </c>
      <c r="W3662" s="1738" t="s">
        <v>68</v>
      </c>
      <c r="X3662" s="1640">
        <f t="shared" si="357"/>
        <v>99.45</v>
      </c>
      <c r="Y3662" s="1640"/>
      <c r="Z3662" s="1737"/>
      <c r="AD3662" s="1692"/>
      <c r="AE3662" s="1638"/>
      <c r="AF3662" s="1627" t="s">
        <v>155</v>
      </c>
      <c r="AG3662" s="1640"/>
      <c r="AH3662" s="1736"/>
      <c r="AI3662" s="1639">
        <f>AI3661/AD3660</f>
        <v>5473.5757369614512</v>
      </c>
    </row>
    <row r="3663" spans="6:35" ht="45.75" customHeight="1">
      <c r="G3663" s="1629"/>
      <c r="J3663" s="1629"/>
      <c r="S3663" s="1737">
        <v>2</v>
      </c>
      <c r="T3663" s="1741" t="s">
        <v>295</v>
      </c>
      <c r="U3663" s="1737" t="s">
        <v>5738</v>
      </c>
      <c r="V3663" s="1640">
        <v>130.5</v>
      </c>
      <c r="W3663" s="1677" t="s">
        <v>340</v>
      </c>
      <c r="X3663" s="1640">
        <f t="shared" si="357"/>
        <v>261</v>
      </c>
      <c r="Y3663" s="1640"/>
      <c r="Z3663" s="1737"/>
      <c r="AD3663" s="1737"/>
      <c r="AE3663" s="1737"/>
      <c r="AF3663" s="1656"/>
      <c r="AG3663" s="1640"/>
      <c r="AH3663" s="1737"/>
      <c r="AI3663" s="1737"/>
    </row>
    <row r="3664" spans="6:35" ht="24" customHeight="1">
      <c r="F3664" s="1640">
        <v>30</v>
      </c>
      <c r="G3664" s="1627" t="s">
        <v>552</v>
      </c>
      <c r="H3664" s="1627" t="s">
        <v>1062</v>
      </c>
      <c r="I3664" s="1640">
        <v>19.100000000000001</v>
      </c>
      <c r="J3664" s="1627" t="s">
        <v>552</v>
      </c>
      <c r="K3664" s="1640">
        <f>(F3664*I3664)</f>
        <v>573</v>
      </c>
      <c r="S3664" s="1737">
        <v>2</v>
      </c>
      <c r="T3664" s="1741" t="s">
        <v>295</v>
      </c>
      <c r="U3664" s="1737" t="s">
        <v>5739</v>
      </c>
      <c r="V3664" s="1640">
        <v>64.8</v>
      </c>
      <c r="W3664" s="1677" t="s">
        <v>340</v>
      </c>
      <c r="X3664" s="1640">
        <f t="shared" si="357"/>
        <v>129.6</v>
      </c>
      <c r="Y3664" s="1640"/>
      <c r="Z3664" s="1737"/>
      <c r="AD3664" s="1640">
        <v>1</v>
      </c>
      <c r="AE3664" s="1638" t="s">
        <v>153</v>
      </c>
      <c r="AF3664" s="1627" t="s">
        <v>5661</v>
      </c>
      <c r="AG3664" s="1640">
        <f>V3670</f>
        <v>1170.3999999999999</v>
      </c>
      <c r="AH3664" s="1627" t="s">
        <v>153</v>
      </c>
      <c r="AI3664" s="1640">
        <f>AG3664*AD3664</f>
        <v>1170.3999999999999</v>
      </c>
    </row>
    <row r="3665" spans="6:35" ht="24" customHeight="1">
      <c r="G3665" s="1629"/>
      <c r="H3665" s="1627" t="s">
        <v>1063</v>
      </c>
      <c r="J3665" s="1629"/>
      <c r="S3665" s="1629"/>
      <c r="W3665" s="1634"/>
      <c r="X3665" s="1633"/>
      <c r="Y3665" s="1633"/>
      <c r="Z3665" s="1737"/>
      <c r="AD3665" s="1640">
        <v>1</v>
      </c>
      <c r="AE3665" s="1638" t="s">
        <v>153</v>
      </c>
      <c r="AF3665" s="1627" t="s">
        <v>5662</v>
      </c>
      <c r="AG3665" s="1640">
        <f>V3671</f>
        <v>865.19999999999993</v>
      </c>
      <c r="AH3665" s="1627" t="s">
        <v>153</v>
      </c>
      <c r="AI3665" s="1640">
        <f>AG3665*AD3665</f>
        <v>865.19999999999993</v>
      </c>
    </row>
    <row r="3666" spans="6:35" ht="24" customHeight="1">
      <c r="G3666" s="1629"/>
      <c r="H3666" s="1627" t="s">
        <v>1064</v>
      </c>
      <c r="J3666" s="1629"/>
      <c r="S3666" s="1692"/>
      <c r="T3666" s="1638"/>
      <c r="U3666" s="1627"/>
      <c r="V3666" s="1737"/>
      <c r="W3666" s="1738"/>
      <c r="X3666" s="1640"/>
      <c r="Y3666" s="1640"/>
      <c r="Z3666" s="1737"/>
      <c r="AD3666" s="1640">
        <v>0.5</v>
      </c>
      <c r="AE3666" s="1638" t="s">
        <v>153</v>
      </c>
      <c r="AF3666" s="1627" t="s">
        <v>5663</v>
      </c>
      <c r="AG3666" s="1640">
        <f>V3672</f>
        <v>1237.5999999999999</v>
      </c>
      <c r="AH3666" s="1627" t="s">
        <v>153</v>
      </c>
      <c r="AI3666" s="1640">
        <f>AG3666*AD3666</f>
        <v>618.79999999999995</v>
      </c>
    </row>
    <row r="3667" spans="6:35" ht="24" customHeight="1">
      <c r="G3667" s="1629"/>
      <c r="H3667" s="1627" t="s">
        <v>1065</v>
      </c>
      <c r="J3667" s="1629"/>
      <c r="S3667" s="1692"/>
      <c r="T3667" s="1638"/>
      <c r="U3667" s="1627" t="s">
        <v>3054</v>
      </c>
      <c r="W3667" s="1628"/>
      <c r="X3667" s="1640">
        <f>SUM(X3653:X3666)</f>
        <v>21346.359999999997</v>
      </c>
      <c r="Y3667" s="1640"/>
      <c r="Z3667" s="1737"/>
      <c r="AD3667" s="1737"/>
      <c r="AE3667" s="1638" t="s">
        <v>226</v>
      </c>
      <c r="AF3667" s="1627"/>
      <c r="AG3667" s="1640">
        <f>V3673</f>
        <v>0</v>
      </c>
      <c r="AH3667" s="1627" t="s">
        <v>226</v>
      </c>
      <c r="AI3667" s="1640"/>
    </row>
    <row r="3668" spans="6:35" ht="24" customHeight="1">
      <c r="G3668" s="1629"/>
      <c r="H3668" s="1627" t="s">
        <v>5740</v>
      </c>
      <c r="J3668" s="1629"/>
      <c r="S3668" s="1692"/>
      <c r="T3668" s="1638"/>
      <c r="U3668" s="1627" t="s">
        <v>155</v>
      </c>
      <c r="W3668" s="1736"/>
      <c r="X3668" s="1639">
        <f>X3667/3.15</f>
        <v>6776.6222222222214</v>
      </c>
      <c r="Y3668" s="1639"/>
      <c r="Z3668" s="1743" t="s">
        <v>340</v>
      </c>
      <c r="AD3668" s="1737"/>
      <c r="AE3668" s="1741"/>
      <c r="AF3668" s="1737"/>
      <c r="AG3668" s="1737"/>
      <c r="AH3668" s="1744"/>
      <c r="AI3668" s="1636" t="s">
        <v>21</v>
      </c>
    </row>
    <row r="3669" spans="6:35" ht="24" customHeight="1">
      <c r="G3669" s="1629"/>
      <c r="H3669" s="1627"/>
      <c r="J3669" s="1629"/>
      <c r="S3669" s="1737"/>
      <c r="T3669" s="1737"/>
      <c r="U3669" s="1656"/>
      <c r="V3669" s="1737"/>
      <c r="W3669" s="1738"/>
      <c r="X3669" s="1737"/>
      <c r="Y3669" s="1737"/>
      <c r="Z3669" s="1737"/>
      <c r="AD3669" s="1737"/>
      <c r="AE3669" s="1741"/>
      <c r="AF3669" s="1627" t="s">
        <v>2047</v>
      </c>
      <c r="AG3669" s="1737"/>
      <c r="AH3669" s="1744"/>
      <c r="AI3669" s="1639">
        <f>SUM(AI3664:AI3668)</f>
        <v>2654.3999999999996</v>
      </c>
    </row>
    <row r="3670" spans="6:35" ht="24.75" customHeight="1">
      <c r="F3670" s="1640">
        <v>5</v>
      </c>
      <c r="G3670" s="1627" t="s">
        <v>4</v>
      </c>
      <c r="H3670" s="1680" t="s">
        <v>3056</v>
      </c>
      <c r="I3670" s="1640">
        <v>44.9</v>
      </c>
      <c r="J3670" s="1627" t="s">
        <v>4</v>
      </c>
      <c r="K3670" s="1640">
        <f>(F3670*I3670)</f>
        <v>224.5</v>
      </c>
      <c r="L3670" s="1661">
        <v>35.6</v>
      </c>
      <c r="S3670" s="1640">
        <v>1</v>
      </c>
      <c r="T3670" s="1638" t="s">
        <v>153</v>
      </c>
      <c r="U3670" s="1627" t="s">
        <v>5661</v>
      </c>
      <c r="V3670" s="1640">
        <f>AG17</f>
        <v>1170.3999999999999</v>
      </c>
      <c r="W3670" s="1628" t="s">
        <v>153</v>
      </c>
      <c r="X3670" s="1640">
        <f>V3670*S3670</f>
        <v>1170.3999999999999</v>
      </c>
      <c r="Y3670" s="1640"/>
      <c r="Z3670" s="1737"/>
      <c r="AD3670" s="1737"/>
      <c r="AE3670" s="1741"/>
      <c r="AF3670" s="1737"/>
      <c r="AG3670" s="1737"/>
      <c r="AH3670" s="1744"/>
      <c r="AI3670" s="1636" t="s">
        <v>21</v>
      </c>
    </row>
    <row r="3671" spans="6:35" ht="30" customHeight="1">
      <c r="F3671" s="1640">
        <v>1</v>
      </c>
      <c r="G3671" s="1627" t="s">
        <v>226</v>
      </c>
      <c r="H3671" s="1627" t="s">
        <v>1074</v>
      </c>
      <c r="I3671" s="1640">
        <v>12.1</v>
      </c>
      <c r="J3671" s="1627" t="s">
        <v>226</v>
      </c>
      <c r="K3671" s="1640">
        <f>(F3671*I3671)</f>
        <v>12.1</v>
      </c>
      <c r="S3671" s="1640">
        <v>1</v>
      </c>
      <c r="T3671" s="1638" t="s">
        <v>153</v>
      </c>
      <c r="U3671" s="1627" t="s">
        <v>5662</v>
      </c>
      <c r="V3671" s="1640">
        <f>AG11</f>
        <v>865.19999999999993</v>
      </c>
      <c r="W3671" s="1628" t="s">
        <v>153</v>
      </c>
      <c r="X3671" s="1640">
        <f>V3671*S3671</f>
        <v>865.19999999999993</v>
      </c>
      <c r="Y3671" s="1640"/>
      <c r="Z3671" s="1737"/>
    </row>
    <row r="3672" spans="6:35" ht="24" customHeight="1">
      <c r="F3672" s="1640"/>
      <c r="G3672" s="1627" t="s">
        <v>226</v>
      </c>
      <c r="H3672" s="1627" t="s">
        <v>237</v>
      </c>
      <c r="J3672" s="1627" t="s">
        <v>226</v>
      </c>
      <c r="K3672" s="1640">
        <v>17.100000000000001</v>
      </c>
      <c r="S3672" s="1640">
        <v>0.5</v>
      </c>
      <c r="T3672" s="1638" t="s">
        <v>153</v>
      </c>
      <c r="U3672" s="1627" t="s">
        <v>5663</v>
      </c>
      <c r="V3672" s="1640">
        <f>AG20</f>
        <v>1237.5999999999999</v>
      </c>
      <c r="W3672" s="1628" t="s">
        <v>153</v>
      </c>
      <c r="X3672" s="1640">
        <f>V3672*S3672</f>
        <v>618.79999999999995</v>
      </c>
      <c r="Y3672" s="1640"/>
      <c r="Z3672" s="1737"/>
    </row>
    <row r="3673" spans="6:35" ht="24" customHeight="1">
      <c r="G3673" s="1629"/>
      <c r="J3673" s="1629"/>
      <c r="S3673" s="1737"/>
      <c r="T3673" s="1638" t="s">
        <v>226</v>
      </c>
      <c r="U3673" s="1627"/>
      <c r="V3673" s="1640"/>
      <c r="W3673" s="1628" t="s">
        <v>226</v>
      </c>
      <c r="X3673" s="1640"/>
      <c r="Y3673" s="1640"/>
      <c r="Z3673" s="1737"/>
    </row>
    <row r="3674" spans="6:35" ht="24" customHeight="1">
      <c r="G3674" s="1629"/>
      <c r="J3674" s="1629"/>
      <c r="K3674" s="1636" t="s">
        <v>21</v>
      </c>
      <c r="S3674" s="1737"/>
      <c r="T3674" s="1741"/>
      <c r="U3674" s="1737"/>
      <c r="V3674" s="1737"/>
      <c r="W3674" s="1738"/>
      <c r="X3674" s="1636" t="s">
        <v>21</v>
      </c>
      <c r="Y3674" s="1636"/>
      <c r="Z3674" s="1737"/>
    </row>
    <row r="3675" spans="6:35" ht="24" customHeight="1">
      <c r="G3675" s="1629"/>
      <c r="H3675" s="1627" t="s">
        <v>1076</v>
      </c>
      <c r="J3675" s="1629"/>
      <c r="K3675" s="1640">
        <f>SUM(K3660:K3672)</f>
        <v>16053.179900000001</v>
      </c>
      <c r="S3675" s="1737"/>
      <c r="T3675" s="1741"/>
      <c r="U3675" s="1627" t="s">
        <v>2047</v>
      </c>
      <c r="V3675" s="1737"/>
      <c r="W3675" s="1738"/>
      <c r="X3675" s="1639">
        <f>SUM(X3670:X3674)</f>
        <v>2654.3999999999996</v>
      </c>
      <c r="Y3675" s="1639"/>
      <c r="Z3675" s="1737"/>
    </row>
    <row r="3676" spans="6:35" ht="24" customHeight="1">
      <c r="G3676" s="1629"/>
      <c r="J3676" s="1629"/>
      <c r="K3676" s="1636" t="s">
        <v>21</v>
      </c>
      <c r="S3676" s="1737"/>
      <c r="T3676" s="1741"/>
      <c r="U3676" s="1737"/>
      <c r="V3676" s="1737"/>
      <c r="W3676" s="1738"/>
      <c r="X3676" s="1636" t="s">
        <v>21</v>
      </c>
      <c r="Y3676" s="1636"/>
      <c r="Z3676" s="1737"/>
    </row>
    <row r="3677" spans="6:35" ht="24" customHeight="1">
      <c r="G3677" s="1629"/>
      <c r="H3677" s="1627" t="s">
        <v>562</v>
      </c>
      <c r="J3677" s="1629"/>
      <c r="K3677" s="1639">
        <f>(K3675/30)</f>
        <v>535.10599666666667</v>
      </c>
      <c r="S3677" s="1629"/>
      <c r="W3677" s="1634"/>
    </row>
    <row r="3678" spans="6:35" ht="24" customHeight="1">
      <c r="G3678" s="1629"/>
      <c r="J3678" s="1629"/>
      <c r="K3678" s="1636" t="s">
        <v>21</v>
      </c>
      <c r="S3678" s="1629"/>
      <c r="W3678" s="1634"/>
    </row>
    <row r="3679" spans="6:35" ht="33.75" customHeight="1">
      <c r="G3679" s="1627" t="s">
        <v>6</v>
      </c>
      <c r="H3679" s="1867" t="s">
        <v>3057</v>
      </c>
      <c r="J3679" s="1629"/>
      <c r="S3679" s="1868"/>
      <c r="T3679" s="1868"/>
      <c r="U3679" s="1868"/>
      <c r="V3679" s="1868"/>
      <c r="W3679" s="1869"/>
      <c r="X3679" s="1868"/>
      <c r="Y3679" s="1868"/>
    </row>
    <row r="3680" spans="6:35" ht="24" customHeight="1">
      <c r="G3680" s="1629"/>
      <c r="H3680" s="1636" t="s">
        <v>21</v>
      </c>
      <c r="J3680" s="1629"/>
      <c r="S3680" s="2008" t="s">
        <v>3058</v>
      </c>
      <c r="T3680" s="2008"/>
      <c r="U3680" s="2008"/>
      <c r="V3680" s="2008"/>
      <c r="W3680" s="1736"/>
      <c r="X3680" s="1736"/>
      <c r="Y3680" s="1736"/>
    </row>
    <row r="3681" spans="6:26" ht="24" customHeight="1">
      <c r="F3681" s="1640">
        <f>F3660</f>
        <v>18.899999999999999</v>
      </c>
      <c r="G3681" s="1627" t="s">
        <v>151</v>
      </c>
      <c r="H3681" s="1627" t="str">
        <f>H3660</f>
        <v>E.W EXCLUDING REFILLING</v>
      </c>
      <c r="I3681" s="1640">
        <f>I3660</f>
        <v>297.5</v>
      </c>
      <c r="J3681" s="1627" t="s">
        <v>151</v>
      </c>
      <c r="K3681" s="1640">
        <f>(F3681*I3681)</f>
        <v>5622.75</v>
      </c>
      <c r="S3681" s="1692"/>
      <c r="T3681" s="1638"/>
      <c r="U3681" s="1641"/>
      <c r="V3681" s="1640"/>
      <c r="W3681" s="1628"/>
      <c r="X3681" s="1640"/>
      <c r="Y3681" s="1640"/>
    </row>
    <row r="3682" spans="6:26" ht="24" customHeight="1">
      <c r="F3682" s="1640">
        <v>18.3</v>
      </c>
      <c r="G3682" s="1627" t="s">
        <v>151</v>
      </c>
      <c r="H3682" s="1627" t="str">
        <f>H3661</f>
        <v>REFILLING CHARGE</v>
      </c>
      <c r="I3682" s="1640">
        <f>I3661</f>
        <v>51.730000000000004</v>
      </c>
      <c r="J3682" s="1627" t="s">
        <v>151</v>
      </c>
      <c r="K3682" s="1640">
        <f>(F3682*I3682)</f>
        <v>946.65900000000011</v>
      </c>
      <c r="S3682" s="1692"/>
      <c r="T3682" s="1638"/>
      <c r="U3682" s="1627"/>
      <c r="V3682" s="1640"/>
      <c r="W3682" s="1628"/>
      <c r="X3682" s="1640"/>
      <c r="Y3682" s="1640"/>
    </row>
    <row r="3683" spans="6:26" ht="33.75" customHeight="1">
      <c r="F3683" s="1640">
        <f>F3662</f>
        <v>30</v>
      </c>
      <c r="G3683" s="1627" t="s">
        <v>552</v>
      </c>
      <c r="H3683" s="1678" t="s">
        <v>5737</v>
      </c>
      <c r="I3683" s="1639">
        <v>604.5</v>
      </c>
      <c r="J3683" s="1627" t="s">
        <v>552</v>
      </c>
      <c r="K3683" s="1640">
        <f>(F3683*I3683)</f>
        <v>18135</v>
      </c>
      <c r="S3683" s="1692">
        <v>29.06</v>
      </c>
      <c r="T3683" s="1638" t="s">
        <v>534</v>
      </c>
      <c r="U3683" s="1680" t="s">
        <v>3039</v>
      </c>
      <c r="V3683" s="1640">
        <f>V3653</f>
        <v>325</v>
      </c>
      <c r="W3683" s="1628" t="s">
        <v>534</v>
      </c>
      <c r="X3683" s="1640">
        <f>V3683*S3683</f>
        <v>9444.5</v>
      </c>
      <c r="Y3683" s="1640"/>
    </row>
    <row r="3684" spans="6:26" ht="39" customHeight="1">
      <c r="F3684" s="1640"/>
      <c r="G3684" s="1629"/>
      <c r="H3684" s="1627"/>
      <c r="I3684" s="1640"/>
      <c r="J3684" s="1629"/>
      <c r="K3684" s="1640"/>
      <c r="S3684" s="1848">
        <v>9.24</v>
      </c>
      <c r="T3684" s="1638" t="s">
        <v>303</v>
      </c>
      <c r="U3684" s="1627" t="s">
        <v>3060</v>
      </c>
      <c r="V3684" s="1640">
        <f t="shared" ref="V3684:V3694" si="358">V3654</f>
        <v>38.25</v>
      </c>
      <c r="W3684" s="1628" t="s">
        <v>303</v>
      </c>
      <c r="X3684" s="1640">
        <f t="shared" ref="X3684:X3694" si="359">V3684*S3684</f>
        <v>353.43</v>
      </c>
      <c r="Y3684" s="1640"/>
    </row>
    <row r="3685" spans="6:26" ht="24" customHeight="1">
      <c r="F3685" s="1640">
        <f>F3664</f>
        <v>30</v>
      </c>
      <c r="G3685" s="1629"/>
      <c r="H3685" s="1627" t="str">
        <f>H3664</f>
        <v>CONVEYING,LOWERING  ANDLAYING</v>
      </c>
      <c r="I3685" s="1640">
        <v>27</v>
      </c>
      <c r="J3685" s="1627" t="s">
        <v>552</v>
      </c>
      <c r="K3685" s="1640">
        <f>(F3685*I3685)</f>
        <v>810</v>
      </c>
      <c r="S3685" s="1692">
        <v>1.49</v>
      </c>
      <c r="T3685" s="1638" t="s">
        <v>533</v>
      </c>
      <c r="U3685" s="1627" t="s">
        <v>3043</v>
      </c>
      <c r="V3685" s="1640">
        <f t="shared" si="358"/>
        <v>362.5</v>
      </c>
      <c r="W3685" s="1628" t="s">
        <v>533</v>
      </c>
      <c r="X3685" s="1640">
        <f t="shared" si="359"/>
        <v>540.125</v>
      </c>
      <c r="Y3685" s="1640"/>
    </row>
    <row r="3686" spans="6:26" ht="24" customHeight="1">
      <c r="F3686" s="1640"/>
      <c r="G3686" s="1629"/>
      <c r="H3686" s="1627" t="str">
        <f>H3665</f>
        <v>TO PROPER GRADEAND</v>
      </c>
      <c r="I3686" s="1640"/>
      <c r="J3686" s="1629"/>
      <c r="S3686" s="1692">
        <v>0.75</v>
      </c>
      <c r="T3686" s="1638" t="s">
        <v>533</v>
      </c>
      <c r="U3686" s="1627" t="s">
        <v>3044</v>
      </c>
      <c r="V3686" s="1640">
        <f t="shared" si="358"/>
        <v>695</v>
      </c>
      <c r="W3686" s="1628" t="s">
        <v>4</v>
      </c>
      <c r="X3686" s="1640">
        <f t="shared" si="359"/>
        <v>521.25</v>
      </c>
      <c r="Y3686" s="1640"/>
    </row>
    <row r="3687" spans="6:26" ht="24" customHeight="1">
      <c r="F3687" s="1640"/>
      <c r="G3687" s="1629"/>
      <c r="H3687" s="1627" t="str">
        <f>H3666</f>
        <v>ALIGNMENT,JOINTING</v>
      </c>
      <c r="I3687" s="1640"/>
      <c r="J3687" s="1629"/>
      <c r="S3687" s="1870">
        <v>2</v>
      </c>
      <c r="T3687" s="1638" t="s">
        <v>10</v>
      </c>
      <c r="U3687" s="1627" t="s">
        <v>3045</v>
      </c>
      <c r="V3687" s="1640">
        <f t="shared" si="358"/>
        <v>11.9</v>
      </c>
      <c r="W3687" s="1628" t="s">
        <v>10</v>
      </c>
      <c r="X3687" s="1640">
        <f t="shared" si="359"/>
        <v>23.8</v>
      </c>
      <c r="Y3687" s="1640"/>
    </row>
    <row r="3688" spans="6:26" ht="24" customHeight="1">
      <c r="F3688" s="1640"/>
      <c r="G3688" s="1627"/>
      <c r="H3688" s="1627" t="str">
        <f>H3667</f>
        <v>ETC BUT EXCLUDING  COST OF</v>
      </c>
      <c r="I3688" s="1640"/>
      <c r="J3688" s="1627"/>
      <c r="K3688" s="1640"/>
      <c r="S3688" s="1692">
        <v>7.08</v>
      </c>
      <c r="T3688" s="1638" t="s">
        <v>340</v>
      </c>
      <c r="U3688" s="1627" t="s">
        <v>3047</v>
      </c>
      <c r="V3688" s="1640">
        <f t="shared" si="358"/>
        <v>7.95</v>
      </c>
      <c r="W3688" s="1628" t="s">
        <v>4</v>
      </c>
      <c r="X3688" s="1640">
        <f t="shared" si="359"/>
        <v>56.286000000000001</v>
      </c>
      <c r="Y3688" s="1640"/>
    </row>
    <row r="3689" spans="6:26" ht="24" customHeight="1">
      <c r="F3689" s="1640"/>
      <c r="G3689" s="1627"/>
      <c r="H3689" s="1627" t="s">
        <v>5740</v>
      </c>
      <c r="I3689" s="1640"/>
      <c r="J3689" s="1627"/>
      <c r="K3689" s="1640"/>
      <c r="S3689" s="1692">
        <v>2.1</v>
      </c>
      <c r="T3689" s="1638" t="s">
        <v>306</v>
      </c>
      <c r="U3689" s="1627" t="s">
        <v>2041</v>
      </c>
      <c r="V3689" s="1640">
        <f t="shared" si="358"/>
        <v>2654.3999999999996</v>
      </c>
      <c r="W3689" s="1628" t="s">
        <v>306</v>
      </c>
      <c r="X3689" s="1640">
        <f t="shared" si="359"/>
        <v>5574.24</v>
      </c>
      <c r="Y3689" s="1640"/>
    </row>
    <row r="3690" spans="6:26" ht="24" customHeight="1">
      <c r="F3690" s="1640"/>
      <c r="G3690" s="1627"/>
      <c r="H3690" s="1627"/>
      <c r="I3690" s="1640"/>
      <c r="J3690" s="1627"/>
      <c r="K3690" s="1640"/>
      <c r="S3690" s="1743">
        <v>1</v>
      </c>
      <c r="T3690" s="1866" t="s">
        <v>295</v>
      </c>
      <c r="U3690" s="1661" t="s">
        <v>3048</v>
      </c>
      <c r="V3690" s="1640">
        <f t="shared" si="358"/>
        <v>49.55</v>
      </c>
      <c r="W3690" s="1736" t="s">
        <v>340</v>
      </c>
      <c r="X3690" s="1640">
        <f t="shared" si="359"/>
        <v>49.55</v>
      </c>
      <c r="Y3690" s="1640"/>
    </row>
    <row r="3691" spans="6:26" ht="24" customHeight="1">
      <c r="F3691" s="1640">
        <f>F3670</f>
        <v>5</v>
      </c>
      <c r="G3691" s="1627" t="s">
        <v>226</v>
      </c>
      <c r="H3691" s="1627" t="str">
        <f>H3670</f>
        <v>CUTTING CHARGES ( P-32/141)</v>
      </c>
      <c r="I3691" s="1640">
        <f>I3670</f>
        <v>44.9</v>
      </c>
      <c r="J3691" s="1627" t="s">
        <v>4</v>
      </c>
      <c r="K3691" s="1640">
        <f>(F3691*I3691)</f>
        <v>224.5</v>
      </c>
      <c r="S3691" s="1743">
        <v>1</v>
      </c>
      <c r="T3691" s="1866" t="s">
        <v>295</v>
      </c>
      <c r="U3691" s="1661" t="s">
        <v>3049</v>
      </c>
      <c r="V3691" s="1640">
        <f t="shared" si="358"/>
        <v>1008</v>
      </c>
      <c r="W3691" s="1736" t="s">
        <v>340</v>
      </c>
      <c r="X3691" s="1640">
        <f t="shared" si="359"/>
        <v>1008</v>
      </c>
      <c r="Y3691" s="1640"/>
    </row>
    <row r="3692" spans="6:26" ht="24" customHeight="1">
      <c r="F3692" s="1640">
        <f>F3671</f>
        <v>1</v>
      </c>
      <c r="G3692" s="1629"/>
      <c r="H3692" s="1627" t="str">
        <f>H3671</f>
        <v>COST OF JOINTING  MATERIALS</v>
      </c>
      <c r="I3692" s="1640">
        <f>I3671</f>
        <v>12.1</v>
      </c>
      <c r="J3692" s="1627" t="s">
        <v>226</v>
      </c>
      <c r="K3692" s="1640">
        <f>(F3692*I3692)</f>
        <v>12.1</v>
      </c>
      <c r="S3692" s="1737">
        <v>6</v>
      </c>
      <c r="T3692" s="1741" t="s">
        <v>295</v>
      </c>
      <c r="U3692" s="1737" t="s">
        <v>3061</v>
      </c>
      <c r="V3692" s="1640">
        <f t="shared" si="358"/>
        <v>2.21</v>
      </c>
      <c r="W3692" s="1738" t="s">
        <v>68</v>
      </c>
      <c r="X3692" s="1640">
        <f t="shared" si="359"/>
        <v>13.26</v>
      </c>
      <c r="Y3692" s="1640"/>
    </row>
    <row r="3693" spans="6:26" ht="24" customHeight="1">
      <c r="G3693" s="1629"/>
      <c r="H3693" s="1627" t="str">
        <f>H3672</f>
        <v>SUNDRIES</v>
      </c>
      <c r="J3693" s="1627" t="s">
        <v>226</v>
      </c>
      <c r="K3693" s="1640">
        <v>24.3</v>
      </c>
      <c r="S3693" s="1737">
        <v>2</v>
      </c>
      <c r="T3693" s="1741" t="s">
        <v>295</v>
      </c>
      <c r="U3693" s="1737" t="s">
        <v>3062</v>
      </c>
      <c r="V3693" s="1640">
        <f t="shared" si="358"/>
        <v>130.5</v>
      </c>
      <c r="W3693" s="1736" t="s">
        <v>340</v>
      </c>
      <c r="X3693" s="1640">
        <f t="shared" si="359"/>
        <v>261</v>
      </c>
      <c r="Y3693" s="1640"/>
    </row>
    <row r="3694" spans="6:26" ht="24" customHeight="1">
      <c r="G3694" s="1629"/>
      <c r="J3694" s="1629"/>
      <c r="K3694" s="1640"/>
      <c r="S3694" s="1737">
        <v>2</v>
      </c>
      <c r="T3694" s="1741" t="s">
        <v>295</v>
      </c>
      <c r="U3694" s="1737" t="s">
        <v>3053</v>
      </c>
      <c r="V3694" s="1640">
        <f t="shared" si="358"/>
        <v>64.8</v>
      </c>
      <c r="W3694" s="1736" t="s">
        <v>340</v>
      </c>
      <c r="X3694" s="1640">
        <f t="shared" si="359"/>
        <v>129.6</v>
      </c>
      <c r="Y3694" s="1640"/>
    </row>
    <row r="3695" spans="6:26" ht="24" customHeight="1">
      <c r="G3695" s="1629"/>
      <c r="H3695" s="1627" t="s">
        <v>1076</v>
      </c>
      <c r="J3695" s="1629"/>
      <c r="K3695" s="1640">
        <f>SUM(K3681:K3694)</f>
        <v>25775.308999999997</v>
      </c>
      <c r="S3695" s="1737"/>
      <c r="T3695" s="1737"/>
      <c r="U3695" s="1627" t="s">
        <v>3063</v>
      </c>
      <c r="W3695" s="1628"/>
      <c r="X3695" s="1640">
        <f>SUM(X3683:X3694)</f>
        <v>17975.040999999997</v>
      </c>
      <c r="Y3695" s="1640"/>
      <c r="Z3695" s="1737"/>
    </row>
    <row r="3696" spans="6:26" ht="24" customHeight="1">
      <c r="G3696" s="1629"/>
      <c r="J3696" s="1629"/>
      <c r="K3696" s="1636" t="s">
        <v>21</v>
      </c>
      <c r="S3696" s="1868"/>
      <c r="T3696" s="1868"/>
      <c r="U3696" s="1627" t="s">
        <v>155</v>
      </c>
      <c r="W3696" s="1736"/>
      <c r="X3696" s="1639">
        <f>X3695/2.1</f>
        <v>8559.5433333333312</v>
      </c>
      <c r="Y3696" s="1639"/>
      <c r="Z3696" s="1743"/>
    </row>
    <row r="3697" spans="6:28" ht="24" customHeight="1">
      <c r="G3697" s="1629"/>
      <c r="H3697" s="1627" t="s">
        <v>562</v>
      </c>
      <c r="J3697" s="1629"/>
      <c r="K3697" s="1639">
        <f>(K3695/30)</f>
        <v>859.17696666666654</v>
      </c>
      <c r="S3697" s="1868"/>
      <c r="T3697" s="1868"/>
      <c r="U3697" s="1868"/>
      <c r="V3697" s="1868"/>
      <c r="W3697" s="1869"/>
      <c r="X3697" s="1868"/>
      <c r="Y3697" s="1868"/>
    </row>
    <row r="3698" spans="6:28" ht="24" customHeight="1">
      <c r="G3698" s="1629"/>
      <c r="J3698" s="1629"/>
      <c r="S3698" s="1629"/>
      <c r="U3698" s="1661" t="s">
        <v>3064</v>
      </c>
      <c r="W3698" s="1634"/>
    </row>
    <row r="3699" spans="6:28" ht="24" customHeight="1">
      <c r="S3699" s="1866"/>
      <c r="T3699" s="1866"/>
      <c r="U3699" s="1871" t="s">
        <v>5741</v>
      </c>
      <c r="V3699" s="1871"/>
      <c r="W3699" s="1872"/>
      <c r="X3699" s="1871"/>
      <c r="Y3699" s="1871"/>
      <c r="Z3699" s="1871"/>
      <c r="AA3699" s="1871"/>
      <c r="AB3699" s="1871"/>
    </row>
    <row r="3700" spans="6:28" ht="240.75" customHeight="1">
      <c r="S3700" s="1866"/>
      <c r="T3700" s="1866"/>
      <c r="U3700" s="1871"/>
      <c r="V3700" s="1871"/>
      <c r="W3700" s="1872"/>
      <c r="X3700" s="1871"/>
      <c r="Y3700" s="1871"/>
      <c r="Z3700" s="1871"/>
      <c r="AA3700" s="1871"/>
      <c r="AB3700" s="1871"/>
    </row>
    <row r="3701" spans="6:28" ht="25.5" customHeight="1">
      <c r="F3701" s="1868"/>
      <c r="G3701" s="1868"/>
      <c r="H3701" s="1868"/>
      <c r="I3701" s="1868"/>
      <c r="J3701" s="1868"/>
      <c r="K3701" s="1868"/>
      <c r="L3701" s="1868"/>
      <c r="M3701" s="1868"/>
      <c r="N3701" s="1868"/>
      <c r="S3701" s="1692">
        <v>17.440000000000001</v>
      </c>
      <c r="T3701" s="1638" t="s">
        <v>534</v>
      </c>
      <c r="U3701" s="1680" t="s">
        <v>3066</v>
      </c>
      <c r="V3701" s="1640">
        <f>V3683</f>
        <v>325</v>
      </c>
      <c r="W3701" s="1628" t="s">
        <v>534</v>
      </c>
      <c r="X3701" s="1640">
        <f>V3701*S3701</f>
        <v>5668</v>
      </c>
      <c r="Y3701" s="1640"/>
      <c r="Z3701" s="1737"/>
    </row>
    <row r="3702" spans="6:28" ht="24" customHeight="1">
      <c r="F3702" s="1868"/>
      <c r="G3702" s="1868"/>
      <c r="H3702" s="1873" t="s">
        <v>3067</v>
      </c>
      <c r="I3702" s="1873"/>
      <c r="J3702" s="1873"/>
      <c r="K3702" s="1873"/>
      <c r="L3702" s="1868"/>
      <c r="M3702" s="1868"/>
      <c r="N3702" s="1868"/>
      <c r="S3702" s="1848">
        <v>13.56</v>
      </c>
      <c r="T3702" s="1638" t="s">
        <v>303</v>
      </c>
      <c r="U3702" s="1627" t="s">
        <v>5251</v>
      </c>
      <c r="V3702" s="1640">
        <v>38.25</v>
      </c>
      <c r="W3702" s="1628" t="s">
        <v>303</v>
      </c>
      <c r="X3702" s="1640">
        <v>501.66</v>
      </c>
      <c r="Y3702" s="1640"/>
      <c r="Z3702" s="1737"/>
    </row>
    <row r="3703" spans="6:28" ht="24" customHeight="1">
      <c r="F3703" s="1868">
        <v>11</v>
      </c>
      <c r="G3703" s="1741" t="s">
        <v>306</v>
      </c>
      <c r="H3703" s="1868" t="s">
        <v>5252</v>
      </c>
      <c r="I3703" s="1737">
        <v>434</v>
      </c>
      <c r="J3703" s="1741" t="s">
        <v>306</v>
      </c>
      <c r="K3703" s="1811">
        <f>I3703*F3703</f>
        <v>4774</v>
      </c>
      <c r="L3703" s="1868"/>
      <c r="M3703" s="1868"/>
      <c r="N3703" s="1868"/>
      <c r="S3703" s="1692">
        <v>2.62</v>
      </c>
      <c r="T3703" s="1638" t="s">
        <v>533</v>
      </c>
      <c r="U3703" s="1627" t="s">
        <v>5253</v>
      </c>
      <c r="V3703" s="1640">
        <v>306.89999999999998</v>
      </c>
      <c r="W3703" s="1628" t="s">
        <v>533</v>
      </c>
      <c r="X3703" s="1640">
        <f>V3703*S3703</f>
        <v>804.07799999999997</v>
      </c>
      <c r="Y3703" s="1640"/>
      <c r="Z3703" s="1737"/>
    </row>
    <row r="3704" spans="6:28" ht="24" customHeight="1">
      <c r="F3704" s="1868">
        <v>2.2000000000000002</v>
      </c>
      <c r="G3704" s="1868" t="s">
        <v>340</v>
      </c>
      <c r="H3704" s="1868" t="s">
        <v>3070</v>
      </c>
      <c r="I3704" s="1737">
        <f>AG17</f>
        <v>1170.3999999999999</v>
      </c>
      <c r="J3704" s="1868" t="s">
        <v>340</v>
      </c>
      <c r="K3704" s="1811">
        <f>I3704*F3704</f>
        <v>2574.88</v>
      </c>
      <c r="L3704" s="1868"/>
      <c r="M3704" s="1868"/>
      <c r="N3704" s="1868"/>
      <c r="S3704" s="1692">
        <v>8</v>
      </c>
      <c r="T3704" s="1638" t="s">
        <v>154</v>
      </c>
      <c r="U3704" s="1627" t="s">
        <v>5254</v>
      </c>
      <c r="V3704" s="1640">
        <v>14.6</v>
      </c>
      <c r="W3704" s="1628" t="s">
        <v>154</v>
      </c>
      <c r="X3704" s="1640">
        <f>V3704*S3704</f>
        <v>116.8</v>
      </c>
      <c r="Y3704" s="1640"/>
      <c r="Z3704" s="1737"/>
    </row>
    <row r="3705" spans="6:28" ht="24" customHeight="1">
      <c r="F3705" s="1868">
        <v>1.1000000000000001</v>
      </c>
      <c r="G3705" s="1868" t="s">
        <v>340</v>
      </c>
      <c r="H3705" s="1868" t="s">
        <v>3072</v>
      </c>
      <c r="I3705" s="1737">
        <f>AG19</f>
        <v>1296.3999999999999</v>
      </c>
      <c r="J3705" s="1868" t="s">
        <v>340</v>
      </c>
      <c r="K3705" s="1811">
        <f>I3705*F3705</f>
        <v>1426.04</v>
      </c>
      <c r="L3705" s="1868"/>
      <c r="M3705" s="1868"/>
      <c r="N3705" s="1868"/>
      <c r="S3705" s="1692">
        <v>3</v>
      </c>
      <c r="T3705" s="1638" t="s">
        <v>154</v>
      </c>
      <c r="U3705" s="1627" t="s">
        <v>5255</v>
      </c>
      <c r="V3705" s="1640">
        <v>71.099999999999994</v>
      </c>
      <c r="W3705" s="1628" t="s">
        <v>10</v>
      </c>
      <c r="X3705" s="1640">
        <f>V3705*S3705</f>
        <v>213.29999999999998</v>
      </c>
      <c r="Y3705" s="1640"/>
      <c r="Z3705" s="1737"/>
    </row>
    <row r="3706" spans="6:28" ht="24" customHeight="1">
      <c r="F3706" s="1868">
        <v>3.2</v>
      </c>
      <c r="G3706" s="1868" t="s">
        <v>340</v>
      </c>
      <c r="H3706" s="1627" t="s">
        <v>3074</v>
      </c>
      <c r="I3706" s="1737">
        <f>AG11</f>
        <v>865.19999999999993</v>
      </c>
      <c r="J3706" s="1868" t="s">
        <v>340</v>
      </c>
      <c r="K3706" s="1811">
        <f>I3706*F3706</f>
        <v>2768.64</v>
      </c>
      <c r="L3706" s="1868"/>
      <c r="M3706" s="1868"/>
      <c r="N3706" s="1868"/>
      <c r="S3706" s="1692">
        <v>4</v>
      </c>
      <c r="T3706" s="1638" t="s">
        <v>154</v>
      </c>
      <c r="U3706" s="1627" t="s">
        <v>5256</v>
      </c>
      <c r="V3706" s="1640">
        <v>35.299999999999997</v>
      </c>
      <c r="W3706" s="1628" t="s">
        <v>4</v>
      </c>
      <c r="X3706" s="1640">
        <f>V3706*S3706</f>
        <v>141.19999999999999</v>
      </c>
      <c r="Y3706" s="1640"/>
      <c r="Z3706" s="1737"/>
    </row>
    <row r="3707" spans="6:28" ht="24" customHeight="1">
      <c r="F3707" s="1868"/>
      <c r="G3707" s="1868" t="s">
        <v>3076</v>
      </c>
      <c r="H3707" s="1868" t="s">
        <v>3077</v>
      </c>
      <c r="I3707" s="1868" t="s">
        <v>3076</v>
      </c>
      <c r="J3707" s="1868"/>
      <c r="K3707" s="1868">
        <v>107.11</v>
      </c>
      <c r="L3707" s="1868"/>
      <c r="M3707" s="1868"/>
      <c r="N3707" s="1868"/>
      <c r="S3707" s="1692">
        <v>2.4300000000000002</v>
      </c>
      <c r="T3707" s="1638" t="s">
        <v>306</v>
      </c>
      <c r="U3707" s="1627" t="s">
        <v>2041</v>
      </c>
      <c r="V3707" s="1737">
        <f>X3675</f>
        <v>2654.3999999999996</v>
      </c>
      <c r="W3707" s="1628" t="s">
        <v>306</v>
      </c>
      <c r="X3707" s="1640">
        <f>V3707*S3707</f>
        <v>6450.1919999999991</v>
      </c>
      <c r="Y3707" s="1640"/>
      <c r="Z3707" s="1737"/>
    </row>
    <row r="3708" spans="6:28" ht="24" customHeight="1">
      <c r="F3708" s="1868"/>
      <c r="G3708" s="1868"/>
      <c r="H3708" s="1868" t="s">
        <v>3078</v>
      </c>
      <c r="I3708" s="1868"/>
      <c r="J3708" s="1868"/>
      <c r="K3708" s="1811">
        <f>SUM(K3703:K3707)</f>
        <v>11650.67</v>
      </c>
      <c r="L3708" s="1868"/>
      <c r="M3708" s="1868"/>
      <c r="N3708" s="1868"/>
      <c r="S3708" s="1661"/>
      <c r="T3708" s="1688" t="s">
        <v>287</v>
      </c>
      <c r="U3708" s="1661" t="s">
        <v>3079</v>
      </c>
      <c r="V3708" s="1661"/>
      <c r="W3708" s="1677" t="s">
        <v>287</v>
      </c>
      <c r="X3708" s="1661">
        <v>130</v>
      </c>
      <c r="Y3708" s="1661"/>
      <c r="Z3708" s="1737"/>
    </row>
    <row r="3709" spans="6:28" ht="24" customHeight="1">
      <c r="F3709" s="1868"/>
      <c r="G3709" s="1868"/>
      <c r="H3709" s="1868" t="s">
        <v>3080</v>
      </c>
      <c r="I3709" s="1868"/>
      <c r="J3709" s="1868"/>
      <c r="K3709" s="1812">
        <f>K3708/10</f>
        <v>1165.067</v>
      </c>
      <c r="L3709" s="1868"/>
      <c r="M3709" s="1868"/>
      <c r="N3709" s="1868">
        <f>L3709</f>
        <v>0</v>
      </c>
      <c r="S3709" s="1661"/>
      <c r="T3709" s="1688"/>
      <c r="U3709" s="1661"/>
      <c r="V3709" s="1661"/>
      <c r="W3709" s="1677"/>
      <c r="X3709" s="1661">
        <f>SUM(X3701:X3708)</f>
        <v>14025.23</v>
      </c>
      <c r="Y3709" s="1661"/>
      <c r="Z3709" s="1737"/>
    </row>
    <row r="3710" spans="6:28" ht="24" customHeight="1">
      <c r="F3710" s="1868"/>
      <c r="G3710" s="1868"/>
      <c r="H3710" s="1868"/>
      <c r="I3710" s="1868"/>
      <c r="J3710" s="1868"/>
      <c r="K3710" s="1868"/>
      <c r="L3710" s="1868"/>
      <c r="M3710" s="1868"/>
      <c r="N3710" s="1868"/>
      <c r="W3710" s="1634"/>
      <c r="X3710" s="1661">
        <f>X3709/S3707</f>
        <v>5771.699588477366</v>
      </c>
      <c r="Y3710" s="1661"/>
      <c r="Z3710" s="1737" t="s">
        <v>306</v>
      </c>
    </row>
    <row r="3711" spans="6:28" ht="69" customHeight="1">
      <c r="F3711" s="2011" t="s">
        <v>3081</v>
      </c>
      <c r="G3711" s="2011"/>
      <c r="H3711" s="2011"/>
      <c r="I3711" s="2011"/>
      <c r="J3711" s="2011"/>
      <c r="K3711" s="2011"/>
      <c r="L3711" s="1874"/>
      <c r="M3711" s="1874"/>
      <c r="N3711" s="1868"/>
      <c r="O3711" s="2012" t="s">
        <v>4210</v>
      </c>
      <c r="P3711" s="2012"/>
      <c r="W3711" s="1634" t="s">
        <v>9</v>
      </c>
      <c r="X3711" s="1629">
        <v>3584</v>
      </c>
      <c r="Z3711" s="1737"/>
    </row>
    <row r="3712" spans="6:28" ht="52.5" customHeight="1">
      <c r="F3712" s="1875"/>
      <c r="G3712" s="1875"/>
      <c r="H3712" s="1876" t="s">
        <v>3082</v>
      </c>
      <c r="I3712" s="1876"/>
      <c r="J3712" s="1876"/>
      <c r="K3712" s="1876"/>
      <c r="L3712" s="1875"/>
      <c r="M3712" s="1877">
        <v>12.72</v>
      </c>
      <c r="N3712" s="1875" t="s">
        <v>13</v>
      </c>
      <c r="O3712" s="1629" t="s">
        <v>5257</v>
      </c>
      <c r="P3712" s="1629">
        <f>V3715</f>
        <v>325</v>
      </c>
      <c r="Q3712" s="1875" t="s">
        <v>13</v>
      </c>
      <c r="R3712" s="1878">
        <f>P3712*M3712</f>
        <v>4134</v>
      </c>
      <c r="S3712" s="1629"/>
      <c r="U3712" s="1661" t="s">
        <v>3083</v>
      </c>
      <c r="W3712" s="1634"/>
      <c r="Z3712" s="1737"/>
    </row>
    <row r="3713" spans="6:26" ht="36.75" customHeight="1">
      <c r="F3713" s="1879">
        <v>36</v>
      </c>
      <c r="G3713" s="1875" t="s">
        <v>303</v>
      </c>
      <c r="H3713" s="1752" t="s">
        <v>5742</v>
      </c>
      <c r="I3713" s="1879">
        <v>34.6</v>
      </c>
      <c r="J3713" s="1877" t="str">
        <f>G3713</f>
        <v>Rmt</v>
      </c>
      <c r="K3713" s="1879">
        <f>I3713*F3713</f>
        <v>1245.6000000000001</v>
      </c>
      <c r="L3713" s="1875"/>
      <c r="M3713" s="1880">
        <v>9.4</v>
      </c>
      <c r="N3713" s="1881" t="s">
        <v>306</v>
      </c>
      <c r="O3713" s="1882" t="s">
        <v>5258</v>
      </c>
      <c r="P3713" s="1880">
        <v>807</v>
      </c>
      <c r="Q3713" s="1881" t="s">
        <v>306</v>
      </c>
      <c r="R3713" s="1878">
        <f t="shared" ref="R3713:R3718" si="360">P3713*M3713</f>
        <v>7585.8</v>
      </c>
      <c r="S3713" s="1866"/>
      <c r="T3713" s="1866"/>
      <c r="U3713" s="1871" t="s">
        <v>5743</v>
      </c>
      <c r="V3713" s="1871"/>
      <c r="W3713" s="1872"/>
      <c r="X3713" s="1871"/>
      <c r="Y3713" s="1871"/>
      <c r="Z3713" s="1737"/>
    </row>
    <row r="3714" spans="6:26" ht="81" customHeight="1">
      <c r="F3714" s="1879">
        <v>9</v>
      </c>
      <c r="G3714" s="1877" t="s">
        <v>306</v>
      </c>
      <c r="H3714" s="1883" t="s">
        <v>3086</v>
      </c>
      <c r="I3714" s="1879">
        <v>350</v>
      </c>
      <c r="J3714" s="1877" t="str">
        <f>G3714</f>
        <v>Sqm</v>
      </c>
      <c r="K3714" s="1879">
        <f>I3714*F3714</f>
        <v>3150</v>
      </c>
      <c r="L3714" s="1875"/>
      <c r="M3714" s="1879">
        <v>9.4</v>
      </c>
      <c r="N3714" s="1877" t="s">
        <v>306</v>
      </c>
      <c r="O3714" s="1883" t="s">
        <v>5259</v>
      </c>
      <c r="P3714" s="1879">
        <v>412</v>
      </c>
      <c r="Q3714" s="1877" t="s">
        <v>306</v>
      </c>
      <c r="R3714" s="1878">
        <f t="shared" si="360"/>
        <v>3872.8</v>
      </c>
      <c r="S3714" s="1866"/>
      <c r="T3714" s="1866"/>
      <c r="U3714" s="1871"/>
      <c r="V3714" s="1871"/>
      <c r="W3714" s="1872"/>
      <c r="X3714" s="1871"/>
      <c r="Y3714" s="1871"/>
      <c r="Z3714" s="1737"/>
    </row>
    <row r="3715" spans="6:26" ht="36.75" customHeight="1">
      <c r="F3715" s="1879">
        <v>9</v>
      </c>
      <c r="G3715" s="1877" t="s">
        <v>306</v>
      </c>
      <c r="H3715" s="1883" t="s">
        <v>3087</v>
      </c>
      <c r="I3715" s="1879">
        <v>860.8</v>
      </c>
      <c r="J3715" s="1877" t="str">
        <f>G3715</f>
        <v>Sqm</v>
      </c>
      <c r="K3715" s="1879">
        <f>I3715*F3715</f>
        <v>7747.2</v>
      </c>
      <c r="L3715" s="1875"/>
      <c r="M3715" s="1879">
        <v>40</v>
      </c>
      <c r="N3715" s="1877" t="s">
        <v>305</v>
      </c>
      <c r="O3715" s="1883" t="s">
        <v>5260</v>
      </c>
      <c r="P3715" s="1879">
        <v>10</v>
      </c>
      <c r="Q3715" s="1877" t="s">
        <v>305</v>
      </c>
      <c r="R3715" s="1878">
        <f t="shared" si="360"/>
        <v>400</v>
      </c>
      <c r="S3715" s="1692">
        <v>14.43</v>
      </c>
      <c r="T3715" s="1638" t="s">
        <v>534</v>
      </c>
      <c r="U3715" s="1680" t="s">
        <v>3039</v>
      </c>
      <c r="V3715" s="1640">
        <f>V3701</f>
        <v>325</v>
      </c>
      <c r="W3715" s="1628" t="s">
        <v>534</v>
      </c>
      <c r="X3715" s="1640">
        <f>V3715*S3715</f>
        <v>4689.75</v>
      </c>
      <c r="Y3715" s="1640"/>
      <c r="Z3715" s="1737"/>
    </row>
    <row r="3716" spans="6:26" ht="36.75" customHeight="1">
      <c r="F3716" s="1879">
        <v>9</v>
      </c>
      <c r="G3716" s="1877" t="s">
        <v>306</v>
      </c>
      <c r="H3716" s="1752" t="s">
        <v>5261</v>
      </c>
      <c r="I3716" s="1879">
        <v>648</v>
      </c>
      <c r="J3716" s="1877" t="str">
        <f>G3716</f>
        <v>Sqm</v>
      </c>
      <c r="K3716" s="1879">
        <f>I3716*F3716</f>
        <v>5832</v>
      </c>
      <c r="L3716" s="1875"/>
      <c r="M3716" s="1879">
        <v>2.25</v>
      </c>
      <c r="N3716" s="1877" t="s">
        <v>13</v>
      </c>
      <c r="O3716" s="1752" t="s">
        <v>5262</v>
      </c>
      <c r="P3716" s="1879">
        <v>199.75</v>
      </c>
      <c r="Q3716" s="1877" t="s">
        <v>13</v>
      </c>
      <c r="R3716" s="1878">
        <f t="shared" si="360"/>
        <v>449.4375</v>
      </c>
      <c r="S3716" s="1848">
        <v>10.433999999999999</v>
      </c>
      <c r="T3716" s="1638" t="s">
        <v>303</v>
      </c>
      <c r="U3716" s="1627" t="s">
        <v>3060</v>
      </c>
      <c r="V3716" s="1640">
        <f t="shared" ref="V3716:V3721" si="361">V3702</f>
        <v>38.25</v>
      </c>
      <c r="W3716" s="1628" t="s">
        <v>303</v>
      </c>
      <c r="X3716" s="1640">
        <v>501.66</v>
      </c>
      <c r="Y3716" s="1640"/>
      <c r="Z3716" s="1737"/>
    </row>
    <row r="3717" spans="6:26" ht="36.75" customHeight="1">
      <c r="F3717" s="1879">
        <v>9</v>
      </c>
      <c r="G3717" s="1877" t="s">
        <v>306</v>
      </c>
      <c r="H3717" s="1875" t="s">
        <v>3089</v>
      </c>
      <c r="I3717" s="1879">
        <f>K3725</f>
        <v>2390.5</v>
      </c>
      <c r="J3717" s="1877" t="str">
        <f>G3717</f>
        <v>Sqm</v>
      </c>
      <c r="K3717" s="1879">
        <f>I3717*F3717</f>
        <v>21514.5</v>
      </c>
      <c r="L3717" s="1875"/>
      <c r="M3717" s="1884">
        <v>9.4</v>
      </c>
      <c r="N3717" s="1877" t="s">
        <v>306</v>
      </c>
      <c r="O3717" s="1875" t="s">
        <v>3089</v>
      </c>
      <c r="P3717" s="1879">
        <f>R3725</f>
        <v>3658.8999999999996</v>
      </c>
      <c r="Q3717" s="1877" t="s">
        <v>306</v>
      </c>
      <c r="R3717" s="1878">
        <f t="shared" si="360"/>
        <v>34393.659999999996</v>
      </c>
      <c r="S3717" s="1692">
        <v>2.16</v>
      </c>
      <c r="T3717" s="1638" t="s">
        <v>533</v>
      </c>
      <c r="U3717" s="1627" t="s">
        <v>3069</v>
      </c>
      <c r="V3717" s="1640">
        <f t="shared" si="361"/>
        <v>306.89999999999998</v>
      </c>
      <c r="W3717" s="1628" t="s">
        <v>533</v>
      </c>
      <c r="X3717" s="1640">
        <f>V3717*S3717</f>
        <v>662.904</v>
      </c>
      <c r="Y3717" s="1640"/>
      <c r="Z3717" s="1737"/>
    </row>
    <row r="3718" spans="6:26" ht="36.75" customHeight="1">
      <c r="F3718" s="1875"/>
      <c r="G3718" s="1875"/>
      <c r="H3718" s="1875"/>
      <c r="I3718" s="1875"/>
      <c r="J3718" s="1875"/>
      <c r="K3718" s="1879">
        <f>SUM(K3713:K3717)</f>
        <v>39489.300000000003</v>
      </c>
      <c r="L3718" s="1875"/>
      <c r="M3718" s="1884">
        <v>0.25</v>
      </c>
      <c r="N3718" s="1885" t="s">
        <v>13</v>
      </c>
      <c r="O3718" s="1875" t="s">
        <v>5263</v>
      </c>
      <c r="P3718" s="1884">
        <v>64</v>
      </c>
      <c r="Q3718" s="1885" t="s">
        <v>13</v>
      </c>
      <c r="R3718" s="1878">
        <f t="shared" si="360"/>
        <v>16</v>
      </c>
      <c r="S3718" s="1692">
        <v>6</v>
      </c>
      <c r="T3718" s="1638" t="s">
        <v>154</v>
      </c>
      <c r="U3718" s="1627" t="s">
        <v>3090</v>
      </c>
      <c r="V3718" s="1640">
        <f t="shared" si="361"/>
        <v>14.6</v>
      </c>
      <c r="W3718" s="1628" t="s">
        <v>154</v>
      </c>
      <c r="X3718" s="1640">
        <f>V3718*S3718</f>
        <v>87.6</v>
      </c>
      <c r="Y3718" s="1640"/>
      <c r="Z3718" s="1743"/>
    </row>
    <row r="3719" spans="6:26" ht="36.75" customHeight="1">
      <c r="F3719" s="1875"/>
      <c r="G3719" s="1875"/>
      <c r="H3719" s="1875" t="s">
        <v>3091</v>
      </c>
      <c r="I3719" s="1875"/>
      <c r="J3719" s="1877"/>
      <c r="K3719" s="1879">
        <f>K3718/9</f>
        <v>4387.7000000000007</v>
      </c>
      <c r="L3719" s="1875"/>
      <c r="M3719" s="1875"/>
      <c r="N3719" s="1875"/>
      <c r="O3719" s="1875" t="s">
        <v>5264</v>
      </c>
      <c r="P3719" s="1875"/>
      <c r="Q3719" s="1877"/>
      <c r="R3719" s="1879">
        <f>SUM(R3712:R3718)</f>
        <v>50851.697499999995</v>
      </c>
      <c r="S3719" s="1692">
        <v>2</v>
      </c>
      <c r="T3719" s="1638" t="s">
        <v>154</v>
      </c>
      <c r="U3719" s="1627" t="s">
        <v>3092</v>
      </c>
      <c r="V3719" s="1640">
        <f t="shared" si="361"/>
        <v>71.099999999999994</v>
      </c>
      <c r="W3719" s="1628" t="s">
        <v>10</v>
      </c>
      <c r="X3719" s="1640">
        <f>V3719*S3719</f>
        <v>142.19999999999999</v>
      </c>
      <c r="Y3719" s="1640"/>
      <c r="Z3719" s="1737"/>
    </row>
    <row r="3720" spans="6:26" ht="36.75" customHeight="1">
      <c r="F3720" s="1875"/>
      <c r="G3720" s="1875"/>
      <c r="H3720" s="1886" t="s">
        <v>3093</v>
      </c>
      <c r="I3720" s="1876" t="s">
        <v>3094</v>
      </c>
      <c r="J3720" s="1875"/>
      <c r="K3720" s="1887">
        <v>3282</v>
      </c>
      <c r="L3720" s="1875"/>
      <c r="M3720" s="1875"/>
      <c r="N3720" s="1875"/>
      <c r="O3720" s="1886" t="s">
        <v>3093</v>
      </c>
      <c r="P3720" s="1876" t="s">
        <v>3094</v>
      </c>
      <c r="Q3720" s="1875"/>
      <c r="R3720" s="1887">
        <f>R3719/M3717</f>
        <v>5409.7550531914885</v>
      </c>
      <c r="S3720" s="1692">
        <v>3</v>
      </c>
      <c r="T3720" s="1638" t="s">
        <v>154</v>
      </c>
      <c r="U3720" s="1627" t="s">
        <v>3095</v>
      </c>
      <c r="V3720" s="1640">
        <f t="shared" si="361"/>
        <v>35.299999999999997</v>
      </c>
      <c r="W3720" s="1628" t="s">
        <v>4</v>
      </c>
      <c r="X3720" s="1640">
        <f>V3720*S3720</f>
        <v>105.89999999999999</v>
      </c>
      <c r="Y3720" s="1640"/>
      <c r="Z3720" s="1737"/>
    </row>
    <row r="3721" spans="6:26" ht="24" customHeight="1">
      <c r="F3721" s="1875"/>
      <c r="G3721" s="1875"/>
      <c r="H3721" s="1875" t="s">
        <v>3096</v>
      </c>
      <c r="I3721" s="1875"/>
      <c r="J3721" s="1875"/>
      <c r="K3721" s="1875"/>
      <c r="L3721" s="1875"/>
      <c r="M3721" s="1875"/>
      <c r="N3721" s="1875"/>
      <c r="O3721" s="1875" t="s">
        <v>3096</v>
      </c>
      <c r="P3721" s="1875"/>
      <c r="Q3721" s="1875"/>
      <c r="R3721" s="1875"/>
      <c r="S3721" s="1692">
        <v>1.823</v>
      </c>
      <c r="T3721" s="1638" t="s">
        <v>306</v>
      </c>
      <c r="U3721" s="1627" t="s">
        <v>2041</v>
      </c>
      <c r="V3721" s="1640">
        <f t="shared" si="361"/>
        <v>2654.3999999999996</v>
      </c>
      <c r="W3721" s="1628" t="s">
        <v>306</v>
      </c>
      <c r="X3721" s="1640">
        <f>V3721*S3721</f>
        <v>4838.971199999999</v>
      </c>
      <c r="Y3721" s="1640"/>
      <c r="Z3721" s="1737"/>
    </row>
    <row r="3722" spans="6:26" ht="24" customHeight="1">
      <c r="F3722" s="1879">
        <v>1</v>
      </c>
      <c r="G3722" s="1877" t="s">
        <v>305</v>
      </c>
      <c r="H3722" s="1879" t="s">
        <v>3097</v>
      </c>
      <c r="I3722" s="1879">
        <f>AG17</f>
        <v>1170.3999999999999</v>
      </c>
      <c r="J3722" s="1877" t="s">
        <v>305</v>
      </c>
      <c r="K3722" s="1875">
        <f>I3722*F3722</f>
        <v>1170.3999999999999</v>
      </c>
      <c r="L3722" s="1875"/>
      <c r="M3722" s="1879">
        <v>1</v>
      </c>
      <c r="N3722" s="1877" t="s">
        <v>305</v>
      </c>
      <c r="O3722" s="1879" t="s">
        <v>3117</v>
      </c>
      <c r="P3722" s="1879">
        <f>AG19</f>
        <v>1296.3999999999999</v>
      </c>
      <c r="Q3722" s="1877" t="s">
        <v>305</v>
      </c>
      <c r="R3722" s="1878">
        <f>P3722*M3722</f>
        <v>1296.3999999999999</v>
      </c>
      <c r="S3722" s="1661"/>
      <c r="T3722" s="1688" t="s">
        <v>287</v>
      </c>
      <c r="U3722" s="1661" t="s">
        <v>3079</v>
      </c>
      <c r="V3722" s="1661"/>
      <c r="W3722" s="1677" t="s">
        <v>287</v>
      </c>
      <c r="X3722" s="1661">
        <v>110</v>
      </c>
      <c r="Y3722" s="1661"/>
      <c r="Z3722" s="1737"/>
    </row>
    <row r="3723" spans="6:26" ht="24" customHeight="1">
      <c r="F3723" s="1879">
        <v>1</v>
      </c>
      <c r="G3723" s="1877" t="s">
        <v>305</v>
      </c>
      <c r="H3723" s="1752" t="s">
        <v>235</v>
      </c>
      <c r="I3723" s="1879">
        <f>AG11</f>
        <v>865.19999999999993</v>
      </c>
      <c r="J3723" s="1877" t="s">
        <v>305</v>
      </c>
      <c r="K3723" s="1875">
        <f>I3723*F3723</f>
        <v>865.19999999999993</v>
      </c>
      <c r="L3723" s="1875"/>
      <c r="M3723" s="1879">
        <v>1.5</v>
      </c>
      <c r="N3723" s="1877" t="s">
        <v>305</v>
      </c>
      <c r="O3723" s="1752" t="s">
        <v>235</v>
      </c>
      <c r="P3723" s="1879">
        <f>I3723</f>
        <v>865.19999999999993</v>
      </c>
      <c r="Q3723" s="1877" t="s">
        <v>305</v>
      </c>
      <c r="R3723" s="1878">
        <f>P3723*M3723</f>
        <v>1297.8</v>
      </c>
      <c r="S3723" s="1661"/>
      <c r="T3723" s="1688"/>
      <c r="U3723" s="1661"/>
      <c r="V3723" s="1661"/>
      <c r="W3723" s="1677"/>
      <c r="X3723" s="1661">
        <f>SUM(X3715:X3722)</f>
        <v>11138.985199999999</v>
      </c>
      <c r="Y3723" s="1661"/>
      <c r="Z3723" s="1737"/>
    </row>
    <row r="3724" spans="6:26" ht="24" customHeight="1">
      <c r="F3724" s="1879">
        <v>0.5</v>
      </c>
      <c r="G3724" s="1877" t="s">
        <v>305</v>
      </c>
      <c r="H3724" s="1752" t="s">
        <v>236</v>
      </c>
      <c r="I3724" s="1879">
        <f>AG12</f>
        <v>709.8</v>
      </c>
      <c r="J3724" s="1877" t="s">
        <v>305</v>
      </c>
      <c r="K3724" s="1875">
        <f>I3724*F3724</f>
        <v>354.9</v>
      </c>
      <c r="L3724" s="1875"/>
      <c r="M3724" s="1879">
        <v>1.5</v>
      </c>
      <c r="N3724" s="1877" t="s">
        <v>305</v>
      </c>
      <c r="O3724" s="1752" t="s">
        <v>236</v>
      </c>
      <c r="P3724" s="1879">
        <f>I3724</f>
        <v>709.8</v>
      </c>
      <c r="Q3724" s="1877" t="s">
        <v>305</v>
      </c>
      <c r="R3724" s="1878">
        <f>P3724*M3724</f>
        <v>1064.6999999999998</v>
      </c>
      <c r="W3724" s="1634"/>
      <c r="X3724" s="1661">
        <f>X3723/S3721</f>
        <v>6110.2496982995062</v>
      </c>
      <c r="Y3724" s="1661"/>
      <c r="Z3724" s="1737"/>
    </row>
    <row r="3725" spans="6:26" ht="24" customHeight="1">
      <c r="F3725" s="1875"/>
      <c r="G3725" s="1875"/>
      <c r="H3725" s="1875"/>
      <c r="I3725" s="1875"/>
      <c r="J3725" s="1875"/>
      <c r="K3725" s="1875">
        <f>SUM(K3722:K3724)</f>
        <v>2390.5</v>
      </c>
      <c r="L3725" s="1875"/>
      <c r="M3725" s="1875"/>
      <c r="N3725" s="1875"/>
      <c r="O3725" s="1875"/>
      <c r="P3725" s="1875"/>
      <c r="Q3725" s="1875"/>
      <c r="R3725" s="1878">
        <f>SUM(R3722:R3724)</f>
        <v>3658.8999999999996</v>
      </c>
      <c r="W3725" s="1634"/>
      <c r="X3725" s="1629">
        <v>3873</v>
      </c>
      <c r="Z3725" s="1737"/>
    </row>
    <row r="3726" spans="6:26" ht="24" customHeight="1">
      <c r="F3726" s="1875"/>
      <c r="G3726" s="1875"/>
      <c r="H3726" s="1875"/>
      <c r="I3726" s="1875"/>
      <c r="J3726" s="1875"/>
      <c r="K3726" s="1875"/>
      <c r="L3726" s="1875"/>
      <c r="M3726" s="1875"/>
      <c r="N3726" s="1875"/>
      <c r="O3726" s="1875"/>
      <c r="P3726" s="1875"/>
      <c r="Q3726" s="1875"/>
      <c r="R3726" s="1875"/>
      <c r="S3726" s="1737"/>
      <c r="T3726" s="1741"/>
      <c r="U3726" s="1737"/>
      <c r="V3726" s="1737"/>
      <c r="W3726" s="1738"/>
      <c r="X3726" s="1636"/>
      <c r="Y3726" s="1636"/>
      <c r="Z3726" s="1737"/>
    </row>
    <row r="3727" spans="6:26" ht="24" customHeight="1">
      <c r="F3727" s="1868"/>
      <c r="G3727" s="1868"/>
      <c r="H3727" s="1868"/>
      <c r="I3727" s="1868"/>
      <c r="J3727" s="1868"/>
      <c r="K3727" s="1868"/>
      <c r="L3727" s="1868"/>
      <c r="M3727" s="1868"/>
      <c r="N3727" s="1868"/>
      <c r="S3727" s="1629"/>
      <c r="W3727" s="1634"/>
    </row>
    <row r="3728" spans="6:26" ht="24" customHeight="1">
      <c r="F3728" s="1737"/>
      <c r="G3728" s="1737"/>
      <c r="H3728" s="1656"/>
      <c r="I3728" s="1737"/>
      <c r="J3728" s="1737"/>
      <c r="K3728" s="1868"/>
      <c r="L3728" s="1868"/>
      <c r="M3728" s="1868"/>
      <c r="N3728" s="1868"/>
      <c r="W3728" s="1634"/>
    </row>
    <row r="3729" spans="6:23" ht="24" customHeight="1">
      <c r="F3729" s="1868"/>
      <c r="G3729" s="1868"/>
      <c r="H3729" s="1873" t="s">
        <v>3098</v>
      </c>
      <c r="I3729" s="1873"/>
      <c r="J3729" s="1868"/>
      <c r="K3729" s="1868"/>
      <c r="L3729" s="1868"/>
      <c r="M3729" s="1868"/>
      <c r="N3729" s="1868"/>
      <c r="W3729" s="1634"/>
    </row>
    <row r="3730" spans="6:23" ht="24" customHeight="1">
      <c r="F3730" s="1868"/>
      <c r="G3730" s="1868"/>
      <c r="H3730" s="1868"/>
      <c r="I3730" s="1868"/>
      <c r="J3730" s="1868"/>
      <c r="K3730" s="1868"/>
      <c r="L3730" s="1868"/>
      <c r="M3730" s="1868"/>
      <c r="N3730" s="1868"/>
      <c r="W3730" s="1634"/>
    </row>
    <row r="3731" spans="6:23" ht="24" customHeight="1">
      <c r="F3731" s="1737"/>
      <c r="G3731" s="1741"/>
      <c r="H3731" s="1631" t="s">
        <v>5744</v>
      </c>
      <c r="I3731" s="1737"/>
      <c r="J3731" s="1737"/>
      <c r="K3731" s="1868"/>
      <c r="L3731" s="1868"/>
      <c r="M3731" s="1868"/>
      <c r="N3731" s="1868"/>
      <c r="W3731" s="1634"/>
    </row>
    <row r="3732" spans="6:23" ht="24" customHeight="1">
      <c r="F3732" s="1737"/>
      <c r="G3732" s="1741"/>
      <c r="H3732" s="1627"/>
      <c r="I3732" s="1737"/>
      <c r="J3732" s="1737"/>
      <c r="K3732" s="1868"/>
      <c r="L3732" s="1868"/>
      <c r="M3732" s="1868"/>
      <c r="N3732" s="1868"/>
      <c r="W3732" s="1634"/>
    </row>
    <row r="3733" spans="6:23" ht="24" customHeight="1">
      <c r="F3733" s="1868"/>
      <c r="G3733" s="1868"/>
      <c r="H3733" s="1631" t="s">
        <v>5265</v>
      </c>
      <c r="I3733" s="1737"/>
      <c r="J3733" s="1868"/>
      <c r="K3733" s="1868"/>
      <c r="L3733" s="1868"/>
      <c r="M3733" s="1868"/>
      <c r="N3733" s="1868"/>
      <c r="W3733" s="1634"/>
    </row>
    <row r="3734" spans="6:23" ht="24" customHeight="1">
      <c r="F3734" s="1737">
        <v>5</v>
      </c>
      <c r="G3734" s="1741" t="s">
        <v>13</v>
      </c>
      <c r="H3734" s="1737" t="s">
        <v>5266</v>
      </c>
      <c r="I3734" s="1737">
        <v>27.45</v>
      </c>
      <c r="J3734" s="1741" t="s">
        <v>13</v>
      </c>
      <c r="K3734" s="1741">
        <f>I3734*F3734</f>
        <v>137.25</v>
      </c>
      <c r="L3734" s="1868"/>
      <c r="M3734" s="1868"/>
      <c r="N3734" s="1868"/>
      <c r="W3734" s="1634"/>
    </row>
    <row r="3735" spans="6:23" ht="24" customHeight="1">
      <c r="F3735" s="1737">
        <v>1</v>
      </c>
      <c r="G3735" s="1741" t="s">
        <v>68</v>
      </c>
      <c r="H3735" s="1737" t="s">
        <v>3102</v>
      </c>
      <c r="I3735" s="1737">
        <f>AG13</f>
        <v>1058.3999999999999</v>
      </c>
      <c r="J3735" s="1741" t="s">
        <v>68</v>
      </c>
      <c r="K3735" s="1741">
        <f>I3735*F3735</f>
        <v>1058.3999999999999</v>
      </c>
      <c r="L3735" s="1868"/>
      <c r="M3735" s="1868"/>
      <c r="N3735" s="1868"/>
      <c r="W3735" s="1634"/>
    </row>
    <row r="3736" spans="6:23" ht="24" customHeight="1">
      <c r="F3736" s="1737"/>
      <c r="G3736" s="1744" t="s">
        <v>287</v>
      </c>
      <c r="H3736" s="1627" t="s">
        <v>307</v>
      </c>
      <c r="I3736" s="1868"/>
      <c r="J3736" s="1744" t="s">
        <v>287</v>
      </c>
      <c r="K3736" s="1741">
        <f>(121.1+90.9)/12</f>
        <v>17.666666666666668</v>
      </c>
      <c r="L3736" s="1868"/>
      <c r="M3736" s="1868"/>
      <c r="N3736" s="1868"/>
      <c r="W3736" s="1634"/>
    </row>
    <row r="3737" spans="6:23" ht="24" customHeight="1">
      <c r="F3737" s="1868"/>
      <c r="G3737" s="1868"/>
      <c r="H3737" s="1627" t="s">
        <v>2420</v>
      </c>
      <c r="I3737" s="1868"/>
      <c r="J3737" s="1868"/>
      <c r="K3737" s="1741">
        <f>SUM(K3734:K3736)</f>
        <v>1213.3166666666666</v>
      </c>
      <c r="L3737" s="1868"/>
      <c r="M3737" s="1868"/>
      <c r="N3737" s="1868"/>
      <c r="W3737" s="1634"/>
    </row>
    <row r="3738" spans="6:23" ht="24" customHeight="1">
      <c r="F3738" s="1868"/>
      <c r="G3738" s="1868"/>
      <c r="H3738" s="1627" t="s">
        <v>2462</v>
      </c>
      <c r="I3738" s="1868"/>
      <c r="J3738" s="1868"/>
      <c r="K3738" s="1866">
        <f>K3737/10</f>
        <v>121.33166666666666</v>
      </c>
      <c r="L3738" s="1868"/>
      <c r="M3738" s="1868"/>
      <c r="N3738" s="1868"/>
      <c r="W3738" s="1634"/>
    </row>
    <row r="3739" spans="6:23" ht="24" customHeight="1">
      <c r="W3739" s="1634"/>
    </row>
    <row r="3740" spans="6:23" ht="24" customHeight="1">
      <c r="W3740" s="1634"/>
    </row>
    <row r="3741" spans="6:23" ht="24" customHeight="1">
      <c r="F3741" s="1868"/>
      <c r="G3741" s="1868"/>
      <c r="H3741" s="1868"/>
      <c r="I3741" s="1868"/>
      <c r="J3741" s="1868"/>
      <c r="K3741" s="1868"/>
      <c r="L3741" s="1868"/>
      <c r="M3741" s="1868"/>
      <c r="N3741" s="1868"/>
      <c r="W3741" s="1634"/>
    </row>
    <row r="3742" spans="6:23" ht="24" customHeight="1">
      <c r="F3742" s="1737"/>
      <c r="G3742" s="1741"/>
      <c r="H3742" s="1631" t="s">
        <v>3103</v>
      </c>
      <c r="I3742" s="1737"/>
      <c r="J3742" s="1737"/>
      <c r="K3742" s="1868"/>
      <c r="L3742" s="1868"/>
      <c r="M3742" s="1868"/>
      <c r="N3742" s="1868"/>
      <c r="W3742" s="1634"/>
    </row>
    <row r="3743" spans="6:23" ht="24" customHeight="1">
      <c r="F3743" s="1737" t="s">
        <v>3</v>
      </c>
      <c r="G3743" s="1741" t="s">
        <v>10</v>
      </c>
      <c r="H3743" s="1627"/>
      <c r="I3743" s="1737" t="s">
        <v>217</v>
      </c>
      <c r="J3743" s="1741" t="s">
        <v>10</v>
      </c>
      <c r="K3743" s="1741" t="s">
        <v>218</v>
      </c>
      <c r="L3743" s="1868"/>
      <c r="M3743" s="1868"/>
      <c r="N3743" s="1868"/>
      <c r="W3743" s="1634"/>
    </row>
    <row r="3744" spans="6:23" ht="24" customHeight="1">
      <c r="F3744" s="1737"/>
      <c r="G3744" s="1741"/>
      <c r="H3744" s="1627"/>
      <c r="I3744" s="1737"/>
      <c r="J3744" s="1737"/>
      <c r="K3744" s="1868"/>
      <c r="L3744" s="1868"/>
      <c r="M3744" s="1868"/>
      <c r="N3744" s="1868"/>
      <c r="W3744" s="1634"/>
    </row>
    <row r="3745" spans="6:23" ht="24" customHeight="1">
      <c r="F3745" s="1737">
        <v>0.15</v>
      </c>
      <c r="G3745" s="1741" t="s">
        <v>313</v>
      </c>
      <c r="H3745" s="1672" t="s">
        <v>3104</v>
      </c>
      <c r="I3745" s="1737">
        <f>I3639</f>
        <v>2573.4463276836154</v>
      </c>
      <c r="J3745" s="1741" t="s">
        <v>313</v>
      </c>
      <c r="K3745" s="1737">
        <f t="shared" ref="K3745:K3750" si="362">I3745*F3745</f>
        <v>386.01694915254228</v>
      </c>
      <c r="L3745" s="1868"/>
      <c r="M3745" s="1868"/>
      <c r="N3745" s="1868"/>
      <c r="W3745" s="1634"/>
    </row>
    <row r="3746" spans="6:23" ht="40.5" customHeight="1">
      <c r="F3746" s="1633">
        <v>7.1999999999999995E-2</v>
      </c>
      <c r="G3746" s="1741" t="s">
        <v>277</v>
      </c>
      <c r="H3746" s="1627" t="s">
        <v>278</v>
      </c>
      <c r="I3746" s="1737">
        <f>I9</f>
        <v>6040</v>
      </c>
      <c r="J3746" s="1741" t="s">
        <v>277</v>
      </c>
      <c r="K3746" s="1737">
        <f t="shared" si="362"/>
        <v>434.88</v>
      </c>
      <c r="L3746" s="1868"/>
      <c r="M3746" s="1868"/>
      <c r="N3746" s="1868"/>
      <c r="W3746" s="1634"/>
    </row>
    <row r="3747" spans="6:23" ht="24" customHeight="1">
      <c r="F3747" s="1737">
        <v>14.5</v>
      </c>
      <c r="G3747" s="1741" t="s">
        <v>534</v>
      </c>
      <c r="H3747" s="1631" t="s">
        <v>3105</v>
      </c>
      <c r="I3747" s="1737">
        <f>P2433</f>
        <v>24.925000000000001</v>
      </c>
      <c r="J3747" s="1741" t="s">
        <v>534</v>
      </c>
      <c r="K3747" s="1737">
        <f t="shared" si="362"/>
        <v>361.41250000000002</v>
      </c>
      <c r="L3747" s="1868"/>
      <c r="M3747" s="1868"/>
      <c r="N3747" s="1868"/>
      <c r="W3747" s="1634"/>
    </row>
    <row r="3748" spans="6:23" ht="24" customHeight="1">
      <c r="F3748" s="1737">
        <v>1.6</v>
      </c>
      <c r="G3748" s="1741" t="s">
        <v>305</v>
      </c>
      <c r="H3748" s="1737" t="s">
        <v>3106</v>
      </c>
      <c r="I3748" s="1737">
        <f>AG9</f>
        <v>1325.8</v>
      </c>
      <c r="J3748" s="1741" t="s">
        <v>305</v>
      </c>
      <c r="K3748" s="1737">
        <f t="shared" si="362"/>
        <v>2121.2800000000002</v>
      </c>
      <c r="L3748" s="1868"/>
      <c r="M3748" s="1868"/>
      <c r="N3748" s="1868"/>
      <c r="W3748" s="1634"/>
    </row>
    <row r="3749" spans="6:23" ht="24" customHeight="1">
      <c r="F3749" s="1737">
        <v>0.5</v>
      </c>
      <c r="G3749" s="1741" t="s">
        <v>305</v>
      </c>
      <c r="H3749" s="1627" t="s">
        <v>235</v>
      </c>
      <c r="I3749" s="1737">
        <f>AG11</f>
        <v>865.19999999999993</v>
      </c>
      <c r="J3749" s="1741" t="s">
        <v>305</v>
      </c>
      <c r="K3749" s="1737">
        <f t="shared" si="362"/>
        <v>432.59999999999997</v>
      </c>
      <c r="L3749" s="1868"/>
      <c r="M3749" s="1868"/>
      <c r="N3749" s="1868"/>
      <c r="W3749" s="1634"/>
    </row>
    <row r="3750" spans="6:23" ht="24" customHeight="1">
      <c r="F3750" s="1737">
        <v>1.1000000000000001</v>
      </c>
      <c r="G3750" s="1741" t="s">
        <v>305</v>
      </c>
      <c r="H3750" s="1627" t="s">
        <v>236</v>
      </c>
      <c r="I3750" s="1737">
        <f>AG12</f>
        <v>709.8</v>
      </c>
      <c r="J3750" s="1741" t="s">
        <v>305</v>
      </c>
      <c r="K3750" s="1737">
        <f t="shared" si="362"/>
        <v>780.78</v>
      </c>
      <c r="L3750" s="1868"/>
      <c r="M3750" s="1868"/>
      <c r="N3750" s="1868"/>
      <c r="W3750" s="1634"/>
    </row>
    <row r="3751" spans="6:23" ht="24" customHeight="1">
      <c r="F3751" s="1737"/>
      <c r="G3751" s="1741"/>
      <c r="H3751" s="1627" t="s">
        <v>307</v>
      </c>
      <c r="I3751" s="1888" t="s">
        <v>287</v>
      </c>
      <c r="J3751" s="1741"/>
      <c r="K3751" s="1737">
        <v>52.63</v>
      </c>
      <c r="L3751" s="1868"/>
      <c r="M3751" s="1868"/>
      <c r="N3751" s="1868"/>
      <c r="W3751" s="1634"/>
    </row>
    <row r="3752" spans="6:23" ht="24" customHeight="1">
      <c r="F3752" s="1737"/>
      <c r="G3752" s="1741"/>
      <c r="H3752" s="1627" t="s">
        <v>2420</v>
      </c>
      <c r="I3752" s="1868"/>
      <c r="J3752" s="1868"/>
      <c r="K3752" s="1737">
        <f>SUM(K3745:K3751)</f>
        <v>4569.5994491525425</v>
      </c>
      <c r="L3752" s="1868"/>
      <c r="M3752" s="1868"/>
      <c r="N3752" s="1868"/>
      <c r="W3752" s="1634"/>
    </row>
    <row r="3753" spans="6:23" ht="24" customHeight="1">
      <c r="F3753" s="1868"/>
      <c r="G3753" s="1868"/>
      <c r="H3753" s="1627" t="s">
        <v>2462</v>
      </c>
      <c r="I3753" s="1868"/>
      <c r="J3753" s="1868"/>
      <c r="K3753" s="1743">
        <f>K3752/10</f>
        <v>456.95994491525425</v>
      </c>
      <c r="L3753" s="1868"/>
      <c r="M3753" s="1868"/>
      <c r="N3753" s="1868"/>
      <c r="W3753" s="1634"/>
    </row>
    <row r="3754" spans="6:23" ht="24" customHeight="1">
      <c r="F3754" s="1868"/>
      <c r="G3754" s="1868"/>
      <c r="H3754" s="1868"/>
      <c r="I3754" s="1868"/>
      <c r="J3754" s="1868"/>
      <c r="K3754" s="1868"/>
      <c r="L3754" s="1868"/>
      <c r="M3754" s="1868"/>
      <c r="N3754" s="1868"/>
      <c r="W3754" s="1634"/>
    </row>
    <row r="3755" spans="6:23" ht="24" customHeight="1">
      <c r="F3755" s="1652"/>
      <c r="G3755" s="1638" t="s">
        <v>249</v>
      </c>
      <c r="I3755" s="1743"/>
      <c r="J3755" s="1889"/>
      <c r="K3755" s="1737"/>
      <c r="L3755" s="1737"/>
      <c r="W3755" s="1634"/>
    </row>
    <row r="3756" spans="6:23" ht="24" customHeight="1">
      <c r="F3756" s="1737"/>
      <c r="G3756" s="1741"/>
      <c r="H3756" s="1627"/>
      <c r="I3756" s="1737"/>
      <c r="J3756" s="1744"/>
      <c r="K3756" s="1737"/>
      <c r="L3756" s="1737"/>
      <c r="W3756" s="1634"/>
    </row>
    <row r="3757" spans="6:23" ht="24" customHeight="1">
      <c r="F3757" s="1737"/>
      <c r="G3757" s="1741"/>
      <c r="H3757" s="1631" t="s">
        <v>3107</v>
      </c>
      <c r="I3757" s="1737"/>
      <c r="J3757" s="1744"/>
      <c r="K3757" s="1737"/>
      <c r="L3757" s="1737"/>
      <c r="W3757" s="1634"/>
    </row>
    <row r="3758" spans="6:23" ht="24" customHeight="1">
      <c r="F3758" s="1737"/>
      <c r="G3758" s="1741"/>
      <c r="H3758" s="1636" t="s">
        <v>21</v>
      </c>
      <c r="I3758" s="1737"/>
      <c r="J3758" s="1744"/>
      <c r="K3758" s="1737"/>
      <c r="L3758" s="1737"/>
      <c r="W3758" s="1634"/>
    </row>
    <row r="3759" spans="6:23" ht="24" customHeight="1">
      <c r="F3759" s="1640">
        <v>21.55</v>
      </c>
      <c r="G3759" s="1638" t="s">
        <v>13</v>
      </c>
      <c r="H3759" s="1627" t="s">
        <v>3108</v>
      </c>
      <c r="I3759" s="1640">
        <f>I3781</f>
        <v>325</v>
      </c>
      <c r="J3759" s="1638" t="s">
        <v>13</v>
      </c>
      <c r="K3759" s="1640">
        <f>I3759*F3759</f>
        <v>7003.75</v>
      </c>
      <c r="L3759" s="1737"/>
      <c r="W3759" s="1634"/>
    </row>
    <row r="3760" spans="6:23" ht="24" customHeight="1">
      <c r="F3760" s="1640"/>
      <c r="G3760" s="1638"/>
      <c r="H3760" s="1627" t="s">
        <v>3109</v>
      </c>
      <c r="I3760" s="1640"/>
      <c r="J3760" s="1638"/>
      <c r="K3760" s="1640">
        <f>K3759*10/100</f>
        <v>700.375</v>
      </c>
      <c r="L3760" s="1737"/>
      <c r="W3760" s="1634"/>
    </row>
    <row r="3761" spans="6:23" ht="24" customHeight="1">
      <c r="F3761" s="1640">
        <v>3.7</v>
      </c>
      <c r="G3761" s="1638" t="s">
        <v>13</v>
      </c>
      <c r="H3761" s="1627" t="s">
        <v>3110</v>
      </c>
      <c r="I3761" s="1640">
        <f>Z32</f>
        <v>58000</v>
      </c>
      <c r="J3761" s="1638" t="s">
        <v>277</v>
      </c>
      <c r="K3761" s="1640">
        <f>I3761*F3761/10000</f>
        <v>21.46</v>
      </c>
      <c r="L3761" s="1737"/>
      <c r="W3761" s="1634"/>
    </row>
    <row r="3762" spans="6:23" ht="24" customHeight="1">
      <c r="F3762" s="1868"/>
      <c r="G3762" s="1868"/>
      <c r="H3762" s="1627" t="s">
        <v>3111</v>
      </c>
      <c r="I3762" s="1640"/>
      <c r="J3762" s="1627"/>
      <c r="K3762" s="1640">
        <f>K3761*5/100</f>
        <v>1.0730000000000002</v>
      </c>
      <c r="L3762" s="1737"/>
      <c r="W3762" s="1634"/>
    </row>
    <row r="3763" spans="6:23" ht="24" customHeight="1">
      <c r="F3763" s="1640">
        <v>18</v>
      </c>
      <c r="G3763" s="1638" t="s">
        <v>295</v>
      </c>
      <c r="H3763" s="1627" t="s">
        <v>3112</v>
      </c>
      <c r="I3763" s="1640">
        <v>15</v>
      </c>
      <c r="J3763" s="1638" t="s">
        <v>154</v>
      </c>
      <c r="K3763" s="1640">
        <f>I3763*F3763</f>
        <v>270</v>
      </c>
      <c r="L3763" s="1737"/>
      <c r="W3763" s="1634"/>
    </row>
    <row r="3764" spans="6:23" ht="24" customHeight="1">
      <c r="F3764" s="1640"/>
      <c r="G3764" s="1638"/>
      <c r="H3764" s="1627" t="s">
        <v>3113</v>
      </c>
      <c r="I3764" s="1640"/>
      <c r="J3764" s="1627"/>
      <c r="K3764" s="1640">
        <f>K3763*10/100</f>
        <v>27</v>
      </c>
      <c r="L3764" s="1737"/>
      <c r="W3764" s="1634"/>
    </row>
    <row r="3765" spans="6:23" ht="24" customHeight="1">
      <c r="F3765" s="1640">
        <v>28</v>
      </c>
      <c r="G3765" s="1638" t="s">
        <v>295</v>
      </c>
      <c r="H3765" s="1627" t="s">
        <v>3114</v>
      </c>
      <c r="I3765" s="1640">
        <v>1</v>
      </c>
      <c r="J3765" s="1638" t="s">
        <v>295</v>
      </c>
      <c r="K3765" s="1640">
        <f>I3765*F3765</f>
        <v>28</v>
      </c>
      <c r="L3765" s="1737"/>
      <c r="W3765" s="1634"/>
    </row>
    <row r="3766" spans="6:23" ht="24" customHeight="1">
      <c r="F3766" s="1640">
        <v>28</v>
      </c>
      <c r="G3766" s="1638" t="s">
        <v>295</v>
      </c>
      <c r="H3766" s="1627" t="s">
        <v>3115</v>
      </c>
      <c r="I3766" s="1640">
        <v>2</v>
      </c>
      <c r="J3766" s="1638" t="s">
        <v>295</v>
      </c>
      <c r="K3766" s="1640">
        <f>I3766*F3766</f>
        <v>56</v>
      </c>
      <c r="L3766" s="1737"/>
      <c r="W3766" s="1634"/>
    </row>
    <row r="3767" spans="6:23" ht="33" customHeight="1">
      <c r="F3767" s="1640">
        <v>4</v>
      </c>
      <c r="G3767" s="1638" t="s">
        <v>295</v>
      </c>
      <c r="H3767" s="1890" t="s">
        <v>3116</v>
      </c>
      <c r="I3767" s="1640">
        <f>AG17</f>
        <v>1170.3999999999999</v>
      </c>
      <c r="J3767" s="1638" t="s">
        <v>295</v>
      </c>
      <c r="K3767" s="1640">
        <f>I3767*F3767</f>
        <v>4681.5999999999995</v>
      </c>
      <c r="L3767" s="1737"/>
      <c r="W3767" s="1634"/>
    </row>
    <row r="3768" spans="6:23" ht="36" customHeight="1">
      <c r="F3768" s="1640">
        <v>2</v>
      </c>
      <c r="G3768" s="1638" t="s">
        <v>295</v>
      </c>
      <c r="H3768" s="1891" t="s">
        <v>3117</v>
      </c>
      <c r="I3768" s="1640">
        <f>AG19</f>
        <v>1296.3999999999999</v>
      </c>
      <c r="J3768" s="1638" t="s">
        <v>295</v>
      </c>
      <c r="K3768" s="1640">
        <f>I3768*F3768</f>
        <v>2592.7999999999997</v>
      </c>
      <c r="L3768" s="1737"/>
      <c r="W3768" s="1634"/>
    </row>
    <row r="3769" spans="6:23" ht="24" customHeight="1">
      <c r="F3769" s="1640">
        <v>6</v>
      </c>
      <c r="G3769" s="1638" t="s">
        <v>295</v>
      </c>
      <c r="H3769" s="1891" t="s">
        <v>3118</v>
      </c>
      <c r="I3769" s="1640">
        <f>AG11</f>
        <v>865.19999999999993</v>
      </c>
      <c r="J3769" s="1638" t="s">
        <v>295</v>
      </c>
      <c r="K3769" s="1640">
        <f>I3769*F3769</f>
        <v>5191.2</v>
      </c>
      <c r="L3769" s="1737"/>
      <c r="W3769" s="1634"/>
    </row>
    <row r="3770" spans="6:23" ht="24" customHeight="1">
      <c r="F3770" s="1640"/>
      <c r="G3770" s="1638" t="s">
        <v>226</v>
      </c>
      <c r="H3770" s="1627" t="s">
        <v>307</v>
      </c>
      <c r="I3770" s="1627" t="s">
        <v>150</v>
      </c>
      <c r="J3770" s="1627" t="s">
        <v>226</v>
      </c>
      <c r="K3770" s="1640">
        <v>5.38</v>
      </c>
      <c r="L3770" s="1737"/>
      <c r="W3770" s="1634"/>
    </row>
    <row r="3771" spans="6:23" ht="24" customHeight="1">
      <c r="F3771" s="1640"/>
      <c r="G3771" s="1638"/>
      <c r="H3771" s="1627"/>
      <c r="I3771" s="1640"/>
      <c r="J3771" s="1638"/>
      <c r="K3771" s="1640"/>
      <c r="L3771" s="1737"/>
      <c r="W3771" s="1634"/>
    </row>
    <row r="3772" spans="6:23" ht="24" customHeight="1">
      <c r="F3772" s="1737"/>
      <c r="G3772" s="1741"/>
      <c r="H3772" s="1627" t="s">
        <v>3119</v>
      </c>
      <c r="I3772" s="1737"/>
      <c r="J3772" s="1744"/>
      <c r="K3772" s="1640">
        <f>SUM(K3759:K3771)</f>
        <v>20578.637999999999</v>
      </c>
      <c r="L3772" s="1737"/>
      <c r="W3772" s="1634"/>
    </row>
    <row r="3773" spans="6:23" ht="24" customHeight="1">
      <c r="F3773" s="1737"/>
      <c r="G3773" s="1741"/>
      <c r="H3773" s="1737"/>
      <c r="I3773" s="1737"/>
      <c r="J3773" s="1744"/>
      <c r="K3773" s="1636" t="s">
        <v>21</v>
      </c>
      <c r="L3773" s="1737"/>
      <c r="W3773" s="1634"/>
    </row>
    <row r="3774" spans="6:23" ht="24" customHeight="1">
      <c r="F3774" s="1737"/>
      <c r="G3774" s="1741"/>
      <c r="H3774" s="1637" t="s">
        <v>3120</v>
      </c>
      <c r="I3774" s="1743"/>
      <c r="J3774" s="1892" t="s">
        <v>2597</v>
      </c>
      <c r="K3774" s="1639">
        <f>K3772/18</f>
        <v>1143.2576666666666</v>
      </c>
      <c r="L3774" s="1737"/>
      <c r="W3774" s="1634"/>
    </row>
    <row r="3775" spans="6:23" ht="24" customHeight="1">
      <c r="F3775" s="1737"/>
      <c r="G3775" s="1741"/>
      <c r="H3775" s="1637"/>
      <c r="I3775" s="1743"/>
      <c r="J3775" s="1892"/>
      <c r="K3775" s="1636" t="s">
        <v>21</v>
      </c>
      <c r="L3775" s="1737"/>
      <c r="W3775" s="1634"/>
    </row>
    <row r="3776" spans="6:23" ht="24" customHeight="1">
      <c r="F3776" s="1737"/>
      <c r="G3776" s="1741"/>
      <c r="H3776" s="1637"/>
      <c r="I3776" s="1743"/>
      <c r="J3776" s="1892"/>
      <c r="K3776" s="1639"/>
      <c r="L3776" s="1737"/>
      <c r="W3776" s="1634"/>
    </row>
    <row r="3777" spans="6:23" ht="24" customHeight="1">
      <c r="F3777" s="1868"/>
      <c r="G3777" s="1868"/>
      <c r="H3777" s="1893" t="s">
        <v>3121</v>
      </c>
      <c r="I3777" s="1868"/>
      <c r="J3777" s="1868"/>
      <c r="K3777" s="1868"/>
      <c r="L3777" s="1868"/>
      <c r="W3777" s="1634"/>
    </row>
    <row r="3778" spans="6:23" ht="24" customHeight="1">
      <c r="F3778" s="1737"/>
      <c r="G3778" s="1866" t="s">
        <v>3122</v>
      </c>
      <c r="H3778" s="1866"/>
      <c r="I3778" s="1866"/>
      <c r="J3778" s="1866"/>
      <c r="K3778" s="1736"/>
      <c r="L3778" s="1736"/>
      <c r="W3778" s="1634"/>
    </row>
    <row r="3779" spans="6:23" ht="24" customHeight="1">
      <c r="F3779" s="1737"/>
      <c r="G3779" s="1692"/>
      <c r="H3779" s="1638"/>
      <c r="I3779" s="1641"/>
      <c r="J3779" s="1640"/>
      <c r="K3779" s="1638"/>
      <c r="L3779" s="1640"/>
      <c r="W3779" s="1634"/>
    </row>
    <row r="3780" spans="6:23" ht="24" customHeight="1">
      <c r="F3780" s="1737"/>
      <c r="G3780" s="1692"/>
      <c r="H3780" s="1638"/>
      <c r="I3780" s="1627"/>
      <c r="J3780" s="1640"/>
      <c r="K3780" s="1638"/>
      <c r="L3780" s="1640"/>
      <c r="W3780" s="1634"/>
    </row>
    <row r="3781" spans="6:23" ht="24" customHeight="1">
      <c r="F3781" s="1692">
        <v>38.86</v>
      </c>
      <c r="G3781" s="1638" t="s">
        <v>534</v>
      </c>
      <c r="H3781" s="1627" t="s">
        <v>5267</v>
      </c>
      <c r="I3781" s="1640">
        <v>325</v>
      </c>
      <c r="J3781" s="1638" t="s">
        <v>534</v>
      </c>
      <c r="K3781" s="1640">
        <f t="shared" ref="K3781:K3788" si="363">I3781*F3781</f>
        <v>12629.5</v>
      </c>
      <c r="L3781" s="1737"/>
      <c r="W3781" s="1634"/>
    </row>
    <row r="3782" spans="6:23" ht="24" customHeight="1">
      <c r="F3782" s="1692">
        <v>2.4300000000000002</v>
      </c>
      <c r="G3782" s="1669" t="s">
        <v>533</v>
      </c>
      <c r="H3782" s="1667" t="s">
        <v>3043</v>
      </c>
      <c r="I3782" s="1640">
        <v>362.5</v>
      </c>
      <c r="J3782" s="1638" t="s">
        <v>533</v>
      </c>
      <c r="K3782" s="1640">
        <f t="shared" si="363"/>
        <v>880.87500000000011</v>
      </c>
      <c r="L3782" s="1737"/>
      <c r="W3782" s="1634"/>
    </row>
    <row r="3783" spans="6:23" ht="24" customHeight="1">
      <c r="F3783" s="1692">
        <v>4.8499999999999996</v>
      </c>
      <c r="G3783" s="1669" t="s">
        <v>533</v>
      </c>
      <c r="H3783" s="1667" t="s">
        <v>3044</v>
      </c>
      <c r="I3783" s="1640">
        <v>695</v>
      </c>
      <c r="J3783" s="1638" t="s">
        <v>4</v>
      </c>
      <c r="K3783" s="1640">
        <f t="shared" si="363"/>
        <v>3370.7499999999995</v>
      </c>
      <c r="L3783" s="1737"/>
      <c r="W3783" s="1634"/>
    </row>
    <row r="3784" spans="6:23" ht="24" customHeight="1">
      <c r="F3784" s="1848">
        <v>34.65</v>
      </c>
      <c r="G3784" s="1669" t="s">
        <v>303</v>
      </c>
      <c r="H3784" s="1667" t="s">
        <v>5745</v>
      </c>
      <c r="I3784" s="1640">
        <v>38.25</v>
      </c>
      <c r="J3784" s="1638" t="s">
        <v>303</v>
      </c>
      <c r="K3784" s="1640">
        <f t="shared" si="363"/>
        <v>1325.3625</v>
      </c>
      <c r="L3784" s="1737"/>
      <c r="W3784" s="1634"/>
    </row>
    <row r="3785" spans="6:23" ht="24" customHeight="1">
      <c r="F3785" s="1737">
        <v>144</v>
      </c>
      <c r="G3785" s="1894" t="s">
        <v>295</v>
      </c>
      <c r="H3785" s="1895" t="s">
        <v>5746</v>
      </c>
      <c r="I3785" s="1640">
        <v>2.41</v>
      </c>
      <c r="J3785" s="1744" t="s">
        <v>68</v>
      </c>
      <c r="K3785" s="1640">
        <f t="shared" si="363"/>
        <v>347.04</v>
      </c>
      <c r="L3785" s="1737"/>
      <c r="W3785" s="1634"/>
    </row>
    <row r="3786" spans="6:23" ht="24" customHeight="1">
      <c r="F3786" s="1737">
        <v>12</v>
      </c>
      <c r="G3786" s="1894" t="s">
        <v>295</v>
      </c>
      <c r="H3786" s="1895" t="s">
        <v>5747</v>
      </c>
      <c r="I3786" s="1640">
        <v>4.88</v>
      </c>
      <c r="J3786" s="1744" t="s">
        <v>68</v>
      </c>
      <c r="K3786" s="1640">
        <f t="shared" si="363"/>
        <v>58.56</v>
      </c>
      <c r="L3786" s="1737"/>
      <c r="W3786" s="1634"/>
    </row>
    <row r="3787" spans="6:23" ht="24" customHeight="1">
      <c r="F3787" s="1737">
        <v>12</v>
      </c>
      <c r="G3787" s="1894" t="s">
        <v>295</v>
      </c>
      <c r="H3787" s="1895" t="s">
        <v>5748</v>
      </c>
      <c r="I3787" s="1640">
        <v>1.08</v>
      </c>
      <c r="J3787" s="1744" t="s">
        <v>68</v>
      </c>
      <c r="K3787" s="1640">
        <f t="shared" si="363"/>
        <v>12.96</v>
      </c>
      <c r="L3787" s="1737"/>
      <c r="W3787" s="1634"/>
    </row>
    <row r="3788" spans="6:23" ht="24" customHeight="1">
      <c r="F3788" s="1692">
        <v>2</v>
      </c>
      <c r="G3788" s="1669" t="s">
        <v>10</v>
      </c>
      <c r="H3788" s="1667" t="s">
        <v>5749</v>
      </c>
      <c r="I3788" s="1640">
        <v>11.9</v>
      </c>
      <c r="J3788" s="1638" t="s">
        <v>10</v>
      </c>
      <c r="K3788" s="1640">
        <f t="shared" si="363"/>
        <v>23.8</v>
      </c>
      <c r="L3788" s="1737"/>
      <c r="W3788" s="1634"/>
    </row>
    <row r="3789" spans="6:23" ht="24" customHeight="1">
      <c r="F3789" s="1692">
        <v>6.6150000000000002</v>
      </c>
      <c r="G3789" s="1669" t="s">
        <v>306</v>
      </c>
      <c r="H3789" s="1667" t="s">
        <v>2041</v>
      </c>
      <c r="I3789" s="1737">
        <f>K3799</f>
        <v>2654.3999999999996</v>
      </c>
      <c r="J3789" s="1638" t="s">
        <v>306</v>
      </c>
      <c r="K3789" s="1640">
        <f>1059.95*6.615</f>
        <v>7011.5692500000005</v>
      </c>
      <c r="L3789" s="1737"/>
      <c r="W3789" s="1634"/>
    </row>
    <row r="3790" spans="6:23" ht="24" customHeight="1">
      <c r="F3790" s="1692"/>
      <c r="G3790" s="1669"/>
      <c r="H3790" s="1667"/>
      <c r="I3790" s="1737"/>
      <c r="J3790" s="1738"/>
      <c r="K3790" s="1640"/>
      <c r="L3790" s="1737"/>
      <c r="W3790" s="1634"/>
    </row>
    <row r="3791" spans="6:23" ht="24" customHeight="1">
      <c r="F3791" s="1692"/>
      <c r="G3791" s="1669"/>
      <c r="H3791" s="1667" t="s">
        <v>3128</v>
      </c>
      <c r="I3791" s="1737"/>
      <c r="J3791" s="1638"/>
      <c r="K3791" s="1640">
        <f>SUM(K3781:K3790)</f>
        <v>25660.41675</v>
      </c>
      <c r="L3791" s="1737"/>
      <c r="W3791" s="1634"/>
    </row>
    <row r="3792" spans="6:23" ht="24" customHeight="1">
      <c r="F3792" s="1692"/>
      <c r="G3792" s="1669"/>
      <c r="H3792" s="1667" t="s">
        <v>155</v>
      </c>
      <c r="I3792" s="1737"/>
      <c r="J3792" s="1736"/>
      <c r="K3792" s="1639">
        <f>K3791/6.615</f>
        <v>3879.1257369614514</v>
      </c>
      <c r="L3792" s="1743" t="s">
        <v>340</v>
      </c>
      <c r="W3792" s="1634"/>
    </row>
    <row r="3793" spans="6:23" ht="24" customHeight="1">
      <c r="F3793" s="1737"/>
      <c r="G3793" s="1895"/>
      <c r="H3793" s="1896"/>
      <c r="I3793" s="1737"/>
      <c r="J3793" s="1737"/>
      <c r="K3793" s="1737"/>
      <c r="L3793" s="1737"/>
      <c r="W3793" s="1634"/>
    </row>
    <row r="3794" spans="6:23" ht="24" customHeight="1">
      <c r="F3794" s="1640">
        <v>1</v>
      </c>
      <c r="G3794" s="1638" t="s">
        <v>153</v>
      </c>
      <c r="H3794" s="1627" t="s">
        <v>5661</v>
      </c>
      <c r="I3794" s="1640">
        <f>AG17</f>
        <v>1170.3999999999999</v>
      </c>
      <c r="J3794" s="1627" t="s">
        <v>153</v>
      </c>
      <c r="K3794" s="1640">
        <f>I3794*F3794</f>
        <v>1170.3999999999999</v>
      </c>
      <c r="L3794" s="1737"/>
      <c r="W3794" s="1634"/>
    </row>
    <row r="3795" spans="6:23" ht="24" customHeight="1">
      <c r="F3795" s="1640">
        <v>1</v>
      </c>
      <c r="G3795" s="1638" t="s">
        <v>153</v>
      </c>
      <c r="H3795" s="1627" t="s">
        <v>5662</v>
      </c>
      <c r="I3795" s="1640">
        <f>AG11</f>
        <v>865.19999999999993</v>
      </c>
      <c r="J3795" s="1627" t="s">
        <v>153</v>
      </c>
      <c r="K3795" s="1640">
        <f>I3795*F3795</f>
        <v>865.19999999999993</v>
      </c>
      <c r="L3795" s="1737"/>
      <c r="W3795" s="1634"/>
    </row>
    <row r="3796" spans="6:23" ht="24" customHeight="1">
      <c r="F3796" s="1640">
        <v>0.5</v>
      </c>
      <c r="G3796" s="1638" t="s">
        <v>153</v>
      </c>
      <c r="H3796" s="1627" t="s">
        <v>5663</v>
      </c>
      <c r="I3796" s="1640">
        <f>AG20</f>
        <v>1237.5999999999999</v>
      </c>
      <c r="J3796" s="1627" t="s">
        <v>153</v>
      </c>
      <c r="K3796" s="1640">
        <f>I3796*F3796</f>
        <v>618.79999999999995</v>
      </c>
      <c r="L3796" s="1737"/>
      <c r="W3796" s="1634"/>
    </row>
    <row r="3797" spans="6:23" ht="24" customHeight="1">
      <c r="F3797" s="1737"/>
      <c r="G3797" s="1638" t="s">
        <v>226</v>
      </c>
      <c r="H3797" s="1627"/>
      <c r="I3797" s="1640"/>
      <c r="J3797" s="1627" t="s">
        <v>226</v>
      </c>
      <c r="K3797" s="1640"/>
      <c r="L3797" s="1737"/>
      <c r="W3797" s="1634"/>
    </row>
    <row r="3798" spans="6:23" ht="24" customHeight="1">
      <c r="F3798" s="1737"/>
      <c r="G3798" s="1737"/>
      <c r="H3798" s="1741"/>
      <c r="I3798" s="1737"/>
      <c r="J3798" s="1737"/>
      <c r="K3798" s="1636" t="s">
        <v>21</v>
      </c>
      <c r="L3798" s="1868"/>
      <c r="W3798" s="1634"/>
    </row>
    <row r="3799" spans="6:23" ht="24" customHeight="1">
      <c r="F3799" s="1737"/>
      <c r="G3799" s="1737"/>
      <c r="H3799" s="1741"/>
      <c r="I3799" s="1627" t="s">
        <v>2047</v>
      </c>
      <c r="J3799" s="1737"/>
      <c r="K3799" s="1639">
        <f>SUM(K3794:K3798)</f>
        <v>2654.3999999999996</v>
      </c>
      <c r="L3799" s="1868"/>
      <c r="W3799" s="1634"/>
    </row>
    <row r="3800" spans="6:23" ht="24" customHeight="1">
      <c r="F3800" s="1737"/>
      <c r="G3800" s="1737"/>
      <c r="H3800" s="1741"/>
      <c r="I3800" s="1737"/>
      <c r="J3800" s="1737"/>
      <c r="K3800" s="1636" t="s">
        <v>21</v>
      </c>
      <c r="L3800" s="1868"/>
      <c r="W3800" s="1634"/>
    </row>
    <row r="3801" spans="6:23" ht="24" customHeight="1">
      <c r="F3801" s="1737"/>
      <c r="G3801" s="1737"/>
      <c r="H3801" s="1737"/>
      <c r="I3801" s="1737"/>
      <c r="J3801" s="1737"/>
      <c r="K3801" s="1633"/>
      <c r="L3801" s="1737"/>
      <c r="W3801" s="1634"/>
    </row>
    <row r="3802" spans="6:23" ht="24" customHeight="1">
      <c r="F3802" s="1662"/>
      <c r="G3802" s="1638" t="s">
        <v>249</v>
      </c>
      <c r="H3802" s="1627" t="s">
        <v>5650</v>
      </c>
      <c r="W3802" s="1634"/>
    </row>
    <row r="3803" spans="6:23" ht="24" customHeight="1">
      <c r="H3803" s="1627"/>
      <c r="W3803" s="1634"/>
    </row>
    <row r="3804" spans="6:23" ht="24" customHeight="1">
      <c r="H3804" s="1636" t="s">
        <v>21</v>
      </c>
      <c r="W3804" s="1634"/>
    </row>
    <row r="3805" spans="6:23" ht="24" customHeight="1">
      <c r="F3805" s="1640">
        <v>1.86</v>
      </c>
      <c r="G3805" s="1638" t="s">
        <v>152</v>
      </c>
      <c r="H3805" s="1627" t="s">
        <v>1901</v>
      </c>
      <c r="I3805" s="1640">
        <v>699.4</v>
      </c>
      <c r="J3805" s="1627" t="s">
        <v>152</v>
      </c>
      <c r="K3805" s="1640">
        <f>(F3805*I3805)</f>
        <v>1300.884</v>
      </c>
      <c r="W3805" s="1634"/>
    </row>
    <row r="3806" spans="6:23" ht="24" customHeight="1">
      <c r="F3806" s="1640">
        <v>0.4</v>
      </c>
      <c r="G3806" s="1638" t="s">
        <v>13</v>
      </c>
      <c r="H3806" s="1627" t="s">
        <v>1864</v>
      </c>
      <c r="I3806" s="1690">
        <f>I3462</f>
        <v>36.1</v>
      </c>
      <c r="J3806" s="1627" t="s">
        <v>13</v>
      </c>
      <c r="K3806" s="1640">
        <f>(F3806*I3806)</f>
        <v>14.440000000000001</v>
      </c>
      <c r="W3806" s="1634"/>
    </row>
    <row r="3807" spans="6:23" ht="24" customHeight="1">
      <c r="F3807" s="1640">
        <v>0.02</v>
      </c>
      <c r="G3807" s="1638" t="s">
        <v>151</v>
      </c>
      <c r="H3807" s="1627" t="s">
        <v>1892</v>
      </c>
      <c r="I3807" s="1640">
        <f>K23</f>
        <v>6768.3</v>
      </c>
      <c r="J3807" s="1627" t="s">
        <v>151</v>
      </c>
      <c r="K3807" s="1640">
        <f>(F3807*I3807)</f>
        <v>135.36600000000001</v>
      </c>
      <c r="W3807" s="1634"/>
    </row>
    <row r="3808" spans="6:23" ht="24" customHeight="1">
      <c r="F3808" s="1640">
        <v>1</v>
      </c>
      <c r="G3808" s="1638" t="s">
        <v>4</v>
      </c>
      <c r="H3808" s="1627" t="s">
        <v>269</v>
      </c>
      <c r="I3808" s="1640">
        <f>I3748</f>
        <v>1325.8</v>
      </c>
      <c r="J3808" s="1627" t="s">
        <v>4</v>
      </c>
      <c r="K3808" s="1640">
        <f>(F3808*I3808)</f>
        <v>1325.8</v>
      </c>
      <c r="W3808" s="1634"/>
    </row>
    <row r="3809" spans="6:23" ht="24" customHeight="1">
      <c r="F3809" s="1640">
        <v>1</v>
      </c>
      <c r="G3809" s="1638" t="s">
        <v>4</v>
      </c>
      <c r="H3809" s="1627" t="s">
        <v>1894</v>
      </c>
      <c r="I3809" s="1640">
        <f>I3795</f>
        <v>865.19999999999993</v>
      </c>
      <c r="J3809" s="1627" t="s">
        <v>4</v>
      </c>
      <c r="K3809" s="1640">
        <f>(F3809*I3809)</f>
        <v>865.19999999999993</v>
      </c>
      <c r="W3809" s="1634"/>
    </row>
    <row r="3810" spans="6:23" ht="24" customHeight="1">
      <c r="G3810" s="1638" t="s">
        <v>226</v>
      </c>
      <c r="H3810" s="1627" t="s">
        <v>237</v>
      </c>
      <c r="J3810" s="1627" t="s">
        <v>226</v>
      </c>
      <c r="K3810" s="1640"/>
      <c r="W3810" s="1634"/>
    </row>
    <row r="3811" spans="6:23" ht="24" customHeight="1">
      <c r="K3811" s="1636" t="s">
        <v>21</v>
      </c>
      <c r="W3811" s="1634"/>
    </row>
    <row r="3812" spans="6:23" ht="24" customHeight="1">
      <c r="H3812" s="1627" t="s">
        <v>1897</v>
      </c>
      <c r="K3812" s="1640">
        <f>SUM(K3805:K3810)</f>
        <v>3641.6899999999996</v>
      </c>
      <c r="W3812" s="1634"/>
    </row>
    <row r="3813" spans="6:23" ht="24" customHeight="1">
      <c r="K3813" s="1636" t="s">
        <v>21</v>
      </c>
      <c r="W3813" s="1634"/>
    </row>
    <row r="3814" spans="6:23" ht="24" customHeight="1">
      <c r="H3814" s="1641" t="s">
        <v>155</v>
      </c>
      <c r="K3814" s="1639">
        <f>(K3812/1.86)</f>
        <v>1957.8978494623652</v>
      </c>
      <c r="W3814" s="1634"/>
    </row>
    <row r="3815" spans="6:23" ht="24" customHeight="1">
      <c r="K3815" s="1636" t="s">
        <v>156</v>
      </c>
      <c r="W3815" s="1634"/>
    </row>
    <row r="3816" spans="6:23" ht="24" customHeight="1">
      <c r="W3816" s="1634"/>
    </row>
    <row r="3817" spans="6:23" ht="24" customHeight="1">
      <c r="F3817" s="1662"/>
      <c r="G3817" s="1638" t="s">
        <v>249</v>
      </c>
      <c r="H3817" s="1627" t="s">
        <v>5649</v>
      </c>
      <c r="W3817" s="1634"/>
    </row>
    <row r="3818" spans="6:23" ht="24" customHeight="1">
      <c r="H3818" s="1627"/>
      <c r="W3818" s="1634"/>
    </row>
    <row r="3819" spans="6:23" ht="24" customHeight="1">
      <c r="H3819" s="1627"/>
      <c r="W3819" s="1634"/>
    </row>
    <row r="3820" spans="6:23" ht="24" customHeight="1">
      <c r="H3820" s="1636" t="s">
        <v>21</v>
      </c>
      <c r="I3820" s="1636" t="s">
        <v>21</v>
      </c>
      <c r="W3820" s="1634"/>
    </row>
    <row r="3821" spans="6:23" ht="24" customHeight="1">
      <c r="F3821" s="1640">
        <v>10</v>
      </c>
      <c r="G3821" s="1638" t="s">
        <v>152</v>
      </c>
      <c r="H3821" s="1657" t="s">
        <v>1899</v>
      </c>
      <c r="I3821" s="1640">
        <v>538.21</v>
      </c>
      <c r="J3821" s="1627" t="s">
        <v>152</v>
      </c>
      <c r="K3821" s="1640">
        <f>(F3821*I3821)</f>
        <v>5382.1</v>
      </c>
      <c r="W3821" s="1634"/>
    </row>
    <row r="3822" spans="6:23" ht="36" customHeight="1">
      <c r="F3822" s="1640">
        <v>0.21</v>
      </c>
      <c r="G3822" s="1638" t="s">
        <v>151</v>
      </c>
      <c r="H3822" s="1627" t="s">
        <v>298</v>
      </c>
      <c r="I3822" s="1640">
        <f>I3455</f>
        <v>5318.7</v>
      </c>
      <c r="J3822" s="1627" t="s">
        <v>151</v>
      </c>
      <c r="K3822" s="1640">
        <f>(F3822*I3822)</f>
        <v>1116.9269999999999</v>
      </c>
      <c r="W3822" s="1634"/>
    </row>
    <row r="3823" spans="6:23" ht="32.25" customHeight="1">
      <c r="H3823" s="1627" t="s">
        <v>1860</v>
      </c>
      <c r="I3823" s="1640"/>
      <c r="K3823" s="1627" t="s">
        <v>150</v>
      </c>
      <c r="W3823" s="1634"/>
    </row>
    <row r="3824" spans="6:23" ht="24" customHeight="1">
      <c r="F3824" s="1640">
        <v>1.1000000000000001</v>
      </c>
      <c r="G3824" s="1638" t="s">
        <v>4</v>
      </c>
      <c r="H3824" s="1627" t="s">
        <v>269</v>
      </c>
      <c r="I3824" s="1640">
        <f>I3457</f>
        <v>1325.8</v>
      </c>
      <c r="J3824" s="1627" t="s">
        <v>4</v>
      </c>
      <c r="K3824" s="1640">
        <f>(F3824*I3824)</f>
        <v>1458.38</v>
      </c>
      <c r="W3824" s="1634"/>
    </row>
    <row r="3825" spans="6:23" ht="24" customHeight="1">
      <c r="F3825" s="1640">
        <v>1.1000000000000001</v>
      </c>
      <c r="G3825" s="1638" t="s">
        <v>4</v>
      </c>
      <c r="H3825" s="1627" t="s">
        <v>234</v>
      </c>
      <c r="I3825" s="1640">
        <f t="shared" ref="I3825:I3832" si="364">I3458</f>
        <v>1237.5999999999999</v>
      </c>
      <c r="J3825" s="1627" t="s">
        <v>4</v>
      </c>
      <c r="K3825" s="1640">
        <f>(F3825*I3825)</f>
        <v>1361.36</v>
      </c>
      <c r="W3825" s="1634"/>
    </row>
    <row r="3826" spans="6:23" ht="24" customHeight="1">
      <c r="F3826" s="1640">
        <v>2.2000000000000002</v>
      </c>
      <c r="G3826" s="1638" t="s">
        <v>4</v>
      </c>
      <c r="H3826" s="1627" t="s">
        <v>235</v>
      </c>
      <c r="I3826" s="1640">
        <f t="shared" si="364"/>
        <v>865.19999999999993</v>
      </c>
      <c r="J3826" s="1627" t="s">
        <v>4</v>
      </c>
      <c r="K3826" s="1640">
        <f>(F3826*I3826)</f>
        <v>1903.44</v>
      </c>
      <c r="W3826" s="1634"/>
    </row>
    <row r="3827" spans="6:23" ht="24" customHeight="1">
      <c r="F3827" s="1640">
        <v>2.2000000000000002</v>
      </c>
      <c r="G3827" s="1638" t="s">
        <v>4</v>
      </c>
      <c r="H3827" s="1627" t="s">
        <v>236</v>
      </c>
      <c r="I3827" s="1640">
        <f t="shared" si="364"/>
        <v>709.8</v>
      </c>
      <c r="J3827" s="1627" t="s">
        <v>4</v>
      </c>
      <c r="K3827" s="1640">
        <f>(F3827*I3827)</f>
        <v>1561.56</v>
      </c>
      <c r="W3827" s="1634"/>
    </row>
    <row r="3828" spans="6:23" ht="24" customHeight="1">
      <c r="F3828" s="1658">
        <v>20</v>
      </c>
      <c r="G3828" s="1638" t="s">
        <v>13</v>
      </c>
      <c r="H3828" s="1627" t="s">
        <v>252</v>
      </c>
      <c r="I3828" s="1640">
        <f t="shared" si="364"/>
        <v>6040</v>
      </c>
      <c r="J3828" s="1627" t="s">
        <v>251</v>
      </c>
      <c r="K3828" s="1640">
        <f>(F3828*I3828)/1000</f>
        <v>120.8</v>
      </c>
      <c r="W3828" s="1634"/>
    </row>
    <row r="3829" spans="6:23" ht="24" customHeight="1">
      <c r="F3829" s="1658">
        <v>2</v>
      </c>
      <c r="G3829" s="1638" t="s">
        <v>13</v>
      </c>
      <c r="H3829" s="1627" t="s">
        <v>1864</v>
      </c>
      <c r="I3829" s="1640">
        <f t="shared" si="364"/>
        <v>36.1</v>
      </c>
      <c r="J3829" s="1627" t="s">
        <v>13</v>
      </c>
      <c r="K3829" s="1640">
        <f>(F3829*I3829)</f>
        <v>72.2</v>
      </c>
      <c r="W3829" s="1634"/>
    </row>
    <row r="3830" spans="6:23" ht="24" customHeight="1">
      <c r="F3830" s="1640">
        <v>1.6</v>
      </c>
      <c r="G3830" s="1638" t="s">
        <v>4</v>
      </c>
      <c r="H3830" s="1627" t="s">
        <v>234</v>
      </c>
      <c r="I3830" s="1640">
        <f t="shared" si="364"/>
        <v>1237.5999999999999</v>
      </c>
      <c r="J3830" s="1627" t="s">
        <v>4</v>
      </c>
      <c r="K3830" s="1640">
        <f>(F3830*I3830)</f>
        <v>1980.1599999999999</v>
      </c>
      <c r="W3830" s="1634"/>
    </row>
    <row r="3831" spans="6:23" ht="24" customHeight="1">
      <c r="F3831" s="1640">
        <v>0.5</v>
      </c>
      <c r="G3831" s="1638" t="s">
        <v>4</v>
      </c>
      <c r="H3831" s="1627" t="s">
        <v>235</v>
      </c>
      <c r="I3831" s="1640">
        <f t="shared" si="364"/>
        <v>865.19999999999993</v>
      </c>
      <c r="J3831" s="1627" t="s">
        <v>4</v>
      </c>
      <c r="K3831" s="1640">
        <f>(F3831*I3831)</f>
        <v>432.59999999999997</v>
      </c>
      <c r="W3831" s="1634"/>
    </row>
    <row r="3832" spans="6:23" ht="24" customHeight="1">
      <c r="F3832" s="1640">
        <v>1.1000000000000001</v>
      </c>
      <c r="G3832" s="1638" t="s">
        <v>4</v>
      </c>
      <c r="H3832" s="1627" t="s">
        <v>236</v>
      </c>
      <c r="I3832" s="1640">
        <f t="shared" si="364"/>
        <v>709.8</v>
      </c>
      <c r="J3832" s="1627" t="s">
        <v>4</v>
      </c>
      <c r="K3832" s="1640">
        <f>(F3832*I3832)</f>
        <v>780.78</v>
      </c>
      <c r="W3832" s="1634"/>
    </row>
    <row r="3833" spans="6:23" ht="24" customHeight="1">
      <c r="G3833" s="1638" t="s">
        <v>226</v>
      </c>
      <c r="H3833" s="1627" t="s">
        <v>237</v>
      </c>
      <c r="J3833" s="1627" t="s">
        <v>226</v>
      </c>
      <c r="K3833" s="1640">
        <v>0</v>
      </c>
      <c r="W3833" s="1634"/>
    </row>
    <row r="3834" spans="6:23" ht="24" customHeight="1">
      <c r="K3834" s="1636" t="s">
        <v>21</v>
      </c>
      <c r="W3834" s="1634"/>
    </row>
    <row r="3835" spans="6:23" ht="24" customHeight="1">
      <c r="H3835" s="1627" t="s">
        <v>238</v>
      </c>
      <c r="K3835" s="1640">
        <f>SUM(K3821:K3833)</f>
        <v>16170.307000000001</v>
      </c>
      <c r="W3835" s="1634"/>
    </row>
    <row r="3836" spans="6:23" ht="24" customHeight="1">
      <c r="K3836" s="1636" t="s">
        <v>21</v>
      </c>
      <c r="W3836" s="1634"/>
    </row>
    <row r="3837" spans="6:23" ht="24" customHeight="1">
      <c r="F3837" s="1633"/>
      <c r="G3837" s="1629"/>
      <c r="H3837" s="1641" t="s">
        <v>155</v>
      </c>
      <c r="K3837" s="1639">
        <f>(K3835/10)</f>
        <v>1617.0307</v>
      </c>
      <c r="W3837" s="1634"/>
    </row>
    <row r="3838" spans="6:23" ht="24" customHeight="1">
      <c r="F3838" s="1633"/>
      <c r="G3838" s="1629"/>
      <c r="K3838" s="1636" t="s">
        <v>156</v>
      </c>
      <c r="W3838" s="1634"/>
    </row>
    <row r="3839" spans="6:23" ht="24" customHeight="1">
      <c r="W3839" s="1634"/>
    </row>
    <row r="3840" spans="6:23" ht="24" customHeight="1">
      <c r="F3840" s="1630"/>
      <c r="G3840" s="1661" t="s">
        <v>3129</v>
      </c>
      <c r="I3840" s="1632">
        <f>1.2*0.8</f>
        <v>0.96</v>
      </c>
      <c r="J3840" s="1629"/>
      <c r="K3840" s="1633"/>
      <c r="W3840" s="1634"/>
    </row>
    <row r="3841" spans="5:23" ht="24" customHeight="1">
      <c r="F3841" s="1630"/>
      <c r="G3841" s="1629"/>
      <c r="I3841" s="1632"/>
      <c r="J3841" s="1629"/>
      <c r="K3841" s="1633"/>
      <c r="W3841" s="1634"/>
    </row>
    <row r="3842" spans="5:23" ht="24" customHeight="1">
      <c r="E3842" s="1632" t="s">
        <v>3130</v>
      </c>
      <c r="F3842" s="1632"/>
      <c r="G3842" s="1632"/>
      <c r="H3842" s="1633">
        <f>4*3.9</f>
        <v>15.6</v>
      </c>
      <c r="I3842" s="1632" t="s">
        <v>2161</v>
      </c>
      <c r="K3842" s="1633"/>
      <c r="W3842" s="1634"/>
    </row>
    <row r="3843" spans="5:23" ht="24" customHeight="1">
      <c r="E3843" s="1629" t="s">
        <v>3131</v>
      </c>
      <c r="F3843" s="1630"/>
      <c r="G3843" s="1629"/>
      <c r="H3843" s="1629">
        <f>11*0.8*3.14</f>
        <v>27.632000000000005</v>
      </c>
      <c r="I3843" s="1632" t="s">
        <v>2161</v>
      </c>
      <c r="K3843" s="1633"/>
      <c r="W3843" s="1634"/>
    </row>
    <row r="3844" spans="5:23" ht="24" customHeight="1">
      <c r="E3844" s="1629" t="s">
        <v>3132</v>
      </c>
      <c r="F3844" s="1630"/>
      <c r="G3844" s="1629"/>
      <c r="H3844" s="1629">
        <f>2*1.2*1.2</f>
        <v>2.88</v>
      </c>
      <c r="I3844" s="1632" t="s">
        <v>2161</v>
      </c>
      <c r="K3844" s="1633"/>
      <c r="W3844" s="1634"/>
    </row>
    <row r="3845" spans="5:23" ht="24" customHeight="1">
      <c r="E3845" s="1629" t="s">
        <v>3133</v>
      </c>
      <c r="F3845" s="1630"/>
      <c r="G3845" s="1629"/>
      <c r="H3845" s="1629">
        <f>3*0.8*1.2</f>
        <v>2.8800000000000003</v>
      </c>
      <c r="I3845" s="1632" t="s">
        <v>2161</v>
      </c>
      <c r="K3845" s="1633"/>
      <c r="W3845" s="1634"/>
    </row>
    <row r="3846" spans="5:23" ht="24" customHeight="1">
      <c r="E3846" s="1629" t="s">
        <v>3134</v>
      </c>
      <c r="F3846" s="1630"/>
      <c r="G3846" s="1629"/>
      <c r="H3846" s="1629">
        <v>5</v>
      </c>
      <c r="I3846" s="1632"/>
      <c r="K3846" s="1633"/>
      <c r="W3846" s="1634"/>
    </row>
    <row r="3847" spans="5:23" ht="24" customHeight="1">
      <c r="F3847" s="1630"/>
      <c r="G3847" s="1629"/>
      <c r="H3847" s="1664" t="s">
        <v>2491</v>
      </c>
      <c r="I3847" s="1632"/>
      <c r="K3847" s="1633"/>
      <c r="W3847" s="1634"/>
    </row>
    <row r="3848" spans="5:23" ht="24" customHeight="1">
      <c r="F3848" s="1630"/>
      <c r="G3848" s="1629"/>
      <c r="H3848" s="1698">
        <f>SUM(H3842:H3846)</f>
        <v>53.992000000000012</v>
      </c>
      <c r="I3848" s="1632" t="s">
        <v>2161</v>
      </c>
      <c r="J3848" s="1632">
        <f>H3848-51.7</f>
        <v>2.2920000000000087</v>
      </c>
      <c r="K3848" s="1633"/>
      <c r="W3848" s="1634"/>
    </row>
    <row r="3849" spans="5:23" ht="24" customHeight="1">
      <c r="F3849" s="1630"/>
      <c r="G3849" s="1629"/>
      <c r="H3849" s="1664" t="s">
        <v>2491</v>
      </c>
      <c r="I3849" s="1632"/>
      <c r="J3849" s="1629"/>
      <c r="K3849" s="1633"/>
      <c r="W3849" s="1634"/>
    </row>
    <row r="3850" spans="5:23" ht="24" customHeight="1">
      <c r="F3850" s="1630"/>
      <c r="G3850" s="1629"/>
      <c r="I3850" s="1632"/>
      <c r="J3850" s="1629"/>
      <c r="K3850" s="1633"/>
      <c r="W3850" s="1634"/>
    </row>
    <row r="3851" spans="5:23" ht="24" customHeight="1">
      <c r="F3851" s="1630"/>
      <c r="G3851" s="1629"/>
      <c r="I3851" s="1632"/>
      <c r="J3851" s="1629"/>
      <c r="K3851" s="1633"/>
      <c r="W3851" s="1634"/>
    </row>
    <row r="3852" spans="5:23" ht="24" customHeight="1">
      <c r="E3852" s="1633">
        <f>H3848</f>
        <v>53.992000000000012</v>
      </c>
      <c r="F3852" s="1630" t="s">
        <v>13</v>
      </c>
      <c r="G3852" s="1629" t="s">
        <v>2481</v>
      </c>
      <c r="H3852" s="1629">
        <f>I2607</f>
        <v>70.150000000000006</v>
      </c>
      <c r="I3852" s="1632" t="s">
        <v>13</v>
      </c>
      <c r="J3852" s="1629">
        <f>H3852*E3852</f>
        <v>3787.5388000000012</v>
      </c>
      <c r="K3852" s="1633"/>
      <c r="W3852" s="1634"/>
    </row>
    <row r="3853" spans="5:23" ht="24" customHeight="1">
      <c r="E3853" s="1633">
        <v>0.96</v>
      </c>
      <c r="F3853" s="1630" t="s">
        <v>306</v>
      </c>
      <c r="G3853" s="1629" t="s">
        <v>2482</v>
      </c>
      <c r="H3853" s="1629">
        <f>I2608</f>
        <v>379.9</v>
      </c>
      <c r="I3853" s="1632" t="s">
        <v>306</v>
      </c>
      <c r="J3853" s="1629">
        <f>H3853*E3853</f>
        <v>364.70399999999995</v>
      </c>
      <c r="K3853" s="1633"/>
      <c r="W3853" s="1634"/>
    </row>
    <row r="3854" spans="5:23" ht="24" customHeight="1">
      <c r="E3854" s="1633">
        <v>0.96</v>
      </c>
      <c r="F3854" s="1630" t="s">
        <v>306</v>
      </c>
      <c r="G3854" s="1629" t="s">
        <v>2501</v>
      </c>
      <c r="H3854" s="1629">
        <f>I2609</f>
        <v>40.65</v>
      </c>
      <c r="I3854" s="1632" t="s">
        <v>306</v>
      </c>
      <c r="J3854" s="1629">
        <f>H3854*E3854</f>
        <v>39.023999999999994</v>
      </c>
      <c r="K3854" s="1633"/>
      <c r="W3854" s="1634"/>
    </row>
    <row r="3855" spans="5:23" ht="24" customHeight="1">
      <c r="F3855" s="1630"/>
      <c r="G3855" s="1629" t="s">
        <v>2502</v>
      </c>
      <c r="H3855" s="1629">
        <f>I2610</f>
        <v>266.81</v>
      </c>
      <c r="I3855" s="1632" t="s">
        <v>226</v>
      </c>
      <c r="J3855" s="1629">
        <f>H3855</f>
        <v>266.81</v>
      </c>
      <c r="K3855" s="1633"/>
      <c r="W3855" s="1634"/>
    </row>
    <row r="3856" spans="5:23" ht="24" customHeight="1">
      <c r="F3856" s="1630"/>
      <c r="G3856" s="1629"/>
      <c r="I3856" s="1632"/>
      <c r="J3856" s="1664" t="s">
        <v>1810</v>
      </c>
      <c r="K3856" s="1633"/>
      <c r="W3856" s="1634"/>
    </row>
    <row r="3857" spans="5:23" ht="24" customHeight="1">
      <c r="F3857" s="1630"/>
      <c r="G3857" s="1661" t="s">
        <v>2485</v>
      </c>
      <c r="I3857" s="1632"/>
      <c r="J3857" s="1661">
        <f>SUM(J3852:J3856)</f>
        <v>4458.0768000000016</v>
      </c>
      <c r="K3857" s="1633"/>
      <c r="W3857" s="1634"/>
    </row>
    <row r="3858" spans="5:23" ht="24" customHeight="1">
      <c r="F3858" s="1630"/>
      <c r="G3858" s="1629"/>
      <c r="I3858" s="1632"/>
      <c r="J3858" s="1664" t="s">
        <v>1810</v>
      </c>
      <c r="K3858" s="1633"/>
      <c r="W3858" s="1634"/>
    </row>
    <row r="3859" spans="5:23" ht="24" customHeight="1">
      <c r="F3859" s="1630"/>
      <c r="G3859" s="1735" t="s">
        <v>2492</v>
      </c>
      <c r="I3859" s="1632"/>
      <c r="J3859" s="1661">
        <f>J3857/E3853</f>
        <v>4643.8300000000017</v>
      </c>
      <c r="K3859" s="1633"/>
      <c r="W3859" s="1634"/>
    </row>
    <row r="3860" spans="5:23" ht="24" customHeight="1">
      <c r="G3860" s="1629"/>
      <c r="J3860" s="1629"/>
      <c r="K3860" s="1633"/>
      <c r="W3860" s="1634"/>
    </row>
    <row r="3861" spans="5:23" ht="24" customHeight="1">
      <c r="F3861" s="1630"/>
      <c r="G3861" s="1661" t="s">
        <v>3135</v>
      </c>
      <c r="I3861" s="1632">
        <f>1*0.8</f>
        <v>0.8</v>
      </c>
      <c r="J3861" s="1629"/>
      <c r="K3861" s="1633"/>
      <c r="W3861" s="1634"/>
    </row>
    <row r="3862" spans="5:23" ht="24" customHeight="1">
      <c r="F3862" s="1630"/>
      <c r="G3862" s="1629"/>
      <c r="I3862" s="1632"/>
      <c r="J3862" s="1629"/>
      <c r="K3862" s="1633"/>
      <c r="W3862" s="1634"/>
    </row>
    <row r="3863" spans="5:23" ht="24" customHeight="1">
      <c r="E3863" s="1632" t="s">
        <v>3136</v>
      </c>
      <c r="F3863" s="1632"/>
      <c r="G3863" s="1632"/>
      <c r="H3863" s="1633">
        <f>3.6*3.9</f>
        <v>14.04</v>
      </c>
      <c r="I3863" s="1632" t="s">
        <v>2161</v>
      </c>
      <c r="K3863" s="1633"/>
      <c r="W3863" s="1634"/>
    </row>
    <row r="3864" spans="5:23" ht="24" customHeight="1">
      <c r="E3864" s="1629" t="s">
        <v>3137</v>
      </c>
      <c r="F3864" s="1630"/>
      <c r="G3864" s="1629"/>
      <c r="H3864" s="1629">
        <f>9*0.8*3.14</f>
        <v>22.608000000000001</v>
      </c>
      <c r="I3864" s="1632" t="s">
        <v>2161</v>
      </c>
      <c r="K3864" s="1633"/>
      <c r="W3864" s="1634"/>
    </row>
    <row r="3865" spans="5:23" ht="24" customHeight="1">
      <c r="E3865" s="1629" t="s">
        <v>3138</v>
      </c>
      <c r="F3865" s="1630"/>
      <c r="G3865" s="1629"/>
      <c r="H3865" s="1629">
        <f>2*1*1.2</f>
        <v>2.4</v>
      </c>
      <c r="I3865" s="1632" t="s">
        <v>2161</v>
      </c>
      <c r="K3865" s="1633"/>
      <c r="W3865" s="1634"/>
    </row>
    <row r="3866" spans="5:23" ht="24" customHeight="1">
      <c r="E3866" s="1629" t="s">
        <v>3133</v>
      </c>
      <c r="F3866" s="1630"/>
      <c r="G3866" s="1629"/>
      <c r="H3866" s="1629">
        <f>3*0.8*1.2</f>
        <v>2.8800000000000003</v>
      </c>
      <c r="I3866" s="1632" t="s">
        <v>2161</v>
      </c>
      <c r="K3866" s="1633"/>
      <c r="W3866" s="1634"/>
    </row>
    <row r="3867" spans="5:23" ht="24" customHeight="1">
      <c r="E3867" s="1629" t="s">
        <v>3134</v>
      </c>
      <c r="F3867" s="1630"/>
      <c r="G3867" s="1629"/>
      <c r="H3867" s="1629">
        <v>5</v>
      </c>
      <c r="I3867" s="1632"/>
      <c r="K3867" s="1633"/>
      <c r="W3867" s="1634"/>
    </row>
    <row r="3868" spans="5:23" ht="24" customHeight="1">
      <c r="F3868" s="1630"/>
      <c r="G3868" s="1629"/>
      <c r="H3868" s="1664" t="s">
        <v>2491</v>
      </c>
      <c r="I3868" s="1632"/>
      <c r="K3868" s="1633"/>
      <c r="W3868" s="1634"/>
    </row>
    <row r="3869" spans="5:23" ht="24" customHeight="1">
      <c r="F3869" s="1630"/>
      <c r="G3869" s="1629"/>
      <c r="H3869" s="1698">
        <f>SUM(H3863:H3867)</f>
        <v>46.927999999999997</v>
      </c>
      <c r="I3869" s="1632" t="s">
        <v>2161</v>
      </c>
      <c r="K3869" s="1633"/>
      <c r="W3869" s="1634"/>
    </row>
    <row r="3870" spans="5:23" ht="24" customHeight="1">
      <c r="F3870" s="1630"/>
      <c r="G3870" s="1629"/>
      <c r="H3870" s="1664" t="s">
        <v>2491</v>
      </c>
      <c r="I3870" s="1632"/>
      <c r="J3870" s="1629"/>
      <c r="K3870" s="1633"/>
      <c r="W3870" s="1634"/>
    </row>
    <row r="3871" spans="5:23" ht="24" customHeight="1">
      <c r="F3871" s="1630"/>
      <c r="G3871" s="1629"/>
      <c r="I3871" s="1632"/>
      <c r="J3871" s="1629"/>
      <c r="K3871" s="1633"/>
      <c r="W3871" s="1634"/>
    </row>
    <row r="3872" spans="5:23" ht="24" customHeight="1">
      <c r="F3872" s="1630"/>
      <c r="G3872" s="1629"/>
      <c r="I3872" s="1632"/>
      <c r="J3872" s="1629"/>
      <c r="K3872" s="1633"/>
      <c r="W3872" s="1634"/>
    </row>
    <row r="3873" spans="5:23" ht="24" customHeight="1">
      <c r="E3873" s="1633">
        <f>H3869</f>
        <v>46.927999999999997</v>
      </c>
      <c r="F3873" s="1630" t="s">
        <v>13</v>
      </c>
      <c r="G3873" s="1629" t="s">
        <v>2481</v>
      </c>
      <c r="H3873" s="1629">
        <f>H3852</f>
        <v>70.150000000000006</v>
      </c>
      <c r="I3873" s="1632" t="s">
        <v>13</v>
      </c>
      <c r="J3873" s="1629">
        <f>H3873*E3873</f>
        <v>3291.9992000000002</v>
      </c>
      <c r="K3873" s="1633"/>
      <c r="W3873" s="1634"/>
    </row>
    <row r="3874" spans="5:23" ht="24" customHeight="1">
      <c r="E3874" s="1629">
        <v>0.8</v>
      </c>
      <c r="F3874" s="1630" t="s">
        <v>306</v>
      </c>
      <c r="G3874" s="1629" t="s">
        <v>2482</v>
      </c>
      <c r="H3874" s="1629">
        <f>H3853</f>
        <v>379.9</v>
      </c>
      <c r="I3874" s="1632" t="s">
        <v>306</v>
      </c>
      <c r="J3874" s="1629">
        <f>H3874*E3874</f>
        <v>303.92</v>
      </c>
      <c r="K3874" s="1633"/>
      <c r="W3874" s="1634"/>
    </row>
    <row r="3875" spans="5:23" ht="24" customHeight="1">
      <c r="E3875" s="1629">
        <v>0.8</v>
      </c>
      <c r="F3875" s="1630" t="s">
        <v>306</v>
      </c>
      <c r="G3875" s="1629" t="s">
        <v>2501</v>
      </c>
      <c r="H3875" s="1629">
        <f>H3854</f>
        <v>40.65</v>
      </c>
      <c r="I3875" s="1632" t="s">
        <v>306</v>
      </c>
      <c r="J3875" s="1629">
        <f>H3875*E3875</f>
        <v>32.520000000000003</v>
      </c>
      <c r="K3875" s="1633"/>
      <c r="W3875" s="1634"/>
    </row>
    <row r="3876" spans="5:23" ht="24" customHeight="1">
      <c r="F3876" s="1630"/>
      <c r="G3876" s="1629" t="s">
        <v>2502</v>
      </c>
      <c r="H3876" s="1629">
        <f>H3855</f>
        <v>266.81</v>
      </c>
      <c r="I3876" s="1632" t="s">
        <v>226</v>
      </c>
      <c r="J3876" s="1629">
        <v>47.1</v>
      </c>
      <c r="K3876" s="1633"/>
      <c r="W3876" s="1634"/>
    </row>
    <row r="3877" spans="5:23" ht="24" customHeight="1">
      <c r="F3877" s="1630"/>
      <c r="G3877" s="1629"/>
      <c r="I3877" s="1632"/>
      <c r="J3877" s="1664" t="s">
        <v>1810</v>
      </c>
      <c r="K3877" s="1633"/>
      <c r="W3877" s="1634"/>
    </row>
    <row r="3878" spans="5:23" ht="24" customHeight="1">
      <c r="F3878" s="1630"/>
      <c r="G3878" s="1661" t="s">
        <v>2485</v>
      </c>
      <c r="I3878" s="1632"/>
      <c r="J3878" s="1661">
        <f>SUM(J3873:J3877)</f>
        <v>3675.5392000000002</v>
      </c>
      <c r="K3878" s="1633"/>
      <c r="W3878" s="1634"/>
    </row>
    <row r="3879" spans="5:23" ht="24" customHeight="1">
      <c r="F3879" s="1630"/>
      <c r="G3879" s="1629"/>
      <c r="I3879" s="1632"/>
      <c r="J3879" s="1664" t="s">
        <v>1810</v>
      </c>
      <c r="K3879" s="1633"/>
      <c r="W3879" s="1634"/>
    </row>
    <row r="3880" spans="5:23" ht="24" customHeight="1">
      <c r="F3880" s="1630"/>
      <c r="G3880" s="1735" t="s">
        <v>2492</v>
      </c>
      <c r="I3880" s="1632"/>
      <c r="J3880" s="1661">
        <f>J3878/E3874</f>
        <v>4594.424</v>
      </c>
      <c r="K3880" s="1633"/>
      <c r="W3880" s="1634"/>
    </row>
    <row r="3881" spans="5:23" ht="24" customHeight="1">
      <c r="E3881" s="1629" t="s">
        <v>2478</v>
      </c>
      <c r="F3881" s="1630"/>
      <c r="G3881" s="1629"/>
      <c r="H3881" s="1629">
        <v>3.24</v>
      </c>
      <c r="I3881" s="1632" t="s">
        <v>2161</v>
      </c>
      <c r="J3881" s="1629"/>
      <c r="K3881" s="1633"/>
      <c r="W3881" s="1634"/>
    </row>
    <row r="3882" spans="5:23" ht="24" customHeight="1">
      <c r="E3882" s="1629" t="s">
        <v>2479</v>
      </c>
      <c r="F3882" s="1630"/>
      <c r="G3882" s="1629"/>
      <c r="H3882" s="1629">
        <v>2.16</v>
      </c>
      <c r="I3882" s="1632" t="s">
        <v>2161</v>
      </c>
      <c r="J3882" s="1629"/>
      <c r="K3882" s="1633"/>
      <c r="W3882" s="1634"/>
    </row>
    <row r="3883" spans="5:23" ht="24" customHeight="1">
      <c r="F3883" s="1630"/>
      <c r="G3883" s="1629"/>
      <c r="I3883" s="1632"/>
      <c r="J3883" s="1629"/>
      <c r="K3883" s="1633"/>
      <c r="W3883" s="1634"/>
    </row>
    <row r="3884" spans="5:23" ht="24" customHeight="1">
      <c r="F3884" s="1630"/>
      <c r="G3884" s="1629"/>
      <c r="H3884" s="1664" t="s">
        <v>1810</v>
      </c>
      <c r="I3884" s="1632"/>
      <c r="J3884" s="1629"/>
      <c r="K3884" s="1633"/>
      <c r="W3884" s="1634"/>
    </row>
    <row r="3885" spans="5:23" ht="24" customHeight="1">
      <c r="F3885" s="1630"/>
      <c r="G3885" s="1629"/>
      <c r="H3885" s="1629">
        <f>SUM(H3879:H3883)</f>
        <v>5.4</v>
      </c>
      <c r="I3885" s="1632"/>
      <c r="J3885" s="1629"/>
      <c r="K3885" s="1633"/>
      <c r="W3885" s="1634"/>
    </row>
    <row r="3886" spans="5:23" ht="24" customHeight="1">
      <c r="F3886" s="1630"/>
      <c r="G3886" s="1629"/>
      <c r="H3886" s="1629" t="s">
        <v>2480</v>
      </c>
      <c r="I3886" s="1632"/>
      <c r="J3886" s="1629"/>
      <c r="K3886" s="1633"/>
      <c r="W3886" s="1634"/>
    </row>
    <row r="3887" spans="5:23" ht="24" customHeight="1">
      <c r="F3887" s="1630"/>
      <c r="G3887" s="1629"/>
      <c r="I3887" s="1632"/>
      <c r="J3887" s="1629"/>
      <c r="K3887" s="1633"/>
      <c r="W3887" s="1634"/>
    </row>
    <row r="3888" spans="5:23" ht="24" customHeight="1">
      <c r="F3888" s="1630"/>
      <c r="G3888" s="1629"/>
      <c r="I3888" s="1632"/>
      <c r="J3888" s="1629"/>
      <c r="K3888" s="1633"/>
      <c r="W3888" s="1634"/>
    </row>
    <row r="3889" spans="5:23" ht="24" customHeight="1">
      <c r="E3889" s="1629">
        <v>42.81</v>
      </c>
      <c r="F3889" s="1630" t="s">
        <v>13</v>
      </c>
      <c r="G3889" s="1629" t="s">
        <v>2481</v>
      </c>
      <c r="H3889" s="1629">
        <f>H3873</f>
        <v>70.150000000000006</v>
      </c>
      <c r="I3889" s="1632" t="s">
        <v>13</v>
      </c>
      <c r="J3889" s="1629">
        <f>H3889*E3889</f>
        <v>3003.1215000000002</v>
      </c>
      <c r="K3889" s="1633"/>
      <c r="W3889" s="1634"/>
    </row>
    <row r="3890" spans="5:23" ht="24" customHeight="1">
      <c r="E3890" s="1629">
        <v>0.77</v>
      </c>
      <c r="F3890" s="1630" t="s">
        <v>306</v>
      </c>
      <c r="G3890" s="1629" t="s">
        <v>2531</v>
      </c>
      <c r="H3890" s="1629">
        <f>H3874</f>
        <v>379.9</v>
      </c>
      <c r="I3890" s="1632" t="s">
        <v>306</v>
      </c>
      <c r="J3890" s="1629">
        <f>H3890*E3890</f>
        <v>292.52299999999997</v>
      </c>
      <c r="K3890" s="1633"/>
      <c r="W3890" s="1634"/>
    </row>
    <row r="3891" spans="5:23" ht="24" customHeight="1">
      <c r="E3891" s="1629">
        <v>0.77</v>
      </c>
      <c r="F3891" s="1630" t="s">
        <v>306</v>
      </c>
      <c r="G3891" s="1734" t="s">
        <v>2483</v>
      </c>
      <c r="H3891" s="1629">
        <f>H3875</f>
        <v>40.65</v>
      </c>
      <c r="I3891" s="1632" t="s">
        <v>306</v>
      </c>
      <c r="J3891" s="1629">
        <f>H3891*E3891</f>
        <v>31.3005</v>
      </c>
      <c r="K3891" s="1633"/>
      <c r="W3891" s="1634"/>
    </row>
    <row r="3892" spans="5:23" ht="24" customHeight="1">
      <c r="F3892" s="1630"/>
      <c r="G3892" s="1629" t="s">
        <v>2484</v>
      </c>
      <c r="H3892" s="1629">
        <f>H3876</f>
        <v>266.81</v>
      </c>
      <c r="I3892" s="1632" t="s">
        <v>226</v>
      </c>
      <c r="J3892" s="1629">
        <f>H3892</f>
        <v>266.81</v>
      </c>
      <c r="K3892" s="1633"/>
      <c r="W3892" s="1634"/>
    </row>
    <row r="3893" spans="5:23" ht="24" customHeight="1">
      <c r="F3893" s="1630"/>
      <c r="G3893" s="1629"/>
      <c r="I3893" s="1632"/>
      <c r="J3893" s="1664" t="s">
        <v>1810</v>
      </c>
      <c r="K3893" s="1633"/>
      <c r="W3893" s="1634"/>
    </row>
    <row r="3894" spans="5:23" ht="24" customHeight="1">
      <c r="F3894" s="1630"/>
      <c r="G3894" s="1661" t="s">
        <v>2485</v>
      </c>
      <c r="I3894" s="1632"/>
      <c r="J3894" s="1661">
        <f>SUM(J3889:J3892)</f>
        <v>3593.7550000000001</v>
      </c>
      <c r="K3894" s="1633"/>
      <c r="W3894" s="1634"/>
    </row>
    <row r="3895" spans="5:23" ht="24" customHeight="1">
      <c r="F3895" s="1630"/>
      <c r="G3895" s="1629"/>
      <c r="I3895" s="1632"/>
      <c r="J3895" s="1664" t="s">
        <v>1810</v>
      </c>
      <c r="K3895" s="1633"/>
      <c r="W3895" s="1634"/>
    </row>
    <row r="3896" spans="5:23" ht="24" customHeight="1">
      <c r="F3896" s="1630"/>
      <c r="G3896" s="1629">
        <f>1.285*0.6</f>
        <v>0.77099999999999991</v>
      </c>
      <c r="I3896" s="1632"/>
      <c r="J3896" s="1629">
        <f>J3894/G3896</f>
        <v>4661.1608300907919</v>
      </c>
      <c r="K3896" s="1633"/>
      <c r="W3896" s="1634"/>
    </row>
    <row r="3897" spans="5:23" ht="24" customHeight="1">
      <c r="E3897" s="1629">
        <f>C3890</f>
        <v>0</v>
      </c>
      <c r="G3897" s="1632">
        <f>E3897*D3856</f>
        <v>0</v>
      </c>
      <c r="J3897" s="1629"/>
      <c r="K3897" s="1633"/>
      <c r="W3897" s="1634"/>
    </row>
    <row r="3898" spans="5:23" ht="24" customHeight="1">
      <c r="G3898" s="1632">
        <v>0.8</v>
      </c>
      <c r="J3898" s="1629"/>
      <c r="K3898" s="1633"/>
      <c r="W3898" s="1634"/>
    </row>
    <row r="3899" spans="5:23" ht="24" customHeight="1">
      <c r="G3899" s="1632">
        <f>SUM(G3895:G3898)</f>
        <v>1.571</v>
      </c>
      <c r="J3899" s="1629"/>
      <c r="K3899" s="1633"/>
      <c r="W3899" s="1634"/>
    </row>
    <row r="3900" spans="5:23" ht="24" customHeight="1">
      <c r="G3900" s="1632">
        <f>G3899/0.77</f>
        <v>2.04025974025974</v>
      </c>
      <c r="J3900" s="1629"/>
      <c r="K3900" s="1633"/>
      <c r="W3900" s="1634"/>
    </row>
    <row r="3901" spans="5:23" ht="24" customHeight="1">
      <c r="G3901" s="1629"/>
      <c r="H3901" s="1661" t="s">
        <v>3139</v>
      </c>
      <c r="J3901" s="1629"/>
      <c r="K3901" s="1633"/>
      <c r="W3901" s="1634"/>
    </row>
    <row r="3902" spans="5:23" ht="24" customHeight="1">
      <c r="F3902" s="1628" t="s">
        <v>1637</v>
      </c>
      <c r="G3902" s="1638" t="s">
        <v>249</v>
      </c>
      <c r="H3902" s="1627" t="s">
        <v>1638</v>
      </c>
      <c r="W3902" s="1634"/>
    </row>
    <row r="3903" spans="5:23" ht="24" customHeight="1">
      <c r="H3903" s="1627" t="s">
        <v>1639</v>
      </c>
      <c r="W3903" s="1634"/>
    </row>
    <row r="3904" spans="5:23" ht="24" customHeight="1">
      <c r="H3904" s="1627" t="s">
        <v>1640</v>
      </c>
      <c r="W3904" s="1634"/>
    </row>
    <row r="3905" spans="6:23" ht="24" customHeight="1">
      <c r="H3905" s="1627" t="s">
        <v>1641</v>
      </c>
      <c r="W3905" s="1634"/>
    </row>
    <row r="3906" spans="6:23" ht="24" customHeight="1">
      <c r="H3906" s="1627" t="s">
        <v>1642</v>
      </c>
      <c r="W3906" s="1634"/>
    </row>
    <row r="3907" spans="6:23" ht="24" customHeight="1">
      <c r="H3907" s="1627" t="s">
        <v>1643</v>
      </c>
      <c r="W3907" s="1634"/>
    </row>
    <row r="3908" spans="6:23" ht="24" customHeight="1">
      <c r="H3908" s="1627" t="s">
        <v>1644</v>
      </c>
      <c r="W3908" s="1634"/>
    </row>
    <row r="3909" spans="6:23" ht="24" customHeight="1">
      <c r="H3909" s="1627" t="s">
        <v>1645</v>
      </c>
      <c r="W3909" s="1634"/>
    </row>
    <row r="3910" spans="6:23" ht="24" customHeight="1">
      <c r="H3910" s="1627" t="s">
        <v>1646</v>
      </c>
      <c r="W3910" s="1634"/>
    </row>
    <row r="3911" spans="6:23" ht="24" customHeight="1">
      <c r="H3911" s="1627" t="s">
        <v>1648</v>
      </c>
      <c r="W3911" s="1634"/>
    </row>
    <row r="3912" spans="6:23" ht="24" customHeight="1">
      <c r="H3912" s="1627" t="s">
        <v>1650</v>
      </c>
      <c r="W3912" s="1634"/>
    </row>
    <row r="3913" spans="6:23" ht="24" customHeight="1">
      <c r="H3913" s="1627" t="s">
        <v>1651</v>
      </c>
      <c r="W3913" s="1634"/>
    </row>
    <row r="3914" spans="6:23" ht="24" customHeight="1">
      <c r="H3914" s="1627" t="s">
        <v>1653</v>
      </c>
      <c r="W3914" s="1634"/>
    </row>
    <row r="3915" spans="6:23" ht="24" customHeight="1">
      <c r="H3915" s="1627" t="s">
        <v>1655</v>
      </c>
      <c r="W3915" s="1634"/>
    </row>
    <row r="3916" spans="6:23" ht="24" customHeight="1">
      <c r="W3916" s="1634"/>
    </row>
    <row r="3917" spans="6:23" ht="24" customHeight="1">
      <c r="W3917" s="1634"/>
    </row>
    <row r="3918" spans="6:23" ht="24" customHeight="1">
      <c r="G3918" s="1638" t="s">
        <v>514</v>
      </c>
      <c r="H3918" s="1628" t="s">
        <v>1659</v>
      </c>
      <c r="W3918" s="1634"/>
    </row>
    <row r="3919" spans="6:23" ht="24" customHeight="1">
      <c r="H3919" s="1628" t="s">
        <v>1662</v>
      </c>
      <c r="W3919" s="1634"/>
    </row>
    <row r="3920" spans="6:23" ht="24" customHeight="1">
      <c r="F3920" s="1691">
        <v>3.8100000000000002E-2</v>
      </c>
      <c r="G3920" s="1638" t="s">
        <v>151</v>
      </c>
      <c r="H3920" s="1627" t="s">
        <v>1652</v>
      </c>
      <c r="I3920" s="1640">
        <f>K821</f>
        <v>10721.692999999999</v>
      </c>
      <c r="J3920" s="1627" t="s">
        <v>151</v>
      </c>
      <c r="K3920" s="1640">
        <f>F3920*I3920</f>
        <v>408.49650329999997</v>
      </c>
      <c r="W3920" s="1634"/>
    </row>
    <row r="3921" spans="6:23" ht="24" customHeight="1">
      <c r="F3921" s="1707">
        <v>5.01</v>
      </c>
      <c r="G3921" s="1638" t="s">
        <v>13</v>
      </c>
      <c r="H3921" s="1627" t="s">
        <v>1654</v>
      </c>
      <c r="I3921" s="1640">
        <f>K1608</f>
        <v>98792.5</v>
      </c>
      <c r="J3921" s="1627" t="s">
        <v>251</v>
      </c>
      <c r="K3921" s="1640">
        <f>F3921*I3921/1000</f>
        <v>494.950425</v>
      </c>
      <c r="W3921" s="1634"/>
    </row>
    <row r="3922" spans="6:23" ht="24" customHeight="1">
      <c r="F3922" s="1640">
        <v>3</v>
      </c>
      <c r="G3922" s="1638" t="s">
        <v>153</v>
      </c>
      <c r="H3922" s="1627" t="s">
        <v>1656</v>
      </c>
      <c r="I3922" s="1690">
        <v>14.8</v>
      </c>
      <c r="J3922" s="1627" t="s">
        <v>153</v>
      </c>
      <c r="K3922" s="1640">
        <f t="shared" ref="K3922:K3929" si="365">F3922*I3922</f>
        <v>44.400000000000006</v>
      </c>
      <c r="W3922" s="1634"/>
    </row>
    <row r="3923" spans="6:23" ht="24" customHeight="1">
      <c r="F3923" s="1640">
        <v>12</v>
      </c>
      <c r="G3923" s="1638" t="s">
        <v>153</v>
      </c>
      <c r="H3923" s="1627" t="s">
        <v>1657</v>
      </c>
      <c r="I3923" s="1690">
        <v>2</v>
      </c>
      <c r="J3923" s="1627" t="s">
        <v>153</v>
      </c>
      <c r="K3923" s="1640">
        <f t="shared" si="365"/>
        <v>24</v>
      </c>
      <c r="W3923" s="1634"/>
    </row>
    <row r="3924" spans="6:23" ht="24" customHeight="1">
      <c r="F3924" s="1640">
        <v>2</v>
      </c>
      <c r="G3924" s="1638" t="s">
        <v>153</v>
      </c>
      <c r="H3924" s="1627" t="s">
        <v>1658</v>
      </c>
      <c r="I3924" s="1690">
        <v>4.9000000000000004</v>
      </c>
      <c r="J3924" s="1627" t="s">
        <v>153</v>
      </c>
      <c r="K3924" s="1640">
        <f t="shared" si="365"/>
        <v>9.8000000000000007</v>
      </c>
      <c r="W3924" s="1634"/>
    </row>
    <row r="3925" spans="6:23" ht="24" customHeight="1">
      <c r="F3925" s="1640">
        <v>6</v>
      </c>
      <c r="G3925" s="1638" t="s">
        <v>153</v>
      </c>
      <c r="H3925" s="1627" t="s">
        <v>1660</v>
      </c>
      <c r="I3925" s="1690">
        <v>4.45</v>
      </c>
      <c r="J3925" s="1627" t="s">
        <v>153</v>
      </c>
      <c r="K3925" s="1640">
        <f t="shared" si="365"/>
        <v>26.700000000000003</v>
      </c>
      <c r="W3925" s="1634"/>
    </row>
    <row r="3926" spans="6:23" ht="24" customHeight="1">
      <c r="F3926" s="1640">
        <v>1</v>
      </c>
      <c r="G3926" s="1638" t="s">
        <v>153</v>
      </c>
      <c r="H3926" s="1627" t="s">
        <v>1663</v>
      </c>
      <c r="I3926" s="1640">
        <f>I865</f>
        <v>1325.8</v>
      </c>
      <c r="J3926" s="1627" t="s">
        <v>153</v>
      </c>
      <c r="K3926" s="1640">
        <f t="shared" si="365"/>
        <v>1325.8</v>
      </c>
      <c r="W3926" s="1634"/>
    </row>
    <row r="3927" spans="6:23" ht="24" customHeight="1">
      <c r="F3927" s="1640">
        <v>1</v>
      </c>
      <c r="G3927" s="1638" t="s">
        <v>153</v>
      </c>
      <c r="H3927" s="1627" t="s">
        <v>1664</v>
      </c>
      <c r="I3927" s="1640">
        <f>I866</f>
        <v>865.19999999999993</v>
      </c>
      <c r="J3927" s="1627" t="s">
        <v>153</v>
      </c>
      <c r="K3927" s="1640">
        <f t="shared" si="365"/>
        <v>865.19999999999993</v>
      </c>
      <c r="W3927" s="1634"/>
    </row>
    <row r="3928" spans="6:23" ht="24" customHeight="1">
      <c r="F3928" s="1640">
        <v>1</v>
      </c>
      <c r="G3928" s="1638" t="s">
        <v>153</v>
      </c>
      <c r="H3928" s="1627" t="s">
        <v>1665</v>
      </c>
      <c r="I3928" s="1690">
        <v>25</v>
      </c>
      <c r="J3928" s="1627" t="s">
        <v>153</v>
      </c>
      <c r="K3928" s="1640">
        <f t="shared" si="365"/>
        <v>25</v>
      </c>
      <c r="W3928" s="1634"/>
    </row>
    <row r="3929" spans="6:23" ht="24" customHeight="1">
      <c r="F3929" s="1640">
        <v>0.5</v>
      </c>
      <c r="G3929" s="1638" t="s">
        <v>153</v>
      </c>
      <c r="H3929" s="1627" t="s">
        <v>1666</v>
      </c>
      <c r="I3929" s="1640">
        <f>I868</f>
        <v>709.8</v>
      </c>
      <c r="J3929" s="1627" t="s">
        <v>153</v>
      </c>
      <c r="K3929" s="1640">
        <f t="shared" si="365"/>
        <v>354.9</v>
      </c>
      <c r="W3929" s="1634"/>
    </row>
    <row r="3930" spans="6:23" ht="24" customHeight="1">
      <c r="G3930" s="1638" t="s">
        <v>226</v>
      </c>
      <c r="H3930" s="1627" t="s">
        <v>1667</v>
      </c>
      <c r="J3930" s="1627" t="s">
        <v>226</v>
      </c>
      <c r="K3930" s="1640">
        <v>1.1299999999999999</v>
      </c>
      <c r="W3930" s="1634"/>
    </row>
    <row r="3931" spans="6:23" ht="24" customHeight="1">
      <c r="K3931" s="1636" t="s">
        <v>21</v>
      </c>
      <c r="W3931" s="1634"/>
    </row>
    <row r="3932" spans="6:23" ht="24" customHeight="1">
      <c r="H3932" s="1641" t="s">
        <v>1668</v>
      </c>
      <c r="K3932" s="1639">
        <f>SUM(K3920:K3930)</f>
        <v>3580.3769282999997</v>
      </c>
      <c r="W3932" s="1634"/>
    </row>
    <row r="3933" spans="6:23" ht="24" customHeight="1">
      <c r="K3933" s="1636" t="s">
        <v>21</v>
      </c>
      <c r="W3933" s="1634"/>
    </row>
    <row r="3934" spans="6:23" ht="24" customHeight="1">
      <c r="W3934" s="1634"/>
    </row>
    <row r="3935" spans="6:23" ht="24" customHeight="1">
      <c r="W3935" s="1634"/>
    </row>
    <row r="3936" spans="6:23" ht="24" customHeight="1">
      <c r="G3936" s="1638" t="s">
        <v>524</v>
      </c>
      <c r="H3936" s="1628" t="s">
        <v>1671</v>
      </c>
      <c r="W3936" s="1634"/>
    </row>
    <row r="3937" spans="6:23" ht="24" customHeight="1">
      <c r="H3937" s="1628" t="s">
        <v>1662</v>
      </c>
      <c r="W3937" s="1634"/>
    </row>
    <row r="3938" spans="6:23" ht="24" customHeight="1">
      <c r="F3938" s="1691">
        <v>3.6799999999999999E-2</v>
      </c>
      <c r="G3938" s="1638" t="s">
        <v>151</v>
      </c>
      <c r="H3938" s="1680" t="s">
        <v>5750</v>
      </c>
      <c r="I3938" s="1640">
        <f t="shared" ref="I3938:I3945" si="366">I3920</f>
        <v>10721.692999999999</v>
      </c>
      <c r="J3938" s="1627" t="s">
        <v>151</v>
      </c>
      <c r="K3938" s="1640">
        <f>F3938*I3938</f>
        <v>394.55830239999995</v>
      </c>
      <c r="W3938" s="1634"/>
    </row>
    <row r="3939" spans="6:23" ht="46.5" customHeight="1">
      <c r="F3939" s="1640">
        <v>4.87</v>
      </c>
      <c r="G3939" s="1638" t="s">
        <v>13</v>
      </c>
      <c r="H3939" s="1627" t="s">
        <v>1654</v>
      </c>
      <c r="I3939" s="1640">
        <f t="shared" si="366"/>
        <v>98792.5</v>
      </c>
      <c r="J3939" s="1627" t="s">
        <v>251</v>
      </c>
      <c r="K3939" s="1640">
        <f>F3939*I3939/1000</f>
        <v>481.11947500000002</v>
      </c>
      <c r="W3939" s="1634"/>
    </row>
    <row r="3940" spans="6:23" ht="24" customHeight="1">
      <c r="F3940" s="1640">
        <v>3</v>
      </c>
      <c r="G3940" s="1638" t="s">
        <v>153</v>
      </c>
      <c r="H3940" s="1627" t="s">
        <v>1656</v>
      </c>
      <c r="I3940" s="1690">
        <f t="shared" si="366"/>
        <v>14.8</v>
      </c>
      <c r="J3940" s="1627" t="s">
        <v>153</v>
      </c>
      <c r="K3940" s="1640">
        <f t="shared" ref="K3940:K3947" si="367">F3940*I3940</f>
        <v>44.400000000000006</v>
      </c>
      <c r="W3940" s="1634"/>
    </row>
    <row r="3941" spans="6:23" ht="24" customHeight="1">
      <c r="F3941" s="1640">
        <v>12</v>
      </c>
      <c r="G3941" s="1638" t="s">
        <v>153</v>
      </c>
      <c r="H3941" s="1627" t="s">
        <v>1657</v>
      </c>
      <c r="I3941" s="1690">
        <f t="shared" si="366"/>
        <v>2</v>
      </c>
      <c r="J3941" s="1627" t="s">
        <v>153</v>
      </c>
      <c r="K3941" s="1640">
        <f t="shared" si="367"/>
        <v>24</v>
      </c>
      <c r="W3941" s="1634"/>
    </row>
    <row r="3942" spans="6:23" ht="24" customHeight="1">
      <c r="F3942" s="1640">
        <v>2</v>
      </c>
      <c r="G3942" s="1638" t="s">
        <v>153</v>
      </c>
      <c r="H3942" s="1627" t="s">
        <v>1658</v>
      </c>
      <c r="I3942" s="1690">
        <f t="shared" si="366"/>
        <v>4.9000000000000004</v>
      </c>
      <c r="J3942" s="1627" t="s">
        <v>153</v>
      </c>
      <c r="K3942" s="1640">
        <f t="shared" si="367"/>
        <v>9.8000000000000007</v>
      </c>
      <c r="W3942" s="1634"/>
    </row>
    <row r="3943" spans="6:23" ht="24" customHeight="1">
      <c r="F3943" s="1640">
        <v>6</v>
      </c>
      <c r="G3943" s="1638" t="s">
        <v>153</v>
      </c>
      <c r="H3943" s="1627" t="s">
        <v>1660</v>
      </c>
      <c r="I3943" s="1690">
        <f t="shared" si="366"/>
        <v>4.45</v>
      </c>
      <c r="J3943" s="1627" t="s">
        <v>153</v>
      </c>
      <c r="K3943" s="1640">
        <f t="shared" si="367"/>
        <v>26.700000000000003</v>
      </c>
      <c r="W3943" s="1634"/>
    </row>
    <row r="3944" spans="6:23" ht="24" customHeight="1">
      <c r="F3944" s="1640">
        <v>1</v>
      </c>
      <c r="G3944" s="1638" t="s">
        <v>153</v>
      </c>
      <c r="H3944" s="1627" t="s">
        <v>1663</v>
      </c>
      <c r="I3944" s="1640">
        <f t="shared" si="366"/>
        <v>1325.8</v>
      </c>
      <c r="J3944" s="1627" t="s">
        <v>153</v>
      </c>
      <c r="K3944" s="1640">
        <f t="shared" si="367"/>
        <v>1325.8</v>
      </c>
      <c r="W3944" s="1634"/>
    </row>
    <row r="3945" spans="6:23" ht="24" customHeight="1">
      <c r="F3945" s="1640">
        <v>1</v>
      </c>
      <c r="G3945" s="1638" t="s">
        <v>153</v>
      </c>
      <c r="H3945" s="1627" t="s">
        <v>1664</v>
      </c>
      <c r="I3945" s="1640">
        <f t="shared" si="366"/>
        <v>865.19999999999993</v>
      </c>
      <c r="J3945" s="1627" t="s">
        <v>153</v>
      </c>
      <c r="K3945" s="1640">
        <f t="shared" si="367"/>
        <v>865.19999999999993</v>
      </c>
      <c r="W3945" s="1634"/>
    </row>
    <row r="3946" spans="6:23" ht="24" customHeight="1">
      <c r="F3946" s="1640">
        <v>1</v>
      </c>
      <c r="G3946" s="1638" t="s">
        <v>153</v>
      </c>
      <c r="H3946" s="1627" t="s">
        <v>1665</v>
      </c>
      <c r="I3946" s="1690">
        <v>25</v>
      </c>
      <c r="J3946" s="1627" t="s">
        <v>153</v>
      </c>
      <c r="K3946" s="1640">
        <f t="shared" si="367"/>
        <v>25</v>
      </c>
      <c r="W3946" s="1634"/>
    </row>
    <row r="3947" spans="6:23" ht="24" customHeight="1">
      <c r="F3947" s="1640">
        <v>0.5</v>
      </c>
      <c r="G3947" s="1638" t="s">
        <v>153</v>
      </c>
      <c r="H3947" s="1627" t="s">
        <v>1666</v>
      </c>
      <c r="I3947" s="1640">
        <f>I3929</f>
        <v>709.8</v>
      </c>
      <c r="J3947" s="1627" t="s">
        <v>153</v>
      </c>
      <c r="K3947" s="1640">
        <f t="shared" si="367"/>
        <v>354.9</v>
      </c>
      <c r="W3947" s="1634"/>
    </row>
    <row r="3948" spans="6:23" ht="24" customHeight="1">
      <c r="G3948" s="1638" t="s">
        <v>226</v>
      </c>
      <c r="H3948" s="1627" t="s">
        <v>1667</v>
      </c>
      <c r="J3948" s="1627" t="s">
        <v>226</v>
      </c>
      <c r="K3948" s="1640">
        <f>1.9+0.08</f>
        <v>1.98</v>
      </c>
      <c r="W3948" s="1634"/>
    </row>
    <row r="3949" spans="6:23" ht="24" customHeight="1">
      <c r="K3949" s="1636" t="s">
        <v>21</v>
      </c>
      <c r="W3949" s="1634"/>
    </row>
    <row r="3950" spans="6:23" ht="24" customHeight="1">
      <c r="H3950" s="1641" t="s">
        <v>1668</v>
      </c>
      <c r="K3950" s="1639">
        <f>SUM(K3938:K3948)</f>
        <v>3553.4577773999999</v>
      </c>
      <c r="L3950" s="1629">
        <f>K3950-1729</f>
        <v>1824.4577773999999</v>
      </c>
      <c r="W3950" s="1634"/>
    </row>
    <row r="3951" spans="6:23" ht="24" customHeight="1">
      <c r="K3951" s="1636" t="s">
        <v>21</v>
      </c>
      <c r="W3951" s="1634"/>
    </row>
    <row r="3952" spans="6:23" ht="24" customHeight="1">
      <c r="F3952" s="1628"/>
      <c r="G3952" s="1638" t="s">
        <v>520</v>
      </c>
      <c r="H3952" s="1628" t="s">
        <v>1678</v>
      </c>
      <c r="W3952" s="1634"/>
    </row>
    <row r="3953" spans="6:23" ht="24" customHeight="1">
      <c r="H3953" s="1628" t="s">
        <v>1662</v>
      </c>
      <c r="W3953" s="1634"/>
    </row>
    <row r="3954" spans="6:23" ht="24" customHeight="1">
      <c r="F3954" s="1691">
        <v>3.5299999999999998E-2</v>
      </c>
      <c r="G3954" s="1638" t="s">
        <v>151</v>
      </c>
      <c r="H3954" s="1627" t="s">
        <v>1652</v>
      </c>
      <c r="I3954" s="1640">
        <f t="shared" ref="I3954:I3959" si="368">I3938</f>
        <v>10721.692999999999</v>
      </c>
      <c r="J3954" s="1627" t="s">
        <v>151</v>
      </c>
      <c r="K3954" s="1640">
        <f>F3954*I3954</f>
        <v>378.47576289999995</v>
      </c>
      <c r="W3954" s="1634"/>
    </row>
    <row r="3955" spans="6:23" ht="24" customHeight="1">
      <c r="F3955" s="1640">
        <v>4.59</v>
      </c>
      <c r="G3955" s="1638" t="s">
        <v>13</v>
      </c>
      <c r="H3955" s="1627" t="s">
        <v>1654</v>
      </c>
      <c r="I3955" s="1640">
        <f t="shared" si="368"/>
        <v>98792.5</v>
      </c>
      <c r="J3955" s="1627" t="s">
        <v>251</v>
      </c>
      <c r="K3955" s="1640">
        <f>F3955*I3955/1000</f>
        <v>453.45757500000002</v>
      </c>
      <c r="W3955" s="1634"/>
    </row>
    <row r="3956" spans="6:23" ht="24" customHeight="1">
      <c r="F3956" s="1640">
        <v>3</v>
      </c>
      <c r="G3956" s="1638" t="s">
        <v>153</v>
      </c>
      <c r="H3956" s="1627" t="s">
        <v>1656</v>
      </c>
      <c r="I3956" s="1690">
        <f t="shared" si="368"/>
        <v>14.8</v>
      </c>
      <c r="J3956" s="1627" t="s">
        <v>153</v>
      </c>
      <c r="K3956" s="1640">
        <f t="shared" ref="K3956:K3963" si="369">F3956*I3956</f>
        <v>44.400000000000006</v>
      </c>
      <c r="W3956" s="1634"/>
    </row>
    <row r="3957" spans="6:23" ht="24" customHeight="1">
      <c r="F3957" s="1640">
        <v>12</v>
      </c>
      <c r="G3957" s="1638" t="s">
        <v>153</v>
      </c>
      <c r="H3957" s="1627" t="s">
        <v>1657</v>
      </c>
      <c r="I3957" s="1690">
        <f t="shared" si="368"/>
        <v>2</v>
      </c>
      <c r="J3957" s="1627" t="s">
        <v>153</v>
      </c>
      <c r="K3957" s="1640">
        <f t="shared" si="369"/>
        <v>24</v>
      </c>
      <c r="W3957" s="1634"/>
    </row>
    <row r="3958" spans="6:23" ht="24" customHeight="1">
      <c r="F3958" s="1640">
        <v>2</v>
      </c>
      <c r="G3958" s="1638" t="s">
        <v>153</v>
      </c>
      <c r="H3958" s="1640" t="str">
        <f>H3942</f>
        <v>TOWER BOLT RECEIVER</v>
      </c>
      <c r="I3958" s="1690">
        <f t="shared" si="368"/>
        <v>4.9000000000000004</v>
      </c>
      <c r="J3958" s="1627" t="s">
        <v>153</v>
      </c>
      <c r="K3958" s="1640">
        <f t="shared" si="369"/>
        <v>9.8000000000000007</v>
      </c>
      <c r="W3958" s="1634"/>
    </row>
    <row r="3959" spans="6:23" ht="24" customHeight="1">
      <c r="F3959" s="1640">
        <v>6</v>
      </c>
      <c r="G3959" s="1638" t="s">
        <v>153</v>
      </c>
      <c r="H3959" s="1627" t="s">
        <v>1660</v>
      </c>
      <c r="I3959" s="1690">
        <f t="shared" si="368"/>
        <v>4.45</v>
      </c>
      <c r="J3959" s="1627" t="s">
        <v>153</v>
      </c>
      <c r="K3959" s="1640">
        <f t="shared" si="369"/>
        <v>26.700000000000003</v>
      </c>
      <c r="W3959" s="1634"/>
    </row>
    <row r="3960" spans="6:23" ht="24" customHeight="1">
      <c r="F3960" s="1640">
        <v>1</v>
      </c>
      <c r="G3960" s="1638" t="s">
        <v>153</v>
      </c>
      <c r="H3960" s="1627" t="s">
        <v>1663</v>
      </c>
      <c r="I3960" s="1640">
        <f>I3944</f>
        <v>1325.8</v>
      </c>
      <c r="J3960" s="1627" t="s">
        <v>153</v>
      </c>
      <c r="K3960" s="1640">
        <f t="shared" si="369"/>
        <v>1325.8</v>
      </c>
      <c r="W3960" s="1634"/>
    </row>
    <row r="3961" spans="6:23" ht="24" customHeight="1">
      <c r="F3961" s="1640">
        <v>1</v>
      </c>
      <c r="G3961" s="1638" t="s">
        <v>153</v>
      </c>
      <c r="H3961" s="1627" t="s">
        <v>1664</v>
      </c>
      <c r="I3961" s="1640">
        <f>I3945</f>
        <v>865.19999999999993</v>
      </c>
      <c r="J3961" s="1627" t="s">
        <v>153</v>
      </c>
      <c r="K3961" s="1640">
        <f t="shared" si="369"/>
        <v>865.19999999999993</v>
      </c>
      <c r="W3961" s="1634"/>
    </row>
    <row r="3962" spans="6:23" ht="24" customHeight="1">
      <c r="F3962" s="1640">
        <v>1</v>
      </c>
      <c r="G3962" s="1638" t="s">
        <v>153</v>
      </c>
      <c r="H3962" s="1640" t="str">
        <f>H3946</f>
        <v>MOULDING CHARGES</v>
      </c>
      <c r="I3962" s="1640">
        <f>I3946</f>
        <v>25</v>
      </c>
      <c r="J3962" s="1627" t="s">
        <v>153</v>
      </c>
      <c r="K3962" s="1640">
        <f t="shared" si="369"/>
        <v>25</v>
      </c>
      <c r="W3962" s="1634"/>
    </row>
    <row r="3963" spans="6:23" ht="24" customHeight="1">
      <c r="F3963" s="1640">
        <v>0.5</v>
      </c>
      <c r="G3963" s="1638" t="s">
        <v>153</v>
      </c>
      <c r="H3963" s="1627" t="s">
        <v>1666</v>
      </c>
      <c r="I3963" s="1640">
        <f>I3947</f>
        <v>709.8</v>
      </c>
      <c r="J3963" s="1627" t="s">
        <v>153</v>
      </c>
      <c r="K3963" s="1640">
        <f t="shared" si="369"/>
        <v>354.9</v>
      </c>
      <c r="W3963" s="1634"/>
    </row>
    <row r="3964" spans="6:23" ht="24" customHeight="1">
      <c r="G3964" s="1638" t="s">
        <v>226</v>
      </c>
      <c r="H3964" s="1627" t="s">
        <v>1667</v>
      </c>
      <c r="I3964" s="1640">
        <f>I3948</f>
        <v>0</v>
      </c>
      <c r="J3964" s="1627" t="s">
        <v>226</v>
      </c>
      <c r="K3964" s="1640">
        <v>1.39</v>
      </c>
      <c r="W3964" s="1634"/>
    </row>
    <row r="3965" spans="6:23" ht="24" customHeight="1">
      <c r="K3965" s="1636" t="s">
        <v>21</v>
      </c>
      <c r="W3965" s="1634"/>
    </row>
    <row r="3966" spans="6:23" ht="24" customHeight="1">
      <c r="H3966" s="1641" t="s">
        <v>1668</v>
      </c>
      <c r="K3966" s="1639">
        <f>SUM(K3954:K3964)</f>
        <v>3509.1233378999996</v>
      </c>
      <c r="W3966" s="1634"/>
    </row>
    <row r="3967" spans="6:23" ht="24" customHeight="1">
      <c r="K3967" s="1636" t="s">
        <v>21</v>
      </c>
      <c r="W3967" s="1634"/>
    </row>
    <row r="3968" spans="6:23" ht="24" customHeight="1">
      <c r="W3968" s="1634"/>
    </row>
    <row r="3969" spans="6:23" ht="24" customHeight="1">
      <c r="G3969" s="1629"/>
      <c r="H3969" s="1628" t="s">
        <v>1649</v>
      </c>
      <c r="J3969" s="1629"/>
      <c r="K3969" s="1636"/>
      <c r="W3969" s="1634"/>
    </row>
    <row r="3970" spans="6:23" ht="24" customHeight="1">
      <c r="G3970" s="1629"/>
      <c r="J3970" s="1629"/>
      <c r="K3970" s="1636"/>
      <c r="W3970" s="1634"/>
    </row>
    <row r="3971" spans="6:23" ht="24" customHeight="1">
      <c r="F3971" s="1691">
        <v>6.5000000000000002E-2</v>
      </c>
      <c r="G3971" s="1638" t="s">
        <v>151</v>
      </c>
      <c r="H3971" s="1627" t="s">
        <v>1652</v>
      </c>
      <c r="I3971" s="1640">
        <f>I3954</f>
        <v>10721.692999999999</v>
      </c>
      <c r="J3971" s="1627" t="s">
        <v>151</v>
      </c>
      <c r="K3971" s="1640">
        <f>I3971*F3971</f>
        <v>696.91004499999997</v>
      </c>
      <c r="W3971" s="1634"/>
    </row>
    <row r="3972" spans="6:23" ht="24" customHeight="1">
      <c r="F3972" s="1706">
        <v>8.4499999999999993</v>
      </c>
      <c r="G3972" s="1638" t="s">
        <v>13</v>
      </c>
      <c r="H3972" s="1627" t="s">
        <v>1654</v>
      </c>
      <c r="I3972" s="1640">
        <f t="shared" ref="I3972:I3981" si="370">I3955</f>
        <v>98792.5</v>
      </c>
      <c r="J3972" s="1627" t="s">
        <v>251</v>
      </c>
      <c r="K3972" s="1640">
        <f>I3972*F3972/1000</f>
        <v>834.79662499999984</v>
      </c>
      <c r="W3972" s="1634"/>
    </row>
    <row r="3973" spans="6:23" ht="24" customHeight="1">
      <c r="F3973" s="1640">
        <v>3</v>
      </c>
      <c r="G3973" s="1638" t="s">
        <v>153</v>
      </c>
      <c r="H3973" s="1627" t="s">
        <v>1656</v>
      </c>
      <c r="I3973" s="1640">
        <f t="shared" si="370"/>
        <v>14.8</v>
      </c>
      <c r="J3973" s="1627" t="s">
        <v>153</v>
      </c>
      <c r="K3973" s="1640">
        <f t="shared" ref="K3973:K3980" si="371">I3973*F3973</f>
        <v>44.400000000000006</v>
      </c>
      <c r="W3973" s="1634"/>
    </row>
    <row r="3974" spans="6:23" ht="24" customHeight="1">
      <c r="F3974" s="1640">
        <v>12</v>
      </c>
      <c r="G3974" s="1638" t="s">
        <v>153</v>
      </c>
      <c r="H3974" s="1627" t="s">
        <v>1657</v>
      </c>
      <c r="I3974" s="1640">
        <f t="shared" si="370"/>
        <v>2</v>
      </c>
      <c r="J3974" s="1627" t="s">
        <v>153</v>
      </c>
      <c r="K3974" s="1640">
        <f t="shared" si="371"/>
        <v>24</v>
      </c>
      <c r="W3974" s="1634"/>
    </row>
    <row r="3975" spans="6:23" ht="24" customHeight="1">
      <c r="F3975" s="1640">
        <v>2</v>
      </c>
      <c r="G3975" s="1638" t="s">
        <v>153</v>
      </c>
      <c r="H3975" s="1627" t="s">
        <v>1658</v>
      </c>
      <c r="I3975" s="1640">
        <f t="shared" si="370"/>
        <v>4.9000000000000004</v>
      </c>
      <c r="J3975" s="1627" t="s">
        <v>153</v>
      </c>
      <c r="K3975" s="1640">
        <f t="shared" si="371"/>
        <v>9.8000000000000007</v>
      </c>
      <c r="W3975" s="1634"/>
    </row>
    <row r="3976" spans="6:23" ht="24" customHeight="1">
      <c r="F3976" s="1640">
        <v>6</v>
      </c>
      <c r="G3976" s="1638" t="s">
        <v>153</v>
      </c>
      <c r="H3976" s="1627" t="s">
        <v>1660</v>
      </c>
      <c r="I3976" s="1640">
        <f t="shared" si="370"/>
        <v>4.45</v>
      </c>
      <c r="J3976" s="1627" t="s">
        <v>153</v>
      </c>
      <c r="K3976" s="1640">
        <f t="shared" si="371"/>
        <v>26.700000000000003</v>
      </c>
      <c r="W3976" s="1634"/>
    </row>
    <row r="3977" spans="6:23" ht="24" customHeight="1">
      <c r="F3977" s="1640">
        <v>1</v>
      </c>
      <c r="G3977" s="1638" t="s">
        <v>153</v>
      </c>
      <c r="H3977" s="1627" t="s">
        <v>1663</v>
      </c>
      <c r="I3977" s="1640">
        <f t="shared" si="370"/>
        <v>1325.8</v>
      </c>
      <c r="J3977" s="1627" t="s">
        <v>153</v>
      </c>
      <c r="K3977" s="1640">
        <f t="shared" si="371"/>
        <v>1325.8</v>
      </c>
      <c r="W3977" s="1634"/>
    </row>
    <row r="3978" spans="6:23" ht="24" customHeight="1">
      <c r="F3978" s="1640">
        <v>1</v>
      </c>
      <c r="G3978" s="1638" t="s">
        <v>153</v>
      </c>
      <c r="H3978" s="1627" t="s">
        <v>1664</v>
      </c>
      <c r="I3978" s="1640">
        <f t="shared" si="370"/>
        <v>865.19999999999993</v>
      </c>
      <c r="J3978" s="1627" t="s">
        <v>153</v>
      </c>
      <c r="K3978" s="1640">
        <f t="shared" si="371"/>
        <v>865.19999999999993</v>
      </c>
      <c r="W3978" s="1634"/>
    </row>
    <row r="3979" spans="6:23" ht="24" customHeight="1">
      <c r="F3979" s="1640">
        <v>1</v>
      </c>
      <c r="G3979" s="1638" t="s">
        <v>153</v>
      </c>
      <c r="H3979" s="1627" t="s">
        <v>1665</v>
      </c>
      <c r="I3979" s="1640">
        <f t="shared" si="370"/>
        <v>25</v>
      </c>
      <c r="J3979" s="1627" t="s">
        <v>153</v>
      </c>
      <c r="K3979" s="1640">
        <f t="shared" si="371"/>
        <v>25</v>
      </c>
      <c r="W3979" s="1634"/>
    </row>
    <row r="3980" spans="6:23" ht="24" customHeight="1">
      <c r="F3980" s="1640">
        <v>0.5</v>
      </c>
      <c r="G3980" s="1638" t="s">
        <v>153</v>
      </c>
      <c r="H3980" s="1627" t="s">
        <v>1666</v>
      </c>
      <c r="I3980" s="1640">
        <f t="shared" si="370"/>
        <v>709.8</v>
      </c>
      <c r="J3980" s="1627" t="s">
        <v>153</v>
      </c>
      <c r="K3980" s="1640">
        <f t="shared" si="371"/>
        <v>354.9</v>
      </c>
      <c r="W3980" s="1634"/>
    </row>
    <row r="3981" spans="6:23" ht="24" customHeight="1">
      <c r="G3981" s="1638" t="s">
        <v>226</v>
      </c>
      <c r="H3981" s="1627" t="s">
        <v>1667</v>
      </c>
      <c r="I3981" s="1640">
        <f t="shared" si="370"/>
        <v>0</v>
      </c>
      <c r="J3981" s="1627" t="s">
        <v>226</v>
      </c>
      <c r="K3981" s="1640">
        <v>2.1</v>
      </c>
      <c r="W3981" s="1634"/>
    </row>
    <row r="3982" spans="6:23" ht="24" customHeight="1">
      <c r="K3982" s="1636" t="s">
        <v>21</v>
      </c>
      <c r="W3982" s="1634"/>
    </row>
    <row r="3983" spans="6:23" ht="24" customHeight="1">
      <c r="H3983" s="1641" t="s">
        <v>1668</v>
      </c>
      <c r="K3983" s="1635">
        <f>SUM(K3971:K3981)</f>
        <v>4209.6066700000001</v>
      </c>
      <c r="W3983" s="1634"/>
    </row>
    <row r="3984" spans="6:23" ht="24" customHeight="1">
      <c r="K3984" s="1636" t="s">
        <v>21</v>
      </c>
      <c r="W3984" s="1634"/>
    </row>
    <row r="3985" spans="6:23" ht="24" customHeight="1">
      <c r="F3985" s="2008" t="s">
        <v>3141</v>
      </c>
      <c r="G3985" s="2008"/>
      <c r="H3985" s="2008"/>
      <c r="I3985" s="1736"/>
      <c r="J3985" s="1736"/>
      <c r="W3985" s="1634"/>
    </row>
    <row r="3986" spans="6:23" ht="24" customHeight="1">
      <c r="F3986" s="1633"/>
      <c r="H3986" s="1661" t="s">
        <v>3142</v>
      </c>
      <c r="W3986" s="1634"/>
    </row>
    <row r="3987" spans="6:23" ht="24" customHeight="1">
      <c r="F3987" s="1658">
        <v>4.88</v>
      </c>
      <c r="G3987" s="1638" t="s">
        <v>534</v>
      </c>
      <c r="H3987" s="1627" t="s">
        <v>1936</v>
      </c>
      <c r="I3987" s="1640">
        <f>AD1350</f>
        <v>325</v>
      </c>
      <c r="J3987" s="1638" t="s">
        <v>534</v>
      </c>
      <c r="K3987" s="1640">
        <f t="shared" ref="K3987:K3996" si="372">I3987*F3987</f>
        <v>1586</v>
      </c>
      <c r="W3987" s="1634"/>
    </row>
    <row r="3988" spans="6:23" ht="24" customHeight="1">
      <c r="F3988" s="1658">
        <v>7.76</v>
      </c>
      <c r="G3988" s="1638" t="s">
        <v>534</v>
      </c>
      <c r="H3988" s="1627" t="s">
        <v>1936</v>
      </c>
      <c r="I3988" s="1640">
        <f>I3987</f>
        <v>325</v>
      </c>
      <c r="J3988" s="1638" t="s">
        <v>534</v>
      </c>
      <c r="K3988" s="1640">
        <f t="shared" si="372"/>
        <v>2522</v>
      </c>
      <c r="W3988" s="1634"/>
    </row>
    <row r="3989" spans="6:23" ht="24" customHeight="1">
      <c r="F3989" s="1658">
        <v>3.03</v>
      </c>
      <c r="G3989" s="1638" t="s">
        <v>534</v>
      </c>
      <c r="H3989" s="1627" t="s">
        <v>1936</v>
      </c>
      <c r="I3989" s="1640">
        <f>I3988</f>
        <v>325</v>
      </c>
      <c r="J3989" s="1638" t="s">
        <v>534</v>
      </c>
      <c r="K3989" s="1640">
        <f t="shared" si="372"/>
        <v>984.74999999999989</v>
      </c>
      <c r="W3989" s="1634"/>
    </row>
    <row r="3990" spans="6:23" ht="24" customHeight="1">
      <c r="F3990" s="1658">
        <v>1.45</v>
      </c>
      <c r="G3990" s="1638" t="s">
        <v>534</v>
      </c>
      <c r="H3990" s="1627" t="s">
        <v>1936</v>
      </c>
      <c r="I3990" s="1640">
        <f>I3989</f>
        <v>325</v>
      </c>
      <c r="J3990" s="1638" t="s">
        <v>534</v>
      </c>
      <c r="K3990" s="1640">
        <f t="shared" si="372"/>
        <v>471.25</v>
      </c>
      <c r="W3990" s="1634"/>
    </row>
    <row r="3991" spans="6:23" ht="24" customHeight="1">
      <c r="F3991" s="1658">
        <v>2.4300000000000002</v>
      </c>
      <c r="G3991" s="1638" t="s">
        <v>533</v>
      </c>
      <c r="H3991" s="1627" t="s">
        <v>1940</v>
      </c>
      <c r="I3991" s="1640">
        <f>AD1354</f>
        <v>306.89999999999998</v>
      </c>
      <c r="J3991" s="1638" t="s">
        <v>533</v>
      </c>
      <c r="K3991" s="1640">
        <f t="shared" si="372"/>
        <v>745.76699999999994</v>
      </c>
      <c r="W3991" s="1634"/>
    </row>
    <row r="3992" spans="6:23" ht="24" customHeight="1">
      <c r="F3992" s="1658">
        <v>11.7</v>
      </c>
      <c r="G3992" s="1638" t="s">
        <v>303</v>
      </c>
      <c r="H3992" s="1627" t="s">
        <v>1942</v>
      </c>
      <c r="I3992" s="1640">
        <f>AD1355</f>
        <v>29.05</v>
      </c>
      <c r="J3992" s="1638" t="s">
        <v>303</v>
      </c>
      <c r="K3992" s="1640">
        <f t="shared" si="372"/>
        <v>339.88499999999999</v>
      </c>
      <c r="W3992" s="1634"/>
    </row>
    <row r="3993" spans="6:23" ht="24" customHeight="1">
      <c r="F3993" s="1658">
        <v>3</v>
      </c>
      <c r="G3993" s="1638" t="s">
        <v>4</v>
      </c>
      <c r="H3993" s="1627" t="s">
        <v>3143</v>
      </c>
      <c r="I3993" s="1640">
        <v>350</v>
      </c>
      <c r="J3993" s="1638" t="s">
        <v>4</v>
      </c>
      <c r="K3993" s="1640">
        <f t="shared" si="372"/>
        <v>1050</v>
      </c>
      <c r="W3993" s="1634"/>
    </row>
    <row r="3994" spans="6:23" ht="24" customHeight="1">
      <c r="F3994" s="1658">
        <v>3</v>
      </c>
      <c r="G3994" s="1638" t="s">
        <v>4</v>
      </c>
      <c r="H3994" s="1627" t="s">
        <v>1945</v>
      </c>
      <c r="I3994" s="1640">
        <f>V1359</f>
        <v>57.65</v>
      </c>
      <c r="J3994" s="1638" t="s">
        <v>4</v>
      </c>
      <c r="K3994" s="1640">
        <f t="shared" si="372"/>
        <v>172.95</v>
      </c>
      <c r="W3994" s="1634"/>
    </row>
    <row r="3995" spans="6:23" ht="24" customHeight="1">
      <c r="F3995" s="1658">
        <v>4</v>
      </c>
      <c r="G3995" s="1638" t="s">
        <v>4</v>
      </c>
      <c r="H3995" s="1627" t="s">
        <v>1951</v>
      </c>
      <c r="I3995" s="1640">
        <f>AD1360</f>
        <v>15</v>
      </c>
      <c r="J3995" s="1638" t="s">
        <v>4</v>
      </c>
      <c r="K3995" s="1640">
        <f t="shared" si="372"/>
        <v>60</v>
      </c>
      <c r="W3995" s="1634"/>
    </row>
    <row r="3996" spans="6:23" ht="24" customHeight="1">
      <c r="F3996" s="1658">
        <v>2.4300000000000002</v>
      </c>
      <c r="G3996" s="1638" t="s">
        <v>306</v>
      </c>
      <c r="H3996" s="1627" t="s">
        <v>1952</v>
      </c>
      <c r="I3996" s="1640">
        <f>AD1361</f>
        <v>2654.4</v>
      </c>
      <c r="J3996" s="1638" t="s">
        <v>4</v>
      </c>
      <c r="K3996" s="1640">
        <f t="shared" si="372"/>
        <v>6450.1920000000009</v>
      </c>
      <c r="W3996" s="1634"/>
    </row>
    <row r="3997" spans="6:23" ht="24" customHeight="1">
      <c r="F3997" s="1633"/>
      <c r="H3997" s="1627" t="s">
        <v>1954</v>
      </c>
      <c r="J3997" s="1638"/>
      <c r="K3997" s="1640"/>
      <c r="W3997" s="1634"/>
    </row>
    <row r="3998" spans="6:23" ht="24" customHeight="1">
      <c r="F3998" s="1633"/>
      <c r="G3998" s="1629"/>
      <c r="H3998" s="1637" t="s">
        <v>1956</v>
      </c>
      <c r="J3998" s="1629"/>
      <c r="K3998" s="1640">
        <f>SUM(K3987:K3997)</f>
        <v>14382.794000000002</v>
      </c>
      <c r="W3998" s="1634"/>
    </row>
    <row r="3999" spans="6:23" ht="24" customHeight="1">
      <c r="F3999" s="1633"/>
      <c r="G3999" s="1629"/>
      <c r="H3999" s="1637" t="s">
        <v>3144</v>
      </c>
      <c r="J3999" s="1638" t="s">
        <v>306</v>
      </c>
      <c r="K3999" s="1640">
        <f>K3998/F3996</f>
        <v>5918.8452674897126</v>
      </c>
      <c r="W3999" s="1634"/>
    </row>
    <row r="4000" spans="6:23" ht="24" customHeight="1">
      <c r="F4000" s="1633"/>
      <c r="G4000" s="1629"/>
      <c r="J4000" s="1629"/>
      <c r="K4000" s="1639"/>
      <c r="W4000" s="1634"/>
    </row>
    <row r="4001" spans="6:23" ht="24" customHeight="1">
      <c r="F4001" s="1633"/>
      <c r="G4001" s="1629"/>
      <c r="J4001" s="1629"/>
      <c r="W4001" s="1634"/>
    </row>
    <row r="4002" spans="6:23" ht="24" customHeight="1">
      <c r="F4002" s="1737"/>
      <c r="G4002" s="1741"/>
      <c r="H4002" s="2008" t="s">
        <v>3145</v>
      </c>
      <c r="I4002" s="2008"/>
      <c r="J4002" s="2008"/>
      <c r="K4002" s="2008"/>
      <c r="W4002" s="1634"/>
    </row>
    <row r="4003" spans="6:23" ht="24" customHeight="1">
      <c r="F4003" s="1692"/>
      <c r="G4003" s="1638"/>
      <c r="H4003" s="1627"/>
      <c r="I4003" s="1640"/>
      <c r="J4003" s="1638"/>
      <c r="K4003" s="1640"/>
      <c r="W4003" s="1634"/>
    </row>
    <row r="4004" spans="6:23" ht="24" customHeight="1">
      <c r="F4004" s="1692"/>
      <c r="G4004" s="1638"/>
      <c r="H4004" s="1627"/>
      <c r="I4004" s="1640"/>
      <c r="J4004" s="1638"/>
      <c r="K4004" s="1640"/>
      <c r="W4004" s="1634"/>
    </row>
    <row r="4005" spans="6:23" ht="24" customHeight="1">
      <c r="F4005" s="1692"/>
      <c r="G4005" s="1638"/>
      <c r="H4005" s="1627"/>
      <c r="I4005" s="1640"/>
      <c r="J4005" s="1638"/>
      <c r="K4005" s="1640"/>
      <c r="W4005" s="1634"/>
    </row>
    <row r="4006" spans="6:23" ht="24" customHeight="1">
      <c r="F4006" s="1692">
        <v>12.08</v>
      </c>
      <c r="G4006" s="1638" t="s">
        <v>534</v>
      </c>
      <c r="H4006" s="1627" t="s">
        <v>1936</v>
      </c>
      <c r="I4006" s="1640">
        <f>I3987</f>
        <v>325</v>
      </c>
      <c r="J4006" s="1638" t="s">
        <v>534</v>
      </c>
      <c r="K4006" s="1640">
        <f>I4006*F4006</f>
        <v>3926</v>
      </c>
      <c r="W4006" s="1634"/>
    </row>
    <row r="4007" spans="6:23" ht="24" customHeight="1">
      <c r="F4007" s="1692">
        <v>1.823</v>
      </c>
      <c r="G4007" s="1638" t="s">
        <v>533</v>
      </c>
      <c r="H4007" s="1627" t="s">
        <v>1940</v>
      </c>
      <c r="I4007" s="1640">
        <f>I3991</f>
        <v>306.89999999999998</v>
      </c>
      <c r="J4007" s="1638" t="s">
        <v>533</v>
      </c>
      <c r="K4007" s="1640">
        <f t="shared" ref="K4007:K4012" si="373">I4007*F4007</f>
        <v>559.47869999999989</v>
      </c>
      <c r="W4007" s="1634"/>
    </row>
    <row r="4008" spans="6:23" ht="24" customHeight="1">
      <c r="F4008" s="1692">
        <v>8.1</v>
      </c>
      <c r="G4008" s="1638" t="s">
        <v>303</v>
      </c>
      <c r="H4008" s="1627" t="s">
        <v>1942</v>
      </c>
      <c r="I4008" s="1640">
        <f>I3992</f>
        <v>29.05</v>
      </c>
      <c r="J4008" s="1638" t="s">
        <v>303</v>
      </c>
      <c r="K4008" s="1640">
        <f t="shared" si="373"/>
        <v>235.30500000000001</v>
      </c>
      <c r="W4008" s="1634"/>
    </row>
    <row r="4009" spans="6:23" ht="24" customHeight="1">
      <c r="F4009" s="1692">
        <v>2</v>
      </c>
      <c r="G4009" s="1638" t="s">
        <v>2037</v>
      </c>
      <c r="H4009" s="1627" t="s">
        <v>3146</v>
      </c>
      <c r="I4009" s="1640">
        <f>I3993</f>
        <v>350</v>
      </c>
      <c r="J4009" s="1638" t="s">
        <v>4</v>
      </c>
      <c r="K4009" s="1640">
        <f t="shared" si="373"/>
        <v>700</v>
      </c>
      <c r="W4009" s="1634"/>
    </row>
    <row r="4010" spans="6:23" ht="24" customHeight="1">
      <c r="F4010" s="1692">
        <v>2</v>
      </c>
      <c r="G4010" s="1638" t="s">
        <v>4</v>
      </c>
      <c r="H4010" s="1627" t="s">
        <v>1945</v>
      </c>
      <c r="I4010" s="1640">
        <f>I3994</f>
        <v>57.65</v>
      </c>
      <c r="J4010" s="1638" t="s">
        <v>4</v>
      </c>
      <c r="K4010" s="1640">
        <f t="shared" si="373"/>
        <v>115.3</v>
      </c>
      <c r="W4010" s="1634"/>
    </row>
    <row r="4011" spans="6:23" ht="24" customHeight="1">
      <c r="F4011" s="1692">
        <v>4</v>
      </c>
      <c r="G4011" s="1638" t="s">
        <v>4</v>
      </c>
      <c r="H4011" s="1627" t="s">
        <v>1951</v>
      </c>
      <c r="I4011" s="1640">
        <v>15</v>
      </c>
      <c r="J4011" s="1638" t="s">
        <v>4</v>
      </c>
      <c r="K4011" s="1640">
        <f t="shared" si="373"/>
        <v>60</v>
      </c>
      <c r="W4011" s="1634"/>
    </row>
    <row r="4012" spans="6:23" ht="24" customHeight="1">
      <c r="F4012" s="1692">
        <v>1.823</v>
      </c>
      <c r="G4012" s="1638" t="s">
        <v>306</v>
      </c>
      <c r="H4012" s="1627" t="s">
        <v>1952</v>
      </c>
      <c r="I4012" s="1737">
        <f>I3996</f>
        <v>2654.4</v>
      </c>
      <c r="J4012" s="1638" t="s">
        <v>306</v>
      </c>
      <c r="K4012" s="1640">
        <f t="shared" si="373"/>
        <v>4838.9712</v>
      </c>
      <c r="W4012" s="1634"/>
    </row>
    <row r="4013" spans="6:23" ht="24" customHeight="1">
      <c r="F4013" s="1737"/>
      <c r="G4013" s="1741"/>
      <c r="H4013" s="1627"/>
      <c r="I4013" s="1737"/>
      <c r="J4013" s="1738"/>
      <c r="K4013" s="1640"/>
      <c r="W4013" s="1634"/>
    </row>
    <row r="4014" spans="6:23" ht="24" customHeight="1">
      <c r="F4014" s="1737"/>
      <c r="G4014" s="1737"/>
      <c r="H4014" s="1656" t="s">
        <v>3147</v>
      </c>
      <c r="I4014" s="1737"/>
      <c r="J4014" s="1737"/>
      <c r="K4014" s="1640">
        <f>SUM(K4006:K4013)</f>
        <v>10435.054899999999</v>
      </c>
      <c r="W4014" s="1634"/>
    </row>
    <row r="4015" spans="6:23" ht="24" customHeight="1">
      <c r="F4015" s="1737"/>
      <c r="G4015" s="1737"/>
      <c r="H4015" s="1656" t="s">
        <v>3148</v>
      </c>
      <c r="I4015" s="1737"/>
      <c r="J4015" s="1737"/>
      <c r="K4015" s="1743">
        <f>K4014/F4012</f>
        <v>5724.1113000548539</v>
      </c>
      <c r="W4015" s="1634"/>
    </row>
    <row r="4016" spans="6:23" ht="24" customHeight="1">
      <c r="F4016" s="1737"/>
      <c r="G4016" s="1737"/>
      <c r="H4016" s="1656"/>
      <c r="I4016" s="1737"/>
      <c r="J4016" s="1737"/>
      <c r="K4016" s="1737"/>
      <c r="W4016" s="1634"/>
    </row>
    <row r="4017" spans="6:23" ht="24" customHeight="1">
      <c r="F4017" s="1633"/>
      <c r="H4017" s="1661" t="s">
        <v>3149</v>
      </c>
      <c r="W4017" s="1634"/>
    </row>
    <row r="4018" spans="6:23" ht="24" customHeight="1">
      <c r="F4018" s="1658">
        <v>3.72</v>
      </c>
      <c r="G4018" s="1638" t="s">
        <v>534</v>
      </c>
      <c r="H4018" s="1627" t="s">
        <v>1936</v>
      </c>
      <c r="I4018" s="1640">
        <f>I3987</f>
        <v>325</v>
      </c>
      <c r="J4018" s="1638" t="s">
        <v>534</v>
      </c>
      <c r="K4018" s="1640">
        <f>I4018*F4018</f>
        <v>1209</v>
      </c>
      <c r="W4018" s="1634"/>
    </row>
    <row r="4019" spans="6:23" ht="24" customHeight="1">
      <c r="F4019" s="1658">
        <v>4.57</v>
      </c>
      <c r="G4019" s="1638" t="s">
        <v>534</v>
      </c>
      <c r="H4019" s="1627" t="s">
        <v>1936</v>
      </c>
      <c r="I4019" s="1640">
        <f>I4018</f>
        <v>325</v>
      </c>
      <c r="J4019" s="1638" t="s">
        <v>534</v>
      </c>
      <c r="K4019" s="1640">
        <f t="shared" ref="K4019:K4025" si="374">I4019*F4019</f>
        <v>1485.25</v>
      </c>
      <c r="W4019" s="1634"/>
    </row>
    <row r="4020" spans="6:23" ht="24" customHeight="1">
      <c r="F4020" s="1658">
        <v>1.18</v>
      </c>
      <c r="G4020" s="1638" t="s">
        <v>534</v>
      </c>
      <c r="H4020" s="1627" t="s">
        <v>1936</v>
      </c>
      <c r="I4020" s="1640">
        <f>I4019</f>
        <v>325</v>
      </c>
      <c r="J4020" s="1638" t="s">
        <v>534</v>
      </c>
      <c r="K4020" s="1640">
        <f t="shared" si="374"/>
        <v>383.5</v>
      </c>
      <c r="W4020" s="1634"/>
    </row>
    <row r="4021" spans="6:23" ht="24" customHeight="1">
      <c r="F4021" s="1658">
        <v>0.86</v>
      </c>
      <c r="G4021" s="1638" t="s">
        <v>534</v>
      </c>
      <c r="H4021" s="1627" t="s">
        <v>1936</v>
      </c>
      <c r="I4021" s="1640">
        <f>I4020</f>
        <v>325</v>
      </c>
      <c r="J4021" s="1638" t="s">
        <v>534</v>
      </c>
      <c r="K4021" s="1640">
        <f t="shared" si="374"/>
        <v>279.5</v>
      </c>
      <c r="W4021" s="1634"/>
    </row>
    <row r="4022" spans="6:23" ht="24" customHeight="1">
      <c r="F4022" s="1658">
        <v>1.42</v>
      </c>
      <c r="G4022" s="1638" t="s">
        <v>533</v>
      </c>
      <c r="H4022" s="1627" t="s">
        <v>1940</v>
      </c>
      <c r="I4022" s="1640">
        <f t="shared" ref="I4022:I4027" si="375">I4007</f>
        <v>306.89999999999998</v>
      </c>
      <c r="J4022" s="1638" t="s">
        <v>533</v>
      </c>
      <c r="K4022" s="1640">
        <f t="shared" si="374"/>
        <v>435.79799999999994</v>
      </c>
      <c r="W4022" s="1634"/>
    </row>
    <row r="4023" spans="6:23" ht="24" customHeight="1">
      <c r="F4023" s="1658">
        <v>6.9</v>
      </c>
      <c r="G4023" s="1638" t="s">
        <v>303</v>
      </c>
      <c r="H4023" s="1627" t="s">
        <v>1942</v>
      </c>
      <c r="I4023" s="1640">
        <f t="shared" si="375"/>
        <v>29.05</v>
      </c>
      <c r="J4023" s="1638" t="s">
        <v>303</v>
      </c>
      <c r="K4023" s="1640">
        <f t="shared" si="374"/>
        <v>200.44500000000002</v>
      </c>
      <c r="W4023" s="1634"/>
    </row>
    <row r="4024" spans="6:23" ht="24" customHeight="1">
      <c r="F4024" s="1658">
        <v>2</v>
      </c>
      <c r="G4024" s="1638" t="s">
        <v>4</v>
      </c>
      <c r="H4024" s="1627" t="s">
        <v>3146</v>
      </c>
      <c r="I4024" s="1640">
        <f t="shared" si="375"/>
        <v>350</v>
      </c>
      <c r="J4024" s="1638" t="s">
        <v>4</v>
      </c>
      <c r="K4024" s="1640">
        <f t="shared" si="374"/>
        <v>700</v>
      </c>
      <c r="W4024" s="1634"/>
    </row>
    <row r="4025" spans="6:23" ht="24" customHeight="1">
      <c r="F4025" s="1658">
        <v>2</v>
      </c>
      <c r="G4025" s="1638" t="s">
        <v>4</v>
      </c>
      <c r="H4025" s="1627" t="s">
        <v>1945</v>
      </c>
      <c r="I4025" s="1640">
        <f t="shared" si="375"/>
        <v>57.65</v>
      </c>
      <c r="J4025" s="1638" t="s">
        <v>4</v>
      </c>
      <c r="K4025" s="1640">
        <f t="shared" si="374"/>
        <v>115.3</v>
      </c>
      <c r="W4025" s="1634"/>
    </row>
    <row r="4026" spans="6:23" ht="24" customHeight="1">
      <c r="F4026" s="1658">
        <v>4</v>
      </c>
      <c r="G4026" s="1638" t="s">
        <v>4</v>
      </c>
      <c r="H4026" s="1627" t="s">
        <v>1951</v>
      </c>
      <c r="I4026" s="1640">
        <f t="shared" si="375"/>
        <v>15</v>
      </c>
      <c r="J4026" s="1638" t="s">
        <v>4</v>
      </c>
      <c r="K4026" s="1640">
        <f>I4026*F4026</f>
        <v>60</v>
      </c>
      <c r="W4026" s="1634"/>
    </row>
    <row r="4027" spans="6:23" ht="24" customHeight="1">
      <c r="F4027" s="1658">
        <v>1.42</v>
      </c>
      <c r="G4027" s="1638" t="s">
        <v>306</v>
      </c>
      <c r="H4027" s="1627" t="s">
        <v>1952</v>
      </c>
      <c r="I4027" s="1640">
        <f t="shared" si="375"/>
        <v>2654.4</v>
      </c>
      <c r="J4027" s="1638" t="s">
        <v>306</v>
      </c>
      <c r="K4027" s="1640">
        <f>I4027*F4027</f>
        <v>3769.248</v>
      </c>
      <c r="W4027" s="1634"/>
    </row>
    <row r="4028" spans="6:23" ht="24" customHeight="1">
      <c r="F4028" s="1633"/>
      <c r="H4028" s="1627" t="s">
        <v>1954</v>
      </c>
      <c r="J4028" s="1634"/>
      <c r="K4028" s="1640"/>
      <c r="W4028" s="1634"/>
    </row>
    <row r="4029" spans="6:23" ht="24" customHeight="1">
      <c r="F4029" s="1633"/>
      <c r="G4029" s="1629"/>
      <c r="H4029" s="1637" t="s">
        <v>1956</v>
      </c>
      <c r="J4029" s="1629"/>
      <c r="K4029" s="1640">
        <f>SUM(K4018:K4028)</f>
        <v>8638.0410000000011</v>
      </c>
      <c r="W4029" s="1634"/>
    </row>
    <row r="4030" spans="6:23" ht="24" customHeight="1">
      <c r="F4030" s="1633"/>
      <c r="G4030" s="1629"/>
      <c r="H4030" s="1656" t="s">
        <v>3148</v>
      </c>
      <c r="J4030" s="1629"/>
      <c r="K4030" s="1661">
        <f>K4029/F4027</f>
        <v>6083.1274647887331</v>
      </c>
      <c r="W4030" s="1634"/>
    </row>
    <row r="4031" spans="6:23" ht="24" customHeight="1">
      <c r="F4031" s="1633"/>
      <c r="G4031" s="1629"/>
      <c r="J4031" s="1629"/>
      <c r="K4031" s="1639"/>
      <c r="W4031" s="1634"/>
    </row>
    <row r="4032" spans="6:23" ht="24" customHeight="1">
      <c r="F4032" s="1633"/>
      <c r="G4032" s="1629"/>
      <c r="H4032" s="1661" t="s">
        <v>3150</v>
      </c>
      <c r="W4032" s="1634"/>
    </row>
    <row r="4033" spans="6:23" ht="24" customHeight="1">
      <c r="F4033" s="1692">
        <v>11.61</v>
      </c>
      <c r="G4033" s="1638" t="s">
        <v>534</v>
      </c>
      <c r="H4033" s="1627" t="s">
        <v>1936</v>
      </c>
      <c r="I4033" s="1640">
        <f>I4018</f>
        <v>325</v>
      </c>
      <c r="J4033" s="1638" t="s">
        <v>534</v>
      </c>
      <c r="K4033" s="1640">
        <f>I4033*F4033</f>
        <v>3773.25</v>
      </c>
      <c r="W4033" s="1634"/>
    </row>
    <row r="4034" spans="6:23" ht="24" customHeight="1">
      <c r="F4034" s="1692">
        <v>7.8</v>
      </c>
      <c r="G4034" s="1638" t="s">
        <v>303</v>
      </c>
      <c r="H4034" s="1627" t="s">
        <v>2036</v>
      </c>
      <c r="I4034" s="1640">
        <f>I4023</f>
        <v>29.05</v>
      </c>
      <c r="J4034" s="1638" t="s">
        <v>303</v>
      </c>
      <c r="K4034" s="1640">
        <f t="shared" ref="K4034:K4039" si="376">I4034*F4034</f>
        <v>226.59</v>
      </c>
      <c r="W4034" s="1634"/>
    </row>
    <row r="4035" spans="6:23" ht="24" customHeight="1">
      <c r="F4035" s="1692">
        <v>1.62</v>
      </c>
      <c r="G4035" s="1638" t="s">
        <v>533</v>
      </c>
      <c r="H4035" s="1627" t="s">
        <v>2035</v>
      </c>
      <c r="I4035" s="1640">
        <f>I4022</f>
        <v>306.89999999999998</v>
      </c>
      <c r="J4035" s="1638" t="s">
        <v>533</v>
      </c>
      <c r="K4035" s="1640">
        <f t="shared" si="376"/>
        <v>497.178</v>
      </c>
      <c r="W4035" s="1634"/>
    </row>
    <row r="4036" spans="6:23" ht="24" customHeight="1">
      <c r="F4036" s="1692">
        <v>2</v>
      </c>
      <c r="G4036" s="1638" t="s">
        <v>4</v>
      </c>
      <c r="H4036" s="1627" t="s">
        <v>2039</v>
      </c>
      <c r="I4036" s="1640">
        <f>I4025</f>
        <v>57.65</v>
      </c>
      <c r="J4036" s="1638" t="s">
        <v>4</v>
      </c>
      <c r="K4036" s="1640">
        <f t="shared" si="376"/>
        <v>115.3</v>
      </c>
      <c r="W4036" s="1634"/>
    </row>
    <row r="4037" spans="6:23" ht="24" customHeight="1">
      <c r="F4037" s="1692">
        <v>2</v>
      </c>
      <c r="G4037" s="1638" t="s">
        <v>4</v>
      </c>
      <c r="H4037" s="1627" t="s">
        <v>3151</v>
      </c>
      <c r="I4037" s="1640">
        <f>I4024</f>
        <v>350</v>
      </c>
      <c r="J4037" s="1638" t="s">
        <v>4</v>
      </c>
      <c r="K4037" s="1640">
        <f t="shared" si="376"/>
        <v>700</v>
      </c>
      <c r="W4037" s="1634"/>
    </row>
    <row r="4038" spans="6:23" ht="24" customHeight="1">
      <c r="F4038" s="1692">
        <v>4</v>
      </c>
      <c r="G4038" s="1638" t="s">
        <v>4</v>
      </c>
      <c r="H4038" s="1627" t="s">
        <v>2040</v>
      </c>
      <c r="I4038" s="1640">
        <f>I4026</f>
        <v>15</v>
      </c>
      <c r="J4038" s="1638" t="s">
        <v>4</v>
      </c>
      <c r="K4038" s="1640">
        <f t="shared" si="376"/>
        <v>60</v>
      </c>
      <c r="W4038" s="1634"/>
    </row>
    <row r="4039" spans="6:23" ht="24" customHeight="1">
      <c r="F4039" s="1692">
        <v>1.62</v>
      </c>
      <c r="G4039" s="1638" t="s">
        <v>306</v>
      </c>
      <c r="H4039" s="1627" t="s">
        <v>2041</v>
      </c>
      <c r="I4039" s="1640">
        <f>I4027</f>
        <v>2654.4</v>
      </c>
      <c r="J4039" s="1638" t="s">
        <v>306</v>
      </c>
      <c r="K4039" s="1640">
        <f t="shared" si="376"/>
        <v>4300.1280000000006</v>
      </c>
      <c r="W4039" s="1634"/>
    </row>
    <row r="4040" spans="6:23" ht="24" customHeight="1">
      <c r="F4040" s="1737"/>
      <c r="G4040" s="1741"/>
      <c r="H4040" s="1627" t="s">
        <v>337</v>
      </c>
      <c r="I4040" s="1737"/>
      <c r="J4040" s="1738"/>
      <c r="K4040" s="1640"/>
      <c r="W4040" s="1634"/>
    </row>
    <row r="4041" spans="6:23" ht="24" customHeight="1">
      <c r="F4041" s="1737"/>
      <c r="G4041" s="1737"/>
      <c r="H4041" s="1637" t="s">
        <v>1956</v>
      </c>
      <c r="J4041" s="1629"/>
      <c r="K4041" s="1640">
        <f>SUM(K4033:K4040)</f>
        <v>9672.4459999999999</v>
      </c>
      <c r="W4041" s="1634"/>
    </row>
    <row r="4042" spans="6:23" ht="24" customHeight="1">
      <c r="F4042" s="1633"/>
      <c r="G4042" s="1629"/>
      <c r="H4042" s="1656" t="s">
        <v>3148</v>
      </c>
      <c r="J4042" s="1629"/>
      <c r="K4042" s="1661">
        <f>K4041/F4039</f>
        <v>5970.6456790123457</v>
      </c>
      <c r="W4042" s="1634"/>
    </row>
    <row r="4043" spans="6:23" ht="24" customHeight="1">
      <c r="F4043" s="1633"/>
      <c r="G4043" s="1629"/>
      <c r="J4043" s="1629"/>
      <c r="W4043" s="1634"/>
    </row>
    <row r="4044" spans="6:23" ht="24" customHeight="1">
      <c r="W4044" s="1634"/>
    </row>
    <row r="4045" spans="6:23" ht="24" customHeight="1">
      <c r="F4045" s="1737"/>
      <c r="G4045" s="1741"/>
      <c r="H4045" s="1627" t="s">
        <v>5751</v>
      </c>
      <c r="I4045" s="1737"/>
      <c r="J4045" s="1738"/>
      <c r="K4045" s="1737"/>
      <c r="L4045" s="1633"/>
      <c r="M4045" s="1633"/>
      <c r="W4045" s="1634"/>
    </row>
    <row r="4046" spans="6:23" ht="24" customHeight="1">
      <c r="F4046" s="1737"/>
      <c r="G4046" s="1741"/>
      <c r="H4046" s="1631" t="s">
        <v>3153</v>
      </c>
      <c r="I4046" s="1737"/>
      <c r="J4046" s="1738"/>
      <c r="K4046" s="1737"/>
      <c r="L4046" s="1633"/>
      <c r="M4046" s="1633"/>
      <c r="W4046" s="1634"/>
    </row>
    <row r="4047" spans="6:23" ht="24" customHeight="1">
      <c r="F4047" s="1737"/>
      <c r="G4047" s="1741"/>
      <c r="H4047" s="1636" t="s">
        <v>21</v>
      </c>
      <c r="I4047" s="1737"/>
      <c r="J4047" s="1738"/>
      <c r="K4047" s="1737"/>
      <c r="L4047" s="1633"/>
      <c r="M4047" s="1633"/>
      <c r="W4047" s="1634"/>
    </row>
    <row r="4048" spans="6:23" ht="24" customHeight="1">
      <c r="F4048" s="1737"/>
      <c r="G4048" s="1741"/>
      <c r="H4048" s="1631" t="s">
        <v>3154</v>
      </c>
      <c r="I4048" s="1737"/>
      <c r="J4048" s="1737"/>
      <c r="K4048" s="1737"/>
      <c r="L4048" s="1633"/>
      <c r="M4048" s="1633"/>
      <c r="W4048" s="1634"/>
    </row>
    <row r="4049" spans="6:23" ht="24" customHeight="1">
      <c r="F4049" s="1737"/>
      <c r="G4049" s="1741"/>
      <c r="H4049" s="1710" t="s">
        <v>3155</v>
      </c>
      <c r="I4049" s="1868"/>
      <c r="J4049" s="1809">
        <f>3*2*1.9*0.075*0.0375</f>
        <v>3.2062499999999994E-2</v>
      </c>
      <c r="K4049" s="1737" t="s">
        <v>313</v>
      </c>
      <c r="L4049" s="1633"/>
      <c r="M4049" s="1633"/>
      <c r="W4049" s="1634"/>
    </row>
    <row r="4050" spans="6:23" ht="33.950000000000003" customHeight="1">
      <c r="F4050" s="1737"/>
      <c r="G4050" s="1741"/>
      <c r="H4050" s="1627" t="s">
        <v>3156</v>
      </c>
      <c r="I4050" s="1868"/>
      <c r="J4050" s="1809">
        <f>3*2*0.5*0.075*0.0375</f>
        <v>8.4374999999999988E-3</v>
      </c>
      <c r="K4050" s="1737" t="s">
        <v>313</v>
      </c>
      <c r="L4050" s="1633"/>
      <c r="M4050" s="1633"/>
      <c r="W4050" s="1634"/>
    </row>
    <row r="4051" spans="6:23" ht="33.950000000000003" customHeight="1">
      <c r="F4051" s="1737"/>
      <c r="G4051" s="1741"/>
      <c r="H4051" s="1627"/>
      <c r="I4051" s="1888"/>
      <c r="J4051" s="1636" t="s">
        <v>21</v>
      </c>
      <c r="K4051" s="1691"/>
      <c r="L4051" s="1633"/>
      <c r="M4051" s="1633"/>
      <c r="W4051" s="1634"/>
    </row>
    <row r="4052" spans="6:23" ht="24" customHeight="1">
      <c r="F4052" s="1737"/>
      <c r="G4052" s="1741"/>
      <c r="H4052" s="1737"/>
      <c r="I4052" s="1737"/>
      <c r="J4052" s="1897">
        <f>SUM(J4049:J4051)</f>
        <v>4.0499999999999994E-2</v>
      </c>
      <c r="K4052" s="1737" t="s">
        <v>313</v>
      </c>
      <c r="L4052" s="1633"/>
      <c r="M4052" s="1633"/>
      <c r="W4052" s="1634"/>
    </row>
    <row r="4053" spans="6:23" ht="24" customHeight="1">
      <c r="F4053" s="1737"/>
      <c r="G4053" s="1741"/>
      <c r="H4053" s="1737"/>
      <c r="I4053" s="1737"/>
      <c r="J4053" s="1636" t="s">
        <v>21</v>
      </c>
      <c r="K4053" s="1737"/>
      <c r="L4053" s="1633"/>
      <c r="M4053" s="1633"/>
      <c r="W4053" s="1634"/>
    </row>
    <row r="4054" spans="6:23" ht="24" customHeight="1">
      <c r="F4054" s="1737"/>
      <c r="G4054" s="1741"/>
      <c r="H4054" s="1627" t="s">
        <v>1708</v>
      </c>
      <c r="I4054" s="1868"/>
      <c r="J4054" s="1868"/>
      <c r="K4054" s="1868"/>
      <c r="L4054" s="1633"/>
      <c r="M4054" s="1633"/>
      <c r="W4054" s="1634"/>
    </row>
    <row r="4055" spans="6:23" ht="24" customHeight="1">
      <c r="F4055" s="1737"/>
      <c r="G4055" s="1741"/>
      <c r="H4055" s="1627" t="s">
        <v>3157</v>
      </c>
      <c r="I4055" s="1845"/>
      <c r="J4055" s="1725">
        <f>3*1.9*0.5</f>
        <v>2.8499999999999996</v>
      </c>
      <c r="K4055" s="1638" t="s">
        <v>152</v>
      </c>
      <c r="L4055" s="1633"/>
      <c r="M4055" s="1633"/>
      <c r="W4055" s="1634"/>
    </row>
    <row r="4056" spans="6:23" ht="24" customHeight="1">
      <c r="F4056" s="1737"/>
      <c r="G4056" s="1741"/>
      <c r="H4056" s="1627"/>
      <c r="I4056" s="1845"/>
      <c r="J4056" s="1725"/>
      <c r="K4056" s="1691"/>
      <c r="L4056" s="1633"/>
      <c r="M4056" s="1633"/>
      <c r="W4056" s="1634"/>
    </row>
    <row r="4057" spans="6:23" ht="24" customHeight="1">
      <c r="F4057" s="1737"/>
      <c r="G4057" s="1741"/>
      <c r="H4057" s="1627" t="s">
        <v>3158</v>
      </c>
      <c r="I4057" s="1845"/>
      <c r="J4057" s="1725"/>
      <c r="K4057" s="1691"/>
      <c r="L4057" s="1633"/>
      <c r="M4057" s="1633"/>
      <c r="W4057" s="1634"/>
    </row>
    <row r="4058" spans="6:23" ht="33.950000000000003" customHeight="1">
      <c r="F4058" s="1737"/>
      <c r="G4058" s="1741"/>
      <c r="H4058" s="1627" t="s">
        <v>3159</v>
      </c>
      <c r="I4058" s="1845"/>
      <c r="J4058" s="1809">
        <f>3*1.775*0.375</f>
        <v>1.9968749999999997</v>
      </c>
      <c r="K4058" s="1691" t="str">
        <f>K4055</f>
        <v>SQM</v>
      </c>
      <c r="L4058" s="1633"/>
      <c r="M4058" s="1633"/>
      <c r="W4058" s="1634"/>
    </row>
    <row r="4059" spans="6:23" ht="33.950000000000003" customHeight="1">
      <c r="F4059" s="1737"/>
      <c r="G4059" s="1741"/>
      <c r="H4059" s="1627" t="s">
        <v>3160</v>
      </c>
      <c r="I4059" s="1737"/>
      <c r="J4059" s="1849"/>
      <c r="K4059" s="1710"/>
      <c r="L4059" s="1633"/>
      <c r="M4059" s="1633"/>
      <c r="W4059" s="1634"/>
    </row>
    <row r="4060" spans="6:23" ht="33.950000000000003" customHeight="1">
      <c r="F4060" s="1698"/>
      <c r="G4060" s="1741"/>
      <c r="H4060" s="1627" t="s">
        <v>3161</v>
      </c>
      <c r="I4060" s="1845"/>
      <c r="J4060" s="1809">
        <f>1.775+0.375</f>
        <v>2.15</v>
      </c>
      <c r="K4060" s="1691"/>
      <c r="L4060" s="1640"/>
      <c r="M4060" s="1633"/>
      <c r="W4060" s="1634"/>
    </row>
    <row r="4061" spans="6:23" ht="33.950000000000003" customHeight="1">
      <c r="F4061" s="1698"/>
      <c r="G4061" s="1741"/>
      <c r="H4061" s="1737"/>
      <c r="I4061" s="1898"/>
      <c r="J4061" s="1641">
        <f>J4060*6</f>
        <v>12.899999999999999</v>
      </c>
      <c r="K4061" s="1640" t="s">
        <v>303</v>
      </c>
      <c r="L4061" s="1640"/>
      <c r="M4061" s="1633"/>
      <c r="W4061" s="1634"/>
    </row>
    <row r="4062" spans="6:23" ht="33.950000000000003" customHeight="1">
      <c r="F4062" s="1698"/>
      <c r="G4062" s="1741"/>
      <c r="H4062" s="1899" t="s">
        <v>3162</v>
      </c>
      <c r="I4062" s="1898"/>
      <c r="J4062" s="1628"/>
      <c r="K4062" s="1640"/>
      <c r="L4062" s="1640"/>
      <c r="M4062" s="1633"/>
      <c r="W4062" s="1634"/>
    </row>
    <row r="4063" spans="6:23" ht="33.950000000000003" customHeight="1">
      <c r="F4063" s="1692"/>
      <c r="G4063" s="1741"/>
      <c r="H4063" s="1631" t="s">
        <v>3163</v>
      </c>
      <c r="I4063" s="1868"/>
      <c r="J4063" s="1640"/>
      <c r="K4063" s="1738"/>
      <c r="L4063" s="1640"/>
      <c r="M4063" s="1633"/>
      <c r="W4063" s="1634"/>
    </row>
    <row r="4064" spans="6:23" ht="33.950000000000003" customHeight="1">
      <c r="F4064" s="1691">
        <f>J4052</f>
        <v>4.0499999999999994E-2</v>
      </c>
      <c r="G4064" s="1627" t="s">
        <v>151</v>
      </c>
      <c r="H4064" s="1627" t="s">
        <v>3164</v>
      </c>
      <c r="I4064" s="1640">
        <f>V3114</f>
        <v>99400</v>
      </c>
      <c r="J4064" s="1628" t="s">
        <v>151</v>
      </c>
      <c r="K4064" s="1640">
        <f>(F4064*I4064)</f>
        <v>4025.6999999999994</v>
      </c>
      <c r="L4064" s="1640"/>
      <c r="M4064" s="1633"/>
      <c r="W4064" s="1634"/>
    </row>
    <row r="4065" spans="6:23" ht="33.950000000000003" customHeight="1">
      <c r="F4065" s="1691">
        <f>J4055</f>
        <v>2.8499999999999996</v>
      </c>
      <c r="G4065" s="1638" t="s">
        <v>152</v>
      </c>
      <c r="H4065" s="1627" t="s">
        <v>1708</v>
      </c>
      <c r="I4065" s="1640">
        <f>V3116</f>
        <v>1906.8</v>
      </c>
      <c r="J4065" s="1638" t="s">
        <v>152</v>
      </c>
      <c r="K4065" s="1640">
        <f>(F4065*I4065)</f>
        <v>5434.3799999999992</v>
      </c>
      <c r="L4065" s="1640"/>
      <c r="M4065" s="1633"/>
      <c r="W4065" s="1634"/>
    </row>
    <row r="4066" spans="6:23" ht="33.950000000000003" customHeight="1">
      <c r="F4066" s="1691">
        <f>J4058</f>
        <v>1.9968749999999997</v>
      </c>
      <c r="G4066" s="1638" t="s">
        <v>152</v>
      </c>
      <c r="H4066" s="1627" t="s">
        <v>3158</v>
      </c>
      <c r="I4066" s="1640">
        <f>V3115</f>
        <v>306.89999999999998</v>
      </c>
      <c r="J4066" s="1638" t="s">
        <v>152</v>
      </c>
      <c r="K4066" s="1640">
        <f t="shared" ref="K4066:K4072" si="377">(F4066*I4066)</f>
        <v>612.84093749999988</v>
      </c>
      <c r="L4066" s="1640"/>
      <c r="M4066" s="1633"/>
      <c r="W4066" s="1634"/>
    </row>
    <row r="4067" spans="6:23" ht="33.950000000000003" customHeight="1">
      <c r="F4067" s="1640">
        <f>J4061</f>
        <v>12.899999999999999</v>
      </c>
      <c r="G4067" s="1640" t="s">
        <v>303</v>
      </c>
      <c r="H4067" s="1631" t="s">
        <v>3165</v>
      </c>
      <c r="I4067" s="1640">
        <f t="shared" ref="I4067:I4072" si="378">V3117</f>
        <v>15.45</v>
      </c>
      <c r="J4067" s="1640" t="s">
        <v>303</v>
      </c>
      <c r="K4067" s="1640">
        <f t="shared" si="377"/>
        <v>199.30499999999998</v>
      </c>
      <c r="L4067" s="1640"/>
      <c r="M4067" s="1633"/>
      <c r="W4067" s="1634"/>
    </row>
    <row r="4068" spans="6:23" ht="33.950000000000003" customHeight="1">
      <c r="F4068" s="1640">
        <v>9</v>
      </c>
      <c r="G4068" s="1638" t="s">
        <v>153</v>
      </c>
      <c r="H4068" s="1627" t="s">
        <v>1731</v>
      </c>
      <c r="I4068" s="1640">
        <f t="shared" si="378"/>
        <v>89.6</v>
      </c>
      <c r="J4068" s="1627" t="s">
        <v>153</v>
      </c>
      <c r="K4068" s="1640">
        <f t="shared" si="377"/>
        <v>806.4</v>
      </c>
      <c r="L4068" s="1640"/>
      <c r="M4068" s="1633"/>
      <c r="W4068" s="1634"/>
    </row>
    <row r="4069" spans="6:23" ht="33.950000000000003" customHeight="1">
      <c r="F4069" s="1640">
        <v>6</v>
      </c>
      <c r="G4069" s="1638" t="s">
        <v>153</v>
      </c>
      <c r="H4069" s="1627" t="s">
        <v>2763</v>
      </c>
      <c r="I4069" s="1640">
        <f t="shared" si="378"/>
        <v>82.25</v>
      </c>
      <c r="J4069" s="1627" t="s">
        <v>153</v>
      </c>
      <c r="K4069" s="1640">
        <f t="shared" si="377"/>
        <v>493.5</v>
      </c>
      <c r="L4069" s="1640"/>
      <c r="M4069" s="1633"/>
      <c r="W4069" s="1634"/>
    </row>
    <row r="4070" spans="6:23" ht="33.950000000000003" customHeight="1">
      <c r="F4070" s="1640">
        <v>3</v>
      </c>
      <c r="G4070" s="1638" t="s">
        <v>153</v>
      </c>
      <c r="H4070" s="1627" t="s">
        <v>2766</v>
      </c>
      <c r="I4070" s="1640">
        <f t="shared" si="378"/>
        <v>57.65</v>
      </c>
      <c r="J4070" s="1627" t="s">
        <v>153</v>
      </c>
      <c r="K4070" s="1640">
        <f t="shared" si="377"/>
        <v>172.95</v>
      </c>
      <c r="L4070" s="1640"/>
      <c r="M4070" s="1633"/>
      <c r="W4070" s="1634"/>
    </row>
    <row r="4071" spans="6:23" ht="33.950000000000003" customHeight="1">
      <c r="F4071" s="1640">
        <v>3</v>
      </c>
      <c r="G4071" s="1638" t="s">
        <v>153</v>
      </c>
      <c r="H4071" s="1627" t="s">
        <v>884</v>
      </c>
      <c r="I4071" s="1640">
        <f t="shared" si="378"/>
        <v>7.3</v>
      </c>
      <c r="J4071" s="1627" t="s">
        <v>153</v>
      </c>
      <c r="K4071" s="1640">
        <f t="shared" si="377"/>
        <v>21.9</v>
      </c>
      <c r="L4071" s="1640"/>
      <c r="M4071" s="1633"/>
      <c r="W4071" s="1634"/>
    </row>
    <row r="4072" spans="6:23" ht="33.950000000000003" customHeight="1">
      <c r="F4072" s="1640">
        <v>120</v>
      </c>
      <c r="G4072" s="1638" t="s">
        <v>153</v>
      </c>
      <c r="H4072" s="1627" t="s">
        <v>3166</v>
      </c>
      <c r="I4072" s="1640">
        <f t="shared" si="378"/>
        <v>2.41</v>
      </c>
      <c r="J4072" s="1627" t="s">
        <v>153</v>
      </c>
      <c r="K4072" s="1640">
        <f t="shared" si="377"/>
        <v>289.20000000000005</v>
      </c>
      <c r="L4072" s="1640"/>
      <c r="M4072" s="1633"/>
      <c r="W4072" s="1634"/>
    </row>
    <row r="4073" spans="6:23" ht="33.950000000000003" customHeight="1">
      <c r="F4073" s="1640"/>
      <c r="G4073" s="1638"/>
      <c r="H4073" s="1627"/>
      <c r="I4073" s="1868"/>
      <c r="J4073" s="1640"/>
      <c r="K4073" s="1636" t="s">
        <v>21</v>
      </c>
      <c r="L4073" s="1640"/>
      <c r="M4073" s="1633"/>
      <c r="W4073" s="1634"/>
    </row>
    <row r="4074" spans="6:23" ht="33.950000000000003" customHeight="1">
      <c r="F4074" s="1737"/>
      <c r="G4074" s="1741"/>
      <c r="H4074" s="1627" t="s">
        <v>3167</v>
      </c>
      <c r="I4074" s="1868"/>
      <c r="J4074" s="1628"/>
      <c r="K4074" s="1888">
        <f>SUM(K4064:K4073)</f>
        <v>12056.175937499998</v>
      </c>
      <c r="L4074" s="1856"/>
      <c r="M4074" s="1633"/>
      <c r="W4074" s="1634"/>
    </row>
    <row r="4075" spans="6:23" ht="33.950000000000003" customHeight="1">
      <c r="F4075" s="1737"/>
      <c r="G4075" s="1741"/>
      <c r="H4075" s="1868"/>
      <c r="I4075" s="1640"/>
      <c r="J4075" s="1738"/>
      <c r="K4075" s="1636" t="s">
        <v>21</v>
      </c>
      <c r="L4075" s="1868"/>
      <c r="M4075" s="1633"/>
      <c r="W4075" s="1634"/>
    </row>
    <row r="4076" spans="6:23" ht="33.950000000000003" customHeight="1">
      <c r="F4076" s="1737"/>
      <c r="G4076" s="1741"/>
      <c r="H4076" s="1888" t="s">
        <v>3080</v>
      </c>
      <c r="I4076" s="1640"/>
      <c r="J4076" s="1738"/>
      <c r="K4076" s="1812">
        <f>K4074/F4065</f>
        <v>4230.2371710526313</v>
      </c>
      <c r="L4076" s="1640">
        <f>SUM(L4060:L4075)</f>
        <v>0</v>
      </c>
      <c r="M4076" s="1633"/>
      <c r="W4076" s="1634"/>
    </row>
    <row r="4077" spans="6:23" ht="33.950000000000003" customHeight="1">
      <c r="F4077" s="1737"/>
      <c r="G4077" s="1741"/>
      <c r="H4077" s="1737"/>
      <c r="I4077" s="1640"/>
      <c r="J4077" s="1738"/>
      <c r="K4077" s="1868"/>
      <c r="L4077" s="1868"/>
      <c r="M4077" s="1633"/>
      <c r="W4077" s="1634"/>
    </row>
    <row r="4078" spans="6:23" ht="33.950000000000003" customHeight="1">
      <c r="F4078" s="1737"/>
      <c r="G4078" s="1741"/>
      <c r="H4078" s="1631"/>
      <c r="I4078" s="1737"/>
      <c r="J4078" s="2008"/>
      <c r="K4078" s="2008"/>
      <c r="L4078" s="2008"/>
      <c r="M4078" s="2008"/>
      <c r="W4078" s="1634"/>
    </row>
    <row r="4079" spans="6:23" ht="24" customHeight="1">
      <c r="F4079" s="1737"/>
      <c r="G4079" s="1737"/>
      <c r="H4079" s="1737"/>
      <c r="I4079" s="1737"/>
      <c r="J4079" s="1737"/>
      <c r="K4079" s="1737"/>
      <c r="L4079" s="1633"/>
      <c r="M4079" s="1633"/>
      <c r="W4079" s="1634"/>
    </row>
    <row r="4080" spans="6:23" ht="24" customHeight="1">
      <c r="W4080" s="1634"/>
    </row>
    <row r="4081" spans="23:23" s="1629" customFormat="1" ht="24" customHeight="1">
      <c r="W4081" s="1634"/>
    </row>
    <row r="4082" spans="23:23" s="1629" customFormat="1" ht="24" customHeight="1">
      <c r="W4082" s="1634"/>
    </row>
    <row r="4083" spans="23:23" s="1629" customFormat="1" ht="24" customHeight="1">
      <c r="W4083" s="1634"/>
    </row>
    <row r="4084" spans="23:23" s="1629" customFormat="1" ht="24" customHeight="1">
      <c r="W4084" s="1634"/>
    </row>
    <row r="4085" spans="23:23" s="1629" customFormat="1" ht="24" customHeight="1">
      <c r="W4085" s="1634"/>
    </row>
    <row r="4086" spans="23:23" s="1629" customFormat="1" ht="24" customHeight="1">
      <c r="W4086" s="1634"/>
    </row>
    <row r="4087" spans="23:23" s="1629" customFormat="1" ht="24" customHeight="1">
      <c r="W4087" s="1634"/>
    </row>
    <row r="4088" spans="23:23" s="1629" customFormat="1" ht="24" customHeight="1">
      <c r="W4088" s="1634"/>
    </row>
    <row r="4089" spans="23:23" s="1629" customFormat="1" ht="24" customHeight="1">
      <c r="W4089" s="1634"/>
    </row>
    <row r="4090" spans="23:23" s="1629" customFormat="1" ht="24" customHeight="1">
      <c r="W4090" s="1634"/>
    </row>
    <row r="4091" spans="23:23" s="1629" customFormat="1" ht="24" customHeight="1">
      <c r="W4091" s="1634"/>
    </row>
    <row r="4092" spans="23:23" s="1629" customFormat="1" ht="24" customHeight="1">
      <c r="W4092" s="1634"/>
    </row>
    <row r="4093" spans="23:23" s="1629" customFormat="1" ht="24" customHeight="1">
      <c r="W4093" s="1634"/>
    </row>
    <row r="4094" spans="23:23" s="1629" customFormat="1" ht="24" customHeight="1">
      <c r="W4094" s="1634"/>
    </row>
    <row r="4095" spans="23:23" s="1629" customFormat="1" ht="24" customHeight="1">
      <c r="W4095" s="1634"/>
    </row>
    <row r="4096" spans="23:23" s="1629" customFormat="1" ht="24" customHeight="1">
      <c r="W4096" s="1634"/>
    </row>
    <row r="4097" spans="23:23" s="1629" customFormat="1" ht="24" customHeight="1">
      <c r="W4097" s="1634"/>
    </row>
    <row r="4098" spans="23:23" s="1629" customFormat="1" ht="24" customHeight="1">
      <c r="W4098" s="1634"/>
    </row>
    <row r="4099" spans="23:23" s="1629" customFormat="1" ht="24" customHeight="1">
      <c r="W4099" s="1634"/>
    </row>
    <row r="4100" spans="23:23" s="1629" customFormat="1" ht="24" customHeight="1">
      <c r="W4100" s="1634"/>
    </row>
    <row r="4101" spans="23:23" s="1629" customFormat="1" ht="24" customHeight="1">
      <c r="W4101" s="1634"/>
    </row>
    <row r="4102" spans="23:23" s="1629" customFormat="1" ht="24" customHeight="1">
      <c r="W4102" s="1634"/>
    </row>
    <row r="4103" spans="23:23" s="1629" customFormat="1" ht="24" customHeight="1">
      <c r="W4103" s="1634"/>
    </row>
    <row r="4104" spans="23:23" s="1629" customFormat="1" ht="24" customHeight="1">
      <c r="W4104" s="1634"/>
    </row>
    <row r="4105" spans="23:23" s="1629" customFormat="1" ht="24" customHeight="1">
      <c r="W4105" s="1634"/>
    </row>
    <row r="4106" spans="23:23" s="1629" customFormat="1" ht="24" customHeight="1">
      <c r="W4106" s="1634"/>
    </row>
    <row r="4107" spans="23:23" s="1629" customFormat="1" ht="24" customHeight="1">
      <c r="W4107" s="1634"/>
    </row>
    <row r="4108" spans="23:23" s="1629" customFormat="1" ht="24" customHeight="1">
      <c r="W4108" s="1634"/>
    </row>
    <row r="4109" spans="23:23" s="1629" customFormat="1" ht="24" customHeight="1">
      <c r="W4109" s="1634"/>
    </row>
    <row r="4110" spans="23:23" s="1629" customFormat="1" ht="24" customHeight="1">
      <c r="W4110" s="1634"/>
    </row>
    <row r="4111" spans="23:23" s="1629" customFormat="1" ht="24" customHeight="1">
      <c r="W4111" s="1634"/>
    </row>
    <row r="4112" spans="23:23" s="1629" customFormat="1" ht="24" customHeight="1">
      <c r="W4112" s="1634"/>
    </row>
    <row r="4113" spans="23:23" s="1629" customFormat="1" ht="24" customHeight="1">
      <c r="W4113" s="1634"/>
    </row>
    <row r="4114" spans="23:23" s="1629" customFormat="1" ht="24" customHeight="1">
      <c r="W4114" s="1634"/>
    </row>
    <row r="4115" spans="23:23" s="1629" customFormat="1" ht="24" customHeight="1">
      <c r="W4115" s="1634"/>
    </row>
    <row r="4116" spans="23:23" s="1629" customFormat="1" ht="24" customHeight="1">
      <c r="W4116" s="1634"/>
    </row>
    <row r="4117" spans="23:23" s="1629" customFormat="1" ht="24" customHeight="1">
      <c r="W4117" s="1634"/>
    </row>
    <row r="4118" spans="23:23" s="1629" customFormat="1" ht="24" customHeight="1">
      <c r="W4118" s="1634"/>
    </row>
    <row r="4119" spans="23:23" s="1629" customFormat="1" ht="24" customHeight="1">
      <c r="W4119" s="1634"/>
    </row>
    <row r="4120" spans="23:23" s="1629" customFormat="1" ht="24" customHeight="1">
      <c r="W4120" s="1634"/>
    </row>
    <row r="4121" spans="23:23" s="1629" customFormat="1" ht="24" customHeight="1">
      <c r="W4121" s="1634"/>
    </row>
    <row r="4122" spans="23:23" s="1629" customFormat="1" ht="24" customHeight="1">
      <c r="W4122" s="1634"/>
    </row>
    <row r="4123" spans="23:23" s="1629" customFormat="1" ht="24" customHeight="1">
      <c r="W4123" s="1634"/>
    </row>
    <row r="4124" spans="23:23" s="1629" customFormat="1" ht="24" customHeight="1">
      <c r="W4124" s="1634"/>
    </row>
    <row r="4125" spans="23:23" s="1629" customFormat="1" ht="24" customHeight="1">
      <c r="W4125" s="1634"/>
    </row>
    <row r="4126" spans="23:23" s="1629" customFormat="1" ht="24" customHeight="1">
      <c r="W4126" s="1634"/>
    </row>
    <row r="4127" spans="23:23" s="1629" customFormat="1" ht="24" customHeight="1">
      <c r="W4127" s="1634"/>
    </row>
    <row r="4128" spans="23:23" s="1629" customFormat="1" ht="24" customHeight="1">
      <c r="W4128" s="1634"/>
    </row>
    <row r="4129" spans="23:23" s="1629" customFormat="1" ht="24" customHeight="1">
      <c r="W4129" s="1634"/>
    </row>
    <row r="4130" spans="23:23" s="1629" customFormat="1" ht="24" customHeight="1">
      <c r="W4130" s="1634"/>
    </row>
    <row r="4131" spans="23:23" s="1629" customFormat="1" ht="24" customHeight="1">
      <c r="W4131" s="1634"/>
    </row>
    <row r="4132" spans="23:23" s="1629" customFormat="1" ht="24" customHeight="1">
      <c r="W4132" s="1634"/>
    </row>
    <row r="4133" spans="23:23" s="1629" customFormat="1" ht="24" customHeight="1">
      <c r="W4133" s="1634"/>
    </row>
    <row r="4134" spans="23:23" s="1629" customFormat="1" ht="24" customHeight="1">
      <c r="W4134" s="1634"/>
    </row>
    <row r="4135" spans="23:23" s="1629" customFormat="1" ht="24" customHeight="1">
      <c r="W4135" s="1634"/>
    </row>
    <row r="4136" spans="23:23" s="1629" customFormat="1" ht="24" customHeight="1">
      <c r="W4136" s="1634"/>
    </row>
    <row r="4137" spans="23:23" s="1629" customFormat="1" ht="24" customHeight="1">
      <c r="W4137" s="1634"/>
    </row>
    <row r="4138" spans="23:23" s="1629" customFormat="1" ht="24" customHeight="1">
      <c r="W4138" s="1634"/>
    </row>
    <row r="4139" spans="23:23" s="1629" customFormat="1" ht="24" customHeight="1">
      <c r="W4139" s="1634"/>
    </row>
    <row r="4140" spans="23:23" s="1629" customFormat="1" ht="24" customHeight="1">
      <c r="W4140" s="1634"/>
    </row>
    <row r="4141" spans="23:23" s="1629" customFormat="1" ht="24" customHeight="1">
      <c r="W4141" s="1634"/>
    </row>
    <row r="4142" spans="23:23" s="1629" customFormat="1" ht="24" customHeight="1">
      <c r="W4142" s="1634"/>
    </row>
    <row r="4143" spans="23:23" s="1629" customFormat="1" ht="24" customHeight="1">
      <c r="W4143" s="1634"/>
    </row>
    <row r="4144" spans="23:23" s="1629" customFormat="1" ht="24" customHeight="1">
      <c r="W4144" s="1634"/>
    </row>
    <row r="4145" spans="23:23" s="1629" customFormat="1" ht="24" customHeight="1">
      <c r="W4145" s="1634"/>
    </row>
    <row r="4146" spans="23:23" s="1629" customFormat="1" ht="24" customHeight="1">
      <c r="W4146" s="1634"/>
    </row>
    <row r="4147" spans="23:23" s="1629" customFormat="1" ht="24" customHeight="1">
      <c r="W4147" s="1634"/>
    </row>
    <row r="4148" spans="23:23" s="1629" customFormat="1" ht="24" customHeight="1">
      <c r="W4148" s="1634"/>
    </row>
    <row r="4149" spans="23:23" s="1629" customFormat="1" ht="24" customHeight="1">
      <c r="W4149" s="1634"/>
    </row>
    <row r="4150" spans="23:23" s="1629" customFormat="1" ht="24" customHeight="1">
      <c r="W4150" s="1634"/>
    </row>
    <row r="4151" spans="23:23" s="1629" customFormat="1" ht="24" customHeight="1">
      <c r="W4151" s="1634"/>
    </row>
    <row r="4152" spans="23:23" s="1629" customFormat="1" ht="24" customHeight="1">
      <c r="W4152" s="1634"/>
    </row>
    <row r="4153" spans="23:23" s="1629" customFormat="1" ht="24" customHeight="1">
      <c r="W4153" s="1634"/>
    </row>
    <row r="4154" spans="23:23" s="1629" customFormat="1" ht="24" customHeight="1">
      <c r="W4154" s="1634"/>
    </row>
    <row r="4155" spans="23:23" s="1629" customFormat="1" ht="24" customHeight="1">
      <c r="W4155" s="1634"/>
    </row>
    <row r="4156" spans="23:23" s="1629" customFormat="1" ht="24" customHeight="1">
      <c r="W4156" s="1634"/>
    </row>
    <row r="4157" spans="23:23" s="1629" customFormat="1" ht="24" customHeight="1">
      <c r="W4157" s="1634"/>
    </row>
    <row r="4158" spans="23:23" s="1629" customFormat="1" ht="24" customHeight="1">
      <c r="W4158" s="1634"/>
    </row>
    <row r="4159" spans="23:23" s="1629" customFormat="1" ht="24" customHeight="1">
      <c r="W4159" s="1634"/>
    </row>
    <row r="4160" spans="23:23" s="1629" customFormat="1" ht="24" customHeight="1">
      <c r="W4160" s="1634"/>
    </row>
    <row r="4161" spans="23:23" s="1629" customFormat="1" ht="24" customHeight="1">
      <c r="W4161" s="1634"/>
    </row>
    <row r="4162" spans="23:23" s="1629" customFormat="1" ht="24" customHeight="1">
      <c r="W4162" s="1634"/>
    </row>
    <row r="4163" spans="23:23" s="1629" customFormat="1" ht="24" customHeight="1">
      <c r="W4163" s="1634"/>
    </row>
    <row r="4164" spans="23:23" s="1629" customFormat="1" ht="24" customHeight="1">
      <c r="W4164" s="1634"/>
    </row>
    <row r="4165" spans="23:23" s="1629" customFormat="1" ht="24" customHeight="1">
      <c r="W4165" s="1634"/>
    </row>
    <row r="4166" spans="23:23" s="1629" customFormat="1" ht="24" customHeight="1">
      <c r="W4166" s="1634"/>
    </row>
    <row r="4167" spans="23:23" s="1629" customFormat="1" ht="24" customHeight="1">
      <c r="W4167" s="1634"/>
    </row>
    <row r="4168" spans="23:23" s="1629" customFormat="1" ht="24" customHeight="1">
      <c r="W4168" s="1634"/>
    </row>
    <row r="4169" spans="23:23" s="1629" customFormat="1" ht="24" customHeight="1">
      <c r="W4169" s="1634"/>
    </row>
    <row r="4170" spans="23:23" s="1629" customFormat="1" ht="24" customHeight="1">
      <c r="W4170" s="1634"/>
    </row>
    <row r="4171" spans="23:23" s="1629" customFormat="1" ht="24" customHeight="1">
      <c r="W4171" s="1634"/>
    </row>
    <row r="4172" spans="23:23" s="1629" customFormat="1" ht="24" customHeight="1">
      <c r="W4172" s="1634"/>
    </row>
    <row r="4173" spans="23:23" s="1629" customFormat="1" ht="24" customHeight="1">
      <c r="W4173" s="1634"/>
    </row>
    <row r="4174" spans="23:23" s="1629" customFormat="1" ht="24" customHeight="1">
      <c r="W4174" s="1634"/>
    </row>
    <row r="4175" spans="23:23" s="1629" customFormat="1" ht="24" customHeight="1">
      <c r="W4175" s="1634"/>
    </row>
    <row r="4176" spans="23:23" s="1629" customFormat="1" ht="24" customHeight="1">
      <c r="W4176" s="1634"/>
    </row>
    <row r="4177" spans="23:23" s="1629" customFormat="1" ht="24" customHeight="1">
      <c r="W4177" s="1634"/>
    </row>
    <row r="4178" spans="23:23" s="1629" customFormat="1" ht="24" customHeight="1">
      <c r="W4178" s="1634"/>
    </row>
    <row r="4179" spans="23:23" s="1629" customFormat="1" ht="24" customHeight="1">
      <c r="W4179" s="1634"/>
    </row>
    <row r="4180" spans="23:23" s="1629" customFormat="1" ht="24" customHeight="1">
      <c r="W4180" s="1634"/>
    </row>
    <row r="4181" spans="23:23" s="1629" customFormat="1" ht="24" customHeight="1">
      <c r="W4181" s="1634"/>
    </row>
    <row r="4182" spans="23:23" s="1629" customFormat="1" ht="24" customHeight="1">
      <c r="W4182" s="1634"/>
    </row>
    <row r="4183" spans="23:23" s="1629" customFormat="1" ht="24" customHeight="1">
      <c r="W4183" s="1634"/>
    </row>
    <row r="4184" spans="23:23" s="1629" customFormat="1" ht="24" customHeight="1">
      <c r="W4184" s="1634"/>
    </row>
    <row r="4185" spans="23:23" s="1629" customFormat="1" ht="24" customHeight="1">
      <c r="W4185" s="1634"/>
    </row>
    <row r="4186" spans="23:23" s="1629" customFormat="1" ht="24" customHeight="1">
      <c r="W4186" s="1634"/>
    </row>
    <row r="4187" spans="23:23" s="1629" customFormat="1" ht="24" customHeight="1">
      <c r="W4187" s="1634"/>
    </row>
    <row r="4188" spans="23:23" s="1629" customFormat="1" ht="24" customHeight="1">
      <c r="W4188" s="1634"/>
    </row>
    <row r="4189" spans="23:23" s="1629" customFormat="1" ht="24" customHeight="1">
      <c r="W4189" s="1634"/>
    </row>
    <row r="4190" spans="23:23" s="1629" customFormat="1" ht="24" customHeight="1">
      <c r="W4190" s="1634"/>
    </row>
    <row r="4191" spans="23:23" s="1629" customFormat="1" ht="24" customHeight="1">
      <c r="W4191" s="1634"/>
    </row>
    <row r="4192" spans="23:23" s="1629" customFormat="1" ht="24" customHeight="1">
      <c r="W4192" s="1634"/>
    </row>
    <row r="4193" spans="23:23" s="1629" customFormat="1" ht="24" customHeight="1">
      <c r="W4193" s="1634"/>
    </row>
    <row r="4194" spans="23:23" s="1629" customFormat="1" ht="24" customHeight="1">
      <c r="W4194" s="1634"/>
    </row>
    <row r="4195" spans="23:23" s="1629" customFormat="1" ht="24" customHeight="1">
      <c r="W4195" s="1634"/>
    </row>
    <row r="4196" spans="23:23" s="1629" customFormat="1" ht="24" customHeight="1">
      <c r="W4196" s="1634"/>
    </row>
    <row r="4197" spans="23:23" s="1629" customFormat="1" ht="24" customHeight="1">
      <c r="W4197" s="1634"/>
    </row>
    <row r="4198" spans="23:23" s="1629" customFormat="1" ht="24" customHeight="1">
      <c r="W4198" s="1634"/>
    </row>
    <row r="4199" spans="23:23" s="1629" customFormat="1" ht="24" customHeight="1">
      <c r="W4199" s="1634"/>
    </row>
    <row r="4200" spans="23:23" s="1629" customFormat="1" ht="24" customHeight="1">
      <c r="W4200" s="1634"/>
    </row>
    <row r="4201" spans="23:23" s="1629" customFormat="1" ht="24" customHeight="1">
      <c r="W4201" s="1634"/>
    </row>
    <row r="4202" spans="23:23" s="1629" customFormat="1" ht="24" customHeight="1">
      <c r="W4202" s="1634"/>
    </row>
    <row r="4203" spans="23:23" s="1629" customFormat="1" ht="24" customHeight="1">
      <c r="W4203" s="1634"/>
    </row>
    <row r="4204" spans="23:23" s="1629" customFormat="1" ht="24" customHeight="1">
      <c r="W4204" s="1634"/>
    </row>
    <row r="4205" spans="23:23" s="1629" customFormat="1" ht="24" customHeight="1">
      <c r="W4205" s="1634"/>
    </row>
    <row r="4206" spans="23:23" s="1629" customFormat="1" ht="24" customHeight="1">
      <c r="W4206" s="1634"/>
    </row>
    <row r="4207" spans="23:23" s="1629" customFormat="1" ht="24" customHeight="1">
      <c r="W4207" s="1634"/>
    </row>
    <row r="4208" spans="23:23" s="1629" customFormat="1" ht="24" customHeight="1">
      <c r="W4208" s="1634"/>
    </row>
    <row r="4209" spans="23:23" s="1629" customFormat="1" ht="24" customHeight="1">
      <c r="W4209" s="1634"/>
    </row>
    <row r="4210" spans="23:23" s="1629" customFormat="1" ht="24" customHeight="1">
      <c r="W4210" s="1634"/>
    </row>
    <row r="4211" spans="23:23" s="1629" customFormat="1" ht="24" customHeight="1">
      <c r="W4211" s="1634"/>
    </row>
    <row r="4212" spans="23:23" s="1629" customFormat="1" ht="24" customHeight="1">
      <c r="W4212" s="1634"/>
    </row>
    <row r="4213" spans="23:23" s="1629" customFormat="1" ht="24" customHeight="1">
      <c r="W4213" s="1634"/>
    </row>
    <row r="4214" spans="23:23" s="1629" customFormat="1" ht="24" customHeight="1">
      <c r="W4214" s="1634"/>
    </row>
    <row r="4215" spans="23:23" s="1629" customFormat="1" ht="24" customHeight="1">
      <c r="W4215" s="1634"/>
    </row>
    <row r="4216" spans="23:23" s="1629" customFormat="1" ht="24" customHeight="1">
      <c r="W4216" s="1634"/>
    </row>
    <row r="4217" spans="23:23" s="1629" customFormat="1" ht="24" customHeight="1">
      <c r="W4217" s="1634"/>
    </row>
    <row r="4218" spans="23:23" s="1629" customFormat="1" ht="24" customHeight="1">
      <c r="W4218" s="1634"/>
    </row>
    <row r="4219" spans="23:23" s="1629" customFormat="1" ht="24" customHeight="1">
      <c r="W4219" s="1634"/>
    </row>
    <row r="4220" spans="23:23" s="1629" customFormat="1" ht="24" customHeight="1">
      <c r="W4220" s="1634"/>
    </row>
    <row r="4221" spans="23:23" s="1629" customFormat="1" ht="24" customHeight="1">
      <c r="W4221" s="1634"/>
    </row>
    <row r="4222" spans="23:23" s="1629" customFormat="1" ht="24" customHeight="1">
      <c r="W4222" s="1634"/>
    </row>
    <row r="4223" spans="23:23" s="1629" customFormat="1" ht="24" customHeight="1">
      <c r="W4223" s="1634"/>
    </row>
    <row r="4224" spans="23:23" s="1629" customFormat="1" ht="24" customHeight="1">
      <c r="W4224" s="1634"/>
    </row>
    <row r="4225" spans="23:23" s="1629" customFormat="1" ht="24" customHeight="1">
      <c r="W4225" s="1634"/>
    </row>
    <row r="4226" spans="23:23" s="1629" customFormat="1" ht="24" customHeight="1">
      <c r="W4226" s="1634"/>
    </row>
    <row r="4227" spans="23:23" s="1629" customFormat="1" ht="24" customHeight="1">
      <c r="W4227" s="1634"/>
    </row>
    <row r="4228" spans="23:23" s="1629" customFormat="1" ht="24" customHeight="1">
      <c r="W4228" s="1634"/>
    </row>
    <row r="4229" spans="23:23" s="1629" customFormat="1" ht="24" customHeight="1">
      <c r="W4229" s="1634"/>
    </row>
    <row r="4230" spans="23:23" s="1629" customFormat="1" ht="24" customHeight="1">
      <c r="W4230" s="1634"/>
    </row>
    <row r="4231" spans="23:23" s="1629" customFormat="1" ht="24" customHeight="1">
      <c r="W4231" s="1634"/>
    </row>
    <row r="4232" spans="23:23" s="1629" customFormat="1" ht="24" customHeight="1">
      <c r="W4232" s="1634"/>
    </row>
    <row r="4233" spans="23:23" s="1629" customFormat="1" ht="24" customHeight="1">
      <c r="W4233" s="1634"/>
    </row>
    <row r="4234" spans="23:23" s="1629" customFormat="1" ht="24" customHeight="1">
      <c r="W4234" s="1634"/>
    </row>
    <row r="4235" spans="23:23" s="1629" customFormat="1" ht="24" customHeight="1">
      <c r="W4235" s="1634"/>
    </row>
    <row r="4236" spans="23:23" s="1629" customFormat="1" ht="24" customHeight="1">
      <c r="W4236" s="1634"/>
    </row>
    <row r="4237" spans="23:23" s="1629" customFormat="1" ht="24" customHeight="1">
      <c r="W4237" s="1634"/>
    </row>
    <row r="4238" spans="23:23" s="1629" customFormat="1" ht="24" customHeight="1">
      <c r="W4238" s="1634"/>
    </row>
    <row r="4239" spans="23:23" s="1629" customFormat="1" ht="24" customHeight="1">
      <c r="W4239" s="1634"/>
    </row>
    <row r="4240" spans="23:23" s="1629" customFormat="1" ht="24" customHeight="1">
      <c r="W4240" s="1634"/>
    </row>
    <row r="4241" spans="23:23" s="1629" customFormat="1" ht="24" customHeight="1">
      <c r="W4241" s="1634"/>
    </row>
    <row r="4242" spans="23:23" s="1629" customFormat="1" ht="24" customHeight="1">
      <c r="W4242" s="1634"/>
    </row>
    <row r="4243" spans="23:23" s="1629" customFormat="1" ht="24" customHeight="1">
      <c r="W4243" s="1634"/>
    </row>
    <row r="4244" spans="23:23" s="1629" customFormat="1" ht="24" customHeight="1">
      <c r="W4244" s="1634"/>
    </row>
    <row r="4245" spans="23:23" s="1629" customFormat="1" ht="24" customHeight="1">
      <c r="W4245" s="1634"/>
    </row>
    <row r="4246" spans="23:23" s="1629" customFormat="1" ht="24" customHeight="1">
      <c r="W4246" s="1634"/>
    </row>
    <row r="4247" spans="23:23" s="1629" customFormat="1" ht="24" customHeight="1">
      <c r="W4247" s="1634"/>
    </row>
    <row r="4248" spans="23:23" s="1629" customFormat="1" ht="24" customHeight="1">
      <c r="W4248" s="1634"/>
    </row>
    <row r="4249" spans="23:23" s="1629" customFormat="1" ht="24" customHeight="1">
      <c r="W4249" s="1634"/>
    </row>
    <row r="4250" spans="23:23" s="1629" customFormat="1" ht="24" customHeight="1">
      <c r="W4250" s="1634"/>
    </row>
    <row r="4251" spans="23:23" s="1629" customFormat="1" ht="24" customHeight="1">
      <c r="W4251" s="1634"/>
    </row>
    <row r="4252" spans="23:23" s="1629" customFormat="1" ht="24" customHeight="1">
      <c r="W4252" s="1634"/>
    </row>
    <row r="4253" spans="23:23" s="1629" customFormat="1" ht="24" customHeight="1">
      <c r="W4253" s="1634"/>
    </row>
    <row r="4254" spans="23:23" s="1629" customFormat="1" ht="24" customHeight="1">
      <c r="W4254" s="1634"/>
    </row>
    <row r="4255" spans="23:23" s="1629" customFormat="1" ht="24" customHeight="1">
      <c r="W4255" s="1634"/>
    </row>
    <row r="4256" spans="23:23" s="1629" customFormat="1" ht="24" customHeight="1">
      <c r="W4256" s="1634"/>
    </row>
    <row r="4257" spans="23:23" s="1629" customFormat="1" ht="24" customHeight="1">
      <c r="W4257" s="1634"/>
    </row>
    <row r="4258" spans="23:23" s="1629" customFormat="1" ht="24" customHeight="1">
      <c r="W4258" s="1634"/>
    </row>
    <row r="4259" spans="23:23" s="1629" customFormat="1" ht="24" customHeight="1">
      <c r="W4259" s="1634"/>
    </row>
    <row r="4260" spans="23:23" s="1629" customFormat="1" ht="24" customHeight="1">
      <c r="W4260" s="1634"/>
    </row>
    <row r="4261" spans="23:23" s="1629" customFormat="1" ht="24" customHeight="1">
      <c r="W4261" s="1634"/>
    </row>
    <row r="4262" spans="23:23" s="1629" customFormat="1" ht="24" customHeight="1">
      <c r="W4262" s="1634"/>
    </row>
    <row r="4263" spans="23:23" s="1629" customFormat="1" ht="24" customHeight="1">
      <c r="W4263" s="1634"/>
    </row>
    <row r="4264" spans="23:23" s="1629" customFormat="1" ht="24" customHeight="1">
      <c r="W4264" s="1634"/>
    </row>
    <row r="4265" spans="23:23" s="1629" customFormat="1" ht="24" customHeight="1">
      <c r="W4265" s="1634"/>
    </row>
    <row r="4266" spans="23:23" s="1629" customFormat="1" ht="24" customHeight="1">
      <c r="W4266" s="1634"/>
    </row>
    <row r="4267" spans="23:23" s="1629" customFormat="1" ht="24" customHeight="1">
      <c r="W4267" s="1634"/>
    </row>
    <row r="4268" spans="23:23" s="1629" customFormat="1" ht="24" customHeight="1">
      <c r="W4268" s="1634"/>
    </row>
    <row r="4269" spans="23:23" s="1629" customFormat="1" ht="24" customHeight="1">
      <c r="W4269" s="1634"/>
    </row>
    <row r="4270" spans="23:23" s="1629" customFormat="1" ht="24" customHeight="1">
      <c r="W4270" s="1634"/>
    </row>
    <row r="4271" spans="23:23" s="1629" customFormat="1" ht="24" customHeight="1">
      <c r="W4271" s="1634"/>
    </row>
    <row r="4272" spans="23:23" s="1629" customFormat="1" ht="24" customHeight="1">
      <c r="W4272" s="1634"/>
    </row>
    <row r="4273" spans="23:23" s="1629" customFormat="1" ht="24" customHeight="1">
      <c r="W4273" s="1634"/>
    </row>
    <row r="4274" spans="23:23" s="1629" customFormat="1" ht="24" customHeight="1">
      <c r="W4274" s="1634"/>
    </row>
    <row r="4275" spans="23:23" s="1629" customFormat="1" ht="24" customHeight="1">
      <c r="W4275" s="1634"/>
    </row>
    <row r="4276" spans="23:23" s="1629" customFormat="1" ht="24" customHeight="1">
      <c r="W4276" s="1634"/>
    </row>
    <row r="4277" spans="23:23" s="1629" customFormat="1" ht="24" customHeight="1">
      <c r="W4277" s="1634"/>
    </row>
    <row r="4278" spans="23:23" s="1629" customFormat="1" ht="24" customHeight="1">
      <c r="W4278" s="1634"/>
    </row>
    <row r="4279" spans="23:23" s="1629" customFormat="1" ht="24" customHeight="1">
      <c r="W4279" s="1634"/>
    </row>
    <row r="4280" spans="23:23" s="1629" customFormat="1" ht="24" customHeight="1">
      <c r="W4280" s="1634"/>
    </row>
    <row r="4281" spans="23:23" s="1629" customFormat="1" ht="24" customHeight="1">
      <c r="W4281" s="1634"/>
    </row>
    <row r="4282" spans="23:23" s="1629" customFormat="1" ht="24" customHeight="1">
      <c r="W4282" s="1634"/>
    </row>
    <row r="4283" spans="23:23" s="1629" customFormat="1" ht="24" customHeight="1">
      <c r="W4283" s="1634"/>
    </row>
    <row r="4284" spans="23:23" s="1629" customFormat="1" ht="24" customHeight="1">
      <c r="W4284" s="1634"/>
    </row>
    <row r="4285" spans="23:23" s="1629" customFormat="1" ht="24" customHeight="1">
      <c r="W4285" s="1634"/>
    </row>
    <row r="4286" spans="23:23" s="1629" customFormat="1" ht="24" customHeight="1">
      <c r="W4286" s="1634"/>
    </row>
    <row r="4287" spans="23:23" s="1629" customFormat="1" ht="24" customHeight="1">
      <c r="W4287" s="1634"/>
    </row>
    <row r="4288" spans="23:23" s="1629" customFormat="1" ht="24" customHeight="1">
      <c r="W4288" s="1634"/>
    </row>
    <row r="4289" spans="23:23" s="1629" customFormat="1" ht="24" customHeight="1">
      <c r="W4289" s="1634"/>
    </row>
    <row r="4290" spans="23:23" s="1629" customFormat="1" ht="24" customHeight="1">
      <c r="W4290" s="1634"/>
    </row>
    <row r="4291" spans="23:23" s="1629" customFormat="1" ht="24" customHeight="1">
      <c r="W4291" s="1634"/>
    </row>
    <row r="4292" spans="23:23" s="1629" customFormat="1" ht="24" customHeight="1">
      <c r="W4292" s="1634"/>
    </row>
    <row r="4293" spans="23:23" s="1629" customFormat="1" ht="24" customHeight="1">
      <c r="W4293" s="1634"/>
    </row>
    <row r="4294" spans="23:23" s="1629" customFormat="1" ht="24" customHeight="1">
      <c r="W4294" s="1634"/>
    </row>
    <row r="4295" spans="23:23" s="1629" customFormat="1" ht="24" customHeight="1">
      <c r="W4295" s="1634"/>
    </row>
    <row r="4296" spans="23:23" s="1629" customFormat="1" ht="24" customHeight="1">
      <c r="W4296" s="1634"/>
    </row>
    <row r="4297" spans="23:23" s="1629" customFormat="1" ht="24" customHeight="1">
      <c r="W4297" s="1634"/>
    </row>
    <row r="4298" spans="23:23" s="1629" customFormat="1" ht="24" customHeight="1">
      <c r="W4298" s="1634"/>
    </row>
    <row r="4299" spans="23:23" s="1629" customFormat="1" ht="24" customHeight="1">
      <c r="W4299" s="1634"/>
    </row>
    <row r="4300" spans="23:23" s="1629" customFormat="1" ht="24" customHeight="1">
      <c r="W4300" s="1634"/>
    </row>
    <row r="4301" spans="23:23" s="1629" customFormat="1" ht="24" customHeight="1">
      <c r="W4301" s="1634"/>
    </row>
    <row r="4302" spans="23:23" s="1629" customFormat="1" ht="24" customHeight="1">
      <c r="W4302" s="1634"/>
    </row>
    <row r="4303" spans="23:23" s="1629" customFormat="1" ht="24" customHeight="1">
      <c r="W4303" s="1634"/>
    </row>
    <row r="4304" spans="23:23" s="1629" customFormat="1" ht="24" customHeight="1">
      <c r="W4304" s="1634"/>
    </row>
    <row r="4305" spans="23:23" s="1629" customFormat="1" ht="24" customHeight="1">
      <c r="W4305" s="1634"/>
    </row>
    <row r="4306" spans="23:23" s="1629" customFormat="1" ht="24" customHeight="1">
      <c r="W4306" s="1634"/>
    </row>
    <row r="4307" spans="23:23" s="1629" customFormat="1" ht="24" customHeight="1">
      <c r="W4307" s="1634"/>
    </row>
    <row r="4308" spans="23:23" s="1629" customFormat="1" ht="24" customHeight="1">
      <c r="W4308" s="1634"/>
    </row>
    <row r="4309" spans="23:23" s="1629" customFormat="1" ht="24" customHeight="1">
      <c r="W4309" s="1634"/>
    </row>
    <row r="4310" spans="23:23" s="1629" customFormat="1" ht="24" customHeight="1">
      <c r="W4310" s="1634"/>
    </row>
    <row r="4311" spans="23:23" s="1629" customFormat="1" ht="24" customHeight="1">
      <c r="W4311" s="1634"/>
    </row>
    <row r="4312" spans="23:23" s="1629" customFormat="1" ht="24" customHeight="1">
      <c r="W4312" s="1634"/>
    </row>
    <row r="4313" spans="23:23" s="1629" customFormat="1" ht="24" customHeight="1">
      <c r="W4313" s="1634"/>
    </row>
    <row r="4314" spans="23:23" s="1629" customFormat="1" ht="24" customHeight="1">
      <c r="W4314" s="1634"/>
    </row>
    <row r="4315" spans="23:23" s="1629" customFormat="1" ht="24" customHeight="1">
      <c r="W4315" s="1634"/>
    </row>
    <row r="4316" spans="23:23" s="1629" customFormat="1" ht="24" customHeight="1">
      <c r="W4316" s="1634"/>
    </row>
    <row r="4317" spans="23:23" s="1629" customFormat="1" ht="24" customHeight="1">
      <c r="W4317" s="1634"/>
    </row>
    <row r="4318" spans="23:23" s="1629" customFormat="1" ht="24" customHeight="1">
      <c r="W4318" s="1634"/>
    </row>
    <row r="4319" spans="23:23" s="1629" customFormat="1" ht="24" customHeight="1">
      <c r="W4319" s="1634"/>
    </row>
    <row r="4320" spans="23:23" s="1629" customFormat="1" ht="24" customHeight="1">
      <c r="W4320" s="1634"/>
    </row>
    <row r="4321" spans="23:23" s="1629" customFormat="1" ht="24" customHeight="1">
      <c r="W4321" s="1634"/>
    </row>
    <row r="4322" spans="23:23" s="1629" customFormat="1" ht="24" customHeight="1">
      <c r="W4322" s="1634"/>
    </row>
    <row r="4323" spans="23:23" s="1629" customFormat="1" ht="24" customHeight="1">
      <c r="W4323" s="1634"/>
    </row>
    <row r="4324" spans="23:23" s="1629" customFormat="1" ht="24" customHeight="1">
      <c r="W4324" s="1634"/>
    </row>
    <row r="4325" spans="23:23" s="1629" customFormat="1" ht="24" customHeight="1">
      <c r="W4325" s="1634"/>
    </row>
    <row r="4326" spans="23:23" s="1629" customFormat="1" ht="24" customHeight="1">
      <c r="W4326" s="1634"/>
    </row>
    <row r="4327" spans="23:23" s="1629" customFormat="1" ht="24" customHeight="1">
      <c r="W4327" s="1634"/>
    </row>
    <row r="4328" spans="23:23" s="1629" customFormat="1" ht="24" customHeight="1">
      <c r="W4328" s="1634"/>
    </row>
    <row r="4329" spans="23:23" s="1629" customFormat="1" ht="24" customHeight="1">
      <c r="W4329" s="1634"/>
    </row>
    <row r="4330" spans="23:23" s="1629" customFormat="1" ht="24" customHeight="1">
      <c r="W4330" s="1634"/>
    </row>
    <row r="4331" spans="23:23" s="1629" customFormat="1" ht="24" customHeight="1">
      <c r="W4331" s="1634"/>
    </row>
    <row r="4332" spans="23:23" s="1629" customFormat="1" ht="24" customHeight="1">
      <c r="W4332" s="1634"/>
    </row>
    <row r="4333" spans="23:23" s="1629" customFormat="1" ht="24" customHeight="1">
      <c r="W4333" s="1634"/>
    </row>
    <row r="4334" spans="23:23" s="1629" customFormat="1" ht="24" customHeight="1">
      <c r="W4334" s="1634"/>
    </row>
    <row r="4335" spans="23:23" s="1629" customFormat="1" ht="24" customHeight="1">
      <c r="W4335" s="1634"/>
    </row>
    <row r="4336" spans="23:23" s="1629" customFormat="1" ht="24" customHeight="1">
      <c r="W4336" s="1634"/>
    </row>
    <row r="4337" spans="23:23" s="1629" customFormat="1" ht="24" customHeight="1">
      <c r="W4337" s="1634"/>
    </row>
    <row r="4338" spans="23:23" s="1629" customFormat="1" ht="24" customHeight="1">
      <c r="W4338" s="1634"/>
    </row>
    <row r="4339" spans="23:23" s="1629" customFormat="1" ht="24" customHeight="1">
      <c r="W4339" s="1634"/>
    </row>
    <row r="4340" spans="23:23" s="1629" customFormat="1" ht="24" customHeight="1">
      <c r="W4340" s="1634"/>
    </row>
    <row r="4341" spans="23:23" s="1629" customFormat="1" ht="24" customHeight="1">
      <c r="W4341" s="1634"/>
    </row>
    <row r="4342" spans="23:23" s="1629" customFormat="1" ht="24" customHeight="1">
      <c r="W4342" s="1634"/>
    </row>
    <row r="4343" spans="23:23" s="1629" customFormat="1" ht="24" customHeight="1">
      <c r="W4343" s="1634"/>
    </row>
    <row r="4344" spans="23:23" s="1629" customFormat="1" ht="24" customHeight="1">
      <c r="W4344" s="1634"/>
    </row>
    <row r="4345" spans="23:23" s="1629" customFormat="1" ht="24" customHeight="1">
      <c r="W4345" s="1634"/>
    </row>
    <row r="4346" spans="23:23" s="1629" customFormat="1" ht="24" customHeight="1">
      <c r="W4346" s="1634"/>
    </row>
    <row r="4347" spans="23:23" s="1629" customFormat="1" ht="24" customHeight="1">
      <c r="W4347" s="1634"/>
    </row>
    <row r="4348" spans="23:23" s="1629" customFormat="1" ht="24" customHeight="1">
      <c r="W4348" s="1634"/>
    </row>
    <row r="4349" spans="23:23" s="1629" customFormat="1" ht="24" customHeight="1">
      <c r="W4349" s="1634"/>
    </row>
    <row r="4350" spans="23:23" s="1629" customFormat="1" ht="24" customHeight="1">
      <c r="W4350" s="1634"/>
    </row>
    <row r="4351" spans="23:23" s="1629" customFormat="1" ht="24" customHeight="1">
      <c r="W4351" s="1634"/>
    </row>
    <row r="4352" spans="23:23" s="1629" customFormat="1" ht="24" customHeight="1">
      <c r="W4352" s="1634"/>
    </row>
    <row r="4353" spans="23:23" s="1629" customFormat="1" ht="24" customHeight="1">
      <c r="W4353" s="1634"/>
    </row>
    <row r="4354" spans="23:23" s="1629" customFormat="1" ht="24" customHeight="1">
      <c r="W4354" s="1634"/>
    </row>
    <row r="4355" spans="23:23" s="1629" customFormat="1" ht="24" customHeight="1">
      <c r="W4355" s="1634"/>
    </row>
    <row r="4356" spans="23:23" s="1629" customFormat="1" ht="24" customHeight="1">
      <c r="W4356" s="1634"/>
    </row>
    <row r="4357" spans="23:23" s="1629" customFormat="1" ht="24" customHeight="1">
      <c r="W4357" s="1634"/>
    </row>
    <row r="4358" spans="23:23" s="1629" customFormat="1" ht="24" customHeight="1">
      <c r="W4358" s="1634"/>
    </row>
    <row r="4359" spans="23:23" s="1629" customFormat="1" ht="24" customHeight="1">
      <c r="W4359" s="1634"/>
    </row>
    <row r="4360" spans="23:23" s="1629" customFormat="1" ht="24" customHeight="1">
      <c r="W4360" s="1634"/>
    </row>
    <row r="4361" spans="23:23" s="1629" customFormat="1" ht="24" customHeight="1">
      <c r="W4361" s="1634"/>
    </row>
    <row r="4362" spans="23:23" s="1629" customFormat="1" ht="24" customHeight="1">
      <c r="W4362" s="1634"/>
    </row>
    <row r="4363" spans="23:23" s="1629" customFormat="1" ht="24" customHeight="1">
      <c r="W4363" s="1634"/>
    </row>
    <row r="4364" spans="23:23" s="1629" customFormat="1" ht="24" customHeight="1">
      <c r="W4364" s="1634"/>
    </row>
    <row r="4365" spans="23:23" s="1629" customFormat="1" ht="24" customHeight="1">
      <c r="W4365" s="1634"/>
    </row>
    <row r="4366" spans="23:23" s="1629" customFormat="1" ht="24" customHeight="1">
      <c r="W4366" s="1634"/>
    </row>
    <row r="4367" spans="23:23" s="1629" customFormat="1" ht="24" customHeight="1">
      <c r="W4367" s="1634"/>
    </row>
    <row r="4368" spans="23:23" s="1629" customFormat="1" ht="24" customHeight="1">
      <c r="W4368" s="1634"/>
    </row>
    <row r="4369" spans="23:23" s="1629" customFormat="1" ht="24" customHeight="1">
      <c r="W4369" s="1634"/>
    </row>
    <row r="4370" spans="23:23" s="1629" customFormat="1" ht="24" customHeight="1">
      <c r="W4370" s="1634"/>
    </row>
    <row r="4371" spans="23:23" s="1629" customFormat="1" ht="24" customHeight="1">
      <c r="W4371" s="1634"/>
    </row>
    <row r="4372" spans="23:23" s="1629" customFormat="1" ht="24" customHeight="1">
      <c r="W4372" s="1634"/>
    </row>
    <row r="4373" spans="23:23" s="1629" customFormat="1" ht="24" customHeight="1">
      <c r="W4373" s="1634"/>
    </row>
    <row r="4374" spans="23:23" s="1629" customFormat="1" ht="24" customHeight="1">
      <c r="W4374" s="1634"/>
    </row>
    <row r="4375" spans="23:23" s="1629" customFormat="1" ht="24" customHeight="1">
      <c r="W4375" s="1634"/>
    </row>
    <row r="4376" spans="23:23" s="1629" customFormat="1" ht="24" customHeight="1">
      <c r="W4376" s="1634"/>
    </row>
    <row r="4377" spans="23:23" s="1629" customFormat="1" ht="24" customHeight="1">
      <c r="W4377" s="1634"/>
    </row>
    <row r="4378" spans="23:23" s="1629" customFormat="1" ht="24" customHeight="1">
      <c r="W4378" s="1634"/>
    </row>
    <row r="4379" spans="23:23" s="1629" customFormat="1" ht="24" customHeight="1">
      <c r="W4379" s="1634"/>
    </row>
    <row r="4380" spans="23:23" s="1629" customFormat="1" ht="24" customHeight="1">
      <c r="W4380" s="1634"/>
    </row>
    <row r="4381" spans="23:23" s="1629" customFormat="1" ht="24" customHeight="1">
      <c r="W4381" s="1634"/>
    </row>
    <row r="4382" spans="23:23" s="1629" customFormat="1" ht="24" customHeight="1">
      <c r="W4382" s="1634"/>
    </row>
    <row r="4383" spans="23:23" s="1629" customFormat="1" ht="24" customHeight="1">
      <c r="W4383" s="1634"/>
    </row>
    <row r="4384" spans="23:23" s="1629" customFormat="1" ht="24" customHeight="1">
      <c r="W4384" s="1634"/>
    </row>
    <row r="4385" spans="23:23" s="1629" customFormat="1" ht="24" customHeight="1">
      <c r="W4385" s="1634"/>
    </row>
    <row r="4386" spans="23:23" s="1629" customFormat="1" ht="24" customHeight="1">
      <c r="W4386" s="1634"/>
    </row>
    <row r="4387" spans="23:23" s="1629" customFormat="1" ht="24" customHeight="1">
      <c r="W4387" s="1634"/>
    </row>
    <row r="4388" spans="23:23" s="1629" customFormat="1" ht="24" customHeight="1">
      <c r="W4388" s="1634"/>
    </row>
    <row r="4389" spans="23:23" s="1629" customFormat="1" ht="24" customHeight="1">
      <c r="W4389" s="1634"/>
    </row>
    <row r="4390" spans="23:23" s="1629" customFormat="1" ht="24" customHeight="1">
      <c r="W4390" s="1634"/>
    </row>
    <row r="4391" spans="23:23" s="1629" customFormat="1" ht="24" customHeight="1">
      <c r="W4391" s="1634"/>
    </row>
    <row r="4392" spans="23:23" s="1629" customFormat="1" ht="24" customHeight="1">
      <c r="W4392" s="1634"/>
    </row>
    <row r="4393" spans="23:23" s="1629" customFormat="1" ht="24" customHeight="1">
      <c r="W4393" s="1634"/>
    </row>
    <row r="4394" spans="23:23" s="1629" customFormat="1" ht="24" customHeight="1">
      <c r="W4394" s="1634"/>
    </row>
    <row r="4395" spans="23:23" s="1629" customFormat="1" ht="24" customHeight="1">
      <c r="W4395" s="1634"/>
    </row>
    <row r="4396" spans="23:23" s="1629" customFormat="1" ht="24" customHeight="1">
      <c r="W4396" s="1634"/>
    </row>
    <row r="4397" spans="23:23" s="1629" customFormat="1" ht="24" customHeight="1">
      <c r="W4397" s="1634"/>
    </row>
    <row r="4398" spans="23:23" s="1629" customFormat="1" ht="24" customHeight="1">
      <c r="W4398" s="1634"/>
    </row>
    <row r="4399" spans="23:23" s="1629" customFormat="1" ht="24" customHeight="1">
      <c r="W4399" s="1634"/>
    </row>
    <row r="4400" spans="23:23" s="1629" customFormat="1" ht="24" customHeight="1">
      <c r="W4400" s="1634"/>
    </row>
    <row r="4401" spans="23:23" s="1629" customFormat="1" ht="24" customHeight="1">
      <c r="W4401" s="1634"/>
    </row>
    <row r="4402" spans="23:23" s="1629" customFormat="1" ht="24" customHeight="1">
      <c r="W4402" s="1634"/>
    </row>
    <row r="4403" spans="23:23" s="1629" customFormat="1" ht="24" customHeight="1">
      <c r="W4403" s="1634"/>
    </row>
    <row r="4404" spans="23:23" s="1629" customFormat="1" ht="24" customHeight="1">
      <c r="W4404" s="1634"/>
    </row>
    <row r="4405" spans="23:23" s="1629" customFormat="1" ht="24" customHeight="1">
      <c r="W4405" s="1634"/>
    </row>
    <row r="4406" spans="23:23" s="1629" customFormat="1" ht="24" customHeight="1">
      <c r="W4406" s="1634"/>
    </row>
    <row r="4407" spans="23:23" s="1629" customFormat="1" ht="24" customHeight="1">
      <c r="W4407" s="1634"/>
    </row>
    <row r="4408" spans="23:23" s="1629" customFormat="1" ht="24" customHeight="1">
      <c r="W4408" s="1634"/>
    </row>
    <row r="4409" spans="23:23" s="1629" customFormat="1" ht="24" customHeight="1">
      <c r="W4409" s="1634"/>
    </row>
    <row r="4410" spans="23:23" s="1629" customFormat="1" ht="24" customHeight="1">
      <c r="W4410" s="1634"/>
    </row>
    <row r="4411" spans="23:23" s="1629" customFormat="1" ht="24" customHeight="1">
      <c r="W4411" s="1634"/>
    </row>
    <row r="4412" spans="23:23" s="1629" customFormat="1" ht="24" customHeight="1">
      <c r="W4412" s="1634"/>
    </row>
    <row r="4413" spans="23:23" s="1629" customFormat="1" ht="24" customHeight="1">
      <c r="W4413" s="1634"/>
    </row>
    <row r="4414" spans="23:23" s="1629" customFormat="1" ht="24" customHeight="1">
      <c r="W4414" s="1634"/>
    </row>
    <row r="4415" spans="23:23" s="1629" customFormat="1" ht="24" customHeight="1">
      <c r="W4415" s="1634"/>
    </row>
    <row r="4416" spans="23:23" s="1629" customFormat="1" ht="24" customHeight="1">
      <c r="W4416" s="1634"/>
    </row>
    <row r="4417" spans="23:23" s="1629" customFormat="1" ht="24" customHeight="1">
      <c r="W4417" s="1634"/>
    </row>
    <row r="4418" spans="23:23" s="1629" customFormat="1" ht="24" customHeight="1">
      <c r="W4418" s="1634"/>
    </row>
    <row r="4419" spans="23:23" s="1629" customFormat="1" ht="24" customHeight="1">
      <c r="W4419" s="1634"/>
    </row>
    <row r="4420" spans="23:23" s="1629" customFormat="1" ht="24" customHeight="1">
      <c r="W4420" s="1634"/>
    </row>
    <row r="4421" spans="23:23" s="1629" customFormat="1" ht="24" customHeight="1">
      <c r="W4421" s="1634"/>
    </row>
    <row r="4422" spans="23:23" s="1629" customFormat="1" ht="24" customHeight="1">
      <c r="W4422" s="1634"/>
    </row>
    <row r="4423" spans="23:23" s="1629" customFormat="1" ht="24" customHeight="1">
      <c r="W4423" s="1634"/>
    </row>
    <row r="4424" spans="23:23" s="1629" customFormat="1" ht="24" customHeight="1">
      <c r="W4424" s="1634"/>
    </row>
    <row r="4425" spans="23:23" s="1629" customFormat="1" ht="24" customHeight="1">
      <c r="W4425" s="1634"/>
    </row>
    <row r="4426" spans="23:23" s="1629" customFormat="1" ht="24" customHeight="1">
      <c r="W4426" s="1634"/>
    </row>
    <row r="4427" spans="23:23" s="1629" customFormat="1" ht="24" customHeight="1">
      <c r="W4427" s="1634"/>
    </row>
    <row r="4428" spans="23:23" s="1629" customFormat="1" ht="24" customHeight="1">
      <c r="W4428" s="1634"/>
    </row>
    <row r="4429" spans="23:23" s="1629" customFormat="1" ht="24" customHeight="1">
      <c r="W4429" s="1634"/>
    </row>
    <row r="4430" spans="23:23" s="1629" customFormat="1" ht="24" customHeight="1">
      <c r="W4430" s="1634"/>
    </row>
    <row r="4431" spans="23:23" s="1629" customFormat="1" ht="24" customHeight="1">
      <c r="W4431" s="1634"/>
    </row>
    <row r="4432" spans="23:23" s="1629" customFormat="1" ht="24" customHeight="1">
      <c r="W4432" s="1634"/>
    </row>
    <row r="4433" spans="23:23" s="1629" customFormat="1" ht="24" customHeight="1">
      <c r="W4433" s="1634"/>
    </row>
    <row r="4434" spans="23:23" s="1629" customFormat="1" ht="24" customHeight="1">
      <c r="W4434" s="1634"/>
    </row>
    <row r="4435" spans="23:23" s="1629" customFormat="1" ht="24" customHeight="1">
      <c r="W4435" s="1634"/>
    </row>
    <row r="4436" spans="23:23" s="1629" customFormat="1" ht="24" customHeight="1">
      <c r="W4436" s="1634"/>
    </row>
    <row r="4437" spans="23:23" s="1629" customFormat="1" ht="24" customHeight="1">
      <c r="W4437" s="1634"/>
    </row>
    <row r="4438" spans="23:23" s="1629" customFormat="1" ht="24" customHeight="1">
      <c r="W4438" s="1634"/>
    </row>
    <row r="4439" spans="23:23" s="1629" customFormat="1" ht="24" customHeight="1">
      <c r="W4439" s="1634"/>
    </row>
    <row r="4440" spans="23:23" s="1629" customFormat="1" ht="24" customHeight="1">
      <c r="W4440" s="1634"/>
    </row>
    <row r="4441" spans="23:23" s="1629" customFormat="1" ht="24" customHeight="1">
      <c r="W4441" s="1634"/>
    </row>
    <row r="4442" spans="23:23" s="1629" customFormat="1" ht="24" customHeight="1">
      <c r="W4442" s="1634"/>
    </row>
    <row r="4443" spans="23:23" s="1629" customFormat="1" ht="24" customHeight="1">
      <c r="W4443" s="1634"/>
    </row>
    <row r="4444" spans="23:23" s="1629" customFormat="1" ht="24" customHeight="1">
      <c r="W4444" s="1634"/>
    </row>
    <row r="4445" spans="23:23" s="1629" customFormat="1" ht="24" customHeight="1">
      <c r="W4445" s="1634"/>
    </row>
    <row r="4446" spans="23:23" s="1629" customFormat="1" ht="24" customHeight="1">
      <c r="W4446" s="1634"/>
    </row>
    <row r="4447" spans="23:23" s="1629" customFormat="1" ht="24" customHeight="1">
      <c r="W4447" s="1634"/>
    </row>
    <row r="4448" spans="23:23" s="1629" customFormat="1" ht="24" customHeight="1">
      <c r="W4448" s="1634"/>
    </row>
    <row r="4449" spans="23:23" s="1629" customFormat="1" ht="24" customHeight="1">
      <c r="W4449" s="1634"/>
    </row>
    <row r="4450" spans="23:23" s="1629" customFormat="1" ht="24" customHeight="1">
      <c r="W4450" s="1634"/>
    </row>
    <row r="4451" spans="23:23" s="1629" customFormat="1" ht="24" customHeight="1">
      <c r="W4451" s="1634"/>
    </row>
    <row r="4452" spans="23:23" s="1629" customFormat="1" ht="24" customHeight="1">
      <c r="W4452" s="1634"/>
    </row>
    <row r="4453" spans="23:23" s="1629" customFormat="1" ht="24" customHeight="1">
      <c r="W4453" s="1634"/>
    </row>
    <row r="4454" spans="23:23" s="1629" customFormat="1" ht="24" customHeight="1">
      <c r="W4454" s="1634"/>
    </row>
    <row r="4455" spans="23:23" s="1629" customFormat="1" ht="24" customHeight="1">
      <c r="W4455" s="1634"/>
    </row>
    <row r="4456" spans="23:23" s="1629" customFormat="1" ht="24" customHeight="1">
      <c r="W4456" s="1634"/>
    </row>
    <row r="4457" spans="23:23" s="1629" customFormat="1" ht="24" customHeight="1">
      <c r="W4457" s="1634"/>
    </row>
    <row r="4458" spans="23:23" s="1629" customFormat="1" ht="24" customHeight="1">
      <c r="W4458" s="1634"/>
    </row>
    <row r="4459" spans="23:23" s="1629" customFormat="1" ht="24" customHeight="1">
      <c r="W4459" s="1634"/>
    </row>
    <row r="4460" spans="23:23" s="1629" customFormat="1" ht="24" customHeight="1">
      <c r="W4460" s="1634"/>
    </row>
    <row r="4461" spans="23:23" s="1629" customFormat="1" ht="24" customHeight="1">
      <c r="W4461" s="1634"/>
    </row>
    <row r="4462" spans="23:23" s="1629" customFormat="1" ht="24" customHeight="1">
      <c r="W4462" s="1634"/>
    </row>
    <row r="4463" spans="23:23" s="1629" customFormat="1" ht="24" customHeight="1">
      <c r="W4463" s="1634"/>
    </row>
    <row r="4464" spans="23:23" s="1629" customFormat="1" ht="24" customHeight="1">
      <c r="W4464" s="1634"/>
    </row>
    <row r="4465" spans="23:23" s="1629" customFormat="1" ht="24" customHeight="1">
      <c r="W4465" s="1634"/>
    </row>
    <row r="4466" spans="23:23" s="1629" customFormat="1" ht="24" customHeight="1">
      <c r="W4466" s="1634"/>
    </row>
    <row r="4467" spans="23:23" s="1629" customFormat="1" ht="24" customHeight="1">
      <c r="W4467" s="1634"/>
    </row>
    <row r="4468" spans="23:23" s="1629" customFormat="1" ht="24" customHeight="1">
      <c r="W4468" s="1634"/>
    </row>
    <row r="4469" spans="23:23" s="1629" customFormat="1" ht="24" customHeight="1">
      <c r="W4469" s="1634"/>
    </row>
    <row r="4470" spans="23:23" s="1629" customFormat="1" ht="24" customHeight="1">
      <c r="W4470" s="1634"/>
    </row>
    <row r="4471" spans="23:23" s="1629" customFormat="1" ht="24" customHeight="1">
      <c r="W4471" s="1634"/>
    </row>
    <row r="4472" spans="23:23" s="1629" customFormat="1" ht="24" customHeight="1">
      <c r="W4472" s="1634"/>
    </row>
    <row r="4473" spans="23:23" s="1629" customFormat="1" ht="24" customHeight="1">
      <c r="W4473" s="1634"/>
    </row>
    <row r="4474" spans="23:23" s="1629" customFormat="1" ht="24" customHeight="1">
      <c r="W4474" s="1634"/>
    </row>
    <row r="4475" spans="23:23" s="1629" customFormat="1" ht="24" customHeight="1">
      <c r="W4475" s="1634"/>
    </row>
    <row r="4476" spans="23:23" s="1629" customFormat="1" ht="24" customHeight="1">
      <c r="W4476" s="1634"/>
    </row>
    <row r="4477" spans="23:23" s="1629" customFormat="1" ht="24" customHeight="1">
      <c r="W4477" s="1634"/>
    </row>
    <row r="4478" spans="23:23" s="1629" customFormat="1" ht="24" customHeight="1">
      <c r="W4478" s="1634"/>
    </row>
    <row r="4479" spans="23:23" s="1629" customFormat="1" ht="24" customHeight="1">
      <c r="W4479" s="1634"/>
    </row>
    <row r="4480" spans="23:23" s="1629" customFormat="1" ht="24" customHeight="1">
      <c r="W4480" s="1634"/>
    </row>
    <row r="4481" spans="23:23" s="1629" customFormat="1" ht="24" customHeight="1">
      <c r="W4481" s="1634"/>
    </row>
    <row r="4482" spans="23:23" s="1629" customFormat="1" ht="24" customHeight="1">
      <c r="W4482" s="1634"/>
    </row>
    <row r="4483" spans="23:23" s="1629" customFormat="1" ht="24" customHeight="1">
      <c r="W4483" s="1634"/>
    </row>
    <row r="4484" spans="23:23" s="1629" customFormat="1" ht="24" customHeight="1">
      <c r="W4484" s="1634"/>
    </row>
    <row r="4485" spans="23:23" s="1629" customFormat="1" ht="24" customHeight="1">
      <c r="W4485" s="1634"/>
    </row>
    <row r="4486" spans="23:23" s="1629" customFormat="1" ht="24" customHeight="1">
      <c r="W4486" s="1634"/>
    </row>
    <row r="4487" spans="23:23" s="1629" customFormat="1" ht="24" customHeight="1">
      <c r="W4487" s="1634"/>
    </row>
    <row r="4488" spans="23:23" s="1629" customFormat="1" ht="24" customHeight="1">
      <c r="W4488" s="1634"/>
    </row>
    <row r="4489" spans="23:23" s="1629" customFormat="1" ht="24" customHeight="1">
      <c r="W4489" s="1634"/>
    </row>
    <row r="4490" spans="23:23" s="1629" customFormat="1" ht="24" customHeight="1">
      <c r="W4490" s="1634"/>
    </row>
    <row r="4491" spans="23:23" s="1629" customFormat="1" ht="24" customHeight="1">
      <c r="W4491" s="1634"/>
    </row>
    <row r="4492" spans="23:23" s="1629" customFormat="1" ht="24" customHeight="1">
      <c r="W4492" s="1634"/>
    </row>
    <row r="4493" spans="23:23" s="1629" customFormat="1" ht="24" customHeight="1">
      <c r="W4493" s="1634"/>
    </row>
    <row r="4494" spans="23:23" s="1629" customFormat="1" ht="24" customHeight="1">
      <c r="W4494" s="1634"/>
    </row>
    <row r="4495" spans="23:23" s="1629" customFormat="1" ht="24" customHeight="1">
      <c r="W4495" s="1634"/>
    </row>
    <row r="4496" spans="23:23" s="1629" customFormat="1" ht="24" customHeight="1">
      <c r="W4496" s="1634"/>
    </row>
    <row r="4497" spans="23:23" s="1629" customFormat="1" ht="24" customHeight="1">
      <c r="W4497" s="1634"/>
    </row>
    <row r="4498" spans="23:23" s="1629" customFormat="1" ht="24" customHeight="1">
      <c r="W4498" s="1634"/>
    </row>
    <row r="4499" spans="23:23" s="1629" customFormat="1" ht="24" customHeight="1">
      <c r="W4499" s="1634"/>
    </row>
    <row r="4500" spans="23:23" s="1629" customFormat="1" ht="24" customHeight="1">
      <c r="W4500" s="1634"/>
    </row>
    <row r="4501" spans="23:23" s="1629" customFormat="1" ht="24" customHeight="1">
      <c r="W4501" s="1634"/>
    </row>
    <row r="4502" spans="23:23" s="1629" customFormat="1" ht="24" customHeight="1">
      <c r="W4502" s="1634"/>
    </row>
    <row r="4503" spans="23:23" s="1629" customFormat="1" ht="24" customHeight="1">
      <c r="W4503" s="1634"/>
    </row>
    <row r="4504" spans="23:23" s="1629" customFormat="1" ht="24" customHeight="1">
      <c r="W4504" s="1634"/>
    </row>
    <row r="4505" spans="23:23" s="1629" customFormat="1" ht="24" customHeight="1">
      <c r="W4505" s="1634"/>
    </row>
    <row r="4506" spans="23:23" s="1629" customFormat="1" ht="24" customHeight="1">
      <c r="W4506" s="1634"/>
    </row>
    <row r="4507" spans="23:23" s="1629" customFormat="1" ht="24" customHeight="1">
      <c r="W4507" s="1634"/>
    </row>
    <row r="4508" spans="23:23" s="1629" customFormat="1" ht="24" customHeight="1">
      <c r="W4508" s="1634"/>
    </row>
    <row r="4509" spans="23:23" s="1629" customFormat="1" ht="24" customHeight="1">
      <c r="W4509" s="1634"/>
    </row>
    <row r="4510" spans="23:23" s="1629" customFormat="1" ht="24" customHeight="1">
      <c r="W4510" s="1634"/>
    </row>
    <row r="4511" spans="23:23" s="1629" customFormat="1" ht="24" customHeight="1">
      <c r="W4511" s="1634"/>
    </row>
    <row r="4512" spans="23:23" s="1629" customFormat="1" ht="24" customHeight="1">
      <c r="W4512" s="1634"/>
    </row>
    <row r="4513" spans="23:23" s="1629" customFormat="1" ht="24" customHeight="1">
      <c r="W4513" s="1634"/>
    </row>
    <row r="4514" spans="23:23" s="1629" customFormat="1" ht="24" customHeight="1">
      <c r="W4514" s="1634"/>
    </row>
    <row r="4515" spans="23:23" s="1629" customFormat="1" ht="24" customHeight="1">
      <c r="W4515" s="1634"/>
    </row>
    <row r="4516" spans="23:23" s="1629" customFormat="1" ht="24" customHeight="1">
      <c r="W4516" s="1634"/>
    </row>
    <row r="4517" spans="23:23" s="1629" customFormat="1" ht="24" customHeight="1">
      <c r="W4517" s="1634"/>
    </row>
    <row r="4518" spans="23:23" s="1629" customFormat="1" ht="24" customHeight="1">
      <c r="W4518" s="1634"/>
    </row>
    <row r="4519" spans="23:23" s="1629" customFormat="1" ht="24" customHeight="1">
      <c r="W4519" s="1634"/>
    </row>
    <row r="4520" spans="23:23" s="1629" customFormat="1" ht="24" customHeight="1">
      <c r="W4520" s="1634"/>
    </row>
    <row r="4521" spans="23:23" s="1629" customFormat="1" ht="24" customHeight="1">
      <c r="W4521" s="1634"/>
    </row>
    <row r="4522" spans="23:23" s="1629" customFormat="1" ht="24" customHeight="1">
      <c r="W4522" s="1634"/>
    </row>
    <row r="4523" spans="23:23" s="1629" customFormat="1" ht="24" customHeight="1">
      <c r="W4523" s="1634"/>
    </row>
    <row r="4524" spans="23:23" s="1629" customFormat="1" ht="24" customHeight="1">
      <c r="W4524" s="1634"/>
    </row>
    <row r="4525" spans="23:23" s="1629" customFormat="1" ht="24" customHeight="1">
      <c r="W4525" s="1634"/>
    </row>
    <row r="4526" spans="23:23" s="1629" customFormat="1" ht="24" customHeight="1">
      <c r="W4526" s="1634"/>
    </row>
    <row r="4527" spans="23:23" s="1629" customFormat="1" ht="24" customHeight="1">
      <c r="W4527" s="1634"/>
    </row>
    <row r="4528" spans="23:23" s="1629" customFormat="1" ht="24" customHeight="1">
      <c r="W4528" s="1634"/>
    </row>
    <row r="4529" spans="23:23" s="1629" customFormat="1" ht="24" customHeight="1">
      <c r="W4529" s="1634"/>
    </row>
    <row r="4530" spans="23:23" s="1629" customFormat="1" ht="24" customHeight="1">
      <c r="W4530" s="1634"/>
    </row>
    <row r="4531" spans="23:23" s="1629" customFormat="1" ht="24" customHeight="1">
      <c r="W4531" s="1634"/>
    </row>
    <row r="4532" spans="23:23" s="1629" customFormat="1" ht="24" customHeight="1">
      <c r="W4532" s="1634"/>
    </row>
    <row r="4533" spans="23:23" s="1629" customFormat="1" ht="24" customHeight="1">
      <c r="W4533" s="1634"/>
    </row>
    <row r="4534" spans="23:23" s="1629" customFormat="1" ht="24" customHeight="1">
      <c r="W4534" s="1634"/>
    </row>
    <row r="4535" spans="23:23" s="1629" customFormat="1" ht="24" customHeight="1">
      <c r="W4535" s="1634"/>
    </row>
    <row r="4536" spans="23:23" s="1629" customFormat="1" ht="24" customHeight="1">
      <c r="W4536" s="1634"/>
    </row>
    <row r="4537" spans="23:23" s="1629" customFormat="1" ht="24" customHeight="1">
      <c r="W4537" s="1634"/>
    </row>
    <row r="4538" spans="23:23" s="1629" customFormat="1" ht="24" customHeight="1">
      <c r="W4538" s="1634"/>
    </row>
    <row r="4539" spans="23:23" s="1629" customFormat="1" ht="24" customHeight="1">
      <c r="W4539" s="1634"/>
    </row>
    <row r="4540" spans="23:23" s="1629" customFormat="1" ht="24" customHeight="1">
      <c r="W4540" s="1634"/>
    </row>
    <row r="4541" spans="23:23" s="1629" customFormat="1" ht="24" customHeight="1">
      <c r="W4541" s="1634"/>
    </row>
    <row r="4542" spans="23:23" s="1629" customFormat="1" ht="24" customHeight="1">
      <c r="W4542" s="1634"/>
    </row>
    <row r="4543" spans="23:23" s="1629" customFormat="1" ht="24" customHeight="1">
      <c r="W4543" s="1634"/>
    </row>
    <row r="4544" spans="23:23" s="1629" customFormat="1" ht="24" customHeight="1">
      <c r="W4544" s="1634"/>
    </row>
    <row r="4545" spans="23:23" s="1629" customFormat="1" ht="24" customHeight="1">
      <c r="W4545" s="1634"/>
    </row>
    <row r="4546" spans="23:23" s="1629" customFormat="1" ht="24" customHeight="1">
      <c r="W4546" s="1634"/>
    </row>
    <row r="4547" spans="23:23" s="1629" customFormat="1" ht="24" customHeight="1">
      <c r="W4547" s="1634"/>
    </row>
    <row r="4548" spans="23:23" s="1629" customFormat="1" ht="24" customHeight="1">
      <c r="W4548" s="1634"/>
    </row>
    <row r="4549" spans="23:23" s="1629" customFormat="1" ht="24" customHeight="1">
      <c r="W4549" s="1634"/>
    </row>
    <row r="4550" spans="23:23" s="1629" customFormat="1" ht="24" customHeight="1">
      <c r="W4550" s="1634"/>
    </row>
    <row r="4551" spans="23:23" s="1629" customFormat="1" ht="24" customHeight="1">
      <c r="W4551" s="1634"/>
    </row>
    <row r="4552" spans="23:23" s="1629" customFormat="1" ht="24" customHeight="1">
      <c r="W4552" s="1634"/>
    </row>
    <row r="4553" spans="23:23" s="1629" customFormat="1" ht="24" customHeight="1">
      <c r="W4553" s="1634"/>
    </row>
    <row r="4554" spans="23:23" s="1629" customFormat="1" ht="24" customHeight="1">
      <c r="W4554" s="1634"/>
    </row>
    <row r="4555" spans="23:23" s="1629" customFormat="1" ht="24" customHeight="1">
      <c r="W4555" s="1634"/>
    </row>
    <row r="4556" spans="23:23" s="1629" customFormat="1" ht="24" customHeight="1">
      <c r="W4556" s="1634"/>
    </row>
    <row r="4557" spans="23:23" s="1629" customFormat="1" ht="24" customHeight="1">
      <c r="W4557" s="1634"/>
    </row>
    <row r="4558" spans="23:23" s="1629" customFormat="1" ht="24" customHeight="1">
      <c r="W4558" s="1634"/>
    </row>
    <row r="4559" spans="23:23" s="1629" customFormat="1" ht="24" customHeight="1">
      <c r="W4559" s="1634"/>
    </row>
    <row r="4560" spans="23:23" s="1629" customFormat="1" ht="24" customHeight="1">
      <c r="W4560" s="1634"/>
    </row>
    <row r="4561" spans="23:23" s="1629" customFormat="1" ht="24" customHeight="1">
      <c r="W4561" s="1634"/>
    </row>
    <row r="4562" spans="23:23" s="1629" customFormat="1" ht="24" customHeight="1">
      <c r="W4562" s="1634"/>
    </row>
    <row r="4563" spans="23:23" s="1629" customFormat="1" ht="24" customHeight="1">
      <c r="W4563" s="1634"/>
    </row>
    <row r="4564" spans="23:23" s="1629" customFormat="1" ht="24" customHeight="1">
      <c r="W4564" s="1634"/>
    </row>
    <row r="4565" spans="23:23" s="1629" customFormat="1" ht="24" customHeight="1">
      <c r="W4565" s="1634"/>
    </row>
    <row r="4566" spans="23:23" s="1629" customFormat="1" ht="24" customHeight="1">
      <c r="W4566" s="1634"/>
    </row>
    <row r="4567" spans="23:23" s="1629" customFormat="1" ht="24" customHeight="1">
      <c r="W4567" s="1634"/>
    </row>
    <row r="4568" spans="23:23" s="1629" customFormat="1" ht="24" customHeight="1">
      <c r="W4568" s="1634"/>
    </row>
    <row r="4569" spans="23:23" s="1629" customFormat="1" ht="24" customHeight="1">
      <c r="W4569" s="1634"/>
    </row>
    <row r="4570" spans="23:23" s="1629" customFormat="1" ht="24" customHeight="1">
      <c r="W4570" s="1634"/>
    </row>
    <row r="4571" spans="23:23" s="1629" customFormat="1" ht="24" customHeight="1">
      <c r="W4571" s="1634"/>
    </row>
    <row r="4572" spans="23:23" s="1629" customFormat="1" ht="24" customHeight="1">
      <c r="W4572" s="1634"/>
    </row>
    <row r="4573" spans="23:23" s="1629" customFormat="1" ht="24" customHeight="1">
      <c r="W4573" s="1634"/>
    </row>
    <row r="4574" spans="23:23" s="1629" customFormat="1" ht="24" customHeight="1">
      <c r="W4574" s="1634"/>
    </row>
    <row r="4575" spans="23:23" s="1629" customFormat="1" ht="24" customHeight="1">
      <c r="W4575" s="1634"/>
    </row>
    <row r="4576" spans="23:23" s="1629" customFormat="1" ht="24" customHeight="1">
      <c r="W4576" s="1634"/>
    </row>
    <row r="4577" spans="23:23" s="1629" customFormat="1" ht="24" customHeight="1">
      <c r="W4577" s="1634"/>
    </row>
    <row r="4578" spans="23:23" s="1629" customFormat="1" ht="24" customHeight="1">
      <c r="W4578" s="1634"/>
    </row>
    <row r="4579" spans="23:23" s="1629" customFormat="1" ht="24" customHeight="1">
      <c r="W4579" s="1634"/>
    </row>
    <row r="4580" spans="23:23" s="1629" customFormat="1" ht="24" customHeight="1">
      <c r="W4580" s="1634"/>
    </row>
    <row r="4581" spans="23:23" s="1629" customFormat="1" ht="24" customHeight="1">
      <c r="W4581" s="1634"/>
    </row>
    <row r="4582" spans="23:23" s="1629" customFormat="1" ht="24" customHeight="1">
      <c r="W4582" s="1634"/>
    </row>
    <row r="4583" spans="23:23" s="1629" customFormat="1" ht="24" customHeight="1">
      <c r="W4583" s="1634"/>
    </row>
    <row r="4584" spans="23:23" s="1629" customFormat="1" ht="24" customHeight="1">
      <c r="W4584" s="1634"/>
    </row>
    <row r="4585" spans="23:23" s="1629" customFormat="1" ht="24" customHeight="1">
      <c r="W4585" s="1634"/>
    </row>
    <row r="4586" spans="23:23" s="1629" customFormat="1" ht="24" customHeight="1">
      <c r="W4586" s="1634"/>
    </row>
    <row r="4587" spans="23:23" s="1629" customFormat="1" ht="24" customHeight="1">
      <c r="W4587" s="1634"/>
    </row>
    <row r="4588" spans="23:23" s="1629" customFormat="1" ht="24" customHeight="1">
      <c r="W4588" s="1634"/>
    </row>
    <row r="4589" spans="23:23" s="1629" customFormat="1" ht="24" customHeight="1">
      <c r="W4589" s="1634"/>
    </row>
    <row r="4590" spans="23:23" s="1629" customFormat="1" ht="24" customHeight="1">
      <c r="W4590" s="1634"/>
    </row>
    <row r="4591" spans="23:23" s="1629" customFormat="1" ht="24" customHeight="1">
      <c r="W4591" s="1634"/>
    </row>
    <row r="4592" spans="23:23" s="1629" customFormat="1" ht="24" customHeight="1">
      <c r="W4592" s="1634"/>
    </row>
    <row r="4593" spans="23:23" s="1629" customFormat="1" ht="24" customHeight="1">
      <c r="W4593" s="1634"/>
    </row>
    <row r="4594" spans="23:23" s="1629" customFormat="1" ht="24" customHeight="1">
      <c r="W4594" s="1634"/>
    </row>
    <row r="4595" spans="23:23" s="1629" customFormat="1" ht="24" customHeight="1">
      <c r="W4595" s="1634"/>
    </row>
    <row r="4596" spans="23:23" s="1629" customFormat="1" ht="24" customHeight="1">
      <c r="W4596" s="1634"/>
    </row>
    <row r="4597" spans="23:23" s="1629" customFormat="1" ht="24" customHeight="1">
      <c r="W4597" s="1634"/>
    </row>
    <row r="4598" spans="23:23" s="1629" customFormat="1" ht="24" customHeight="1">
      <c r="W4598" s="1634"/>
    </row>
    <row r="4599" spans="23:23" s="1629" customFormat="1" ht="24" customHeight="1">
      <c r="W4599" s="1634"/>
    </row>
    <row r="4600" spans="23:23" s="1629" customFormat="1" ht="24" customHeight="1">
      <c r="W4600" s="1634"/>
    </row>
    <row r="4601" spans="23:23" s="1629" customFormat="1" ht="24" customHeight="1">
      <c r="W4601" s="1634"/>
    </row>
    <row r="4602" spans="23:23" s="1629" customFormat="1" ht="24" customHeight="1">
      <c r="W4602" s="1634"/>
    </row>
    <row r="4603" spans="23:23" s="1629" customFormat="1" ht="24" customHeight="1">
      <c r="W4603" s="1634"/>
    </row>
    <row r="4604" spans="23:23" s="1629" customFormat="1" ht="24" customHeight="1">
      <c r="W4604" s="1634"/>
    </row>
    <row r="4605" spans="23:23" s="1629" customFormat="1" ht="24" customHeight="1">
      <c r="W4605" s="1634"/>
    </row>
    <row r="4606" spans="23:23" s="1629" customFormat="1" ht="24" customHeight="1">
      <c r="W4606" s="1634"/>
    </row>
    <row r="4607" spans="23:23" s="1629" customFormat="1" ht="24" customHeight="1">
      <c r="W4607" s="1634"/>
    </row>
    <row r="4608" spans="23:23" s="1629" customFormat="1" ht="24" customHeight="1">
      <c r="W4608" s="1634"/>
    </row>
    <row r="4609" spans="23:23" s="1629" customFormat="1" ht="24" customHeight="1">
      <c r="W4609" s="1634"/>
    </row>
    <row r="4610" spans="23:23" s="1629" customFormat="1" ht="24" customHeight="1">
      <c r="W4610" s="1634"/>
    </row>
    <row r="4611" spans="23:23" s="1629" customFormat="1" ht="24" customHeight="1">
      <c r="W4611" s="1634"/>
    </row>
    <row r="4612" spans="23:23" s="1629" customFormat="1" ht="24" customHeight="1">
      <c r="W4612" s="1634"/>
    </row>
    <row r="4613" spans="23:23" s="1629" customFormat="1" ht="24" customHeight="1">
      <c r="W4613" s="1634"/>
    </row>
    <row r="4614" spans="23:23" s="1629" customFormat="1" ht="24" customHeight="1">
      <c r="W4614" s="1634"/>
    </row>
    <row r="4615" spans="23:23" s="1629" customFormat="1" ht="24" customHeight="1">
      <c r="W4615" s="1634"/>
    </row>
    <row r="4616" spans="23:23" s="1629" customFormat="1" ht="24" customHeight="1">
      <c r="W4616" s="1634"/>
    </row>
    <row r="4617" spans="23:23" s="1629" customFormat="1" ht="24" customHeight="1">
      <c r="W4617" s="1634"/>
    </row>
    <row r="4618" spans="23:23" s="1629" customFormat="1" ht="24" customHeight="1">
      <c r="W4618" s="1634"/>
    </row>
    <row r="4619" spans="23:23" s="1629" customFormat="1" ht="24" customHeight="1">
      <c r="W4619" s="1634"/>
    </row>
    <row r="4620" spans="23:23" s="1629" customFormat="1" ht="24" customHeight="1">
      <c r="W4620" s="1634"/>
    </row>
    <row r="4621" spans="23:23" s="1629" customFormat="1" ht="24" customHeight="1">
      <c r="W4621" s="1634"/>
    </row>
    <row r="4622" spans="23:23" s="1629" customFormat="1" ht="24" customHeight="1">
      <c r="W4622" s="1634"/>
    </row>
    <row r="4623" spans="23:23" s="1629" customFormat="1" ht="24" customHeight="1">
      <c r="W4623" s="1634"/>
    </row>
    <row r="4624" spans="23:23" s="1629" customFormat="1" ht="24" customHeight="1">
      <c r="W4624" s="1634"/>
    </row>
    <row r="4625" spans="23:23" s="1629" customFormat="1" ht="24" customHeight="1">
      <c r="W4625" s="1634"/>
    </row>
    <row r="4626" spans="23:23" s="1629" customFormat="1" ht="24" customHeight="1">
      <c r="W4626" s="1634"/>
    </row>
    <row r="4627" spans="23:23" s="1629" customFormat="1" ht="24" customHeight="1">
      <c r="W4627" s="1634"/>
    </row>
    <row r="4628" spans="23:23" s="1629" customFormat="1" ht="24" customHeight="1">
      <c r="W4628" s="1634"/>
    </row>
    <row r="4629" spans="23:23" s="1629" customFormat="1" ht="24" customHeight="1">
      <c r="W4629" s="1634"/>
    </row>
    <row r="4630" spans="23:23" s="1629" customFormat="1" ht="24" customHeight="1">
      <c r="W4630" s="1634"/>
    </row>
    <row r="4631" spans="23:23" s="1629" customFormat="1" ht="24" customHeight="1">
      <c r="W4631" s="1634"/>
    </row>
    <row r="4632" spans="23:23" s="1629" customFormat="1" ht="24" customHeight="1">
      <c r="W4632" s="1634"/>
    </row>
    <row r="4633" spans="23:23" s="1629" customFormat="1" ht="24" customHeight="1">
      <c r="W4633" s="1634"/>
    </row>
    <row r="4634" spans="23:23" s="1629" customFormat="1" ht="24" customHeight="1">
      <c r="W4634" s="1634"/>
    </row>
    <row r="4635" spans="23:23" s="1629" customFormat="1" ht="24" customHeight="1">
      <c r="W4635" s="1634"/>
    </row>
    <row r="4636" spans="23:23" s="1629" customFormat="1" ht="24" customHeight="1">
      <c r="W4636" s="1634"/>
    </row>
    <row r="4637" spans="23:23" s="1629" customFormat="1" ht="24" customHeight="1">
      <c r="W4637" s="1634"/>
    </row>
    <row r="4638" spans="23:23" s="1629" customFormat="1" ht="24" customHeight="1">
      <c r="W4638" s="1634"/>
    </row>
    <row r="4639" spans="23:23" s="1629" customFormat="1" ht="24" customHeight="1">
      <c r="W4639" s="1634"/>
    </row>
    <row r="4640" spans="23:23" s="1629" customFormat="1" ht="24" customHeight="1">
      <c r="W4640" s="1634"/>
    </row>
    <row r="4641" spans="23:23" s="1629" customFormat="1" ht="24" customHeight="1">
      <c r="W4641" s="1634"/>
    </row>
    <row r="4642" spans="23:23" s="1629" customFormat="1" ht="24" customHeight="1">
      <c r="W4642" s="1634"/>
    </row>
    <row r="4643" spans="23:23" s="1629" customFormat="1" ht="24" customHeight="1">
      <c r="W4643" s="1634"/>
    </row>
    <row r="4644" spans="23:23" s="1629" customFormat="1" ht="24" customHeight="1">
      <c r="W4644" s="1634"/>
    </row>
    <row r="4645" spans="23:23" s="1629" customFormat="1" ht="24" customHeight="1">
      <c r="W4645" s="1634"/>
    </row>
    <row r="4646" spans="23:23" s="1629" customFormat="1" ht="24" customHeight="1">
      <c r="W4646" s="1634"/>
    </row>
    <row r="4647" spans="23:23" s="1629" customFormat="1" ht="24" customHeight="1">
      <c r="W4647" s="1634"/>
    </row>
    <row r="4648" spans="23:23" s="1629" customFormat="1" ht="24" customHeight="1">
      <c r="W4648" s="1634"/>
    </row>
    <row r="4649" spans="23:23" s="1629" customFormat="1" ht="24" customHeight="1">
      <c r="W4649" s="1634"/>
    </row>
    <row r="4650" spans="23:23" s="1629" customFormat="1" ht="24" customHeight="1">
      <c r="W4650" s="1634"/>
    </row>
    <row r="4651" spans="23:23" s="1629" customFormat="1" ht="24" customHeight="1">
      <c r="W4651" s="1634"/>
    </row>
    <row r="4652" spans="23:23" s="1629" customFormat="1" ht="24" customHeight="1">
      <c r="W4652" s="1634"/>
    </row>
    <row r="4653" spans="23:23" s="1629" customFormat="1" ht="24" customHeight="1">
      <c r="W4653" s="1634"/>
    </row>
    <row r="4654" spans="23:23" s="1629" customFormat="1" ht="24" customHeight="1">
      <c r="W4654" s="1634"/>
    </row>
    <row r="4655" spans="23:23" s="1629" customFormat="1" ht="24" customHeight="1">
      <c r="W4655" s="1634"/>
    </row>
    <row r="4656" spans="23:23" s="1629" customFormat="1" ht="24" customHeight="1">
      <c r="W4656" s="1634"/>
    </row>
    <row r="4657" spans="23:23" s="1629" customFormat="1" ht="24" customHeight="1">
      <c r="W4657" s="1634"/>
    </row>
    <row r="4658" spans="23:23" s="1629" customFormat="1" ht="24" customHeight="1">
      <c r="W4658" s="1634"/>
    </row>
    <row r="4659" spans="23:23" s="1629" customFormat="1" ht="24" customHeight="1">
      <c r="W4659" s="1634"/>
    </row>
    <row r="4660" spans="23:23" s="1629" customFormat="1" ht="24" customHeight="1">
      <c r="W4660" s="1634"/>
    </row>
    <row r="4661" spans="23:23" s="1629" customFormat="1" ht="24" customHeight="1">
      <c r="W4661" s="1634"/>
    </row>
    <row r="4662" spans="23:23" s="1629" customFormat="1" ht="24" customHeight="1">
      <c r="W4662" s="1634"/>
    </row>
    <row r="4663" spans="23:23" s="1629" customFormat="1" ht="24" customHeight="1">
      <c r="W4663" s="1634"/>
    </row>
    <row r="4664" spans="23:23" s="1629" customFormat="1" ht="24" customHeight="1">
      <c r="W4664" s="1634"/>
    </row>
    <row r="4665" spans="23:23" s="1629" customFormat="1" ht="24" customHeight="1">
      <c r="W4665" s="1634"/>
    </row>
    <row r="4666" spans="23:23" s="1629" customFormat="1" ht="24" customHeight="1">
      <c r="W4666" s="1634"/>
    </row>
    <row r="4667" spans="23:23" s="1629" customFormat="1" ht="24" customHeight="1">
      <c r="W4667" s="1634"/>
    </row>
    <row r="4668" spans="23:23" s="1629" customFormat="1" ht="24" customHeight="1">
      <c r="W4668" s="1634"/>
    </row>
    <row r="4669" spans="23:23" s="1629" customFormat="1" ht="24" customHeight="1">
      <c r="W4669" s="1634"/>
    </row>
    <row r="4670" spans="23:23" s="1629" customFormat="1" ht="24" customHeight="1">
      <c r="W4670" s="1634"/>
    </row>
    <row r="4671" spans="23:23" s="1629" customFormat="1" ht="24" customHeight="1">
      <c r="W4671" s="1634"/>
    </row>
    <row r="4672" spans="23:23" s="1629" customFormat="1" ht="24" customHeight="1">
      <c r="W4672" s="1634"/>
    </row>
    <row r="4673" spans="23:23" s="1629" customFormat="1" ht="24" customHeight="1">
      <c r="W4673" s="1634"/>
    </row>
    <row r="4674" spans="23:23" s="1629" customFormat="1" ht="24" customHeight="1">
      <c r="W4674" s="1634"/>
    </row>
    <row r="4675" spans="23:23" s="1629" customFormat="1" ht="24" customHeight="1">
      <c r="W4675" s="1634"/>
    </row>
    <row r="4676" spans="23:23" s="1629" customFormat="1" ht="24" customHeight="1">
      <c r="W4676" s="1634"/>
    </row>
    <row r="4677" spans="23:23" s="1629" customFormat="1" ht="24" customHeight="1">
      <c r="W4677" s="1634"/>
    </row>
    <row r="4678" spans="23:23" s="1629" customFormat="1" ht="24" customHeight="1">
      <c r="W4678" s="1634"/>
    </row>
    <row r="4679" spans="23:23" s="1629" customFormat="1" ht="24" customHeight="1">
      <c r="W4679" s="1634"/>
    </row>
    <row r="4680" spans="23:23" s="1629" customFormat="1" ht="24" customHeight="1">
      <c r="W4680" s="1634"/>
    </row>
    <row r="4681" spans="23:23" s="1629" customFormat="1" ht="24" customHeight="1">
      <c r="W4681" s="1634"/>
    </row>
    <row r="4682" spans="23:23" s="1629" customFormat="1" ht="24" customHeight="1">
      <c r="W4682" s="1634"/>
    </row>
    <row r="4683" spans="23:23" s="1629" customFormat="1" ht="24" customHeight="1">
      <c r="W4683" s="1634"/>
    </row>
    <row r="4684" spans="23:23" s="1629" customFormat="1" ht="24" customHeight="1">
      <c r="W4684" s="1634"/>
    </row>
    <row r="4685" spans="23:23" s="1629" customFormat="1" ht="24" customHeight="1">
      <c r="W4685" s="1634"/>
    </row>
    <row r="4686" spans="23:23" s="1629" customFormat="1" ht="24" customHeight="1">
      <c r="W4686" s="1634"/>
    </row>
    <row r="4687" spans="23:23" s="1629" customFormat="1" ht="24" customHeight="1">
      <c r="W4687" s="1634"/>
    </row>
    <row r="4688" spans="23:23" s="1629" customFormat="1" ht="24" customHeight="1">
      <c r="W4688" s="1634"/>
    </row>
    <row r="4689" spans="23:23" s="1629" customFormat="1" ht="24" customHeight="1">
      <c r="W4689" s="1634"/>
    </row>
    <row r="4690" spans="23:23" s="1629" customFormat="1" ht="24" customHeight="1">
      <c r="W4690" s="1634"/>
    </row>
    <row r="4691" spans="23:23" s="1629" customFormat="1" ht="24" customHeight="1">
      <c r="W4691" s="1634"/>
    </row>
    <row r="4692" spans="23:23" s="1629" customFormat="1" ht="24" customHeight="1">
      <c r="W4692" s="1634"/>
    </row>
    <row r="4693" spans="23:23" s="1629" customFormat="1" ht="24" customHeight="1">
      <c r="W4693" s="1634"/>
    </row>
    <row r="4694" spans="23:23" s="1629" customFormat="1" ht="24" customHeight="1">
      <c r="W4694" s="1634"/>
    </row>
    <row r="4695" spans="23:23" s="1629" customFormat="1" ht="24" customHeight="1">
      <c r="W4695" s="1634"/>
    </row>
    <row r="4696" spans="23:23" s="1629" customFormat="1" ht="24" customHeight="1">
      <c r="W4696" s="1634"/>
    </row>
    <row r="4697" spans="23:23" s="1629" customFormat="1" ht="24" customHeight="1">
      <c r="W4697" s="1634"/>
    </row>
    <row r="4698" spans="23:23" s="1629" customFormat="1" ht="24" customHeight="1">
      <c r="W4698" s="1634"/>
    </row>
    <row r="4699" spans="23:23" s="1629" customFormat="1" ht="24" customHeight="1">
      <c r="W4699" s="1634"/>
    </row>
    <row r="4700" spans="23:23" s="1629" customFormat="1" ht="24" customHeight="1">
      <c r="W4700" s="1634"/>
    </row>
    <row r="4701" spans="23:23" s="1629" customFormat="1" ht="24" customHeight="1">
      <c r="W4701" s="1634"/>
    </row>
    <row r="4702" spans="23:23" s="1629" customFormat="1" ht="24" customHeight="1">
      <c r="W4702" s="1634"/>
    </row>
    <row r="4703" spans="23:23" s="1629" customFormat="1" ht="24" customHeight="1">
      <c r="W4703" s="1634"/>
    </row>
    <row r="4704" spans="23:23" s="1629" customFormat="1" ht="24" customHeight="1">
      <c r="W4704" s="1634"/>
    </row>
    <row r="4705" spans="23:23" s="1629" customFormat="1" ht="24" customHeight="1">
      <c r="W4705" s="1634"/>
    </row>
    <row r="4706" spans="23:23" s="1629" customFormat="1" ht="24" customHeight="1">
      <c r="W4706" s="1634"/>
    </row>
    <row r="4707" spans="23:23" s="1629" customFormat="1" ht="24" customHeight="1">
      <c r="W4707" s="1634"/>
    </row>
    <row r="4708" spans="23:23" s="1629" customFormat="1" ht="24" customHeight="1">
      <c r="W4708" s="1634"/>
    </row>
    <row r="4709" spans="23:23" s="1629" customFormat="1" ht="24" customHeight="1">
      <c r="W4709" s="1634"/>
    </row>
    <row r="4710" spans="23:23" s="1629" customFormat="1" ht="24" customHeight="1">
      <c r="W4710" s="1634"/>
    </row>
    <row r="4711" spans="23:23" s="1629" customFormat="1" ht="24" customHeight="1">
      <c r="W4711" s="1634"/>
    </row>
    <row r="4712" spans="23:23" s="1629" customFormat="1" ht="24" customHeight="1">
      <c r="W4712" s="1634"/>
    </row>
    <row r="4713" spans="23:23" s="1629" customFormat="1" ht="24" customHeight="1">
      <c r="W4713" s="1634"/>
    </row>
    <row r="4714" spans="23:23" s="1629" customFormat="1" ht="24" customHeight="1">
      <c r="W4714" s="1634"/>
    </row>
    <row r="4715" spans="23:23" s="1629" customFormat="1" ht="24" customHeight="1">
      <c r="W4715" s="1634"/>
    </row>
    <row r="4716" spans="23:23" s="1629" customFormat="1" ht="24" customHeight="1">
      <c r="W4716" s="1634"/>
    </row>
    <row r="4717" spans="23:23" s="1629" customFormat="1" ht="24" customHeight="1">
      <c r="W4717" s="1634"/>
    </row>
    <row r="4718" spans="23:23" s="1629" customFormat="1" ht="24" customHeight="1">
      <c r="W4718" s="1634"/>
    </row>
    <row r="4719" spans="23:23" s="1629" customFormat="1" ht="24" customHeight="1">
      <c r="W4719" s="1634"/>
    </row>
    <row r="4720" spans="23:23" s="1629" customFormat="1" ht="24" customHeight="1">
      <c r="W4720" s="1634"/>
    </row>
    <row r="4721" spans="23:23" s="1629" customFormat="1" ht="24" customHeight="1">
      <c r="W4721" s="1634"/>
    </row>
    <row r="4722" spans="23:23" s="1629" customFormat="1" ht="24" customHeight="1">
      <c r="W4722" s="1634"/>
    </row>
    <row r="4723" spans="23:23" s="1629" customFormat="1" ht="24" customHeight="1">
      <c r="W4723" s="1634"/>
    </row>
    <row r="4724" spans="23:23" s="1629" customFormat="1" ht="24" customHeight="1">
      <c r="W4724" s="1634"/>
    </row>
    <row r="4725" spans="23:23" s="1629" customFormat="1" ht="24" customHeight="1">
      <c r="W4725" s="1634"/>
    </row>
    <row r="4726" spans="23:23" s="1629" customFormat="1" ht="24" customHeight="1">
      <c r="W4726" s="1634"/>
    </row>
    <row r="4727" spans="23:23" s="1629" customFormat="1" ht="24" customHeight="1">
      <c r="W4727" s="1634"/>
    </row>
    <row r="4728" spans="23:23" s="1629" customFormat="1" ht="24" customHeight="1">
      <c r="W4728" s="1634"/>
    </row>
    <row r="4729" spans="23:23" s="1629" customFormat="1" ht="24" customHeight="1">
      <c r="W4729" s="1634"/>
    </row>
    <row r="4730" spans="23:23" s="1629" customFormat="1" ht="24" customHeight="1">
      <c r="W4730" s="1634"/>
    </row>
    <row r="4731" spans="23:23" s="1629" customFormat="1" ht="24" customHeight="1">
      <c r="W4731" s="1634"/>
    </row>
    <row r="4732" spans="23:23" s="1629" customFormat="1" ht="24" customHeight="1">
      <c r="W4732" s="1634"/>
    </row>
    <row r="4733" spans="23:23" s="1629" customFormat="1" ht="24" customHeight="1">
      <c r="W4733" s="1634"/>
    </row>
    <row r="4734" spans="23:23" s="1629" customFormat="1" ht="24" customHeight="1">
      <c r="W4734" s="1634"/>
    </row>
    <row r="4735" spans="23:23" s="1629" customFormat="1" ht="24" customHeight="1">
      <c r="W4735" s="1634"/>
    </row>
    <row r="4736" spans="23:23" s="1629" customFormat="1" ht="24" customHeight="1">
      <c r="W4736" s="1634"/>
    </row>
    <row r="4737" spans="23:23" s="1629" customFormat="1" ht="24" customHeight="1">
      <c r="W4737" s="1634"/>
    </row>
    <row r="4738" spans="23:23" s="1629" customFormat="1" ht="24" customHeight="1">
      <c r="W4738" s="1634"/>
    </row>
    <row r="4739" spans="23:23" s="1629" customFormat="1" ht="24" customHeight="1">
      <c r="W4739" s="1634"/>
    </row>
    <row r="4740" spans="23:23" s="1629" customFormat="1" ht="24" customHeight="1">
      <c r="W4740" s="1634"/>
    </row>
    <row r="4741" spans="23:23" s="1629" customFormat="1" ht="24" customHeight="1">
      <c r="W4741" s="1634"/>
    </row>
    <row r="4742" spans="23:23" s="1629" customFormat="1" ht="24" customHeight="1">
      <c r="W4742" s="1634"/>
    </row>
    <row r="4743" spans="23:23" s="1629" customFormat="1" ht="24" customHeight="1">
      <c r="W4743" s="1634"/>
    </row>
    <row r="4744" spans="23:23" s="1629" customFormat="1" ht="24" customHeight="1">
      <c r="W4744" s="1634"/>
    </row>
    <row r="4745" spans="23:23" s="1629" customFormat="1" ht="24" customHeight="1">
      <c r="W4745" s="1634"/>
    </row>
    <row r="4746" spans="23:23" s="1629" customFormat="1" ht="24" customHeight="1">
      <c r="W4746" s="1634"/>
    </row>
    <row r="4747" spans="23:23" s="1629" customFormat="1" ht="24" customHeight="1">
      <c r="W4747" s="1634"/>
    </row>
    <row r="4748" spans="23:23" s="1629" customFormat="1" ht="24" customHeight="1">
      <c r="W4748" s="1634"/>
    </row>
    <row r="4749" spans="23:23" s="1629" customFormat="1" ht="24" customHeight="1">
      <c r="W4749" s="1634"/>
    </row>
    <row r="4750" spans="23:23" s="1629" customFormat="1" ht="24" customHeight="1">
      <c r="W4750" s="1634"/>
    </row>
    <row r="4751" spans="23:23" s="1629" customFormat="1" ht="24" customHeight="1">
      <c r="W4751" s="1634"/>
    </row>
    <row r="4752" spans="23:23" s="1629" customFormat="1" ht="24" customHeight="1">
      <c r="W4752" s="1634"/>
    </row>
    <row r="4753" spans="23:23" s="1629" customFormat="1" ht="24" customHeight="1">
      <c r="W4753" s="1634"/>
    </row>
    <row r="4754" spans="23:23" s="1629" customFormat="1" ht="24" customHeight="1">
      <c r="W4754" s="1634"/>
    </row>
    <row r="4755" spans="23:23" s="1629" customFormat="1" ht="24" customHeight="1">
      <c r="W4755" s="1634"/>
    </row>
    <row r="4756" spans="23:23" s="1629" customFormat="1" ht="24" customHeight="1">
      <c r="W4756" s="1634"/>
    </row>
    <row r="4757" spans="23:23" s="1629" customFormat="1" ht="24" customHeight="1">
      <c r="W4757" s="1634"/>
    </row>
    <row r="4758" spans="23:23" s="1629" customFormat="1" ht="24" customHeight="1">
      <c r="W4758" s="1634"/>
    </row>
    <row r="4759" spans="23:23" s="1629" customFormat="1" ht="24" customHeight="1">
      <c r="W4759" s="1634"/>
    </row>
    <row r="4760" spans="23:23" s="1629" customFormat="1" ht="24" customHeight="1">
      <c r="W4760" s="1634"/>
    </row>
    <row r="4761" spans="23:23" s="1629" customFormat="1" ht="24" customHeight="1">
      <c r="W4761" s="1634"/>
    </row>
    <row r="4762" spans="23:23" s="1629" customFormat="1" ht="24" customHeight="1">
      <c r="W4762" s="1634"/>
    </row>
    <row r="4763" spans="23:23" s="1629" customFormat="1" ht="24" customHeight="1">
      <c r="W4763" s="1634"/>
    </row>
    <row r="4764" spans="23:23" s="1629" customFormat="1" ht="24" customHeight="1">
      <c r="W4764" s="1634"/>
    </row>
    <row r="4765" spans="23:23" s="1629" customFormat="1" ht="24" customHeight="1">
      <c r="W4765" s="1634"/>
    </row>
    <row r="4766" spans="23:23" s="1629" customFormat="1" ht="24" customHeight="1">
      <c r="W4766" s="1634"/>
    </row>
    <row r="4767" spans="23:23" s="1629" customFormat="1" ht="24" customHeight="1">
      <c r="W4767" s="1634"/>
    </row>
    <row r="4768" spans="23:23" s="1629" customFormat="1" ht="24" customHeight="1">
      <c r="W4768" s="1634"/>
    </row>
    <row r="4769" spans="23:23" s="1629" customFormat="1" ht="24" customHeight="1">
      <c r="W4769" s="1634"/>
    </row>
    <row r="4770" spans="23:23" s="1629" customFormat="1" ht="24" customHeight="1">
      <c r="W4770" s="1634"/>
    </row>
    <row r="4771" spans="23:23" s="1629" customFormat="1" ht="24" customHeight="1">
      <c r="W4771" s="1634"/>
    </row>
    <row r="4772" spans="23:23" s="1629" customFormat="1" ht="24" customHeight="1">
      <c r="W4772" s="1634"/>
    </row>
    <row r="4773" spans="23:23" s="1629" customFormat="1" ht="24" customHeight="1">
      <c r="W4773" s="1634"/>
    </row>
    <row r="4774" spans="23:23" s="1629" customFormat="1" ht="24" customHeight="1">
      <c r="W4774" s="1634"/>
    </row>
    <row r="4775" spans="23:23" s="1629" customFormat="1" ht="24" customHeight="1">
      <c r="W4775" s="1634"/>
    </row>
    <row r="4776" spans="23:23" s="1629" customFormat="1" ht="24" customHeight="1">
      <c r="W4776" s="1634"/>
    </row>
    <row r="4777" spans="23:23" s="1629" customFormat="1" ht="24" customHeight="1">
      <c r="W4777" s="1634"/>
    </row>
    <row r="4778" spans="23:23" s="1629" customFormat="1" ht="24" customHeight="1">
      <c r="W4778" s="1634"/>
    </row>
    <row r="4779" spans="23:23" s="1629" customFormat="1" ht="24" customHeight="1">
      <c r="W4779" s="1634"/>
    </row>
    <row r="4780" spans="23:23" s="1629" customFormat="1" ht="24" customHeight="1">
      <c r="W4780" s="1634"/>
    </row>
    <row r="4781" spans="23:23" s="1629" customFormat="1" ht="24" customHeight="1">
      <c r="W4781" s="1634"/>
    </row>
    <row r="4782" spans="23:23" s="1629" customFormat="1" ht="24" customHeight="1">
      <c r="W4782" s="1634"/>
    </row>
    <row r="4783" spans="23:23" s="1629" customFormat="1" ht="24" customHeight="1">
      <c r="W4783" s="1634"/>
    </row>
    <row r="4784" spans="23:23" s="1629" customFormat="1" ht="24" customHeight="1">
      <c r="W4784" s="1634"/>
    </row>
    <row r="4785" spans="23:23" s="1629" customFormat="1" ht="24" customHeight="1">
      <c r="W4785" s="1634"/>
    </row>
    <row r="4786" spans="23:23" s="1629" customFormat="1" ht="24" customHeight="1">
      <c r="W4786" s="1634"/>
    </row>
    <row r="4787" spans="23:23" s="1629" customFormat="1" ht="24" customHeight="1">
      <c r="W4787" s="1634"/>
    </row>
    <row r="4788" spans="23:23" s="1629" customFormat="1" ht="24" customHeight="1">
      <c r="W4788" s="1634"/>
    </row>
    <row r="4789" spans="23:23" s="1629" customFormat="1" ht="24" customHeight="1">
      <c r="W4789" s="1634"/>
    </row>
    <row r="4790" spans="23:23" s="1629" customFormat="1" ht="24" customHeight="1">
      <c r="W4790" s="1634"/>
    </row>
    <row r="4791" spans="23:23" s="1629" customFormat="1" ht="24" customHeight="1">
      <c r="W4791" s="1634"/>
    </row>
    <row r="4792" spans="23:23" s="1629" customFormat="1" ht="24" customHeight="1">
      <c r="W4792" s="1634"/>
    </row>
    <row r="4793" spans="23:23" s="1629" customFormat="1" ht="24" customHeight="1">
      <c r="W4793" s="1634"/>
    </row>
    <row r="4794" spans="23:23" s="1629" customFormat="1" ht="24" customHeight="1">
      <c r="W4794" s="1634"/>
    </row>
    <row r="4795" spans="23:23" s="1629" customFormat="1" ht="24" customHeight="1">
      <c r="W4795" s="1634"/>
    </row>
    <row r="4796" spans="23:23" s="1629" customFormat="1" ht="24" customHeight="1">
      <c r="W4796" s="1634"/>
    </row>
    <row r="4797" spans="23:23" s="1629" customFormat="1" ht="24" customHeight="1">
      <c r="W4797" s="1634"/>
    </row>
    <row r="4798" spans="23:23" s="1629" customFormat="1" ht="24" customHeight="1">
      <c r="W4798" s="1634"/>
    </row>
    <row r="4799" spans="23:23" s="1629" customFormat="1" ht="24" customHeight="1">
      <c r="W4799" s="1634"/>
    </row>
    <row r="4800" spans="23:23" s="1629" customFormat="1" ht="24" customHeight="1">
      <c r="W4800" s="1634"/>
    </row>
    <row r="4801" spans="23:23" s="1629" customFormat="1" ht="24" customHeight="1">
      <c r="W4801" s="1634"/>
    </row>
    <row r="4802" spans="23:23" s="1629" customFormat="1" ht="24" customHeight="1">
      <c r="W4802" s="1634"/>
    </row>
    <row r="4803" spans="23:23" s="1629" customFormat="1" ht="24" customHeight="1">
      <c r="W4803" s="1634"/>
    </row>
    <row r="4804" spans="23:23" s="1629" customFormat="1" ht="24" customHeight="1">
      <c r="W4804" s="1634"/>
    </row>
    <row r="4805" spans="23:23" s="1629" customFormat="1" ht="24" customHeight="1">
      <c r="W4805" s="1634"/>
    </row>
    <row r="4806" spans="23:23" s="1629" customFormat="1" ht="24" customHeight="1">
      <c r="W4806" s="1634"/>
    </row>
    <row r="4807" spans="23:23" s="1629" customFormat="1" ht="24" customHeight="1">
      <c r="W4807" s="1634"/>
    </row>
    <row r="4808" spans="23:23" s="1629" customFormat="1" ht="24" customHeight="1">
      <c r="W4808" s="1634"/>
    </row>
    <row r="4809" spans="23:23" s="1629" customFormat="1" ht="24" customHeight="1">
      <c r="W4809" s="1634"/>
    </row>
    <row r="4810" spans="23:23" s="1629" customFormat="1" ht="24" customHeight="1">
      <c r="W4810" s="1634"/>
    </row>
    <row r="4811" spans="23:23" s="1629" customFormat="1" ht="24" customHeight="1">
      <c r="W4811" s="1634"/>
    </row>
    <row r="4812" spans="23:23" s="1629" customFormat="1" ht="24" customHeight="1">
      <c r="W4812" s="1634"/>
    </row>
    <row r="4813" spans="23:23" s="1629" customFormat="1" ht="24" customHeight="1">
      <c r="W4813" s="1634"/>
    </row>
    <row r="4814" spans="23:23" s="1629" customFormat="1" ht="24" customHeight="1">
      <c r="W4814" s="1634"/>
    </row>
    <row r="4815" spans="23:23" s="1629" customFormat="1" ht="24" customHeight="1">
      <c r="W4815" s="1634"/>
    </row>
    <row r="4816" spans="23:23" s="1629" customFormat="1" ht="24" customHeight="1">
      <c r="W4816" s="1634"/>
    </row>
    <row r="4817" spans="23:23" s="1629" customFormat="1" ht="24" customHeight="1">
      <c r="W4817" s="1634"/>
    </row>
    <row r="4818" spans="23:23" s="1629" customFormat="1" ht="24" customHeight="1">
      <c r="W4818" s="1634"/>
    </row>
    <row r="4819" spans="23:23" s="1629" customFormat="1" ht="24" customHeight="1">
      <c r="W4819" s="1634"/>
    </row>
    <row r="4820" spans="23:23" s="1629" customFormat="1" ht="24" customHeight="1">
      <c r="W4820" s="1634"/>
    </row>
    <row r="4821" spans="23:23" s="1629" customFormat="1" ht="24" customHeight="1">
      <c r="W4821" s="1634"/>
    </row>
    <row r="4822" spans="23:23" s="1629" customFormat="1" ht="24" customHeight="1">
      <c r="W4822" s="1634"/>
    </row>
    <row r="4823" spans="23:23" s="1629" customFormat="1" ht="24" customHeight="1">
      <c r="W4823" s="1634"/>
    </row>
    <row r="4824" spans="23:23" s="1629" customFormat="1" ht="24" customHeight="1">
      <c r="W4824" s="1634"/>
    </row>
    <row r="4825" spans="23:23" s="1629" customFormat="1" ht="24" customHeight="1">
      <c r="W4825" s="1634"/>
    </row>
    <row r="4826" spans="23:23" s="1629" customFormat="1" ht="24" customHeight="1">
      <c r="W4826" s="1634"/>
    </row>
    <row r="4827" spans="23:23" s="1629" customFormat="1" ht="24" customHeight="1">
      <c r="W4827" s="1634"/>
    </row>
    <row r="4828" spans="23:23" s="1629" customFormat="1" ht="24" customHeight="1">
      <c r="W4828" s="1634"/>
    </row>
    <row r="4829" spans="23:23" s="1629" customFormat="1" ht="24" customHeight="1">
      <c r="W4829" s="1634"/>
    </row>
    <row r="4830" spans="23:23" s="1629" customFormat="1" ht="24" customHeight="1">
      <c r="W4830" s="1634"/>
    </row>
    <row r="4831" spans="23:23" s="1629" customFormat="1" ht="24" customHeight="1">
      <c r="W4831" s="1634"/>
    </row>
    <row r="4832" spans="23:23" s="1629" customFormat="1" ht="24" customHeight="1">
      <c r="W4832" s="1634"/>
    </row>
    <row r="4833" spans="23:23" s="1629" customFormat="1" ht="24" customHeight="1">
      <c r="W4833" s="1634"/>
    </row>
    <row r="4834" spans="23:23" s="1629" customFormat="1" ht="24" customHeight="1">
      <c r="W4834" s="1634"/>
    </row>
    <row r="4835" spans="23:23" s="1629" customFormat="1" ht="24" customHeight="1">
      <c r="W4835" s="1634"/>
    </row>
    <row r="4836" spans="23:23" s="1629" customFormat="1" ht="24" customHeight="1">
      <c r="W4836" s="1634"/>
    </row>
    <row r="4837" spans="23:23" s="1629" customFormat="1" ht="24" customHeight="1">
      <c r="W4837" s="1634"/>
    </row>
    <row r="4838" spans="23:23" s="1629" customFormat="1" ht="24" customHeight="1">
      <c r="W4838" s="1634"/>
    </row>
    <row r="4839" spans="23:23" s="1629" customFormat="1" ht="24" customHeight="1">
      <c r="W4839" s="1634"/>
    </row>
    <row r="4840" spans="23:23" s="1629" customFormat="1" ht="24" customHeight="1">
      <c r="W4840" s="1634"/>
    </row>
    <row r="4841" spans="23:23" s="1629" customFormat="1" ht="24" customHeight="1">
      <c r="W4841" s="1634"/>
    </row>
    <row r="4842" spans="23:23" s="1629" customFormat="1" ht="24" customHeight="1">
      <c r="W4842" s="1634"/>
    </row>
    <row r="4843" spans="23:23" s="1629" customFormat="1" ht="24" customHeight="1">
      <c r="W4843" s="1634"/>
    </row>
    <row r="4844" spans="23:23" s="1629" customFormat="1" ht="24" customHeight="1">
      <c r="W4844" s="1634"/>
    </row>
    <row r="4845" spans="23:23" s="1629" customFormat="1" ht="24" customHeight="1">
      <c r="W4845" s="1634"/>
    </row>
    <row r="4846" spans="23:23" s="1629" customFormat="1" ht="24" customHeight="1">
      <c r="W4846" s="1634"/>
    </row>
    <row r="4847" spans="23:23" s="1629" customFormat="1" ht="24" customHeight="1">
      <c r="W4847" s="1634"/>
    </row>
    <row r="4848" spans="23:23" s="1629" customFormat="1" ht="24" customHeight="1">
      <c r="W4848" s="1634"/>
    </row>
    <row r="4849" spans="23:23" s="1629" customFormat="1" ht="24" customHeight="1">
      <c r="W4849" s="1634"/>
    </row>
    <row r="4850" spans="23:23" s="1629" customFormat="1" ht="24" customHeight="1">
      <c r="W4850" s="1634"/>
    </row>
    <row r="4851" spans="23:23" s="1629" customFormat="1" ht="24" customHeight="1">
      <c r="W4851" s="1634"/>
    </row>
    <row r="4852" spans="23:23" s="1629" customFormat="1" ht="24" customHeight="1">
      <c r="W4852" s="1634"/>
    </row>
    <row r="4853" spans="23:23" s="1629" customFormat="1" ht="24" customHeight="1">
      <c r="W4853" s="1634"/>
    </row>
    <row r="4854" spans="23:23" s="1629" customFormat="1" ht="24" customHeight="1">
      <c r="W4854" s="1634"/>
    </row>
    <row r="4855" spans="23:23" s="1629" customFormat="1" ht="24" customHeight="1">
      <c r="W4855" s="1634"/>
    </row>
    <row r="4856" spans="23:23" s="1629" customFormat="1" ht="24" customHeight="1">
      <c r="W4856" s="1634"/>
    </row>
    <row r="4857" spans="23:23" s="1629" customFormat="1" ht="24" customHeight="1">
      <c r="W4857" s="1634"/>
    </row>
    <row r="4858" spans="23:23" s="1629" customFormat="1" ht="24" customHeight="1">
      <c r="W4858" s="1634"/>
    </row>
    <row r="4859" spans="23:23" s="1629" customFormat="1" ht="24" customHeight="1">
      <c r="W4859" s="1634"/>
    </row>
    <row r="4860" spans="23:23" s="1629" customFormat="1" ht="24" customHeight="1">
      <c r="W4860" s="1634"/>
    </row>
    <row r="4861" spans="23:23" s="1629" customFormat="1" ht="24" customHeight="1">
      <c r="W4861" s="1634"/>
    </row>
    <row r="4862" spans="23:23" s="1629" customFormat="1" ht="24" customHeight="1">
      <c r="W4862" s="1634"/>
    </row>
    <row r="4863" spans="23:23" s="1629" customFormat="1" ht="24" customHeight="1">
      <c r="W4863" s="1634"/>
    </row>
    <row r="4864" spans="23:23" s="1629" customFormat="1" ht="24" customHeight="1">
      <c r="W4864" s="1634"/>
    </row>
    <row r="4865" spans="23:23" s="1629" customFormat="1" ht="24" customHeight="1">
      <c r="W4865" s="1634"/>
    </row>
    <row r="4866" spans="23:23" s="1629" customFormat="1" ht="24" customHeight="1">
      <c r="W4866" s="1634"/>
    </row>
    <row r="4867" spans="23:23" s="1629" customFormat="1" ht="24" customHeight="1">
      <c r="W4867" s="1634"/>
    </row>
    <row r="4868" spans="23:23" s="1629" customFormat="1" ht="24" customHeight="1">
      <c r="W4868" s="1634"/>
    </row>
    <row r="4869" spans="23:23" s="1629" customFormat="1" ht="24" customHeight="1">
      <c r="W4869" s="1634"/>
    </row>
    <row r="4870" spans="23:23" s="1629" customFormat="1" ht="24" customHeight="1">
      <c r="W4870" s="1634"/>
    </row>
    <row r="4871" spans="23:23" s="1629" customFormat="1" ht="24" customHeight="1">
      <c r="W4871" s="1634"/>
    </row>
    <row r="4872" spans="23:23" s="1629" customFormat="1" ht="24" customHeight="1">
      <c r="W4872" s="1634"/>
    </row>
    <row r="4873" spans="23:23" s="1629" customFormat="1" ht="24" customHeight="1">
      <c r="W4873" s="1634"/>
    </row>
    <row r="4874" spans="23:23" s="1629" customFormat="1" ht="24" customHeight="1">
      <c r="W4874" s="1634"/>
    </row>
    <row r="4875" spans="23:23" s="1629" customFormat="1" ht="24" customHeight="1">
      <c r="W4875" s="1634"/>
    </row>
    <row r="4876" spans="23:23" s="1629" customFormat="1" ht="24" customHeight="1">
      <c r="W4876" s="1634"/>
    </row>
    <row r="4877" spans="23:23" s="1629" customFormat="1" ht="24" customHeight="1">
      <c r="W4877" s="1634"/>
    </row>
    <row r="4878" spans="23:23" s="1629" customFormat="1" ht="24" customHeight="1">
      <c r="W4878" s="1634"/>
    </row>
    <row r="4879" spans="23:23" s="1629" customFormat="1" ht="24" customHeight="1">
      <c r="W4879" s="1634"/>
    </row>
    <row r="4880" spans="23:23" s="1629" customFormat="1" ht="24" customHeight="1">
      <c r="W4880" s="1634"/>
    </row>
    <row r="4881" spans="23:23" s="1629" customFormat="1" ht="24" customHeight="1">
      <c r="W4881" s="1634"/>
    </row>
    <row r="4882" spans="23:23" s="1629" customFormat="1" ht="24" customHeight="1">
      <c r="W4882" s="1634"/>
    </row>
    <row r="4883" spans="23:23" s="1629" customFormat="1" ht="24" customHeight="1">
      <c r="W4883" s="1634"/>
    </row>
    <row r="4884" spans="23:23" s="1629" customFormat="1" ht="24" customHeight="1">
      <c r="W4884" s="1634"/>
    </row>
    <row r="4885" spans="23:23" s="1629" customFormat="1" ht="24" customHeight="1">
      <c r="W4885" s="1634"/>
    </row>
    <row r="4886" spans="23:23" s="1629" customFormat="1" ht="24" customHeight="1">
      <c r="W4886" s="1634"/>
    </row>
    <row r="4887" spans="23:23" s="1629" customFormat="1" ht="24" customHeight="1">
      <c r="W4887" s="1634"/>
    </row>
    <row r="4888" spans="23:23" s="1629" customFormat="1" ht="24" customHeight="1">
      <c r="W4888" s="1634"/>
    </row>
    <row r="4889" spans="23:23" s="1629" customFormat="1" ht="24" customHeight="1">
      <c r="W4889" s="1634"/>
    </row>
    <row r="4890" spans="23:23" s="1629" customFormat="1" ht="24" customHeight="1">
      <c r="W4890" s="1634"/>
    </row>
    <row r="4891" spans="23:23" s="1629" customFormat="1" ht="24" customHeight="1">
      <c r="W4891" s="1634"/>
    </row>
    <row r="4892" spans="23:23" s="1629" customFormat="1" ht="24" customHeight="1">
      <c r="W4892" s="1634"/>
    </row>
    <row r="4893" spans="23:23" s="1629" customFormat="1" ht="24" customHeight="1">
      <c r="W4893" s="1634"/>
    </row>
    <row r="4894" spans="23:23" s="1629" customFormat="1" ht="24" customHeight="1">
      <c r="W4894" s="1634"/>
    </row>
    <row r="4895" spans="23:23" s="1629" customFormat="1" ht="24" customHeight="1">
      <c r="W4895" s="1634"/>
    </row>
    <row r="4896" spans="23:23" s="1629" customFormat="1" ht="24" customHeight="1">
      <c r="W4896" s="1634"/>
    </row>
    <row r="4897" spans="23:23" s="1629" customFormat="1" ht="24" customHeight="1">
      <c r="W4897" s="1634"/>
    </row>
    <row r="4898" spans="23:23" s="1629" customFormat="1" ht="24" customHeight="1">
      <c r="W4898" s="1634"/>
    </row>
    <row r="4899" spans="23:23" s="1629" customFormat="1" ht="24" customHeight="1">
      <c r="W4899" s="1634"/>
    </row>
    <row r="4900" spans="23:23" s="1629" customFormat="1" ht="24" customHeight="1">
      <c r="W4900" s="1634"/>
    </row>
    <row r="4901" spans="23:23" s="1629" customFormat="1" ht="24" customHeight="1">
      <c r="W4901" s="1634"/>
    </row>
    <row r="4902" spans="23:23" s="1629" customFormat="1" ht="24" customHeight="1">
      <c r="W4902" s="1634"/>
    </row>
    <row r="4903" spans="23:23" s="1629" customFormat="1" ht="24" customHeight="1">
      <c r="W4903" s="1634"/>
    </row>
    <row r="4904" spans="23:23" s="1629" customFormat="1" ht="24" customHeight="1">
      <c r="W4904" s="1634"/>
    </row>
    <row r="4905" spans="23:23" s="1629" customFormat="1" ht="24" customHeight="1">
      <c r="W4905" s="1634"/>
    </row>
    <row r="4906" spans="23:23" s="1629" customFormat="1" ht="24" customHeight="1">
      <c r="W4906" s="1634"/>
    </row>
    <row r="4907" spans="23:23" s="1629" customFormat="1" ht="24" customHeight="1">
      <c r="W4907" s="1634"/>
    </row>
    <row r="4908" spans="23:23" s="1629" customFormat="1" ht="24" customHeight="1">
      <c r="W4908" s="1634"/>
    </row>
    <row r="4909" spans="23:23" s="1629" customFormat="1" ht="24" customHeight="1">
      <c r="W4909" s="1634"/>
    </row>
    <row r="4910" spans="23:23" s="1629" customFormat="1" ht="24" customHeight="1">
      <c r="W4910" s="1634"/>
    </row>
    <row r="4911" spans="23:23" s="1629" customFormat="1" ht="24" customHeight="1">
      <c r="W4911" s="1634"/>
    </row>
    <row r="4912" spans="23:23" s="1629" customFormat="1" ht="24" customHeight="1">
      <c r="W4912" s="1634"/>
    </row>
    <row r="4913" spans="23:23" s="1629" customFormat="1" ht="24" customHeight="1">
      <c r="W4913" s="1634"/>
    </row>
    <row r="4914" spans="23:23" s="1629" customFormat="1" ht="24" customHeight="1">
      <c r="W4914" s="1634"/>
    </row>
    <row r="4915" spans="23:23" s="1629" customFormat="1" ht="24" customHeight="1">
      <c r="W4915" s="1634"/>
    </row>
    <row r="4916" spans="23:23" s="1629" customFormat="1" ht="24" customHeight="1">
      <c r="W4916" s="1634"/>
    </row>
    <row r="4917" spans="23:23" s="1629" customFormat="1" ht="24" customHeight="1">
      <c r="W4917" s="1634"/>
    </row>
    <row r="4918" spans="23:23" s="1629" customFormat="1" ht="24" customHeight="1">
      <c r="W4918" s="1634"/>
    </row>
    <row r="4919" spans="23:23" s="1629" customFormat="1" ht="24" customHeight="1">
      <c r="W4919" s="1634"/>
    </row>
    <row r="4920" spans="23:23" s="1629" customFormat="1" ht="24" customHeight="1">
      <c r="W4920" s="1634"/>
    </row>
    <row r="4921" spans="23:23" s="1629" customFormat="1" ht="24" customHeight="1">
      <c r="W4921" s="1634"/>
    </row>
    <row r="4922" spans="23:23" s="1629" customFormat="1" ht="24" customHeight="1">
      <c r="W4922" s="1634"/>
    </row>
    <row r="4923" spans="23:23" s="1629" customFormat="1" ht="24" customHeight="1">
      <c r="W4923" s="1634"/>
    </row>
    <row r="4924" spans="23:23" s="1629" customFormat="1" ht="24" customHeight="1">
      <c r="W4924" s="1634"/>
    </row>
    <row r="4925" spans="23:23" s="1629" customFormat="1" ht="24" customHeight="1">
      <c r="W4925" s="1634"/>
    </row>
    <row r="4926" spans="23:23" s="1629" customFormat="1" ht="24" customHeight="1">
      <c r="W4926" s="1634"/>
    </row>
    <row r="4927" spans="23:23" s="1629" customFormat="1" ht="24" customHeight="1">
      <c r="W4927" s="1634"/>
    </row>
    <row r="4928" spans="23:23" s="1629" customFormat="1" ht="24" customHeight="1">
      <c r="W4928" s="1634"/>
    </row>
    <row r="4929" spans="23:23" s="1629" customFormat="1" ht="24" customHeight="1">
      <c r="W4929" s="1634"/>
    </row>
    <row r="4930" spans="23:23" s="1629" customFormat="1" ht="24" customHeight="1">
      <c r="W4930" s="1634"/>
    </row>
    <row r="4931" spans="23:23" s="1629" customFormat="1" ht="24" customHeight="1">
      <c r="W4931" s="1634"/>
    </row>
    <row r="4932" spans="23:23" s="1629" customFormat="1" ht="24" customHeight="1">
      <c r="W4932" s="1634"/>
    </row>
    <row r="4933" spans="23:23" s="1629" customFormat="1" ht="24" customHeight="1">
      <c r="W4933" s="1634"/>
    </row>
    <row r="4934" spans="23:23" s="1629" customFormat="1" ht="24" customHeight="1">
      <c r="W4934" s="1634"/>
    </row>
    <row r="4935" spans="23:23" s="1629" customFormat="1" ht="24" customHeight="1">
      <c r="W4935" s="1634"/>
    </row>
    <row r="4936" spans="23:23" s="1629" customFormat="1" ht="24" customHeight="1">
      <c r="W4936" s="1634"/>
    </row>
    <row r="4937" spans="23:23" s="1629" customFormat="1" ht="24" customHeight="1">
      <c r="W4937" s="1634"/>
    </row>
    <row r="4938" spans="23:23" s="1629" customFormat="1" ht="24" customHeight="1">
      <c r="W4938" s="1634"/>
    </row>
    <row r="4939" spans="23:23" s="1629" customFormat="1" ht="24" customHeight="1">
      <c r="W4939" s="1634"/>
    </row>
    <row r="4940" spans="23:23" s="1629" customFormat="1" ht="24" customHeight="1">
      <c r="W4940" s="1634"/>
    </row>
    <row r="4941" spans="23:23" s="1629" customFormat="1" ht="24" customHeight="1">
      <c r="W4941" s="1634"/>
    </row>
    <row r="4942" spans="23:23" s="1629" customFormat="1" ht="24" customHeight="1">
      <c r="W4942" s="1634"/>
    </row>
    <row r="4943" spans="23:23" s="1629" customFormat="1" ht="24" customHeight="1">
      <c r="W4943" s="1634"/>
    </row>
    <row r="4944" spans="23:23" s="1629" customFormat="1" ht="24" customHeight="1">
      <c r="W4944" s="1634"/>
    </row>
    <row r="4945" spans="23:23" s="1629" customFormat="1" ht="24" customHeight="1">
      <c r="W4945" s="1634"/>
    </row>
    <row r="4946" spans="23:23" s="1629" customFormat="1" ht="24" customHeight="1">
      <c r="W4946" s="1634"/>
    </row>
    <row r="4947" spans="23:23" s="1629" customFormat="1" ht="24" customHeight="1">
      <c r="W4947" s="1634"/>
    </row>
    <row r="4948" spans="23:23" s="1629" customFormat="1" ht="24" customHeight="1">
      <c r="W4948" s="1634"/>
    </row>
    <row r="4949" spans="23:23" s="1629" customFormat="1" ht="24" customHeight="1">
      <c r="W4949" s="1634"/>
    </row>
    <row r="4950" spans="23:23" s="1629" customFormat="1" ht="24" customHeight="1">
      <c r="W4950" s="1634"/>
    </row>
    <row r="4951" spans="23:23" s="1629" customFormat="1" ht="24" customHeight="1">
      <c r="W4951" s="1634"/>
    </row>
    <row r="4952" spans="23:23" s="1629" customFormat="1" ht="24" customHeight="1">
      <c r="W4952" s="1634"/>
    </row>
    <row r="4953" spans="23:23" s="1629" customFormat="1" ht="24" customHeight="1">
      <c r="W4953" s="1634"/>
    </row>
    <row r="4954" spans="23:23" s="1629" customFormat="1" ht="24" customHeight="1">
      <c r="W4954" s="1634"/>
    </row>
    <row r="4955" spans="23:23" s="1629" customFormat="1" ht="24" customHeight="1">
      <c r="W4955" s="1634"/>
    </row>
    <row r="4956" spans="23:23" s="1629" customFormat="1" ht="24" customHeight="1">
      <c r="W4956" s="1634"/>
    </row>
    <row r="4957" spans="23:23" s="1629" customFormat="1" ht="24" customHeight="1">
      <c r="W4957" s="1634"/>
    </row>
    <row r="4958" spans="23:23" s="1629" customFormat="1" ht="24" customHeight="1">
      <c r="W4958" s="1634"/>
    </row>
    <row r="4959" spans="23:23" s="1629" customFormat="1" ht="24" customHeight="1">
      <c r="W4959" s="1634"/>
    </row>
    <row r="4960" spans="23:23" s="1629" customFormat="1" ht="24" customHeight="1">
      <c r="W4960" s="1634"/>
    </row>
    <row r="4961" spans="23:23" s="1629" customFormat="1" ht="24" customHeight="1">
      <c r="W4961" s="1634"/>
    </row>
    <row r="4962" spans="23:23" s="1629" customFormat="1" ht="24" customHeight="1">
      <c r="W4962" s="1634"/>
    </row>
    <row r="4963" spans="23:23" s="1629" customFormat="1" ht="24" customHeight="1">
      <c r="W4963" s="1634"/>
    </row>
    <row r="4964" spans="23:23" s="1629" customFormat="1" ht="24" customHeight="1">
      <c r="W4964" s="1634"/>
    </row>
    <row r="4965" spans="23:23" s="1629" customFormat="1" ht="24" customHeight="1">
      <c r="W4965" s="1634"/>
    </row>
    <row r="4966" spans="23:23" s="1629" customFormat="1" ht="24" customHeight="1">
      <c r="W4966" s="1634"/>
    </row>
    <row r="4967" spans="23:23" s="1629" customFormat="1" ht="24" customHeight="1">
      <c r="W4967" s="1634"/>
    </row>
    <row r="4968" spans="23:23" s="1629" customFormat="1" ht="24" customHeight="1">
      <c r="W4968" s="1634"/>
    </row>
    <row r="4969" spans="23:23" s="1629" customFormat="1" ht="24" customHeight="1">
      <c r="W4969" s="1634"/>
    </row>
    <row r="4970" spans="23:23" s="1629" customFormat="1" ht="24" customHeight="1">
      <c r="W4970" s="1634"/>
    </row>
    <row r="4971" spans="23:23" s="1629" customFormat="1" ht="24" customHeight="1">
      <c r="W4971" s="1634"/>
    </row>
    <row r="4972" spans="23:23" s="1629" customFormat="1" ht="24" customHeight="1">
      <c r="W4972" s="1634"/>
    </row>
    <row r="4973" spans="23:23" s="1629" customFormat="1" ht="24" customHeight="1">
      <c r="W4973" s="1634"/>
    </row>
    <row r="4974" spans="23:23" s="1629" customFormat="1" ht="24" customHeight="1">
      <c r="W4974" s="1634"/>
    </row>
    <row r="4975" spans="23:23" s="1629" customFormat="1" ht="24" customHeight="1">
      <c r="W4975" s="1634"/>
    </row>
    <row r="4976" spans="23:23" s="1629" customFormat="1" ht="24" customHeight="1">
      <c r="W4976" s="1634"/>
    </row>
    <row r="4977" spans="23:23" s="1629" customFormat="1" ht="24" customHeight="1">
      <c r="W4977" s="1634"/>
    </row>
    <row r="4978" spans="23:23" s="1629" customFormat="1" ht="24" customHeight="1">
      <c r="W4978" s="1634"/>
    </row>
    <row r="4979" spans="23:23" s="1629" customFormat="1" ht="24" customHeight="1">
      <c r="W4979" s="1634"/>
    </row>
    <row r="4980" spans="23:23" s="1629" customFormat="1" ht="24" customHeight="1">
      <c r="W4980" s="1634"/>
    </row>
    <row r="4981" spans="23:23" s="1629" customFormat="1" ht="24" customHeight="1">
      <c r="W4981" s="1634"/>
    </row>
    <row r="4982" spans="23:23" s="1629" customFormat="1" ht="24" customHeight="1">
      <c r="W4982" s="1634"/>
    </row>
    <row r="4983" spans="23:23" s="1629" customFormat="1" ht="24" customHeight="1">
      <c r="W4983" s="1634"/>
    </row>
    <row r="4984" spans="23:23" s="1629" customFormat="1" ht="24" customHeight="1">
      <c r="W4984" s="1634"/>
    </row>
    <row r="4985" spans="23:23" s="1629" customFormat="1" ht="24" customHeight="1">
      <c r="W4985" s="1634"/>
    </row>
    <row r="4986" spans="23:23" s="1629" customFormat="1" ht="24" customHeight="1">
      <c r="W4986" s="1634"/>
    </row>
    <row r="4987" spans="23:23" s="1629" customFormat="1" ht="24" customHeight="1">
      <c r="W4987" s="1634"/>
    </row>
    <row r="4988" spans="23:23" s="1629" customFormat="1" ht="24" customHeight="1">
      <c r="W4988" s="1634"/>
    </row>
    <row r="4989" spans="23:23" s="1629" customFormat="1" ht="24" customHeight="1">
      <c r="W4989" s="1634"/>
    </row>
    <row r="4990" spans="23:23" s="1629" customFormat="1" ht="24" customHeight="1">
      <c r="W4990" s="1634"/>
    </row>
    <row r="4991" spans="23:23" s="1629" customFormat="1" ht="24" customHeight="1">
      <c r="W4991" s="1634"/>
    </row>
    <row r="4992" spans="23:23" s="1629" customFormat="1" ht="24" customHeight="1">
      <c r="W4992" s="1634"/>
    </row>
    <row r="4993" spans="23:23" s="1629" customFormat="1" ht="24" customHeight="1">
      <c r="W4993" s="1634"/>
    </row>
    <row r="4994" spans="23:23" s="1629" customFormat="1" ht="24" customHeight="1">
      <c r="W4994" s="1634"/>
    </row>
    <row r="4995" spans="23:23" s="1629" customFormat="1" ht="24" customHeight="1">
      <c r="W4995" s="1634"/>
    </row>
    <row r="4996" spans="23:23" s="1629" customFormat="1" ht="24" customHeight="1">
      <c r="W4996" s="1634"/>
    </row>
    <row r="4997" spans="23:23" s="1629" customFormat="1" ht="24" customHeight="1">
      <c r="W4997" s="1634"/>
    </row>
    <row r="4998" spans="23:23" s="1629" customFormat="1" ht="24" customHeight="1">
      <c r="W4998" s="1634"/>
    </row>
    <row r="4999" spans="23:23" s="1629" customFormat="1" ht="24" customHeight="1">
      <c r="W4999" s="1634"/>
    </row>
    <row r="5000" spans="23:23" s="1629" customFormat="1" ht="24" customHeight="1">
      <c r="W5000" s="1634"/>
    </row>
    <row r="5001" spans="23:23" s="1629" customFormat="1" ht="24" customHeight="1">
      <c r="W5001" s="1634"/>
    </row>
    <row r="5002" spans="23:23" s="1629" customFormat="1" ht="24" customHeight="1">
      <c r="W5002" s="1634"/>
    </row>
    <row r="5003" spans="23:23" s="1629" customFormat="1" ht="24" customHeight="1">
      <c r="W5003" s="1634"/>
    </row>
    <row r="5004" spans="23:23" s="1629" customFormat="1" ht="24" customHeight="1">
      <c r="W5004" s="1634"/>
    </row>
    <row r="5005" spans="23:23" s="1629" customFormat="1" ht="24" customHeight="1">
      <c r="W5005" s="1634"/>
    </row>
    <row r="5006" spans="23:23" s="1629" customFormat="1" ht="24" customHeight="1">
      <c r="W5006" s="1634"/>
    </row>
    <row r="5007" spans="23:23" s="1629" customFormat="1" ht="24" customHeight="1">
      <c r="W5007" s="1634"/>
    </row>
    <row r="5008" spans="23:23" s="1629" customFormat="1" ht="24" customHeight="1">
      <c r="W5008" s="1634"/>
    </row>
    <row r="5009" spans="23:23" s="1629" customFormat="1" ht="24" customHeight="1">
      <c r="W5009" s="1634"/>
    </row>
    <row r="5010" spans="23:23" s="1629" customFormat="1" ht="24" customHeight="1">
      <c r="W5010" s="1634"/>
    </row>
    <row r="5011" spans="23:23" s="1629" customFormat="1" ht="24" customHeight="1">
      <c r="W5011" s="1634"/>
    </row>
    <row r="5012" spans="23:23" s="1629" customFormat="1" ht="24" customHeight="1">
      <c r="W5012" s="1634"/>
    </row>
    <row r="5013" spans="23:23" s="1629" customFormat="1" ht="24" customHeight="1">
      <c r="W5013" s="1634"/>
    </row>
    <row r="5014" spans="23:23" s="1629" customFormat="1" ht="24" customHeight="1">
      <c r="W5014" s="1634"/>
    </row>
    <row r="5015" spans="23:23" s="1629" customFormat="1" ht="24" customHeight="1">
      <c r="W5015" s="1634"/>
    </row>
    <row r="5016" spans="23:23" s="1629" customFormat="1" ht="24" customHeight="1">
      <c r="W5016" s="1634"/>
    </row>
    <row r="5017" spans="23:23" s="1629" customFormat="1" ht="24" customHeight="1">
      <c r="W5017" s="1634"/>
    </row>
    <row r="5018" spans="23:23" s="1629" customFormat="1" ht="24" customHeight="1">
      <c r="W5018" s="1634"/>
    </row>
    <row r="5019" spans="23:23" s="1629" customFormat="1" ht="24" customHeight="1">
      <c r="W5019" s="1634"/>
    </row>
    <row r="5020" spans="23:23" s="1629" customFormat="1" ht="24" customHeight="1">
      <c r="W5020" s="1634"/>
    </row>
    <row r="5021" spans="23:23" s="1629" customFormat="1" ht="24" customHeight="1">
      <c r="W5021" s="1634"/>
    </row>
    <row r="5022" spans="23:23" s="1629" customFormat="1" ht="24" customHeight="1">
      <c r="W5022" s="1634"/>
    </row>
    <row r="5023" spans="23:23" s="1629" customFormat="1" ht="24" customHeight="1">
      <c r="W5023" s="1634"/>
    </row>
    <row r="5024" spans="23:23" s="1629" customFormat="1" ht="24" customHeight="1">
      <c r="W5024" s="1634"/>
    </row>
    <row r="5025" spans="23:23" s="1629" customFormat="1" ht="24" customHeight="1">
      <c r="W5025" s="1634"/>
    </row>
    <row r="5026" spans="23:23" s="1629" customFormat="1" ht="24" customHeight="1">
      <c r="W5026" s="1634"/>
    </row>
    <row r="5027" spans="23:23" s="1629" customFormat="1" ht="24" customHeight="1">
      <c r="W5027" s="1634"/>
    </row>
    <row r="5028" spans="23:23" s="1629" customFormat="1" ht="24" customHeight="1">
      <c r="W5028" s="1634"/>
    </row>
    <row r="5029" spans="23:23" s="1629" customFormat="1" ht="24" customHeight="1">
      <c r="W5029" s="1634"/>
    </row>
    <row r="5030" spans="23:23" s="1629" customFormat="1" ht="24" customHeight="1">
      <c r="W5030" s="1634"/>
    </row>
    <row r="5031" spans="23:23" s="1629" customFormat="1" ht="24" customHeight="1">
      <c r="W5031" s="1634"/>
    </row>
    <row r="5032" spans="23:23" s="1629" customFormat="1" ht="24" customHeight="1">
      <c r="W5032" s="1634"/>
    </row>
    <row r="5033" spans="23:23" s="1629" customFormat="1" ht="24" customHeight="1">
      <c r="W5033" s="1634"/>
    </row>
    <row r="5034" spans="23:23" s="1629" customFormat="1" ht="24" customHeight="1">
      <c r="W5034" s="1634"/>
    </row>
    <row r="5035" spans="23:23" s="1629" customFormat="1" ht="24" customHeight="1">
      <c r="W5035" s="1634"/>
    </row>
    <row r="5036" spans="23:23" s="1629" customFormat="1" ht="24" customHeight="1">
      <c r="W5036" s="1634"/>
    </row>
    <row r="5037" spans="23:23" s="1629" customFormat="1" ht="24" customHeight="1">
      <c r="W5037" s="1634"/>
    </row>
    <row r="5038" spans="23:23" s="1629" customFormat="1" ht="24" customHeight="1">
      <c r="W5038" s="1634"/>
    </row>
    <row r="5039" spans="23:23" s="1629" customFormat="1" ht="24" customHeight="1">
      <c r="W5039" s="1634"/>
    </row>
    <row r="5040" spans="23:23" s="1629" customFormat="1" ht="24" customHeight="1">
      <c r="W5040" s="1634"/>
    </row>
    <row r="5041" spans="23:23" s="1629" customFormat="1" ht="24" customHeight="1">
      <c r="W5041" s="1634"/>
    </row>
    <row r="5042" spans="23:23" s="1629" customFormat="1" ht="24" customHeight="1">
      <c r="W5042" s="1634"/>
    </row>
    <row r="5043" spans="23:23" s="1629" customFormat="1" ht="24" customHeight="1">
      <c r="W5043" s="1634"/>
    </row>
    <row r="5044" spans="23:23" s="1629" customFormat="1" ht="24" customHeight="1">
      <c r="W5044" s="1634"/>
    </row>
    <row r="5045" spans="23:23" s="1629" customFormat="1" ht="24" customHeight="1">
      <c r="W5045" s="1634"/>
    </row>
    <row r="5046" spans="23:23" s="1629" customFormat="1" ht="24" customHeight="1">
      <c r="W5046" s="1634"/>
    </row>
    <row r="5047" spans="23:23" s="1629" customFormat="1" ht="24" customHeight="1">
      <c r="W5047" s="1634"/>
    </row>
    <row r="5048" spans="23:23" s="1629" customFormat="1" ht="24" customHeight="1">
      <c r="W5048" s="1634"/>
    </row>
    <row r="5049" spans="23:23" s="1629" customFormat="1" ht="24" customHeight="1">
      <c r="W5049" s="1634"/>
    </row>
    <row r="5050" spans="23:23" s="1629" customFormat="1" ht="24" customHeight="1">
      <c r="W5050" s="1634"/>
    </row>
    <row r="5051" spans="23:23" s="1629" customFormat="1" ht="24" customHeight="1">
      <c r="W5051" s="1634"/>
    </row>
    <row r="5052" spans="23:23" s="1629" customFormat="1" ht="24" customHeight="1">
      <c r="W5052" s="1634"/>
    </row>
    <row r="5053" spans="23:23" s="1629" customFormat="1" ht="24" customHeight="1">
      <c r="W5053" s="1634"/>
    </row>
    <row r="5054" spans="23:23" s="1629" customFormat="1" ht="24" customHeight="1">
      <c r="W5054" s="1634"/>
    </row>
    <row r="5055" spans="23:23" s="1629" customFormat="1" ht="24" customHeight="1">
      <c r="W5055" s="1634"/>
    </row>
    <row r="5056" spans="23:23" s="1629" customFormat="1" ht="24" customHeight="1">
      <c r="W5056" s="1634"/>
    </row>
    <row r="5057" spans="23:23" s="1629" customFormat="1" ht="24" customHeight="1">
      <c r="W5057" s="1634"/>
    </row>
    <row r="5058" spans="23:23" s="1629" customFormat="1" ht="24" customHeight="1">
      <c r="W5058" s="1634"/>
    </row>
    <row r="5059" spans="23:23" s="1629" customFormat="1" ht="24" customHeight="1">
      <c r="W5059" s="1634"/>
    </row>
    <row r="5060" spans="23:23" s="1629" customFormat="1" ht="24" customHeight="1">
      <c r="W5060" s="1634"/>
    </row>
    <row r="5061" spans="23:23" s="1629" customFormat="1" ht="24" customHeight="1">
      <c r="W5061" s="1634"/>
    </row>
    <row r="5062" spans="23:23" s="1629" customFormat="1" ht="24" customHeight="1">
      <c r="W5062" s="1634"/>
    </row>
    <row r="5063" spans="23:23" s="1629" customFormat="1" ht="24" customHeight="1">
      <c r="W5063" s="1634"/>
    </row>
    <row r="5064" spans="23:23" s="1629" customFormat="1" ht="24" customHeight="1">
      <c r="W5064" s="1634"/>
    </row>
    <row r="5065" spans="23:23" s="1629" customFormat="1" ht="24" customHeight="1">
      <c r="W5065" s="1634"/>
    </row>
    <row r="5066" spans="23:23" s="1629" customFormat="1" ht="24" customHeight="1">
      <c r="W5066" s="1634"/>
    </row>
    <row r="5067" spans="23:23" s="1629" customFormat="1" ht="24" customHeight="1">
      <c r="W5067" s="1634"/>
    </row>
    <row r="5068" spans="23:23" s="1629" customFormat="1" ht="24" customHeight="1">
      <c r="W5068" s="1634"/>
    </row>
    <row r="5069" spans="23:23" s="1629" customFormat="1" ht="24" customHeight="1">
      <c r="W5069" s="1634"/>
    </row>
    <row r="5070" spans="23:23" s="1629" customFormat="1" ht="24" customHeight="1">
      <c r="W5070" s="1634"/>
    </row>
    <row r="5071" spans="23:23" s="1629" customFormat="1" ht="24" customHeight="1">
      <c r="W5071" s="1634"/>
    </row>
    <row r="5072" spans="23:23" s="1629" customFormat="1" ht="24" customHeight="1">
      <c r="W5072" s="1634"/>
    </row>
    <row r="5073" spans="23:23" s="1629" customFormat="1" ht="24" customHeight="1">
      <c r="W5073" s="1634"/>
    </row>
    <row r="5074" spans="23:23" s="1629" customFormat="1" ht="24" customHeight="1">
      <c r="W5074" s="1634"/>
    </row>
    <row r="5075" spans="23:23" s="1629" customFormat="1" ht="24" customHeight="1">
      <c r="W5075" s="1634"/>
    </row>
    <row r="5076" spans="23:23" s="1629" customFormat="1" ht="24" customHeight="1">
      <c r="W5076" s="1634"/>
    </row>
    <row r="5077" spans="23:23" s="1629" customFormat="1" ht="24" customHeight="1">
      <c r="W5077" s="1634"/>
    </row>
    <row r="5078" spans="23:23" s="1629" customFormat="1" ht="24" customHeight="1">
      <c r="W5078" s="1634"/>
    </row>
    <row r="5079" spans="23:23" s="1629" customFormat="1" ht="24" customHeight="1">
      <c r="W5079" s="1634"/>
    </row>
    <row r="5080" spans="23:23" s="1629" customFormat="1" ht="24" customHeight="1">
      <c r="W5080" s="1634"/>
    </row>
    <row r="5081" spans="23:23" s="1629" customFormat="1" ht="24" customHeight="1">
      <c r="W5081" s="1634"/>
    </row>
    <row r="5082" spans="23:23" s="1629" customFormat="1" ht="24" customHeight="1">
      <c r="W5082" s="1634"/>
    </row>
    <row r="5083" spans="23:23" s="1629" customFormat="1" ht="24" customHeight="1">
      <c r="W5083" s="1634"/>
    </row>
    <row r="5084" spans="23:23" s="1629" customFormat="1" ht="24" customHeight="1">
      <c r="W5084" s="1634"/>
    </row>
    <row r="5085" spans="23:23" s="1629" customFormat="1" ht="24" customHeight="1">
      <c r="W5085" s="1634"/>
    </row>
    <row r="5086" spans="23:23" s="1629" customFormat="1" ht="24" customHeight="1">
      <c r="W5086" s="1634"/>
    </row>
    <row r="5087" spans="23:23" s="1629" customFormat="1" ht="24" customHeight="1">
      <c r="W5087" s="1634"/>
    </row>
    <row r="5088" spans="23:23" s="1629" customFormat="1" ht="24" customHeight="1">
      <c r="W5088" s="1634"/>
    </row>
    <row r="5089" spans="23:23" s="1629" customFormat="1" ht="24" customHeight="1">
      <c r="W5089" s="1634"/>
    </row>
    <row r="5090" spans="23:23" s="1629" customFormat="1" ht="24" customHeight="1">
      <c r="W5090" s="1634"/>
    </row>
    <row r="5091" spans="23:23" s="1629" customFormat="1" ht="24" customHeight="1">
      <c r="W5091" s="1634"/>
    </row>
    <row r="5092" spans="23:23" s="1629" customFormat="1" ht="24" customHeight="1">
      <c r="W5092" s="1634"/>
    </row>
    <row r="5093" spans="23:23" s="1629" customFormat="1" ht="24" customHeight="1">
      <c r="W5093" s="1634"/>
    </row>
    <row r="5094" spans="23:23" s="1629" customFormat="1" ht="24" customHeight="1">
      <c r="W5094" s="1634"/>
    </row>
    <row r="5095" spans="23:23" s="1629" customFormat="1" ht="24" customHeight="1">
      <c r="W5095" s="1634"/>
    </row>
    <row r="5096" spans="23:23" s="1629" customFormat="1" ht="24" customHeight="1">
      <c r="W5096" s="1634"/>
    </row>
    <row r="5097" spans="23:23" s="1629" customFormat="1" ht="24" customHeight="1">
      <c r="W5097" s="1634"/>
    </row>
    <row r="5098" spans="23:23" s="1629" customFormat="1" ht="24" customHeight="1">
      <c r="W5098" s="1634"/>
    </row>
    <row r="5099" spans="23:23" s="1629" customFormat="1" ht="24" customHeight="1">
      <c r="W5099" s="1634"/>
    </row>
    <row r="5100" spans="23:23" s="1629" customFormat="1" ht="24" customHeight="1">
      <c r="W5100" s="1634"/>
    </row>
    <row r="5101" spans="23:23" s="1629" customFormat="1" ht="24" customHeight="1">
      <c r="W5101" s="1634"/>
    </row>
    <row r="5102" spans="23:23" s="1629" customFormat="1" ht="24" customHeight="1">
      <c r="W5102" s="1634"/>
    </row>
    <row r="5103" spans="23:23" s="1629" customFormat="1" ht="24" customHeight="1">
      <c r="W5103" s="1634"/>
    </row>
    <row r="5104" spans="23:23" s="1629" customFormat="1" ht="24" customHeight="1">
      <c r="W5104" s="1634"/>
    </row>
    <row r="5105" spans="23:23" s="1629" customFormat="1" ht="24" customHeight="1">
      <c r="W5105" s="1634"/>
    </row>
    <row r="5106" spans="23:23" s="1629" customFormat="1" ht="24" customHeight="1">
      <c r="W5106" s="1634"/>
    </row>
    <row r="5107" spans="23:23" s="1629" customFormat="1" ht="24" customHeight="1">
      <c r="W5107" s="1634"/>
    </row>
    <row r="5108" spans="23:23" s="1629" customFormat="1" ht="24" customHeight="1">
      <c r="W5108" s="1634"/>
    </row>
    <row r="5109" spans="23:23" s="1629" customFormat="1" ht="24" customHeight="1">
      <c r="W5109" s="1634"/>
    </row>
    <row r="5110" spans="23:23" s="1629" customFormat="1" ht="24" customHeight="1">
      <c r="W5110" s="1634"/>
    </row>
    <row r="5111" spans="23:23" s="1629" customFormat="1" ht="24" customHeight="1">
      <c r="W5111" s="1634"/>
    </row>
    <row r="5112" spans="23:23" s="1629" customFormat="1" ht="24" customHeight="1">
      <c r="W5112" s="1634"/>
    </row>
    <row r="5113" spans="23:23" s="1629" customFormat="1" ht="24" customHeight="1">
      <c r="W5113" s="1634"/>
    </row>
    <row r="5114" spans="23:23" s="1629" customFormat="1" ht="24" customHeight="1">
      <c r="W5114" s="1634"/>
    </row>
    <row r="5115" spans="23:23" s="1629" customFormat="1" ht="24" customHeight="1">
      <c r="W5115" s="1634"/>
    </row>
    <row r="5116" spans="23:23" s="1629" customFormat="1" ht="24" customHeight="1">
      <c r="W5116" s="1634"/>
    </row>
    <row r="5117" spans="23:23" s="1629" customFormat="1" ht="24" customHeight="1">
      <c r="W5117" s="1634"/>
    </row>
    <row r="5118" spans="23:23" s="1629" customFormat="1" ht="24" customHeight="1">
      <c r="W5118" s="1634"/>
    </row>
    <row r="5119" spans="23:23" s="1629" customFormat="1" ht="24" customHeight="1">
      <c r="W5119" s="1634"/>
    </row>
    <row r="5120" spans="23:23" s="1629" customFormat="1" ht="24" customHeight="1">
      <c r="W5120" s="1634"/>
    </row>
    <row r="5121" spans="23:23" s="1629" customFormat="1" ht="24" customHeight="1">
      <c r="W5121" s="1634"/>
    </row>
    <row r="5122" spans="23:23" s="1629" customFormat="1" ht="24" customHeight="1">
      <c r="W5122" s="1634"/>
    </row>
    <row r="5123" spans="23:23" s="1629" customFormat="1" ht="24" customHeight="1">
      <c r="W5123" s="1634"/>
    </row>
    <row r="5124" spans="23:23" s="1629" customFormat="1" ht="24" customHeight="1">
      <c r="W5124" s="1634"/>
    </row>
    <row r="5125" spans="23:23" s="1629" customFormat="1" ht="24" customHeight="1">
      <c r="W5125" s="1634"/>
    </row>
    <row r="5126" spans="23:23" s="1629" customFormat="1" ht="24" customHeight="1">
      <c r="W5126" s="1634"/>
    </row>
    <row r="5127" spans="23:23" s="1629" customFormat="1" ht="24" customHeight="1">
      <c r="W5127" s="1634"/>
    </row>
    <row r="5128" spans="23:23" s="1629" customFormat="1" ht="24" customHeight="1">
      <c r="W5128" s="1634"/>
    </row>
    <row r="5129" spans="23:23" s="1629" customFormat="1" ht="24" customHeight="1">
      <c r="W5129" s="1634"/>
    </row>
    <row r="5130" spans="23:23" s="1629" customFormat="1" ht="24" customHeight="1">
      <c r="W5130" s="1634"/>
    </row>
    <row r="5131" spans="23:23" s="1629" customFormat="1" ht="24" customHeight="1">
      <c r="W5131" s="1634"/>
    </row>
    <row r="5132" spans="23:23" s="1629" customFormat="1" ht="24" customHeight="1">
      <c r="W5132" s="1634"/>
    </row>
    <row r="5133" spans="23:23" s="1629" customFormat="1" ht="24" customHeight="1">
      <c r="W5133" s="1634"/>
    </row>
    <row r="5134" spans="23:23" s="1629" customFormat="1" ht="24" customHeight="1">
      <c r="W5134" s="1634"/>
    </row>
    <row r="5135" spans="23:23" s="1629" customFormat="1" ht="24" customHeight="1">
      <c r="W5135" s="1634"/>
    </row>
    <row r="5136" spans="23:23" s="1629" customFormat="1" ht="24" customHeight="1">
      <c r="W5136" s="1634"/>
    </row>
    <row r="5137" spans="23:23" s="1629" customFormat="1" ht="24" customHeight="1">
      <c r="W5137" s="1634"/>
    </row>
    <row r="5138" spans="23:23" s="1629" customFormat="1" ht="24" customHeight="1">
      <c r="W5138" s="1634"/>
    </row>
    <row r="5139" spans="23:23" s="1629" customFormat="1" ht="24" customHeight="1">
      <c r="W5139" s="1634"/>
    </row>
    <row r="5140" spans="23:23" s="1629" customFormat="1" ht="24" customHeight="1">
      <c r="W5140" s="1634"/>
    </row>
    <row r="5141" spans="23:23" s="1629" customFormat="1" ht="24" customHeight="1">
      <c r="W5141" s="1634"/>
    </row>
    <row r="5142" spans="23:23" s="1629" customFormat="1" ht="24" customHeight="1">
      <c r="W5142" s="1634"/>
    </row>
    <row r="5143" spans="23:23" s="1629" customFormat="1" ht="24" customHeight="1">
      <c r="W5143" s="1634"/>
    </row>
    <row r="5144" spans="23:23" s="1629" customFormat="1" ht="24" customHeight="1">
      <c r="W5144" s="1634"/>
    </row>
    <row r="5145" spans="23:23" s="1629" customFormat="1" ht="24" customHeight="1">
      <c r="W5145" s="1634"/>
    </row>
    <row r="5146" spans="23:23" s="1629" customFormat="1" ht="24" customHeight="1">
      <c r="W5146" s="1634"/>
    </row>
    <row r="5147" spans="23:23" s="1629" customFormat="1" ht="24" customHeight="1">
      <c r="W5147" s="1634"/>
    </row>
    <row r="5148" spans="23:23" s="1629" customFormat="1" ht="24" customHeight="1">
      <c r="W5148" s="1634"/>
    </row>
    <row r="5149" spans="23:23" s="1629" customFormat="1" ht="24" customHeight="1">
      <c r="W5149" s="1634"/>
    </row>
    <row r="5150" spans="23:23" s="1629" customFormat="1" ht="24" customHeight="1">
      <c r="W5150" s="1634"/>
    </row>
    <row r="5151" spans="23:23" s="1629" customFormat="1" ht="24" customHeight="1">
      <c r="W5151" s="1634"/>
    </row>
    <row r="5152" spans="23:23" s="1629" customFormat="1" ht="24" customHeight="1">
      <c r="W5152" s="1634"/>
    </row>
    <row r="5153" spans="23:23" s="1629" customFormat="1" ht="24" customHeight="1">
      <c r="W5153" s="1634"/>
    </row>
    <row r="5154" spans="23:23" s="1629" customFormat="1" ht="24" customHeight="1">
      <c r="W5154" s="1634"/>
    </row>
    <row r="5155" spans="23:23" s="1629" customFormat="1" ht="24" customHeight="1">
      <c r="W5155" s="1634"/>
    </row>
    <row r="5156" spans="23:23" s="1629" customFormat="1" ht="24" customHeight="1">
      <c r="W5156" s="1634"/>
    </row>
    <row r="5157" spans="23:23" s="1629" customFormat="1" ht="24" customHeight="1">
      <c r="W5157" s="1634"/>
    </row>
    <row r="5158" spans="23:23" s="1629" customFormat="1" ht="24" customHeight="1">
      <c r="W5158" s="1634"/>
    </row>
    <row r="5159" spans="23:23" s="1629" customFormat="1" ht="24" customHeight="1">
      <c r="W5159" s="1634"/>
    </row>
    <row r="5160" spans="23:23" s="1629" customFormat="1" ht="24" customHeight="1">
      <c r="W5160" s="1634"/>
    </row>
    <row r="5161" spans="23:23" s="1629" customFormat="1" ht="24" customHeight="1">
      <c r="W5161" s="1634"/>
    </row>
    <row r="5162" spans="23:23" s="1629" customFormat="1" ht="24" customHeight="1">
      <c r="W5162" s="1634"/>
    </row>
    <row r="5163" spans="23:23" s="1629" customFormat="1" ht="24" customHeight="1">
      <c r="W5163" s="1634"/>
    </row>
    <row r="5164" spans="23:23" s="1629" customFormat="1" ht="24" customHeight="1">
      <c r="W5164" s="1634"/>
    </row>
    <row r="5165" spans="23:23" s="1629" customFormat="1" ht="24" customHeight="1">
      <c r="W5165" s="1634"/>
    </row>
    <row r="5166" spans="23:23" s="1629" customFormat="1" ht="24" customHeight="1">
      <c r="W5166" s="1634"/>
    </row>
    <row r="5167" spans="23:23" s="1629" customFormat="1" ht="24" customHeight="1">
      <c r="W5167" s="1634"/>
    </row>
    <row r="5168" spans="23:23" s="1629" customFormat="1" ht="24" customHeight="1">
      <c r="W5168" s="1634"/>
    </row>
    <row r="5169" spans="23:23" s="1629" customFormat="1" ht="24" customHeight="1">
      <c r="W5169" s="1634"/>
    </row>
    <row r="5170" spans="23:23" s="1629" customFormat="1" ht="24" customHeight="1">
      <c r="W5170" s="1634"/>
    </row>
    <row r="5171" spans="23:23" s="1629" customFormat="1" ht="24" customHeight="1">
      <c r="W5171" s="1634"/>
    </row>
    <row r="5172" spans="23:23" s="1629" customFormat="1" ht="24" customHeight="1">
      <c r="W5172" s="1634"/>
    </row>
    <row r="5173" spans="23:23" s="1629" customFormat="1" ht="24" customHeight="1">
      <c r="W5173" s="1634"/>
    </row>
    <row r="5174" spans="23:23" s="1629" customFormat="1" ht="24" customHeight="1">
      <c r="W5174" s="1634"/>
    </row>
    <row r="5175" spans="23:23" s="1629" customFormat="1" ht="24" customHeight="1">
      <c r="W5175" s="1634"/>
    </row>
    <row r="5176" spans="23:23" s="1629" customFormat="1" ht="24" customHeight="1">
      <c r="W5176" s="1634"/>
    </row>
    <row r="5177" spans="23:23" s="1629" customFormat="1" ht="24" customHeight="1">
      <c r="W5177" s="1634"/>
    </row>
    <row r="5178" spans="23:23" s="1629" customFormat="1" ht="24" customHeight="1">
      <c r="W5178" s="1634"/>
    </row>
    <row r="5179" spans="23:23" s="1629" customFormat="1" ht="24" customHeight="1">
      <c r="W5179" s="1634"/>
    </row>
    <row r="5180" spans="23:23" s="1629" customFormat="1" ht="24" customHeight="1">
      <c r="W5180" s="1634"/>
    </row>
    <row r="5181" spans="23:23" s="1629" customFormat="1" ht="24" customHeight="1">
      <c r="W5181" s="1634"/>
    </row>
    <row r="5182" spans="23:23" s="1629" customFormat="1" ht="24" customHeight="1">
      <c r="W5182" s="1634"/>
    </row>
    <row r="5183" spans="23:23" s="1629" customFormat="1" ht="24" customHeight="1">
      <c r="W5183" s="1634"/>
    </row>
    <row r="5184" spans="23:23" s="1629" customFormat="1" ht="24" customHeight="1">
      <c r="W5184" s="1634"/>
    </row>
    <row r="5185" spans="23:23" s="1629" customFormat="1" ht="24" customHeight="1">
      <c r="W5185" s="1634"/>
    </row>
    <row r="5186" spans="23:23" s="1629" customFormat="1" ht="24" customHeight="1">
      <c r="W5186" s="1634"/>
    </row>
    <row r="5187" spans="23:23" s="1629" customFormat="1" ht="24" customHeight="1">
      <c r="W5187" s="1634"/>
    </row>
    <row r="5188" spans="23:23" s="1629" customFormat="1" ht="24" customHeight="1">
      <c r="W5188" s="1634"/>
    </row>
    <row r="5189" spans="23:23" s="1629" customFormat="1" ht="24" customHeight="1">
      <c r="W5189" s="1634"/>
    </row>
    <row r="5190" spans="23:23" s="1629" customFormat="1" ht="24" customHeight="1">
      <c r="W5190" s="1634"/>
    </row>
    <row r="5191" spans="23:23" s="1629" customFormat="1" ht="24" customHeight="1">
      <c r="W5191" s="1634"/>
    </row>
    <row r="5192" spans="23:23" s="1629" customFormat="1" ht="24" customHeight="1">
      <c r="W5192" s="1634"/>
    </row>
    <row r="5193" spans="23:23" s="1629" customFormat="1" ht="24" customHeight="1">
      <c r="W5193" s="1634"/>
    </row>
    <row r="5194" spans="23:23" s="1629" customFormat="1" ht="24" customHeight="1">
      <c r="W5194" s="1634"/>
    </row>
    <row r="5195" spans="23:23" s="1629" customFormat="1" ht="24" customHeight="1">
      <c r="W5195" s="1634"/>
    </row>
    <row r="5196" spans="23:23" s="1629" customFormat="1" ht="24" customHeight="1">
      <c r="W5196" s="1634"/>
    </row>
    <row r="5197" spans="23:23" s="1629" customFormat="1" ht="24" customHeight="1">
      <c r="W5197" s="1634"/>
    </row>
    <row r="5198" spans="23:23" s="1629" customFormat="1" ht="24" customHeight="1">
      <c r="W5198" s="1634"/>
    </row>
    <row r="5199" spans="23:23" s="1629" customFormat="1" ht="24" customHeight="1">
      <c r="W5199" s="1634"/>
    </row>
    <row r="5200" spans="23:23" s="1629" customFormat="1" ht="24" customHeight="1">
      <c r="W5200" s="1634"/>
    </row>
    <row r="5201" spans="23:23" s="1629" customFormat="1" ht="24" customHeight="1">
      <c r="W5201" s="1634"/>
    </row>
    <row r="5202" spans="23:23" s="1629" customFormat="1" ht="24" customHeight="1">
      <c r="W5202" s="1634"/>
    </row>
    <row r="5203" spans="23:23" s="1629" customFormat="1" ht="24" customHeight="1">
      <c r="W5203" s="1634"/>
    </row>
    <row r="5204" spans="23:23" s="1629" customFormat="1" ht="24" customHeight="1">
      <c r="W5204" s="1634"/>
    </row>
    <row r="5205" spans="23:23" s="1629" customFormat="1" ht="24" customHeight="1">
      <c r="W5205" s="1634"/>
    </row>
    <row r="5206" spans="23:23" s="1629" customFormat="1" ht="24" customHeight="1">
      <c r="W5206" s="1634"/>
    </row>
    <row r="5207" spans="23:23" s="1629" customFormat="1" ht="24" customHeight="1">
      <c r="W5207" s="1634"/>
    </row>
    <row r="5208" spans="23:23" s="1629" customFormat="1" ht="24" customHeight="1">
      <c r="W5208" s="1634"/>
    </row>
    <row r="5209" spans="23:23" s="1629" customFormat="1" ht="24" customHeight="1">
      <c r="W5209" s="1634"/>
    </row>
    <row r="5210" spans="23:23" s="1629" customFormat="1" ht="24" customHeight="1">
      <c r="W5210" s="1634"/>
    </row>
    <row r="5211" spans="23:23" s="1629" customFormat="1" ht="24" customHeight="1">
      <c r="W5211" s="1634"/>
    </row>
    <row r="5212" spans="23:23" s="1629" customFormat="1" ht="24" customHeight="1">
      <c r="W5212" s="1634"/>
    </row>
    <row r="5213" spans="23:23" s="1629" customFormat="1" ht="24" customHeight="1">
      <c r="W5213" s="1634"/>
    </row>
    <row r="5214" spans="23:23" s="1629" customFormat="1" ht="24" customHeight="1">
      <c r="W5214" s="1634"/>
    </row>
    <row r="5215" spans="23:23" s="1629" customFormat="1" ht="24" customHeight="1">
      <c r="W5215" s="1634"/>
    </row>
    <row r="5216" spans="23:23" s="1629" customFormat="1" ht="24" customHeight="1">
      <c r="W5216" s="1634"/>
    </row>
    <row r="5217" spans="23:23" s="1629" customFormat="1" ht="24" customHeight="1">
      <c r="W5217" s="1634"/>
    </row>
    <row r="5218" spans="23:23" s="1629" customFormat="1" ht="24" customHeight="1">
      <c r="W5218" s="1634"/>
    </row>
    <row r="5219" spans="23:23" s="1629" customFormat="1" ht="24" customHeight="1">
      <c r="W5219" s="1634"/>
    </row>
    <row r="5220" spans="23:23" s="1629" customFormat="1" ht="24" customHeight="1">
      <c r="W5220" s="1634"/>
    </row>
    <row r="5221" spans="23:23" s="1629" customFormat="1" ht="24" customHeight="1">
      <c r="W5221" s="1634"/>
    </row>
    <row r="5222" spans="23:23" s="1629" customFormat="1" ht="24" customHeight="1">
      <c r="W5222" s="1634"/>
    </row>
    <row r="5223" spans="23:23" s="1629" customFormat="1" ht="24" customHeight="1">
      <c r="W5223" s="1634"/>
    </row>
    <row r="5224" spans="23:23" s="1629" customFormat="1" ht="24" customHeight="1">
      <c r="W5224" s="1634"/>
    </row>
    <row r="5225" spans="23:23" s="1629" customFormat="1" ht="24" customHeight="1">
      <c r="W5225" s="1634"/>
    </row>
    <row r="5226" spans="23:23" s="1629" customFormat="1" ht="24" customHeight="1">
      <c r="W5226" s="1634"/>
    </row>
    <row r="5227" spans="23:23" s="1629" customFormat="1" ht="24" customHeight="1">
      <c r="W5227" s="1634"/>
    </row>
    <row r="5228" spans="23:23" s="1629" customFormat="1" ht="24" customHeight="1">
      <c r="W5228" s="1634"/>
    </row>
    <row r="5229" spans="23:23" s="1629" customFormat="1" ht="24" customHeight="1">
      <c r="W5229" s="1634"/>
    </row>
    <row r="5230" spans="23:23" s="1629" customFormat="1" ht="24" customHeight="1">
      <c r="W5230" s="1634"/>
    </row>
    <row r="5231" spans="23:23" s="1629" customFormat="1" ht="24" customHeight="1">
      <c r="W5231" s="1634"/>
    </row>
    <row r="5232" spans="23:23" s="1629" customFormat="1" ht="24" customHeight="1">
      <c r="W5232" s="1634"/>
    </row>
    <row r="5233" spans="23:23" s="1629" customFormat="1" ht="24" customHeight="1">
      <c r="W5233" s="1634"/>
    </row>
    <row r="5234" spans="23:23" s="1629" customFormat="1" ht="24" customHeight="1">
      <c r="W5234" s="1634"/>
    </row>
    <row r="5235" spans="23:23" s="1629" customFormat="1" ht="24" customHeight="1">
      <c r="W5235" s="1634"/>
    </row>
    <row r="5236" spans="23:23" s="1629" customFormat="1" ht="24" customHeight="1">
      <c r="W5236" s="1634"/>
    </row>
    <row r="5237" spans="23:23" s="1629" customFormat="1" ht="24" customHeight="1">
      <c r="W5237" s="1634"/>
    </row>
    <row r="5238" spans="23:23" s="1629" customFormat="1" ht="24" customHeight="1">
      <c r="W5238" s="1634"/>
    </row>
    <row r="5239" spans="23:23" s="1629" customFormat="1" ht="24" customHeight="1">
      <c r="W5239" s="1634"/>
    </row>
    <row r="5240" spans="23:23" s="1629" customFormat="1" ht="24" customHeight="1">
      <c r="W5240" s="1634"/>
    </row>
    <row r="5241" spans="23:23" s="1629" customFormat="1" ht="24" customHeight="1">
      <c r="W5241" s="1634"/>
    </row>
    <row r="5242" spans="23:23" s="1629" customFormat="1" ht="24" customHeight="1">
      <c r="W5242" s="1634"/>
    </row>
    <row r="5243" spans="23:23" s="1629" customFormat="1" ht="24" customHeight="1">
      <c r="W5243" s="1634"/>
    </row>
    <row r="5244" spans="23:23" s="1629" customFormat="1" ht="24" customHeight="1">
      <c r="W5244" s="1634"/>
    </row>
    <row r="5245" spans="23:23" s="1629" customFormat="1" ht="24" customHeight="1">
      <c r="W5245" s="1634"/>
    </row>
    <row r="5246" spans="23:23" s="1629" customFormat="1" ht="24" customHeight="1">
      <c r="W5246" s="1634"/>
    </row>
    <row r="5247" spans="23:23" s="1629" customFormat="1" ht="24" customHeight="1">
      <c r="W5247" s="1634"/>
    </row>
    <row r="5248" spans="23:23" s="1629" customFormat="1" ht="24" customHeight="1">
      <c r="W5248" s="1634"/>
    </row>
    <row r="5249" spans="23:23" s="1629" customFormat="1" ht="24" customHeight="1">
      <c r="W5249" s="1634"/>
    </row>
    <row r="5250" spans="23:23" s="1629" customFormat="1" ht="24" customHeight="1">
      <c r="W5250" s="1634"/>
    </row>
    <row r="5251" spans="23:23" s="1629" customFormat="1" ht="24" customHeight="1">
      <c r="W5251" s="1634"/>
    </row>
    <row r="5252" spans="23:23" s="1629" customFormat="1" ht="24" customHeight="1">
      <c r="W5252" s="1634"/>
    </row>
    <row r="5253" spans="23:23" s="1629" customFormat="1" ht="24" customHeight="1">
      <c r="W5253" s="1634"/>
    </row>
    <row r="5254" spans="23:23" s="1629" customFormat="1" ht="24" customHeight="1">
      <c r="W5254" s="1634"/>
    </row>
    <row r="5255" spans="23:23" s="1629" customFormat="1" ht="24" customHeight="1">
      <c r="W5255" s="1634"/>
    </row>
    <row r="5256" spans="23:23" s="1629" customFormat="1" ht="24" customHeight="1">
      <c r="W5256" s="1634"/>
    </row>
    <row r="5257" spans="23:23" s="1629" customFormat="1" ht="24" customHeight="1">
      <c r="W5257" s="1634"/>
    </row>
    <row r="5258" spans="23:23" s="1629" customFormat="1" ht="24" customHeight="1">
      <c r="W5258" s="1634"/>
    </row>
    <row r="5259" spans="23:23" s="1629" customFormat="1" ht="24" customHeight="1">
      <c r="W5259" s="1634"/>
    </row>
    <row r="5260" spans="23:23" s="1629" customFormat="1" ht="24" customHeight="1">
      <c r="W5260" s="1634"/>
    </row>
    <row r="5261" spans="23:23" s="1629" customFormat="1" ht="24" customHeight="1">
      <c r="W5261" s="1634"/>
    </row>
    <row r="5262" spans="23:23" s="1629" customFormat="1" ht="24" customHeight="1">
      <c r="W5262" s="1634"/>
    </row>
    <row r="5263" spans="23:23" s="1629" customFormat="1" ht="24" customHeight="1">
      <c r="W5263" s="1634"/>
    </row>
    <row r="5264" spans="23:23" s="1629" customFormat="1" ht="24" customHeight="1">
      <c r="W5264" s="1634"/>
    </row>
    <row r="5265" spans="23:23" s="1629" customFormat="1" ht="24" customHeight="1">
      <c r="W5265" s="1634"/>
    </row>
    <row r="5266" spans="23:23" s="1629" customFormat="1" ht="24" customHeight="1">
      <c r="W5266" s="1634"/>
    </row>
    <row r="5267" spans="23:23" s="1629" customFormat="1" ht="24" customHeight="1">
      <c r="W5267" s="1634"/>
    </row>
    <row r="5268" spans="23:23" s="1629" customFormat="1" ht="24" customHeight="1">
      <c r="W5268" s="1634"/>
    </row>
    <row r="5269" spans="23:23" s="1629" customFormat="1" ht="24" customHeight="1">
      <c r="W5269" s="1634"/>
    </row>
    <row r="5270" spans="23:23" s="1629" customFormat="1" ht="24" customHeight="1">
      <c r="W5270" s="1634"/>
    </row>
    <row r="5271" spans="23:23" s="1629" customFormat="1" ht="24" customHeight="1">
      <c r="W5271" s="1634"/>
    </row>
    <row r="5272" spans="23:23" s="1629" customFormat="1" ht="24" customHeight="1">
      <c r="W5272" s="1634"/>
    </row>
    <row r="5273" spans="23:23" s="1629" customFormat="1" ht="24" customHeight="1">
      <c r="W5273" s="1634"/>
    </row>
    <row r="5274" spans="23:23" s="1629" customFormat="1" ht="24" customHeight="1">
      <c r="W5274" s="1634"/>
    </row>
    <row r="5275" spans="23:23" s="1629" customFormat="1" ht="24" customHeight="1">
      <c r="W5275" s="1634"/>
    </row>
    <row r="5276" spans="23:23" s="1629" customFormat="1" ht="24" customHeight="1">
      <c r="W5276" s="1634"/>
    </row>
    <row r="5277" spans="23:23" s="1629" customFormat="1" ht="24" customHeight="1">
      <c r="W5277" s="1634"/>
    </row>
    <row r="5278" spans="23:23" s="1629" customFormat="1" ht="24" customHeight="1">
      <c r="W5278" s="1634"/>
    </row>
    <row r="5279" spans="23:23" s="1629" customFormat="1" ht="24" customHeight="1">
      <c r="W5279" s="1634"/>
    </row>
    <row r="5280" spans="23:23" s="1629" customFormat="1" ht="24" customHeight="1">
      <c r="W5280" s="1634"/>
    </row>
    <row r="5281" spans="23:23" s="1629" customFormat="1" ht="24" customHeight="1">
      <c r="W5281" s="1634"/>
    </row>
    <row r="5282" spans="23:23" s="1629" customFormat="1" ht="24" customHeight="1">
      <c r="W5282" s="1634"/>
    </row>
    <row r="5283" spans="23:23" s="1629" customFormat="1" ht="24" customHeight="1">
      <c r="W5283" s="1634"/>
    </row>
    <row r="5284" spans="23:23" s="1629" customFormat="1" ht="24" customHeight="1">
      <c r="W5284" s="1634"/>
    </row>
    <row r="5285" spans="23:23" s="1629" customFormat="1" ht="24" customHeight="1">
      <c r="W5285" s="1634"/>
    </row>
    <row r="5286" spans="23:23" s="1629" customFormat="1" ht="24" customHeight="1">
      <c r="W5286" s="1634"/>
    </row>
    <row r="5287" spans="23:23" s="1629" customFormat="1" ht="24" customHeight="1">
      <c r="W5287" s="1634"/>
    </row>
    <row r="5288" spans="23:23" s="1629" customFormat="1" ht="24" customHeight="1">
      <c r="W5288" s="1634"/>
    </row>
    <row r="5289" spans="23:23" s="1629" customFormat="1" ht="24" customHeight="1">
      <c r="W5289" s="1634"/>
    </row>
    <row r="5290" spans="23:23" s="1629" customFormat="1" ht="24" customHeight="1">
      <c r="W5290" s="1634"/>
    </row>
    <row r="5291" spans="23:23" s="1629" customFormat="1" ht="24" customHeight="1">
      <c r="W5291" s="1634"/>
    </row>
    <row r="5292" spans="23:23" s="1629" customFormat="1" ht="24" customHeight="1">
      <c r="W5292" s="1634"/>
    </row>
    <row r="5293" spans="23:23" s="1629" customFormat="1" ht="24" customHeight="1">
      <c r="W5293" s="1634"/>
    </row>
    <row r="5294" spans="23:23" s="1629" customFormat="1" ht="24" customHeight="1">
      <c r="W5294" s="1634"/>
    </row>
    <row r="5295" spans="23:23" s="1629" customFormat="1" ht="24" customHeight="1">
      <c r="W5295" s="1634"/>
    </row>
    <row r="5296" spans="23:23" s="1629" customFormat="1" ht="24" customHeight="1">
      <c r="W5296" s="1634"/>
    </row>
    <row r="5297" spans="23:23" s="1629" customFormat="1" ht="24" customHeight="1">
      <c r="W5297" s="1634"/>
    </row>
    <row r="5298" spans="23:23" s="1629" customFormat="1" ht="24" customHeight="1">
      <c r="W5298" s="1634"/>
    </row>
    <row r="5299" spans="23:23" s="1629" customFormat="1" ht="24" customHeight="1">
      <c r="W5299" s="1634"/>
    </row>
    <row r="5300" spans="23:23" s="1629" customFormat="1" ht="24" customHeight="1">
      <c r="W5300" s="1634"/>
    </row>
    <row r="5301" spans="23:23" s="1629" customFormat="1" ht="24" customHeight="1">
      <c r="W5301" s="1634"/>
    </row>
    <row r="5302" spans="23:23" s="1629" customFormat="1" ht="24" customHeight="1">
      <c r="W5302" s="1634"/>
    </row>
    <row r="5303" spans="23:23" s="1629" customFormat="1" ht="24" customHeight="1">
      <c r="W5303" s="1634"/>
    </row>
    <row r="5304" spans="23:23" s="1629" customFormat="1" ht="24" customHeight="1">
      <c r="W5304" s="1634"/>
    </row>
    <row r="5305" spans="23:23" s="1629" customFormat="1" ht="24" customHeight="1">
      <c r="W5305" s="1634"/>
    </row>
    <row r="5306" spans="23:23" s="1629" customFormat="1" ht="24" customHeight="1">
      <c r="W5306" s="1634"/>
    </row>
    <row r="5307" spans="23:23" s="1629" customFormat="1" ht="24" customHeight="1">
      <c r="W5307" s="1634"/>
    </row>
    <row r="5308" spans="23:23" s="1629" customFormat="1" ht="24" customHeight="1">
      <c r="W5308" s="1634"/>
    </row>
    <row r="5309" spans="23:23" s="1629" customFormat="1" ht="24" customHeight="1">
      <c r="W5309" s="1634"/>
    </row>
    <row r="5310" spans="23:23" s="1629" customFormat="1" ht="24" customHeight="1">
      <c r="W5310" s="1634"/>
    </row>
    <row r="5311" spans="23:23" s="1629" customFormat="1" ht="24" customHeight="1">
      <c r="W5311" s="1634"/>
    </row>
    <row r="5312" spans="23:23" s="1629" customFormat="1" ht="24" customHeight="1">
      <c r="W5312" s="1634"/>
    </row>
    <row r="5313" spans="23:23" s="1629" customFormat="1" ht="24" customHeight="1">
      <c r="W5313" s="1634"/>
    </row>
    <row r="5314" spans="23:23" s="1629" customFormat="1" ht="24" customHeight="1">
      <c r="W5314" s="1634"/>
    </row>
    <row r="5315" spans="23:23" s="1629" customFormat="1" ht="24" customHeight="1">
      <c r="W5315" s="1634"/>
    </row>
    <row r="5316" spans="23:23" s="1629" customFormat="1" ht="24" customHeight="1">
      <c r="W5316" s="1634"/>
    </row>
    <row r="5317" spans="23:23" s="1629" customFormat="1" ht="24" customHeight="1">
      <c r="W5317" s="1634"/>
    </row>
    <row r="5318" spans="23:23" s="1629" customFormat="1" ht="24" customHeight="1">
      <c r="W5318" s="1634"/>
    </row>
    <row r="5319" spans="23:23" s="1629" customFormat="1" ht="24" customHeight="1">
      <c r="W5319" s="1634"/>
    </row>
    <row r="5320" spans="23:23" s="1629" customFormat="1" ht="24" customHeight="1">
      <c r="W5320" s="1634"/>
    </row>
    <row r="5321" spans="23:23" s="1629" customFormat="1" ht="24" customHeight="1">
      <c r="W5321" s="1634"/>
    </row>
    <row r="5322" spans="23:23" s="1629" customFormat="1" ht="24" customHeight="1">
      <c r="W5322" s="1634"/>
    </row>
    <row r="5323" spans="23:23" s="1629" customFormat="1" ht="24" customHeight="1">
      <c r="W5323" s="1634"/>
    </row>
    <row r="5324" spans="23:23" s="1629" customFormat="1" ht="24" customHeight="1">
      <c r="W5324" s="1634"/>
    </row>
    <row r="5325" spans="23:23" s="1629" customFormat="1" ht="24" customHeight="1">
      <c r="W5325" s="1634"/>
    </row>
    <row r="5326" spans="23:23" s="1629" customFormat="1" ht="24" customHeight="1">
      <c r="W5326" s="1634"/>
    </row>
    <row r="5327" spans="23:23" s="1629" customFormat="1" ht="24" customHeight="1">
      <c r="W5327" s="1634"/>
    </row>
    <row r="5328" spans="23:23" s="1629" customFormat="1" ht="24" customHeight="1">
      <c r="W5328" s="1634"/>
    </row>
    <row r="5329" spans="23:23" s="1629" customFormat="1" ht="24" customHeight="1">
      <c r="W5329" s="1634"/>
    </row>
    <row r="5330" spans="23:23" s="1629" customFormat="1" ht="24" customHeight="1">
      <c r="W5330" s="1634"/>
    </row>
    <row r="5331" spans="23:23" s="1629" customFormat="1" ht="24" customHeight="1">
      <c r="W5331" s="1634"/>
    </row>
    <row r="5332" spans="23:23" s="1629" customFormat="1" ht="24" customHeight="1">
      <c r="W5332" s="1634"/>
    </row>
    <row r="5333" spans="23:23" s="1629" customFormat="1" ht="24" customHeight="1">
      <c r="W5333" s="1634"/>
    </row>
    <row r="5334" spans="23:23" s="1629" customFormat="1" ht="24" customHeight="1">
      <c r="W5334" s="1634"/>
    </row>
    <row r="5335" spans="23:23" s="1629" customFormat="1" ht="24" customHeight="1">
      <c r="W5335" s="1634"/>
    </row>
    <row r="5336" spans="23:23" s="1629" customFormat="1" ht="24" customHeight="1">
      <c r="W5336" s="1634"/>
    </row>
    <row r="5337" spans="23:23" s="1629" customFormat="1" ht="24" customHeight="1">
      <c r="W5337" s="1634"/>
    </row>
    <row r="5338" spans="23:23" s="1629" customFormat="1" ht="24" customHeight="1">
      <c r="W5338" s="1634"/>
    </row>
    <row r="5339" spans="23:23" s="1629" customFormat="1" ht="24" customHeight="1">
      <c r="W5339" s="1634"/>
    </row>
    <row r="5340" spans="23:23" s="1629" customFormat="1" ht="24" customHeight="1">
      <c r="W5340" s="1634"/>
    </row>
    <row r="5341" spans="23:23" s="1629" customFormat="1" ht="24" customHeight="1">
      <c r="W5341" s="1634"/>
    </row>
    <row r="5342" spans="23:23" s="1629" customFormat="1" ht="24" customHeight="1">
      <c r="W5342" s="1634"/>
    </row>
    <row r="5343" spans="23:23" s="1629" customFormat="1" ht="24" customHeight="1">
      <c r="W5343" s="1634"/>
    </row>
    <row r="5344" spans="23:23" s="1629" customFormat="1" ht="24" customHeight="1">
      <c r="W5344" s="1634"/>
    </row>
    <row r="5345" spans="23:23" s="1629" customFormat="1" ht="24" customHeight="1">
      <c r="W5345" s="1634"/>
    </row>
    <row r="5346" spans="23:23" s="1629" customFormat="1" ht="24" customHeight="1">
      <c r="W5346" s="1634"/>
    </row>
    <row r="5347" spans="23:23" s="1629" customFormat="1" ht="24" customHeight="1">
      <c r="W5347" s="1634"/>
    </row>
    <row r="5348" spans="23:23" s="1629" customFormat="1" ht="24" customHeight="1">
      <c r="W5348" s="1634"/>
    </row>
    <row r="5349" spans="23:23" s="1629" customFormat="1" ht="24" customHeight="1">
      <c r="W5349" s="1634"/>
    </row>
    <row r="5350" spans="23:23" s="1629" customFormat="1" ht="24" customHeight="1">
      <c r="W5350" s="1634"/>
    </row>
    <row r="5351" spans="23:23" s="1629" customFormat="1" ht="24" customHeight="1">
      <c r="W5351" s="1634"/>
    </row>
    <row r="5352" spans="23:23" s="1629" customFormat="1" ht="24" customHeight="1">
      <c r="W5352" s="1634"/>
    </row>
    <row r="5353" spans="23:23" s="1629" customFormat="1" ht="24" customHeight="1">
      <c r="W5353" s="1634"/>
    </row>
    <row r="5354" spans="23:23" s="1629" customFormat="1" ht="24" customHeight="1">
      <c r="W5354" s="1634"/>
    </row>
    <row r="5355" spans="23:23" s="1629" customFormat="1" ht="24" customHeight="1">
      <c r="W5355" s="1634"/>
    </row>
    <row r="5356" spans="23:23" s="1629" customFormat="1" ht="24" customHeight="1">
      <c r="W5356" s="1634"/>
    </row>
    <row r="5357" spans="23:23" s="1629" customFormat="1" ht="24" customHeight="1">
      <c r="W5357" s="1634"/>
    </row>
    <row r="5358" spans="23:23" s="1629" customFormat="1" ht="24" customHeight="1">
      <c r="W5358" s="1634"/>
    </row>
    <row r="5359" spans="23:23" s="1629" customFormat="1" ht="24" customHeight="1">
      <c r="W5359" s="1634"/>
    </row>
    <row r="5360" spans="23:23" s="1629" customFormat="1" ht="24" customHeight="1">
      <c r="W5360" s="1634"/>
    </row>
    <row r="5361" spans="23:23" s="1629" customFormat="1" ht="24" customHeight="1">
      <c r="W5361" s="1634"/>
    </row>
    <row r="5362" spans="23:23" s="1629" customFormat="1" ht="24" customHeight="1">
      <c r="W5362" s="1634"/>
    </row>
    <row r="5363" spans="23:23" s="1629" customFormat="1" ht="24" customHeight="1">
      <c r="W5363" s="1634"/>
    </row>
    <row r="5364" spans="23:23" s="1629" customFormat="1" ht="24" customHeight="1">
      <c r="W5364" s="1634"/>
    </row>
    <row r="5365" spans="23:23" s="1629" customFormat="1" ht="24" customHeight="1">
      <c r="W5365" s="1634"/>
    </row>
    <row r="5366" spans="23:23" s="1629" customFormat="1" ht="24" customHeight="1">
      <c r="W5366" s="1634"/>
    </row>
    <row r="5367" spans="23:23" s="1629" customFormat="1" ht="24" customHeight="1">
      <c r="W5367" s="1634"/>
    </row>
    <row r="5368" spans="23:23" s="1629" customFormat="1" ht="24" customHeight="1">
      <c r="W5368" s="1634"/>
    </row>
    <row r="5369" spans="23:23" s="1629" customFormat="1" ht="24" customHeight="1">
      <c r="W5369" s="1634"/>
    </row>
    <row r="5370" spans="23:23" s="1629" customFormat="1" ht="24" customHeight="1">
      <c r="W5370" s="1634"/>
    </row>
    <row r="5371" spans="23:23" s="1629" customFormat="1" ht="24" customHeight="1">
      <c r="W5371" s="1634"/>
    </row>
    <row r="5372" spans="23:23" s="1629" customFormat="1" ht="24" customHeight="1">
      <c r="W5372" s="1634"/>
    </row>
    <row r="5373" spans="23:23" s="1629" customFormat="1" ht="24" customHeight="1">
      <c r="W5373" s="1634"/>
    </row>
    <row r="5374" spans="23:23" s="1629" customFormat="1" ht="24" customHeight="1">
      <c r="W5374" s="1634"/>
    </row>
    <row r="5375" spans="23:23" s="1629" customFormat="1" ht="24" customHeight="1">
      <c r="W5375" s="1634"/>
    </row>
    <row r="5376" spans="23:23" s="1629" customFormat="1" ht="24" customHeight="1">
      <c r="W5376" s="1634"/>
    </row>
    <row r="5377" spans="23:23" s="1629" customFormat="1" ht="24" customHeight="1">
      <c r="W5377" s="1634"/>
    </row>
    <row r="5378" spans="23:23" s="1629" customFormat="1" ht="24" customHeight="1">
      <c r="W5378" s="1634"/>
    </row>
    <row r="5379" spans="23:23" s="1629" customFormat="1" ht="24" customHeight="1">
      <c r="W5379" s="1634"/>
    </row>
    <row r="5380" spans="23:23" s="1629" customFormat="1" ht="24" customHeight="1">
      <c r="W5380" s="1634"/>
    </row>
    <row r="5381" spans="23:23" s="1629" customFormat="1" ht="24" customHeight="1">
      <c r="W5381" s="1634"/>
    </row>
    <row r="5382" spans="23:23" s="1629" customFormat="1" ht="24" customHeight="1">
      <c r="W5382" s="1634"/>
    </row>
    <row r="5383" spans="23:23" s="1629" customFormat="1" ht="24" customHeight="1">
      <c r="W5383" s="1634"/>
    </row>
    <row r="5384" spans="23:23" s="1629" customFormat="1" ht="24" customHeight="1">
      <c r="W5384" s="1634"/>
    </row>
    <row r="5385" spans="23:23" s="1629" customFormat="1" ht="24" customHeight="1">
      <c r="W5385" s="1634"/>
    </row>
    <row r="5386" spans="23:23" s="1629" customFormat="1" ht="24" customHeight="1">
      <c r="W5386" s="1634"/>
    </row>
    <row r="5387" spans="23:23" s="1629" customFormat="1" ht="24" customHeight="1">
      <c r="W5387" s="1634"/>
    </row>
    <row r="5388" spans="23:23" s="1629" customFormat="1" ht="24" customHeight="1">
      <c r="W5388" s="1634"/>
    </row>
    <row r="5389" spans="23:23" s="1629" customFormat="1" ht="24" customHeight="1">
      <c r="W5389" s="1634"/>
    </row>
    <row r="5390" spans="23:23" s="1629" customFormat="1" ht="24" customHeight="1">
      <c r="W5390" s="1634"/>
    </row>
    <row r="5391" spans="23:23" s="1629" customFormat="1" ht="24" customHeight="1">
      <c r="W5391" s="1634"/>
    </row>
    <row r="5392" spans="23:23" s="1629" customFormat="1" ht="24" customHeight="1">
      <c r="W5392" s="1634"/>
    </row>
    <row r="5393" spans="23:23" s="1629" customFormat="1" ht="24" customHeight="1">
      <c r="W5393" s="1634"/>
    </row>
    <row r="5394" spans="23:23" s="1629" customFormat="1" ht="24" customHeight="1">
      <c r="W5394" s="1634"/>
    </row>
    <row r="5395" spans="23:23" s="1629" customFormat="1" ht="24" customHeight="1">
      <c r="W5395" s="1634"/>
    </row>
    <row r="5396" spans="23:23" s="1629" customFormat="1" ht="24" customHeight="1">
      <c r="W5396" s="1634"/>
    </row>
    <row r="5397" spans="23:23" s="1629" customFormat="1" ht="24" customHeight="1">
      <c r="W5397" s="1634"/>
    </row>
    <row r="5398" spans="23:23" s="1629" customFormat="1" ht="24" customHeight="1">
      <c r="W5398" s="1634"/>
    </row>
    <row r="5399" spans="23:23" s="1629" customFormat="1" ht="24" customHeight="1">
      <c r="W5399" s="1634"/>
    </row>
    <row r="5400" spans="23:23" s="1629" customFormat="1" ht="24" customHeight="1">
      <c r="W5400" s="1634"/>
    </row>
    <row r="5401" spans="23:23" s="1629" customFormat="1" ht="24" customHeight="1">
      <c r="W5401" s="1634"/>
    </row>
    <row r="5402" spans="23:23" s="1629" customFormat="1" ht="24" customHeight="1">
      <c r="W5402" s="1634"/>
    </row>
    <row r="5403" spans="23:23" s="1629" customFormat="1" ht="24" customHeight="1">
      <c r="W5403" s="1634"/>
    </row>
    <row r="5404" spans="23:23" s="1629" customFormat="1" ht="24" customHeight="1">
      <c r="W5404" s="1634"/>
    </row>
    <row r="5405" spans="23:23" s="1629" customFormat="1" ht="24" customHeight="1">
      <c r="W5405" s="1634"/>
    </row>
    <row r="5406" spans="23:23" s="1629" customFormat="1" ht="24" customHeight="1">
      <c r="W5406" s="1634"/>
    </row>
    <row r="5407" spans="23:23" s="1629" customFormat="1" ht="24" customHeight="1">
      <c r="W5407" s="1634"/>
    </row>
    <row r="5408" spans="23:23" s="1629" customFormat="1" ht="24" customHeight="1">
      <c r="W5408" s="1634"/>
    </row>
    <row r="5409" spans="23:23" s="1629" customFormat="1" ht="24" customHeight="1">
      <c r="W5409" s="1634"/>
    </row>
    <row r="5410" spans="23:23" s="1629" customFormat="1" ht="24" customHeight="1">
      <c r="W5410" s="1634"/>
    </row>
    <row r="5411" spans="23:23" s="1629" customFormat="1" ht="24" customHeight="1">
      <c r="W5411" s="1634"/>
    </row>
    <row r="5412" spans="23:23" s="1629" customFormat="1" ht="24" customHeight="1">
      <c r="W5412" s="1634"/>
    </row>
    <row r="5413" spans="23:23" s="1629" customFormat="1" ht="24" customHeight="1">
      <c r="W5413" s="1634"/>
    </row>
    <row r="5414" spans="23:23" s="1629" customFormat="1" ht="24" customHeight="1">
      <c r="W5414" s="1634"/>
    </row>
    <row r="5415" spans="23:23" s="1629" customFormat="1" ht="24" customHeight="1">
      <c r="W5415" s="1634"/>
    </row>
    <row r="5416" spans="23:23" s="1629" customFormat="1" ht="24" customHeight="1">
      <c r="W5416" s="1634"/>
    </row>
    <row r="5417" spans="23:23" s="1629" customFormat="1" ht="24" customHeight="1">
      <c r="W5417" s="1634"/>
    </row>
    <row r="5418" spans="23:23" s="1629" customFormat="1" ht="24" customHeight="1">
      <c r="W5418" s="1634"/>
    </row>
    <row r="5419" spans="23:23" s="1629" customFormat="1" ht="24" customHeight="1">
      <c r="W5419" s="1634"/>
    </row>
    <row r="5420" spans="23:23" s="1629" customFormat="1" ht="24" customHeight="1">
      <c r="W5420" s="1634"/>
    </row>
    <row r="5421" spans="23:23" s="1629" customFormat="1" ht="24" customHeight="1">
      <c r="W5421" s="1634"/>
    </row>
    <row r="5422" spans="23:23" s="1629" customFormat="1" ht="24" customHeight="1">
      <c r="W5422" s="1634"/>
    </row>
    <row r="5423" spans="23:23" s="1629" customFormat="1" ht="24" customHeight="1">
      <c r="W5423" s="1634"/>
    </row>
    <row r="5424" spans="23:23" s="1629" customFormat="1" ht="24" customHeight="1">
      <c r="W5424" s="1634"/>
    </row>
    <row r="5425" spans="23:23" s="1629" customFormat="1" ht="24" customHeight="1">
      <c r="W5425" s="1634"/>
    </row>
    <row r="5426" spans="23:23" s="1629" customFormat="1" ht="24" customHeight="1">
      <c r="W5426" s="1634"/>
    </row>
    <row r="5427" spans="23:23" s="1629" customFormat="1" ht="24" customHeight="1">
      <c r="W5427" s="1634"/>
    </row>
    <row r="5428" spans="23:23" s="1629" customFormat="1" ht="24" customHeight="1">
      <c r="W5428" s="1634"/>
    </row>
    <row r="5429" spans="23:23" s="1629" customFormat="1" ht="24" customHeight="1">
      <c r="W5429" s="1634"/>
    </row>
    <row r="5430" spans="23:23" s="1629" customFormat="1" ht="24" customHeight="1">
      <c r="W5430" s="1634"/>
    </row>
    <row r="5431" spans="23:23" s="1629" customFormat="1" ht="24" customHeight="1">
      <c r="W5431" s="1634"/>
    </row>
    <row r="5432" spans="23:23" s="1629" customFormat="1" ht="24" customHeight="1">
      <c r="W5432" s="1634"/>
    </row>
    <row r="5433" spans="23:23" s="1629" customFormat="1" ht="24" customHeight="1">
      <c r="W5433" s="1634"/>
    </row>
    <row r="5434" spans="23:23" s="1629" customFormat="1" ht="24" customHeight="1">
      <c r="W5434" s="1634"/>
    </row>
    <row r="5435" spans="23:23" s="1629" customFormat="1" ht="24" customHeight="1">
      <c r="W5435" s="1634"/>
    </row>
    <row r="5436" spans="23:23" s="1629" customFormat="1" ht="24" customHeight="1">
      <c r="W5436" s="1634"/>
    </row>
    <row r="5437" spans="23:23" s="1629" customFormat="1" ht="24" customHeight="1">
      <c r="W5437" s="1634"/>
    </row>
    <row r="5438" spans="23:23" s="1629" customFormat="1" ht="24" customHeight="1">
      <c r="W5438" s="1634"/>
    </row>
    <row r="5439" spans="23:23" s="1629" customFormat="1" ht="24" customHeight="1">
      <c r="W5439" s="1634"/>
    </row>
    <row r="5440" spans="23:23" s="1629" customFormat="1" ht="24" customHeight="1">
      <c r="W5440" s="1634"/>
    </row>
    <row r="5441" spans="23:23" s="1629" customFormat="1" ht="24" customHeight="1">
      <c r="W5441" s="1634"/>
    </row>
    <row r="5442" spans="23:23" s="1629" customFormat="1" ht="24" customHeight="1">
      <c r="W5442" s="1634"/>
    </row>
    <row r="5443" spans="23:23" s="1629" customFormat="1" ht="24" customHeight="1">
      <c r="W5443" s="1634"/>
    </row>
    <row r="5444" spans="23:23" s="1629" customFormat="1" ht="24" customHeight="1">
      <c r="W5444" s="1634"/>
    </row>
    <row r="5445" spans="23:23" s="1629" customFormat="1" ht="24" customHeight="1">
      <c r="W5445" s="1634"/>
    </row>
    <row r="5446" spans="23:23" s="1629" customFormat="1" ht="24" customHeight="1">
      <c r="W5446" s="1634"/>
    </row>
    <row r="5447" spans="23:23" s="1629" customFormat="1" ht="24" customHeight="1">
      <c r="W5447" s="1634"/>
    </row>
    <row r="5448" spans="23:23" s="1629" customFormat="1" ht="24" customHeight="1">
      <c r="W5448" s="1634"/>
    </row>
    <row r="5449" spans="23:23" s="1629" customFormat="1" ht="24" customHeight="1">
      <c r="W5449" s="1634"/>
    </row>
    <row r="5450" spans="23:23" s="1629" customFormat="1" ht="24" customHeight="1">
      <c r="W5450" s="1634"/>
    </row>
    <row r="5451" spans="23:23" s="1629" customFormat="1" ht="24" customHeight="1">
      <c r="W5451" s="1634"/>
    </row>
    <row r="5452" spans="23:23" s="1629" customFormat="1" ht="24" customHeight="1">
      <c r="W5452" s="1634"/>
    </row>
    <row r="5453" spans="23:23" s="1629" customFormat="1" ht="24" customHeight="1">
      <c r="W5453" s="1634"/>
    </row>
    <row r="5454" spans="23:23" s="1629" customFormat="1" ht="24" customHeight="1">
      <c r="W5454" s="1634"/>
    </row>
    <row r="5455" spans="23:23" s="1629" customFormat="1" ht="24" customHeight="1">
      <c r="W5455" s="1634"/>
    </row>
    <row r="5456" spans="23:23" s="1629" customFormat="1" ht="24" customHeight="1">
      <c r="W5456" s="1634"/>
    </row>
    <row r="5457" spans="23:23" s="1629" customFormat="1" ht="24" customHeight="1">
      <c r="W5457" s="1634"/>
    </row>
    <row r="5458" spans="23:23" s="1629" customFormat="1" ht="24" customHeight="1">
      <c r="W5458" s="1634"/>
    </row>
    <row r="5459" spans="23:23" s="1629" customFormat="1" ht="24" customHeight="1">
      <c r="W5459" s="1634"/>
    </row>
    <row r="5460" spans="23:23" s="1629" customFormat="1" ht="24" customHeight="1">
      <c r="W5460" s="1634"/>
    </row>
    <row r="5461" spans="23:23" s="1629" customFormat="1" ht="24" customHeight="1">
      <c r="W5461" s="1634"/>
    </row>
    <row r="5462" spans="23:23" s="1629" customFormat="1" ht="24" customHeight="1">
      <c r="W5462" s="1634"/>
    </row>
    <row r="5463" spans="23:23" s="1629" customFormat="1" ht="24" customHeight="1">
      <c r="W5463" s="1634"/>
    </row>
    <row r="5464" spans="23:23" s="1629" customFormat="1" ht="24" customHeight="1">
      <c r="W5464" s="1634"/>
    </row>
    <row r="5465" spans="23:23" s="1629" customFormat="1" ht="24" customHeight="1">
      <c r="W5465" s="1634"/>
    </row>
    <row r="5466" spans="23:23" s="1629" customFormat="1" ht="24" customHeight="1">
      <c r="W5466" s="1634"/>
    </row>
    <row r="5467" spans="23:23" s="1629" customFormat="1" ht="24" customHeight="1">
      <c r="W5467" s="1634"/>
    </row>
    <row r="5468" spans="23:23" s="1629" customFormat="1" ht="24" customHeight="1">
      <c r="W5468" s="1634"/>
    </row>
    <row r="5469" spans="23:23" s="1629" customFormat="1" ht="24" customHeight="1">
      <c r="W5469" s="1634"/>
    </row>
    <row r="5470" spans="23:23" s="1629" customFormat="1" ht="24" customHeight="1">
      <c r="W5470" s="1634"/>
    </row>
    <row r="5471" spans="23:23" s="1629" customFormat="1" ht="24" customHeight="1">
      <c r="W5471" s="1634"/>
    </row>
    <row r="5472" spans="23:23" s="1629" customFormat="1" ht="24" customHeight="1">
      <c r="W5472" s="1634"/>
    </row>
    <row r="5473" spans="23:23" s="1629" customFormat="1" ht="24" customHeight="1">
      <c r="W5473" s="1634"/>
    </row>
    <row r="5474" spans="23:23" s="1629" customFormat="1" ht="24" customHeight="1">
      <c r="W5474" s="1634"/>
    </row>
    <row r="5475" spans="23:23" s="1629" customFormat="1" ht="24" customHeight="1">
      <c r="W5475" s="1634"/>
    </row>
    <row r="5476" spans="23:23" s="1629" customFormat="1" ht="24" customHeight="1">
      <c r="W5476" s="1634"/>
    </row>
    <row r="5477" spans="23:23" s="1629" customFormat="1" ht="24" customHeight="1">
      <c r="W5477" s="1634"/>
    </row>
    <row r="5478" spans="23:23" s="1629" customFormat="1" ht="24" customHeight="1">
      <c r="W5478" s="1634"/>
    </row>
    <row r="5479" spans="23:23" s="1629" customFormat="1" ht="24" customHeight="1">
      <c r="W5479" s="1634"/>
    </row>
    <row r="5480" spans="23:23" s="1629" customFormat="1" ht="24" customHeight="1">
      <c r="W5480" s="1634"/>
    </row>
    <row r="5481" spans="23:23" s="1629" customFormat="1" ht="24" customHeight="1">
      <c r="W5481" s="1634"/>
    </row>
    <row r="5482" spans="23:23" s="1629" customFormat="1" ht="24" customHeight="1">
      <c r="W5482" s="1634"/>
    </row>
    <row r="5483" spans="23:23" s="1629" customFormat="1" ht="24" customHeight="1">
      <c r="W5483" s="1634"/>
    </row>
    <row r="5484" spans="23:23" s="1629" customFormat="1" ht="24" customHeight="1">
      <c r="W5484" s="1634"/>
    </row>
    <row r="5485" spans="23:23" s="1629" customFormat="1" ht="24" customHeight="1">
      <c r="W5485" s="1634"/>
    </row>
    <row r="5486" spans="23:23" s="1629" customFormat="1" ht="24" customHeight="1">
      <c r="W5486" s="1634"/>
    </row>
    <row r="5487" spans="23:23" s="1629" customFormat="1" ht="24" customHeight="1">
      <c r="W5487" s="1634"/>
    </row>
    <row r="5488" spans="23:23" s="1629" customFormat="1" ht="24" customHeight="1">
      <c r="W5488" s="1634"/>
    </row>
    <row r="5489" spans="23:23" s="1629" customFormat="1" ht="24" customHeight="1">
      <c r="W5489" s="1634"/>
    </row>
    <row r="5490" spans="23:23" s="1629" customFormat="1" ht="24" customHeight="1">
      <c r="W5490" s="1634"/>
    </row>
    <row r="5491" spans="23:23" s="1629" customFormat="1" ht="24" customHeight="1">
      <c r="W5491" s="1634"/>
    </row>
    <row r="5492" spans="23:23" s="1629" customFormat="1" ht="24" customHeight="1">
      <c r="W5492" s="1634"/>
    </row>
    <row r="5493" spans="23:23" s="1629" customFormat="1" ht="24" customHeight="1">
      <c r="W5493" s="1634"/>
    </row>
    <row r="5494" spans="23:23" s="1629" customFormat="1" ht="24" customHeight="1">
      <c r="W5494" s="1634"/>
    </row>
    <row r="5495" spans="23:23" s="1629" customFormat="1" ht="24" customHeight="1">
      <c r="W5495" s="1634"/>
    </row>
    <row r="5496" spans="23:23" s="1629" customFormat="1" ht="24" customHeight="1">
      <c r="W5496" s="1634"/>
    </row>
    <row r="5497" spans="23:23" s="1629" customFormat="1" ht="24" customHeight="1">
      <c r="W5497" s="1634"/>
    </row>
    <row r="5498" spans="23:23" s="1629" customFormat="1" ht="24" customHeight="1">
      <c r="W5498" s="1634"/>
    </row>
    <row r="5499" spans="23:23" s="1629" customFormat="1" ht="24" customHeight="1">
      <c r="W5499" s="1634"/>
    </row>
    <row r="5500" spans="23:23" s="1629" customFormat="1" ht="24" customHeight="1">
      <c r="W5500" s="1634"/>
    </row>
    <row r="5501" spans="23:23" s="1629" customFormat="1" ht="24" customHeight="1">
      <c r="W5501" s="1634"/>
    </row>
    <row r="5502" spans="23:23" s="1629" customFormat="1" ht="24" customHeight="1">
      <c r="W5502" s="1634"/>
    </row>
    <row r="5503" spans="23:23" s="1629" customFormat="1" ht="24" customHeight="1">
      <c r="W5503" s="1634"/>
    </row>
    <row r="5504" spans="23:23" s="1629" customFormat="1" ht="24" customHeight="1">
      <c r="W5504" s="1634"/>
    </row>
    <row r="5505" spans="23:23" s="1629" customFormat="1" ht="24" customHeight="1">
      <c r="W5505" s="1634"/>
    </row>
    <row r="5506" spans="23:23" s="1629" customFormat="1" ht="24" customHeight="1">
      <c r="W5506" s="1634"/>
    </row>
    <row r="5507" spans="23:23" s="1629" customFormat="1" ht="24" customHeight="1">
      <c r="W5507" s="1634"/>
    </row>
    <row r="5508" spans="23:23" s="1629" customFormat="1" ht="24" customHeight="1">
      <c r="W5508" s="1634"/>
    </row>
    <row r="5509" spans="23:23" s="1629" customFormat="1" ht="24" customHeight="1">
      <c r="W5509" s="1634"/>
    </row>
    <row r="5510" spans="23:23" s="1629" customFormat="1" ht="24" customHeight="1">
      <c r="W5510" s="1634"/>
    </row>
    <row r="5511" spans="23:23" s="1629" customFormat="1" ht="24" customHeight="1">
      <c r="W5511" s="1634"/>
    </row>
    <row r="5512" spans="23:23" s="1629" customFormat="1" ht="24" customHeight="1">
      <c r="W5512" s="1634"/>
    </row>
    <row r="5513" spans="23:23" s="1629" customFormat="1" ht="24" customHeight="1">
      <c r="W5513" s="1634"/>
    </row>
    <row r="5514" spans="23:23" s="1629" customFormat="1" ht="24" customHeight="1">
      <c r="W5514" s="1634"/>
    </row>
    <row r="5515" spans="23:23" s="1629" customFormat="1" ht="24" customHeight="1">
      <c r="W5515" s="1634"/>
    </row>
    <row r="5516" spans="23:23" s="1629" customFormat="1" ht="24" customHeight="1">
      <c r="W5516" s="1634"/>
    </row>
    <row r="5517" spans="23:23" s="1629" customFormat="1" ht="24" customHeight="1">
      <c r="W5517" s="1634"/>
    </row>
    <row r="5518" spans="23:23" s="1629" customFormat="1" ht="24" customHeight="1">
      <c r="W5518" s="1634"/>
    </row>
    <row r="5519" spans="23:23" s="1629" customFormat="1" ht="24" customHeight="1">
      <c r="W5519" s="1634"/>
    </row>
    <row r="5520" spans="23:23" s="1629" customFormat="1" ht="24" customHeight="1">
      <c r="W5520" s="1634"/>
    </row>
    <row r="5521" spans="23:23" s="1629" customFormat="1" ht="24" customHeight="1">
      <c r="W5521" s="1634"/>
    </row>
    <row r="5522" spans="23:23" s="1629" customFormat="1" ht="24" customHeight="1">
      <c r="W5522" s="1634"/>
    </row>
    <row r="5523" spans="23:23" s="1629" customFormat="1" ht="24" customHeight="1">
      <c r="W5523" s="1634"/>
    </row>
    <row r="5524" spans="23:23" s="1629" customFormat="1" ht="24" customHeight="1">
      <c r="W5524" s="1634"/>
    </row>
    <row r="5525" spans="23:23" s="1629" customFormat="1" ht="24" customHeight="1">
      <c r="W5525" s="1634"/>
    </row>
    <row r="5526" spans="23:23" s="1629" customFormat="1" ht="24" customHeight="1">
      <c r="W5526" s="1634"/>
    </row>
    <row r="5527" spans="23:23" s="1629" customFormat="1" ht="24" customHeight="1">
      <c r="W5527" s="1634"/>
    </row>
    <row r="5528" spans="23:23" s="1629" customFormat="1" ht="24" customHeight="1">
      <c r="W5528" s="1634"/>
    </row>
    <row r="5529" spans="23:23" s="1629" customFormat="1" ht="24" customHeight="1">
      <c r="W5529" s="1634"/>
    </row>
    <row r="5530" spans="23:23" s="1629" customFormat="1" ht="24" customHeight="1">
      <c r="W5530" s="1634"/>
    </row>
    <row r="5531" spans="23:23" s="1629" customFormat="1" ht="24" customHeight="1">
      <c r="W5531" s="1634"/>
    </row>
    <row r="5532" spans="23:23" s="1629" customFormat="1" ht="24" customHeight="1">
      <c r="W5532" s="1634"/>
    </row>
    <row r="5533" spans="23:23" s="1629" customFormat="1" ht="24" customHeight="1">
      <c r="W5533" s="1634"/>
    </row>
    <row r="5534" spans="23:23" s="1629" customFormat="1" ht="24" customHeight="1">
      <c r="W5534" s="1634"/>
    </row>
    <row r="5535" spans="23:23" s="1629" customFormat="1" ht="24" customHeight="1">
      <c r="W5535" s="1634"/>
    </row>
    <row r="5536" spans="23:23" s="1629" customFormat="1" ht="24" customHeight="1">
      <c r="W5536" s="1634"/>
    </row>
    <row r="5537" spans="23:23" s="1629" customFormat="1" ht="24" customHeight="1">
      <c r="W5537" s="1634"/>
    </row>
    <row r="5538" spans="23:23" s="1629" customFormat="1" ht="24" customHeight="1">
      <c r="W5538" s="1634"/>
    </row>
    <row r="5539" spans="23:23" s="1629" customFormat="1" ht="24" customHeight="1">
      <c r="W5539" s="1634"/>
    </row>
    <row r="5540" spans="23:23" s="1629" customFormat="1" ht="24" customHeight="1">
      <c r="W5540" s="1634"/>
    </row>
    <row r="5541" spans="23:23" s="1629" customFormat="1" ht="24" customHeight="1">
      <c r="W5541" s="1634"/>
    </row>
    <row r="5542" spans="23:23" s="1629" customFormat="1" ht="24" customHeight="1">
      <c r="W5542" s="1634"/>
    </row>
    <row r="5543" spans="23:23" s="1629" customFormat="1" ht="24" customHeight="1">
      <c r="W5543" s="1634"/>
    </row>
    <row r="5544" spans="23:23" s="1629" customFormat="1" ht="24" customHeight="1">
      <c r="W5544" s="1634"/>
    </row>
    <row r="5545" spans="23:23" s="1629" customFormat="1" ht="24" customHeight="1">
      <c r="W5545" s="1634"/>
    </row>
    <row r="5546" spans="23:23" s="1629" customFormat="1" ht="24" customHeight="1">
      <c r="W5546" s="1634"/>
    </row>
    <row r="5547" spans="23:23" s="1629" customFormat="1" ht="24" customHeight="1">
      <c r="W5547" s="1634"/>
    </row>
    <row r="5548" spans="23:23" s="1629" customFormat="1" ht="24" customHeight="1">
      <c r="W5548" s="1634"/>
    </row>
    <row r="5549" spans="23:23" s="1629" customFormat="1" ht="24" customHeight="1">
      <c r="W5549" s="1634"/>
    </row>
    <row r="5550" spans="23:23" s="1629" customFormat="1" ht="24" customHeight="1">
      <c r="W5550" s="1634"/>
    </row>
    <row r="5551" spans="23:23" s="1629" customFormat="1" ht="24" customHeight="1">
      <c r="W5551" s="1634"/>
    </row>
    <row r="5552" spans="23:23" s="1629" customFormat="1" ht="24" customHeight="1">
      <c r="W5552" s="1634"/>
    </row>
    <row r="5553" spans="23:23" s="1629" customFormat="1" ht="24" customHeight="1">
      <c r="W5553" s="1634"/>
    </row>
    <row r="5554" spans="23:23" s="1629" customFormat="1" ht="24" customHeight="1">
      <c r="W5554" s="1634"/>
    </row>
    <row r="5555" spans="23:23" s="1629" customFormat="1" ht="24" customHeight="1">
      <c r="W5555" s="1634"/>
    </row>
    <row r="5556" spans="23:23" s="1629" customFormat="1" ht="24" customHeight="1">
      <c r="W5556" s="1634"/>
    </row>
    <row r="5557" spans="23:23" s="1629" customFormat="1" ht="24" customHeight="1">
      <c r="W5557" s="1634"/>
    </row>
    <row r="5558" spans="23:23" s="1629" customFormat="1" ht="24" customHeight="1">
      <c r="W5558" s="1634"/>
    </row>
    <row r="5559" spans="23:23" s="1629" customFormat="1" ht="24" customHeight="1">
      <c r="W5559" s="1634"/>
    </row>
    <row r="5560" spans="23:23" s="1629" customFormat="1" ht="24" customHeight="1">
      <c r="W5560" s="1634"/>
    </row>
    <row r="5561" spans="23:23" s="1629" customFormat="1" ht="24" customHeight="1">
      <c r="W5561" s="1634"/>
    </row>
    <row r="5562" spans="23:23" s="1629" customFormat="1" ht="24" customHeight="1">
      <c r="W5562" s="1634"/>
    </row>
    <row r="5563" spans="23:23" s="1629" customFormat="1" ht="24" customHeight="1">
      <c r="W5563" s="1634"/>
    </row>
    <row r="5564" spans="23:23" s="1629" customFormat="1" ht="24" customHeight="1">
      <c r="W5564" s="1634"/>
    </row>
    <row r="5565" spans="23:23" s="1629" customFormat="1" ht="24" customHeight="1">
      <c r="W5565" s="1634"/>
    </row>
    <row r="5566" spans="23:23" s="1629" customFormat="1" ht="24" customHeight="1">
      <c r="W5566" s="1634"/>
    </row>
    <row r="5567" spans="23:23" s="1629" customFormat="1" ht="24" customHeight="1">
      <c r="W5567" s="1634"/>
    </row>
    <row r="5568" spans="23:23" s="1629" customFormat="1" ht="24" customHeight="1">
      <c r="W5568" s="1634"/>
    </row>
    <row r="5569" spans="23:23" s="1629" customFormat="1" ht="24" customHeight="1">
      <c r="W5569" s="1634"/>
    </row>
    <row r="5570" spans="23:23" s="1629" customFormat="1" ht="24" customHeight="1">
      <c r="W5570" s="1634"/>
    </row>
    <row r="5571" spans="23:23" s="1629" customFormat="1" ht="24" customHeight="1">
      <c r="W5571" s="1634"/>
    </row>
    <row r="5572" spans="23:23" s="1629" customFormat="1" ht="24" customHeight="1">
      <c r="W5572" s="1634"/>
    </row>
    <row r="5573" spans="23:23" s="1629" customFormat="1" ht="24" customHeight="1">
      <c r="W5573" s="1634"/>
    </row>
    <row r="5574" spans="23:23" s="1629" customFormat="1" ht="24" customHeight="1">
      <c r="W5574" s="1634"/>
    </row>
    <row r="5575" spans="23:23" s="1629" customFormat="1" ht="24" customHeight="1">
      <c r="W5575" s="1634"/>
    </row>
    <row r="5576" spans="23:23" s="1629" customFormat="1" ht="24" customHeight="1">
      <c r="W5576" s="1634"/>
    </row>
    <row r="5577" spans="23:23" s="1629" customFormat="1" ht="24" customHeight="1">
      <c r="W5577" s="1634"/>
    </row>
    <row r="5578" spans="23:23" s="1629" customFormat="1" ht="24" customHeight="1">
      <c r="W5578" s="1634"/>
    </row>
    <row r="5579" spans="23:23" s="1629" customFormat="1" ht="24" customHeight="1">
      <c r="W5579" s="1634"/>
    </row>
    <row r="5580" spans="23:23" s="1629" customFormat="1" ht="24" customHeight="1">
      <c r="W5580" s="1634"/>
    </row>
    <row r="5581" spans="23:23" s="1629" customFormat="1" ht="24" customHeight="1">
      <c r="W5581" s="1634"/>
    </row>
    <row r="5582" spans="23:23" s="1629" customFormat="1" ht="24" customHeight="1">
      <c r="W5582" s="1634"/>
    </row>
    <row r="5583" spans="23:23" s="1629" customFormat="1" ht="24" customHeight="1">
      <c r="W5583" s="1634"/>
    </row>
    <row r="5584" spans="23:23" s="1629" customFormat="1" ht="24" customHeight="1">
      <c r="W5584" s="1634"/>
    </row>
    <row r="5585" spans="23:23" s="1629" customFormat="1" ht="24" customHeight="1">
      <c r="W5585" s="1634"/>
    </row>
    <row r="5586" spans="23:23" s="1629" customFormat="1" ht="24" customHeight="1">
      <c r="W5586" s="1634"/>
    </row>
    <row r="5587" spans="23:23" s="1629" customFormat="1" ht="24" customHeight="1">
      <c r="W5587" s="1634"/>
    </row>
    <row r="5588" spans="23:23" s="1629" customFormat="1" ht="24" customHeight="1">
      <c r="W5588" s="1634"/>
    </row>
    <row r="5589" spans="23:23" s="1629" customFormat="1" ht="24" customHeight="1">
      <c r="W5589" s="1634"/>
    </row>
    <row r="5590" spans="23:23" s="1629" customFormat="1" ht="24" customHeight="1">
      <c r="W5590" s="1634"/>
    </row>
    <row r="5591" spans="23:23" s="1629" customFormat="1" ht="24" customHeight="1">
      <c r="W5591" s="1634"/>
    </row>
    <row r="5592" spans="23:23" s="1629" customFormat="1" ht="24" customHeight="1">
      <c r="W5592" s="1634"/>
    </row>
    <row r="5593" spans="23:23" s="1629" customFormat="1" ht="24" customHeight="1">
      <c r="W5593" s="1634"/>
    </row>
    <row r="5594" spans="23:23" s="1629" customFormat="1" ht="24" customHeight="1">
      <c r="W5594" s="1634"/>
    </row>
    <row r="5595" spans="23:23" s="1629" customFormat="1" ht="24" customHeight="1">
      <c r="W5595" s="1634"/>
    </row>
    <row r="5596" spans="23:23" s="1629" customFormat="1" ht="24" customHeight="1">
      <c r="W5596" s="1634"/>
    </row>
    <row r="5597" spans="23:23" s="1629" customFormat="1" ht="24" customHeight="1">
      <c r="W5597" s="1634"/>
    </row>
    <row r="5598" spans="23:23" s="1629" customFormat="1" ht="24" customHeight="1">
      <c r="W5598" s="1634"/>
    </row>
    <row r="5599" spans="23:23" s="1629" customFormat="1" ht="24" customHeight="1">
      <c r="W5599" s="1634"/>
    </row>
    <row r="5600" spans="23:23" s="1629" customFormat="1" ht="24" customHeight="1">
      <c r="W5600" s="1634"/>
    </row>
    <row r="5601" spans="23:23" s="1629" customFormat="1" ht="24" customHeight="1">
      <c r="W5601" s="1634"/>
    </row>
    <row r="5602" spans="23:23" s="1629" customFormat="1" ht="24" customHeight="1">
      <c r="W5602" s="1634"/>
    </row>
    <row r="5603" spans="23:23" s="1629" customFormat="1" ht="24" customHeight="1">
      <c r="W5603" s="1634"/>
    </row>
    <row r="5604" spans="23:23" s="1629" customFormat="1" ht="24" customHeight="1">
      <c r="W5604" s="1634"/>
    </row>
    <row r="5605" spans="23:23" s="1629" customFormat="1" ht="24" customHeight="1">
      <c r="W5605" s="1634"/>
    </row>
    <row r="5606" spans="23:23" s="1629" customFormat="1" ht="24" customHeight="1">
      <c r="W5606" s="1634"/>
    </row>
    <row r="5607" spans="23:23" s="1629" customFormat="1" ht="24" customHeight="1">
      <c r="W5607" s="1634"/>
    </row>
    <row r="5608" spans="23:23" s="1629" customFormat="1" ht="24" customHeight="1">
      <c r="W5608" s="1634"/>
    </row>
    <row r="5609" spans="23:23" s="1629" customFormat="1" ht="24" customHeight="1">
      <c r="W5609" s="1634"/>
    </row>
    <row r="5610" spans="23:23" s="1629" customFormat="1" ht="24" customHeight="1">
      <c r="W5610" s="1634"/>
    </row>
    <row r="5611" spans="23:23" s="1629" customFormat="1" ht="24" customHeight="1">
      <c r="W5611" s="1634"/>
    </row>
    <row r="5612" spans="23:23" s="1629" customFormat="1" ht="24" customHeight="1">
      <c r="W5612" s="1634"/>
    </row>
    <row r="5613" spans="23:23" s="1629" customFormat="1" ht="24" customHeight="1">
      <c r="W5613" s="1634"/>
    </row>
    <row r="5614" spans="23:23" s="1629" customFormat="1" ht="24" customHeight="1">
      <c r="W5614" s="1634"/>
    </row>
    <row r="5615" spans="23:23" s="1629" customFormat="1" ht="24" customHeight="1">
      <c r="W5615" s="1634"/>
    </row>
    <row r="5616" spans="23:23" s="1629" customFormat="1" ht="24" customHeight="1">
      <c r="W5616" s="1634"/>
    </row>
    <row r="5617" spans="23:23" s="1629" customFormat="1" ht="24" customHeight="1">
      <c r="W5617" s="1634"/>
    </row>
    <row r="5618" spans="23:23" s="1629" customFormat="1" ht="24" customHeight="1">
      <c r="W5618" s="1634"/>
    </row>
    <row r="5619" spans="23:23" s="1629" customFormat="1" ht="24" customHeight="1">
      <c r="W5619" s="1634"/>
    </row>
    <row r="5620" spans="23:23" s="1629" customFormat="1" ht="24" customHeight="1">
      <c r="W5620" s="1634"/>
    </row>
    <row r="5621" spans="23:23" s="1629" customFormat="1" ht="24" customHeight="1">
      <c r="W5621" s="1634"/>
    </row>
    <row r="5622" spans="23:23" s="1629" customFormat="1" ht="24" customHeight="1">
      <c r="W5622" s="1634"/>
    </row>
    <row r="5623" spans="23:23" s="1629" customFormat="1" ht="24" customHeight="1">
      <c r="W5623" s="1634"/>
    </row>
    <row r="5624" spans="23:23" s="1629" customFormat="1" ht="24" customHeight="1">
      <c r="W5624" s="1634"/>
    </row>
    <row r="5625" spans="23:23" s="1629" customFormat="1" ht="24" customHeight="1">
      <c r="W5625" s="1634"/>
    </row>
    <row r="5626" spans="23:23" s="1629" customFormat="1" ht="24" customHeight="1">
      <c r="W5626" s="1634"/>
    </row>
    <row r="5627" spans="23:23" s="1629" customFormat="1" ht="24" customHeight="1">
      <c r="W5627" s="1634"/>
    </row>
    <row r="5628" spans="23:23" s="1629" customFormat="1" ht="24" customHeight="1">
      <c r="W5628" s="1634"/>
    </row>
    <row r="5629" spans="23:23" s="1629" customFormat="1" ht="24" customHeight="1">
      <c r="W5629" s="1634"/>
    </row>
    <row r="5630" spans="23:23" s="1629" customFormat="1" ht="24" customHeight="1">
      <c r="W5630" s="1634"/>
    </row>
    <row r="5631" spans="23:23" s="1629" customFormat="1" ht="24" customHeight="1">
      <c r="W5631" s="1634"/>
    </row>
    <row r="5632" spans="23:23" s="1629" customFormat="1" ht="24" customHeight="1">
      <c r="W5632" s="1634"/>
    </row>
    <row r="5633" spans="23:23" s="1629" customFormat="1" ht="24" customHeight="1">
      <c r="W5633" s="1634"/>
    </row>
    <row r="5634" spans="23:23" s="1629" customFormat="1" ht="24" customHeight="1">
      <c r="W5634" s="1634"/>
    </row>
    <row r="5635" spans="23:23" s="1629" customFormat="1" ht="24" customHeight="1">
      <c r="W5635" s="1634"/>
    </row>
    <row r="5636" spans="23:23" s="1629" customFormat="1" ht="24" customHeight="1">
      <c r="W5636" s="1634"/>
    </row>
    <row r="5637" spans="23:23" s="1629" customFormat="1" ht="24" customHeight="1">
      <c r="W5637" s="1634"/>
    </row>
    <row r="5638" spans="23:23" s="1629" customFormat="1" ht="24" customHeight="1">
      <c r="W5638" s="1634"/>
    </row>
    <row r="5639" spans="23:23" s="1629" customFormat="1" ht="24" customHeight="1">
      <c r="W5639" s="1634"/>
    </row>
    <row r="5640" spans="23:23" s="1629" customFormat="1" ht="24" customHeight="1">
      <c r="W5640" s="1634"/>
    </row>
    <row r="5641" spans="23:23" s="1629" customFormat="1" ht="24" customHeight="1">
      <c r="W5641" s="1634"/>
    </row>
    <row r="5642" spans="23:23" s="1629" customFormat="1" ht="24" customHeight="1">
      <c r="W5642" s="1634"/>
    </row>
    <row r="5643" spans="23:23" s="1629" customFormat="1" ht="24" customHeight="1">
      <c r="W5643" s="1634"/>
    </row>
    <row r="5644" spans="23:23" s="1629" customFormat="1" ht="24" customHeight="1">
      <c r="W5644" s="1634"/>
    </row>
    <row r="5645" spans="23:23" s="1629" customFormat="1" ht="24" customHeight="1">
      <c r="W5645" s="1634"/>
    </row>
    <row r="5646" spans="23:23" s="1629" customFormat="1" ht="24" customHeight="1">
      <c r="W5646" s="1634"/>
    </row>
    <row r="5647" spans="23:23" s="1629" customFormat="1" ht="24" customHeight="1">
      <c r="W5647" s="1634"/>
    </row>
    <row r="5648" spans="23:23" s="1629" customFormat="1" ht="24" customHeight="1">
      <c r="W5648" s="1634"/>
    </row>
    <row r="5649" spans="23:23" s="1629" customFormat="1" ht="24" customHeight="1">
      <c r="W5649" s="1634"/>
    </row>
    <row r="5650" spans="23:23" s="1629" customFormat="1" ht="24" customHeight="1">
      <c r="W5650" s="1634"/>
    </row>
    <row r="5651" spans="23:23" s="1629" customFormat="1" ht="24" customHeight="1">
      <c r="W5651" s="1634"/>
    </row>
    <row r="5652" spans="23:23" s="1629" customFormat="1" ht="24" customHeight="1">
      <c r="W5652" s="1634"/>
    </row>
    <row r="5653" spans="23:23" s="1629" customFormat="1" ht="24" customHeight="1">
      <c r="W5653" s="1634"/>
    </row>
    <row r="5654" spans="23:23" s="1629" customFormat="1" ht="24" customHeight="1">
      <c r="W5654" s="1634"/>
    </row>
    <row r="5655" spans="23:23" s="1629" customFormat="1" ht="24" customHeight="1">
      <c r="W5655" s="1634"/>
    </row>
    <row r="5656" spans="23:23" s="1629" customFormat="1" ht="24" customHeight="1">
      <c r="W5656" s="1634"/>
    </row>
    <row r="5657" spans="23:23" s="1629" customFormat="1" ht="24" customHeight="1">
      <c r="W5657" s="1634"/>
    </row>
    <row r="5658" spans="23:23" s="1629" customFormat="1" ht="24" customHeight="1">
      <c r="W5658" s="1634"/>
    </row>
    <row r="5659" spans="23:23" s="1629" customFormat="1" ht="24" customHeight="1">
      <c r="W5659" s="1634"/>
    </row>
    <row r="5660" spans="23:23" s="1629" customFormat="1" ht="24" customHeight="1">
      <c r="W5660" s="1634"/>
    </row>
    <row r="5661" spans="23:23" s="1629" customFormat="1" ht="24" customHeight="1">
      <c r="W5661" s="1634"/>
    </row>
    <row r="5662" spans="23:23" s="1629" customFormat="1" ht="24" customHeight="1">
      <c r="W5662" s="1634"/>
    </row>
    <row r="5663" spans="23:23" s="1629" customFormat="1" ht="24" customHeight="1">
      <c r="W5663" s="1634"/>
    </row>
    <row r="5664" spans="23:23" s="1629" customFormat="1" ht="24" customHeight="1">
      <c r="W5664" s="1634"/>
    </row>
    <row r="5665" spans="23:23" s="1629" customFormat="1" ht="24" customHeight="1">
      <c r="W5665" s="1634"/>
    </row>
    <row r="5666" spans="23:23" s="1629" customFormat="1" ht="24" customHeight="1">
      <c r="W5666" s="1634"/>
    </row>
    <row r="5667" spans="23:23" s="1629" customFormat="1" ht="24" customHeight="1">
      <c r="W5667" s="1634"/>
    </row>
    <row r="5668" spans="23:23" s="1629" customFormat="1" ht="24" customHeight="1">
      <c r="W5668" s="1634"/>
    </row>
    <row r="5669" spans="23:23" s="1629" customFormat="1" ht="24" customHeight="1">
      <c r="W5669" s="1634"/>
    </row>
    <row r="5670" spans="23:23" s="1629" customFormat="1" ht="24" customHeight="1">
      <c r="W5670" s="1634"/>
    </row>
    <row r="5671" spans="23:23" s="1629" customFormat="1" ht="24" customHeight="1">
      <c r="W5671" s="1634"/>
    </row>
    <row r="5672" spans="23:23" s="1629" customFormat="1" ht="24" customHeight="1">
      <c r="W5672" s="1634"/>
    </row>
    <row r="5673" spans="23:23" s="1629" customFormat="1" ht="24" customHeight="1">
      <c r="W5673" s="1634"/>
    </row>
    <row r="5674" spans="23:23" s="1629" customFormat="1" ht="24" customHeight="1">
      <c r="W5674" s="1634"/>
    </row>
    <row r="5675" spans="23:23" s="1629" customFormat="1" ht="24" customHeight="1">
      <c r="W5675" s="1634"/>
    </row>
    <row r="5676" spans="23:23" s="1629" customFormat="1" ht="24" customHeight="1">
      <c r="W5676" s="1634"/>
    </row>
    <row r="5677" spans="23:23" s="1629" customFormat="1" ht="24" customHeight="1">
      <c r="W5677" s="1634"/>
    </row>
    <row r="5678" spans="23:23" s="1629" customFormat="1" ht="24" customHeight="1">
      <c r="W5678" s="1634"/>
    </row>
    <row r="5679" spans="23:23" s="1629" customFormat="1" ht="24" customHeight="1">
      <c r="W5679" s="1634"/>
    </row>
    <row r="5680" spans="23:23" s="1629" customFormat="1" ht="24" customHeight="1">
      <c r="W5680" s="1634"/>
    </row>
    <row r="5681" spans="23:23" s="1629" customFormat="1" ht="24" customHeight="1">
      <c r="W5681" s="1634"/>
    </row>
    <row r="5682" spans="23:23" s="1629" customFormat="1" ht="24" customHeight="1">
      <c r="W5682" s="1634"/>
    </row>
    <row r="5683" spans="23:23" s="1629" customFormat="1" ht="24" customHeight="1">
      <c r="W5683" s="1634"/>
    </row>
    <row r="5684" spans="23:23" s="1629" customFormat="1" ht="24" customHeight="1">
      <c r="W5684" s="1634"/>
    </row>
    <row r="5685" spans="23:23" s="1629" customFormat="1" ht="24" customHeight="1">
      <c r="W5685" s="1634"/>
    </row>
    <row r="5686" spans="23:23" s="1629" customFormat="1" ht="24" customHeight="1">
      <c r="W5686" s="1634"/>
    </row>
    <row r="5687" spans="23:23" s="1629" customFormat="1" ht="24" customHeight="1">
      <c r="W5687" s="1634"/>
    </row>
    <row r="5688" spans="23:23" s="1629" customFormat="1" ht="24" customHeight="1">
      <c r="W5688" s="1634"/>
    </row>
    <row r="5689" spans="23:23" s="1629" customFormat="1" ht="24" customHeight="1">
      <c r="W5689" s="1634"/>
    </row>
    <row r="5690" spans="23:23" s="1629" customFormat="1" ht="24" customHeight="1">
      <c r="W5690" s="1634"/>
    </row>
    <row r="5691" spans="23:23" s="1629" customFormat="1" ht="24" customHeight="1">
      <c r="W5691" s="1634"/>
    </row>
    <row r="5692" spans="23:23" s="1629" customFormat="1" ht="24" customHeight="1">
      <c r="W5692" s="1634"/>
    </row>
    <row r="5693" spans="23:23" s="1629" customFormat="1" ht="24" customHeight="1">
      <c r="W5693" s="1634"/>
    </row>
    <row r="5694" spans="23:23" s="1629" customFormat="1" ht="24" customHeight="1">
      <c r="W5694" s="1634"/>
    </row>
    <row r="5695" spans="23:23" s="1629" customFormat="1" ht="24" customHeight="1">
      <c r="W5695" s="1634"/>
    </row>
    <row r="5696" spans="23:23" s="1629" customFormat="1" ht="24" customHeight="1">
      <c r="W5696" s="1634"/>
    </row>
    <row r="5697" spans="23:23" s="1629" customFormat="1" ht="24" customHeight="1">
      <c r="W5697" s="1634"/>
    </row>
    <row r="5698" spans="23:23" s="1629" customFormat="1" ht="24" customHeight="1">
      <c r="W5698" s="1634"/>
    </row>
    <row r="5699" spans="23:23" s="1629" customFormat="1" ht="24" customHeight="1">
      <c r="W5699" s="1634"/>
    </row>
    <row r="5700" spans="23:23" s="1629" customFormat="1" ht="24" customHeight="1">
      <c r="W5700" s="1634"/>
    </row>
    <row r="5701" spans="23:23" s="1629" customFormat="1" ht="24" customHeight="1">
      <c r="W5701" s="1634"/>
    </row>
    <row r="5702" spans="23:23" s="1629" customFormat="1" ht="24" customHeight="1">
      <c r="W5702" s="1634"/>
    </row>
    <row r="5703" spans="23:23" s="1629" customFormat="1" ht="24" customHeight="1">
      <c r="W5703" s="1634"/>
    </row>
    <row r="5704" spans="23:23" s="1629" customFormat="1" ht="24" customHeight="1">
      <c r="W5704" s="1634"/>
    </row>
    <row r="5705" spans="23:23" s="1629" customFormat="1" ht="24" customHeight="1">
      <c r="W5705" s="1634"/>
    </row>
    <row r="5706" spans="23:23" s="1629" customFormat="1" ht="24" customHeight="1">
      <c r="W5706" s="1634"/>
    </row>
    <row r="5707" spans="23:23" s="1629" customFormat="1" ht="24" customHeight="1">
      <c r="W5707" s="1634"/>
    </row>
    <row r="5708" spans="23:23" s="1629" customFormat="1" ht="24" customHeight="1">
      <c r="W5708" s="1634"/>
    </row>
    <row r="5709" spans="23:23" s="1629" customFormat="1" ht="24" customHeight="1">
      <c r="W5709" s="1634"/>
    </row>
    <row r="5710" spans="23:23" s="1629" customFormat="1" ht="24" customHeight="1">
      <c r="W5710" s="1634"/>
    </row>
    <row r="5711" spans="23:23" s="1629" customFormat="1" ht="24" customHeight="1">
      <c r="W5711" s="1634"/>
    </row>
    <row r="5712" spans="23:23" s="1629" customFormat="1" ht="24" customHeight="1">
      <c r="W5712" s="1634"/>
    </row>
    <row r="5713" spans="23:23" s="1629" customFormat="1" ht="24" customHeight="1">
      <c r="W5713" s="1634"/>
    </row>
    <row r="5714" spans="23:23" s="1629" customFormat="1" ht="24" customHeight="1">
      <c r="W5714" s="1634"/>
    </row>
    <row r="5715" spans="23:23" s="1629" customFormat="1" ht="24" customHeight="1">
      <c r="W5715" s="1634"/>
    </row>
    <row r="5716" spans="23:23" s="1629" customFormat="1" ht="24" customHeight="1">
      <c r="W5716" s="1634"/>
    </row>
    <row r="5717" spans="23:23" s="1629" customFormat="1" ht="24" customHeight="1">
      <c r="W5717" s="1634"/>
    </row>
    <row r="5718" spans="23:23" s="1629" customFormat="1" ht="24" customHeight="1">
      <c r="W5718" s="1634"/>
    </row>
    <row r="5719" spans="23:23" s="1629" customFormat="1" ht="24" customHeight="1">
      <c r="W5719" s="1634"/>
    </row>
    <row r="5720" spans="23:23" s="1629" customFormat="1" ht="24" customHeight="1">
      <c r="W5720" s="1634"/>
    </row>
    <row r="5721" spans="23:23" s="1629" customFormat="1" ht="24" customHeight="1">
      <c r="W5721" s="1634"/>
    </row>
    <row r="5722" spans="23:23" s="1629" customFormat="1" ht="24" customHeight="1">
      <c r="W5722" s="1634"/>
    </row>
    <row r="5723" spans="23:23" s="1629" customFormat="1" ht="24" customHeight="1">
      <c r="W5723" s="1634"/>
    </row>
    <row r="5724" spans="23:23" s="1629" customFormat="1" ht="24" customHeight="1">
      <c r="W5724" s="1634"/>
    </row>
    <row r="5725" spans="23:23" s="1629" customFormat="1" ht="24" customHeight="1">
      <c r="W5725" s="1634"/>
    </row>
    <row r="5726" spans="23:23" s="1629" customFormat="1" ht="24" customHeight="1">
      <c r="W5726" s="1634"/>
    </row>
    <row r="5727" spans="23:23" s="1629" customFormat="1" ht="24" customHeight="1">
      <c r="W5727" s="1634"/>
    </row>
    <row r="5728" spans="23:23" s="1629" customFormat="1" ht="24" customHeight="1">
      <c r="W5728" s="1634"/>
    </row>
    <row r="5729" spans="23:23" s="1629" customFormat="1" ht="24" customHeight="1">
      <c r="W5729" s="1634"/>
    </row>
    <row r="5730" spans="23:23" s="1629" customFormat="1" ht="24" customHeight="1">
      <c r="W5730" s="1634"/>
    </row>
    <row r="5731" spans="23:23" s="1629" customFormat="1" ht="24" customHeight="1">
      <c r="W5731" s="1634"/>
    </row>
    <row r="5732" spans="23:23" s="1629" customFormat="1" ht="24" customHeight="1">
      <c r="W5732" s="1634"/>
    </row>
    <row r="5733" spans="23:23" s="1629" customFormat="1" ht="24" customHeight="1">
      <c r="W5733" s="1634"/>
    </row>
    <row r="5734" spans="23:23" s="1629" customFormat="1" ht="24" customHeight="1">
      <c r="W5734" s="1634"/>
    </row>
    <row r="5735" spans="23:23" s="1629" customFormat="1" ht="24" customHeight="1">
      <c r="W5735" s="1634"/>
    </row>
    <row r="5736" spans="23:23" s="1629" customFormat="1" ht="24" customHeight="1">
      <c r="W5736" s="1634"/>
    </row>
    <row r="5737" spans="23:23" s="1629" customFormat="1" ht="24" customHeight="1">
      <c r="W5737" s="1634"/>
    </row>
    <row r="5738" spans="23:23" s="1629" customFormat="1" ht="24" customHeight="1">
      <c r="W5738" s="1634"/>
    </row>
    <row r="5739" spans="23:23" s="1629" customFormat="1" ht="24" customHeight="1">
      <c r="W5739" s="1634"/>
    </row>
    <row r="5740" spans="23:23" s="1629" customFormat="1" ht="24" customHeight="1">
      <c r="W5740" s="1634"/>
    </row>
    <row r="5741" spans="23:23" s="1629" customFormat="1" ht="24" customHeight="1">
      <c r="W5741" s="1634"/>
    </row>
    <row r="5742" spans="23:23" s="1629" customFormat="1" ht="24" customHeight="1">
      <c r="W5742" s="1634"/>
    </row>
    <row r="5743" spans="23:23" s="1629" customFormat="1" ht="24" customHeight="1">
      <c r="W5743" s="1634"/>
    </row>
    <row r="5744" spans="23:23" s="1629" customFormat="1" ht="24" customHeight="1">
      <c r="W5744" s="1634"/>
    </row>
    <row r="5745" spans="23:23" s="1629" customFormat="1" ht="24" customHeight="1">
      <c r="W5745" s="1634"/>
    </row>
    <row r="5746" spans="23:23" s="1629" customFormat="1" ht="24" customHeight="1">
      <c r="W5746" s="1634"/>
    </row>
    <row r="5747" spans="23:23" s="1629" customFormat="1" ht="24" customHeight="1">
      <c r="W5747" s="1634"/>
    </row>
    <row r="5748" spans="23:23" s="1629" customFormat="1" ht="24" customHeight="1">
      <c r="W5748" s="1634"/>
    </row>
    <row r="5749" spans="23:23" s="1629" customFormat="1" ht="24" customHeight="1">
      <c r="W5749" s="1634"/>
    </row>
    <row r="5750" spans="23:23" s="1629" customFormat="1" ht="24" customHeight="1">
      <c r="W5750" s="1634"/>
    </row>
    <row r="5751" spans="23:23" s="1629" customFormat="1" ht="24" customHeight="1">
      <c r="W5751" s="1634"/>
    </row>
    <row r="5752" spans="23:23" s="1629" customFormat="1" ht="24" customHeight="1">
      <c r="W5752" s="1634"/>
    </row>
    <row r="5753" spans="23:23" s="1629" customFormat="1" ht="24" customHeight="1">
      <c r="W5753" s="1634"/>
    </row>
    <row r="5754" spans="23:23" s="1629" customFormat="1" ht="24" customHeight="1">
      <c r="W5754" s="1634"/>
    </row>
    <row r="5755" spans="23:23" s="1629" customFormat="1" ht="24" customHeight="1">
      <c r="W5755" s="1634"/>
    </row>
    <row r="5756" spans="23:23" s="1629" customFormat="1" ht="24" customHeight="1">
      <c r="W5756" s="1634"/>
    </row>
    <row r="5757" spans="23:23" s="1629" customFormat="1" ht="24" customHeight="1">
      <c r="W5757" s="1634"/>
    </row>
    <row r="5758" spans="23:23" s="1629" customFormat="1" ht="24" customHeight="1">
      <c r="W5758" s="1634"/>
    </row>
    <row r="5759" spans="23:23" s="1629" customFormat="1" ht="24" customHeight="1">
      <c r="W5759" s="1634"/>
    </row>
    <row r="5760" spans="23:23" s="1629" customFormat="1" ht="24" customHeight="1">
      <c r="W5760" s="1634"/>
    </row>
    <row r="5761" spans="23:23" s="1629" customFormat="1" ht="24" customHeight="1">
      <c r="W5761" s="1634"/>
    </row>
    <row r="5762" spans="23:23" s="1629" customFormat="1" ht="24" customHeight="1">
      <c r="W5762" s="1634"/>
    </row>
    <row r="5763" spans="23:23" s="1629" customFormat="1" ht="24" customHeight="1">
      <c r="W5763" s="1634"/>
    </row>
    <row r="5764" spans="23:23" s="1629" customFormat="1" ht="24" customHeight="1">
      <c r="W5764" s="1634"/>
    </row>
    <row r="5765" spans="23:23" s="1629" customFormat="1" ht="24" customHeight="1">
      <c r="W5765" s="1634"/>
    </row>
    <row r="5766" spans="23:23" s="1629" customFormat="1" ht="24" customHeight="1">
      <c r="W5766" s="1634"/>
    </row>
    <row r="5767" spans="23:23" s="1629" customFormat="1" ht="24" customHeight="1">
      <c r="W5767" s="1634"/>
    </row>
    <row r="5768" spans="23:23" s="1629" customFormat="1" ht="24" customHeight="1">
      <c r="W5768" s="1634"/>
    </row>
    <row r="5769" spans="23:23" s="1629" customFormat="1" ht="24" customHeight="1">
      <c r="W5769" s="1634"/>
    </row>
    <row r="5770" spans="23:23" s="1629" customFormat="1" ht="24" customHeight="1">
      <c r="W5770" s="1634"/>
    </row>
    <row r="5771" spans="23:23" s="1629" customFormat="1" ht="24" customHeight="1">
      <c r="W5771" s="1634"/>
    </row>
    <row r="5772" spans="23:23" s="1629" customFormat="1" ht="24" customHeight="1">
      <c r="W5772" s="1634"/>
    </row>
    <row r="5773" spans="23:23" s="1629" customFormat="1" ht="24" customHeight="1">
      <c r="W5773" s="1634"/>
    </row>
    <row r="5774" spans="23:23" s="1629" customFormat="1" ht="24" customHeight="1">
      <c r="W5774" s="1634"/>
    </row>
    <row r="5775" spans="23:23" s="1629" customFormat="1" ht="24" customHeight="1">
      <c r="W5775" s="1634"/>
    </row>
    <row r="5776" spans="23:23" s="1629" customFormat="1" ht="24" customHeight="1">
      <c r="W5776" s="1634"/>
    </row>
    <row r="5777" spans="23:23" s="1629" customFormat="1" ht="24" customHeight="1">
      <c r="W5777" s="1634"/>
    </row>
    <row r="5778" spans="23:23" s="1629" customFormat="1" ht="24" customHeight="1">
      <c r="W5778" s="1634"/>
    </row>
    <row r="5779" spans="23:23" s="1629" customFormat="1" ht="24" customHeight="1">
      <c r="W5779" s="1634"/>
    </row>
    <row r="5780" spans="23:23" s="1629" customFormat="1" ht="24" customHeight="1">
      <c r="W5780" s="1634"/>
    </row>
    <row r="5781" spans="23:23" s="1629" customFormat="1" ht="24" customHeight="1">
      <c r="W5781" s="1634"/>
    </row>
    <row r="5782" spans="23:23" s="1629" customFormat="1" ht="24" customHeight="1">
      <c r="W5782" s="1634"/>
    </row>
    <row r="5783" spans="23:23" s="1629" customFormat="1" ht="24" customHeight="1">
      <c r="W5783" s="1634"/>
    </row>
    <row r="5784" spans="23:23" s="1629" customFormat="1" ht="24" customHeight="1">
      <c r="W5784" s="1634"/>
    </row>
    <row r="5785" spans="23:23" s="1629" customFormat="1" ht="24" customHeight="1">
      <c r="W5785" s="1634"/>
    </row>
    <row r="5786" spans="23:23" s="1629" customFormat="1" ht="24" customHeight="1">
      <c r="W5786" s="1634"/>
    </row>
    <row r="5787" spans="23:23" s="1629" customFormat="1" ht="24" customHeight="1">
      <c r="W5787" s="1634"/>
    </row>
    <row r="5788" spans="23:23" s="1629" customFormat="1" ht="24" customHeight="1">
      <c r="W5788" s="1634"/>
    </row>
    <row r="5789" spans="23:23" s="1629" customFormat="1" ht="24" customHeight="1">
      <c r="W5789" s="1634"/>
    </row>
    <row r="5790" spans="23:23" s="1629" customFormat="1" ht="24" customHeight="1">
      <c r="W5790" s="1634"/>
    </row>
    <row r="5791" spans="23:23" s="1629" customFormat="1" ht="24" customHeight="1">
      <c r="W5791" s="1634"/>
    </row>
    <row r="5792" spans="23:23" s="1629" customFormat="1" ht="24" customHeight="1">
      <c r="W5792" s="1634"/>
    </row>
    <row r="5793" spans="23:23" s="1629" customFormat="1" ht="24" customHeight="1">
      <c r="W5793" s="1634"/>
    </row>
    <row r="5794" spans="23:23" s="1629" customFormat="1" ht="24" customHeight="1">
      <c r="W5794" s="1634"/>
    </row>
    <row r="5795" spans="23:23" s="1629" customFormat="1" ht="24" customHeight="1">
      <c r="W5795" s="1634"/>
    </row>
    <row r="5796" spans="23:23" s="1629" customFormat="1" ht="24" customHeight="1">
      <c r="W5796" s="1634"/>
    </row>
    <row r="5797" spans="23:23" s="1629" customFormat="1" ht="24" customHeight="1">
      <c r="W5797" s="1634"/>
    </row>
    <row r="5798" spans="23:23" s="1629" customFormat="1" ht="24" customHeight="1">
      <c r="W5798" s="1634"/>
    </row>
    <row r="5799" spans="23:23" s="1629" customFormat="1" ht="24" customHeight="1">
      <c r="W5799" s="1634"/>
    </row>
    <row r="5800" spans="23:23" s="1629" customFormat="1" ht="24" customHeight="1">
      <c r="W5800" s="1634"/>
    </row>
    <row r="5801" spans="23:23" s="1629" customFormat="1" ht="24" customHeight="1">
      <c r="W5801" s="1634"/>
    </row>
    <row r="5802" spans="23:23" s="1629" customFormat="1" ht="24" customHeight="1">
      <c r="W5802" s="1634"/>
    </row>
    <row r="5803" spans="23:23" s="1629" customFormat="1" ht="24" customHeight="1">
      <c r="W5803" s="1634"/>
    </row>
    <row r="5804" spans="23:23" s="1629" customFormat="1" ht="24" customHeight="1">
      <c r="W5804" s="1634"/>
    </row>
    <row r="5805" spans="23:23" s="1629" customFormat="1" ht="24" customHeight="1">
      <c r="W5805" s="1634"/>
    </row>
    <row r="5806" spans="23:23" s="1629" customFormat="1" ht="24" customHeight="1">
      <c r="W5806" s="1634"/>
    </row>
    <row r="5807" spans="23:23" s="1629" customFormat="1" ht="24" customHeight="1">
      <c r="W5807" s="1634"/>
    </row>
    <row r="5808" spans="23:23" s="1629" customFormat="1" ht="24" customHeight="1">
      <c r="W5808" s="1634"/>
    </row>
    <row r="5809" spans="23:23" s="1629" customFormat="1" ht="24" customHeight="1">
      <c r="W5809" s="1634"/>
    </row>
    <row r="5810" spans="23:23" s="1629" customFormat="1" ht="24" customHeight="1">
      <c r="W5810" s="1634"/>
    </row>
    <row r="5811" spans="23:23" s="1629" customFormat="1" ht="24" customHeight="1">
      <c r="W5811" s="1634"/>
    </row>
    <row r="5812" spans="23:23" s="1629" customFormat="1" ht="24" customHeight="1">
      <c r="W5812" s="1634"/>
    </row>
    <row r="5813" spans="23:23" s="1629" customFormat="1" ht="24" customHeight="1">
      <c r="W5813" s="1634"/>
    </row>
    <row r="5814" spans="23:23" s="1629" customFormat="1" ht="24" customHeight="1">
      <c r="W5814" s="1634"/>
    </row>
    <row r="5815" spans="23:23" s="1629" customFormat="1" ht="24" customHeight="1">
      <c r="W5815" s="1634"/>
    </row>
    <row r="5816" spans="23:23" s="1629" customFormat="1" ht="24" customHeight="1">
      <c r="W5816" s="1634"/>
    </row>
    <row r="5817" spans="23:23" s="1629" customFormat="1" ht="24" customHeight="1">
      <c r="W5817" s="1634"/>
    </row>
    <row r="5818" spans="23:23" s="1629" customFormat="1" ht="24" customHeight="1">
      <c r="W5818" s="1634"/>
    </row>
    <row r="5819" spans="23:23" s="1629" customFormat="1" ht="24" customHeight="1">
      <c r="W5819" s="1634"/>
    </row>
    <row r="5820" spans="23:23" s="1629" customFormat="1" ht="24" customHeight="1">
      <c r="W5820" s="1634"/>
    </row>
    <row r="5821" spans="23:23" s="1629" customFormat="1" ht="24" customHeight="1">
      <c r="W5821" s="1634"/>
    </row>
    <row r="5822" spans="23:23" s="1629" customFormat="1" ht="24" customHeight="1">
      <c r="W5822" s="1634"/>
    </row>
    <row r="5823" spans="23:23" s="1629" customFormat="1" ht="24" customHeight="1">
      <c r="W5823" s="1634"/>
    </row>
    <row r="5824" spans="23:23" s="1629" customFormat="1" ht="24" customHeight="1">
      <c r="W5824" s="1634"/>
    </row>
    <row r="5825" spans="23:23" s="1629" customFormat="1" ht="24" customHeight="1">
      <c r="W5825" s="1634"/>
    </row>
    <row r="5826" spans="23:23" s="1629" customFormat="1" ht="24" customHeight="1">
      <c r="W5826" s="1634"/>
    </row>
    <row r="5827" spans="23:23" s="1629" customFormat="1" ht="24" customHeight="1">
      <c r="W5827" s="1634"/>
    </row>
    <row r="5828" spans="23:23" s="1629" customFormat="1" ht="24" customHeight="1">
      <c r="W5828" s="1634"/>
    </row>
    <row r="5829" spans="23:23" s="1629" customFormat="1" ht="24" customHeight="1">
      <c r="W5829" s="1634"/>
    </row>
    <row r="5830" spans="23:23" s="1629" customFormat="1" ht="24" customHeight="1">
      <c r="W5830" s="1634"/>
    </row>
    <row r="5831" spans="23:23" s="1629" customFormat="1" ht="24" customHeight="1">
      <c r="W5831" s="1634"/>
    </row>
    <row r="5832" spans="23:23" s="1629" customFormat="1" ht="24" customHeight="1">
      <c r="W5832" s="1634"/>
    </row>
    <row r="5833" spans="23:23" s="1629" customFormat="1" ht="24" customHeight="1">
      <c r="W5833" s="1634"/>
    </row>
    <row r="5834" spans="23:23" s="1629" customFormat="1" ht="24" customHeight="1">
      <c r="W5834" s="1634"/>
    </row>
    <row r="5835" spans="23:23" s="1629" customFormat="1" ht="24" customHeight="1">
      <c r="W5835" s="1634"/>
    </row>
    <row r="5836" spans="23:23" s="1629" customFormat="1" ht="24" customHeight="1">
      <c r="W5836" s="1634"/>
    </row>
    <row r="5837" spans="23:23" s="1629" customFormat="1" ht="24" customHeight="1">
      <c r="W5837" s="1634"/>
    </row>
    <row r="5838" spans="23:23" s="1629" customFormat="1" ht="24" customHeight="1">
      <c r="W5838" s="1634"/>
    </row>
    <row r="5839" spans="23:23" s="1629" customFormat="1" ht="24" customHeight="1">
      <c r="W5839" s="1634"/>
    </row>
    <row r="5840" spans="23:23" s="1629" customFormat="1" ht="24" customHeight="1">
      <c r="W5840" s="1634"/>
    </row>
    <row r="5841" spans="23:23" s="1629" customFormat="1" ht="24" customHeight="1">
      <c r="W5841" s="1634"/>
    </row>
    <row r="5842" spans="23:23" s="1629" customFormat="1" ht="24" customHeight="1">
      <c r="W5842" s="1634"/>
    </row>
    <row r="5843" spans="23:23" s="1629" customFormat="1" ht="24" customHeight="1">
      <c r="W5843" s="1634"/>
    </row>
    <row r="5844" spans="23:23" s="1629" customFormat="1" ht="24" customHeight="1">
      <c r="W5844" s="1634"/>
    </row>
    <row r="5845" spans="23:23" s="1629" customFormat="1" ht="24" customHeight="1">
      <c r="W5845" s="1634"/>
    </row>
    <row r="5846" spans="23:23" s="1629" customFormat="1" ht="24" customHeight="1">
      <c r="W5846" s="1634"/>
    </row>
    <row r="5847" spans="23:23" s="1629" customFormat="1" ht="24" customHeight="1">
      <c r="W5847" s="1634"/>
    </row>
    <row r="5848" spans="23:23" s="1629" customFormat="1" ht="24" customHeight="1">
      <c r="W5848" s="1634"/>
    </row>
    <row r="5849" spans="23:23" s="1629" customFormat="1" ht="24" customHeight="1">
      <c r="W5849" s="1634"/>
    </row>
    <row r="5850" spans="23:23" s="1629" customFormat="1" ht="24" customHeight="1">
      <c r="W5850" s="1634"/>
    </row>
    <row r="5851" spans="23:23" s="1629" customFormat="1" ht="24" customHeight="1">
      <c r="W5851" s="1634"/>
    </row>
    <row r="5852" spans="23:23" s="1629" customFormat="1" ht="24" customHeight="1">
      <c r="W5852" s="1634"/>
    </row>
    <row r="5853" spans="23:23" s="1629" customFormat="1" ht="24" customHeight="1">
      <c r="W5853" s="1634"/>
    </row>
    <row r="5854" spans="23:23" s="1629" customFormat="1" ht="24" customHeight="1">
      <c r="W5854" s="1634"/>
    </row>
    <row r="5855" spans="23:23" s="1629" customFormat="1" ht="24" customHeight="1">
      <c r="W5855" s="1634"/>
    </row>
    <row r="5856" spans="23:23" s="1629" customFormat="1" ht="24" customHeight="1">
      <c r="W5856" s="1634"/>
    </row>
    <row r="5857" spans="23:23" s="1629" customFormat="1" ht="24" customHeight="1">
      <c r="W5857" s="1634"/>
    </row>
    <row r="5858" spans="23:23" s="1629" customFormat="1" ht="24" customHeight="1">
      <c r="W5858" s="1634"/>
    </row>
    <row r="5859" spans="23:23" s="1629" customFormat="1" ht="24" customHeight="1">
      <c r="W5859" s="1634"/>
    </row>
    <row r="5860" spans="23:23" s="1629" customFormat="1" ht="24" customHeight="1">
      <c r="W5860" s="1634"/>
    </row>
    <row r="5861" spans="23:23" s="1629" customFormat="1" ht="24" customHeight="1">
      <c r="W5861" s="1634"/>
    </row>
    <row r="5862" spans="23:23" s="1629" customFormat="1" ht="24" customHeight="1">
      <c r="W5862" s="1634"/>
    </row>
    <row r="5863" spans="23:23" s="1629" customFormat="1" ht="24" customHeight="1">
      <c r="W5863" s="1634"/>
    </row>
    <row r="5864" spans="23:23" s="1629" customFormat="1" ht="24" customHeight="1">
      <c r="W5864" s="1634"/>
    </row>
    <row r="5865" spans="23:23" s="1629" customFormat="1" ht="24" customHeight="1">
      <c r="W5865" s="1634"/>
    </row>
    <row r="5866" spans="23:23" s="1629" customFormat="1" ht="24" customHeight="1">
      <c r="W5866" s="1634"/>
    </row>
    <row r="5867" spans="23:23" s="1629" customFormat="1" ht="24" customHeight="1">
      <c r="W5867" s="1634"/>
    </row>
    <row r="5868" spans="23:23" s="1629" customFormat="1" ht="24" customHeight="1">
      <c r="W5868" s="1634"/>
    </row>
    <row r="5869" spans="23:23" s="1629" customFormat="1" ht="24" customHeight="1">
      <c r="W5869" s="1634"/>
    </row>
    <row r="5870" spans="23:23" s="1629" customFormat="1" ht="24" customHeight="1">
      <c r="W5870" s="1634"/>
    </row>
    <row r="5871" spans="23:23" s="1629" customFormat="1" ht="24" customHeight="1">
      <c r="W5871" s="1634"/>
    </row>
    <row r="5872" spans="23:23" s="1629" customFormat="1" ht="24" customHeight="1">
      <c r="W5872" s="1634"/>
    </row>
    <row r="5873" spans="23:23" s="1629" customFormat="1" ht="24" customHeight="1">
      <c r="W5873" s="1634"/>
    </row>
    <row r="5874" spans="23:23" s="1629" customFormat="1" ht="24" customHeight="1">
      <c r="W5874" s="1634"/>
    </row>
    <row r="5875" spans="23:23" s="1629" customFormat="1" ht="24" customHeight="1">
      <c r="W5875" s="1634"/>
    </row>
    <row r="5876" spans="23:23" s="1629" customFormat="1" ht="24" customHeight="1">
      <c r="W5876" s="1634"/>
    </row>
    <row r="5877" spans="23:23" s="1629" customFormat="1" ht="24" customHeight="1">
      <c r="W5877" s="1634"/>
    </row>
    <row r="5878" spans="23:23" s="1629" customFormat="1" ht="24" customHeight="1">
      <c r="W5878" s="1634"/>
    </row>
    <row r="5879" spans="23:23" s="1629" customFormat="1" ht="24" customHeight="1">
      <c r="W5879" s="1634"/>
    </row>
    <row r="5880" spans="23:23" s="1629" customFormat="1" ht="24" customHeight="1">
      <c r="W5880" s="1634"/>
    </row>
    <row r="5881" spans="23:23" s="1629" customFormat="1" ht="24" customHeight="1">
      <c r="W5881" s="1634"/>
    </row>
    <row r="5882" spans="23:23" s="1629" customFormat="1" ht="24" customHeight="1">
      <c r="W5882" s="1634"/>
    </row>
    <row r="5883" spans="23:23" s="1629" customFormat="1" ht="24" customHeight="1">
      <c r="W5883" s="1634"/>
    </row>
    <row r="5884" spans="23:23" s="1629" customFormat="1" ht="24" customHeight="1">
      <c r="W5884" s="1634"/>
    </row>
    <row r="5885" spans="23:23" s="1629" customFormat="1" ht="24" customHeight="1">
      <c r="W5885" s="1634"/>
    </row>
    <row r="5886" spans="23:23" s="1629" customFormat="1" ht="24" customHeight="1">
      <c r="W5886" s="1634"/>
    </row>
    <row r="5887" spans="23:23" s="1629" customFormat="1" ht="24" customHeight="1">
      <c r="W5887" s="1634"/>
    </row>
    <row r="5888" spans="23:23" s="1629" customFormat="1" ht="24" customHeight="1">
      <c r="W5888" s="1634"/>
    </row>
    <row r="5889" spans="23:23" s="1629" customFormat="1" ht="24" customHeight="1">
      <c r="W5889" s="1634"/>
    </row>
    <row r="5890" spans="23:23" s="1629" customFormat="1" ht="24" customHeight="1">
      <c r="W5890" s="1634"/>
    </row>
    <row r="5891" spans="23:23" s="1629" customFormat="1" ht="24" customHeight="1">
      <c r="W5891" s="1634"/>
    </row>
    <row r="5892" spans="23:23" s="1629" customFormat="1" ht="24" customHeight="1">
      <c r="W5892" s="1634"/>
    </row>
    <row r="5893" spans="23:23" s="1629" customFormat="1" ht="24" customHeight="1">
      <c r="W5893" s="1634"/>
    </row>
    <row r="5894" spans="23:23" s="1629" customFormat="1" ht="24" customHeight="1">
      <c r="W5894" s="1634"/>
    </row>
    <row r="5895" spans="23:23" s="1629" customFormat="1" ht="24" customHeight="1">
      <c r="W5895" s="1634"/>
    </row>
    <row r="5896" spans="23:23" s="1629" customFormat="1" ht="24" customHeight="1">
      <c r="W5896" s="1634"/>
    </row>
    <row r="5897" spans="23:23" s="1629" customFormat="1" ht="24" customHeight="1">
      <c r="W5897" s="1634"/>
    </row>
    <row r="5898" spans="23:23" s="1629" customFormat="1" ht="24" customHeight="1">
      <c r="W5898" s="1634"/>
    </row>
    <row r="5899" spans="23:23" s="1629" customFormat="1" ht="24" customHeight="1">
      <c r="W5899" s="1634"/>
    </row>
    <row r="5900" spans="23:23" s="1629" customFormat="1" ht="24" customHeight="1">
      <c r="W5900" s="1634"/>
    </row>
    <row r="5901" spans="23:23" s="1629" customFormat="1" ht="24" customHeight="1">
      <c r="W5901" s="1634"/>
    </row>
    <row r="5902" spans="23:23" s="1629" customFormat="1" ht="24" customHeight="1">
      <c r="W5902" s="1634"/>
    </row>
    <row r="5903" spans="23:23" s="1629" customFormat="1" ht="24" customHeight="1">
      <c r="W5903" s="1634"/>
    </row>
    <row r="5904" spans="23:23" s="1629" customFormat="1" ht="24" customHeight="1">
      <c r="W5904" s="1634"/>
    </row>
    <row r="5905" spans="23:23" s="1629" customFormat="1" ht="24" customHeight="1">
      <c r="W5905" s="1634"/>
    </row>
    <row r="5906" spans="23:23" s="1629" customFormat="1" ht="24" customHeight="1">
      <c r="W5906" s="1634"/>
    </row>
    <row r="5907" spans="23:23" s="1629" customFormat="1" ht="24" customHeight="1">
      <c r="W5907" s="1634"/>
    </row>
    <row r="5908" spans="23:23" s="1629" customFormat="1" ht="24" customHeight="1">
      <c r="W5908" s="1634"/>
    </row>
    <row r="5909" spans="23:23" s="1629" customFormat="1" ht="24" customHeight="1">
      <c r="W5909" s="1634"/>
    </row>
    <row r="5910" spans="23:23" s="1629" customFormat="1" ht="24" customHeight="1">
      <c r="W5910" s="1634"/>
    </row>
    <row r="5911" spans="23:23" s="1629" customFormat="1" ht="24" customHeight="1">
      <c r="W5911" s="1634"/>
    </row>
    <row r="5912" spans="23:23" s="1629" customFormat="1" ht="24" customHeight="1">
      <c r="W5912" s="1634"/>
    </row>
    <row r="5913" spans="23:23" s="1629" customFormat="1" ht="24" customHeight="1">
      <c r="W5913" s="1634"/>
    </row>
    <row r="5914" spans="23:23" s="1629" customFormat="1" ht="24" customHeight="1">
      <c r="W5914" s="1634"/>
    </row>
    <row r="5915" spans="23:23" s="1629" customFormat="1" ht="24" customHeight="1">
      <c r="W5915" s="1634"/>
    </row>
    <row r="5916" spans="23:23" s="1629" customFormat="1" ht="24" customHeight="1">
      <c r="W5916" s="1634"/>
    </row>
    <row r="5917" spans="23:23" s="1629" customFormat="1" ht="24" customHeight="1">
      <c r="W5917" s="1634"/>
    </row>
    <row r="5918" spans="23:23" s="1629" customFormat="1" ht="24" customHeight="1">
      <c r="W5918" s="1634"/>
    </row>
    <row r="5919" spans="23:23" s="1629" customFormat="1" ht="24" customHeight="1">
      <c r="W5919" s="1634"/>
    </row>
    <row r="5920" spans="23:23" s="1629" customFormat="1" ht="24" customHeight="1">
      <c r="W5920" s="1634"/>
    </row>
    <row r="5921" spans="23:23" s="1629" customFormat="1" ht="24" customHeight="1">
      <c r="W5921" s="1634"/>
    </row>
    <row r="5922" spans="23:23" s="1629" customFormat="1" ht="24" customHeight="1">
      <c r="W5922" s="1634"/>
    </row>
    <row r="5923" spans="23:23" s="1629" customFormat="1" ht="24" customHeight="1">
      <c r="W5923" s="1634"/>
    </row>
    <row r="5924" spans="23:23" s="1629" customFormat="1" ht="24" customHeight="1">
      <c r="W5924" s="1634"/>
    </row>
    <row r="5925" spans="23:23" s="1629" customFormat="1" ht="24" customHeight="1">
      <c r="W5925" s="1634"/>
    </row>
    <row r="5926" spans="23:23" s="1629" customFormat="1" ht="24" customHeight="1">
      <c r="W5926" s="1634"/>
    </row>
    <row r="5927" spans="23:23" s="1629" customFormat="1" ht="24" customHeight="1">
      <c r="W5927" s="1634"/>
    </row>
    <row r="5928" spans="23:23" s="1629" customFormat="1" ht="24" customHeight="1">
      <c r="W5928" s="1634"/>
    </row>
    <row r="5929" spans="23:23" s="1629" customFormat="1" ht="24" customHeight="1">
      <c r="W5929" s="1634"/>
    </row>
    <row r="5930" spans="23:23" s="1629" customFormat="1" ht="24" customHeight="1">
      <c r="W5930" s="1634"/>
    </row>
    <row r="5931" spans="23:23" s="1629" customFormat="1" ht="24" customHeight="1">
      <c r="W5931" s="1634"/>
    </row>
    <row r="5932" spans="23:23" s="1629" customFormat="1" ht="24" customHeight="1">
      <c r="W5932" s="1634"/>
    </row>
    <row r="5933" spans="23:23" s="1629" customFormat="1" ht="24" customHeight="1">
      <c r="W5933" s="1634"/>
    </row>
    <row r="5934" spans="23:23" s="1629" customFormat="1" ht="24" customHeight="1">
      <c r="W5934" s="1634"/>
    </row>
    <row r="5935" spans="23:23" s="1629" customFormat="1" ht="24" customHeight="1">
      <c r="W5935" s="1634"/>
    </row>
    <row r="5936" spans="23:23" s="1629" customFormat="1" ht="24" customHeight="1">
      <c r="W5936" s="1634"/>
    </row>
    <row r="5937" spans="23:23" s="1629" customFormat="1" ht="24" customHeight="1">
      <c r="W5937" s="1634"/>
    </row>
    <row r="5938" spans="23:23" s="1629" customFormat="1" ht="24" customHeight="1">
      <c r="W5938" s="1634"/>
    </row>
    <row r="5939" spans="23:23" s="1629" customFormat="1" ht="24" customHeight="1">
      <c r="W5939" s="1634"/>
    </row>
    <row r="5940" spans="23:23" s="1629" customFormat="1" ht="24" customHeight="1">
      <c r="W5940" s="1634"/>
    </row>
    <row r="5941" spans="23:23" s="1629" customFormat="1" ht="24" customHeight="1">
      <c r="W5941" s="1634"/>
    </row>
    <row r="5942" spans="23:23" s="1629" customFormat="1" ht="24" customHeight="1">
      <c r="W5942" s="1634"/>
    </row>
    <row r="5943" spans="23:23" s="1629" customFormat="1" ht="24" customHeight="1">
      <c r="W5943" s="1634"/>
    </row>
    <row r="5944" spans="23:23" s="1629" customFormat="1" ht="24" customHeight="1">
      <c r="W5944" s="1634"/>
    </row>
    <row r="5945" spans="23:23" s="1629" customFormat="1" ht="24" customHeight="1">
      <c r="W5945" s="1634"/>
    </row>
    <row r="5946" spans="23:23" s="1629" customFormat="1" ht="24" customHeight="1">
      <c r="W5946" s="1634"/>
    </row>
    <row r="5947" spans="23:23" s="1629" customFormat="1" ht="24" customHeight="1">
      <c r="W5947" s="1634"/>
    </row>
    <row r="5948" spans="23:23" s="1629" customFormat="1" ht="24" customHeight="1">
      <c r="W5948" s="1634"/>
    </row>
    <row r="5949" spans="23:23" s="1629" customFormat="1" ht="24" customHeight="1">
      <c r="W5949" s="1634"/>
    </row>
    <row r="5950" spans="23:23" s="1629" customFormat="1" ht="24" customHeight="1">
      <c r="W5950" s="1634"/>
    </row>
    <row r="5951" spans="23:23" s="1629" customFormat="1" ht="24" customHeight="1">
      <c r="W5951" s="1634"/>
    </row>
    <row r="5952" spans="23:23" s="1629" customFormat="1" ht="24" customHeight="1">
      <c r="W5952" s="1634"/>
    </row>
    <row r="5953" spans="23:23" s="1629" customFormat="1" ht="24" customHeight="1">
      <c r="W5953" s="1634"/>
    </row>
    <row r="5954" spans="23:23" s="1629" customFormat="1" ht="24" customHeight="1">
      <c r="W5954" s="1634"/>
    </row>
    <row r="5955" spans="23:23" s="1629" customFormat="1" ht="24" customHeight="1">
      <c r="W5955" s="1634"/>
    </row>
    <row r="5956" spans="23:23" s="1629" customFormat="1" ht="24" customHeight="1">
      <c r="W5956" s="1634"/>
    </row>
    <row r="5957" spans="23:23" s="1629" customFormat="1" ht="24" customHeight="1">
      <c r="W5957" s="1634"/>
    </row>
    <row r="5958" spans="23:23" s="1629" customFormat="1" ht="24" customHeight="1">
      <c r="W5958" s="1634"/>
    </row>
    <row r="5959" spans="23:23" s="1629" customFormat="1" ht="24" customHeight="1">
      <c r="W5959" s="1634"/>
    </row>
    <row r="5960" spans="23:23" s="1629" customFormat="1" ht="24" customHeight="1">
      <c r="W5960" s="1634"/>
    </row>
    <row r="5961" spans="23:23" s="1629" customFormat="1" ht="24" customHeight="1">
      <c r="W5961" s="1634"/>
    </row>
    <row r="5962" spans="23:23" s="1629" customFormat="1" ht="24" customHeight="1">
      <c r="W5962" s="1634"/>
    </row>
    <row r="5963" spans="23:23" s="1629" customFormat="1" ht="24" customHeight="1">
      <c r="W5963" s="1634"/>
    </row>
    <row r="5964" spans="23:23" s="1629" customFormat="1" ht="24" customHeight="1">
      <c r="W5964" s="1634"/>
    </row>
    <row r="5965" spans="23:23" s="1629" customFormat="1" ht="24" customHeight="1">
      <c r="W5965" s="1634"/>
    </row>
    <row r="5966" spans="23:23" s="1629" customFormat="1" ht="24" customHeight="1">
      <c r="W5966" s="1634"/>
    </row>
    <row r="5967" spans="23:23" s="1629" customFormat="1" ht="24" customHeight="1">
      <c r="W5967" s="1634"/>
    </row>
    <row r="5968" spans="23:23" s="1629" customFormat="1" ht="24" customHeight="1">
      <c r="W5968" s="1634"/>
    </row>
    <row r="5969" spans="23:23" s="1629" customFormat="1" ht="24" customHeight="1">
      <c r="W5969" s="1634"/>
    </row>
    <row r="5970" spans="23:23" s="1629" customFormat="1" ht="24" customHeight="1">
      <c r="W5970" s="1634"/>
    </row>
    <row r="5971" spans="23:23" s="1629" customFormat="1" ht="24" customHeight="1">
      <c r="W5971" s="1634"/>
    </row>
    <row r="5972" spans="23:23" s="1629" customFormat="1" ht="24" customHeight="1">
      <c r="W5972" s="1634"/>
    </row>
    <row r="5973" spans="23:23" s="1629" customFormat="1" ht="24" customHeight="1">
      <c r="W5973" s="1634"/>
    </row>
    <row r="5974" spans="23:23" s="1629" customFormat="1" ht="24" customHeight="1">
      <c r="W5974" s="1634"/>
    </row>
    <row r="5975" spans="23:23" s="1629" customFormat="1" ht="24" customHeight="1">
      <c r="W5975" s="1634"/>
    </row>
    <row r="5976" spans="23:23" s="1629" customFormat="1" ht="24" customHeight="1">
      <c r="W5976" s="1634"/>
    </row>
    <row r="5977" spans="23:23" s="1629" customFormat="1" ht="24" customHeight="1">
      <c r="W5977" s="1634"/>
    </row>
    <row r="5978" spans="23:23" s="1629" customFormat="1" ht="24" customHeight="1">
      <c r="W5978" s="1634"/>
    </row>
    <row r="5979" spans="23:23" s="1629" customFormat="1" ht="24" customHeight="1">
      <c r="W5979" s="1634"/>
    </row>
    <row r="5980" spans="23:23" s="1629" customFormat="1" ht="24" customHeight="1">
      <c r="W5980" s="1634"/>
    </row>
    <row r="5981" spans="23:23" s="1629" customFormat="1" ht="24" customHeight="1">
      <c r="W5981" s="1634"/>
    </row>
    <row r="5982" spans="23:23" s="1629" customFormat="1" ht="24" customHeight="1">
      <c r="W5982" s="1634"/>
    </row>
    <row r="5983" spans="23:23" s="1629" customFormat="1" ht="24" customHeight="1">
      <c r="W5983" s="1634"/>
    </row>
    <row r="5984" spans="23:23" s="1629" customFormat="1" ht="24" customHeight="1">
      <c r="W5984" s="1634"/>
    </row>
    <row r="5985" spans="23:23" s="1629" customFormat="1" ht="24" customHeight="1">
      <c r="W5985" s="1634"/>
    </row>
    <row r="5986" spans="23:23" s="1629" customFormat="1" ht="24" customHeight="1">
      <c r="W5986" s="1634"/>
    </row>
    <row r="5987" spans="23:23" s="1629" customFormat="1" ht="24" customHeight="1">
      <c r="W5987" s="1634"/>
    </row>
    <row r="5988" spans="23:23" s="1629" customFormat="1" ht="24" customHeight="1">
      <c r="W5988" s="1634"/>
    </row>
    <row r="5989" spans="23:23" s="1629" customFormat="1" ht="24" customHeight="1">
      <c r="W5989" s="1634"/>
    </row>
    <row r="5990" spans="23:23" s="1629" customFormat="1" ht="24" customHeight="1">
      <c r="W5990" s="1634"/>
    </row>
    <row r="5991" spans="23:23" s="1629" customFormat="1" ht="24" customHeight="1">
      <c r="W5991" s="1634"/>
    </row>
    <row r="5992" spans="23:23" s="1629" customFormat="1" ht="24" customHeight="1">
      <c r="W5992" s="1634"/>
    </row>
    <row r="5993" spans="23:23" s="1629" customFormat="1" ht="24" customHeight="1">
      <c r="W5993" s="1634"/>
    </row>
    <row r="5994" spans="23:23" s="1629" customFormat="1" ht="24" customHeight="1">
      <c r="W5994" s="1634"/>
    </row>
    <row r="5995" spans="23:23" s="1629" customFormat="1" ht="24" customHeight="1">
      <c r="W5995" s="1634"/>
    </row>
    <row r="5996" spans="23:23" s="1629" customFormat="1" ht="24" customHeight="1">
      <c r="W5996" s="1634"/>
    </row>
    <row r="5997" spans="23:23" s="1629" customFormat="1" ht="24" customHeight="1">
      <c r="W5997" s="1634"/>
    </row>
    <row r="5998" spans="23:23" s="1629" customFormat="1" ht="24" customHeight="1">
      <c r="W5998" s="1634"/>
    </row>
    <row r="5999" spans="23:23" s="1629" customFormat="1" ht="24" customHeight="1">
      <c r="W5999" s="1634"/>
    </row>
    <row r="6000" spans="23:23" s="1629" customFormat="1" ht="24" customHeight="1">
      <c r="W6000" s="1634"/>
    </row>
    <row r="6001" spans="23:23" s="1629" customFormat="1" ht="24" customHeight="1">
      <c r="W6001" s="1634"/>
    </row>
    <row r="6002" spans="23:23" s="1629" customFormat="1" ht="24" customHeight="1">
      <c r="W6002" s="1634"/>
    </row>
    <row r="6003" spans="23:23" s="1629" customFormat="1" ht="24" customHeight="1">
      <c r="W6003" s="1634"/>
    </row>
    <row r="6004" spans="23:23" s="1629" customFormat="1" ht="24" customHeight="1">
      <c r="W6004" s="1634"/>
    </row>
    <row r="6005" spans="23:23" s="1629" customFormat="1" ht="24" customHeight="1">
      <c r="W6005" s="1634"/>
    </row>
    <row r="6006" spans="23:23" s="1629" customFormat="1" ht="24" customHeight="1">
      <c r="W6006" s="1634"/>
    </row>
    <row r="6007" spans="23:23" s="1629" customFormat="1" ht="24" customHeight="1">
      <c r="W6007" s="1634"/>
    </row>
    <row r="6008" spans="23:23" s="1629" customFormat="1" ht="24" customHeight="1">
      <c r="W6008" s="1634"/>
    </row>
    <row r="6009" spans="23:23" s="1629" customFormat="1" ht="24" customHeight="1">
      <c r="W6009" s="1634"/>
    </row>
    <row r="6010" spans="23:23" s="1629" customFormat="1" ht="24" customHeight="1">
      <c r="W6010" s="1634"/>
    </row>
    <row r="6011" spans="23:23" s="1629" customFormat="1" ht="24" customHeight="1">
      <c r="W6011" s="1634"/>
    </row>
    <row r="6012" spans="23:23" s="1629" customFormat="1" ht="24" customHeight="1">
      <c r="W6012" s="1634"/>
    </row>
    <row r="6013" spans="23:23" s="1629" customFormat="1" ht="24" customHeight="1">
      <c r="W6013" s="1634"/>
    </row>
    <row r="6014" spans="23:23" s="1629" customFormat="1" ht="24" customHeight="1">
      <c r="W6014" s="1634"/>
    </row>
    <row r="6015" spans="23:23" s="1629" customFormat="1" ht="24" customHeight="1">
      <c r="W6015" s="1634"/>
    </row>
    <row r="6016" spans="23:23" s="1629" customFormat="1" ht="24" customHeight="1">
      <c r="W6016" s="1634"/>
    </row>
    <row r="6017" spans="23:23" s="1629" customFormat="1" ht="24" customHeight="1">
      <c r="W6017" s="1634"/>
    </row>
    <row r="6018" spans="23:23" s="1629" customFormat="1" ht="24" customHeight="1">
      <c r="W6018" s="1634"/>
    </row>
    <row r="6019" spans="23:23" s="1629" customFormat="1" ht="24" customHeight="1">
      <c r="W6019" s="1634"/>
    </row>
    <row r="6020" spans="23:23" s="1629" customFormat="1" ht="24" customHeight="1">
      <c r="W6020" s="1634"/>
    </row>
    <row r="6021" spans="23:23" s="1629" customFormat="1" ht="24" customHeight="1">
      <c r="W6021" s="1634"/>
    </row>
    <row r="6022" spans="23:23" s="1629" customFormat="1" ht="24" customHeight="1">
      <c r="W6022" s="1634"/>
    </row>
    <row r="6023" spans="23:23" s="1629" customFormat="1" ht="24" customHeight="1">
      <c r="W6023" s="1634"/>
    </row>
    <row r="6024" spans="23:23" s="1629" customFormat="1" ht="24" customHeight="1">
      <c r="W6024" s="1634"/>
    </row>
    <row r="6025" spans="23:23" s="1629" customFormat="1" ht="24" customHeight="1">
      <c r="W6025" s="1634"/>
    </row>
    <row r="6026" spans="23:23" s="1629" customFormat="1" ht="24" customHeight="1">
      <c r="W6026" s="1634"/>
    </row>
    <row r="6027" spans="23:23" s="1629" customFormat="1" ht="24" customHeight="1">
      <c r="W6027" s="1634"/>
    </row>
    <row r="6028" spans="23:23" s="1629" customFormat="1" ht="24" customHeight="1">
      <c r="W6028" s="1634"/>
    </row>
    <row r="6029" spans="23:23" s="1629" customFormat="1" ht="24" customHeight="1">
      <c r="W6029" s="1634"/>
    </row>
    <row r="6030" spans="23:23" s="1629" customFormat="1" ht="24" customHeight="1">
      <c r="W6030" s="1634"/>
    </row>
    <row r="6031" spans="23:23" s="1629" customFormat="1" ht="24" customHeight="1">
      <c r="W6031" s="1634"/>
    </row>
    <row r="6032" spans="23:23" s="1629" customFormat="1" ht="24" customHeight="1">
      <c r="W6032" s="1634"/>
    </row>
    <row r="6033" spans="23:23" s="1629" customFormat="1" ht="24" customHeight="1">
      <c r="W6033" s="1634"/>
    </row>
    <row r="6034" spans="23:23" s="1629" customFormat="1" ht="24" customHeight="1">
      <c r="W6034" s="1634"/>
    </row>
    <row r="6035" spans="23:23" s="1629" customFormat="1" ht="24" customHeight="1">
      <c r="W6035" s="1634"/>
    </row>
    <row r="6036" spans="23:23" s="1629" customFormat="1" ht="24" customHeight="1">
      <c r="W6036" s="1634"/>
    </row>
    <row r="6037" spans="23:23" s="1629" customFormat="1" ht="24" customHeight="1">
      <c r="W6037" s="1634"/>
    </row>
    <row r="6038" spans="23:23" s="1629" customFormat="1" ht="24" customHeight="1">
      <c r="W6038" s="1634"/>
    </row>
    <row r="6039" spans="23:23" s="1629" customFormat="1" ht="24" customHeight="1">
      <c r="W6039" s="1634"/>
    </row>
    <row r="6040" spans="23:23" s="1629" customFormat="1" ht="24" customHeight="1">
      <c r="W6040" s="1634"/>
    </row>
    <row r="6041" spans="23:23" s="1629" customFormat="1" ht="24" customHeight="1">
      <c r="W6041" s="1634"/>
    </row>
    <row r="6042" spans="23:23" s="1629" customFormat="1" ht="24" customHeight="1">
      <c r="W6042" s="1634"/>
    </row>
    <row r="6043" spans="23:23" s="1629" customFormat="1" ht="24" customHeight="1">
      <c r="W6043" s="1634"/>
    </row>
    <row r="6044" spans="23:23" s="1629" customFormat="1" ht="24" customHeight="1">
      <c r="W6044" s="1634"/>
    </row>
    <row r="6045" spans="23:23" s="1629" customFormat="1" ht="24" customHeight="1">
      <c r="W6045" s="1634"/>
    </row>
    <row r="6046" spans="23:23" s="1629" customFormat="1" ht="24" customHeight="1">
      <c r="W6046" s="1634"/>
    </row>
    <row r="6047" spans="23:23" s="1629" customFormat="1" ht="24" customHeight="1">
      <c r="W6047" s="1634"/>
    </row>
    <row r="6048" spans="23:23" s="1629" customFormat="1" ht="24" customHeight="1">
      <c r="W6048" s="1634"/>
    </row>
    <row r="6049" spans="23:23" s="1629" customFormat="1" ht="24" customHeight="1">
      <c r="W6049" s="1634"/>
    </row>
    <row r="6050" spans="23:23" s="1629" customFormat="1" ht="24" customHeight="1">
      <c r="W6050" s="1634"/>
    </row>
    <row r="6051" spans="23:23" s="1629" customFormat="1" ht="24" customHeight="1">
      <c r="W6051" s="1634"/>
    </row>
    <row r="6052" spans="23:23" s="1629" customFormat="1" ht="24" customHeight="1">
      <c r="W6052" s="1634"/>
    </row>
    <row r="6053" spans="23:23" s="1629" customFormat="1" ht="24" customHeight="1">
      <c r="W6053" s="1634"/>
    </row>
    <row r="6054" spans="23:23" s="1629" customFormat="1" ht="24" customHeight="1">
      <c r="W6054" s="1634"/>
    </row>
    <row r="6055" spans="23:23" s="1629" customFormat="1" ht="24" customHeight="1">
      <c r="W6055" s="1634"/>
    </row>
    <row r="6056" spans="23:23" s="1629" customFormat="1" ht="24" customHeight="1">
      <c r="W6056" s="1634"/>
    </row>
    <row r="6057" spans="23:23" s="1629" customFormat="1" ht="24" customHeight="1">
      <c r="W6057" s="1634"/>
    </row>
    <row r="6058" spans="23:23" s="1629" customFormat="1" ht="24" customHeight="1">
      <c r="W6058" s="1634"/>
    </row>
    <row r="6059" spans="23:23" s="1629" customFormat="1" ht="24" customHeight="1">
      <c r="W6059" s="1634"/>
    </row>
    <row r="6060" spans="23:23" s="1629" customFormat="1" ht="24" customHeight="1">
      <c r="W6060" s="1634"/>
    </row>
    <row r="6061" spans="23:23" s="1629" customFormat="1" ht="24" customHeight="1">
      <c r="W6061" s="1634"/>
    </row>
    <row r="6062" spans="23:23" s="1629" customFormat="1" ht="24" customHeight="1">
      <c r="W6062" s="1634"/>
    </row>
    <row r="6063" spans="23:23" s="1629" customFormat="1" ht="24" customHeight="1">
      <c r="W6063" s="1634"/>
    </row>
    <row r="6064" spans="23:23" s="1629" customFormat="1" ht="24" customHeight="1">
      <c r="W6064" s="1634"/>
    </row>
    <row r="6065" spans="23:23" s="1629" customFormat="1" ht="24" customHeight="1">
      <c r="W6065" s="1634"/>
    </row>
    <row r="6066" spans="23:23" s="1629" customFormat="1" ht="24" customHeight="1">
      <c r="W6066" s="1634"/>
    </row>
    <row r="6067" spans="23:23" s="1629" customFormat="1" ht="24" customHeight="1">
      <c r="W6067" s="1634"/>
    </row>
    <row r="6068" spans="23:23" s="1629" customFormat="1" ht="24" customHeight="1">
      <c r="W6068" s="1634"/>
    </row>
    <row r="6069" spans="23:23" s="1629" customFormat="1" ht="24" customHeight="1">
      <c r="W6069" s="1634"/>
    </row>
    <row r="6070" spans="23:23" s="1629" customFormat="1" ht="24" customHeight="1">
      <c r="W6070" s="1634"/>
    </row>
    <row r="6071" spans="23:23" s="1629" customFormat="1" ht="24" customHeight="1">
      <c r="W6071" s="1634"/>
    </row>
    <row r="6072" spans="23:23" s="1629" customFormat="1" ht="24" customHeight="1">
      <c r="W6072" s="1634"/>
    </row>
    <row r="6073" spans="23:23" s="1629" customFormat="1" ht="24" customHeight="1">
      <c r="W6073" s="1634"/>
    </row>
    <row r="6074" spans="23:23" s="1629" customFormat="1" ht="24" customHeight="1">
      <c r="W6074" s="1634"/>
    </row>
    <row r="6075" spans="23:23" s="1629" customFormat="1" ht="24" customHeight="1">
      <c r="W6075" s="1634"/>
    </row>
    <row r="6076" spans="23:23" s="1629" customFormat="1" ht="24" customHeight="1">
      <c r="W6076" s="1634"/>
    </row>
    <row r="6077" spans="23:23" s="1629" customFormat="1" ht="24" customHeight="1">
      <c r="W6077" s="1634"/>
    </row>
    <row r="6078" spans="23:23" s="1629" customFormat="1" ht="24" customHeight="1">
      <c r="W6078" s="1634"/>
    </row>
    <row r="6079" spans="23:23" s="1629" customFormat="1" ht="24" customHeight="1">
      <c r="W6079" s="1634"/>
    </row>
    <row r="6080" spans="23:23" s="1629" customFormat="1" ht="24" customHeight="1">
      <c r="W6080" s="1634"/>
    </row>
    <row r="6081" spans="23:23" s="1629" customFormat="1" ht="24" customHeight="1">
      <c r="W6081" s="1634"/>
    </row>
    <row r="6082" spans="23:23" s="1629" customFormat="1" ht="24" customHeight="1">
      <c r="W6082" s="1634"/>
    </row>
    <row r="6083" spans="23:23" s="1629" customFormat="1" ht="24" customHeight="1">
      <c r="W6083" s="1634"/>
    </row>
    <row r="6084" spans="23:23" s="1629" customFormat="1" ht="24" customHeight="1">
      <c r="W6084" s="1634"/>
    </row>
    <row r="6085" spans="23:23" s="1629" customFormat="1" ht="24" customHeight="1">
      <c r="W6085" s="1634"/>
    </row>
    <row r="6086" spans="23:23" s="1629" customFormat="1" ht="24" customHeight="1">
      <c r="W6086" s="1634"/>
    </row>
    <row r="6087" spans="23:23" s="1629" customFormat="1" ht="24" customHeight="1">
      <c r="W6087" s="1634"/>
    </row>
    <row r="6088" spans="23:23" s="1629" customFormat="1" ht="24" customHeight="1">
      <c r="W6088" s="1634"/>
    </row>
    <row r="6089" spans="23:23" s="1629" customFormat="1" ht="24" customHeight="1">
      <c r="W6089" s="1634"/>
    </row>
    <row r="6090" spans="23:23" s="1629" customFormat="1" ht="24" customHeight="1">
      <c r="W6090" s="1634"/>
    </row>
    <row r="6091" spans="23:23" s="1629" customFormat="1" ht="24" customHeight="1">
      <c r="W6091" s="1634"/>
    </row>
    <row r="6092" spans="23:23" s="1629" customFormat="1" ht="24" customHeight="1">
      <c r="W6092" s="1634"/>
    </row>
    <row r="6093" spans="23:23" s="1629" customFormat="1" ht="24" customHeight="1">
      <c r="W6093" s="1634"/>
    </row>
    <row r="6094" spans="23:23" s="1629" customFormat="1" ht="24" customHeight="1">
      <c r="W6094" s="1634"/>
    </row>
    <row r="6095" spans="23:23" s="1629" customFormat="1" ht="24" customHeight="1">
      <c r="W6095" s="1634"/>
    </row>
    <row r="6096" spans="23:23" s="1629" customFormat="1" ht="24" customHeight="1">
      <c r="W6096" s="1634"/>
    </row>
    <row r="6097" spans="23:23" s="1629" customFormat="1" ht="24" customHeight="1">
      <c r="W6097" s="1634"/>
    </row>
    <row r="6098" spans="23:23" s="1629" customFormat="1" ht="24" customHeight="1">
      <c r="W6098" s="1634"/>
    </row>
    <row r="6099" spans="23:23" s="1629" customFormat="1" ht="24" customHeight="1">
      <c r="W6099" s="1634"/>
    </row>
    <row r="6100" spans="23:23" s="1629" customFormat="1" ht="24" customHeight="1">
      <c r="W6100" s="1634"/>
    </row>
    <row r="6101" spans="23:23" s="1629" customFormat="1" ht="24" customHeight="1">
      <c r="W6101" s="1634"/>
    </row>
    <row r="6102" spans="23:23" s="1629" customFormat="1" ht="24" customHeight="1">
      <c r="W6102" s="1634"/>
    </row>
    <row r="6103" spans="23:23" s="1629" customFormat="1" ht="24" customHeight="1">
      <c r="W6103" s="1634"/>
    </row>
    <row r="6104" spans="23:23" s="1629" customFormat="1" ht="24" customHeight="1">
      <c r="W6104" s="1634"/>
    </row>
    <row r="6105" spans="23:23" s="1629" customFormat="1" ht="24" customHeight="1">
      <c r="W6105" s="1634"/>
    </row>
    <row r="6106" spans="23:23" s="1629" customFormat="1" ht="24" customHeight="1">
      <c r="W6106" s="1634"/>
    </row>
    <row r="6107" spans="23:23" s="1629" customFormat="1" ht="24" customHeight="1">
      <c r="W6107" s="1634"/>
    </row>
    <row r="6108" spans="23:23" s="1629" customFormat="1" ht="24" customHeight="1">
      <c r="W6108" s="1634"/>
    </row>
    <row r="6109" spans="23:23" s="1629" customFormat="1" ht="24" customHeight="1">
      <c r="W6109" s="1634"/>
    </row>
    <row r="6110" spans="23:23" s="1629" customFormat="1" ht="24" customHeight="1">
      <c r="W6110" s="1634"/>
    </row>
    <row r="6111" spans="23:23" s="1629" customFormat="1" ht="24" customHeight="1">
      <c r="W6111" s="1634"/>
    </row>
    <row r="6112" spans="23:23" s="1629" customFormat="1" ht="24" customHeight="1">
      <c r="W6112" s="1634"/>
    </row>
    <row r="6113" spans="23:23" s="1629" customFormat="1" ht="24" customHeight="1">
      <c r="W6113" s="1634"/>
    </row>
    <row r="6114" spans="23:23" s="1629" customFormat="1" ht="24" customHeight="1">
      <c r="W6114" s="1634"/>
    </row>
    <row r="6115" spans="23:23" s="1629" customFormat="1" ht="24" customHeight="1">
      <c r="W6115" s="1634"/>
    </row>
    <row r="6116" spans="23:23" s="1629" customFormat="1" ht="24" customHeight="1">
      <c r="W6116" s="1634"/>
    </row>
    <row r="6117" spans="23:23" s="1629" customFormat="1" ht="24" customHeight="1">
      <c r="W6117" s="1634"/>
    </row>
    <row r="6118" spans="23:23" s="1629" customFormat="1" ht="24" customHeight="1">
      <c r="W6118" s="1634"/>
    </row>
    <row r="6119" spans="23:23" s="1629" customFormat="1" ht="24" customHeight="1">
      <c r="W6119" s="1634"/>
    </row>
    <row r="6120" spans="23:23" s="1629" customFormat="1" ht="24" customHeight="1">
      <c r="W6120" s="1634"/>
    </row>
    <row r="6121" spans="23:23" s="1629" customFormat="1" ht="24" customHeight="1">
      <c r="W6121" s="1634"/>
    </row>
    <row r="6122" spans="23:23" s="1629" customFormat="1" ht="24" customHeight="1">
      <c r="W6122" s="1634"/>
    </row>
    <row r="6123" spans="23:23" s="1629" customFormat="1" ht="24" customHeight="1">
      <c r="W6123" s="1634"/>
    </row>
    <row r="6124" spans="23:23" s="1629" customFormat="1" ht="24" customHeight="1">
      <c r="W6124" s="1634"/>
    </row>
    <row r="6125" spans="23:23" s="1629" customFormat="1" ht="24" customHeight="1">
      <c r="W6125" s="1634"/>
    </row>
    <row r="6126" spans="23:23" s="1629" customFormat="1" ht="24" customHeight="1">
      <c r="W6126" s="1634"/>
    </row>
    <row r="6127" spans="23:23" s="1629" customFormat="1" ht="24" customHeight="1">
      <c r="W6127" s="1634"/>
    </row>
    <row r="6128" spans="23:23" s="1629" customFormat="1" ht="24" customHeight="1">
      <c r="W6128" s="1634"/>
    </row>
    <row r="6129" spans="23:23" s="1629" customFormat="1" ht="24" customHeight="1">
      <c r="W6129" s="1634"/>
    </row>
    <row r="6130" spans="23:23" s="1629" customFormat="1" ht="24" customHeight="1">
      <c r="W6130" s="1634"/>
    </row>
    <row r="6131" spans="23:23" s="1629" customFormat="1" ht="24" customHeight="1">
      <c r="W6131" s="1634"/>
    </row>
    <row r="6132" spans="23:23" s="1629" customFormat="1" ht="24" customHeight="1">
      <c r="W6132" s="1634"/>
    </row>
    <row r="6133" spans="23:23" s="1629" customFormat="1" ht="24" customHeight="1">
      <c r="W6133" s="1634"/>
    </row>
    <row r="6134" spans="23:23" s="1629" customFormat="1" ht="24" customHeight="1">
      <c r="W6134" s="1634"/>
    </row>
    <row r="6135" spans="23:23" s="1629" customFormat="1" ht="24" customHeight="1">
      <c r="W6135" s="1634"/>
    </row>
    <row r="6136" spans="23:23" s="1629" customFormat="1" ht="24" customHeight="1">
      <c r="W6136" s="1634"/>
    </row>
    <row r="6137" spans="23:23" s="1629" customFormat="1" ht="24" customHeight="1">
      <c r="W6137" s="1634"/>
    </row>
    <row r="6138" spans="23:23" s="1629" customFormat="1" ht="24" customHeight="1">
      <c r="W6138" s="1634"/>
    </row>
    <row r="6139" spans="23:23" s="1629" customFormat="1" ht="24" customHeight="1">
      <c r="W6139" s="1634"/>
    </row>
    <row r="6140" spans="23:23" s="1629" customFormat="1" ht="24" customHeight="1">
      <c r="W6140" s="1634"/>
    </row>
    <row r="6141" spans="23:23" s="1629" customFormat="1" ht="24" customHeight="1">
      <c r="W6141" s="1634"/>
    </row>
    <row r="6142" spans="23:23" s="1629" customFormat="1" ht="24" customHeight="1">
      <c r="W6142" s="1634"/>
    </row>
    <row r="6143" spans="23:23" s="1629" customFormat="1" ht="24" customHeight="1">
      <c r="W6143" s="1634"/>
    </row>
    <row r="6144" spans="23:23" s="1629" customFormat="1" ht="24" customHeight="1">
      <c r="W6144" s="1634"/>
    </row>
    <row r="6145" spans="23:23" s="1629" customFormat="1" ht="24" customHeight="1">
      <c r="W6145" s="1634"/>
    </row>
    <row r="6146" spans="23:23" s="1629" customFormat="1" ht="24" customHeight="1">
      <c r="W6146" s="1634"/>
    </row>
    <row r="6147" spans="23:23" s="1629" customFormat="1" ht="24" customHeight="1">
      <c r="W6147" s="1634"/>
    </row>
    <row r="6148" spans="23:23" s="1629" customFormat="1" ht="24" customHeight="1">
      <c r="W6148" s="1634"/>
    </row>
    <row r="6149" spans="23:23" s="1629" customFormat="1" ht="24" customHeight="1">
      <c r="W6149" s="1634"/>
    </row>
    <row r="6150" spans="23:23" s="1629" customFormat="1" ht="24" customHeight="1">
      <c r="W6150" s="1634"/>
    </row>
    <row r="6151" spans="23:23" s="1629" customFormat="1" ht="24" customHeight="1">
      <c r="W6151" s="1634"/>
    </row>
    <row r="6152" spans="23:23" s="1629" customFormat="1" ht="24" customHeight="1">
      <c r="W6152" s="1634"/>
    </row>
    <row r="6153" spans="23:23" s="1629" customFormat="1" ht="24" customHeight="1">
      <c r="W6153" s="1634"/>
    </row>
    <row r="6154" spans="23:23" s="1629" customFormat="1" ht="24" customHeight="1">
      <c r="W6154" s="1634"/>
    </row>
    <row r="6155" spans="23:23" s="1629" customFormat="1" ht="24" customHeight="1">
      <c r="W6155" s="1634"/>
    </row>
    <row r="6156" spans="23:23" s="1629" customFormat="1" ht="24" customHeight="1">
      <c r="W6156" s="1634"/>
    </row>
    <row r="6157" spans="23:23" s="1629" customFormat="1" ht="24" customHeight="1">
      <c r="W6157" s="1634"/>
    </row>
    <row r="6158" spans="23:23" s="1629" customFormat="1" ht="24" customHeight="1">
      <c r="W6158" s="1634"/>
    </row>
    <row r="6159" spans="23:23" s="1629" customFormat="1" ht="24" customHeight="1">
      <c r="W6159" s="1634"/>
    </row>
    <row r="6160" spans="23:23" s="1629" customFormat="1" ht="24" customHeight="1">
      <c r="W6160" s="1634"/>
    </row>
    <row r="6161" spans="23:23" s="1629" customFormat="1" ht="24" customHeight="1">
      <c r="W6161" s="1634"/>
    </row>
    <row r="6162" spans="23:23" s="1629" customFormat="1" ht="24" customHeight="1">
      <c r="W6162" s="1634"/>
    </row>
    <row r="6163" spans="23:23" s="1629" customFormat="1" ht="24" customHeight="1">
      <c r="W6163" s="1634"/>
    </row>
    <row r="6164" spans="23:23" s="1629" customFormat="1" ht="24" customHeight="1">
      <c r="W6164" s="1634"/>
    </row>
    <row r="6165" spans="23:23" s="1629" customFormat="1" ht="24" customHeight="1">
      <c r="W6165" s="1634"/>
    </row>
    <row r="6166" spans="23:23" s="1629" customFormat="1" ht="24" customHeight="1">
      <c r="W6166" s="1634"/>
    </row>
    <row r="6167" spans="23:23" s="1629" customFormat="1" ht="24" customHeight="1">
      <c r="W6167" s="1634"/>
    </row>
    <row r="6168" spans="23:23" s="1629" customFormat="1" ht="24" customHeight="1">
      <c r="W6168" s="1634"/>
    </row>
    <row r="6169" spans="23:23" s="1629" customFormat="1" ht="24" customHeight="1">
      <c r="W6169" s="1634"/>
    </row>
    <row r="6170" spans="23:23" s="1629" customFormat="1" ht="24" customHeight="1">
      <c r="W6170" s="1634"/>
    </row>
    <row r="6171" spans="23:23" s="1629" customFormat="1" ht="24" customHeight="1">
      <c r="W6171" s="1634"/>
    </row>
    <row r="6172" spans="23:23" s="1629" customFormat="1" ht="24" customHeight="1">
      <c r="W6172" s="1634"/>
    </row>
    <row r="6173" spans="23:23" s="1629" customFormat="1" ht="24" customHeight="1">
      <c r="W6173" s="1634"/>
    </row>
    <row r="6174" spans="23:23" s="1629" customFormat="1" ht="24" customHeight="1">
      <c r="W6174" s="1634"/>
    </row>
    <row r="6175" spans="23:23" s="1629" customFormat="1" ht="24" customHeight="1">
      <c r="W6175" s="1634"/>
    </row>
    <row r="6176" spans="23:23" s="1629" customFormat="1" ht="24" customHeight="1">
      <c r="W6176" s="1634"/>
    </row>
    <row r="6177" spans="23:23" s="1629" customFormat="1" ht="24" customHeight="1">
      <c r="W6177" s="1634"/>
    </row>
    <row r="6178" spans="23:23" s="1629" customFormat="1" ht="24" customHeight="1">
      <c r="W6178" s="1634"/>
    </row>
    <row r="6179" spans="23:23" s="1629" customFormat="1" ht="24" customHeight="1">
      <c r="W6179" s="1634"/>
    </row>
    <row r="6180" spans="23:23" s="1629" customFormat="1" ht="24" customHeight="1">
      <c r="W6180" s="1634"/>
    </row>
    <row r="6181" spans="23:23" s="1629" customFormat="1" ht="24" customHeight="1">
      <c r="W6181" s="1634"/>
    </row>
    <row r="6182" spans="23:23" s="1629" customFormat="1" ht="24" customHeight="1">
      <c r="W6182" s="1634"/>
    </row>
    <row r="6183" spans="23:23" s="1629" customFormat="1" ht="24" customHeight="1">
      <c r="W6183" s="1634"/>
    </row>
    <row r="6184" spans="23:23" s="1629" customFormat="1" ht="24" customHeight="1">
      <c r="W6184" s="1634"/>
    </row>
    <row r="6185" spans="23:23" s="1629" customFormat="1" ht="24" customHeight="1">
      <c r="W6185" s="1634"/>
    </row>
    <row r="6186" spans="23:23" s="1629" customFormat="1" ht="24" customHeight="1">
      <c r="W6186" s="1634"/>
    </row>
    <row r="6187" spans="23:23" s="1629" customFormat="1" ht="24" customHeight="1">
      <c r="W6187" s="1634"/>
    </row>
    <row r="6188" spans="23:23" s="1629" customFormat="1" ht="24" customHeight="1">
      <c r="W6188" s="1634"/>
    </row>
    <row r="6189" spans="23:23" s="1629" customFormat="1" ht="24" customHeight="1">
      <c r="W6189" s="1634"/>
    </row>
    <row r="6190" spans="23:23" s="1629" customFormat="1" ht="24" customHeight="1">
      <c r="W6190" s="1634"/>
    </row>
    <row r="6191" spans="23:23" s="1629" customFormat="1" ht="24" customHeight="1">
      <c r="W6191" s="1634"/>
    </row>
    <row r="6192" spans="23:23" s="1629" customFormat="1" ht="24" customHeight="1">
      <c r="W6192" s="1634"/>
    </row>
    <row r="6193" spans="23:23" s="1629" customFormat="1" ht="24" customHeight="1">
      <c r="W6193" s="1634"/>
    </row>
    <row r="6194" spans="23:23" s="1629" customFormat="1" ht="24" customHeight="1">
      <c r="W6194" s="1634"/>
    </row>
    <row r="6195" spans="23:23" s="1629" customFormat="1" ht="24" customHeight="1">
      <c r="W6195" s="1634"/>
    </row>
    <row r="6196" spans="23:23" s="1629" customFormat="1" ht="24" customHeight="1">
      <c r="W6196" s="1634"/>
    </row>
    <row r="6197" spans="23:23" s="1629" customFormat="1" ht="24" customHeight="1">
      <c r="W6197" s="1634"/>
    </row>
    <row r="6198" spans="23:23" s="1629" customFormat="1" ht="24" customHeight="1">
      <c r="W6198" s="1634"/>
    </row>
    <row r="6199" spans="23:23" s="1629" customFormat="1" ht="24" customHeight="1">
      <c r="W6199" s="1634"/>
    </row>
    <row r="6200" spans="23:23" s="1629" customFormat="1" ht="24" customHeight="1">
      <c r="W6200" s="1634"/>
    </row>
    <row r="6201" spans="23:23" s="1629" customFormat="1" ht="24" customHeight="1">
      <c r="W6201" s="1634"/>
    </row>
    <row r="6202" spans="23:23" s="1629" customFormat="1" ht="24" customHeight="1">
      <c r="W6202" s="1634"/>
    </row>
    <row r="6203" spans="23:23" s="1629" customFormat="1" ht="24" customHeight="1">
      <c r="W6203" s="1634"/>
    </row>
    <row r="6204" spans="23:23" s="1629" customFormat="1" ht="24" customHeight="1">
      <c r="W6204" s="1634"/>
    </row>
    <row r="6205" spans="23:23" s="1629" customFormat="1" ht="24" customHeight="1">
      <c r="W6205" s="1634"/>
    </row>
    <row r="6206" spans="23:23" s="1629" customFormat="1" ht="24" customHeight="1">
      <c r="W6206" s="1634"/>
    </row>
    <row r="6207" spans="23:23" s="1629" customFormat="1" ht="24" customHeight="1">
      <c r="W6207" s="1634"/>
    </row>
    <row r="6208" spans="23:23" s="1629" customFormat="1" ht="24" customHeight="1">
      <c r="W6208" s="1634"/>
    </row>
    <row r="6209" spans="23:23" s="1629" customFormat="1" ht="24" customHeight="1">
      <c r="W6209" s="1634"/>
    </row>
    <row r="6210" spans="23:23" s="1629" customFormat="1" ht="24" customHeight="1">
      <c r="W6210" s="1634"/>
    </row>
    <row r="6211" spans="23:23" s="1629" customFormat="1" ht="24" customHeight="1">
      <c r="W6211" s="1634"/>
    </row>
    <row r="6212" spans="23:23" s="1629" customFormat="1" ht="24" customHeight="1">
      <c r="W6212" s="1634"/>
    </row>
    <row r="6213" spans="23:23" s="1629" customFormat="1" ht="24" customHeight="1">
      <c r="W6213" s="1634"/>
    </row>
    <row r="6214" spans="23:23" s="1629" customFormat="1" ht="24" customHeight="1">
      <c r="W6214" s="1634"/>
    </row>
    <row r="6215" spans="23:23" s="1629" customFormat="1" ht="24" customHeight="1">
      <c r="W6215" s="1634"/>
    </row>
    <row r="6216" spans="23:23" s="1629" customFormat="1" ht="24" customHeight="1">
      <c r="W6216" s="1634"/>
    </row>
    <row r="6217" spans="23:23" s="1629" customFormat="1" ht="24" customHeight="1">
      <c r="W6217" s="1634"/>
    </row>
    <row r="6218" spans="23:23" s="1629" customFormat="1" ht="24" customHeight="1">
      <c r="W6218" s="1634"/>
    </row>
    <row r="6219" spans="23:23" s="1629" customFormat="1" ht="24" customHeight="1">
      <c r="W6219" s="1634"/>
    </row>
    <row r="6220" spans="23:23" s="1629" customFormat="1" ht="24" customHeight="1">
      <c r="W6220" s="1634"/>
    </row>
    <row r="6221" spans="23:23" s="1629" customFormat="1" ht="24" customHeight="1">
      <c r="W6221" s="1634"/>
    </row>
    <row r="6222" spans="23:23" s="1629" customFormat="1" ht="24" customHeight="1">
      <c r="W6222" s="1634"/>
    </row>
    <row r="6223" spans="23:23" s="1629" customFormat="1" ht="24" customHeight="1">
      <c r="W6223" s="1634"/>
    </row>
    <row r="6224" spans="23:23" s="1629" customFormat="1" ht="24" customHeight="1">
      <c r="W6224" s="1634"/>
    </row>
    <row r="6225" spans="23:23" s="1629" customFormat="1" ht="24" customHeight="1">
      <c r="W6225" s="1634"/>
    </row>
    <row r="6226" spans="23:23" s="1629" customFormat="1" ht="24" customHeight="1">
      <c r="W6226" s="1634"/>
    </row>
    <row r="6227" spans="23:23" s="1629" customFormat="1" ht="24" customHeight="1">
      <c r="W6227" s="1634"/>
    </row>
    <row r="6228" spans="23:23" s="1629" customFormat="1" ht="24" customHeight="1">
      <c r="W6228" s="1634"/>
    </row>
    <row r="6229" spans="23:23" s="1629" customFormat="1" ht="24" customHeight="1">
      <c r="W6229" s="1634"/>
    </row>
    <row r="6230" spans="23:23" s="1629" customFormat="1" ht="24" customHeight="1">
      <c r="W6230" s="1634"/>
    </row>
    <row r="6231" spans="23:23" s="1629" customFormat="1" ht="24" customHeight="1">
      <c r="W6231" s="1634"/>
    </row>
    <row r="6232" spans="23:23" s="1629" customFormat="1" ht="24" customHeight="1">
      <c r="W6232" s="1634"/>
    </row>
    <row r="6233" spans="23:23" s="1629" customFormat="1" ht="24" customHeight="1">
      <c r="W6233" s="1634"/>
    </row>
    <row r="6234" spans="23:23" s="1629" customFormat="1" ht="24" customHeight="1">
      <c r="W6234" s="1634"/>
    </row>
    <row r="6235" spans="23:23" s="1629" customFormat="1" ht="24" customHeight="1">
      <c r="W6235" s="1634"/>
    </row>
    <row r="6236" spans="23:23" s="1629" customFormat="1" ht="24" customHeight="1">
      <c r="W6236" s="1634"/>
    </row>
    <row r="6237" spans="23:23" s="1629" customFormat="1" ht="24" customHeight="1">
      <c r="W6237" s="1634"/>
    </row>
    <row r="6238" spans="23:23" s="1629" customFormat="1" ht="24" customHeight="1">
      <c r="W6238" s="1634"/>
    </row>
    <row r="6239" spans="23:23" s="1629" customFormat="1" ht="24" customHeight="1">
      <c r="W6239" s="1634"/>
    </row>
    <row r="6240" spans="23:23" s="1629" customFormat="1" ht="24" customHeight="1">
      <c r="W6240" s="1634"/>
    </row>
    <row r="6241" spans="23:23" s="1629" customFormat="1" ht="24" customHeight="1">
      <c r="W6241" s="1634"/>
    </row>
    <row r="6242" spans="23:23" s="1629" customFormat="1" ht="24" customHeight="1">
      <c r="W6242" s="1634"/>
    </row>
    <row r="6243" spans="23:23" s="1629" customFormat="1" ht="24" customHeight="1">
      <c r="W6243" s="1634"/>
    </row>
    <row r="6244" spans="23:23" s="1629" customFormat="1" ht="24" customHeight="1">
      <c r="W6244" s="1634"/>
    </row>
    <row r="6245" spans="23:23" s="1629" customFormat="1" ht="24" customHeight="1">
      <c r="W6245" s="1634"/>
    </row>
    <row r="6246" spans="23:23" s="1629" customFormat="1" ht="24" customHeight="1">
      <c r="W6246" s="1634"/>
    </row>
    <row r="6247" spans="23:23" s="1629" customFormat="1" ht="24" customHeight="1">
      <c r="W6247" s="1634"/>
    </row>
    <row r="6248" spans="23:23" s="1629" customFormat="1" ht="24" customHeight="1">
      <c r="W6248" s="1634"/>
    </row>
    <row r="6249" spans="23:23" s="1629" customFormat="1" ht="24" customHeight="1">
      <c r="W6249" s="1634"/>
    </row>
    <row r="6250" spans="23:23" s="1629" customFormat="1" ht="24" customHeight="1">
      <c r="W6250" s="1634"/>
    </row>
    <row r="6251" spans="23:23" s="1629" customFormat="1" ht="24" customHeight="1">
      <c r="W6251" s="1634"/>
    </row>
    <row r="6252" spans="23:23" s="1629" customFormat="1" ht="24" customHeight="1">
      <c r="W6252" s="1634"/>
    </row>
    <row r="6253" spans="23:23" s="1629" customFormat="1" ht="24" customHeight="1">
      <c r="W6253" s="1634"/>
    </row>
    <row r="6254" spans="23:23" s="1629" customFormat="1" ht="24" customHeight="1">
      <c r="W6254" s="1634"/>
    </row>
    <row r="6255" spans="23:23" s="1629" customFormat="1" ht="24" customHeight="1">
      <c r="W6255" s="1634"/>
    </row>
    <row r="6256" spans="23:23" s="1629" customFormat="1" ht="24" customHeight="1">
      <c r="W6256" s="1634"/>
    </row>
    <row r="6257" spans="23:23" s="1629" customFormat="1" ht="24" customHeight="1">
      <c r="W6257" s="1634"/>
    </row>
    <row r="6258" spans="23:23" s="1629" customFormat="1" ht="24" customHeight="1">
      <c r="W6258" s="1634"/>
    </row>
    <row r="6259" spans="23:23" s="1629" customFormat="1" ht="24" customHeight="1">
      <c r="W6259" s="1634"/>
    </row>
    <row r="6260" spans="23:23" s="1629" customFormat="1" ht="24" customHeight="1">
      <c r="W6260" s="1634"/>
    </row>
    <row r="6261" spans="23:23" s="1629" customFormat="1" ht="24" customHeight="1">
      <c r="W6261" s="1634"/>
    </row>
    <row r="6262" spans="23:23" s="1629" customFormat="1" ht="24" customHeight="1">
      <c r="W6262" s="1634"/>
    </row>
    <row r="6263" spans="23:23" s="1629" customFormat="1" ht="24" customHeight="1">
      <c r="W6263" s="1634"/>
    </row>
    <row r="6264" spans="23:23" s="1629" customFormat="1" ht="24" customHeight="1">
      <c r="W6264" s="1634"/>
    </row>
    <row r="6265" spans="23:23" s="1629" customFormat="1" ht="24" customHeight="1">
      <c r="W6265" s="1634"/>
    </row>
    <row r="6266" spans="23:23" s="1629" customFormat="1" ht="24" customHeight="1">
      <c r="W6266" s="1634"/>
    </row>
    <row r="6267" spans="23:23" s="1629" customFormat="1" ht="24" customHeight="1">
      <c r="W6267" s="1634"/>
    </row>
    <row r="6268" spans="23:23" s="1629" customFormat="1" ht="24" customHeight="1">
      <c r="W6268" s="1634"/>
    </row>
    <row r="6269" spans="23:23" s="1629" customFormat="1" ht="24" customHeight="1">
      <c r="W6269" s="1634"/>
    </row>
    <row r="6270" spans="23:23" s="1629" customFormat="1" ht="24" customHeight="1">
      <c r="W6270" s="1634"/>
    </row>
    <row r="6271" spans="23:23" s="1629" customFormat="1" ht="24" customHeight="1">
      <c r="W6271" s="1634"/>
    </row>
    <row r="6272" spans="23:23" s="1629" customFormat="1" ht="24" customHeight="1">
      <c r="W6272" s="1634"/>
    </row>
    <row r="6273" spans="23:23" s="1629" customFormat="1" ht="24" customHeight="1">
      <c r="W6273" s="1634"/>
    </row>
    <row r="6274" spans="23:23" s="1629" customFormat="1" ht="24" customHeight="1">
      <c r="W6274" s="1634"/>
    </row>
    <row r="6275" spans="23:23" s="1629" customFormat="1" ht="24" customHeight="1">
      <c r="W6275" s="1634"/>
    </row>
    <row r="6276" spans="23:23" s="1629" customFormat="1" ht="24" customHeight="1">
      <c r="W6276" s="1634"/>
    </row>
    <row r="6277" spans="23:23" s="1629" customFormat="1" ht="24" customHeight="1">
      <c r="W6277" s="1634"/>
    </row>
    <row r="6278" spans="23:23" s="1629" customFormat="1" ht="24" customHeight="1">
      <c r="W6278" s="1634"/>
    </row>
    <row r="6279" spans="23:23" s="1629" customFormat="1" ht="24" customHeight="1">
      <c r="W6279" s="1634"/>
    </row>
    <row r="6280" spans="23:23" s="1629" customFormat="1" ht="24" customHeight="1">
      <c r="W6280" s="1634"/>
    </row>
    <row r="6281" spans="23:23" s="1629" customFormat="1" ht="24" customHeight="1">
      <c r="W6281" s="1634"/>
    </row>
    <row r="6282" spans="23:23" s="1629" customFormat="1" ht="24" customHeight="1">
      <c r="W6282" s="1634"/>
    </row>
    <row r="6283" spans="23:23" s="1629" customFormat="1" ht="24" customHeight="1">
      <c r="W6283" s="1634"/>
    </row>
    <row r="6284" spans="23:23" s="1629" customFormat="1" ht="24" customHeight="1">
      <c r="W6284" s="1634"/>
    </row>
    <row r="6285" spans="23:23" s="1629" customFormat="1" ht="24" customHeight="1">
      <c r="W6285" s="1634"/>
    </row>
    <row r="6286" spans="23:23" s="1629" customFormat="1" ht="24" customHeight="1">
      <c r="W6286" s="1634"/>
    </row>
    <row r="6287" spans="23:23" s="1629" customFormat="1" ht="24" customHeight="1">
      <c r="W6287" s="1634"/>
    </row>
    <row r="6288" spans="23:23" s="1629" customFormat="1" ht="24" customHeight="1">
      <c r="W6288" s="1634"/>
    </row>
    <row r="6289" spans="23:23" s="1629" customFormat="1" ht="24" customHeight="1">
      <c r="W6289" s="1634"/>
    </row>
    <row r="6290" spans="23:23" s="1629" customFormat="1" ht="24" customHeight="1">
      <c r="W6290" s="1634"/>
    </row>
    <row r="6291" spans="23:23" s="1629" customFormat="1" ht="24" customHeight="1">
      <c r="W6291" s="1634"/>
    </row>
    <row r="6292" spans="23:23" s="1629" customFormat="1" ht="24" customHeight="1">
      <c r="W6292" s="1634"/>
    </row>
    <row r="6293" spans="23:23" s="1629" customFormat="1" ht="24" customHeight="1">
      <c r="W6293" s="1634"/>
    </row>
    <row r="6294" spans="23:23" s="1629" customFormat="1" ht="24" customHeight="1">
      <c r="W6294" s="1634"/>
    </row>
    <row r="6295" spans="23:23" s="1629" customFormat="1" ht="24" customHeight="1">
      <c r="W6295" s="1634"/>
    </row>
    <row r="6296" spans="23:23" s="1629" customFormat="1" ht="24" customHeight="1">
      <c r="W6296" s="1634"/>
    </row>
    <row r="6297" spans="23:23" s="1629" customFormat="1" ht="24" customHeight="1">
      <c r="W6297" s="1634"/>
    </row>
    <row r="6298" spans="23:23" s="1629" customFormat="1" ht="24" customHeight="1">
      <c r="W6298" s="1634"/>
    </row>
    <row r="6299" spans="23:23" s="1629" customFormat="1" ht="24" customHeight="1">
      <c r="W6299" s="1634"/>
    </row>
    <row r="6300" spans="23:23" s="1629" customFormat="1" ht="24" customHeight="1">
      <c r="W6300" s="1634"/>
    </row>
    <row r="6301" spans="23:23" s="1629" customFormat="1" ht="24" customHeight="1">
      <c r="W6301" s="1634"/>
    </row>
    <row r="6302" spans="23:23" s="1629" customFormat="1" ht="24" customHeight="1">
      <c r="W6302" s="1634"/>
    </row>
    <row r="6303" spans="23:23" s="1629" customFormat="1" ht="24" customHeight="1">
      <c r="W6303" s="1634"/>
    </row>
    <row r="6304" spans="23:23" s="1629" customFormat="1" ht="24" customHeight="1">
      <c r="W6304" s="1634"/>
    </row>
    <row r="6305" spans="23:23" s="1629" customFormat="1" ht="24" customHeight="1">
      <c r="W6305" s="1634"/>
    </row>
    <row r="6306" spans="23:23" s="1629" customFormat="1" ht="24" customHeight="1">
      <c r="W6306" s="1634"/>
    </row>
    <row r="6307" spans="23:23" s="1629" customFormat="1" ht="24" customHeight="1">
      <c r="W6307" s="1634"/>
    </row>
    <row r="6308" spans="23:23" s="1629" customFormat="1" ht="24" customHeight="1">
      <c r="W6308" s="1634"/>
    </row>
    <row r="6309" spans="23:23" s="1629" customFormat="1" ht="24" customHeight="1">
      <c r="W6309" s="1634"/>
    </row>
    <row r="6310" spans="23:23" s="1629" customFormat="1" ht="24" customHeight="1">
      <c r="W6310" s="1634"/>
    </row>
    <row r="6311" spans="23:23" s="1629" customFormat="1" ht="24" customHeight="1">
      <c r="W6311" s="1634"/>
    </row>
    <row r="6312" spans="23:23" s="1629" customFormat="1" ht="24" customHeight="1">
      <c r="W6312" s="1634"/>
    </row>
    <row r="6313" spans="23:23" s="1629" customFormat="1" ht="24" customHeight="1">
      <c r="W6313" s="1634"/>
    </row>
    <row r="6314" spans="23:23" s="1629" customFormat="1" ht="24" customHeight="1">
      <c r="W6314" s="1634"/>
    </row>
    <row r="6315" spans="23:23" s="1629" customFormat="1" ht="24" customHeight="1">
      <c r="W6315" s="1634"/>
    </row>
    <row r="6316" spans="23:23" s="1629" customFormat="1" ht="24" customHeight="1">
      <c r="W6316" s="1634"/>
    </row>
    <row r="6317" spans="23:23" s="1629" customFormat="1" ht="24" customHeight="1">
      <c r="W6317" s="1634"/>
    </row>
    <row r="6318" spans="23:23" s="1629" customFormat="1" ht="24" customHeight="1">
      <c r="W6318" s="1634"/>
    </row>
    <row r="6319" spans="23:23" s="1629" customFormat="1" ht="24" customHeight="1">
      <c r="W6319" s="1634"/>
    </row>
    <row r="6320" spans="23:23" s="1629" customFormat="1" ht="24" customHeight="1">
      <c r="W6320" s="1634"/>
    </row>
    <row r="6321" spans="23:23" s="1629" customFormat="1" ht="24" customHeight="1">
      <c r="W6321" s="1634"/>
    </row>
    <row r="6322" spans="23:23" s="1629" customFormat="1" ht="24" customHeight="1">
      <c r="W6322" s="1634"/>
    </row>
    <row r="6323" spans="23:23" s="1629" customFormat="1" ht="24" customHeight="1">
      <c r="W6323" s="1634"/>
    </row>
    <row r="6324" spans="23:23" s="1629" customFormat="1" ht="24" customHeight="1">
      <c r="W6324" s="1634"/>
    </row>
    <row r="6325" spans="23:23" s="1629" customFormat="1" ht="24" customHeight="1">
      <c r="W6325" s="1634"/>
    </row>
    <row r="6326" spans="23:23" s="1629" customFormat="1" ht="24" customHeight="1">
      <c r="W6326" s="1634"/>
    </row>
    <row r="6327" spans="23:23" s="1629" customFormat="1" ht="24" customHeight="1">
      <c r="W6327" s="1634"/>
    </row>
    <row r="6328" spans="23:23" s="1629" customFormat="1" ht="24" customHeight="1">
      <c r="W6328" s="1634"/>
    </row>
    <row r="6329" spans="23:23" s="1629" customFormat="1" ht="24" customHeight="1">
      <c r="W6329" s="1634"/>
    </row>
    <row r="6330" spans="23:23" s="1629" customFormat="1" ht="24" customHeight="1">
      <c r="W6330" s="1634"/>
    </row>
    <row r="6331" spans="23:23" s="1629" customFormat="1" ht="24" customHeight="1">
      <c r="W6331" s="1634"/>
    </row>
    <row r="6332" spans="23:23" s="1629" customFormat="1" ht="24" customHeight="1">
      <c r="W6332" s="1634"/>
    </row>
    <row r="6333" spans="23:23" s="1629" customFormat="1" ht="24" customHeight="1">
      <c r="W6333" s="1634"/>
    </row>
    <row r="6334" spans="23:23" s="1629" customFormat="1" ht="24" customHeight="1">
      <c r="W6334" s="1634"/>
    </row>
    <row r="6335" spans="23:23" s="1629" customFormat="1" ht="24" customHeight="1">
      <c r="W6335" s="1634"/>
    </row>
    <row r="6336" spans="23:23" s="1629" customFormat="1" ht="24" customHeight="1">
      <c r="W6336" s="1634"/>
    </row>
    <row r="6337" spans="23:23" s="1629" customFormat="1" ht="24" customHeight="1">
      <c r="W6337" s="1634"/>
    </row>
    <row r="6338" spans="23:23" s="1629" customFormat="1" ht="24" customHeight="1">
      <c r="W6338" s="1634"/>
    </row>
    <row r="6339" spans="23:23" s="1629" customFormat="1" ht="24" customHeight="1">
      <c r="W6339" s="1634"/>
    </row>
    <row r="6340" spans="23:23" s="1629" customFormat="1" ht="24" customHeight="1">
      <c r="W6340" s="1634"/>
    </row>
    <row r="6341" spans="23:23" s="1629" customFormat="1" ht="24" customHeight="1">
      <c r="W6341" s="1634"/>
    </row>
    <row r="6342" spans="23:23" s="1629" customFormat="1" ht="24" customHeight="1">
      <c r="W6342" s="1634"/>
    </row>
    <row r="6343" spans="23:23" s="1629" customFormat="1" ht="24" customHeight="1">
      <c r="W6343" s="1634"/>
    </row>
    <row r="6344" spans="23:23" s="1629" customFormat="1" ht="24" customHeight="1">
      <c r="W6344" s="1634"/>
    </row>
    <row r="6345" spans="23:23" s="1629" customFormat="1" ht="24" customHeight="1">
      <c r="W6345" s="1634"/>
    </row>
    <row r="6346" spans="23:23" s="1629" customFormat="1" ht="24" customHeight="1">
      <c r="W6346" s="1634"/>
    </row>
    <row r="6347" spans="23:23" s="1629" customFormat="1" ht="24" customHeight="1">
      <c r="W6347" s="1634"/>
    </row>
    <row r="6348" spans="23:23" s="1629" customFormat="1" ht="24" customHeight="1">
      <c r="W6348" s="1634"/>
    </row>
    <row r="6349" spans="23:23" s="1629" customFormat="1" ht="24" customHeight="1">
      <c r="W6349" s="1634"/>
    </row>
    <row r="6350" spans="23:23" s="1629" customFormat="1" ht="24" customHeight="1">
      <c r="W6350" s="1634"/>
    </row>
    <row r="6351" spans="23:23" s="1629" customFormat="1" ht="24" customHeight="1">
      <c r="W6351" s="1634"/>
    </row>
    <row r="6352" spans="23:23" s="1629" customFormat="1" ht="24" customHeight="1">
      <c r="W6352" s="1634"/>
    </row>
    <row r="6353" spans="23:23" s="1629" customFormat="1" ht="24" customHeight="1">
      <c r="W6353" s="1634"/>
    </row>
    <row r="6354" spans="23:23" s="1629" customFormat="1" ht="24" customHeight="1">
      <c r="W6354" s="1634"/>
    </row>
    <row r="6355" spans="23:23" s="1629" customFormat="1" ht="24" customHeight="1">
      <c r="W6355" s="1634"/>
    </row>
    <row r="6356" spans="23:23" s="1629" customFormat="1" ht="24" customHeight="1">
      <c r="W6356" s="1634"/>
    </row>
    <row r="6357" spans="23:23" s="1629" customFormat="1" ht="24" customHeight="1">
      <c r="W6357" s="1634"/>
    </row>
    <row r="6358" spans="23:23" s="1629" customFormat="1" ht="24" customHeight="1">
      <c r="W6358" s="1634"/>
    </row>
    <row r="6359" spans="23:23" s="1629" customFormat="1" ht="24" customHeight="1">
      <c r="W6359" s="1634"/>
    </row>
    <row r="6360" spans="23:23" s="1629" customFormat="1" ht="24" customHeight="1">
      <c r="W6360" s="1634"/>
    </row>
    <row r="6361" spans="23:23" s="1629" customFormat="1" ht="24" customHeight="1">
      <c r="W6361" s="1634"/>
    </row>
    <row r="6362" spans="23:23" s="1629" customFormat="1" ht="24" customHeight="1">
      <c r="W6362" s="1634"/>
    </row>
    <row r="6363" spans="23:23" s="1629" customFormat="1" ht="24" customHeight="1">
      <c r="W6363" s="1634"/>
    </row>
    <row r="6364" spans="23:23" s="1629" customFormat="1" ht="24" customHeight="1">
      <c r="W6364" s="1634"/>
    </row>
    <row r="6365" spans="23:23" s="1629" customFormat="1" ht="24" customHeight="1">
      <c r="W6365" s="1634"/>
    </row>
    <row r="6366" spans="23:23" s="1629" customFormat="1" ht="24" customHeight="1">
      <c r="W6366" s="1634"/>
    </row>
    <row r="6367" spans="23:23" s="1629" customFormat="1" ht="24" customHeight="1">
      <c r="W6367" s="1634"/>
    </row>
    <row r="6368" spans="23:23" s="1629" customFormat="1" ht="24" customHeight="1">
      <c r="W6368" s="1634"/>
    </row>
    <row r="6369" spans="23:23" s="1629" customFormat="1" ht="24" customHeight="1">
      <c r="W6369" s="1634"/>
    </row>
    <row r="6370" spans="23:23" s="1629" customFormat="1" ht="24" customHeight="1">
      <c r="W6370" s="1634"/>
    </row>
    <row r="6371" spans="23:23" s="1629" customFormat="1" ht="24" customHeight="1">
      <c r="W6371" s="1634"/>
    </row>
    <row r="6372" spans="23:23" s="1629" customFormat="1" ht="24" customHeight="1">
      <c r="W6372" s="1634"/>
    </row>
    <row r="6373" spans="23:23" s="1629" customFormat="1" ht="24" customHeight="1">
      <c r="W6373" s="1634"/>
    </row>
    <row r="6374" spans="23:23" s="1629" customFormat="1" ht="24" customHeight="1">
      <c r="W6374" s="1634"/>
    </row>
    <row r="6375" spans="23:23" s="1629" customFormat="1" ht="24" customHeight="1">
      <c r="W6375" s="1634"/>
    </row>
    <row r="6376" spans="23:23" s="1629" customFormat="1" ht="24" customHeight="1">
      <c r="W6376" s="1634"/>
    </row>
    <row r="6377" spans="23:23" s="1629" customFormat="1" ht="24" customHeight="1">
      <c r="W6377" s="1634"/>
    </row>
    <row r="6378" spans="23:23" s="1629" customFormat="1" ht="24" customHeight="1">
      <c r="W6378" s="1634"/>
    </row>
    <row r="6379" spans="23:23" s="1629" customFormat="1" ht="24" customHeight="1">
      <c r="W6379" s="1634"/>
    </row>
    <row r="6380" spans="23:23" s="1629" customFormat="1" ht="24" customHeight="1">
      <c r="W6380" s="1634"/>
    </row>
    <row r="6381" spans="23:23" s="1629" customFormat="1" ht="24" customHeight="1">
      <c r="W6381" s="1634"/>
    </row>
    <row r="6382" spans="23:23" s="1629" customFormat="1" ht="24" customHeight="1">
      <c r="W6382" s="1634"/>
    </row>
    <row r="6383" spans="23:23" s="1629" customFormat="1" ht="24" customHeight="1">
      <c r="W6383" s="1634"/>
    </row>
    <row r="6384" spans="23:23" s="1629" customFormat="1" ht="24" customHeight="1">
      <c r="W6384" s="1634"/>
    </row>
    <row r="6385" spans="23:23" s="1629" customFormat="1" ht="24" customHeight="1">
      <c r="W6385" s="1634"/>
    </row>
    <row r="6386" spans="23:23" s="1629" customFormat="1" ht="24" customHeight="1">
      <c r="W6386" s="1634"/>
    </row>
    <row r="6387" spans="23:23" s="1629" customFormat="1" ht="24" customHeight="1">
      <c r="W6387" s="1634"/>
    </row>
    <row r="6388" spans="23:23" s="1629" customFormat="1" ht="24" customHeight="1">
      <c r="W6388" s="1634"/>
    </row>
    <row r="6389" spans="23:23" s="1629" customFormat="1" ht="24" customHeight="1">
      <c r="W6389" s="1634"/>
    </row>
    <row r="6390" spans="23:23" s="1629" customFormat="1" ht="24" customHeight="1">
      <c r="W6390" s="1634"/>
    </row>
    <row r="6391" spans="23:23" s="1629" customFormat="1" ht="24" customHeight="1">
      <c r="W6391" s="1634"/>
    </row>
    <row r="6392" spans="23:23" s="1629" customFormat="1" ht="24" customHeight="1">
      <c r="W6392" s="1634"/>
    </row>
    <row r="6393" spans="23:23" s="1629" customFormat="1" ht="24" customHeight="1">
      <c r="W6393" s="1634"/>
    </row>
    <row r="6394" spans="23:23" s="1629" customFormat="1" ht="24" customHeight="1">
      <c r="W6394" s="1634"/>
    </row>
    <row r="6395" spans="23:23" s="1629" customFormat="1" ht="24" customHeight="1">
      <c r="W6395" s="1634"/>
    </row>
    <row r="6396" spans="23:23" s="1629" customFormat="1" ht="24" customHeight="1">
      <c r="W6396" s="1634"/>
    </row>
    <row r="6397" spans="23:23" s="1629" customFormat="1" ht="24" customHeight="1">
      <c r="W6397" s="1634"/>
    </row>
    <row r="6398" spans="23:23" s="1629" customFormat="1" ht="24" customHeight="1">
      <c r="W6398" s="1634"/>
    </row>
    <row r="6399" spans="23:23" s="1629" customFormat="1" ht="24" customHeight="1">
      <c r="W6399" s="1634"/>
    </row>
    <row r="6400" spans="23:23" s="1629" customFormat="1" ht="24" customHeight="1">
      <c r="W6400" s="1634"/>
    </row>
    <row r="6401" spans="23:23" s="1629" customFormat="1" ht="24" customHeight="1">
      <c r="W6401" s="1634"/>
    </row>
    <row r="6402" spans="23:23" s="1629" customFormat="1" ht="24" customHeight="1">
      <c r="W6402" s="1634"/>
    </row>
    <row r="6403" spans="23:23" s="1629" customFormat="1" ht="24" customHeight="1">
      <c r="W6403" s="1634"/>
    </row>
    <row r="6404" spans="23:23" s="1629" customFormat="1" ht="24" customHeight="1">
      <c r="W6404" s="1634"/>
    </row>
    <row r="6405" spans="23:23" s="1629" customFormat="1" ht="24" customHeight="1">
      <c r="W6405" s="1634"/>
    </row>
    <row r="6406" spans="23:23" s="1629" customFormat="1" ht="24" customHeight="1">
      <c r="W6406" s="1634"/>
    </row>
    <row r="6407" spans="23:23" s="1629" customFormat="1" ht="24" customHeight="1">
      <c r="W6407" s="1634"/>
    </row>
    <row r="6408" spans="23:23" s="1629" customFormat="1" ht="24" customHeight="1">
      <c r="W6408" s="1634"/>
    </row>
    <row r="6409" spans="23:23" s="1629" customFormat="1" ht="24" customHeight="1">
      <c r="W6409" s="1634"/>
    </row>
    <row r="6410" spans="23:23" s="1629" customFormat="1" ht="24" customHeight="1">
      <c r="W6410" s="1634"/>
    </row>
    <row r="6411" spans="23:23" s="1629" customFormat="1" ht="24" customHeight="1">
      <c r="W6411" s="1634"/>
    </row>
    <row r="6412" spans="23:23" s="1629" customFormat="1" ht="24" customHeight="1">
      <c r="W6412" s="1634"/>
    </row>
    <row r="6413" spans="23:23" s="1629" customFormat="1" ht="24" customHeight="1">
      <c r="W6413" s="1634"/>
    </row>
    <row r="6414" spans="23:23" s="1629" customFormat="1" ht="24" customHeight="1">
      <c r="W6414" s="1634"/>
    </row>
    <row r="6415" spans="23:23" s="1629" customFormat="1" ht="24" customHeight="1">
      <c r="W6415" s="1634"/>
    </row>
    <row r="6416" spans="23:23" s="1629" customFormat="1" ht="24" customHeight="1">
      <c r="W6416" s="1634"/>
    </row>
    <row r="6417" spans="23:23" s="1629" customFormat="1" ht="24" customHeight="1">
      <c r="W6417" s="1634"/>
    </row>
    <row r="6418" spans="23:23" s="1629" customFormat="1" ht="24" customHeight="1">
      <c r="W6418" s="1634"/>
    </row>
    <row r="6419" spans="23:23" s="1629" customFormat="1" ht="24" customHeight="1">
      <c r="W6419" s="1634"/>
    </row>
    <row r="6420" spans="23:23" s="1629" customFormat="1" ht="24" customHeight="1">
      <c r="W6420" s="1634"/>
    </row>
    <row r="6421" spans="23:23" s="1629" customFormat="1" ht="24" customHeight="1">
      <c r="W6421" s="1634"/>
    </row>
    <row r="6422" spans="23:23" s="1629" customFormat="1" ht="24" customHeight="1">
      <c r="W6422" s="1634"/>
    </row>
    <row r="6423" spans="23:23" s="1629" customFormat="1" ht="24" customHeight="1">
      <c r="W6423" s="1634"/>
    </row>
    <row r="6424" spans="23:23" s="1629" customFormat="1" ht="24" customHeight="1">
      <c r="W6424" s="1634"/>
    </row>
    <row r="6425" spans="23:23" s="1629" customFormat="1" ht="24" customHeight="1">
      <c r="W6425" s="1634"/>
    </row>
    <row r="6426" spans="23:23" s="1629" customFormat="1" ht="24" customHeight="1">
      <c r="W6426" s="1634"/>
    </row>
    <row r="6427" spans="23:23" s="1629" customFormat="1" ht="24" customHeight="1">
      <c r="W6427" s="1634"/>
    </row>
    <row r="6428" spans="23:23" s="1629" customFormat="1" ht="24" customHeight="1">
      <c r="W6428" s="1634"/>
    </row>
    <row r="6429" spans="23:23" s="1629" customFormat="1" ht="24" customHeight="1">
      <c r="W6429" s="1634"/>
    </row>
    <row r="6430" spans="23:23" s="1629" customFormat="1" ht="24" customHeight="1">
      <c r="W6430" s="1634"/>
    </row>
    <row r="6431" spans="23:23" s="1629" customFormat="1" ht="24" customHeight="1">
      <c r="W6431" s="1634"/>
    </row>
    <row r="6432" spans="23:23" s="1629" customFormat="1" ht="24" customHeight="1">
      <c r="W6432" s="1634"/>
    </row>
    <row r="6433" spans="23:23" s="1629" customFormat="1" ht="24" customHeight="1">
      <c r="W6433" s="1634"/>
    </row>
    <row r="6434" spans="23:23" s="1629" customFormat="1" ht="24" customHeight="1">
      <c r="W6434" s="1634"/>
    </row>
    <row r="6435" spans="23:23" s="1629" customFormat="1" ht="24" customHeight="1">
      <c r="W6435" s="1634"/>
    </row>
    <row r="6436" spans="23:23" s="1629" customFormat="1" ht="24" customHeight="1">
      <c r="W6436" s="1634"/>
    </row>
    <row r="6437" spans="23:23" s="1629" customFormat="1" ht="24" customHeight="1">
      <c r="W6437" s="1634"/>
    </row>
    <row r="6438" spans="23:23" s="1629" customFormat="1" ht="24" customHeight="1">
      <c r="W6438" s="1634"/>
    </row>
    <row r="6439" spans="23:23" s="1629" customFormat="1" ht="24" customHeight="1">
      <c r="W6439" s="1634"/>
    </row>
    <row r="6440" spans="23:23" s="1629" customFormat="1" ht="24" customHeight="1">
      <c r="W6440" s="1634"/>
    </row>
    <row r="6441" spans="23:23" s="1629" customFormat="1" ht="24" customHeight="1">
      <c r="W6441" s="1634"/>
    </row>
    <row r="6442" spans="23:23" s="1629" customFormat="1" ht="24" customHeight="1">
      <c r="W6442" s="1634"/>
    </row>
    <row r="6443" spans="23:23" s="1629" customFormat="1" ht="24" customHeight="1">
      <c r="W6443" s="1634"/>
    </row>
    <row r="6444" spans="23:23" s="1629" customFormat="1" ht="24" customHeight="1">
      <c r="W6444" s="1634"/>
    </row>
    <row r="6445" spans="23:23" s="1629" customFormat="1" ht="24" customHeight="1">
      <c r="W6445" s="1634"/>
    </row>
    <row r="6446" spans="23:23" s="1629" customFormat="1" ht="24" customHeight="1">
      <c r="W6446" s="1634"/>
    </row>
    <row r="6447" spans="23:23" s="1629" customFormat="1" ht="24" customHeight="1">
      <c r="W6447" s="1634"/>
    </row>
    <row r="6448" spans="23:23" s="1629" customFormat="1" ht="24" customHeight="1">
      <c r="W6448" s="1634"/>
    </row>
    <row r="6449" spans="23:23" s="1629" customFormat="1" ht="24" customHeight="1">
      <c r="W6449" s="1634"/>
    </row>
    <row r="6450" spans="23:23" s="1629" customFormat="1" ht="24" customHeight="1">
      <c r="W6450" s="1634"/>
    </row>
    <row r="6451" spans="23:23" s="1629" customFormat="1" ht="24" customHeight="1">
      <c r="W6451" s="1634"/>
    </row>
    <row r="6452" spans="23:23" s="1629" customFormat="1" ht="24" customHeight="1">
      <c r="W6452" s="1634"/>
    </row>
    <row r="6453" spans="23:23" s="1629" customFormat="1" ht="24" customHeight="1">
      <c r="W6453" s="1634"/>
    </row>
    <row r="6454" spans="23:23" s="1629" customFormat="1" ht="24" customHeight="1">
      <c r="W6454" s="1634"/>
    </row>
    <row r="6455" spans="23:23" s="1629" customFormat="1" ht="24" customHeight="1">
      <c r="W6455" s="1634"/>
    </row>
    <row r="6456" spans="23:23" s="1629" customFormat="1" ht="24" customHeight="1">
      <c r="W6456" s="1634"/>
    </row>
    <row r="6457" spans="23:23" s="1629" customFormat="1" ht="24" customHeight="1">
      <c r="W6457" s="1634"/>
    </row>
    <row r="6458" spans="23:23" s="1629" customFormat="1" ht="24" customHeight="1">
      <c r="W6458" s="1634"/>
    </row>
    <row r="6459" spans="23:23" s="1629" customFormat="1" ht="24" customHeight="1">
      <c r="W6459" s="1634"/>
    </row>
    <row r="6460" spans="23:23" s="1629" customFormat="1" ht="24" customHeight="1">
      <c r="W6460" s="1634"/>
    </row>
    <row r="6461" spans="23:23" s="1629" customFormat="1" ht="24" customHeight="1">
      <c r="W6461" s="1634"/>
    </row>
    <row r="6462" spans="23:23" s="1629" customFormat="1" ht="24" customHeight="1">
      <c r="W6462" s="1634"/>
    </row>
    <row r="6463" spans="23:23" s="1629" customFormat="1" ht="24" customHeight="1">
      <c r="W6463" s="1634"/>
    </row>
    <row r="6464" spans="23:23" s="1629" customFormat="1" ht="24" customHeight="1">
      <c r="W6464" s="1634"/>
    </row>
    <row r="6465" spans="23:23" s="1629" customFormat="1" ht="24" customHeight="1">
      <c r="W6465" s="1634"/>
    </row>
    <row r="6466" spans="23:23" s="1629" customFormat="1" ht="24" customHeight="1">
      <c r="W6466" s="1634"/>
    </row>
    <row r="6467" spans="23:23" s="1629" customFormat="1" ht="24" customHeight="1">
      <c r="W6467" s="1634"/>
    </row>
    <row r="6468" spans="23:23" s="1629" customFormat="1" ht="24" customHeight="1">
      <c r="W6468" s="1634"/>
    </row>
    <row r="6469" spans="23:23" s="1629" customFormat="1" ht="24" customHeight="1">
      <c r="W6469" s="1634"/>
    </row>
    <row r="6470" spans="23:23" s="1629" customFormat="1" ht="24" customHeight="1">
      <c r="W6470" s="1634"/>
    </row>
    <row r="6471" spans="23:23" s="1629" customFormat="1" ht="24" customHeight="1">
      <c r="W6471" s="1634"/>
    </row>
    <row r="6472" spans="23:23" s="1629" customFormat="1" ht="24" customHeight="1">
      <c r="W6472" s="1634"/>
    </row>
    <row r="6473" spans="23:23" s="1629" customFormat="1" ht="24" customHeight="1">
      <c r="W6473" s="1634"/>
    </row>
    <row r="6474" spans="23:23" s="1629" customFormat="1" ht="24" customHeight="1">
      <c r="W6474" s="1634"/>
    </row>
    <row r="6475" spans="23:23" s="1629" customFormat="1" ht="24" customHeight="1">
      <c r="W6475" s="1634"/>
    </row>
    <row r="6476" spans="23:23" s="1629" customFormat="1" ht="24" customHeight="1">
      <c r="W6476" s="1634"/>
    </row>
    <row r="6477" spans="23:23" s="1629" customFormat="1" ht="24" customHeight="1">
      <c r="W6477" s="1634"/>
    </row>
    <row r="6478" spans="23:23" s="1629" customFormat="1" ht="24" customHeight="1">
      <c r="W6478" s="1634"/>
    </row>
    <row r="6479" spans="23:23" s="1629" customFormat="1" ht="24" customHeight="1">
      <c r="W6479" s="1634"/>
    </row>
    <row r="6480" spans="23:23" s="1629" customFormat="1" ht="24" customHeight="1">
      <c r="W6480" s="1634"/>
    </row>
    <row r="6481" spans="23:23" s="1629" customFormat="1" ht="24" customHeight="1">
      <c r="W6481" s="1634"/>
    </row>
    <row r="6482" spans="23:23" s="1629" customFormat="1" ht="24" customHeight="1">
      <c r="W6482" s="1634"/>
    </row>
    <row r="6483" spans="23:23" s="1629" customFormat="1" ht="24" customHeight="1">
      <c r="W6483" s="1634"/>
    </row>
    <row r="6484" spans="23:23" s="1629" customFormat="1" ht="24" customHeight="1">
      <c r="W6484" s="1634"/>
    </row>
    <row r="6485" spans="23:23" s="1629" customFormat="1" ht="24" customHeight="1">
      <c r="W6485" s="1634"/>
    </row>
    <row r="6486" spans="23:23" s="1629" customFormat="1" ht="24" customHeight="1">
      <c r="W6486" s="1634"/>
    </row>
    <row r="6487" spans="23:23" s="1629" customFormat="1" ht="24" customHeight="1">
      <c r="W6487" s="1634"/>
    </row>
    <row r="6488" spans="23:23" s="1629" customFormat="1" ht="24" customHeight="1">
      <c r="W6488" s="1634"/>
    </row>
    <row r="6489" spans="23:23" s="1629" customFormat="1" ht="24" customHeight="1">
      <c r="W6489" s="1634"/>
    </row>
    <row r="6490" spans="23:23" s="1629" customFormat="1" ht="24" customHeight="1">
      <c r="W6490" s="1634"/>
    </row>
    <row r="6491" spans="23:23" s="1629" customFormat="1" ht="24" customHeight="1">
      <c r="W6491" s="1634"/>
    </row>
    <row r="6492" spans="23:23" s="1629" customFormat="1" ht="24" customHeight="1">
      <c r="W6492" s="1634"/>
    </row>
    <row r="6493" spans="23:23" s="1629" customFormat="1" ht="24" customHeight="1">
      <c r="W6493" s="1634"/>
    </row>
    <row r="6494" spans="23:23" s="1629" customFormat="1" ht="24" customHeight="1">
      <c r="W6494" s="1634"/>
    </row>
    <row r="6495" spans="23:23" s="1629" customFormat="1" ht="24" customHeight="1">
      <c r="W6495" s="1634"/>
    </row>
    <row r="6496" spans="23:23" s="1629" customFormat="1" ht="24" customHeight="1">
      <c r="W6496" s="1634"/>
    </row>
    <row r="6497" spans="23:23" s="1629" customFormat="1" ht="24" customHeight="1">
      <c r="W6497" s="1634"/>
    </row>
    <row r="6498" spans="23:23" s="1629" customFormat="1" ht="24" customHeight="1">
      <c r="W6498" s="1634"/>
    </row>
    <row r="6499" spans="23:23" s="1629" customFormat="1" ht="24" customHeight="1">
      <c r="W6499" s="1634"/>
    </row>
    <row r="6500" spans="23:23" s="1629" customFormat="1" ht="24" customHeight="1">
      <c r="W6500" s="1634"/>
    </row>
    <row r="6501" spans="23:23" s="1629" customFormat="1" ht="24" customHeight="1">
      <c r="W6501" s="1634"/>
    </row>
    <row r="6502" spans="23:23" s="1629" customFormat="1" ht="24" customHeight="1">
      <c r="W6502" s="1634"/>
    </row>
    <row r="6503" spans="23:23" s="1629" customFormat="1" ht="24" customHeight="1">
      <c r="W6503" s="1634"/>
    </row>
    <row r="6504" spans="23:23" s="1629" customFormat="1" ht="24" customHeight="1">
      <c r="W6504" s="1634"/>
    </row>
    <row r="6505" spans="23:23" s="1629" customFormat="1" ht="24" customHeight="1">
      <c r="W6505" s="1634"/>
    </row>
    <row r="6506" spans="23:23" s="1629" customFormat="1" ht="24" customHeight="1">
      <c r="W6506" s="1634"/>
    </row>
    <row r="6507" spans="23:23" s="1629" customFormat="1" ht="24" customHeight="1">
      <c r="W6507" s="1634"/>
    </row>
    <row r="6508" spans="23:23" s="1629" customFormat="1" ht="24" customHeight="1">
      <c r="W6508" s="1634"/>
    </row>
    <row r="6509" spans="23:23" s="1629" customFormat="1" ht="24" customHeight="1">
      <c r="W6509" s="1634"/>
    </row>
    <row r="6510" spans="23:23" s="1629" customFormat="1" ht="24" customHeight="1">
      <c r="W6510" s="1634"/>
    </row>
    <row r="6511" spans="23:23" s="1629" customFormat="1" ht="24" customHeight="1">
      <c r="W6511" s="1634"/>
    </row>
    <row r="6512" spans="23:23" s="1629" customFormat="1" ht="24" customHeight="1">
      <c r="W6512" s="1634"/>
    </row>
    <row r="6513" spans="23:23" s="1629" customFormat="1" ht="24" customHeight="1">
      <c r="W6513" s="1634"/>
    </row>
    <row r="6514" spans="23:23" s="1629" customFormat="1" ht="24" customHeight="1">
      <c r="W6514" s="1634"/>
    </row>
    <row r="6515" spans="23:23" s="1629" customFormat="1" ht="24" customHeight="1">
      <c r="W6515" s="1634"/>
    </row>
    <row r="6516" spans="23:23" s="1629" customFormat="1" ht="24" customHeight="1">
      <c r="W6516" s="1634"/>
    </row>
    <row r="6517" spans="23:23" s="1629" customFormat="1" ht="24" customHeight="1">
      <c r="W6517" s="1634"/>
    </row>
    <row r="6518" spans="23:23" s="1629" customFormat="1" ht="24" customHeight="1">
      <c r="W6518" s="1634"/>
    </row>
    <row r="6519" spans="23:23" s="1629" customFormat="1" ht="24" customHeight="1">
      <c r="W6519" s="1634"/>
    </row>
    <row r="6520" spans="23:23" s="1629" customFormat="1" ht="24" customHeight="1">
      <c r="W6520" s="1634"/>
    </row>
    <row r="6521" spans="23:23" s="1629" customFormat="1" ht="24" customHeight="1">
      <c r="W6521" s="1634"/>
    </row>
    <row r="6522" spans="23:23" s="1629" customFormat="1" ht="24" customHeight="1">
      <c r="W6522" s="1634"/>
    </row>
    <row r="6523" spans="23:23" s="1629" customFormat="1" ht="24" customHeight="1">
      <c r="W6523" s="1634"/>
    </row>
    <row r="6524" spans="23:23" s="1629" customFormat="1" ht="24" customHeight="1">
      <c r="W6524" s="1634"/>
    </row>
    <row r="6525" spans="23:23" s="1629" customFormat="1" ht="24" customHeight="1">
      <c r="W6525" s="1634"/>
    </row>
    <row r="6526" spans="23:23" s="1629" customFormat="1" ht="24" customHeight="1">
      <c r="W6526" s="1634"/>
    </row>
    <row r="6527" spans="23:23" s="1629" customFormat="1" ht="24" customHeight="1">
      <c r="W6527" s="1634"/>
    </row>
    <row r="6528" spans="23:23" s="1629" customFormat="1" ht="24" customHeight="1">
      <c r="W6528" s="1634"/>
    </row>
    <row r="6529" spans="23:23" s="1629" customFormat="1" ht="24" customHeight="1">
      <c r="W6529" s="1634"/>
    </row>
    <row r="6530" spans="23:23" s="1629" customFormat="1" ht="24" customHeight="1">
      <c r="W6530" s="1634"/>
    </row>
    <row r="6531" spans="23:23" s="1629" customFormat="1" ht="24" customHeight="1">
      <c r="W6531" s="1634"/>
    </row>
    <row r="6532" spans="23:23" s="1629" customFormat="1" ht="24" customHeight="1">
      <c r="W6532" s="1634"/>
    </row>
    <row r="6533" spans="23:23" s="1629" customFormat="1" ht="24" customHeight="1">
      <c r="W6533" s="1634"/>
    </row>
    <row r="6534" spans="23:23" s="1629" customFormat="1" ht="24" customHeight="1">
      <c r="W6534" s="1634"/>
    </row>
    <row r="6535" spans="23:23" s="1629" customFormat="1" ht="24" customHeight="1">
      <c r="W6535" s="1634"/>
    </row>
    <row r="6536" spans="23:23" s="1629" customFormat="1" ht="24" customHeight="1">
      <c r="W6536" s="1634"/>
    </row>
    <row r="6537" spans="23:23" s="1629" customFormat="1" ht="24" customHeight="1">
      <c r="W6537" s="1634"/>
    </row>
    <row r="6538" spans="23:23" s="1629" customFormat="1" ht="24" customHeight="1">
      <c r="W6538" s="1634"/>
    </row>
    <row r="6539" spans="23:23" s="1629" customFormat="1" ht="24" customHeight="1">
      <c r="W6539" s="1634"/>
    </row>
    <row r="6540" spans="23:23" s="1629" customFormat="1" ht="24" customHeight="1">
      <c r="W6540" s="1634"/>
    </row>
    <row r="6541" spans="23:23" s="1629" customFormat="1" ht="24" customHeight="1">
      <c r="W6541" s="1634"/>
    </row>
    <row r="6542" spans="23:23" s="1629" customFormat="1" ht="24" customHeight="1">
      <c r="W6542" s="1634"/>
    </row>
    <row r="6543" spans="23:23" s="1629" customFormat="1" ht="24" customHeight="1">
      <c r="W6543" s="1634"/>
    </row>
    <row r="6544" spans="23:23" s="1629" customFormat="1" ht="24" customHeight="1">
      <c r="W6544" s="1634"/>
    </row>
    <row r="6545" spans="23:23" s="1629" customFormat="1" ht="24" customHeight="1">
      <c r="W6545" s="1634"/>
    </row>
    <row r="6546" spans="23:23" s="1629" customFormat="1" ht="24" customHeight="1">
      <c r="W6546" s="1634"/>
    </row>
    <row r="6547" spans="23:23" s="1629" customFormat="1" ht="24" customHeight="1">
      <c r="W6547" s="1634"/>
    </row>
    <row r="6548" spans="23:23" s="1629" customFormat="1" ht="24" customHeight="1">
      <c r="W6548" s="1634"/>
    </row>
    <row r="6549" spans="23:23" s="1629" customFormat="1" ht="24" customHeight="1">
      <c r="W6549" s="1634"/>
    </row>
    <row r="6550" spans="23:23" s="1629" customFormat="1" ht="24" customHeight="1">
      <c r="W6550" s="1634"/>
    </row>
    <row r="6551" spans="23:23" s="1629" customFormat="1" ht="24" customHeight="1">
      <c r="W6551" s="1634"/>
    </row>
    <row r="6552" spans="23:23" s="1629" customFormat="1" ht="24" customHeight="1">
      <c r="W6552" s="1634"/>
    </row>
    <row r="6553" spans="23:23" s="1629" customFormat="1" ht="24" customHeight="1">
      <c r="W6553" s="1634"/>
    </row>
    <row r="6554" spans="23:23" s="1629" customFormat="1" ht="24" customHeight="1">
      <c r="W6554" s="1634"/>
    </row>
    <row r="6555" spans="23:23" s="1629" customFormat="1" ht="24" customHeight="1">
      <c r="W6555" s="1634"/>
    </row>
    <row r="6556" spans="23:23" s="1629" customFormat="1" ht="24" customHeight="1">
      <c r="W6556" s="1634"/>
    </row>
    <row r="6557" spans="23:23" s="1629" customFormat="1" ht="24" customHeight="1">
      <c r="W6557" s="1634"/>
    </row>
    <row r="6558" spans="23:23" s="1629" customFormat="1" ht="24" customHeight="1">
      <c r="W6558" s="1634"/>
    </row>
    <row r="6559" spans="23:23" s="1629" customFormat="1" ht="24" customHeight="1">
      <c r="W6559" s="1634"/>
    </row>
    <row r="6560" spans="23:23" s="1629" customFormat="1" ht="24" customHeight="1">
      <c r="W6560" s="1634"/>
    </row>
    <row r="6561" spans="23:23" s="1629" customFormat="1" ht="24" customHeight="1">
      <c r="W6561" s="1634"/>
    </row>
    <row r="6562" spans="23:23" s="1629" customFormat="1" ht="24" customHeight="1">
      <c r="W6562" s="1634"/>
    </row>
    <row r="6563" spans="23:23" s="1629" customFormat="1" ht="24" customHeight="1">
      <c r="W6563" s="1634"/>
    </row>
    <row r="6564" spans="23:23" s="1629" customFormat="1" ht="24" customHeight="1">
      <c r="W6564" s="1634"/>
    </row>
    <row r="6565" spans="23:23" s="1629" customFormat="1" ht="24" customHeight="1">
      <c r="W6565" s="1634"/>
    </row>
    <row r="6566" spans="23:23" s="1629" customFormat="1" ht="24" customHeight="1">
      <c r="W6566" s="1634"/>
    </row>
    <row r="6567" spans="23:23" s="1629" customFormat="1" ht="24" customHeight="1">
      <c r="W6567" s="1634"/>
    </row>
    <row r="6568" spans="23:23" s="1629" customFormat="1" ht="24" customHeight="1">
      <c r="W6568" s="1634"/>
    </row>
    <row r="6569" spans="23:23" s="1629" customFormat="1" ht="24" customHeight="1">
      <c r="W6569" s="1634"/>
    </row>
    <row r="6570" spans="23:23" s="1629" customFormat="1" ht="24" customHeight="1">
      <c r="W6570" s="1634"/>
    </row>
    <row r="6571" spans="23:23" s="1629" customFormat="1" ht="24" customHeight="1">
      <c r="W6571" s="1634"/>
    </row>
    <row r="6572" spans="23:23" s="1629" customFormat="1" ht="24" customHeight="1">
      <c r="W6572" s="1634"/>
    </row>
    <row r="6573" spans="23:23" s="1629" customFormat="1" ht="24" customHeight="1">
      <c r="W6573" s="1634"/>
    </row>
    <row r="6574" spans="23:23" s="1629" customFormat="1" ht="24" customHeight="1">
      <c r="W6574" s="1634"/>
    </row>
    <row r="6575" spans="23:23" s="1629" customFormat="1" ht="24" customHeight="1">
      <c r="W6575" s="1634"/>
    </row>
    <row r="6576" spans="23:23" s="1629" customFormat="1" ht="24" customHeight="1">
      <c r="W6576" s="1634"/>
    </row>
    <row r="6577" spans="23:23" s="1629" customFormat="1" ht="24" customHeight="1">
      <c r="W6577" s="1634"/>
    </row>
    <row r="6578" spans="23:23" s="1629" customFormat="1" ht="24" customHeight="1">
      <c r="W6578" s="1634"/>
    </row>
    <row r="6579" spans="23:23" s="1629" customFormat="1" ht="24" customHeight="1">
      <c r="W6579" s="1634"/>
    </row>
    <row r="6580" spans="23:23" s="1629" customFormat="1" ht="24" customHeight="1">
      <c r="W6580" s="1634"/>
    </row>
    <row r="6581" spans="23:23" s="1629" customFormat="1" ht="24" customHeight="1">
      <c r="W6581" s="1634"/>
    </row>
    <row r="6582" spans="23:23" s="1629" customFormat="1" ht="24" customHeight="1">
      <c r="W6582" s="1634"/>
    </row>
    <row r="6583" spans="23:23" s="1629" customFormat="1" ht="24" customHeight="1">
      <c r="W6583" s="1634"/>
    </row>
    <row r="6584" spans="23:23" s="1629" customFormat="1" ht="24" customHeight="1">
      <c r="W6584" s="1634"/>
    </row>
    <row r="6585" spans="23:23" s="1629" customFormat="1" ht="24" customHeight="1">
      <c r="W6585" s="1634"/>
    </row>
    <row r="6586" spans="23:23" s="1629" customFormat="1" ht="24" customHeight="1">
      <c r="W6586" s="1634"/>
    </row>
    <row r="6587" spans="23:23" s="1629" customFormat="1" ht="24" customHeight="1">
      <c r="W6587" s="1634"/>
    </row>
    <row r="6588" spans="23:23" s="1629" customFormat="1" ht="24" customHeight="1">
      <c r="W6588" s="1634"/>
    </row>
    <row r="6589" spans="23:23" s="1629" customFormat="1" ht="24" customHeight="1">
      <c r="W6589" s="1634"/>
    </row>
    <row r="6590" spans="23:23" s="1629" customFormat="1" ht="24" customHeight="1">
      <c r="W6590" s="1634"/>
    </row>
    <row r="6591" spans="23:23" s="1629" customFormat="1" ht="24" customHeight="1">
      <c r="W6591" s="1634"/>
    </row>
    <row r="6592" spans="23:23" s="1629" customFormat="1" ht="24" customHeight="1">
      <c r="W6592" s="1634"/>
    </row>
    <row r="6593" spans="23:23" s="1629" customFormat="1" ht="24" customHeight="1">
      <c r="W6593" s="1634"/>
    </row>
    <row r="6594" spans="23:23" s="1629" customFormat="1" ht="24" customHeight="1">
      <c r="W6594" s="1634"/>
    </row>
    <row r="6595" spans="23:23" s="1629" customFormat="1" ht="24" customHeight="1">
      <c r="W6595" s="1634"/>
    </row>
    <row r="6596" spans="23:23" s="1629" customFormat="1" ht="24" customHeight="1">
      <c r="W6596" s="1634"/>
    </row>
    <row r="6597" spans="23:23" s="1629" customFormat="1" ht="24" customHeight="1">
      <c r="W6597" s="1634"/>
    </row>
    <row r="6598" spans="23:23" s="1629" customFormat="1" ht="24" customHeight="1">
      <c r="W6598" s="1634"/>
    </row>
    <row r="6599" spans="23:23" s="1629" customFormat="1" ht="24" customHeight="1">
      <c r="W6599" s="1634"/>
    </row>
    <row r="6600" spans="23:23" s="1629" customFormat="1" ht="24" customHeight="1">
      <c r="W6600" s="1634"/>
    </row>
    <row r="6601" spans="23:23" s="1629" customFormat="1" ht="24" customHeight="1">
      <c r="W6601" s="1634"/>
    </row>
    <row r="6602" spans="23:23" s="1629" customFormat="1" ht="24" customHeight="1">
      <c r="W6602" s="1634"/>
    </row>
    <row r="6603" spans="23:23" s="1629" customFormat="1" ht="24" customHeight="1">
      <c r="W6603" s="1634"/>
    </row>
    <row r="6604" spans="23:23" s="1629" customFormat="1" ht="24" customHeight="1">
      <c r="W6604" s="1634"/>
    </row>
    <row r="6605" spans="23:23" s="1629" customFormat="1" ht="24" customHeight="1">
      <c r="W6605" s="1634"/>
    </row>
    <row r="6606" spans="23:23" s="1629" customFormat="1" ht="24" customHeight="1">
      <c r="W6606" s="1634"/>
    </row>
    <row r="6607" spans="23:23" s="1629" customFormat="1" ht="24" customHeight="1">
      <c r="W6607" s="1634"/>
    </row>
    <row r="6608" spans="23:23" s="1629" customFormat="1" ht="24" customHeight="1">
      <c r="W6608" s="1634"/>
    </row>
    <row r="6609" spans="23:23" s="1629" customFormat="1" ht="24" customHeight="1">
      <c r="W6609" s="1634"/>
    </row>
    <row r="6610" spans="23:23" s="1629" customFormat="1" ht="24" customHeight="1">
      <c r="W6610" s="1634"/>
    </row>
    <row r="6611" spans="23:23" s="1629" customFormat="1" ht="24" customHeight="1">
      <c r="W6611" s="1634"/>
    </row>
    <row r="6612" spans="23:23" s="1629" customFormat="1" ht="24" customHeight="1">
      <c r="W6612" s="1634"/>
    </row>
    <row r="6613" spans="23:23" s="1629" customFormat="1" ht="24" customHeight="1">
      <c r="W6613" s="1634"/>
    </row>
    <row r="6614" spans="23:23" s="1629" customFormat="1" ht="24" customHeight="1">
      <c r="W6614" s="1634"/>
    </row>
    <row r="6615" spans="23:23" s="1629" customFormat="1" ht="24" customHeight="1">
      <c r="W6615" s="1634"/>
    </row>
    <row r="6616" spans="23:23" s="1629" customFormat="1" ht="24" customHeight="1">
      <c r="W6616" s="1634"/>
    </row>
    <row r="6617" spans="23:23" s="1629" customFormat="1" ht="24" customHeight="1">
      <c r="W6617" s="1634"/>
    </row>
    <row r="6618" spans="23:23" s="1629" customFormat="1" ht="24" customHeight="1">
      <c r="W6618" s="1634"/>
    </row>
    <row r="6619" spans="23:23" s="1629" customFormat="1" ht="24" customHeight="1">
      <c r="W6619" s="1634"/>
    </row>
    <row r="6620" spans="23:23" s="1629" customFormat="1" ht="24" customHeight="1">
      <c r="W6620" s="1634"/>
    </row>
    <row r="6621" spans="23:23" s="1629" customFormat="1" ht="24" customHeight="1">
      <c r="W6621" s="1634"/>
    </row>
    <row r="6622" spans="23:23" s="1629" customFormat="1" ht="24" customHeight="1">
      <c r="W6622" s="1634"/>
    </row>
    <row r="6623" spans="23:23" s="1629" customFormat="1" ht="24" customHeight="1">
      <c r="W6623" s="1634"/>
    </row>
    <row r="6624" spans="23:23" s="1629" customFormat="1" ht="24" customHeight="1">
      <c r="W6624" s="1634"/>
    </row>
    <row r="6625" spans="23:23" s="1629" customFormat="1" ht="24" customHeight="1">
      <c r="W6625" s="1634"/>
    </row>
    <row r="6626" spans="23:23" s="1629" customFormat="1" ht="24" customHeight="1">
      <c r="W6626" s="1634"/>
    </row>
    <row r="6627" spans="23:23" s="1629" customFormat="1" ht="24" customHeight="1">
      <c r="W6627" s="1634"/>
    </row>
    <row r="6628" spans="23:23" s="1629" customFormat="1" ht="24" customHeight="1">
      <c r="W6628" s="1634"/>
    </row>
    <row r="6629" spans="23:23" s="1629" customFormat="1" ht="24" customHeight="1">
      <c r="W6629" s="1634"/>
    </row>
    <row r="6630" spans="23:23" s="1629" customFormat="1" ht="24" customHeight="1">
      <c r="W6630" s="1634"/>
    </row>
    <row r="6631" spans="23:23" s="1629" customFormat="1" ht="24" customHeight="1">
      <c r="W6631" s="1634"/>
    </row>
    <row r="6632" spans="23:23" s="1629" customFormat="1" ht="24" customHeight="1">
      <c r="W6632" s="1634"/>
    </row>
    <row r="6633" spans="23:23" s="1629" customFormat="1" ht="24" customHeight="1">
      <c r="W6633" s="1634"/>
    </row>
    <row r="6634" spans="23:23" s="1629" customFormat="1" ht="24" customHeight="1">
      <c r="W6634" s="1634"/>
    </row>
    <row r="6635" spans="23:23" s="1629" customFormat="1" ht="24" customHeight="1">
      <c r="W6635" s="1634"/>
    </row>
    <row r="6636" spans="23:23" s="1629" customFormat="1" ht="24" customHeight="1">
      <c r="W6636" s="1634"/>
    </row>
    <row r="6637" spans="23:23" s="1629" customFormat="1" ht="24" customHeight="1">
      <c r="W6637" s="1634"/>
    </row>
    <row r="6638" spans="23:23" s="1629" customFormat="1" ht="24" customHeight="1">
      <c r="W6638" s="1634"/>
    </row>
    <row r="6639" spans="23:23" s="1629" customFormat="1" ht="24" customHeight="1">
      <c r="W6639" s="1634"/>
    </row>
    <row r="6640" spans="23:23" s="1629" customFormat="1" ht="24" customHeight="1">
      <c r="W6640" s="1634"/>
    </row>
    <row r="6641" spans="23:23" s="1629" customFormat="1" ht="24" customHeight="1">
      <c r="W6641" s="1634"/>
    </row>
    <row r="6642" spans="23:23" s="1629" customFormat="1" ht="24" customHeight="1">
      <c r="W6642" s="1634"/>
    </row>
    <row r="6643" spans="23:23" s="1629" customFormat="1" ht="24" customHeight="1">
      <c r="W6643" s="1634"/>
    </row>
    <row r="6644" spans="23:23" s="1629" customFormat="1" ht="24" customHeight="1">
      <c r="W6644" s="1634"/>
    </row>
    <row r="6645" spans="23:23" s="1629" customFormat="1" ht="24" customHeight="1">
      <c r="W6645" s="1634"/>
    </row>
    <row r="6646" spans="23:23" s="1629" customFormat="1" ht="24" customHeight="1">
      <c r="W6646" s="1634"/>
    </row>
    <row r="6647" spans="23:23" s="1629" customFormat="1" ht="24" customHeight="1">
      <c r="W6647" s="1634"/>
    </row>
    <row r="6648" spans="23:23" s="1629" customFormat="1" ht="24" customHeight="1">
      <c r="W6648" s="1634"/>
    </row>
    <row r="6649" spans="23:23" s="1629" customFormat="1" ht="24" customHeight="1">
      <c r="W6649" s="1634"/>
    </row>
    <row r="6650" spans="23:23" s="1629" customFormat="1" ht="24" customHeight="1">
      <c r="W6650" s="1634"/>
    </row>
    <row r="6651" spans="23:23" s="1629" customFormat="1" ht="24" customHeight="1">
      <c r="W6651" s="1634"/>
    </row>
    <row r="6652" spans="23:23" s="1629" customFormat="1" ht="24" customHeight="1">
      <c r="W6652" s="1634"/>
    </row>
    <row r="6653" spans="23:23" s="1629" customFormat="1" ht="24" customHeight="1">
      <c r="W6653" s="1634"/>
    </row>
    <row r="6654" spans="23:23" s="1629" customFormat="1" ht="24" customHeight="1">
      <c r="W6654" s="1634"/>
    </row>
    <row r="6655" spans="23:23" s="1629" customFormat="1" ht="24" customHeight="1">
      <c r="W6655" s="1634"/>
    </row>
    <row r="6656" spans="23:23" s="1629" customFormat="1" ht="24" customHeight="1">
      <c r="W6656" s="1634"/>
    </row>
    <row r="6657" spans="23:23" s="1629" customFormat="1" ht="24" customHeight="1">
      <c r="W6657" s="1634"/>
    </row>
    <row r="6658" spans="23:23" s="1629" customFormat="1" ht="24" customHeight="1">
      <c r="W6658" s="1634"/>
    </row>
    <row r="6659" spans="23:23" s="1629" customFormat="1" ht="24" customHeight="1">
      <c r="W6659" s="1634"/>
    </row>
    <row r="6660" spans="23:23" s="1629" customFormat="1" ht="24" customHeight="1">
      <c r="W6660" s="1634"/>
    </row>
    <row r="6661" spans="23:23" s="1629" customFormat="1" ht="24" customHeight="1">
      <c r="W6661" s="1634"/>
    </row>
    <row r="6662" spans="23:23" s="1629" customFormat="1" ht="24" customHeight="1">
      <c r="W6662" s="1634"/>
    </row>
    <row r="6663" spans="23:23" s="1629" customFormat="1" ht="24" customHeight="1">
      <c r="W6663" s="1634"/>
    </row>
    <row r="6664" spans="23:23" s="1629" customFormat="1" ht="24" customHeight="1">
      <c r="W6664" s="1634"/>
    </row>
    <row r="6665" spans="23:23" s="1629" customFormat="1" ht="24" customHeight="1">
      <c r="W6665" s="1634"/>
    </row>
    <row r="6666" spans="23:23" s="1629" customFormat="1" ht="24" customHeight="1">
      <c r="W6666" s="1634"/>
    </row>
    <row r="6667" spans="23:23" s="1629" customFormat="1" ht="24" customHeight="1">
      <c r="W6667" s="1634"/>
    </row>
    <row r="6668" spans="23:23" s="1629" customFormat="1" ht="24" customHeight="1">
      <c r="W6668" s="1634"/>
    </row>
    <row r="6669" spans="23:23" s="1629" customFormat="1" ht="24" customHeight="1">
      <c r="W6669" s="1634"/>
    </row>
    <row r="6670" spans="23:23" s="1629" customFormat="1" ht="24" customHeight="1">
      <c r="W6670" s="1634"/>
    </row>
    <row r="6671" spans="23:23" s="1629" customFormat="1" ht="24" customHeight="1">
      <c r="W6671" s="1634"/>
    </row>
    <row r="6672" spans="23:23" s="1629" customFormat="1" ht="24" customHeight="1">
      <c r="W6672" s="1634"/>
    </row>
    <row r="6673" spans="23:23" s="1629" customFormat="1" ht="24" customHeight="1">
      <c r="W6673" s="1634"/>
    </row>
    <row r="6674" spans="23:23" s="1629" customFormat="1" ht="24" customHeight="1">
      <c r="W6674" s="1634"/>
    </row>
    <row r="6675" spans="23:23" s="1629" customFormat="1" ht="24" customHeight="1">
      <c r="W6675" s="1634"/>
    </row>
    <row r="6676" spans="23:23" s="1629" customFormat="1" ht="24" customHeight="1">
      <c r="W6676" s="1634"/>
    </row>
    <row r="6677" spans="23:23" s="1629" customFormat="1" ht="24" customHeight="1">
      <c r="W6677" s="1634"/>
    </row>
    <row r="6678" spans="23:23" s="1629" customFormat="1" ht="24" customHeight="1">
      <c r="W6678" s="1634"/>
    </row>
    <row r="6679" spans="23:23" s="1629" customFormat="1" ht="24" customHeight="1">
      <c r="W6679" s="1634"/>
    </row>
    <row r="6680" spans="23:23" s="1629" customFormat="1" ht="24" customHeight="1">
      <c r="W6680" s="1634"/>
    </row>
    <row r="6681" spans="23:23" s="1629" customFormat="1" ht="24" customHeight="1">
      <c r="W6681" s="1634"/>
    </row>
    <row r="6682" spans="23:23" s="1629" customFormat="1" ht="24" customHeight="1">
      <c r="W6682" s="1634"/>
    </row>
    <row r="6683" spans="23:23" s="1629" customFormat="1" ht="24" customHeight="1">
      <c r="W6683" s="1634"/>
    </row>
    <row r="6684" spans="23:23" s="1629" customFormat="1" ht="24" customHeight="1">
      <c r="W6684" s="1634"/>
    </row>
    <row r="6685" spans="23:23" s="1629" customFormat="1" ht="24" customHeight="1">
      <c r="W6685" s="1634"/>
    </row>
    <row r="6686" spans="23:23" s="1629" customFormat="1" ht="24" customHeight="1">
      <c r="W6686" s="1634"/>
    </row>
    <row r="6687" spans="23:23" s="1629" customFormat="1" ht="24" customHeight="1">
      <c r="W6687" s="1634"/>
    </row>
    <row r="6688" spans="23:23" s="1629" customFormat="1" ht="24" customHeight="1">
      <c r="W6688" s="1634"/>
    </row>
    <row r="6689" spans="23:23" s="1629" customFormat="1" ht="24" customHeight="1">
      <c r="W6689" s="1634"/>
    </row>
    <row r="6690" spans="23:23" s="1629" customFormat="1" ht="24" customHeight="1">
      <c r="W6690" s="1634"/>
    </row>
    <row r="6691" spans="23:23" s="1629" customFormat="1" ht="24" customHeight="1">
      <c r="W6691" s="1634"/>
    </row>
    <row r="6692" spans="23:23" s="1629" customFormat="1" ht="24" customHeight="1">
      <c r="W6692" s="1634"/>
    </row>
    <row r="6693" spans="23:23" s="1629" customFormat="1" ht="24" customHeight="1">
      <c r="W6693" s="1634"/>
    </row>
    <row r="6694" spans="23:23" s="1629" customFormat="1" ht="24" customHeight="1">
      <c r="W6694" s="1634"/>
    </row>
    <row r="6695" spans="23:23" s="1629" customFormat="1" ht="24" customHeight="1">
      <c r="W6695" s="1634"/>
    </row>
    <row r="6696" spans="23:23" s="1629" customFormat="1" ht="24" customHeight="1">
      <c r="W6696" s="1634"/>
    </row>
    <row r="6697" spans="23:23" s="1629" customFormat="1" ht="24" customHeight="1">
      <c r="W6697" s="1634"/>
    </row>
    <row r="6698" spans="23:23" s="1629" customFormat="1" ht="24" customHeight="1">
      <c r="W6698" s="1634"/>
    </row>
    <row r="6699" spans="23:23" s="1629" customFormat="1" ht="24" customHeight="1">
      <c r="W6699" s="1634"/>
    </row>
    <row r="6700" spans="23:23" s="1629" customFormat="1" ht="24" customHeight="1">
      <c r="W6700" s="1634"/>
    </row>
    <row r="6701" spans="23:23" s="1629" customFormat="1" ht="24" customHeight="1">
      <c r="W6701" s="1634"/>
    </row>
    <row r="6702" spans="23:23" s="1629" customFormat="1" ht="24" customHeight="1">
      <c r="W6702" s="1634"/>
    </row>
    <row r="6703" spans="23:23" s="1629" customFormat="1" ht="24" customHeight="1">
      <c r="W6703" s="1634"/>
    </row>
    <row r="6704" spans="23:23" s="1629" customFormat="1" ht="24" customHeight="1">
      <c r="W6704" s="1634"/>
    </row>
    <row r="6705" spans="23:23" s="1629" customFormat="1" ht="24" customHeight="1">
      <c r="W6705" s="1634"/>
    </row>
    <row r="6706" spans="23:23" s="1629" customFormat="1" ht="24" customHeight="1">
      <c r="W6706" s="1634"/>
    </row>
    <row r="6707" spans="23:23" s="1629" customFormat="1" ht="24" customHeight="1">
      <c r="W6707" s="1634"/>
    </row>
    <row r="6708" spans="23:23" s="1629" customFormat="1" ht="24" customHeight="1">
      <c r="W6708" s="1634"/>
    </row>
    <row r="6709" spans="23:23" s="1629" customFormat="1" ht="24" customHeight="1">
      <c r="W6709" s="1634"/>
    </row>
    <row r="6710" spans="23:23" s="1629" customFormat="1" ht="24" customHeight="1">
      <c r="W6710" s="1634"/>
    </row>
    <row r="6711" spans="23:23" s="1629" customFormat="1" ht="24" customHeight="1">
      <c r="W6711" s="1634"/>
    </row>
    <row r="6712" spans="23:23" s="1629" customFormat="1" ht="24" customHeight="1">
      <c r="W6712" s="1634"/>
    </row>
    <row r="6713" spans="23:23" s="1629" customFormat="1" ht="24" customHeight="1">
      <c r="W6713" s="1634"/>
    </row>
    <row r="6714" spans="23:23" s="1629" customFormat="1" ht="24" customHeight="1">
      <c r="W6714" s="1634"/>
    </row>
    <row r="6715" spans="23:23" s="1629" customFormat="1" ht="24" customHeight="1">
      <c r="W6715" s="1634"/>
    </row>
    <row r="6716" spans="23:23" s="1629" customFormat="1" ht="24" customHeight="1">
      <c r="W6716" s="1634"/>
    </row>
    <row r="6717" spans="23:23" s="1629" customFormat="1" ht="24" customHeight="1">
      <c r="W6717" s="1634"/>
    </row>
    <row r="6718" spans="23:23" s="1629" customFormat="1" ht="24" customHeight="1">
      <c r="W6718" s="1634"/>
    </row>
    <row r="6719" spans="23:23" s="1629" customFormat="1" ht="24" customHeight="1">
      <c r="W6719" s="1634"/>
    </row>
    <row r="6720" spans="23:23" s="1629" customFormat="1" ht="24" customHeight="1">
      <c r="W6720" s="1634"/>
    </row>
    <row r="6721" spans="23:23" s="1629" customFormat="1" ht="24" customHeight="1">
      <c r="W6721" s="1634"/>
    </row>
    <row r="6722" spans="23:23" s="1629" customFormat="1" ht="24" customHeight="1">
      <c r="W6722" s="1634"/>
    </row>
    <row r="6723" spans="23:23" s="1629" customFormat="1" ht="24" customHeight="1">
      <c r="W6723" s="1634"/>
    </row>
    <row r="6724" spans="23:23" s="1629" customFormat="1" ht="24" customHeight="1">
      <c r="W6724" s="1634"/>
    </row>
    <row r="6725" spans="23:23" s="1629" customFormat="1" ht="24" customHeight="1">
      <c r="W6725" s="1634"/>
    </row>
    <row r="6726" spans="23:23" s="1629" customFormat="1" ht="24" customHeight="1">
      <c r="W6726" s="1634"/>
    </row>
    <row r="6727" spans="23:23" s="1629" customFormat="1" ht="24" customHeight="1">
      <c r="W6727" s="1634"/>
    </row>
    <row r="6728" spans="23:23" s="1629" customFormat="1" ht="24" customHeight="1">
      <c r="W6728" s="1634"/>
    </row>
    <row r="6729" spans="23:23" s="1629" customFormat="1" ht="24" customHeight="1">
      <c r="W6729" s="1634"/>
    </row>
    <row r="6730" spans="23:23" s="1629" customFormat="1" ht="24" customHeight="1">
      <c r="W6730" s="1634"/>
    </row>
    <row r="6731" spans="23:23" s="1629" customFormat="1" ht="24" customHeight="1">
      <c r="W6731" s="1634"/>
    </row>
    <row r="6732" spans="23:23" s="1629" customFormat="1" ht="24" customHeight="1">
      <c r="W6732" s="1634"/>
    </row>
    <row r="6733" spans="23:23" s="1629" customFormat="1" ht="24" customHeight="1">
      <c r="W6733" s="1634"/>
    </row>
    <row r="6734" spans="23:23" s="1629" customFormat="1" ht="24" customHeight="1">
      <c r="W6734" s="1634"/>
    </row>
    <row r="6735" spans="23:23" s="1629" customFormat="1" ht="24" customHeight="1">
      <c r="W6735" s="1634"/>
    </row>
    <row r="6736" spans="23:23" s="1629" customFormat="1" ht="24" customHeight="1">
      <c r="W6736" s="1634"/>
    </row>
    <row r="6737" spans="23:23" s="1629" customFormat="1" ht="24" customHeight="1">
      <c r="W6737" s="1634"/>
    </row>
    <row r="6738" spans="23:23" s="1629" customFormat="1" ht="24" customHeight="1">
      <c r="W6738" s="1634"/>
    </row>
    <row r="6739" spans="23:23" s="1629" customFormat="1" ht="24" customHeight="1">
      <c r="W6739" s="1634"/>
    </row>
    <row r="6740" spans="23:23" s="1629" customFormat="1" ht="24" customHeight="1">
      <c r="W6740" s="1634"/>
    </row>
    <row r="6741" spans="23:23" s="1629" customFormat="1" ht="24" customHeight="1">
      <c r="W6741" s="1634"/>
    </row>
    <row r="6742" spans="23:23" s="1629" customFormat="1" ht="24" customHeight="1">
      <c r="W6742" s="1634"/>
    </row>
    <row r="6743" spans="23:23" s="1629" customFormat="1" ht="24" customHeight="1">
      <c r="W6743" s="1634"/>
    </row>
    <row r="6744" spans="23:23" s="1629" customFormat="1" ht="24" customHeight="1">
      <c r="W6744" s="1634"/>
    </row>
    <row r="6745" spans="23:23" s="1629" customFormat="1" ht="24" customHeight="1">
      <c r="W6745" s="1634"/>
    </row>
    <row r="6746" spans="23:23" s="1629" customFormat="1" ht="24" customHeight="1">
      <c r="W6746" s="1634"/>
    </row>
    <row r="6747" spans="23:23" s="1629" customFormat="1" ht="24" customHeight="1">
      <c r="W6747" s="1634"/>
    </row>
    <row r="6748" spans="23:23" s="1629" customFormat="1" ht="24" customHeight="1">
      <c r="W6748" s="1634"/>
    </row>
    <row r="6749" spans="23:23" s="1629" customFormat="1" ht="24" customHeight="1">
      <c r="W6749" s="1634"/>
    </row>
    <row r="6750" spans="23:23" s="1629" customFormat="1" ht="24" customHeight="1">
      <c r="W6750" s="1634"/>
    </row>
    <row r="6751" spans="23:23" s="1629" customFormat="1" ht="24" customHeight="1">
      <c r="W6751" s="1634"/>
    </row>
    <row r="6752" spans="23:23" s="1629" customFormat="1" ht="24" customHeight="1">
      <c r="W6752" s="1634"/>
    </row>
    <row r="6753" spans="23:23" s="1629" customFormat="1" ht="24" customHeight="1">
      <c r="W6753" s="1634"/>
    </row>
    <row r="6754" spans="23:23" s="1629" customFormat="1" ht="24" customHeight="1">
      <c r="W6754" s="1634"/>
    </row>
    <row r="6755" spans="23:23" s="1629" customFormat="1" ht="24" customHeight="1">
      <c r="W6755" s="1634"/>
    </row>
    <row r="6756" spans="23:23" s="1629" customFormat="1" ht="24" customHeight="1">
      <c r="W6756" s="1634"/>
    </row>
    <row r="6757" spans="23:23" s="1629" customFormat="1" ht="24" customHeight="1">
      <c r="W6757" s="1634"/>
    </row>
    <row r="6758" spans="23:23" s="1629" customFormat="1" ht="24" customHeight="1">
      <c r="W6758" s="1634"/>
    </row>
    <row r="6759" spans="23:23" s="1629" customFormat="1" ht="24" customHeight="1">
      <c r="W6759" s="1634"/>
    </row>
    <row r="6760" spans="23:23" s="1629" customFormat="1" ht="24" customHeight="1">
      <c r="W6760" s="1634"/>
    </row>
    <row r="6761" spans="23:23" s="1629" customFormat="1" ht="24" customHeight="1">
      <c r="W6761" s="1634"/>
    </row>
    <row r="6762" spans="23:23" s="1629" customFormat="1" ht="24" customHeight="1">
      <c r="W6762" s="1634"/>
    </row>
    <row r="6763" spans="23:23" s="1629" customFormat="1" ht="24" customHeight="1">
      <c r="W6763" s="1634"/>
    </row>
    <row r="6764" spans="23:23" s="1629" customFormat="1" ht="24" customHeight="1">
      <c r="W6764" s="1634"/>
    </row>
    <row r="6765" spans="23:23" s="1629" customFormat="1" ht="24" customHeight="1">
      <c r="W6765" s="1634"/>
    </row>
    <row r="6766" spans="23:23" s="1629" customFormat="1" ht="24" customHeight="1">
      <c r="W6766" s="1634"/>
    </row>
    <row r="6767" spans="23:23" s="1629" customFormat="1" ht="24" customHeight="1">
      <c r="W6767" s="1634"/>
    </row>
    <row r="6768" spans="23:23" s="1629" customFormat="1" ht="24" customHeight="1">
      <c r="W6768" s="1634"/>
    </row>
    <row r="6769" spans="23:23" s="1629" customFormat="1" ht="24" customHeight="1">
      <c r="W6769" s="1634"/>
    </row>
    <row r="6770" spans="23:23" s="1629" customFormat="1" ht="24" customHeight="1">
      <c r="W6770" s="1634"/>
    </row>
    <row r="6771" spans="23:23" s="1629" customFormat="1" ht="24" customHeight="1">
      <c r="W6771" s="1634"/>
    </row>
    <row r="6772" spans="23:23" s="1629" customFormat="1" ht="24" customHeight="1">
      <c r="W6772" s="1634"/>
    </row>
    <row r="6773" spans="23:23" s="1629" customFormat="1" ht="24" customHeight="1">
      <c r="W6773" s="1634"/>
    </row>
    <row r="6774" spans="23:23" s="1629" customFormat="1" ht="24" customHeight="1">
      <c r="W6774" s="1634"/>
    </row>
    <row r="6775" spans="23:23" s="1629" customFormat="1" ht="24" customHeight="1">
      <c r="W6775" s="1634"/>
    </row>
    <row r="6776" spans="23:23" s="1629" customFormat="1" ht="24" customHeight="1">
      <c r="W6776" s="1634"/>
    </row>
    <row r="6777" spans="23:23" s="1629" customFormat="1" ht="24" customHeight="1">
      <c r="W6777" s="1634"/>
    </row>
    <row r="6778" spans="23:23" s="1629" customFormat="1" ht="24" customHeight="1">
      <c r="W6778" s="1634"/>
    </row>
    <row r="6779" spans="23:23" s="1629" customFormat="1" ht="24" customHeight="1">
      <c r="W6779" s="1634"/>
    </row>
    <row r="6780" spans="23:23" s="1629" customFormat="1" ht="24" customHeight="1">
      <c r="W6780" s="1634"/>
    </row>
    <row r="6781" spans="23:23" s="1629" customFormat="1" ht="24" customHeight="1">
      <c r="W6781" s="1634"/>
    </row>
    <row r="6782" spans="23:23" s="1629" customFormat="1" ht="24" customHeight="1">
      <c r="W6782" s="1634"/>
    </row>
    <row r="6783" spans="23:23" s="1629" customFormat="1" ht="24" customHeight="1">
      <c r="W6783" s="1634"/>
    </row>
    <row r="6784" spans="23:23" s="1629" customFormat="1" ht="24" customHeight="1">
      <c r="W6784" s="1634"/>
    </row>
    <row r="6785" spans="23:23" s="1629" customFormat="1" ht="24" customHeight="1">
      <c r="W6785" s="1634"/>
    </row>
    <row r="6786" spans="23:23" s="1629" customFormat="1" ht="24" customHeight="1">
      <c r="W6786" s="1634"/>
    </row>
    <row r="6787" spans="23:23" s="1629" customFormat="1" ht="24" customHeight="1">
      <c r="W6787" s="1634"/>
    </row>
    <row r="6788" spans="23:23" s="1629" customFormat="1" ht="24" customHeight="1">
      <c r="W6788" s="1634"/>
    </row>
    <row r="6789" spans="23:23" s="1629" customFormat="1" ht="24" customHeight="1">
      <c r="W6789" s="1634"/>
    </row>
    <row r="6790" spans="23:23" s="1629" customFormat="1" ht="24" customHeight="1">
      <c r="W6790" s="1634"/>
    </row>
    <row r="6791" spans="23:23" s="1629" customFormat="1" ht="24" customHeight="1">
      <c r="W6791" s="1634"/>
    </row>
    <row r="6792" spans="23:23" s="1629" customFormat="1" ht="24" customHeight="1">
      <c r="W6792" s="1634"/>
    </row>
    <row r="6793" spans="23:23" s="1629" customFormat="1" ht="24" customHeight="1">
      <c r="W6793" s="1634"/>
    </row>
    <row r="6794" spans="23:23" s="1629" customFormat="1" ht="24" customHeight="1">
      <c r="W6794" s="1634"/>
    </row>
    <row r="6795" spans="23:23" s="1629" customFormat="1" ht="24" customHeight="1">
      <c r="W6795" s="1634"/>
    </row>
    <row r="6796" spans="23:23" s="1629" customFormat="1" ht="24" customHeight="1">
      <c r="W6796" s="1634"/>
    </row>
    <row r="6797" spans="23:23" s="1629" customFormat="1" ht="24" customHeight="1">
      <c r="W6797" s="1634"/>
    </row>
    <row r="6798" spans="23:23" s="1629" customFormat="1" ht="24" customHeight="1">
      <c r="W6798" s="1634"/>
    </row>
    <row r="6799" spans="23:23" s="1629" customFormat="1" ht="24" customHeight="1">
      <c r="W6799" s="1634"/>
    </row>
    <row r="6800" spans="23:23" s="1629" customFormat="1" ht="24" customHeight="1">
      <c r="W6800" s="1634"/>
    </row>
    <row r="6801" spans="23:23" s="1629" customFormat="1" ht="24" customHeight="1">
      <c r="W6801" s="1634"/>
    </row>
    <row r="6802" spans="23:23" s="1629" customFormat="1" ht="24" customHeight="1">
      <c r="W6802" s="1634"/>
    </row>
    <row r="6803" spans="23:23" s="1629" customFormat="1" ht="24" customHeight="1">
      <c r="W6803" s="1634"/>
    </row>
    <row r="6804" spans="23:23" s="1629" customFormat="1" ht="24" customHeight="1">
      <c r="W6804" s="1634"/>
    </row>
    <row r="6805" spans="23:23" s="1629" customFormat="1" ht="24" customHeight="1">
      <c r="W6805" s="1634"/>
    </row>
    <row r="6806" spans="23:23" s="1629" customFormat="1" ht="24" customHeight="1">
      <c r="W6806" s="1634"/>
    </row>
    <row r="6807" spans="23:23" s="1629" customFormat="1" ht="24" customHeight="1">
      <c r="W6807" s="1634"/>
    </row>
    <row r="6808" spans="23:23" s="1629" customFormat="1" ht="24" customHeight="1">
      <c r="W6808" s="1634"/>
    </row>
    <row r="6809" spans="23:23" s="1629" customFormat="1" ht="24" customHeight="1">
      <c r="W6809" s="1634"/>
    </row>
    <row r="6810" spans="23:23" s="1629" customFormat="1" ht="24" customHeight="1">
      <c r="W6810" s="1634"/>
    </row>
    <row r="6811" spans="23:23" s="1629" customFormat="1" ht="24" customHeight="1">
      <c r="W6811" s="1634"/>
    </row>
    <row r="6812" spans="23:23" s="1629" customFormat="1" ht="24" customHeight="1">
      <c r="W6812" s="1634"/>
    </row>
    <row r="6813" spans="23:23" s="1629" customFormat="1" ht="24" customHeight="1">
      <c r="W6813" s="1634"/>
    </row>
    <row r="6814" spans="23:23" s="1629" customFormat="1" ht="24" customHeight="1">
      <c r="W6814" s="1634"/>
    </row>
    <row r="6815" spans="23:23" s="1629" customFormat="1" ht="24" customHeight="1">
      <c r="W6815" s="1634"/>
    </row>
    <row r="6816" spans="23:23" s="1629" customFormat="1" ht="24" customHeight="1">
      <c r="W6816" s="1634"/>
    </row>
    <row r="6817" spans="23:23" s="1629" customFormat="1" ht="24" customHeight="1">
      <c r="W6817" s="1634"/>
    </row>
    <row r="6818" spans="23:23" s="1629" customFormat="1" ht="24" customHeight="1">
      <c r="W6818" s="1634"/>
    </row>
    <row r="6819" spans="23:23" s="1629" customFormat="1" ht="24" customHeight="1">
      <c r="W6819" s="1634"/>
    </row>
    <row r="6820" spans="23:23" s="1629" customFormat="1" ht="24" customHeight="1">
      <c r="W6820" s="1634"/>
    </row>
    <row r="6821" spans="23:23" s="1629" customFormat="1" ht="24" customHeight="1">
      <c r="W6821" s="1634"/>
    </row>
    <row r="6822" spans="23:23" s="1629" customFormat="1" ht="24" customHeight="1">
      <c r="W6822" s="1634"/>
    </row>
    <row r="6823" spans="23:23" s="1629" customFormat="1" ht="24" customHeight="1">
      <c r="W6823" s="1634"/>
    </row>
    <row r="6824" spans="23:23" s="1629" customFormat="1" ht="24" customHeight="1">
      <c r="W6824" s="1634"/>
    </row>
    <row r="6825" spans="23:23" s="1629" customFormat="1" ht="24" customHeight="1">
      <c r="W6825" s="1634"/>
    </row>
    <row r="6826" spans="23:23" s="1629" customFormat="1" ht="24" customHeight="1">
      <c r="W6826" s="1634"/>
    </row>
    <row r="6827" spans="23:23" s="1629" customFormat="1" ht="24" customHeight="1">
      <c r="W6827" s="1634"/>
    </row>
    <row r="6828" spans="23:23" s="1629" customFormat="1" ht="24" customHeight="1">
      <c r="W6828" s="1634"/>
    </row>
    <row r="6829" spans="23:23" s="1629" customFormat="1" ht="24" customHeight="1">
      <c r="W6829" s="1634"/>
    </row>
    <row r="6830" spans="23:23" s="1629" customFormat="1" ht="24" customHeight="1">
      <c r="W6830" s="1634"/>
    </row>
    <row r="6831" spans="23:23" s="1629" customFormat="1" ht="24" customHeight="1">
      <c r="W6831" s="1634"/>
    </row>
    <row r="6832" spans="23:23" s="1629" customFormat="1" ht="24" customHeight="1">
      <c r="W6832" s="1634"/>
    </row>
    <row r="6833" spans="23:23" s="1629" customFormat="1" ht="24" customHeight="1">
      <c r="W6833" s="1634"/>
    </row>
    <row r="6834" spans="23:23" s="1629" customFormat="1" ht="24" customHeight="1">
      <c r="W6834" s="1634"/>
    </row>
    <row r="6835" spans="23:23" s="1629" customFormat="1" ht="24" customHeight="1">
      <c r="W6835" s="1634"/>
    </row>
    <row r="6836" spans="23:23" s="1629" customFormat="1" ht="24" customHeight="1">
      <c r="W6836" s="1634"/>
    </row>
    <row r="6837" spans="23:23" s="1629" customFormat="1" ht="24" customHeight="1">
      <c r="W6837" s="1634"/>
    </row>
    <row r="6838" spans="23:23" s="1629" customFormat="1" ht="24" customHeight="1">
      <c r="W6838" s="1634"/>
    </row>
    <row r="6839" spans="23:23" s="1629" customFormat="1" ht="24" customHeight="1">
      <c r="W6839" s="1634"/>
    </row>
    <row r="6840" spans="23:23" s="1629" customFormat="1" ht="24" customHeight="1">
      <c r="W6840" s="1634"/>
    </row>
    <row r="6841" spans="23:23" s="1629" customFormat="1" ht="24" customHeight="1">
      <c r="W6841" s="1634"/>
    </row>
    <row r="6842" spans="23:23" s="1629" customFormat="1" ht="24" customHeight="1">
      <c r="W6842" s="1634"/>
    </row>
    <row r="6843" spans="23:23" s="1629" customFormat="1" ht="24" customHeight="1">
      <c r="W6843" s="1634"/>
    </row>
    <row r="6844" spans="23:23" s="1629" customFormat="1" ht="24" customHeight="1">
      <c r="W6844" s="1634"/>
    </row>
    <row r="6845" spans="23:23" s="1629" customFormat="1" ht="24" customHeight="1">
      <c r="W6845" s="1634"/>
    </row>
    <row r="6846" spans="23:23" s="1629" customFormat="1" ht="24" customHeight="1">
      <c r="W6846" s="1634"/>
    </row>
    <row r="6847" spans="23:23" s="1629" customFormat="1" ht="24" customHeight="1">
      <c r="W6847" s="1634"/>
    </row>
    <row r="6848" spans="23:23" s="1629" customFormat="1" ht="24" customHeight="1">
      <c r="W6848" s="1634"/>
    </row>
    <row r="6849" spans="23:23" s="1629" customFormat="1" ht="24" customHeight="1">
      <c r="W6849" s="1634"/>
    </row>
    <row r="6850" spans="23:23" s="1629" customFormat="1" ht="24" customHeight="1">
      <c r="W6850" s="1634"/>
    </row>
    <row r="6851" spans="23:23" s="1629" customFormat="1" ht="24" customHeight="1">
      <c r="W6851" s="1634"/>
    </row>
    <row r="6852" spans="23:23" s="1629" customFormat="1" ht="24" customHeight="1">
      <c r="W6852" s="1634"/>
    </row>
    <row r="6853" spans="23:23" s="1629" customFormat="1" ht="24" customHeight="1">
      <c r="W6853" s="1634"/>
    </row>
    <row r="6854" spans="23:23" s="1629" customFormat="1" ht="24" customHeight="1">
      <c r="W6854" s="1634"/>
    </row>
    <row r="6855" spans="23:23" s="1629" customFormat="1" ht="24" customHeight="1">
      <c r="W6855" s="1634"/>
    </row>
    <row r="6856" spans="23:23" s="1629" customFormat="1" ht="24" customHeight="1">
      <c r="W6856" s="1634"/>
    </row>
    <row r="6857" spans="23:23" s="1629" customFormat="1" ht="24" customHeight="1">
      <c r="W6857" s="1634"/>
    </row>
    <row r="6858" spans="23:23" s="1629" customFormat="1" ht="24" customHeight="1">
      <c r="W6858" s="1634"/>
    </row>
    <row r="6859" spans="23:23" s="1629" customFormat="1" ht="24" customHeight="1">
      <c r="W6859" s="1634"/>
    </row>
    <row r="6860" spans="23:23" s="1629" customFormat="1" ht="24" customHeight="1">
      <c r="W6860" s="1634"/>
    </row>
    <row r="6861" spans="23:23" s="1629" customFormat="1" ht="24" customHeight="1">
      <c r="W6861" s="1634"/>
    </row>
    <row r="6862" spans="23:23" s="1629" customFormat="1" ht="24" customHeight="1">
      <c r="W6862" s="1634"/>
    </row>
    <row r="6863" spans="23:23" s="1629" customFormat="1" ht="24" customHeight="1">
      <c r="W6863" s="1634"/>
    </row>
    <row r="6864" spans="23:23" s="1629" customFormat="1" ht="24" customHeight="1">
      <c r="W6864" s="1634"/>
    </row>
    <row r="6865" spans="23:23" s="1629" customFormat="1" ht="24" customHeight="1">
      <c r="W6865" s="1634"/>
    </row>
    <row r="6866" spans="23:23" s="1629" customFormat="1" ht="24" customHeight="1">
      <c r="W6866" s="1634"/>
    </row>
    <row r="6867" spans="23:23" s="1629" customFormat="1" ht="24" customHeight="1">
      <c r="W6867" s="1634"/>
    </row>
    <row r="6868" spans="23:23" s="1629" customFormat="1" ht="24" customHeight="1">
      <c r="W6868" s="1634"/>
    </row>
    <row r="6869" spans="23:23" s="1629" customFormat="1" ht="24" customHeight="1">
      <c r="W6869" s="1634"/>
    </row>
    <row r="6870" spans="23:23" s="1629" customFormat="1" ht="24" customHeight="1">
      <c r="W6870" s="1634"/>
    </row>
    <row r="6871" spans="23:23" s="1629" customFormat="1" ht="24" customHeight="1">
      <c r="W6871" s="1634"/>
    </row>
    <row r="6872" spans="23:23" s="1629" customFormat="1" ht="24" customHeight="1">
      <c r="W6872" s="1634"/>
    </row>
    <row r="6873" spans="23:23" s="1629" customFormat="1" ht="24" customHeight="1">
      <c r="W6873" s="1634"/>
    </row>
    <row r="6874" spans="23:23" s="1629" customFormat="1" ht="24" customHeight="1">
      <c r="W6874" s="1634"/>
    </row>
    <row r="6875" spans="23:23" s="1629" customFormat="1" ht="24" customHeight="1">
      <c r="W6875" s="1634"/>
    </row>
    <row r="6876" spans="23:23" s="1629" customFormat="1" ht="24" customHeight="1">
      <c r="W6876" s="1634"/>
    </row>
    <row r="6877" spans="23:23" s="1629" customFormat="1" ht="24" customHeight="1">
      <c r="W6877" s="1634"/>
    </row>
    <row r="6878" spans="23:23" s="1629" customFormat="1" ht="24" customHeight="1">
      <c r="W6878" s="1634"/>
    </row>
    <row r="6879" spans="23:23" s="1629" customFormat="1" ht="24" customHeight="1">
      <c r="W6879" s="1634"/>
    </row>
    <row r="6880" spans="23:23" s="1629" customFormat="1" ht="24" customHeight="1">
      <c r="W6880" s="1634"/>
    </row>
    <row r="6881" spans="23:23" s="1629" customFormat="1" ht="24" customHeight="1">
      <c r="W6881" s="1634"/>
    </row>
    <row r="6882" spans="23:23" s="1629" customFormat="1" ht="24" customHeight="1">
      <c r="W6882" s="1634"/>
    </row>
    <row r="6883" spans="23:23" s="1629" customFormat="1" ht="24" customHeight="1">
      <c r="W6883" s="1634"/>
    </row>
    <row r="6884" spans="23:23" s="1629" customFormat="1" ht="24" customHeight="1">
      <c r="W6884" s="1634"/>
    </row>
    <row r="6885" spans="23:23" s="1629" customFormat="1" ht="24" customHeight="1">
      <c r="W6885" s="1634"/>
    </row>
    <row r="6886" spans="23:23" s="1629" customFormat="1" ht="24" customHeight="1">
      <c r="W6886" s="1634"/>
    </row>
    <row r="6887" spans="23:23" s="1629" customFormat="1" ht="24" customHeight="1">
      <c r="W6887" s="1634"/>
    </row>
    <row r="6888" spans="23:23" s="1629" customFormat="1" ht="24" customHeight="1">
      <c r="W6888" s="1634"/>
    </row>
    <row r="6889" spans="23:23" s="1629" customFormat="1" ht="24" customHeight="1">
      <c r="W6889" s="1634"/>
    </row>
    <row r="6890" spans="23:23" s="1629" customFormat="1" ht="24" customHeight="1">
      <c r="W6890" s="1634"/>
    </row>
    <row r="6891" spans="23:23" s="1629" customFormat="1" ht="24" customHeight="1">
      <c r="W6891" s="1634"/>
    </row>
    <row r="6892" spans="23:23" s="1629" customFormat="1" ht="24" customHeight="1">
      <c r="W6892" s="1634"/>
    </row>
    <row r="6893" spans="23:23" s="1629" customFormat="1" ht="24" customHeight="1">
      <c r="W6893" s="1634"/>
    </row>
    <row r="6894" spans="23:23" s="1629" customFormat="1" ht="24" customHeight="1">
      <c r="W6894" s="1634"/>
    </row>
    <row r="6895" spans="23:23" s="1629" customFormat="1" ht="24" customHeight="1">
      <c r="W6895" s="1634"/>
    </row>
    <row r="6896" spans="23:23" s="1629" customFormat="1" ht="24" customHeight="1">
      <c r="W6896" s="1634"/>
    </row>
    <row r="6897" spans="23:23" s="1629" customFormat="1" ht="24" customHeight="1">
      <c r="W6897" s="1634"/>
    </row>
    <row r="6898" spans="23:23" s="1629" customFormat="1" ht="24" customHeight="1">
      <c r="W6898" s="1634"/>
    </row>
    <row r="6899" spans="23:23" s="1629" customFormat="1" ht="24" customHeight="1">
      <c r="W6899" s="1634"/>
    </row>
    <row r="6900" spans="23:23" s="1629" customFormat="1" ht="24" customHeight="1">
      <c r="W6900" s="1634"/>
    </row>
    <row r="6901" spans="23:23" s="1629" customFormat="1" ht="24" customHeight="1">
      <c r="W6901" s="1634"/>
    </row>
    <row r="6902" spans="23:23" s="1629" customFormat="1" ht="24" customHeight="1">
      <c r="W6902" s="1634"/>
    </row>
    <row r="6903" spans="23:23" s="1629" customFormat="1" ht="24" customHeight="1">
      <c r="W6903" s="1634"/>
    </row>
    <row r="6904" spans="23:23" s="1629" customFormat="1" ht="24" customHeight="1">
      <c r="W6904" s="1634"/>
    </row>
    <row r="6905" spans="23:23" s="1629" customFormat="1" ht="24" customHeight="1">
      <c r="W6905" s="1634"/>
    </row>
    <row r="6906" spans="23:23" s="1629" customFormat="1" ht="24" customHeight="1">
      <c r="W6906" s="1634"/>
    </row>
    <row r="6907" spans="23:23" s="1629" customFormat="1" ht="24" customHeight="1">
      <c r="W6907" s="1634"/>
    </row>
    <row r="6908" spans="23:23" s="1629" customFormat="1" ht="24" customHeight="1">
      <c r="W6908" s="1634"/>
    </row>
    <row r="6909" spans="23:23" s="1629" customFormat="1" ht="24" customHeight="1">
      <c r="W6909" s="1634"/>
    </row>
    <row r="6910" spans="23:23" s="1629" customFormat="1" ht="24" customHeight="1">
      <c r="W6910" s="1634"/>
    </row>
    <row r="6911" spans="23:23" s="1629" customFormat="1" ht="24" customHeight="1">
      <c r="W6911" s="1634"/>
    </row>
    <row r="6912" spans="23:23" s="1629" customFormat="1" ht="24" customHeight="1">
      <c r="W6912" s="1634"/>
    </row>
    <row r="6913" spans="23:23" s="1629" customFormat="1" ht="24" customHeight="1">
      <c r="W6913" s="1634"/>
    </row>
    <row r="6914" spans="23:23" s="1629" customFormat="1" ht="24" customHeight="1">
      <c r="W6914" s="1634"/>
    </row>
    <row r="6915" spans="23:23" s="1629" customFormat="1" ht="24" customHeight="1">
      <c r="W6915" s="1634"/>
    </row>
    <row r="6916" spans="23:23" s="1629" customFormat="1" ht="24" customHeight="1">
      <c r="W6916" s="1634"/>
    </row>
    <row r="6917" spans="23:23" s="1629" customFormat="1" ht="24" customHeight="1">
      <c r="W6917" s="1634"/>
    </row>
    <row r="6918" spans="23:23" s="1629" customFormat="1" ht="24" customHeight="1">
      <c r="W6918" s="1634"/>
    </row>
    <row r="6919" spans="23:23" s="1629" customFormat="1" ht="24" customHeight="1">
      <c r="W6919" s="1634"/>
    </row>
    <row r="6920" spans="23:23" s="1629" customFormat="1" ht="24" customHeight="1">
      <c r="W6920" s="1634"/>
    </row>
    <row r="6921" spans="23:23" s="1629" customFormat="1" ht="24" customHeight="1">
      <c r="W6921" s="1634"/>
    </row>
    <row r="6922" spans="23:23" s="1629" customFormat="1" ht="24" customHeight="1">
      <c r="W6922" s="1634"/>
    </row>
    <row r="6923" spans="23:23" s="1629" customFormat="1" ht="24" customHeight="1">
      <c r="W6923" s="1634"/>
    </row>
    <row r="6924" spans="23:23" s="1629" customFormat="1" ht="24" customHeight="1">
      <c r="W6924" s="1634"/>
    </row>
    <row r="6925" spans="23:23" s="1629" customFormat="1" ht="24" customHeight="1">
      <c r="W6925" s="1634"/>
    </row>
    <row r="6926" spans="23:23" s="1629" customFormat="1" ht="24" customHeight="1">
      <c r="W6926" s="1634"/>
    </row>
    <row r="6927" spans="23:23" s="1629" customFormat="1" ht="24" customHeight="1">
      <c r="W6927" s="1634"/>
    </row>
    <row r="6928" spans="23:23" s="1629" customFormat="1" ht="24" customHeight="1">
      <c r="W6928" s="1634"/>
    </row>
    <row r="6929" spans="23:23" s="1629" customFormat="1" ht="24" customHeight="1">
      <c r="W6929" s="1634"/>
    </row>
    <row r="6930" spans="23:23" s="1629" customFormat="1" ht="24" customHeight="1">
      <c r="W6930" s="1634"/>
    </row>
    <row r="6931" spans="23:23" s="1629" customFormat="1" ht="24" customHeight="1">
      <c r="W6931" s="1634"/>
    </row>
    <row r="6932" spans="23:23" s="1629" customFormat="1" ht="24" customHeight="1">
      <c r="W6932" s="1634"/>
    </row>
    <row r="6933" spans="23:23" s="1629" customFormat="1" ht="24" customHeight="1">
      <c r="W6933" s="1634"/>
    </row>
    <row r="6934" spans="23:23" s="1629" customFormat="1" ht="24" customHeight="1">
      <c r="W6934" s="1634"/>
    </row>
    <row r="6935" spans="23:23" s="1629" customFormat="1" ht="24" customHeight="1">
      <c r="W6935" s="1634"/>
    </row>
    <row r="6936" spans="23:23" s="1629" customFormat="1" ht="24" customHeight="1">
      <c r="W6936" s="1634"/>
    </row>
    <row r="6937" spans="23:23" s="1629" customFormat="1" ht="24" customHeight="1">
      <c r="W6937" s="1634"/>
    </row>
    <row r="6938" spans="23:23" s="1629" customFormat="1" ht="24" customHeight="1">
      <c r="W6938" s="1634"/>
    </row>
    <row r="6939" spans="23:23" s="1629" customFormat="1" ht="24" customHeight="1">
      <c r="W6939" s="1634"/>
    </row>
    <row r="6940" spans="23:23" s="1629" customFormat="1" ht="24" customHeight="1">
      <c r="W6940" s="1634"/>
    </row>
    <row r="6941" spans="23:23" s="1629" customFormat="1" ht="24" customHeight="1">
      <c r="W6941" s="1634"/>
    </row>
    <row r="6942" spans="23:23" s="1629" customFormat="1" ht="24" customHeight="1">
      <c r="W6942" s="1634"/>
    </row>
    <row r="6943" spans="23:23" s="1629" customFormat="1" ht="24" customHeight="1">
      <c r="W6943" s="1634"/>
    </row>
    <row r="6944" spans="23:23" s="1629" customFormat="1" ht="24" customHeight="1">
      <c r="W6944" s="1634"/>
    </row>
    <row r="6945" spans="23:23" s="1629" customFormat="1" ht="24" customHeight="1">
      <c r="W6945" s="1634"/>
    </row>
    <row r="6946" spans="23:23" s="1629" customFormat="1" ht="24" customHeight="1">
      <c r="W6946" s="1634"/>
    </row>
    <row r="6947" spans="23:23" s="1629" customFormat="1" ht="24" customHeight="1">
      <c r="W6947" s="1634"/>
    </row>
    <row r="6948" spans="23:23" s="1629" customFormat="1" ht="24" customHeight="1">
      <c r="W6948" s="1634"/>
    </row>
    <row r="6949" spans="23:23" s="1629" customFormat="1" ht="24" customHeight="1">
      <c r="W6949" s="1634"/>
    </row>
    <row r="6950" spans="23:23" s="1629" customFormat="1" ht="24" customHeight="1">
      <c r="W6950" s="1634"/>
    </row>
    <row r="6951" spans="23:23" s="1629" customFormat="1" ht="24" customHeight="1">
      <c r="W6951" s="1634"/>
    </row>
    <row r="6952" spans="23:23" s="1629" customFormat="1" ht="24" customHeight="1">
      <c r="W6952" s="1634"/>
    </row>
    <row r="6953" spans="23:23" s="1629" customFormat="1" ht="24" customHeight="1">
      <c r="W6953" s="1634"/>
    </row>
    <row r="6954" spans="23:23" s="1629" customFormat="1" ht="24" customHeight="1">
      <c r="W6954" s="1634"/>
    </row>
    <row r="6955" spans="23:23" s="1629" customFormat="1" ht="24" customHeight="1">
      <c r="W6955" s="1634"/>
    </row>
    <row r="6956" spans="23:23" s="1629" customFormat="1" ht="24" customHeight="1">
      <c r="W6956" s="1634"/>
    </row>
    <row r="6957" spans="23:23" s="1629" customFormat="1" ht="24" customHeight="1">
      <c r="W6957" s="1634"/>
    </row>
    <row r="6958" spans="23:23" s="1629" customFormat="1" ht="24" customHeight="1">
      <c r="W6958" s="1634"/>
    </row>
    <row r="6959" spans="23:23" s="1629" customFormat="1" ht="24" customHeight="1">
      <c r="W6959" s="1634"/>
    </row>
    <row r="6960" spans="23:23" s="1629" customFormat="1" ht="24" customHeight="1">
      <c r="W6960" s="1634"/>
    </row>
    <row r="6961" spans="23:23" s="1629" customFormat="1" ht="24" customHeight="1">
      <c r="W6961" s="1634"/>
    </row>
    <row r="6962" spans="23:23" s="1629" customFormat="1" ht="24" customHeight="1">
      <c r="W6962" s="1634"/>
    </row>
    <row r="6963" spans="23:23" s="1629" customFormat="1" ht="24" customHeight="1">
      <c r="W6963" s="1634"/>
    </row>
    <row r="6964" spans="23:23" s="1629" customFormat="1" ht="24" customHeight="1">
      <c r="W6964" s="1634"/>
    </row>
    <row r="6965" spans="23:23" s="1629" customFormat="1" ht="24" customHeight="1">
      <c r="W6965" s="1634"/>
    </row>
    <row r="6966" spans="23:23" s="1629" customFormat="1" ht="24" customHeight="1">
      <c r="W6966" s="1634"/>
    </row>
    <row r="6967" spans="23:23" s="1629" customFormat="1" ht="24" customHeight="1">
      <c r="W6967" s="1634"/>
    </row>
    <row r="6968" spans="23:23" s="1629" customFormat="1" ht="24" customHeight="1">
      <c r="W6968" s="1634"/>
    </row>
    <row r="6969" spans="23:23" s="1629" customFormat="1" ht="24" customHeight="1">
      <c r="W6969" s="1634"/>
    </row>
    <row r="6970" spans="23:23" s="1629" customFormat="1" ht="24" customHeight="1">
      <c r="W6970" s="1634"/>
    </row>
    <row r="6971" spans="23:23" s="1629" customFormat="1" ht="24" customHeight="1">
      <c r="W6971" s="1634"/>
    </row>
    <row r="6972" spans="23:23" s="1629" customFormat="1" ht="24" customHeight="1">
      <c r="W6972" s="1634"/>
    </row>
    <row r="6973" spans="23:23" s="1629" customFormat="1" ht="24" customHeight="1">
      <c r="W6973" s="1634"/>
    </row>
    <row r="6974" spans="23:23" s="1629" customFormat="1" ht="24" customHeight="1">
      <c r="W6974" s="1634"/>
    </row>
    <row r="6975" spans="23:23" s="1629" customFormat="1" ht="24" customHeight="1">
      <c r="W6975" s="1634"/>
    </row>
    <row r="6976" spans="23:23" s="1629" customFormat="1" ht="24" customHeight="1">
      <c r="W6976" s="1634"/>
    </row>
    <row r="6977" spans="23:23" s="1629" customFormat="1" ht="24" customHeight="1">
      <c r="W6977" s="1634"/>
    </row>
    <row r="6978" spans="23:23" s="1629" customFormat="1" ht="24" customHeight="1">
      <c r="W6978" s="1634"/>
    </row>
    <row r="6979" spans="23:23" s="1629" customFormat="1" ht="24" customHeight="1">
      <c r="W6979" s="1634"/>
    </row>
    <row r="6980" spans="23:23" s="1629" customFormat="1" ht="24" customHeight="1">
      <c r="W6980" s="1634"/>
    </row>
    <row r="6981" spans="23:23" s="1629" customFormat="1" ht="24" customHeight="1">
      <c r="W6981" s="1634"/>
    </row>
    <row r="6982" spans="23:23" s="1629" customFormat="1" ht="24" customHeight="1">
      <c r="W6982" s="1634"/>
    </row>
    <row r="6983" spans="23:23" s="1629" customFormat="1" ht="24" customHeight="1">
      <c r="W6983" s="1634"/>
    </row>
    <row r="6984" spans="23:23" s="1629" customFormat="1" ht="24" customHeight="1">
      <c r="W6984" s="1634"/>
    </row>
    <row r="6985" spans="23:23" s="1629" customFormat="1" ht="24" customHeight="1">
      <c r="W6985" s="1634"/>
    </row>
    <row r="6986" spans="23:23" s="1629" customFormat="1" ht="24" customHeight="1">
      <c r="W6986" s="1634"/>
    </row>
    <row r="6987" spans="23:23" s="1629" customFormat="1" ht="24" customHeight="1">
      <c r="W6987" s="1634"/>
    </row>
    <row r="6988" spans="23:23" s="1629" customFormat="1" ht="24" customHeight="1">
      <c r="W6988" s="1634"/>
    </row>
    <row r="6989" spans="23:23" s="1629" customFormat="1" ht="24" customHeight="1">
      <c r="W6989" s="1634"/>
    </row>
    <row r="6990" spans="23:23" s="1629" customFormat="1" ht="24" customHeight="1">
      <c r="W6990" s="1634"/>
    </row>
    <row r="6991" spans="23:23" s="1629" customFormat="1" ht="24" customHeight="1">
      <c r="W6991" s="1634"/>
    </row>
    <row r="6992" spans="23:23" s="1629" customFormat="1" ht="24" customHeight="1">
      <c r="W6992" s="1634"/>
    </row>
    <row r="6993" spans="23:23" s="1629" customFormat="1" ht="24" customHeight="1">
      <c r="W6993" s="1634"/>
    </row>
    <row r="6994" spans="23:23" s="1629" customFormat="1" ht="24" customHeight="1">
      <c r="W6994" s="1634"/>
    </row>
    <row r="6995" spans="23:23" s="1629" customFormat="1" ht="24" customHeight="1">
      <c r="W6995" s="1634"/>
    </row>
    <row r="6996" spans="23:23" s="1629" customFormat="1" ht="24" customHeight="1">
      <c r="W6996" s="1634"/>
    </row>
    <row r="6997" spans="23:23" s="1629" customFormat="1" ht="24" customHeight="1">
      <c r="W6997" s="1634"/>
    </row>
    <row r="6998" spans="23:23" s="1629" customFormat="1" ht="24" customHeight="1">
      <c r="W6998" s="1634"/>
    </row>
    <row r="6999" spans="23:23" s="1629" customFormat="1" ht="24" customHeight="1">
      <c r="W6999" s="1634"/>
    </row>
    <row r="7000" spans="23:23" s="1629" customFormat="1" ht="24" customHeight="1">
      <c r="W7000" s="1634"/>
    </row>
    <row r="7001" spans="23:23" s="1629" customFormat="1" ht="24" customHeight="1">
      <c r="W7001" s="1634"/>
    </row>
    <row r="7002" spans="23:23" s="1629" customFormat="1" ht="24" customHeight="1">
      <c r="W7002" s="1634"/>
    </row>
    <row r="7003" spans="23:23" s="1629" customFormat="1" ht="24" customHeight="1">
      <c r="W7003" s="1634"/>
    </row>
    <row r="7004" spans="23:23" s="1629" customFormat="1" ht="24" customHeight="1">
      <c r="W7004" s="1634"/>
    </row>
    <row r="7005" spans="23:23" s="1629" customFormat="1" ht="24" customHeight="1">
      <c r="W7005" s="1634"/>
    </row>
    <row r="7006" spans="23:23" s="1629" customFormat="1" ht="24" customHeight="1">
      <c r="W7006" s="1634"/>
    </row>
    <row r="7007" spans="23:23" s="1629" customFormat="1" ht="24" customHeight="1">
      <c r="W7007" s="1634"/>
    </row>
    <row r="7008" spans="23:23" s="1629" customFormat="1" ht="24" customHeight="1">
      <c r="W7008" s="1634"/>
    </row>
    <row r="7009" spans="23:23" s="1629" customFormat="1" ht="24" customHeight="1">
      <c r="W7009" s="1634"/>
    </row>
    <row r="7010" spans="23:23" s="1629" customFormat="1" ht="24" customHeight="1">
      <c r="W7010" s="1634"/>
    </row>
    <row r="7011" spans="23:23" s="1629" customFormat="1" ht="24" customHeight="1">
      <c r="W7011" s="1634"/>
    </row>
    <row r="7012" spans="23:23" s="1629" customFormat="1" ht="24" customHeight="1">
      <c r="W7012" s="1634"/>
    </row>
    <row r="7013" spans="23:23" s="1629" customFormat="1" ht="24" customHeight="1">
      <c r="W7013" s="1634"/>
    </row>
    <row r="7014" spans="23:23" s="1629" customFormat="1" ht="24" customHeight="1">
      <c r="W7014" s="1634"/>
    </row>
    <row r="7015" spans="23:23" s="1629" customFormat="1" ht="24" customHeight="1">
      <c r="W7015" s="1634"/>
    </row>
    <row r="7016" spans="23:23" s="1629" customFormat="1" ht="24" customHeight="1">
      <c r="W7016" s="1634"/>
    </row>
    <row r="7017" spans="23:23" s="1629" customFormat="1" ht="24" customHeight="1">
      <c r="W7017" s="1634"/>
    </row>
    <row r="7018" spans="23:23" s="1629" customFormat="1" ht="24" customHeight="1">
      <c r="W7018" s="1634"/>
    </row>
    <row r="7019" spans="23:23" s="1629" customFormat="1" ht="24" customHeight="1">
      <c r="W7019" s="1634"/>
    </row>
    <row r="7020" spans="23:23" s="1629" customFormat="1" ht="24" customHeight="1">
      <c r="W7020" s="1634"/>
    </row>
    <row r="7021" spans="23:23" s="1629" customFormat="1" ht="24" customHeight="1">
      <c r="W7021" s="1634"/>
    </row>
    <row r="7022" spans="23:23" s="1629" customFormat="1" ht="24" customHeight="1">
      <c r="W7022" s="1634"/>
    </row>
    <row r="7023" spans="23:23" s="1629" customFormat="1" ht="24" customHeight="1">
      <c r="W7023" s="1634"/>
    </row>
    <row r="7024" spans="23:23" s="1629" customFormat="1" ht="24" customHeight="1">
      <c r="W7024" s="1634"/>
    </row>
    <row r="7025" spans="23:23" s="1629" customFormat="1" ht="24" customHeight="1">
      <c r="W7025" s="1634"/>
    </row>
    <row r="7026" spans="23:23" s="1629" customFormat="1" ht="24" customHeight="1">
      <c r="W7026" s="1634"/>
    </row>
    <row r="7027" spans="23:23" s="1629" customFormat="1" ht="24" customHeight="1">
      <c r="W7027" s="1634"/>
    </row>
    <row r="7028" spans="23:23" s="1629" customFormat="1" ht="24" customHeight="1">
      <c r="W7028" s="1634"/>
    </row>
    <row r="7029" spans="23:23" s="1629" customFormat="1" ht="24" customHeight="1">
      <c r="W7029" s="1634"/>
    </row>
    <row r="7030" spans="23:23" s="1629" customFormat="1" ht="24" customHeight="1">
      <c r="W7030" s="1634"/>
    </row>
    <row r="7031" spans="23:23" s="1629" customFormat="1" ht="24" customHeight="1">
      <c r="W7031" s="1634"/>
    </row>
    <row r="7032" spans="23:23" s="1629" customFormat="1" ht="24" customHeight="1">
      <c r="W7032" s="1634"/>
    </row>
    <row r="7033" spans="23:23" s="1629" customFormat="1" ht="24" customHeight="1">
      <c r="W7033" s="1634"/>
    </row>
    <row r="7034" spans="23:23" s="1629" customFormat="1" ht="24" customHeight="1">
      <c r="W7034" s="1634"/>
    </row>
    <row r="7035" spans="23:23" s="1629" customFormat="1" ht="24" customHeight="1">
      <c r="W7035" s="1634"/>
    </row>
    <row r="7036" spans="23:23" s="1629" customFormat="1" ht="24" customHeight="1">
      <c r="W7036" s="1634"/>
    </row>
    <row r="7037" spans="23:23" s="1629" customFormat="1" ht="24" customHeight="1">
      <c r="W7037" s="1634"/>
    </row>
    <row r="7038" spans="23:23" s="1629" customFormat="1" ht="24" customHeight="1">
      <c r="W7038" s="1634"/>
    </row>
    <row r="7039" spans="23:23" s="1629" customFormat="1" ht="24" customHeight="1">
      <c r="W7039" s="1634"/>
    </row>
    <row r="7040" spans="23:23" s="1629" customFormat="1" ht="24" customHeight="1">
      <c r="W7040" s="1634"/>
    </row>
    <row r="7041" spans="23:23" s="1629" customFormat="1" ht="24" customHeight="1">
      <c r="W7041" s="1634"/>
    </row>
    <row r="7042" spans="23:23" s="1629" customFormat="1" ht="24" customHeight="1">
      <c r="W7042" s="1634"/>
    </row>
    <row r="7043" spans="23:23" s="1629" customFormat="1" ht="24" customHeight="1">
      <c r="W7043" s="1634"/>
    </row>
    <row r="7044" spans="23:23" s="1629" customFormat="1" ht="24" customHeight="1">
      <c r="W7044" s="1634"/>
    </row>
    <row r="7045" spans="23:23" s="1629" customFormat="1" ht="24" customHeight="1">
      <c r="W7045" s="1634"/>
    </row>
    <row r="7046" spans="23:23" s="1629" customFormat="1" ht="24" customHeight="1">
      <c r="W7046" s="1634"/>
    </row>
    <row r="7047" spans="23:23" s="1629" customFormat="1" ht="24" customHeight="1">
      <c r="W7047" s="1634"/>
    </row>
    <row r="7048" spans="23:23" s="1629" customFormat="1" ht="24" customHeight="1">
      <c r="W7048" s="1634"/>
    </row>
    <row r="7049" spans="23:23" s="1629" customFormat="1" ht="24" customHeight="1">
      <c r="W7049" s="1634"/>
    </row>
    <row r="7050" spans="23:23" s="1629" customFormat="1" ht="24" customHeight="1">
      <c r="W7050" s="1634"/>
    </row>
    <row r="7051" spans="23:23" s="1629" customFormat="1" ht="24" customHeight="1">
      <c r="W7051" s="1634"/>
    </row>
    <row r="7052" spans="23:23" s="1629" customFormat="1" ht="24" customHeight="1">
      <c r="W7052" s="1634"/>
    </row>
    <row r="7053" spans="23:23" s="1629" customFormat="1" ht="24" customHeight="1">
      <c r="W7053" s="1634"/>
    </row>
    <row r="7054" spans="23:23" s="1629" customFormat="1" ht="24" customHeight="1">
      <c r="W7054" s="1634"/>
    </row>
    <row r="7055" spans="23:23" s="1629" customFormat="1" ht="24" customHeight="1">
      <c r="W7055" s="1634"/>
    </row>
    <row r="7056" spans="23:23" s="1629" customFormat="1" ht="24" customHeight="1">
      <c r="W7056" s="1634"/>
    </row>
    <row r="7057" spans="23:23" s="1629" customFormat="1" ht="24" customHeight="1">
      <c r="W7057" s="1634"/>
    </row>
    <row r="7058" spans="23:23" s="1629" customFormat="1" ht="24" customHeight="1">
      <c r="W7058" s="1634"/>
    </row>
    <row r="7059" spans="23:23" s="1629" customFormat="1" ht="24" customHeight="1">
      <c r="W7059" s="1634"/>
    </row>
    <row r="7060" spans="23:23" s="1629" customFormat="1" ht="24" customHeight="1">
      <c r="W7060" s="1634"/>
    </row>
    <row r="7061" spans="23:23" s="1629" customFormat="1" ht="24" customHeight="1">
      <c r="W7061" s="1634"/>
    </row>
    <row r="7062" spans="23:23" s="1629" customFormat="1" ht="24" customHeight="1">
      <c r="W7062" s="1634"/>
    </row>
    <row r="7063" spans="23:23" s="1629" customFormat="1" ht="24" customHeight="1">
      <c r="W7063" s="1634"/>
    </row>
    <row r="7064" spans="23:23" s="1629" customFormat="1" ht="24" customHeight="1">
      <c r="W7064" s="1634"/>
    </row>
    <row r="7065" spans="23:23" s="1629" customFormat="1" ht="24" customHeight="1">
      <c r="W7065" s="1634"/>
    </row>
    <row r="7066" spans="23:23" s="1629" customFormat="1" ht="24" customHeight="1">
      <c r="W7066" s="1634"/>
    </row>
    <row r="7067" spans="23:23" s="1629" customFormat="1" ht="24" customHeight="1">
      <c r="W7067" s="1634"/>
    </row>
    <row r="7068" spans="23:23" s="1629" customFormat="1" ht="24" customHeight="1">
      <c r="W7068" s="1634"/>
    </row>
    <row r="7069" spans="23:23" s="1629" customFormat="1" ht="24" customHeight="1">
      <c r="W7069" s="1634"/>
    </row>
    <row r="7070" spans="23:23" s="1629" customFormat="1" ht="24" customHeight="1">
      <c r="W7070" s="1634"/>
    </row>
    <row r="7071" spans="23:23" s="1629" customFormat="1" ht="24" customHeight="1">
      <c r="W7071" s="1634"/>
    </row>
    <row r="7072" spans="23:23" s="1629" customFormat="1" ht="24" customHeight="1">
      <c r="W7072" s="1634"/>
    </row>
    <row r="7073" spans="23:23" s="1629" customFormat="1" ht="24" customHeight="1">
      <c r="W7073" s="1634"/>
    </row>
    <row r="7074" spans="23:23" s="1629" customFormat="1" ht="24" customHeight="1">
      <c r="W7074" s="1634"/>
    </row>
    <row r="7075" spans="23:23" s="1629" customFormat="1" ht="24" customHeight="1">
      <c r="W7075" s="1634"/>
    </row>
    <row r="7076" spans="23:23" s="1629" customFormat="1" ht="24" customHeight="1">
      <c r="W7076" s="1634"/>
    </row>
    <row r="7077" spans="23:23" s="1629" customFormat="1" ht="24" customHeight="1">
      <c r="W7077" s="1634"/>
    </row>
    <row r="7078" spans="23:23" s="1629" customFormat="1" ht="24" customHeight="1">
      <c r="W7078" s="1634"/>
    </row>
    <row r="7079" spans="23:23" s="1629" customFormat="1" ht="24" customHeight="1">
      <c r="W7079" s="1634"/>
    </row>
    <row r="7080" spans="23:23" s="1629" customFormat="1" ht="24" customHeight="1">
      <c r="W7080" s="1634"/>
    </row>
    <row r="7081" spans="23:23" s="1629" customFormat="1" ht="24" customHeight="1">
      <c r="W7081" s="1634"/>
    </row>
    <row r="7082" spans="23:23" s="1629" customFormat="1" ht="24" customHeight="1">
      <c r="W7082" s="1634"/>
    </row>
    <row r="7083" spans="23:23" s="1629" customFormat="1" ht="24" customHeight="1">
      <c r="W7083" s="1634"/>
    </row>
    <row r="7084" spans="23:23" s="1629" customFormat="1" ht="24" customHeight="1">
      <c r="W7084" s="1634"/>
    </row>
    <row r="7085" spans="23:23" s="1629" customFormat="1" ht="24" customHeight="1">
      <c r="W7085" s="1634"/>
    </row>
    <row r="7086" spans="23:23" s="1629" customFormat="1" ht="24" customHeight="1">
      <c r="W7086" s="1634"/>
    </row>
    <row r="7087" spans="23:23" s="1629" customFormat="1" ht="24" customHeight="1">
      <c r="W7087" s="1634"/>
    </row>
    <row r="7088" spans="23:23" s="1629" customFormat="1" ht="24" customHeight="1">
      <c r="W7088" s="1634"/>
    </row>
    <row r="7089" spans="23:23" s="1629" customFormat="1" ht="24" customHeight="1">
      <c r="W7089" s="1634"/>
    </row>
    <row r="7090" spans="23:23" s="1629" customFormat="1" ht="24" customHeight="1">
      <c r="W7090" s="1634"/>
    </row>
    <row r="7091" spans="23:23" s="1629" customFormat="1" ht="24" customHeight="1">
      <c r="W7091" s="1634"/>
    </row>
    <row r="7092" spans="23:23" s="1629" customFormat="1" ht="24" customHeight="1">
      <c r="W7092" s="1634"/>
    </row>
    <row r="7093" spans="23:23" s="1629" customFormat="1" ht="24" customHeight="1">
      <c r="W7093" s="1634"/>
    </row>
    <row r="7094" spans="23:23" s="1629" customFormat="1" ht="24" customHeight="1">
      <c r="W7094" s="1634"/>
    </row>
    <row r="7095" spans="23:23" s="1629" customFormat="1" ht="24" customHeight="1">
      <c r="W7095" s="1634"/>
    </row>
    <row r="7096" spans="23:23" s="1629" customFormat="1" ht="24" customHeight="1">
      <c r="W7096" s="1634"/>
    </row>
    <row r="7097" spans="23:23" s="1629" customFormat="1" ht="24" customHeight="1">
      <c r="W7097" s="1634"/>
    </row>
    <row r="7098" spans="23:23" s="1629" customFormat="1" ht="24" customHeight="1">
      <c r="W7098" s="1634"/>
    </row>
    <row r="7099" spans="23:23" s="1629" customFormat="1" ht="24" customHeight="1">
      <c r="W7099" s="1634"/>
    </row>
    <row r="7100" spans="23:23" s="1629" customFormat="1" ht="24" customHeight="1">
      <c r="W7100" s="1634"/>
    </row>
    <row r="7101" spans="23:23" s="1629" customFormat="1" ht="24" customHeight="1">
      <c r="W7101" s="1634"/>
    </row>
    <row r="7102" spans="23:23" s="1629" customFormat="1" ht="24" customHeight="1">
      <c r="W7102" s="1634"/>
    </row>
    <row r="7103" spans="23:23" s="1629" customFormat="1" ht="24" customHeight="1">
      <c r="W7103" s="1634"/>
    </row>
    <row r="7104" spans="23:23" s="1629" customFormat="1" ht="24" customHeight="1">
      <c r="W7104" s="1634"/>
    </row>
    <row r="7105" spans="23:23" s="1629" customFormat="1" ht="24" customHeight="1">
      <c r="W7105" s="1634"/>
    </row>
    <row r="7106" spans="23:23" s="1629" customFormat="1" ht="24" customHeight="1">
      <c r="W7106" s="1634"/>
    </row>
    <row r="7107" spans="23:23" s="1629" customFormat="1" ht="24" customHeight="1">
      <c r="W7107" s="1634"/>
    </row>
    <row r="7108" spans="23:23" s="1629" customFormat="1" ht="24" customHeight="1">
      <c r="W7108" s="1634"/>
    </row>
    <row r="7109" spans="23:23" s="1629" customFormat="1" ht="24" customHeight="1">
      <c r="W7109" s="1634"/>
    </row>
    <row r="7110" spans="23:23" s="1629" customFormat="1" ht="24" customHeight="1">
      <c r="W7110" s="1634"/>
    </row>
    <row r="7111" spans="23:23" s="1629" customFormat="1" ht="24" customHeight="1">
      <c r="W7111" s="1634"/>
    </row>
    <row r="7112" spans="23:23" s="1629" customFormat="1" ht="24" customHeight="1">
      <c r="W7112" s="1634"/>
    </row>
    <row r="7113" spans="23:23" s="1629" customFormat="1" ht="24" customHeight="1">
      <c r="W7113" s="1634"/>
    </row>
    <row r="7114" spans="23:23" s="1629" customFormat="1" ht="24" customHeight="1">
      <c r="W7114" s="1634"/>
    </row>
    <row r="7115" spans="23:23" s="1629" customFormat="1" ht="24" customHeight="1">
      <c r="W7115" s="1634"/>
    </row>
    <row r="7116" spans="23:23" s="1629" customFormat="1" ht="24" customHeight="1">
      <c r="W7116" s="1634"/>
    </row>
    <row r="7117" spans="23:23" s="1629" customFormat="1" ht="24" customHeight="1">
      <c r="W7117" s="1634"/>
    </row>
    <row r="7118" spans="23:23" s="1629" customFormat="1" ht="24" customHeight="1">
      <c r="W7118" s="1634"/>
    </row>
    <row r="7119" spans="23:23" s="1629" customFormat="1" ht="24" customHeight="1">
      <c r="W7119" s="1634"/>
    </row>
    <row r="7120" spans="23:23" s="1629" customFormat="1" ht="24" customHeight="1">
      <c r="W7120" s="1634"/>
    </row>
    <row r="7121" spans="23:23" s="1629" customFormat="1" ht="24" customHeight="1">
      <c r="W7121" s="1634"/>
    </row>
    <row r="7122" spans="23:23" s="1629" customFormat="1" ht="24" customHeight="1">
      <c r="W7122" s="1634"/>
    </row>
    <row r="7123" spans="23:23" s="1629" customFormat="1" ht="24" customHeight="1">
      <c r="W7123" s="1634"/>
    </row>
    <row r="7124" spans="23:23" s="1629" customFormat="1" ht="24" customHeight="1">
      <c r="W7124" s="1634"/>
    </row>
    <row r="7125" spans="23:23" s="1629" customFormat="1" ht="24" customHeight="1">
      <c r="W7125" s="1634"/>
    </row>
    <row r="7126" spans="23:23" s="1629" customFormat="1" ht="24" customHeight="1">
      <c r="W7126" s="1634"/>
    </row>
    <row r="7127" spans="23:23" s="1629" customFormat="1" ht="24" customHeight="1">
      <c r="W7127" s="1634"/>
    </row>
    <row r="7128" spans="23:23" s="1629" customFormat="1" ht="24" customHeight="1">
      <c r="W7128" s="1634"/>
    </row>
    <row r="7129" spans="23:23" s="1629" customFormat="1" ht="24" customHeight="1">
      <c r="W7129" s="1634"/>
    </row>
    <row r="7130" spans="23:23" s="1629" customFormat="1" ht="24" customHeight="1">
      <c r="W7130" s="1634"/>
    </row>
    <row r="7131" spans="23:23" s="1629" customFormat="1" ht="24" customHeight="1">
      <c r="W7131" s="1634"/>
    </row>
    <row r="7132" spans="23:23" s="1629" customFormat="1" ht="24" customHeight="1">
      <c r="W7132" s="1634"/>
    </row>
    <row r="7133" spans="23:23" s="1629" customFormat="1" ht="24" customHeight="1">
      <c r="W7133" s="1634"/>
    </row>
    <row r="7134" spans="23:23" s="1629" customFormat="1" ht="24" customHeight="1">
      <c r="W7134" s="1634"/>
    </row>
    <row r="7135" spans="23:23" s="1629" customFormat="1" ht="24" customHeight="1">
      <c r="W7135" s="1634"/>
    </row>
    <row r="7136" spans="23:23" s="1629" customFormat="1" ht="24" customHeight="1">
      <c r="W7136" s="1634"/>
    </row>
    <row r="7137" spans="23:23" s="1629" customFormat="1" ht="24" customHeight="1">
      <c r="W7137" s="1634"/>
    </row>
    <row r="7138" spans="23:23" s="1629" customFormat="1" ht="24" customHeight="1">
      <c r="W7138" s="1634"/>
    </row>
    <row r="7139" spans="23:23" s="1629" customFormat="1" ht="24" customHeight="1">
      <c r="W7139" s="1634"/>
    </row>
    <row r="7140" spans="23:23" s="1629" customFormat="1" ht="24" customHeight="1">
      <c r="W7140" s="1634"/>
    </row>
    <row r="7141" spans="23:23" s="1629" customFormat="1" ht="24" customHeight="1">
      <c r="W7141" s="1634"/>
    </row>
    <row r="7142" spans="23:23" s="1629" customFormat="1" ht="24" customHeight="1">
      <c r="W7142" s="1634"/>
    </row>
    <row r="7143" spans="23:23" s="1629" customFormat="1" ht="24" customHeight="1">
      <c r="W7143" s="1634"/>
    </row>
    <row r="7144" spans="23:23" s="1629" customFormat="1" ht="24" customHeight="1">
      <c r="W7144" s="1634"/>
    </row>
    <row r="7145" spans="23:23" s="1629" customFormat="1" ht="24" customHeight="1">
      <c r="W7145" s="1634"/>
    </row>
    <row r="7146" spans="23:23" s="1629" customFormat="1" ht="24" customHeight="1">
      <c r="W7146" s="1634"/>
    </row>
    <row r="7147" spans="23:23" s="1629" customFormat="1" ht="24" customHeight="1">
      <c r="W7147" s="1634"/>
    </row>
    <row r="7148" spans="23:23" s="1629" customFormat="1" ht="24" customHeight="1">
      <c r="W7148" s="1634"/>
    </row>
    <row r="7149" spans="23:23" s="1629" customFormat="1" ht="24" customHeight="1">
      <c r="W7149" s="1634"/>
    </row>
    <row r="7150" spans="23:23" s="1629" customFormat="1" ht="24" customHeight="1">
      <c r="W7150" s="1634"/>
    </row>
    <row r="7151" spans="23:23" s="1629" customFormat="1" ht="24" customHeight="1">
      <c r="W7151" s="1634"/>
    </row>
    <row r="7152" spans="23:23" s="1629" customFormat="1" ht="24" customHeight="1">
      <c r="W7152" s="1634"/>
    </row>
    <row r="7153" spans="23:23" s="1629" customFormat="1" ht="24" customHeight="1">
      <c r="W7153" s="1634"/>
    </row>
    <row r="7154" spans="23:23" s="1629" customFormat="1" ht="24" customHeight="1">
      <c r="W7154" s="1634"/>
    </row>
    <row r="7155" spans="23:23" s="1629" customFormat="1" ht="24" customHeight="1">
      <c r="W7155" s="1634"/>
    </row>
    <row r="7156" spans="23:23" s="1629" customFormat="1" ht="24" customHeight="1">
      <c r="W7156" s="1634"/>
    </row>
    <row r="7157" spans="23:23" s="1629" customFormat="1" ht="24" customHeight="1">
      <c r="W7157" s="1634"/>
    </row>
    <row r="7158" spans="23:23" s="1629" customFormat="1" ht="24" customHeight="1">
      <c r="W7158" s="1634"/>
    </row>
    <row r="7159" spans="23:23" s="1629" customFormat="1" ht="24" customHeight="1">
      <c r="W7159" s="1634"/>
    </row>
    <row r="7160" spans="23:23" s="1629" customFormat="1" ht="24" customHeight="1">
      <c r="W7160" s="1634"/>
    </row>
    <row r="7161" spans="23:23" s="1629" customFormat="1" ht="24" customHeight="1">
      <c r="W7161" s="1634"/>
    </row>
    <row r="7162" spans="23:23" s="1629" customFormat="1" ht="24" customHeight="1">
      <c r="W7162" s="1634"/>
    </row>
    <row r="7163" spans="23:23" s="1629" customFormat="1" ht="24" customHeight="1">
      <c r="W7163" s="1634"/>
    </row>
    <row r="7164" spans="23:23" s="1629" customFormat="1" ht="24" customHeight="1">
      <c r="W7164" s="1634"/>
    </row>
    <row r="7165" spans="23:23" s="1629" customFormat="1" ht="24" customHeight="1">
      <c r="W7165" s="1634"/>
    </row>
    <row r="7166" spans="23:23" s="1629" customFormat="1" ht="24" customHeight="1">
      <c r="W7166" s="1634"/>
    </row>
    <row r="7167" spans="23:23" s="1629" customFormat="1" ht="24" customHeight="1">
      <c r="W7167" s="1634"/>
    </row>
    <row r="7168" spans="23:23" s="1629" customFormat="1" ht="24" customHeight="1">
      <c r="W7168" s="1634"/>
    </row>
    <row r="7169" spans="23:23" s="1629" customFormat="1" ht="24" customHeight="1">
      <c r="W7169" s="1634"/>
    </row>
    <row r="7170" spans="23:23" s="1629" customFormat="1" ht="24" customHeight="1">
      <c r="W7170" s="1634"/>
    </row>
    <row r="7171" spans="23:23" s="1629" customFormat="1" ht="24" customHeight="1">
      <c r="W7171" s="1634"/>
    </row>
    <row r="7172" spans="23:23" s="1629" customFormat="1" ht="24" customHeight="1">
      <c r="W7172" s="1634"/>
    </row>
    <row r="7173" spans="23:23" s="1629" customFormat="1" ht="24" customHeight="1">
      <c r="W7173" s="1634"/>
    </row>
    <row r="7174" spans="23:23" s="1629" customFormat="1" ht="24" customHeight="1">
      <c r="W7174" s="1634"/>
    </row>
    <row r="7175" spans="23:23" s="1629" customFormat="1" ht="24" customHeight="1">
      <c r="W7175" s="1634"/>
    </row>
    <row r="7176" spans="23:23" s="1629" customFormat="1" ht="24" customHeight="1">
      <c r="W7176" s="1634"/>
    </row>
    <row r="7177" spans="23:23" s="1629" customFormat="1" ht="24" customHeight="1">
      <c r="W7177" s="1634"/>
    </row>
    <row r="7178" spans="23:23" s="1629" customFormat="1" ht="24" customHeight="1">
      <c r="W7178" s="1634"/>
    </row>
    <row r="7179" spans="23:23" s="1629" customFormat="1" ht="24" customHeight="1">
      <c r="W7179" s="1634"/>
    </row>
    <row r="7180" spans="23:23" s="1629" customFormat="1" ht="24" customHeight="1">
      <c r="W7180" s="1634"/>
    </row>
    <row r="7181" spans="23:23" s="1629" customFormat="1" ht="24" customHeight="1">
      <c r="W7181" s="1634"/>
    </row>
    <row r="7182" spans="23:23" s="1629" customFormat="1" ht="24" customHeight="1">
      <c r="W7182" s="1634"/>
    </row>
    <row r="7183" spans="23:23" s="1629" customFormat="1" ht="24" customHeight="1">
      <c r="W7183" s="1634"/>
    </row>
    <row r="7184" spans="23:23" s="1629" customFormat="1" ht="24" customHeight="1">
      <c r="W7184" s="1634"/>
    </row>
    <row r="7185" spans="23:23" s="1629" customFormat="1" ht="24" customHeight="1">
      <c r="W7185" s="1634"/>
    </row>
    <row r="7186" spans="23:23" s="1629" customFormat="1" ht="24" customHeight="1">
      <c r="W7186" s="1634"/>
    </row>
    <row r="7187" spans="23:23" s="1629" customFormat="1" ht="24" customHeight="1">
      <c r="W7187" s="1634"/>
    </row>
    <row r="7188" spans="23:23" s="1629" customFormat="1" ht="24" customHeight="1">
      <c r="W7188" s="1634"/>
    </row>
    <row r="7189" spans="23:23" s="1629" customFormat="1" ht="24" customHeight="1">
      <c r="W7189" s="1634"/>
    </row>
    <row r="7190" spans="23:23" s="1629" customFormat="1" ht="24" customHeight="1">
      <c r="W7190" s="1634"/>
    </row>
    <row r="7191" spans="23:23" s="1629" customFormat="1" ht="24" customHeight="1">
      <c r="W7191" s="1634"/>
    </row>
    <row r="7192" spans="23:23" s="1629" customFormat="1" ht="24" customHeight="1">
      <c r="W7192" s="1634"/>
    </row>
    <row r="7193" spans="23:23" s="1629" customFormat="1" ht="24" customHeight="1">
      <c r="W7193" s="1634"/>
    </row>
    <row r="7194" spans="23:23" s="1629" customFormat="1" ht="24" customHeight="1">
      <c r="W7194" s="1634"/>
    </row>
    <row r="7195" spans="23:23" s="1629" customFormat="1" ht="24" customHeight="1">
      <c r="W7195" s="1634"/>
    </row>
    <row r="7196" spans="23:23" s="1629" customFormat="1" ht="24" customHeight="1">
      <c r="W7196" s="1634"/>
    </row>
    <row r="7197" spans="23:23" s="1629" customFormat="1" ht="24" customHeight="1">
      <c r="W7197" s="1634"/>
    </row>
    <row r="7198" spans="23:23" s="1629" customFormat="1" ht="24" customHeight="1">
      <c r="W7198" s="1634"/>
    </row>
    <row r="7199" spans="23:23" s="1629" customFormat="1" ht="24" customHeight="1">
      <c r="W7199" s="1634"/>
    </row>
    <row r="7200" spans="23:23" s="1629" customFormat="1" ht="24" customHeight="1">
      <c r="W7200" s="1634"/>
    </row>
    <row r="7201" spans="23:23" s="1629" customFormat="1" ht="24" customHeight="1">
      <c r="W7201" s="1634"/>
    </row>
    <row r="7202" spans="23:23" s="1629" customFormat="1" ht="24" customHeight="1">
      <c r="W7202" s="1634"/>
    </row>
    <row r="7203" spans="23:23" s="1629" customFormat="1" ht="24" customHeight="1">
      <c r="W7203" s="1634"/>
    </row>
    <row r="7204" spans="23:23" s="1629" customFormat="1" ht="24" customHeight="1">
      <c r="W7204" s="1634"/>
    </row>
    <row r="7205" spans="23:23" s="1629" customFormat="1" ht="24" customHeight="1">
      <c r="W7205" s="1634"/>
    </row>
    <row r="7206" spans="23:23" s="1629" customFormat="1" ht="24" customHeight="1">
      <c r="W7206" s="1634"/>
    </row>
    <row r="7207" spans="23:23" s="1629" customFormat="1" ht="24" customHeight="1">
      <c r="W7207" s="1634"/>
    </row>
    <row r="7208" spans="23:23" s="1629" customFormat="1" ht="24" customHeight="1">
      <c r="W7208" s="1634"/>
    </row>
    <row r="7209" spans="23:23" s="1629" customFormat="1" ht="24" customHeight="1">
      <c r="W7209" s="1634"/>
    </row>
    <row r="7210" spans="23:23" s="1629" customFormat="1" ht="24" customHeight="1">
      <c r="W7210" s="1634"/>
    </row>
    <row r="7211" spans="23:23" s="1629" customFormat="1" ht="24" customHeight="1">
      <c r="W7211" s="1634"/>
    </row>
    <row r="7212" spans="23:23" s="1629" customFormat="1" ht="24" customHeight="1">
      <c r="W7212" s="1634"/>
    </row>
    <row r="7213" spans="23:23" s="1629" customFormat="1" ht="24" customHeight="1">
      <c r="W7213" s="1634"/>
    </row>
    <row r="7214" spans="23:23" s="1629" customFormat="1" ht="24" customHeight="1">
      <c r="W7214" s="1634"/>
    </row>
    <row r="7215" spans="23:23" s="1629" customFormat="1" ht="24" customHeight="1">
      <c r="W7215" s="1634"/>
    </row>
    <row r="7216" spans="23:23" s="1629" customFormat="1" ht="24" customHeight="1">
      <c r="W7216" s="1634"/>
    </row>
    <row r="7217" spans="23:23" s="1629" customFormat="1" ht="24" customHeight="1">
      <c r="W7217" s="1634"/>
    </row>
    <row r="7218" spans="23:23" s="1629" customFormat="1" ht="24" customHeight="1">
      <c r="W7218" s="1634"/>
    </row>
    <row r="7219" spans="23:23" s="1629" customFormat="1" ht="24" customHeight="1">
      <c r="W7219" s="1634"/>
    </row>
    <row r="7220" spans="23:23" s="1629" customFormat="1" ht="24" customHeight="1">
      <c r="W7220" s="1634"/>
    </row>
    <row r="7221" spans="23:23" s="1629" customFormat="1" ht="24" customHeight="1">
      <c r="W7221" s="1634"/>
    </row>
    <row r="7222" spans="23:23" s="1629" customFormat="1" ht="24" customHeight="1">
      <c r="W7222" s="1634"/>
    </row>
    <row r="7223" spans="23:23" s="1629" customFormat="1" ht="24" customHeight="1">
      <c r="W7223" s="1634"/>
    </row>
    <row r="7224" spans="23:23" s="1629" customFormat="1" ht="24" customHeight="1">
      <c r="W7224" s="1634"/>
    </row>
    <row r="7225" spans="23:23" s="1629" customFormat="1" ht="24" customHeight="1">
      <c r="W7225" s="1634"/>
    </row>
    <row r="7226" spans="23:23" s="1629" customFormat="1" ht="24" customHeight="1">
      <c r="W7226" s="1634"/>
    </row>
    <row r="7227" spans="23:23" s="1629" customFormat="1" ht="24" customHeight="1">
      <c r="W7227" s="1634"/>
    </row>
    <row r="7228" spans="23:23" s="1629" customFormat="1" ht="24" customHeight="1">
      <c r="W7228" s="1634"/>
    </row>
    <row r="7229" spans="23:23" s="1629" customFormat="1" ht="24" customHeight="1">
      <c r="W7229" s="1634"/>
    </row>
    <row r="7230" spans="23:23" s="1629" customFormat="1" ht="24" customHeight="1">
      <c r="W7230" s="1634"/>
    </row>
    <row r="7231" spans="23:23" s="1629" customFormat="1" ht="24" customHeight="1">
      <c r="W7231" s="1634"/>
    </row>
    <row r="7232" spans="23:23" s="1629" customFormat="1" ht="24" customHeight="1">
      <c r="W7232" s="1634"/>
    </row>
    <row r="7233" spans="23:23" s="1629" customFormat="1" ht="24" customHeight="1">
      <c r="W7233" s="1634"/>
    </row>
    <row r="7234" spans="23:23" s="1629" customFormat="1" ht="24" customHeight="1">
      <c r="W7234" s="1634"/>
    </row>
    <row r="7235" spans="23:23" s="1629" customFormat="1" ht="24" customHeight="1">
      <c r="W7235" s="1634"/>
    </row>
    <row r="7236" spans="23:23" s="1629" customFormat="1" ht="24" customHeight="1">
      <c r="W7236" s="1634"/>
    </row>
    <row r="7237" spans="23:23" s="1629" customFormat="1" ht="24" customHeight="1">
      <c r="W7237" s="1634"/>
    </row>
    <row r="7238" spans="23:23" s="1629" customFormat="1" ht="24" customHeight="1">
      <c r="W7238" s="1634"/>
    </row>
    <row r="7239" spans="23:23" s="1629" customFormat="1" ht="24" customHeight="1">
      <c r="W7239" s="1634"/>
    </row>
    <row r="7240" spans="23:23" s="1629" customFormat="1" ht="24" customHeight="1">
      <c r="W7240" s="1634"/>
    </row>
    <row r="7241" spans="23:23" s="1629" customFormat="1" ht="24" customHeight="1">
      <c r="W7241" s="1634"/>
    </row>
    <row r="7242" spans="23:23" s="1629" customFormat="1" ht="24" customHeight="1">
      <c r="W7242" s="1634"/>
    </row>
    <row r="7243" spans="23:23" s="1629" customFormat="1" ht="24" customHeight="1">
      <c r="W7243" s="1634"/>
    </row>
    <row r="7244" spans="23:23" s="1629" customFormat="1" ht="24" customHeight="1">
      <c r="W7244" s="1634"/>
    </row>
    <row r="7245" spans="23:23" s="1629" customFormat="1" ht="24" customHeight="1">
      <c r="W7245" s="1634"/>
    </row>
    <row r="7246" spans="23:23" s="1629" customFormat="1" ht="24" customHeight="1">
      <c r="W7246" s="1634"/>
    </row>
    <row r="7247" spans="23:23" s="1629" customFormat="1" ht="24" customHeight="1">
      <c r="W7247" s="1634"/>
    </row>
    <row r="7248" spans="23:23" s="1629" customFormat="1" ht="24" customHeight="1">
      <c r="W7248" s="1634"/>
    </row>
    <row r="7249" spans="23:23" s="1629" customFormat="1" ht="24" customHeight="1">
      <c r="W7249" s="1634"/>
    </row>
    <row r="7250" spans="23:23" s="1629" customFormat="1" ht="24" customHeight="1">
      <c r="W7250" s="1634"/>
    </row>
    <row r="7251" spans="23:23" s="1629" customFormat="1" ht="24" customHeight="1">
      <c r="W7251" s="1634"/>
    </row>
    <row r="7252" spans="23:23" s="1629" customFormat="1" ht="24" customHeight="1">
      <c r="W7252" s="1634"/>
    </row>
    <row r="7253" spans="23:23" s="1629" customFormat="1" ht="24" customHeight="1">
      <c r="W7253" s="1634"/>
    </row>
    <row r="7254" spans="23:23" s="1629" customFormat="1" ht="24" customHeight="1">
      <c r="W7254" s="1634"/>
    </row>
    <row r="7255" spans="23:23" s="1629" customFormat="1" ht="24" customHeight="1">
      <c r="W7255" s="1634"/>
    </row>
    <row r="7256" spans="23:23" s="1629" customFormat="1" ht="24" customHeight="1">
      <c r="W7256" s="1634"/>
    </row>
    <row r="7257" spans="23:23" s="1629" customFormat="1" ht="24" customHeight="1">
      <c r="W7257" s="1634"/>
    </row>
    <row r="7258" spans="23:23" s="1629" customFormat="1" ht="24" customHeight="1">
      <c r="W7258" s="1634"/>
    </row>
    <row r="7259" spans="23:23" s="1629" customFormat="1" ht="24" customHeight="1">
      <c r="W7259" s="1634"/>
    </row>
    <row r="7260" spans="23:23" s="1629" customFormat="1" ht="24" customHeight="1">
      <c r="W7260" s="1634"/>
    </row>
    <row r="7261" spans="23:23" s="1629" customFormat="1" ht="24" customHeight="1">
      <c r="W7261" s="1634"/>
    </row>
    <row r="7262" spans="23:23" s="1629" customFormat="1" ht="24" customHeight="1">
      <c r="W7262" s="1634"/>
    </row>
    <row r="7263" spans="23:23" s="1629" customFormat="1" ht="24" customHeight="1">
      <c r="W7263" s="1634"/>
    </row>
    <row r="7264" spans="23:23" s="1629" customFormat="1" ht="24" customHeight="1">
      <c r="W7264" s="1634"/>
    </row>
    <row r="7265" spans="23:23" s="1629" customFormat="1" ht="24" customHeight="1">
      <c r="W7265" s="1634"/>
    </row>
    <row r="7266" spans="23:23" s="1629" customFormat="1" ht="24" customHeight="1">
      <c r="W7266" s="1634"/>
    </row>
    <row r="7267" spans="23:23" s="1629" customFormat="1" ht="24" customHeight="1">
      <c r="W7267" s="1634"/>
    </row>
    <row r="7268" spans="23:23" s="1629" customFormat="1" ht="24" customHeight="1">
      <c r="W7268" s="1634"/>
    </row>
    <row r="7269" spans="23:23" s="1629" customFormat="1" ht="24" customHeight="1">
      <c r="W7269" s="1634"/>
    </row>
    <row r="7270" spans="23:23" s="1629" customFormat="1" ht="24" customHeight="1">
      <c r="W7270" s="1634"/>
    </row>
    <row r="7271" spans="23:23" s="1629" customFormat="1" ht="24" customHeight="1">
      <c r="W7271" s="1634"/>
    </row>
    <row r="7272" spans="23:23" s="1629" customFormat="1" ht="24" customHeight="1">
      <c r="W7272" s="1634"/>
    </row>
    <row r="7273" spans="23:23" s="1629" customFormat="1" ht="24" customHeight="1">
      <c r="W7273" s="1634"/>
    </row>
    <row r="7274" spans="23:23" s="1629" customFormat="1" ht="24" customHeight="1">
      <c r="W7274" s="1634"/>
    </row>
    <row r="7275" spans="23:23" s="1629" customFormat="1" ht="24" customHeight="1">
      <c r="W7275" s="1634"/>
    </row>
    <row r="7276" spans="23:23" s="1629" customFormat="1" ht="24" customHeight="1">
      <c r="W7276" s="1634"/>
    </row>
    <row r="7277" spans="23:23" s="1629" customFormat="1" ht="24" customHeight="1">
      <c r="W7277" s="1634"/>
    </row>
    <row r="7278" spans="23:23" s="1629" customFormat="1" ht="24" customHeight="1">
      <c r="W7278" s="1634"/>
    </row>
    <row r="7279" spans="23:23" s="1629" customFormat="1" ht="24" customHeight="1">
      <c r="W7279" s="1634"/>
    </row>
    <row r="7280" spans="23:23" s="1629" customFormat="1" ht="24" customHeight="1">
      <c r="W7280" s="1634"/>
    </row>
    <row r="7281" spans="23:23" s="1629" customFormat="1" ht="24" customHeight="1">
      <c r="W7281" s="1634"/>
    </row>
    <row r="7282" spans="23:23" s="1629" customFormat="1" ht="24" customHeight="1">
      <c r="W7282" s="1634"/>
    </row>
    <row r="7283" spans="23:23" s="1629" customFormat="1" ht="24" customHeight="1">
      <c r="W7283" s="1634"/>
    </row>
    <row r="7284" spans="23:23" s="1629" customFormat="1" ht="24" customHeight="1">
      <c r="W7284" s="1634"/>
    </row>
    <row r="7285" spans="23:23" s="1629" customFormat="1" ht="24" customHeight="1">
      <c r="W7285" s="1634"/>
    </row>
    <row r="7286" spans="23:23" s="1629" customFormat="1" ht="24" customHeight="1">
      <c r="W7286" s="1634"/>
    </row>
    <row r="7287" spans="23:23" s="1629" customFormat="1" ht="24" customHeight="1">
      <c r="W7287" s="1634"/>
    </row>
    <row r="7288" spans="23:23" s="1629" customFormat="1" ht="24" customHeight="1">
      <c r="W7288" s="1634"/>
    </row>
    <row r="7289" spans="23:23" s="1629" customFormat="1" ht="24" customHeight="1">
      <c r="W7289" s="1634"/>
    </row>
    <row r="7290" spans="23:23" s="1629" customFormat="1" ht="24" customHeight="1">
      <c r="W7290" s="1634"/>
    </row>
    <row r="7291" spans="23:23" s="1629" customFormat="1" ht="24" customHeight="1">
      <c r="W7291" s="1634"/>
    </row>
    <row r="7292" spans="23:23" s="1629" customFormat="1" ht="24" customHeight="1">
      <c r="W7292" s="1634"/>
    </row>
    <row r="7293" spans="23:23" s="1629" customFormat="1" ht="24" customHeight="1">
      <c r="W7293" s="1634"/>
    </row>
    <row r="7294" spans="23:23" s="1629" customFormat="1" ht="24" customHeight="1">
      <c r="W7294" s="1634"/>
    </row>
    <row r="7295" spans="23:23" s="1629" customFormat="1" ht="24" customHeight="1">
      <c r="W7295" s="1634"/>
    </row>
    <row r="7296" spans="23:23" s="1629" customFormat="1" ht="24" customHeight="1">
      <c r="W7296" s="1634"/>
    </row>
    <row r="7297" spans="23:23" s="1629" customFormat="1" ht="24" customHeight="1">
      <c r="W7297" s="1634"/>
    </row>
    <row r="7298" spans="23:23" s="1629" customFormat="1" ht="24" customHeight="1">
      <c r="W7298" s="1634"/>
    </row>
    <row r="7299" spans="23:23" s="1629" customFormat="1" ht="24" customHeight="1">
      <c r="W7299" s="1634"/>
    </row>
    <row r="7300" spans="23:23" s="1629" customFormat="1" ht="24" customHeight="1">
      <c r="W7300" s="1634"/>
    </row>
    <row r="7301" spans="23:23" s="1629" customFormat="1" ht="24" customHeight="1">
      <c r="W7301" s="1634"/>
    </row>
    <row r="7302" spans="23:23" s="1629" customFormat="1" ht="24" customHeight="1">
      <c r="W7302" s="1634"/>
    </row>
    <row r="7303" spans="23:23" s="1629" customFormat="1" ht="24" customHeight="1">
      <c r="W7303" s="1634"/>
    </row>
    <row r="7304" spans="23:23" s="1629" customFormat="1" ht="24" customHeight="1">
      <c r="W7304" s="1634"/>
    </row>
    <row r="7305" spans="23:23" s="1629" customFormat="1" ht="24" customHeight="1">
      <c r="W7305" s="1634"/>
    </row>
    <row r="7306" spans="23:23" s="1629" customFormat="1" ht="24" customHeight="1">
      <c r="W7306" s="1634"/>
    </row>
    <row r="7307" spans="23:23" s="1629" customFormat="1" ht="24" customHeight="1">
      <c r="W7307" s="1634"/>
    </row>
    <row r="7308" spans="23:23" s="1629" customFormat="1" ht="24" customHeight="1">
      <c r="W7308" s="1634"/>
    </row>
    <row r="7309" spans="23:23" s="1629" customFormat="1" ht="24" customHeight="1">
      <c r="W7309" s="1634"/>
    </row>
    <row r="7310" spans="23:23" s="1629" customFormat="1" ht="24" customHeight="1">
      <c r="W7310" s="1634"/>
    </row>
    <row r="7311" spans="23:23" s="1629" customFormat="1" ht="24" customHeight="1">
      <c r="W7311" s="1634"/>
    </row>
    <row r="7312" spans="23:23" s="1629" customFormat="1" ht="24" customHeight="1">
      <c r="W7312" s="1634"/>
    </row>
    <row r="7313" spans="23:23" s="1629" customFormat="1" ht="24" customHeight="1">
      <c r="W7313" s="1634"/>
    </row>
    <row r="7314" spans="23:23" s="1629" customFormat="1" ht="24" customHeight="1">
      <c r="W7314" s="1634"/>
    </row>
    <row r="7315" spans="23:23" s="1629" customFormat="1" ht="24" customHeight="1">
      <c r="W7315" s="1634"/>
    </row>
    <row r="7316" spans="23:23" s="1629" customFormat="1" ht="24" customHeight="1">
      <c r="W7316" s="1634"/>
    </row>
    <row r="7317" spans="23:23" s="1629" customFormat="1" ht="24" customHeight="1">
      <c r="W7317" s="1634"/>
    </row>
    <row r="7318" spans="23:23" s="1629" customFormat="1" ht="24" customHeight="1">
      <c r="W7318" s="1634"/>
    </row>
    <row r="7319" spans="23:23" s="1629" customFormat="1" ht="24" customHeight="1">
      <c r="W7319" s="1634"/>
    </row>
    <row r="7320" spans="23:23" s="1629" customFormat="1" ht="24" customHeight="1">
      <c r="W7320" s="1634"/>
    </row>
    <row r="7321" spans="23:23" s="1629" customFormat="1" ht="24" customHeight="1">
      <c r="W7321" s="1634"/>
    </row>
    <row r="7322" spans="23:23" s="1629" customFormat="1" ht="24" customHeight="1">
      <c r="W7322" s="1634"/>
    </row>
    <row r="7323" spans="23:23" s="1629" customFormat="1" ht="24" customHeight="1">
      <c r="W7323" s="1634"/>
    </row>
    <row r="7324" spans="23:23" s="1629" customFormat="1" ht="24" customHeight="1">
      <c r="W7324" s="1634"/>
    </row>
    <row r="7325" spans="23:23" s="1629" customFormat="1" ht="24" customHeight="1">
      <c r="W7325" s="1634"/>
    </row>
    <row r="7326" spans="23:23" s="1629" customFormat="1" ht="24" customHeight="1">
      <c r="W7326" s="1634"/>
    </row>
    <row r="7327" spans="23:23" s="1629" customFormat="1" ht="24" customHeight="1">
      <c r="W7327" s="1634"/>
    </row>
    <row r="7328" spans="23:23" s="1629" customFormat="1" ht="24" customHeight="1">
      <c r="W7328" s="1634"/>
    </row>
    <row r="7329" spans="23:23" s="1629" customFormat="1" ht="24" customHeight="1">
      <c r="W7329" s="1634"/>
    </row>
    <row r="7330" spans="23:23" s="1629" customFormat="1" ht="24" customHeight="1">
      <c r="W7330" s="1634"/>
    </row>
    <row r="7331" spans="23:23" s="1629" customFormat="1" ht="24" customHeight="1">
      <c r="W7331" s="1634"/>
    </row>
    <row r="7332" spans="23:23" s="1629" customFormat="1" ht="24" customHeight="1">
      <c r="W7332" s="1634"/>
    </row>
    <row r="7333" spans="23:23" s="1629" customFormat="1" ht="24" customHeight="1">
      <c r="W7333" s="1634"/>
    </row>
    <row r="7334" spans="23:23" s="1629" customFormat="1" ht="24" customHeight="1">
      <c r="W7334" s="1634"/>
    </row>
    <row r="7335" spans="23:23" s="1629" customFormat="1" ht="24" customHeight="1">
      <c r="W7335" s="1634"/>
    </row>
    <row r="7336" spans="23:23" s="1629" customFormat="1" ht="24" customHeight="1">
      <c r="W7336" s="1634"/>
    </row>
    <row r="7337" spans="23:23" s="1629" customFormat="1" ht="24" customHeight="1">
      <c r="W7337" s="1634"/>
    </row>
    <row r="7338" spans="23:23" s="1629" customFormat="1" ht="24" customHeight="1">
      <c r="W7338" s="1634"/>
    </row>
    <row r="7339" spans="23:23" s="1629" customFormat="1" ht="24" customHeight="1">
      <c r="W7339" s="1634"/>
    </row>
    <row r="7340" spans="23:23" s="1629" customFormat="1" ht="24" customHeight="1">
      <c r="W7340" s="1634"/>
    </row>
    <row r="7341" spans="23:23" s="1629" customFormat="1" ht="24" customHeight="1">
      <c r="W7341" s="1634"/>
    </row>
    <row r="7342" spans="23:23" s="1629" customFormat="1" ht="24" customHeight="1">
      <c r="W7342" s="1634"/>
    </row>
    <row r="7343" spans="23:23" s="1629" customFormat="1" ht="24" customHeight="1">
      <c r="W7343" s="1634"/>
    </row>
    <row r="7344" spans="23:23" s="1629" customFormat="1" ht="24" customHeight="1">
      <c r="W7344" s="1634"/>
    </row>
    <row r="7345" spans="23:23" s="1629" customFormat="1" ht="24" customHeight="1">
      <c r="W7345" s="1634"/>
    </row>
    <row r="7346" spans="23:23" s="1629" customFormat="1" ht="24" customHeight="1">
      <c r="W7346" s="1634"/>
    </row>
    <row r="7347" spans="23:23" s="1629" customFormat="1" ht="24" customHeight="1">
      <c r="W7347" s="1634"/>
    </row>
    <row r="7348" spans="23:23" s="1629" customFormat="1" ht="24" customHeight="1">
      <c r="W7348" s="1634"/>
    </row>
    <row r="7349" spans="23:23" s="1629" customFormat="1" ht="24" customHeight="1">
      <c r="W7349" s="1634"/>
    </row>
    <row r="7350" spans="23:23" s="1629" customFormat="1" ht="24" customHeight="1">
      <c r="W7350" s="1634"/>
    </row>
    <row r="7351" spans="23:23" s="1629" customFormat="1" ht="24" customHeight="1">
      <c r="W7351" s="1634"/>
    </row>
    <row r="7352" spans="23:23" s="1629" customFormat="1" ht="24" customHeight="1">
      <c r="W7352" s="1634"/>
    </row>
    <row r="7353" spans="23:23" s="1629" customFormat="1" ht="24" customHeight="1">
      <c r="W7353" s="1634"/>
    </row>
    <row r="7354" spans="23:23" s="1629" customFormat="1" ht="24" customHeight="1">
      <c r="W7354" s="1634"/>
    </row>
    <row r="7355" spans="23:23" s="1629" customFormat="1" ht="24" customHeight="1">
      <c r="W7355" s="1634"/>
    </row>
    <row r="7356" spans="23:23" s="1629" customFormat="1" ht="24" customHeight="1">
      <c r="W7356" s="1634"/>
    </row>
    <row r="7357" spans="23:23" s="1629" customFormat="1" ht="24" customHeight="1">
      <c r="W7357" s="1634"/>
    </row>
    <row r="7358" spans="23:23" s="1629" customFormat="1" ht="24" customHeight="1">
      <c r="W7358" s="1634"/>
    </row>
    <row r="7359" spans="23:23" s="1629" customFormat="1" ht="24" customHeight="1">
      <c r="W7359" s="1634"/>
    </row>
    <row r="7360" spans="23:23" s="1629" customFormat="1" ht="24" customHeight="1">
      <c r="W7360" s="1634"/>
    </row>
    <row r="7361" spans="23:23" s="1629" customFormat="1" ht="24" customHeight="1">
      <c r="W7361" s="1634"/>
    </row>
    <row r="7362" spans="23:23" s="1629" customFormat="1" ht="24" customHeight="1">
      <c r="W7362" s="1634"/>
    </row>
    <row r="7363" spans="23:23" s="1629" customFormat="1" ht="24" customHeight="1">
      <c r="W7363" s="1634"/>
    </row>
    <row r="7364" spans="23:23" s="1629" customFormat="1" ht="24" customHeight="1">
      <c r="W7364" s="1634"/>
    </row>
    <row r="7365" spans="23:23" s="1629" customFormat="1" ht="24" customHeight="1">
      <c r="W7365" s="1634"/>
    </row>
    <row r="7366" spans="23:23" s="1629" customFormat="1" ht="24" customHeight="1">
      <c r="W7366" s="1634"/>
    </row>
    <row r="7367" spans="23:23" s="1629" customFormat="1" ht="24" customHeight="1">
      <c r="W7367" s="1634"/>
    </row>
    <row r="7368" spans="23:23" s="1629" customFormat="1" ht="24" customHeight="1">
      <c r="W7368" s="1634"/>
    </row>
    <row r="7369" spans="23:23" s="1629" customFormat="1" ht="24" customHeight="1">
      <c r="W7369" s="1634"/>
    </row>
    <row r="7370" spans="23:23" s="1629" customFormat="1" ht="24" customHeight="1">
      <c r="W7370" s="1634"/>
    </row>
    <row r="7371" spans="23:23" s="1629" customFormat="1" ht="24" customHeight="1">
      <c r="W7371" s="1634"/>
    </row>
    <row r="7372" spans="23:23" s="1629" customFormat="1" ht="24" customHeight="1">
      <c r="W7372" s="1634"/>
    </row>
    <row r="7373" spans="23:23" s="1629" customFormat="1" ht="24" customHeight="1">
      <c r="W7373" s="1634"/>
    </row>
    <row r="7374" spans="23:23" s="1629" customFormat="1" ht="24" customHeight="1">
      <c r="W7374" s="1634"/>
    </row>
    <row r="7375" spans="23:23" s="1629" customFormat="1" ht="24" customHeight="1">
      <c r="W7375" s="1634"/>
    </row>
    <row r="7376" spans="23:23" s="1629" customFormat="1" ht="24" customHeight="1">
      <c r="W7376" s="1634"/>
    </row>
    <row r="7377" spans="23:23" s="1629" customFormat="1" ht="24" customHeight="1">
      <c r="W7377" s="1634"/>
    </row>
    <row r="7378" spans="23:23" s="1629" customFormat="1" ht="24" customHeight="1">
      <c r="W7378" s="1634"/>
    </row>
    <row r="7379" spans="23:23" s="1629" customFormat="1" ht="24" customHeight="1">
      <c r="W7379" s="1634"/>
    </row>
    <row r="7380" spans="23:23" s="1629" customFormat="1" ht="24" customHeight="1">
      <c r="W7380" s="1634"/>
    </row>
    <row r="7381" spans="23:23" s="1629" customFormat="1" ht="24" customHeight="1">
      <c r="W7381" s="1634"/>
    </row>
    <row r="7382" spans="23:23" s="1629" customFormat="1" ht="24" customHeight="1">
      <c r="W7382" s="1634"/>
    </row>
    <row r="7383" spans="23:23" s="1629" customFormat="1" ht="24" customHeight="1">
      <c r="W7383" s="1634"/>
    </row>
    <row r="7384" spans="23:23" s="1629" customFormat="1" ht="24" customHeight="1">
      <c r="W7384" s="1634"/>
    </row>
    <row r="7385" spans="23:23" s="1629" customFormat="1" ht="24" customHeight="1">
      <c r="W7385" s="1634"/>
    </row>
    <row r="7386" spans="23:23" s="1629" customFormat="1" ht="24" customHeight="1">
      <c r="W7386" s="1634"/>
    </row>
    <row r="7387" spans="23:23" s="1629" customFormat="1" ht="24" customHeight="1">
      <c r="W7387" s="1634"/>
    </row>
    <row r="7388" spans="23:23" s="1629" customFormat="1" ht="24" customHeight="1">
      <c r="W7388" s="1634"/>
    </row>
    <row r="7389" spans="23:23" s="1629" customFormat="1" ht="24" customHeight="1">
      <c r="W7389" s="1634"/>
    </row>
    <row r="7390" spans="23:23" s="1629" customFormat="1" ht="24" customHeight="1">
      <c r="W7390" s="1634"/>
    </row>
    <row r="7391" spans="23:23" s="1629" customFormat="1" ht="24" customHeight="1">
      <c r="W7391" s="1634"/>
    </row>
    <row r="7392" spans="23:23" s="1629" customFormat="1" ht="24" customHeight="1">
      <c r="W7392" s="1634"/>
    </row>
    <row r="7393" spans="23:23" s="1629" customFormat="1" ht="24" customHeight="1">
      <c r="W7393" s="1634"/>
    </row>
    <row r="7394" spans="23:23" s="1629" customFormat="1" ht="24" customHeight="1">
      <c r="W7394" s="1634"/>
    </row>
    <row r="7395" spans="23:23" s="1629" customFormat="1" ht="24" customHeight="1">
      <c r="W7395" s="1634"/>
    </row>
    <row r="7396" spans="23:23" s="1629" customFormat="1" ht="24" customHeight="1">
      <c r="W7396" s="1634"/>
    </row>
    <row r="7397" spans="23:23" s="1629" customFormat="1" ht="24" customHeight="1">
      <c r="W7397" s="1634"/>
    </row>
    <row r="7398" spans="23:23" s="1629" customFormat="1" ht="24" customHeight="1">
      <c r="W7398" s="1634"/>
    </row>
    <row r="7399" spans="23:23" s="1629" customFormat="1" ht="24" customHeight="1">
      <c r="W7399" s="1634"/>
    </row>
    <row r="7400" spans="23:23" s="1629" customFormat="1" ht="24" customHeight="1">
      <c r="W7400" s="1634"/>
    </row>
    <row r="7401" spans="23:23" s="1629" customFormat="1" ht="24" customHeight="1">
      <c r="W7401" s="1634"/>
    </row>
    <row r="7402" spans="23:23" s="1629" customFormat="1" ht="24" customHeight="1">
      <c r="W7402" s="1634"/>
    </row>
    <row r="7403" spans="23:23" s="1629" customFormat="1" ht="24" customHeight="1">
      <c r="W7403" s="1634"/>
    </row>
    <row r="7404" spans="23:23" s="1629" customFormat="1" ht="24" customHeight="1">
      <c r="W7404" s="1634"/>
    </row>
    <row r="7405" spans="23:23" s="1629" customFormat="1" ht="24" customHeight="1">
      <c r="W7405" s="1634"/>
    </row>
    <row r="7406" spans="23:23" s="1629" customFormat="1" ht="24" customHeight="1">
      <c r="W7406" s="1634"/>
    </row>
    <row r="7407" spans="23:23" s="1629" customFormat="1" ht="24" customHeight="1">
      <c r="W7407" s="1634"/>
    </row>
    <row r="7408" spans="23:23" s="1629" customFormat="1" ht="24" customHeight="1">
      <c r="W7408" s="1634"/>
    </row>
    <row r="7409" spans="23:23" s="1629" customFormat="1" ht="24" customHeight="1">
      <c r="W7409" s="1634"/>
    </row>
    <row r="7410" spans="23:23" s="1629" customFormat="1" ht="24" customHeight="1">
      <c r="W7410" s="1634"/>
    </row>
    <row r="7411" spans="23:23" s="1629" customFormat="1" ht="24" customHeight="1">
      <c r="W7411" s="1634"/>
    </row>
    <row r="7412" spans="23:23" s="1629" customFormat="1" ht="24" customHeight="1">
      <c r="W7412" s="1634"/>
    </row>
    <row r="7413" spans="23:23" s="1629" customFormat="1" ht="24" customHeight="1">
      <c r="W7413" s="1634"/>
    </row>
    <row r="7414" spans="23:23" s="1629" customFormat="1" ht="24" customHeight="1">
      <c r="W7414" s="1634"/>
    </row>
    <row r="7415" spans="23:23" s="1629" customFormat="1" ht="24" customHeight="1">
      <c r="W7415" s="1634"/>
    </row>
    <row r="7416" spans="23:23" s="1629" customFormat="1" ht="24" customHeight="1">
      <c r="W7416" s="1634"/>
    </row>
    <row r="7417" spans="23:23" s="1629" customFormat="1" ht="24" customHeight="1">
      <c r="W7417" s="1634"/>
    </row>
    <row r="7418" spans="23:23" s="1629" customFormat="1" ht="24" customHeight="1">
      <c r="W7418" s="1634"/>
    </row>
    <row r="7419" spans="23:23" s="1629" customFormat="1" ht="24" customHeight="1">
      <c r="W7419" s="1634"/>
    </row>
    <row r="7420" spans="23:23" s="1629" customFormat="1" ht="24" customHeight="1">
      <c r="W7420" s="1634"/>
    </row>
    <row r="7421" spans="23:23" s="1629" customFormat="1" ht="24" customHeight="1">
      <c r="W7421" s="1634"/>
    </row>
    <row r="7422" spans="23:23" s="1629" customFormat="1" ht="24" customHeight="1">
      <c r="W7422" s="1634"/>
    </row>
    <row r="7423" spans="23:23" s="1629" customFormat="1" ht="24" customHeight="1">
      <c r="W7423" s="1634"/>
    </row>
    <row r="7424" spans="23:23" s="1629" customFormat="1" ht="24" customHeight="1">
      <c r="W7424" s="1634"/>
    </row>
    <row r="7425" spans="23:23" s="1629" customFormat="1" ht="24" customHeight="1">
      <c r="W7425" s="1634"/>
    </row>
    <row r="7426" spans="23:23" s="1629" customFormat="1" ht="24" customHeight="1">
      <c r="W7426" s="1634"/>
    </row>
    <row r="7427" spans="23:23" s="1629" customFormat="1" ht="24" customHeight="1">
      <c r="W7427" s="1634"/>
    </row>
    <row r="7428" spans="23:23" s="1629" customFormat="1" ht="24" customHeight="1">
      <c r="W7428" s="1634"/>
    </row>
    <row r="7429" spans="23:23" s="1629" customFormat="1" ht="24" customHeight="1">
      <c r="W7429" s="1634"/>
    </row>
    <row r="7430" spans="23:23" s="1629" customFormat="1" ht="24" customHeight="1">
      <c r="W7430" s="1634"/>
    </row>
    <row r="7431" spans="23:23" s="1629" customFormat="1" ht="24" customHeight="1">
      <c r="W7431" s="1634"/>
    </row>
    <row r="7432" spans="23:23" s="1629" customFormat="1" ht="24" customHeight="1">
      <c r="W7432" s="1634"/>
    </row>
    <row r="7433" spans="23:23" s="1629" customFormat="1" ht="24" customHeight="1">
      <c r="W7433" s="1634"/>
    </row>
    <row r="7434" spans="23:23" s="1629" customFormat="1" ht="24" customHeight="1">
      <c r="W7434" s="1634"/>
    </row>
    <row r="7435" spans="23:23" s="1629" customFormat="1" ht="24" customHeight="1">
      <c r="W7435" s="1634"/>
    </row>
    <row r="7436" spans="23:23" s="1629" customFormat="1" ht="24" customHeight="1">
      <c r="W7436" s="1634"/>
    </row>
    <row r="7437" spans="23:23" s="1629" customFormat="1" ht="24" customHeight="1">
      <c r="W7437" s="1634"/>
    </row>
    <row r="7438" spans="23:23" s="1629" customFormat="1" ht="24" customHeight="1">
      <c r="W7438" s="1634"/>
    </row>
    <row r="7439" spans="23:23" s="1629" customFormat="1" ht="24" customHeight="1">
      <c r="W7439" s="1634"/>
    </row>
    <row r="7440" spans="23:23" s="1629" customFormat="1" ht="24" customHeight="1">
      <c r="W7440" s="1634"/>
    </row>
    <row r="7441" spans="23:23" s="1629" customFormat="1" ht="24" customHeight="1">
      <c r="W7441" s="1634"/>
    </row>
    <row r="7442" spans="23:23" s="1629" customFormat="1" ht="24" customHeight="1">
      <c r="W7442" s="1634"/>
    </row>
    <row r="7443" spans="23:23" s="1629" customFormat="1" ht="24" customHeight="1">
      <c r="W7443" s="1634"/>
    </row>
    <row r="7444" spans="23:23" s="1629" customFormat="1" ht="24" customHeight="1">
      <c r="W7444" s="1634"/>
    </row>
    <row r="7445" spans="23:23" s="1629" customFormat="1" ht="24" customHeight="1">
      <c r="W7445" s="1634"/>
    </row>
    <row r="7446" spans="23:23" s="1629" customFormat="1" ht="24" customHeight="1">
      <c r="W7446" s="1634"/>
    </row>
    <row r="7447" spans="23:23" s="1629" customFormat="1" ht="24" customHeight="1">
      <c r="W7447" s="1634"/>
    </row>
    <row r="7448" spans="23:23" s="1629" customFormat="1" ht="24" customHeight="1">
      <c r="W7448" s="1634"/>
    </row>
    <row r="7449" spans="23:23" s="1629" customFormat="1" ht="24" customHeight="1">
      <c r="W7449" s="1634"/>
    </row>
    <row r="7450" spans="23:23" s="1629" customFormat="1" ht="24" customHeight="1">
      <c r="W7450" s="1634"/>
    </row>
    <row r="7451" spans="23:23" s="1629" customFormat="1" ht="24" customHeight="1">
      <c r="W7451" s="1634"/>
    </row>
    <row r="7452" spans="23:23" s="1629" customFormat="1" ht="24" customHeight="1">
      <c r="W7452" s="1634"/>
    </row>
    <row r="7453" spans="23:23" s="1629" customFormat="1" ht="24" customHeight="1">
      <c r="W7453" s="1634"/>
    </row>
    <row r="7454" spans="23:23" s="1629" customFormat="1" ht="24" customHeight="1">
      <c r="W7454" s="1634"/>
    </row>
    <row r="7455" spans="23:23" s="1629" customFormat="1" ht="24" customHeight="1">
      <c r="W7455" s="1634"/>
    </row>
    <row r="7456" spans="23:23" s="1629" customFormat="1" ht="24" customHeight="1">
      <c r="W7456" s="1634"/>
    </row>
    <row r="7457" spans="23:23" s="1629" customFormat="1" ht="24" customHeight="1">
      <c r="W7457" s="1634"/>
    </row>
    <row r="7458" spans="23:23" s="1629" customFormat="1" ht="24" customHeight="1">
      <c r="W7458" s="1634"/>
    </row>
    <row r="7459" spans="23:23" s="1629" customFormat="1" ht="24" customHeight="1">
      <c r="W7459" s="1634"/>
    </row>
    <row r="7460" spans="23:23" s="1629" customFormat="1" ht="24" customHeight="1">
      <c r="W7460" s="1634"/>
    </row>
    <row r="7461" spans="23:23" s="1629" customFormat="1" ht="24" customHeight="1">
      <c r="W7461" s="1634"/>
    </row>
    <row r="7462" spans="23:23" s="1629" customFormat="1" ht="24" customHeight="1">
      <c r="W7462" s="1634"/>
    </row>
    <row r="7463" spans="23:23" s="1629" customFormat="1" ht="24" customHeight="1">
      <c r="W7463" s="1634"/>
    </row>
    <row r="7464" spans="23:23" s="1629" customFormat="1" ht="24" customHeight="1">
      <c r="W7464" s="1634"/>
    </row>
    <row r="7465" spans="23:23" s="1629" customFormat="1" ht="24" customHeight="1">
      <c r="W7465" s="1634"/>
    </row>
    <row r="7466" spans="23:23" s="1629" customFormat="1" ht="24" customHeight="1">
      <c r="W7466" s="1634"/>
    </row>
    <row r="7467" spans="23:23" s="1629" customFormat="1" ht="24" customHeight="1">
      <c r="W7467" s="1634"/>
    </row>
    <row r="7468" spans="23:23" s="1629" customFormat="1" ht="24" customHeight="1">
      <c r="W7468" s="1634"/>
    </row>
    <row r="7469" spans="23:23" s="1629" customFormat="1" ht="24" customHeight="1">
      <c r="W7469" s="1634"/>
    </row>
    <row r="7470" spans="23:23" s="1629" customFormat="1" ht="24" customHeight="1">
      <c r="W7470" s="1634"/>
    </row>
    <row r="7471" spans="23:23" s="1629" customFormat="1" ht="24" customHeight="1">
      <c r="W7471" s="1634"/>
    </row>
    <row r="7472" spans="23:23" s="1629" customFormat="1" ht="24" customHeight="1">
      <c r="W7472" s="1634"/>
    </row>
    <row r="7473" spans="23:23" s="1629" customFormat="1" ht="24" customHeight="1">
      <c r="W7473" s="1634"/>
    </row>
    <row r="7474" spans="23:23" s="1629" customFormat="1" ht="24" customHeight="1">
      <c r="W7474" s="1634"/>
    </row>
    <row r="7475" spans="23:23" s="1629" customFormat="1" ht="24" customHeight="1">
      <c r="W7475" s="1634"/>
    </row>
    <row r="7476" spans="23:23" s="1629" customFormat="1" ht="24" customHeight="1">
      <c r="W7476" s="1634"/>
    </row>
    <row r="7477" spans="23:23" s="1629" customFormat="1" ht="24" customHeight="1">
      <c r="W7477" s="1634"/>
    </row>
    <row r="7478" spans="23:23" s="1629" customFormat="1" ht="24" customHeight="1">
      <c r="W7478" s="1634"/>
    </row>
    <row r="7479" spans="23:23" s="1629" customFormat="1" ht="24" customHeight="1">
      <c r="W7479" s="1634"/>
    </row>
    <row r="7480" spans="23:23" s="1629" customFormat="1" ht="24" customHeight="1">
      <c r="W7480" s="1634"/>
    </row>
    <row r="7481" spans="23:23" s="1629" customFormat="1" ht="24" customHeight="1">
      <c r="W7481" s="1634"/>
    </row>
    <row r="7482" spans="23:23" s="1629" customFormat="1" ht="24" customHeight="1">
      <c r="W7482" s="1634"/>
    </row>
    <row r="7483" spans="23:23" s="1629" customFormat="1" ht="24" customHeight="1">
      <c r="W7483" s="1634"/>
    </row>
    <row r="7484" spans="23:23" s="1629" customFormat="1" ht="24" customHeight="1">
      <c r="W7484" s="1634"/>
    </row>
    <row r="7485" spans="23:23" s="1629" customFormat="1" ht="24" customHeight="1">
      <c r="W7485" s="1634"/>
    </row>
    <row r="7486" spans="23:23" s="1629" customFormat="1" ht="24" customHeight="1">
      <c r="W7486" s="1634"/>
    </row>
    <row r="7487" spans="23:23" s="1629" customFormat="1" ht="24" customHeight="1">
      <c r="W7487" s="1634"/>
    </row>
    <row r="7488" spans="23:23" s="1629" customFormat="1" ht="24" customHeight="1">
      <c r="W7488" s="1634"/>
    </row>
    <row r="7489" spans="23:23" s="1629" customFormat="1" ht="24" customHeight="1">
      <c r="W7489" s="1634"/>
    </row>
    <row r="7490" spans="23:23" s="1629" customFormat="1" ht="24" customHeight="1">
      <c r="W7490" s="1634"/>
    </row>
    <row r="7491" spans="23:23" s="1629" customFormat="1" ht="24" customHeight="1">
      <c r="W7491" s="1634"/>
    </row>
    <row r="7492" spans="23:23" s="1629" customFormat="1" ht="24" customHeight="1">
      <c r="W7492" s="1634"/>
    </row>
    <row r="7493" spans="23:23" s="1629" customFormat="1" ht="24" customHeight="1">
      <c r="W7493" s="1634"/>
    </row>
    <row r="7494" spans="23:23" s="1629" customFormat="1" ht="24" customHeight="1">
      <c r="W7494" s="1634"/>
    </row>
    <row r="7495" spans="23:23" s="1629" customFormat="1" ht="24" customHeight="1">
      <c r="W7495" s="1634"/>
    </row>
    <row r="7496" spans="23:23" s="1629" customFormat="1" ht="24" customHeight="1">
      <c r="W7496" s="1634"/>
    </row>
    <row r="7497" spans="23:23" s="1629" customFormat="1" ht="24" customHeight="1">
      <c r="W7497" s="1634"/>
    </row>
    <row r="7498" spans="23:23" s="1629" customFormat="1" ht="24" customHeight="1">
      <c r="W7498" s="1634"/>
    </row>
    <row r="7499" spans="23:23" s="1629" customFormat="1" ht="24" customHeight="1">
      <c r="W7499" s="1634"/>
    </row>
    <row r="7500" spans="23:23" s="1629" customFormat="1" ht="24" customHeight="1">
      <c r="W7500" s="1634"/>
    </row>
    <row r="7501" spans="23:23" s="1629" customFormat="1" ht="24" customHeight="1">
      <c r="W7501" s="1634"/>
    </row>
    <row r="7502" spans="23:23" s="1629" customFormat="1" ht="24" customHeight="1">
      <c r="W7502" s="1634"/>
    </row>
    <row r="7503" spans="23:23" s="1629" customFormat="1" ht="24" customHeight="1">
      <c r="W7503" s="1634"/>
    </row>
    <row r="7504" spans="23:23" s="1629" customFormat="1" ht="24" customHeight="1">
      <c r="W7504" s="1634"/>
    </row>
    <row r="7505" spans="23:23" s="1629" customFormat="1" ht="24" customHeight="1">
      <c r="W7505" s="1634"/>
    </row>
    <row r="7506" spans="23:23" s="1629" customFormat="1" ht="24" customHeight="1">
      <c r="W7506" s="1634"/>
    </row>
    <row r="7507" spans="23:23" s="1629" customFormat="1" ht="24" customHeight="1">
      <c r="W7507" s="1634"/>
    </row>
    <row r="7508" spans="23:23" s="1629" customFormat="1" ht="24" customHeight="1">
      <c r="W7508" s="1634"/>
    </row>
    <row r="7509" spans="23:23" s="1629" customFormat="1" ht="24" customHeight="1">
      <c r="W7509" s="1634"/>
    </row>
    <row r="7510" spans="23:23" s="1629" customFormat="1" ht="24" customHeight="1">
      <c r="W7510" s="1634"/>
    </row>
    <row r="7511" spans="23:23" s="1629" customFormat="1" ht="24" customHeight="1">
      <c r="W7511" s="1634"/>
    </row>
    <row r="7512" spans="23:23" s="1629" customFormat="1" ht="24" customHeight="1">
      <c r="W7512" s="1634"/>
    </row>
    <row r="7513" spans="23:23" s="1629" customFormat="1" ht="24" customHeight="1">
      <c r="W7513" s="1634"/>
    </row>
    <row r="7514" spans="23:23" s="1629" customFormat="1" ht="24" customHeight="1">
      <c r="W7514" s="1634"/>
    </row>
    <row r="7515" spans="23:23" s="1629" customFormat="1" ht="24" customHeight="1">
      <c r="W7515" s="1634"/>
    </row>
    <row r="7516" spans="23:23" s="1629" customFormat="1" ht="24" customHeight="1">
      <c r="W7516" s="1634"/>
    </row>
    <row r="7517" spans="23:23" s="1629" customFormat="1" ht="24" customHeight="1">
      <c r="W7517" s="1634"/>
    </row>
    <row r="7518" spans="23:23" s="1629" customFormat="1" ht="24" customHeight="1">
      <c r="W7518" s="1634"/>
    </row>
    <row r="7519" spans="23:23" s="1629" customFormat="1" ht="24" customHeight="1">
      <c r="W7519" s="1634"/>
    </row>
    <row r="7520" spans="23:23" s="1629" customFormat="1" ht="24" customHeight="1">
      <c r="W7520" s="1634"/>
    </row>
    <row r="7521" spans="23:23" s="1629" customFormat="1" ht="24" customHeight="1">
      <c r="W7521" s="1634"/>
    </row>
    <row r="7522" spans="23:23" s="1629" customFormat="1" ht="24" customHeight="1">
      <c r="W7522" s="1634"/>
    </row>
    <row r="7523" spans="23:23" s="1629" customFormat="1" ht="24" customHeight="1">
      <c r="W7523" s="1634"/>
    </row>
    <row r="7524" spans="23:23" s="1629" customFormat="1" ht="24" customHeight="1">
      <c r="W7524" s="1634"/>
    </row>
    <row r="7525" spans="23:23" s="1629" customFormat="1" ht="24" customHeight="1">
      <c r="W7525" s="1634"/>
    </row>
    <row r="7526" spans="23:23" s="1629" customFormat="1" ht="24" customHeight="1">
      <c r="W7526" s="1634"/>
    </row>
    <row r="7527" spans="23:23" s="1629" customFormat="1" ht="24" customHeight="1">
      <c r="W7527" s="1634"/>
    </row>
    <row r="7528" spans="23:23" s="1629" customFormat="1" ht="24" customHeight="1">
      <c r="W7528" s="1634"/>
    </row>
    <row r="7529" spans="23:23" s="1629" customFormat="1" ht="24" customHeight="1">
      <c r="W7529" s="1634"/>
    </row>
    <row r="7530" spans="23:23" s="1629" customFormat="1" ht="24" customHeight="1">
      <c r="W7530" s="1634"/>
    </row>
    <row r="7531" spans="23:23" s="1629" customFormat="1" ht="24" customHeight="1">
      <c r="W7531" s="1634"/>
    </row>
    <row r="7532" spans="23:23" s="1629" customFormat="1" ht="24" customHeight="1">
      <c r="W7532" s="1634"/>
    </row>
    <row r="7533" spans="23:23" s="1629" customFormat="1" ht="24" customHeight="1">
      <c r="W7533" s="1634"/>
    </row>
    <row r="7534" spans="23:23" s="1629" customFormat="1" ht="24" customHeight="1">
      <c r="W7534" s="1634"/>
    </row>
    <row r="7535" spans="23:23" s="1629" customFormat="1" ht="24" customHeight="1">
      <c r="W7535" s="1634"/>
    </row>
    <row r="7536" spans="23:23" s="1629" customFormat="1" ht="24" customHeight="1">
      <c r="W7536" s="1634"/>
    </row>
    <row r="7537" spans="23:23" s="1629" customFormat="1" ht="24" customHeight="1">
      <c r="W7537" s="1634"/>
    </row>
    <row r="7538" spans="23:23" s="1629" customFormat="1" ht="24" customHeight="1">
      <c r="W7538" s="1634"/>
    </row>
    <row r="7539" spans="23:23" s="1629" customFormat="1" ht="24" customHeight="1">
      <c r="W7539" s="1634"/>
    </row>
    <row r="7540" spans="23:23" s="1629" customFormat="1" ht="24" customHeight="1">
      <c r="W7540" s="1634"/>
    </row>
    <row r="7541" spans="23:23" s="1629" customFormat="1" ht="24" customHeight="1">
      <c r="W7541" s="1634"/>
    </row>
    <row r="7542" spans="23:23" s="1629" customFormat="1" ht="24" customHeight="1">
      <c r="W7542" s="1634"/>
    </row>
    <row r="7543" spans="23:23" s="1629" customFormat="1" ht="24" customHeight="1">
      <c r="W7543" s="1634"/>
    </row>
    <row r="7544" spans="23:23" s="1629" customFormat="1" ht="24" customHeight="1">
      <c r="W7544" s="1634"/>
    </row>
    <row r="7545" spans="23:23" s="1629" customFormat="1" ht="24" customHeight="1">
      <c r="W7545" s="1634"/>
    </row>
    <row r="7546" spans="23:23" s="1629" customFormat="1" ht="24" customHeight="1">
      <c r="W7546" s="1634"/>
    </row>
    <row r="7547" spans="23:23" s="1629" customFormat="1" ht="24" customHeight="1">
      <c r="W7547" s="1634"/>
    </row>
    <row r="7548" spans="23:23" s="1629" customFormat="1" ht="24" customHeight="1">
      <c r="W7548" s="1634"/>
    </row>
    <row r="7549" spans="23:23" s="1629" customFormat="1" ht="24" customHeight="1">
      <c r="W7549" s="1634"/>
    </row>
    <row r="7550" spans="23:23" s="1629" customFormat="1" ht="24" customHeight="1">
      <c r="W7550" s="1634"/>
    </row>
    <row r="7551" spans="23:23" s="1629" customFormat="1" ht="24" customHeight="1">
      <c r="W7551" s="1634"/>
    </row>
    <row r="7552" spans="23:23" s="1629" customFormat="1" ht="24" customHeight="1">
      <c r="W7552" s="1634"/>
    </row>
    <row r="7553" spans="23:23" s="1629" customFormat="1" ht="24" customHeight="1">
      <c r="W7553" s="1634"/>
    </row>
    <row r="7554" spans="23:23" s="1629" customFormat="1" ht="24" customHeight="1">
      <c r="W7554" s="1634"/>
    </row>
    <row r="7555" spans="23:23" s="1629" customFormat="1" ht="24" customHeight="1">
      <c r="W7555" s="1634"/>
    </row>
    <row r="7556" spans="23:23" s="1629" customFormat="1" ht="24" customHeight="1">
      <c r="W7556" s="1634"/>
    </row>
    <row r="7557" spans="23:23" s="1629" customFormat="1" ht="24" customHeight="1">
      <c r="W7557" s="1634"/>
    </row>
    <row r="7558" spans="23:23" s="1629" customFormat="1" ht="24" customHeight="1">
      <c r="W7558" s="1634"/>
    </row>
    <row r="7559" spans="23:23" s="1629" customFormat="1" ht="24" customHeight="1">
      <c r="W7559" s="1634"/>
    </row>
    <row r="7560" spans="23:23" s="1629" customFormat="1" ht="24" customHeight="1">
      <c r="W7560" s="1634"/>
    </row>
    <row r="7561" spans="23:23" s="1629" customFormat="1" ht="24" customHeight="1">
      <c r="W7561" s="1634"/>
    </row>
    <row r="7562" spans="23:23" s="1629" customFormat="1" ht="24" customHeight="1">
      <c r="W7562" s="1634"/>
    </row>
    <row r="7563" spans="23:23" s="1629" customFormat="1" ht="24" customHeight="1">
      <c r="W7563" s="1634"/>
    </row>
    <row r="7564" spans="23:23" s="1629" customFormat="1" ht="24" customHeight="1">
      <c r="W7564" s="1634"/>
    </row>
    <row r="7565" spans="23:23" s="1629" customFormat="1" ht="24" customHeight="1">
      <c r="W7565" s="1634"/>
    </row>
    <row r="7566" spans="23:23" s="1629" customFormat="1" ht="24" customHeight="1">
      <c r="W7566" s="1634"/>
    </row>
    <row r="7567" spans="23:23" s="1629" customFormat="1" ht="24" customHeight="1">
      <c r="W7567" s="1634"/>
    </row>
    <row r="7568" spans="23:23" s="1629" customFormat="1" ht="24" customHeight="1">
      <c r="W7568" s="1634"/>
    </row>
    <row r="7569" spans="23:23" s="1629" customFormat="1" ht="24" customHeight="1">
      <c r="W7569" s="1634"/>
    </row>
    <row r="7570" spans="23:23" s="1629" customFormat="1" ht="24" customHeight="1">
      <c r="W7570" s="1634"/>
    </row>
    <row r="7571" spans="23:23" s="1629" customFormat="1" ht="24" customHeight="1">
      <c r="W7571" s="1634"/>
    </row>
    <row r="7572" spans="23:23" s="1629" customFormat="1" ht="24" customHeight="1">
      <c r="W7572" s="1634"/>
    </row>
    <row r="7573" spans="23:23" s="1629" customFormat="1" ht="24" customHeight="1">
      <c r="W7573" s="1634"/>
    </row>
    <row r="7574" spans="23:23" s="1629" customFormat="1" ht="24" customHeight="1">
      <c r="W7574" s="1634"/>
    </row>
    <row r="7575" spans="23:23" s="1629" customFormat="1" ht="24" customHeight="1">
      <c r="W7575" s="1634"/>
    </row>
    <row r="7576" spans="23:23" s="1629" customFormat="1" ht="24" customHeight="1">
      <c r="W7576" s="1634"/>
    </row>
    <row r="7577" spans="23:23" s="1629" customFormat="1" ht="24" customHeight="1">
      <c r="W7577" s="1634"/>
    </row>
    <row r="7578" spans="23:23" s="1629" customFormat="1" ht="24" customHeight="1">
      <c r="W7578" s="1634"/>
    </row>
    <row r="7579" spans="23:23" s="1629" customFormat="1" ht="24" customHeight="1">
      <c r="W7579" s="1634"/>
    </row>
    <row r="7580" spans="23:23" s="1629" customFormat="1" ht="24" customHeight="1">
      <c r="W7580" s="1634"/>
    </row>
    <row r="7581" spans="23:23" s="1629" customFormat="1" ht="24" customHeight="1">
      <c r="W7581" s="1634"/>
    </row>
    <row r="7582" spans="23:23" s="1629" customFormat="1" ht="24" customHeight="1">
      <c r="W7582" s="1634"/>
    </row>
    <row r="7583" spans="23:23" s="1629" customFormat="1" ht="24" customHeight="1">
      <c r="W7583" s="1634"/>
    </row>
    <row r="7584" spans="23:23" s="1629" customFormat="1" ht="24" customHeight="1">
      <c r="W7584" s="1634"/>
    </row>
    <row r="7585" spans="23:23" s="1629" customFormat="1" ht="24" customHeight="1">
      <c r="W7585" s="1634"/>
    </row>
    <row r="7586" spans="23:23" s="1629" customFormat="1" ht="24" customHeight="1">
      <c r="W7586" s="1634"/>
    </row>
    <row r="7587" spans="23:23" s="1629" customFormat="1" ht="24" customHeight="1">
      <c r="W7587" s="1634"/>
    </row>
    <row r="7588" spans="23:23" s="1629" customFormat="1" ht="24" customHeight="1">
      <c r="W7588" s="1634"/>
    </row>
    <row r="7589" spans="23:23" s="1629" customFormat="1" ht="24" customHeight="1">
      <c r="W7589" s="1634"/>
    </row>
    <row r="7590" spans="23:23" s="1629" customFormat="1" ht="24" customHeight="1">
      <c r="W7590" s="1634"/>
    </row>
    <row r="7591" spans="23:23" s="1629" customFormat="1" ht="24" customHeight="1">
      <c r="W7591" s="1634"/>
    </row>
    <row r="7592" spans="23:23" s="1629" customFormat="1" ht="24" customHeight="1">
      <c r="W7592" s="1634"/>
    </row>
    <row r="7593" spans="23:23" s="1629" customFormat="1" ht="24" customHeight="1">
      <c r="W7593" s="1634"/>
    </row>
    <row r="7594" spans="23:23" s="1629" customFormat="1" ht="24" customHeight="1">
      <c r="W7594" s="1634"/>
    </row>
    <row r="7595" spans="23:23" s="1629" customFormat="1" ht="24" customHeight="1">
      <c r="W7595" s="1634"/>
    </row>
    <row r="7596" spans="23:23" s="1629" customFormat="1" ht="24" customHeight="1">
      <c r="W7596" s="1634"/>
    </row>
    <row r="7597" spans="23:23" s="1629" customFormat="1" ht="24" customHeight="1">
      <c r="W7597" s="1634"/>
    </row>
    <row r="7598" spans="23:23" s="1629" customFormat="1" ht="24" customHeight="1">
      <c r="W7598" s="1634"/>
    </row>
    <row r="7599" spans="23:23" s="1629" customFormat="1" ht="24" customHeight="1">
      <c r="W7599" s="1634"/>
    </row>
    <row r="7600" spans="23:23" s="1629" customFormat="1" ht="24" customHeight="1">
      <c r="W7600" s="1634"/>
    </row>
    <row r="7601" spans="23:23" s="1629" customFormat="1" ht="24" customHeight="1">
      <c r="W7601" s="1634"/>
    </row>
    <row r="7602" spans="23:23" s="1629" customFormat="1" ht="24" customHeight="1">
      <c r="W7602" s="1634"/>
    </row>
    <row r="7603" spans="23:23" s="1629" customFormat="1" ht="24" customHeight="1">
      <c r="W7603" s="1634"/>
    </row>
    <row r="7604" spans="23:23" s="1629" customFormat="1" ht="24" customHeight="1">
      <c r="W7604" s="1634"/>
    </row>
    <row r="7605" spans="23:23" s="1629" customFormat="1" ht="24" customHeight="1">
      <c r="W7605" s="1634"/>
    </row>
    <row r="7606" spans="23:23" s="1629" customFormat="1" ht="24" customHeight="1">
      <c r="W7606" s="1634"/>
    </row>
    <row r="7607" spans="23:23" s="1629" customFormat="1" ht="24" customHeight="1">
      <c r="W7607" s="1634"/>
    </row>
    <row r="7608" spans="23:23" s="1629" customFormat="1" ht="24" customHeight="1">
      <c r="W7608" s="1634"/>
    </row>
    <row r="7609" spans="23:23" s="1629" customFormat="1" ht="24" customHeight="1">
      <c r="W7609" s="1634"/>
    </row>
    <row r="7610" spans="23:23" s="1629" customFormat="1" ht="24" customHeight="1">
      <c r="W7610" s="1634"/>
    </row>
    <row r="7611" spans="23:23" s="1629" customFormat="1" ht="24" customHeight="1">
      <c r="W7611" s="1634"/>
    </row>
    <row r="7612" spans="23:23" s="1629" customFormat="1" ht="24" customHeight="1">
      <c r="W7612" s="1634"/>
    </row>
    <row r="7613" spans="23:23" s="1629" customFormat="1" ht="24" customHeight="1">
      <c r="W7613" s="1634"/>
    </row>
    <row r="7614" spans="23:23" s="1629" customFormat="1" ht="24" customHeight="1">
      <c r="W7614" s="1634"/>
    </row>
    <row r="7615" spans="23:23" s="1629" customFormat="1" ht="24" customHeight="1">
      <c r="W7615" s="1634"/>
    </row>
    <row r="7616" spans="23:23" s="1629" customFormat="1" ht="24" customHeight="1">
      <c r="W7616" s="1634"/>
    </row>
    <row r="7617" spans="23:23" s="1629" customFormat="1" ht="24" customHeight="1">
      <c r="W7617" s="1634"/>
    </row>
    <row r="7618" spans="23:23" s="1629" customFormat="1" ht="24" customHeight="1">
      <c r="W7618" s="1634"/>
    </row>
    <row r="7619" spans="23:23" s="1629" customFormat="1" ht="24" customHeight="1">
      <c r="W7619" s="1634"/>
    </row>
    <row r="7620" spans="23:23" s="1629" customFormat="1" ht="24" customHeight="1">
      <c r="W7620" s="1634"/>
    </row>
    <row r="7621" spans="23:23" s="1629" customFormat="1" ht="24" customHeight="1">
      <c r="W7621" s="1634"/>
    </row>
    <row r="7622" spans="23:23" s="1629" customFormat="1" ht="24" customHeight="1">
      <c r="W7622" s="1634"/>
    </row>
    <row r="7623" spans="23:23" s="1629" customFormat="1" ht="24" customHeight="1">
      <c r="W7623" s="1634"/>
    </row>
    <row r="7624" spans="23:23" s="1629" customFormat="1" ht="24" customHeight="1">
      <c r="W7624" s="1634"/>
    </row>
    <row r="7625" spans="23:23" s="1629" customFormat="1" ht="24" customHeight="1">
      <c r="W7625" s="1634"/>
    </row>
    <row r="7626" spans="23:23" s="1629" customFormat="1" ht="24" customHeight="1">
      <c r="W7626" s="1634"/>
    </row>
    <row r="7627" spans="23:23" s="1629" customFormat="1" ht="24" customHeight="1">
      <c r="W7627" s="1634"/>
    </row>
    <row r="7628" spans="23:23" s="1629" customFormat="1" ht="24" customHeight="1">
      <c r="W7628" s="1634"/>
    </row>
    <row r="7629" spans="23:23" s="1629" customFormat="1" ht="24" customHeight="1">
      <c r="W7629" s="1634"/>
    </row>
    <row r="7630" spans="23:23" s="1629" customFormat="1" ht="24" customHeight="1">
      <c r="W7630" s="1634"/>
    </row>
    <row r="7631" spans="23:23" s="1629" customFormat="1" ht="24" customHeight="1">
      <c r="W7631" s="1634"/>
    </row>
    <row r="7632" spans="23:23" s="1629" customFormat="1" ht="24" customHeight="1">
      <c r="W7632" s="1634"/>
    </row>
    <row r="7633" spans="23:23" s="1629" customFormat="1" ht="24" customHeight="1">
      <c r="W7633" s="1634"/>
    </row>
    <row r="7634" spans="23:23" s="1629" customFormat="1" ht="24" customHeight="1">
      <c r="W7634" s="1634"/>
    </row>
    <row r="7635" spans="23:23" s="1629" customFormat="1" ht="24" customHeight="1">
      <c r="W7635" s="1634"/>
    </row>
    <row r="7636" spans="23:23" s="1629" customFormat="1" ht="24" customHeight="1">
      <c r="W7636" s="1634"/>
    </row>
    <row r="7637" spans="23:23" s="1629" customFormat="1" ht="24" customHeight="1">
      <c r="W7637" s="1634"/>
    </row>
    <row r="7638" spans="23:23" s="1629" customFormat="1" ht="24" customHeight="1">
      <c r="W7638" s="1634"/>
    </row>
    <row r="7639" spans="23:23" s="1629" customFormat="1" ht="24" customHeight="1">
      <c r="W7639" s="1634"/>
    </row>
    <row r="7640" spans="23:23" s="1629" customFormat="1" ht="24" customHeight="1">
      <c r="W7640" s="1634"/>
    </row>
    <row r="7641" spans="23:23" s="1629" customFormat="1" ht="24" customHeight="1">
      <c r="W7641" s="1634"/>
    </row>
    <row r="7642" spans="23:23" s="1629" customFormat="1" ht="24" customHeight="1">
      <c r="W7642" s="1634"/>
    </row>
    <row r="7643" spans="23:23" s="1629" customFormat="1" ht="24" customHeight="1">
      <c r="W7643" s="1634"/>
    </row>
    <row r="7644" spans="23:23" s="1629" customFormat="1" ht="24" customHeight="1">
      <c r="W7644" s="1634"/>
    </row>
    <row r="7645" spans="23:23" s="1629" customFormat="1" ht="24" customHeight="1">
      <c r="W7645" s="1634"/>
    </row>
    <row r="7646" spans="23:23" s="1629" customFormat="1" ht="24" customHeight="1">
      <c r="W7646" s="1634"/>
    </row>
    <row r="7647" spans="23:23" s="1629" customFormat="1" ht="24" customHeight="1">
      <c r="W7647" s="1634"/>
    </row>
    <row r="7648" spans="23:23" s="1629" customFormat="1" ht="24" customHeight="1">
      <c r="W7648" s="1634"/>
    </row>
    <row r="7649" spans="23:23" s="1629" customFormat="1" ht="24" customHeight="1">
      <c r="W7649" s="1634"/>
    </row>
    <row r="7650" spans="23:23" s="1629" customFormat="1" ht="24" customHeight="1">
      <c r="W7650" s="1634"/>
    </row>
    <row r="7651" spans="23:23" s="1629" customFormat="1" ht="24" customHeight="1">
      <c r="W7651" s="1634"/>
    </row>
    <row r="7652" spans="23:23" s="1629" customFormat="1" ht="24" customHeight="1">
      <c r="W7652" s="1634"/>
    </row>
    <row r="7653" spans="23:23" s="1629" customFormat="1" ht="24" customHeight="1">
      <c r="W7653" s="1634"/>
    </row>
    <row r="7654" spans="23:23" s="1629" customFormat="1" ht="24" customHeight="1">
      <c r="W7654" s="1634"/>
    </row>
    <row r="7655" spans="23:23" s="1629" customFormat="1" ht="24" customHeight="1">
      <c r="W7655" s="1634"/>
    </row>
    <row r="7656" spans="23:23" s="1629" customFormat="1" ht="24" customHeight="1">
      <c r="W7656" s="1634"/>
    </row>
    <row r="7657" spans="23:23" s="1629" customFormat="1" ht="24" customHeight="1">
      <c r="W7657" s="1634"/>
    </row>
    <row r="7658" spans="23:23" s="1629" customFormat="1" ht="24" customHeight="1">
      <c r="W7658" s="1634"/>
    </row>
    <row r="7659" spans="23:23" s="1629" customFormat="1" ht="24" customHeight="1">
      <c r="W7659" s="1634"/>
    </row>
    <row r="7660" spans="23:23" s="1629" customFormat="1" ht="24" customHeight="1">
      <c r="W7660" s="1634"/>
    </row>
    <row r="7661" spans="23:23" s="1629" customFormat="1" ht="24" customHeight="1">
      <c r="W7661" s="1634"/>
    </row>
    <row r="7662" spans="23:23" s="1629" customFormat="1" ht="24" customHeight="1">
      <c r="W7662" s="1634"/>
    </row>
    <row r="7663" spans="23:23" s="1629" customFormat="1" ht="24" customHeight="1">
      <c r="W7663" s="1634"/>
    </row>
    <row r="7664" spans="23:23" s="1629" customFormat="1" ht="24" customHeight="1">
      <c r="W7664" s="1634"/>
    </row>
    <row r="7665" spans="23:23" s="1629" customFormat="1" ht="24" customHeight="1">
      <c r="W7665" s="1634"/>
    </row>
    <row r="7666" spans="23:23" s="1629" customFormat="1" ht="24" customHeight="1">
      <c r="W7666" s="1634"/>
    </row>
    <row r="7667" spans="23:23" s="1629" customFormat="1" ht="24" customHeight="1">
      <c r="W7667" s="1634"/>
    </row>
    <row r="7668" spans="23:23" s="1629" customFormat="1" ht="24" customHeight="1">
      <c r="W7668" s="1634"/>
    </row>
    <row r="7669" spans="23:23" s="1629" customFormat="1" ht="24" customHeight="1">
      <c r="W7669" s="1634"/>
    </row>
    <row r="7670" spans="23:23" s="1629" customFormat="1" ht="24" customHeight="1">
      <c r="W7670" s="1634"/>
    </row>
    <row r="7671" spans="23:23" s="1629" customFormat="1" ht="24" customHeight="1">
      <c r="W7671" s="1634"/>
    </row>
    <row r="7672" spans="23:23" s="1629" customFormat="1" ht="24" customHeight="1">
      <c r="W7672" s="1634"/>
    </row>
    <row r="7673" spans="23:23" s="1629" customFormat="1" ht="24" customHeight="1">
      <c r="W7673" s="1634"/>
    </row>
    <row r="7674" spans="23:23" s="1629" customFormat="1" ht="24" customHeight="1">
      <c r="W7674" s="1634"/>
    </row>
    <row r="7675" spans="23:23" s="1629" customFormat="1" ht="24" customHeight="1">
      <c r="W7675" s="1634"/>
    </row>
    <row r="7676" spans="23:23" s="1629" customFormat="1" ht="24" customHeight="1">
      <c r="W7676" s="1634"/>
    </row>
    <row r="7677" spans="23:23" s="1629" customFormat="1" ht="24" customHeight="1">
      <c r="W7677" s="1634"/>
    </row>
    <row r="7678" spans="23:23" s="1629" customFormat="1" ht="24" customHeight="1">
      <c r="W7678" s="1634"/>
    </row>
    <row r="7679" spans="23:23" s="1629" customFormat="1" ht="24" customHeight="1">
      <c r="W7679" s="1634"/>
    </row>
    <row r="7680" spans="23:23" s="1629" customFormat="1" ht="24" customHeight="1">
      <c r="W7680" s="1634"/>
    </row>
    <row r="7681" spans="23:23" s="1629" customFormat="1" ht="24" customHeight="1">
      <c r="W7681" s="1634"/>
    </row>
    <row r="7682" spans="23:23" s="1629" customFormat="1" ht="24" customHeight="1">
      <c r="W7682" s="1634"/>
    </row>
    <row r="7683" spans="23:23" s="1629" customFormat="1" ht="24" customHeight="1">
      <c r="W7683" s="1634"/>
    </row>
    <row r="7684" spans="23:23" s="1629" customFormat="1" ht="24" customHeight="1">
      <c r="W7684" s="1634"/>
    </row>
    <row r="7685" spans="23:23" s="1629" customFormat="1" ht="24" customHeight="1">
      <c r="W7685" s="1634"/>
    </row>
    <row r="7686" spans="23:23" s="1629" customFormat="1" ht="24" customHeight="1">
      <c r="W7686" s="1634"/>
    </row>
    <row r="7687" spans="23:23" s="1629" customFormat="1" ht="24" customHeight="1">
      <c r="W7687" s="1634"/>
    </row>
    <row r="7688" spans="23:23" s="1629" customFormat="1" ht="24" customHeight="1">
      <c r="W7688" s="1634"/>
    </row>
    <row r="7689" spans="23:23" s="1629" customFormat="1" ht="24" customHeight="1">
      <c r="W7689" s="1634"/>
    </row>
    <row r="7690" spans="23:23" s="1629" customFormat="1" ht="24" customHeight="1">
      <c r="W7690" s="1634"/>
    </row>
    <row r="7691" spans="23:23" s="1629" customFormat="1" ht="24" customHeight="1">
      <c r="W7691" s="1634"/>
    </row>
    <row r="7692" spans="23:23" s="1629" customFormat="1" ht="24" customHeight="1">
      <c r="W7692" s="1634"/>
    </row>
    <row r="7693" spans="23:23" s="1629" customFormat="1" ht="24" customHeight="1">
      <c r="W7693" s="1634"/>
    </row>
    <row r="7694" spans="23:23" s="1629" customFormat="1" ht="24" customHeight="1">
      <c r="W7694" s="1634"/>
    </row>
    <row r="7695" spans="23:23" s="1629" customFormat="1" ht="24" customHeight="1">
      <c r="W7695" s="1634"/>
    </row>
    <row r="7696" spans="23:23" s="1629" customFormat="1" ht="24" customHeight="1">
      <c r="W7696" s="1634"/>
    </row>
    <row r="7697" spans="23:23" s="1629" customFormat="1" ht="24" customHeight="1">
      <c r="W7697" s="1634"/>
    </row>
    <row r="7698" spans="23:23" s="1629" customFormat="1" ht="24" customHeight="1">
      <c r="W7698" s="1634"/>
    </row>
    <row r="7699" spans="23:23" s="1629" customFormat="1" ht="24" customHeight="1">
      <c r="W7699" s="1634"/>
    </row>
    <row r="7700" spans="23:23" s="1629" customFormat="1" ht="24" customHeight="1">
      <c r="W7700" s="1634"/>
    </row>
    <row r="7701" spans="23:23" s="1629" customFormat="1" ht="24" customHeight="1">
      <c r="W7701" s="1634"/>
    </row>
    <row r="7702" spans="23:23" s="1629" customFormat="1" ht="24" customHeight="1">
      <c r="W7702" s="1634"/>
    </row>
    <row r="7703" spans="23:23" s="1629" customFormat="1" ht="24" customHeight="1">
      <c r="W7703" s="1634"/>
    </row>
    <row r="7704" spans="23:23" s="1629" customFormat="1" ht="24" customHeight="1">
      <c r="W7704" s="1634"/>
    </row>
    <row r="7705" spans="23:23" s="1629" customFormat="1" ht="24" customHeight="1">
      <c r="W7705" s="1634"/>
    </row>
    <row r="7706" spans="23:23" s="1629" customFormat="1" ht="24" customHeight="1">
      <c r="W7706" s="1634"/>
    </row>
    <row r="7707" spans="23:23" s="1629" customFormat="1" ht="24" customHeight="1">
      <c r="W7707" s="1634"/>
    </row>
    <row r="7708" spans="23:23" s="1629" customFormat="1" ht="24" customHeight="1">
      <c r="W7708" s="1634"/>
    </row>
    <row r="7709" spans="23:23" s="1629" customFormat="1" ht="24" customHeight="1">
      <c r="W7709" s="1634"/>
    </row>
    <row r="7710" spans="23:23" s="1629" customFormat="1" ht="24" customHeight="1">
      <c r="W7710" s="1634"/>
    </row>
    <row r="7711" spans="23:23" s="1629" customFormat="1" ht="24" customHeight="1">
      <c r="W7711" s="1634"/>
    </row>
    <row r="7712" spans="23:23" s="1629" customFormat="1" ht="24" customHeight="1">
      <c r="W7712" s="1634"/>
    </row>
    <row r="7713" spans="23:23" s="1629" customFormat="1" ht="24" customHeight="1">
      <c r="W7713" s="1634"/>
    </row>
    <row r="7714" spans="23:23" s="1629" customFormat="1" ht="24" customHeight="1">
      <c r="W7714" s="1634"/>
    </row>
    <row r="7715" spans="23:23" s="1629" customFormat="1" ht="24" customHeight="1">
      <c r="W7715" s="1634"/>
    </row>
    <row r="7716" spans="23:23" s="1629" customFormat="1" ht="24" customHeight="1">
      <c r="W7716" s="1634"/>
    </row>
    <row r="7717" spans="23:23" s="1629" customFormat="1" ht="24" customHeight="1">
      <c r="W7717" s="1634"/>
    </row>
    <row r="7718" spans="23:23" s="1629" customFormat="1" ht="24" customHeight="1">
      <c r="W7718" s="1634"/>
    </row>
    <row r="7719" spans="23:23" s="1629" customFormat="1" ht="24" customHeight="1">
      <c r="W7719" s="1634"/>
    </row>
    <row r="7720" spans="23:23" s="1629" customFormat="1" ht="24" customHeight="1">
      <c r="W7720" s="1634"/>
    </row>
    <row r="7721" spans="23:23" s="1629" customFormat="1" ht="24" customHeight="1">
      <c r="W7721" s="1634"/>
    </row>
    <row r="7722" spans="23:23" s="1629" customFormat="1" ht="24" customHeight="1">
      <c r="W7722" s="1634"/>
    </row>
    <row r="7723" spans="23:23" s="1629" customFormat="1" ht="24" customHeight="1">
      <c r="W7723" s="1634"/>
    </row>
    <row r="7724" spans="23:23" s="1629" customFormat="1" ht="24" customHeight="1">
      <c r="W7724" s="1634"/>
    </row>
    <row r="7725" spans="23:23" s="1629" customFormat="1" ht="24" customHeight="1">
      <c r="W7725" s="1634"/>
    </row>
    <row r="7726" spans="23:23" s="1629" customFormat="1" ht="24" customHeight="1">
      <c r="W7726" s="1634"/>
    </row>
    <row r="7727" spans="23:23" s="1629" customFormat="1" ht="24" customHeight="1">
      <c r="W7727" s="1634"/>
    </row>
    <row r="7728" spans="23:23" s="1629" customFormat="1" ht="24" customHeight="1">
      <c r="W7728" s="1634"/>
    </row>
    <row r="7729" spans="23:23" s="1629" customFormat="1" ht="24" customHeight="1">
      <c r="W7729" s="1634"/>
    </row>
    <row r="7730" spans="23:23" s="1629" customFormat="1" ht="24" customHeight="1">
      <c r="W7730" s="1634"/>
    </row>
    <row r="7731" spans="23:23" s="1629" customFormat="1" ht="24" customHeight="1">
      <c r="W7731" s="1634"/>
    </row>
    <row r="7732" spans="23:23" s="1629" customFormat="1" ht="24" customHeight="1">
      <c r="W7732" s="1634"/>
    </row>
    <row r="7733" spans="23:23" s="1629" customFormat="1" ht="24" customHeight="1">
      <c r="W7733" s="1634"/>
    </row>
    <row r="7734" spans="23:23" s="1629" customFormat="1" ht="24" customHeight="1">
      <c r="W7734" s="1634"/>
    </row>
    <row r="7735" spans="23:23" s="1629" customFormat="1" ht="24" customHeight="1">
      <c r="W7735" s="1634"/>
    </row>
    <row r="7736" spans="23:23" s="1629" customFormat="1" ht="24" customHeight="1">
      <c r="W7736" s="1634"/>
    </row>
    <row r="7737" spans="23:23" s="1629" customFormat="1" ht="24" customHeight="1">
      <c r="W7737" s="1634"/>
    </row>
    <row r="7738" spans="23:23" s="1629" customFormat="1" ht="24" customHeight="1">
      <c r="W7738" s="1634"/>
    </row>
    <row r="7739" spans="23:23" s="1629" customFormat="1" ht="24" customHeight="1">
      <c r="W7739" s="1634"/>
    </row>
    <row r="7740" spans="23:23" s="1629" customFormat="1" ht="24" customHeight="1">
      <c r="W7740" s="1634"/>
    </row>
    <row r="7741" spans="23:23" s="1629" customFormat="1" ht="24" customHeight="1">
      <c r="W7741" s="1634"/>
    </row>
    <row r="7742" spans="23:23" s="1629" customFormat="1" ht="24" customHeight="1">
      <c r="W7742" s="1634"/>
    </row>
    <row r="7743" spans="23:23" s="1629" customFormat="1" ht="24" customHeight="1">
      <c r="W7743" s="1634"/>
    </row>
    <row r="7744" spans="23:23" s="1629" customFormat="1" ht="24" customHeight="1">
      <c r="W7744" s="1634"/>
    </row>
    <row r="7745" spans="23:23" s="1629" customFormat="1" ht="24" customHeight="1">
      <c r="W7745" s="1634"/>
    </row>
    <row r="7746" spans="23:23" s="1629" customFormat="1" ht="24" customHeight="1">
      <c r="W7746" s="1634"/>
    </row>
    <row r="7747" spans="23:23" s="1629" customFormat="1" ht="24" customHeight="1">
      <c r="W7747" s="1634"/>
    </row>
    <row r="7748" spans="23:23" s="1629" customFormat="1" ht="24" customHeight="1">
      <c r="W7748" s="1634"/>
    </row>
    <row r="7749" spans="23:23" s="1629" customFormat="1" ht="24" customHeight="1">
      <c r="W7749" s="1634"/>
    </row>
    <row r="7750" spans="23:23" s="1629" customFormat="1" ht="24" customHeight="1">
      <c r="W7750" s="1634"/>
    </row>
    <row r="7751" spans="23:23" s="1629" customFormat="1" ht="24" customHeight="1">
      <c r="W7751" s="1634"/>
    </row>
    <row r="7752" spans="23:23" s="1629" customFormat="1" ht="24" customHeight="1">
      <c r="W7752" s="1634"/>
    </row>
    <row r="7753" spans="23:23" s="1629" customFormat="1" ht="24" customHeight="1">
      <c r="W7753" s="1634"/>
    </row>
    <row r="7754" spans="23:23" s="1629" customFormat="1" ht="24" customHeight="1">
      <c r="W7754" s="1634"/>
    </row>
    <row r="7755" spans="23:23" s="1629" customFormat="1" ht="24" customHeight="1">
      <c r="W7755" s="1634"/>
    </row>
    <row r="7756" spans="23:23" s="1629" customFormat="1" ht="24" customHeight="1">
      <c r="W7756" s="1634"/>
    </row>
    <row r="7757" spans="23:23" s="1629" customFormat="1" ht="24" customHeight="1">
      <c r="W7757" s="1634"/>
    </row>
    <row r="7758" spans="23:23" s="1629" customFormat="1" ht="24" customHeight="1">
      <c r="W7758" s="1634"/>
    </row>
    <row r="7759" spans="23:23" s="1629" customFormat="1" ht="24" customHeight="1">
      <c r="W7759" s="1634"/>
    </row>
    <row r="7760" spans="23:23" s="1629" customFormat="1" ht="24" customHeight="1">
      <c r="W7760" s="1634"/>
    </row>
    <row r="7761" spans="23:23" s="1629" customFormat="1" ht="24" customHeight="1">
      <c r="W7761" s="1634"/>
    </row>
    <row r="7762" spans="23:23" s="1629" customFormat="1" ht="24" customHeight="1">
      <c r="W7762" s="1634"/>
    </row>
    <row r="7763" spans="23:23" s="1629" customFormat="1" ht="24" customHeight="1">
      <c r="W7763" s="1634"/>
    </row>
    <row r="7764" spans="23:23" s="1629" customFormat="1" ht="24" customHeight="1">
      <c r="W7764" s="1634"/>
    </row>
    <row r="7765" spans="23:23" s="1629" customFormat="1" ht="24" customHeight="1">
      <c r="W7765" s="1634"/>
    </row>
    <row r="7766" spans="23:23" s="1629" customFormat="1" ht="24" customHeight="1">
      <c r="W7766" s="1634"/>
    </row>
    <row r="7767" spans="23:23" s="1629" customFormat="1" ht="24" customHeight="1">
      <c r="W7767" s="1634"/>
    </row>
    <row r="7768" spans="23:23" s="1629" customFormat="1" ht="24" customHeight="1">
      <c r="W7768" s="1634"/>
    </row>
    <row r="7769" spans="23:23" s="1629" customFormat="1" ht="24" customHeight="1">
      <c r="W7769" s="1634"/>
    </row>
    <row r="7770" spans="23:23" s="1629" customFormat="1" ht="24" customHeight="1">
      <c r="W7770" s="1634"/>
    </row>
    <row r="7771" spans="23:23" s="1629" customFormat="1" ht="24" customHeight="1">
      <c r="W7771" s="1634"/>
    </row>
    <row r="7772" spans="23:23" s="1629" customFormat="1" ht="24" customHeight="1">
      <c r="W7772" s="1634"/>
    </row>
    <row r="7773" spans="23:23" s="1629" customFormat="1" ht="24" customHeight="1">
      <c r="W7773" s="1634"/>
    </row>
    <row r="7774" spans="23:23" s="1629" customFormat="1" ht="24" customHeight="1">
      <c r="W7774" s="1634"/>
    </row>
    <row r="7775" spans="23:23" s="1629" customFormat="1" ht="24" customHeight="1">
      <c r="W7775" s="1634"/>
    </row>
    <row r="7776" spans="23:23" s="1629" customFormat="1" ht="24" customHeight="1">
      <c r="W7776" s="1634"/>
    </row>
    <row r="7777" spans="23:23" s="1629" customFormat="1" ht="24" customHeight="1">
      <c r="W7777" s="1634"/>
    </row>
    <row r="7778" spans="23:23" s="1629" customFormat="1" ht="24" customHeight="1">
      <c r="W7778" s="1634"/>
    </row>
    <row r="7779" spans="23:23" s="1629" customFormat="1" ht="24" customHeight="1">
      <c r="W7779" s="1634"/>
    </row>
    <row r="7780" spans="23:23" s="1629" customFormat="1" ht="24" customHeight="1">
      <c r="W7780" s="1634"/>
    </row>
    <row r="7781" spans="23:23" s="1629" customFormat="1" ht="24" customHeight="1">
      <c r="W7781" s="1634"/>
    </row>
    <row r="7782" spans="23:23" s="1629" customFormat="1" ht="24" customHeight="1">
      <c r="W7782" s="1634"/>
    </row>
    <row r="7783" spans="23:23" s="1629" customFormat="1" ht="24" customHeight="1">
      <c r="W7783" s="1634"/>
    </row>
    <row r="7784" spans="23:23" s="1629" customFormat="1" ht="24" customHeight="1">
      <c r="W7784" s="1634"/>
    </row>
    <row r="7785" spans="23:23" s="1629" customFormat="1" ht="24" customHeight="1">
      <c r="W7785" s="1634"/>
    </row>
    <row r="7786" spans="23:23" s="1629" customFormat="1" ht="24" customHeight="1">
      <c r="W7786" s="1634"/>
    </row>
    <row r="7787" spans="23:23" s="1629" customFormat="1" ht="24" customHeight="1">
      <c r="W7787" s="1634"/>
    </row>
    <row r="7788" spans="23:23" s="1629" customFormat="1" ht="24" customHeight="1">
      <c r="W7788" s="1634"/>
    </row>
    <row r="7789" spans="23:23" s="1629" customFormat="1" ht="24" customHeight="1">
      <c r="W7789" s="1634"/>
    </row>
    <row r="7790" spans="23:23" s="1629" customFormat="1" ht="24" customHeight="1">
      <c r="W7790" s="1634"/>
    </row>
    <row r="7791" spans="23:23" s="1629" customFormat="1" ht="24" customHeight="1">
      <c r="W7791" s="1634"/>
    </row>
    <row r="7792" spans="23:23" s="1629" customFormat="1" ht="24" customHeight="1">
      <c r="W7792" s="1634"/>
    </row>
    <row r="7793" spans="23:23" s="1629" customFormat="1" ht="24" customHeight="1">
      <c r="W7793" s="1634"/>
    </row>
    <row r="7794" spans="23:23" s="1629" customFormat="1" ht="24" customHeight="1">
      <c r="W7794" s="1634"/>
    </row>
    <row r="7795" spans="23:23" s="1629" customFormat="1" ht="24" customHeight="1">
      <c r="W7795" s="1634"/>
    </row>
    <row r="7796" spans="23:23" s="1629" customFormat="1" ht="24" customHeight="1">
      <c r="W7796" s="1634"/>
    </row>
    <row r="7797" spans="23:23" s="1629" customFormat="1" ht="24" customHeight="1">
      <c r="W7797" s="1634"/>
    </row>
    <row r="7798" spans="23:23" s="1629" customFormat="1" ht="24" customHeight="1">
      <c r="W7798" s="1634"/>
    </row>
    <row r="7799" spans="23:23" s="1629" customFormat="1" ht="24" customHeight="1">
      <c r="W7799" s="1634"/>
    </row>
    <row r="7800" spans="23:23" s="1629" customFormat="1" ht="24" customHeight="1">
      <c r="W7800" s="1634"/>
    </row>
    <row r="7801" spans="23:23" s="1629" customFormat="1" ht="24" customHeight="1">
      <c r="W7801" s="1634"/>
    </row>
    <row r="7802" spans="23:23" s="1629" customFormat="1" ht="24" customHeight="1">
      <c r="W7802" s="1634"/>
    </row>
    <row r="7803" spans="23:23" s="1629" customFormat="1" ht="24" customHeight="1">
      <c r="W7803" s="1634"/>
    </row>
    <row r="7804" spans="23:23" s="1629" customFormat="1" ht="24" customHeight="1">
      <c r="W7804" s="1634"/>
    </row>
    <row r="7805" spans="23:23" s="1629" customFormat="1" ht="24" customHeight="1">
      <c r="W7805" s="1634"/>
    </row>
    <row r="7806" spans="23:23" s="1629" customFormat="1" ht="24" customHeight="1">
      <c r="W7806" s="1634"/>
    </row>
    <row r="7807" spans="23:23" s="1629" customFormat="1" ht="24" customHeight="1">
      <c r="W7807" s="1634"/>
    </row>
    <row r="7808" spans="23:23" s="1629" customFormat="1" ht="24" customHeight="1">
      <c r="W7808" s="1634"/>
    </row>
    <row r="7809" spans="23:23" s="1629" customFormat="1" ht="24" customHeight="1">
      <c r="W7809" s="1634"/>
    </row>
    <row r="7810" spans="23:23" s="1629" customFormat="1" ht="24" customHeight="1">
      <c r="W7810" s="1634"/>
    </row>
    <row r="7811" spans="23:23" s="1629" customFormat="1" ht="24" customHeight="1">
      <c r="W7811" s="1634"/>
    </row>
    <row r="7812" spans="23:23" s="1629" customFormat="1" ht="24" customHeight="1">
      <c r="W7812" s="1634"/>
    </row>
    <row r="7813" spans="23:23" s="1629" customFormat="1" ht="24" customHeight="1">
      <c r="W7813" s="1634"/>
    </row>
    <row r="7814" spans="23:23" s="1629" customFormat="1" ht="24" customHeight="1">
      <c r="W7814" s="1634"/>
    </row>
    <row r="7815" spans="23:23" s="1629" customFormat="1" ht="24" customHeight="1">
      <c r="W7815" s="1634"/>
    </row>
    <row r="7816" spans="23:23" s="1629" customFormat="1" ht="24" customHeight="1">
      <c r="W7816" s="1634"/>
    </row>
    <row r="7817" spans="23:23" s="1629" customFormat="1" ht="24" customHeight="1">
      <c r="W7817" s="1634"/>
    </row>
    <row r="7818" spans="23:23" s="1629" customFormat="1" ht="24" customHeight="1">
      <c r="W7818" s="1634"/>
    </row>
    <row r="7819" spans="23:23" s="1629" customFormat="1" ht="24" customHeight="1">
      <c r="W7819" s="1634"/>
    </row>
    <row r="7820" spans="23:23" s="1629" customFormat="1" ht="24" customHeight="1">
      <c r="W7820" s="1634"/>
    </row>
    <row r="7821" spans="23:23" s="1629" customFormat="1" ht="24" customHeight="1">
      <c r="W7821" s="1634"/>
    </row>
    <row r="7822" spans="23:23" s="1629" customFormat="1" ht="24" customHeight="1">
      <c r="W7822" s="1634"/>
    </row>
    <row r="7823" spans="23:23" s="1629" customFormat="1" ht="24" customHeight="1">
      <c r="W7823" s="1634"/>
    </row>
    <row r="7824" spans="23:23" s="1629" customFormat="1" ht="24" customHeight="1">
      <c r="W7824" s="1634"/>
    </row>
    <row r="7825" spans="23:23" s="1629" customFormat="1" ht="24" customHeight="1">
      <c r="W7825" s="1634"/>
    </row>
    <row r="7826" spans="23:23" s="1629" customFormat="1" ht="24" customHeight="1">
      <c r="W7826" s="1634"/>
    </row>
    <row r="7827" spans="23:23" s="1629" customFormat="1" ht="24" customHeight="1">
      <c r="W7827" s="1634"/>
    </row>
    <row r="7828" spans="23:23" s="1629" customFormat="1" ht="24" customHeight="1">
      <c r="W7828" s="1634"/>
    </row>
    <row r="7829" spans="23:23" s="1629" customFormat="1" ht="24" customHeight="1">
      <c r="W7829" s="1634"/>
    </row>
    <row r="7830" spans="23:23" s="1629" customFormat="1" ht="24" customHeight="1">
      <c r="W7830" s="1634"/>
    </row>
    <row r="7831" spans="23:23" s="1629" customFormat="1" ht="24" customHeight="1">
      <c r="W7831" s="1634"/>
    </row>
    <row r="7832" spans="23:23" s="1629" customFormat="1" ht="24" customHeight="1">
      <c r="W7832" s="1634"/>
    </row>
    <row r="7833" spans="23:23" s="1629" customFormat="1" ht="24" customHeight="1">
      <c r="W7833" s="1634"/>
    </row>
    <row r="7834" spans="23:23" s="1629" customFormat="1" ht="24" customHeight="1">
      <c r="W7834" s="1634"/>
    </row>
    <row r="7835" spans="23:23" s="1629" customFormat="1" ht="24" customHeight="1">
      <c r="W7835" s="1634"/>
    </row>
    <row r="7836" spans="23:23" s="1629" customFormat="1" ht="24" customHeight="1">
      <c r="W7836" s="1634"/>
    </row>
    <row r="7837" spans="23:23" s="1629" customFormat="1" ht="24" customHeight="1">
      <c r="W7837" s="1634"/>
    </row>
    <row r="7838" spans="23:23" s="1629" customFormat="1" ht="24" customHeight="1">
      <c r="W7838" s="1634"/>
    </row>
    <row r="7839" spans="23:23" s="1629" customFormat="1" ht="24" customHeight="1">
      <c r="W7839" s="1634"/>
    </row>
    <row r="7840" spans="23:23" s="1629" customFormat="1" ht="24" customHeight="1">
      <c r="W7840" s="1634"/>
    </row>
    <row r="7841" spans="23:23" s="1629" customFormat="1" ht="24" customHeight="1">
      <c r="W7841" s="1634"/>
    </row>
    <row r="7842" spans="23:23" s="1629" customFormat="1" ht="24" customHeight="1">
      <c r="W7842" s="1634"/>
    </row>
    <row r="7843" spans="23:23" s="1629" customFormat="1" ht="24" customHeight="1">
      <c r="W7843" s="1634"/>
    </row>
    <row r="7844" spans="23:23" s="1629" customFormat="1" ht="24" customHeight="1">
      <c r="W7844" s="1634"/>
    </row>
    <row r="7845" spans="23:23" s="1629" customFormat="1" ht="24" customHeight="1">
      <c r="W7845" s="1634"/>
    </row>
    <row r="7846" spans="23:23" s="1629" customFormat="1" ht="24" customHeight="1">
      <c r="W7846" s="1634"/>
    </row>
    <row r="7847" spans="23:23" s="1629" customFormat="1" ht="24" customHeight="1">
      <c r="W7847" s="1634"/>
    </row>
    <row r="7848" spans="23:23" s="1629" customFormat="1" ht="24" customHeight="1">
      <c r="W7848" s="1634"/>
    </row>
    <row r="7849" spans="23:23" s="1629" customFormat="1" ht="24" customHeight="1">
      <c r="W7849" s="1634"/>
    </row>
    <row r="7850" spans="23:23" s="1629" customFormat="1" ht="24" customHeight="1">
      <c r="W7850" s="1634"/>
    </row>
    <row r="7851" spans="23:23" s="1629" customFormat="1" ht="24" customHeight="1">
      <c r="W7851" s="1634"/>
    </row>
    <row r="7852" spans="23:23" s="1629" customFormat="1" ht="24" customHeight="1">
      <c r="W7852" s="1634"/>
    </row>
    <row r="7853" spans="23:23" s="1629" customFormat="1" ht="24" customHeight="1">
      <c r="W7853" s="1634"/>
    </row>
    <row r="7854" spans="23:23" s="1629" customFormat="1" ht="24" customHeight="1">
      <c r="W7854" s="1634"/>
    </row>
    <row r="7855" spans="23:23" s="1629" customFormat="1" ht="24" customHeight="1">
      <c r="W7855" s="1634"/>
    </row>
    <row r="7856" spans="23:23" s="1629" customFormat="1" ht="24" customHeight="1">
      <c r="W7856" s="1634"/>
    </row>
    <row r="7857" spans="23:23" s="1629" customFormat="1" ht="24" customHeight="1">
      <c r="W7857" s="1634"/>
    </row>
    <row r="7858" spans="23:23" s="1629" customFormat="1" ht="24" customHeight="1">
      <c r="W7858" s="1634"/>
    </row>
    <row r="7859" spans="23:23" s="1629" customFormat="1" ht="24" customHeight="1">
      <c r="W7859" s="1634"/>
    </row>
    <row r="7860" spans="23:23" s="1629" customFormat="1" ht="24" customHeight="1">
      <c r="W7860" s="1634"/>
    </row>
    <row r="7861" spans="23:23" s="1629" customFormat="1" ht="24" customHeight="1">
      <c r="W7861" s="1634"/>
    </row>
    <row r="7862" spans="23:23" s="1629" customFormat="1" ht="24" customHeight="1">
      <c r="W7862" s="1634"/>
    </row>
    <row r="7863" spans="23:23" s="1629" customFormat="1" ht="24" customHeight="1">
      <c r="W7863" s="1634"/>
    </row>
    <row r="7864" spans="23:23" s="1629" customFormat="1" ht="24" customHeight="1">
      <c r="W7864" s="1634"/>
    </row>
    <row r="7865" spans="23:23" s="1629" customFormat="1" ht="24" customHeight="1">
      <c r="W7865" s="1634"/>
    </row>
    <row r="7866" spans="23:23" s="1629" customFormat="1" ht="24" customHeight="1">
      <c r="W7866" s="1634"/>
    </row>
    <row r="7867" spans="23:23" s="1629" customFormat="1" ht="24" customHeight="1">
      <c r="W7867" s="1634"/>
    </row>
    <row r="7868" spans="23:23" s="1629" customFormat="1" ht="24" customHeight="1">
      <c r="W7868" s="1634"/>
    </row>
    <row r="7869" spans="23:23" s="1629" customFormat="1" ht="24" customHeight="1">
      <c r="W7869" s="1634"/>
    </row>
    <row r="7870" spans="23:23" s="1629" customFormat="1" ht="24" customHeight="1">
      <c r="W7870" s="1634"/>
    </row>
    <row r="7871" spans="23:23" s="1629" customFormat="1" ht="24" customHeight="1">
      <c r="W7871" s="1634"/>
    </row>
    <row r="7872" spans="23:23" s="1629" customFormat="1" ht="24" customHeight="1">
      <c r="W7872" s="1634"/>
    </row>
    <row r="7873" spans="23:23" s="1629" customFormat="1" ht="24" customHeight="1">
      <c r="W7873" s="1634"/>
    </row>
    <row r="7874" spans="23:23" s="1629" customFormat="1" ht="24" customHeight="1">
      <c r="W7874" s="1634"/>
    </row>
    <row r="7875" spans="23:23" s="1629" customFormat="1" ht="24" customHeight="1">
      <c r="W7875" s="1634"/>
    </row>
    <row r="7876" spans="23:23" s="1629" customFormat="1" ht="24" customHeight="1">
      <c r="W7876" s="1634"/>
    </row>
    <row r="7877" spans="23:23" s="1629" customFormat="1" ht="24" customHeight="1">
      <c r="W7877" s="1634"/>
    </row>
    <row r="7878" spans="23:23" s="1629" customFormat="1" ht="24" customHeight="1">
      <c r="W7878" s="1634"/>
    </row>
    <row r="7879" spans="23:23" s="1629" customFormat="1" ht="24" customHeight="1">
      <c r="W7879" s="1634"/>
    </row>
    <row r="7880" spans="23:23" s="1629" customFormat="1" ht="24" customHeight="1">
      <c r="W7880" s="1634"/>
    </row>
    <row r="7881" spans="23:23" s="1629" customFormat="1" ht="24" customHeight="1">
      <c r="W7881" s="1634"/>
    </row>
    <row r="7882" spans="23:23" s="1629" customFormat="1" ht="24" customHeight="1">
      <c r="W7882" s="1634"/>
    </row>
    <row r="7883" spans="23:23" s="1629" customFormat="1" ht="24" customHeight="1">
      <c r="W7883" s="1634"/>
    </row>
    <row r="7884" spans="23:23" s="1629" customFormat="1" ht="24" customHeight="1">
      <c r="W7884" s="1634"/>
    </row>
    <row r="7885" spans="23:23" s="1629" customFormat="1" ht="24" customHeight="1">
      <c r="W7885" s="1634"/>
    </row>
    <row r="7886" spans="23:23" s="1629" customFormat="1" ht="24" customHeight="1">
      <c r="W7886" s="1634"/>
    </row>
    <row r="7887" spans="23:23" s="1629" customFormat="1" ht="24" customHeight="1">
      <c r="W7887" s="1634"/>
    </row>
    <row r="7888" spans="23:23" s="1629" customFormat="1" ht="24" customHeight="1">
      <c r="W7888" s="1634"/>
    </row>
    <row r="7889" spans="23:23" s="1629" customFormat="1" ht="24" customHeight="1">
      <c r="W7889" s="1634"/>
    </row>
    <row r="7890" spans="23:23" s="1629" customFormat="1" ht="24" customHeight="1">
      <c r="W7890" s="1634"/>
    </row>
    <row r="7891" spans="23:23" s="1629" customFormat="1" ht="24" customHeight="1">
      <c r="W7891" s="1634"/>
    </row>
    <row r="7892" spans="23:23" s="1629" customFormat="1" ht="24" customHeight="1">
      <c r="W7892" s="1634"/>
    </row>
    <row r="7893" spans="23:23" s="1629" customFormat="1" ht="24" customHeight="1">
      <c r="W7893" s="1634"/>
    </row>
    <row r="7894" spans="23:23" s="1629" customFormat="1" ht="24" customHeight="1">
      <c r="W7894" s="1634"/>
    </row>
    <row r="7895" spans="23:23" s="1629" customFormat="1" ht="24" customHeight="1">
      <c r="W7895" s="1634"/>
    </row>
    <row r="7896" spans="23:23" s="1629" customFormat="1" ht="24" customHeight="1">
      <c r="W7896" s="1634"/>
    </row>
    <row r="7897" spans="23:23" s="1629" customFormat="1" ht="24" customHeight="1">
      <c r="W7897" s="1634"/>
    </row>
    <row r="7898" spans="23:23" s="1629" customFormat="1" ht="24" customHeight="1">
      <c r="W7898" s="1634"/>
    </row>
    <row r="7899" spans="23:23" s="1629" customFormat="1" ht="24" customHeight="1">
      <c r="W7899" s="1634"/>
    </row>
    <row r="7900" spans="23:23" s="1629" customFormat="1" ht="24" customHeight="1">
      <c r="W7900" s="1634"/>
    </row>
    <row r="7901" spans="23:23" s="1629" customFormat="1" ht="24" customHeight="1">
      <c r="W7901" s="1634"/>
    </row>
    <row r="7902" spans="23:23" s="1629" customFormat="1" ht="24" customHeight="1">
      <c r="W7902" s="1634"/>
    </row>
    <row r="7903" spans="23:23" s="1629" customFormat="1" ht="24" customHeight="1">
      <c r="W7903" s="1634"/>
    </row>
    <row r="7904" spans="23:23" s="1629" customFormat="1" ht="24" customHeight="1">
      <c r="W7904" s="1634"/>
    </row>
    <row r="7905" spans="23:23" s="1629" customFormat="1" ht="24" customHeight="1">
      <c r="W7905" s="1634"/>
    </row>
    <row r="7906" spans="23:23" s="1629" customFormat="1" ht="24" customHeight="1">
      <c r="W7906" s="1634"/>
    </row>
    <row r="7907" spans="23:23" s="1629" customFormat="1" ht="24" customHeight="1">
      <c r="W7907" s="1634"/>
    </row>
    <row r="7908" spans="23:23" s="1629" customFormat="1" ht="24" customHeight="1">
      <c r="W7908" s="1634"/>
    </row>
    <row r="7909" spans="23:23" s="1629" customFormat="1" ht="24" customHeight="1">
      <c r="W7909" s="1634"/>
    </row>
    <row r="7910" spans="23:23" s="1629" customFormat="1" ht="24" customHeight="1">
      <c r="W7910" s="1634"/>
    </row>
    <row r="7911" spans="23:23" s="1629" customFormat="1" ht="24" customHeight="1">
      <c r="W7911" s="1634"/>
    </row>
    <row r="7912" spans="23:23" s="1629" customFormat="1" ht="24" customHeight="1">
      <c r="W7912" s="1634"/>
    </row>
    <row r="7913" spans="23:23" s="1629" customFormat="1" ht="24" customHeight="1">
      <c r="W7913" s="1634"/>
    </row>
    <row r="7914" spans="23:23" s="1629" customFormat="1" ht="24" customHeight="1">
      <c r="W7914" s="1634"/>
    </row>
    <row r="7915" spans="23:23" s="1629" customFormat="1" ht="24" customHeight="1">
      <c r="W7915" s="1634"/>
    </row>
    <row r="7916" spans="23:23" s="1629" customFormat="1" ht="24" customHeight="1">
      <c r="W7916" s="1634"/>
    </row>
    <row r="7917" spans="23:23" s="1629" customFormat="1" ht="24" customHeight="1">
      <c r="W7917" s="1634"/>
    </row>
    <row r="7918" spans="23:23" s="1629" customFormat="1" ht="24" customHeight="1">
      <c r="W7918" s="1634"/>
    </row>
    <row r="7919" spans="23:23" s="1629" customFormat="1" ht="24" customHeight="1">
      <c r="W7919" s="1634"/>
    </row>
    <row r="7920" spans="23:23" s="1629" customFormat="1" ht="24" customHeight="1">
      <c r="W7920" s="1634"/>
    </row>
    <row r="7921" spans="23:23" s="1629" customFormat="1" ht="24" customHeight="1">
      <c r="W7921" s="1634"/>
    </row>
    <row r="7922" spans="23:23" s="1629" customFormat="1" ht="24" customHeight="1">
      <c r="W7922" s="1634"/>
    </row>
    <row r="7923" spans="23:23" s="1629" customFormat="1" ht="24" customHeight="1">
      <c r="W7923" s="1634"/>
    </row>
    <row r="7924" spans="23:23" s="1629" customFormat="1" ht="24" customHeight="1">
      <c r="W7924" s="1634"/>
    </row>
    <row r="7925" spans="23:23" s="1629" customFormat="1" ht="24" customHeight="1">
      <c r="W7925" s="1634"/>
    </row>
    <row r="7926" spans="23:23" s="1629" customFormat="1" ht="24" customHeight="1">
      <c r="W7926" s="1634"/>
    </row>
    <row r="7927" spans="23:23" s="1629" customFormat="1" ht="24" customHeight="1">
      <c r="W7927" s="1634"/>
    </row>
    <row r="7928" spans="23:23" s="1629" customFormat="1" ht="24" customHeight="1">
      <c r="W7928" s="1634"/>
    </row>
    <row r="7929" spans="23:23" s="1629" customFormat="1" ht="24" customHeight="1">
      <c r="W7929" s="1634"/>
    </row>
    <row r="7930" spans="23:23" s="1629" customFormat="1" ht="24" customHeight="1">
      <c r="W7930" s="1634"/>
    </row>
    <row r="7931" spans="23:23" s="1629" customFormat="1" ht="24" customHeight="1">
      <c r="W7931" s="1634"/>
    </row>
    <row r="7932" spans="23:23" s="1629" customFormat="1" ht="24" customHeight="1">
      <c r="W7932" s="1634"/>
    </row>
    <row r="7933" spans="23:23" s="1629" customFormat="1" ht="24" customHeight="1">
      <c r="W7933" s="1634"/>
    </row>
    <row r="7934" spans="23:23" s="1629" customFormat="1" ht="24" customHeight="1">
      <c r="W7934" s="1634"/>
    </row>
    <row r="7935" spans="23:23" s="1629" customFormat="1" ht="24" customHeight="1">
      <c r="W7935" s="1634"/>
    </row>
    <row r="7936" spans="23:23" s="1629" customFormat="1" ht="24" customHeight="1">
      <c r="W7936" s="1634"/>
    </row>
    <row r="7937" spans="23:23" s="1629" customFormat="1" ht="24" customHeight="1">
      <c r="W7937" s="1634"/>
    </row>
    <row r="7938" spans="23:23" s="1629" customFormat="1" ht="24" customHeight="1">
      <c r="W7938" s="1634"/>
    </row>
    <row r="7939" spans="23:23" s="1629" customFormat="1" ht="24" customHeight="1">
      <c r="W7939" s="1634"/>
    </row>
    <row r="7940" spans="23:23" s="1629" customFormat="1" ht="24" customHeight="1">
      <c r="W7940" s="1634"/>
    </row>
    <row r="7941" spans="23:23" s="1629" customFormat="1" ht="24" customHeight="1">
      <c r="W7941" s="1634"/>
    </row>
    <row r="7942" spans="23:23" s="1629" customFormat="1" ht="24" customHeight="1">
      <c r="W7942" s="1634"/>
    </row>
    <row r="7943" spans="23:23" s="1629" customFormat="1" ht="24" customHeight="1">
      <c r="W7943" s="1634"/>
    </row>
    <row r="7944" spans="23:23" s="1629" customFormat="1" ht="24" customHeight="1">
      <c r="W7944" s="1634"/>
    </row>
    <row r="7945" spans="23:23" s="1629" customFormat="1" ht="24" customHeight="1">
      <c r="W7945" s="1634"/>
    </row>
    <row r="7946" spans="23:23" s="1629" customFormat="1" ht="24" customHeight="1">
      <c r="W7946" s="1634"/>
    </row>
    <row r="7947" spans="23:23" s="1629" customFormat="1" ht="24" customHeight="1">
      <c r="W7947" s="1634"/>
    </row>
    <row r="7948" spans="23:23" s="1629" customFormat="1" ht="24" customHeight="1">
      <c r="W7948" s="1634"/>
    </row>
    <row r="7949" spans="23:23" s="1629" customFormat="1" ht="24" customHeight="1">
      <c r="W7949" s="1634"/>
    </row>
    <row r="7950" spans="23:23" s="1629" customFormat="1" ht="24" customHeight="1">
      <c r="W7950" s="1634"/>
    </row>
    <row r="7951" spans="23:23" s="1629" customFormat="1" ht="24" customHeight="1">
      <c r="W7951" s="1634"/>
    </row>
    <row r="7952" spans="23:23" s="1629" customFormat="1" ht="24" customHeight="1">
      <c r="W7952" s="1634"/>
    </row>
    <row r="7953" spans="23:23" s="1629" customFormat="1" ht="24" customHeight="1">
      <c r="W7953" s="1634"/>
    </row>
    <row r="7954" spans="23:23" s="1629" customFormat="1" ht="24" customHeight="1">
      <c r="W7954" s="1634"/>
    </row>
    <row r="7955" spans="23:23" s="1629" customFormat="1" ht="24" customHeight="1">
      <c r="W7955" s="1634"/>
    </row>
    <row r="7956" spans="23:23" s="1629" customFormat="1" ht="24" customHeight="1">
      <c r="W7956" s="1634"/>
    </row>
    <row r="7957" spans="23:23" s="1629" customFormat="1" ht="24" customHeight="1">
      <c r="W7957" s="1634"/>
    </row>
    <row r="7958" spans="23:23" s="1629" customFormat="1" ht="24" customHeight="1">
      <c r="W7958" s="1634"/>
    </row>
    <row r="7959" spans="23:23" s="1629" customFormat="1" ht="24" customHeight="1">
      <c r="W7959" s="1634"/>
    </row>
    <row r="7960" spans="23:23" s="1629" customFormat="1" ht="24" customHeight="1">
      <c r="W7960" s="1634"/>
    </row>
    <row r="7961" spans="23:23" s="1629" customFormat="1" ht="24" customHeight="1">
      <c r="W7961" s="1634"/>
    </row>
    <row r="7962" spans="23:23" s="1629" customFormat="1" ht="24" customHeight="1">
      <c r="W7962" s="1634"/>
    </row>
    <row r="7963" spans="23:23" s="1629" customFormat="1" ht="24" customHeight="1">
      <c r="W7963" s="1634"/>
    </row>
    <row r="7964" spans="23:23" s="1629" customFormat="1" ht="24" customHeight="1">
      <c r="W7964" s="1634"/>
    </row>
    <row r="7965" spans="23:23" s="1629" customFormat="1" ht="24" customHeight="1">
      <c r="W7965" s="1634"/>
    </row>
    <row r="7966" spans="23:23" s="1629" customFormat="1" ht="24" customHeight="1">
      <c r="W7966" s="1634"/>
    </row>
    <row r="7967" spans="23:23" s="1629" customFormat="1" ht="24" customHeight="1">
      <c r="W7967" s="1634"/>
    </row>
    <row r="7968" spans="23:23" s="1629" customFormat="1" ht="24" customHeight="1">
      <c r="W7968" s="1634"/>
    </row>
    <row r="7969" spans="23:23" s="1629" customFormat="1" ht="24" customHeight="1">
      <c r="W7969" s="1634"/>
    </row>
    <row r="7970" spans="23:23" s="1629" customFormat="1" ht="24" customHeight="1">
      <c r="W7970" s="1634"/>
    </row>
    <row r="7971" spans="23:23" s="1629" customFormat="1" ht="24" customHeight="1">
      <c r="W7971" s="1634"/>
    </row>
    <row r="7972" spans="23:23" s="1629" customFormat="1" ht="24" customHeight="1">
      <c r="W7972" s="1634"/>
    </row>
    <row r="7973" spans="23:23" s="1629" customFormat="1" ht="24" customHeight="1">
      <c r="W7973" s="1634"/>
    </row>
    <row r="7974" spans="23:23" s="1629" customFormat="1" ht="24" customHeight="1">
      <c r="W7974" s="1634"/>
    </row>
    <row r="7975" spans="23:23" s="1629" customFormat="1" ht="24" customHeight="1">
      <c r="W7975" s="1634"/>
    </row>
    <row r="7976" spans="23:23" s="1629" customFormat="1" ht="24" customHeight="1">
      <c r="W7976" s="1634"/>
    </row>
    <row r="7977" spans="23:23" s="1629" customFormat="1" ht="24" customHeight="1">
      <c r="W7977" s="1634"/>
    </row>
    <row r="7978" spans="23:23" s="1629" customFormat="1" ht="24" customHeight="1">
      <c r="W7978" s="1634"/>
    </row>
    <row r="7979" spans="23:23" s="1629" customFormat="1" ht="24" customHeight="1">
      <c r="W7979" s="1634"/>
    </row>
    <row r="7980" spans="23:23" s="1629" customFormat="1" ht="24" customHeight="1">
      <c r="W7980" s="1634"/>
    </row>
    <row r="7981" spans="23:23" s="1629" customFormat="1" ht="24" customHeight="1">
      <c r="W7981" s="1634"/>
    </row>
    <row r="7982" spans="23:23" s="1629" customFormat="1" ht="24" customHeight="1">
      <c r="W7982" s="1634"/>
    </row>
    <row r="7983" spans="23:23" s="1629" customFormat="1" ht="24" customHeight="1">
      <c r="W7983" s="1634"/>
    </row>
    <row r="7984" spans="23:23" s="1629" customFormat="1" ht="24" customHeight="1">
      <c r="W7984" s="1634"/>
    </row>
    <row r="7985" spans="23:23" s="1629" customFormat="1" ht="24" customHeight="1">
      <c r="W7985" s="1634"/>
    </row>
    <row r="7986" spans="23:23" s="1629" customFormat="1" ht="24" customHeight="1">
      <c r="W7986" s="1634"/>
    </row>
    <row r="7987" spans="23:23" s="1629" customFormat="1" ht="24" customHeight="1">
      <c r="W7987" s="1634"/>
    </row>
    <row r="7988" spans="23:23" s="1629" customFormat="1" ht="24" customHeight="1">
      <c r="W7988" s="1634"/>
    </row>
    <row r="7989" spans="23:23" s="1629" customFormat="1" ht="24" customHeight="1">
      <c r="W7989" s="1634"/>
    </row>
    <row r="7990" spans="23:23" s="1629" customFormat="1" ht="24" customHeight="1">
      <c r="W7990" s="1634"/>
    </row>
    <row r="7991" spans="23:23" s="1629" customFormat="1" ht="24" customHeight="1">
      <c r="W7991" s="1634"/>
    </row>
    <row r="7992" spans="23:23" s="1629" customFormat="1" ht="24" customHeight="1">
      <c r="W7992" s="1634"/>
    </row>
    <row r="7993" spans="23:23" s="1629" customFormat="1" ht="24" customHeight="1">
      <c r="W7993" s="1634"/>
    </row>
    <row r="7994" spans="23:23" s="1629" customFormat="1" ht="24" customHeight="1">
      <c r="W7994" s="1634"/>
    </row>
    <row r="7995" spans="23:23" s="1629" customFormat="1" ht="24" customHeight="1">
      <c r="W7995" s="1634"/>
    </row>
    <row r="7996" spans="23:23" s="1629" customFormat="1" ht="24" customHeight="1">
      <c r="W7996" s="1634"/>
    </row>
    <row r="7997" spans="23:23" s="1629" customFormat="1" ht="24" customHeight="1">
      <c r="W7997" s="1634"/>
    </row>
    <row r="7998" spans="23:23" s="1629" customFormat="1" ht="24" customHeight="1">
      <c r="W7998" s="1634"/>
    </row>
    <row r="7999" spans="23:23" s="1629" customFormat="1" ht="24" customHeight="1">
      <c r="W7999" s="1634"/>
    </row>
    <row r="8000" spans="23:23" s="1629" customFormat="1" ht="24" customHeight="1">
      <c r="W8000" s="1634"/>
    </row>
    <row r="8001" spans="23:23" s="1629" customFormat="1" ht="24" customHeight="1">
      <c r="W8001" s="1634"/>
    </row>
    <row r="8002" spans="23:23" s="1629" customFormat="1" ht="24" customHeight="1">
      <c r="W8002" s="1634"/>
    </row>
    <row r="8003" spans="23:23" s="1629" customFormat="1" ht="24" customHeight="1">
      <c r="W8003" s="1634"/>
    </row>
    <row r="8004" spans="23:23" s="1629" customFormat="1" ht="24" customHeight="1">
      <c r="W8004" s="1634"/>
    </row>
    <row r="8005" spans="23:23" s="1629" customFormat="1" ht="24" customHeight="1">
      <c r="W8005" s="1634"/>
    </row>
    <row r="8006" spans="23:23" s="1629" customFormat="1" ht="24" customHeight="1">
      <c r="W8006" s="1634"/>
    </row>
    <row r="8007" spans="23:23" s="1629" customFormat="1" ht="24" customHeight="1">
      <c r="W8007" s="1634"/>
    </row>
    <row r="8008" spans="23:23" s="1629" customFormat="1" ht="24" customHeight="1">
      <c r="W8008" s="1634"/>
    </row>
    <row r="8009" spans="23:23" s="1629" customFormat="1" ht="24" customHeight="1">
      <c r="W8009" s="1634"/>
    </row>
    <row r="8010" spans="23:23" s="1629" customFormat="1" ht="24" customHeight="1">
      <c r="W8010" s="1634"/>
    </row>
    <row r="8011" spans="23:23" s="1629" customFormat="1" ht="24" customHeight="1">
      <c r="W8011" s="1634"/>
    </row>
    <row r="8012" spans="23:23" s="1629" customFormat="1" ht="24" customHeight="1">
      <c r="W8012" s="1634"/>
    </row>
    <row r="8013" spans="23:23" s="1629" customFormat="1" ht="24" customHeight="1">
      <c r="W8013" s="1634"/>
    </row>
    <row r="8014" spans="23:23" s="1629" customFormat="1" ht="24" customHeight="1">
      <c r="W8014" s="1634"/>
    </row>
    <row r="8015" spans="23:23" s="1629" customFormat="1" ht="24" customHeight="1">
      <c r="W8015" s="1634"/>
    </row>
    <row r="8016" spans="23:23" s="1629" customFormat="1" ht="24" customHeight="1">
      <c r="W8016" s="1634"/>
    </row>
    <row r="8017" spans="23:23" s="1629" customFormat="1" ht="24" customHeight="1">
      <c r="W8017" s="1634"/>
    </row>
    <row r="8018" spans="23:23" s="1629" customFormat="1" ht="24" customHeight="1">
      <c r="W8018" s="1634"/>
    </row>
    <row r="8019" spans="23:23" s="1629" customFormat="1" ht="24" customHeight="1">
      <c r="W8019" s="1634"/>
    </row>
    <row r="8020" spans="23:23" s="1629" customFormat="1" ht="24" customHeight="1">
      <c r="W8020" s="1634"/>
    </row>
    <row r="8021" spans="23:23" s="1629" customFormat="1" ht="24" customHeight="1">
      <c r="W8021" s="1634"/>
    </row>
    <row r="8022" spans="23:23" s="1629" customFormat="1" ht="24" customHeight="1">
      <c r="W8022" s="1634"/>
    </row>
    <row r="8023" spans="23:23" s="1629" customFormat="1" ht="24" customHeight="1">
      <c r="W8023" s="1634"/>
    </row>
    <row r="8024" spans="23:23" s="1629" customFormat="1" ht="24" customHeight="1">
      <c r="W8024" s="1634"/>
    </row>
    <row r="8025" spans="23:23" s="1629" customFormat="1" ht="24" customHeight="1">
      <c r="W8025" s="1634"/>
    </row>
    <row r="8026" spans="23:23" s="1629" customFormat="1" ht="24" customHeight="1">
      <c r="W8026" s="1634"/>
    </row>
    <row r="8027" spans="23:23" s="1629" customFormat="1" ht="24" customHeight="1">
      <c r="W8027" s="1634"/>
    </row>
    <row r="8028" spans="23:23" s="1629" customFormat="1" ht="24" customHeight="1">
      <c r="W8028" s="1634"/>
    </row>
    <row r="8029" spans="23:23" s="1629" customFormat="1" ht="24" customHeight="1">
      <c r="W8029" s="1634"/>
    </row>
    <row r="8030" spans="23:23" s="1629" customFormat="1" ht="24" customHeight="1">
      <c r="W8030" s="1634"/>
    </row>
    <row r="8031" spans="23:23" s="1629" customFormat="1" ht="24" customHeight="1">
      <c r="W8031" s="1634"/>
    </row>
    <row r="8032" spans="23:23" s="1629" customFormat="1" ht="24" customHeight="1">
      <c r="W8032" s="1634"/>
    </row>
    <row r="8033" spans="23:23" s="1629" customFormat="1" ht="24" customHeight="1">
      <c r="W8033" s="1634"/>
    </row>
    <row r="8034" spans="23:23" s="1629" customFormat="1" ht="24" customHeight="1">
      <c r="W8034" s="1634"/>
    </row>
    <row r="8035" spans="23:23" s="1629" customFormat="1" ht="24" customHeight="1">
      <c r="W8035" s="1634"/>
    </row>
    <row r="8036" spans="23:23" s="1629" customFormat="1" ht="24" customHeight="1">
      <c r="W8036" s="1634"/>
    </row>
    <row r="8037" spans="23:23" s="1629" customFormat="1" ht="24" customHeight="1">
      <c r="W8037" s="1634"/>
    </row>
    <row r="8038" spans="23:23" s="1629" customFormat="1" ht="24" customHeight="1">
      <c r="W8038" s="1634"/>
    </row>
    <row r="8039" spans="23:23" s="1629" customFormat="1" ht="24" customHeight="1">
      <c r="W8039" s="1634"/>
    </row>
    <row r="8040" spans="23:23" s="1629" customFormat="1" ht="24" customHeight="1">
      <c r="W8040" s="1634"/>
    </row>
    <row r="8041" spans="23:23" s="1629" customFormat="1" ht="24" customHeight="1">
      <c r="W8041" s="1634"/>
    </row>
    <row r="8042" spans="23:23" s="1629" customFormat="1" ht="24" customHeight="1">
      <c r="W8042" s="1634"/>
    </row>
    <row r="8043" spans="23:23" s="1629" customFormat="1" ht="24" customHeight="1">
      <c r="W8043" s="1634"/>
    </row>
    <row r="8044" spans="23:23" s="1629" customFormat="1" ht="24" customHeight="1">
      <c r="W8044" s="1634"/>
    </row>
    <row r="8045" spans="23:23" s="1629" customFormat="1" ht="24" customHeight="1">
      <c r="W8045" s="1634"/>
    </row>
    <row r="8046" spans="23:23" s="1629" customFormat="1" ht="24" customHeight="1">
      <c r="W8046" s="1634"/>
    </row>
    <row r="8047" spans="23:23" s="1629" customFormat="1" ht="24" customHeight="1">
      <c r="W8047" s="1634"/>
    </row>
    <row r="8048" spans="23:23" s="1629" customFormat="1" ht="24" customHeight="1">
      <c r="W8048" s="1634"/>
    </row>
    <row r="8049" spans="23:23" s="1629" customFormat="1" ht="24" customHeight="1">
      <c r="W8049" s="1634"/>
    </row>
    <row r="8050" spans="23:23" s="1629" customFormat="1" ht="24" customHeight="1">
      <c r="W8050" s="1634"/>
    </row>
    <row r="8051" spans="23:23" s="1629" customFormat="1" ht="24" customHeight="1">
      <c r="W8051" s="1634"/>
    </row>
    <row r="8052" spans="23:23" s="1629" customFormat="1" ht="24" customHeight="1">
      <c r="W8052" s="1634"/>
    </row>
    <row r="8053" spans="23:23" s="1629" customFormat="1" ht="24" customHeight="1">
      <c r="W8053" s="1634"/>
    </row>
    <row r="8054" spans="23:23" s="1629" customFormat="1" ht="24" customHeight="1">
      <c r="W8054" s="1634"/>
    </row>
    <row r="8055" spans="23:23" s="1629" customFormat="1" ht="24" customHeight="1">
      <c r="W8055" s="1634"/>
    </row>
    <row r="8056" spans="23:23" s="1629" customFormat="1" ht="24" customHeight="1">
      <c r="W8056" s="1634"/>
    </row>
    <row r="8057" spans="23:23" s="1629" customFormat="1" ht="24" customHeight="1">
      <c r="W8057" s="1634"/>
    </row>
    <row r="8058" spans="23:23" s="1629" customFormat="1" ht="24" customHeight="1">
      <c r="W8058" s="1634"/>
    </row>
    <row r="8059" spans="23:23" s="1629" customFormat="1" ht="24" customHeight="1">
      <c r="W8059" s="1634"/>
    </row>
    <row r="8060" spans="23:23" s="1629" customFormat="1" ht="24" customHeight="1">
      <c r="W8060" s="1634"/>
    </row>
    <row r="8061" spans="23:23" s="1629" customFormat="1" ht="24" customHeight="1">
      <c r="W8061" s="1634"/>
    </row>
    <row r="8062" spans="23:23" s="1629" customFormat="1" ht="24" customHeight="1">
      <c r="W8062" s="1634"/>
    </row>
    <row r="8063" spans="23:23" s="1629" customFormat="1" ht="24" customHeight="1">
      <c r="W8063" s="1634"/>
    </row>
    <row r="8064" spans="23:23" s="1629" customFormat="1" ht="24" customHeight="1">
      <c r="W8064" s="1634"/>
    </row>
    <row r="8065" spans="23:23" s="1629" customFormat="1" ht="24" customHeight="1">
      <c r="W8065" s="1634"/>
    </row>
    <row r="8066" spans="23:23" s="1629" customFormat="1" ht="24" customHeight="1">
      <c r="W8066" s="1634"/>
    </row>
    <row r="8067" spans="23:23" s="1629" customFormat="1" ht="24" customHeight="1">
      <c r="W8067" s="1634"/>
    </row>
    <row r="8068" spans="23:23" s="1629" customFormat="1" ht="24" customHeight="1">
      <c r="W8068" s="1634"/>
    </row>
    <row r="8069" spans="23:23" s="1629" customFormat="1" ht="24" customHeight="1">
      <c r="W8069" s="1634"/>
    </row>
    <row r="8070" spans="23:23" s="1629" customFormat="1" ht="24" customHeight="1">
      <c r="W8070" s="1634"/>
    </row>
    <row r="8071" spans="23:23" s="1629" customFormat="1" ht="24" customHeight="1">
      <c r="W8071" s="1634"/>
    </row>
    <row r="8072" spans="23:23" s="1629" customFormat="1" ht="24" customHeight="1">
      <c r="W8072" s="1634"/>
    </row>
    <row r="8073" spans="23:23" s="1629" customFormat="1" ht="24" customHeight="1">
      <c r="W8073" s="1634"/>
    </row>
    <row r="8074" spans="23:23" s="1629" customFormat="1" ht="24" customHeight="1">
      <c r="W8074" s="1634"/>
    </row>
    <row r="8075" spans="23:23" s="1629" customFormat="1" ht="24" customHeight="1">
      <c r="W8075" s="1634"/>
    </row>
    <row r="8076" spans="23:23" s="1629" customFormat="1" ht="24" customHeight="1">
      <c r="W8076" s="1634"/>
    </row>
    <row r="8077" spans="23:23" s="1629" customFormat="1" ht="24" customHeight="1">
      <c r="W8077" s="1634"/>
    </row>
    <row r="8078" spans="23:23" s="1629" customFormat="1" ht="24" customHeight="1">
      <c r="W8078" s="1634"/>
    </row>
    <row r="8079" spans="23:23" s="1629" customFormat="1" ht="24" customHeight="1">
      <c r="W8079" s="1634"/>
    </row>
    <row r="8080" spans="23:23" s="1629" customFormat="1" ht="24" customHeight="1">
      <c r="W8080" s="1634"/>
    </row>
    <row r="8081" spans="23:23" s="1629" customFormat="1" ht="24" customHeight="1">
      <c r="W8081" s="1634"/>
    </row>
    <row r="8082" spans="23:23" s="1629" customFormat="1" ht="24" customHeight="1">
      <c r="W8082" s="1634"/>
    </row>
    <row r="8083" spans="23:23" s="1629" customFormat="1" ht="24" customHeight="1">
      <c r="W8083" s="1634"/>
    </row>
    <row r="8084" spans="23:23" s="1629" customFormat="1" ht="24" customHeight="1">
      <c r="W8084" s="1634"/>
    </row>
    <row r="8085" spans="23:23" s="1629" customFormat="1" ht="24" customHeight="1">
      <c r="W8085" s="1634"/>
    </row>
    <row r="8086" spans="23:23" s="1629" customFormat="1" ht="24" customHeight="1">
      <c r="W8086" s="1634"/>
    </row>
    <row r="8087" spans="23:23" s="1629" customFormat="1" ht="24" customHeight="1">
      <c r="W8087" s="1634"/>
    </row>
    <row r="8088" spans="23:23" s="1629" customFormat="1" ht="24" customHeight="1">
      <c r="W8088" s="1634"/>
    </row>
    <row r="8089" spans="23:23" s="1629" customFormat="1" ht="24" customHeight="1">
      <c r="W8089" s="1634"/>
    </row>
    <row r="8090" spans="23:23" s="1629" customFormat="1" ht="24" customHeight="1">
      <c r="W8090" s="1634"/>
    </row>
    <row r="8091" spans="23:23" s="1629" customFormat="1" ht="24" customHeight="1">
      <c r="W8091" s="1634"/>
    </row>
    <row r="8092" spans="23:23" s="1629" customFormat="1" ht="24" customHeight="1">
      <c r="W8092" s="1634"/>
    </row>
    <row r="8093" spans="23:23" s="1629" customFormat="1" ht="24" customHeight="1">
      <c r="W8093" s="1634"/>
    </row>
    <row r="8094" spans="23:23" s="1629" customFormat="1" ht="24" customHeight="1">
      <c r="W8094" s="1634"/>
    </row>
    <row r="8095" spans="23:23" s="1629" customFormat="1" ht="24" customHeight="1">
      <c r="W8095" s="1634"/>
    </row>
    <row r="8096" spans="23:23" s="1629" customFormat="1" ht="24" customHeight="1">
      <c r="W8096" s="1634"/>
    </row>
    <row r="8097" spans="23:23" s="1629" customFormat="1" ht="24" customHeight="1">
      <c r="W8097" s="1634"/>
    </row>
    <row r="8098" spans="23:23" s="1629" customFormat="1" ht="24" customHeight="1">
      <c r="W8098" s="1634"/>
    </row>
    <row r="8099" spans="23:23" s="1629" customFormat="1" ht="24" customHeight="1">
      <c r="W8099" s="1634"/>
    </row>
    <row r="8100" spans="23:23" s="1629" customFormat="1" ht="24" customHeight="1">
      <c r="W8100" s="1634"/>
    </row>
    <row r="8101" spans="23:23" s="1629" customFormat="1" ht="24" customHeight="1">
      <c r="W8101" s="1634"/>
    </row>
    <row r="8102" spans="23:23" s="1629" customFormat="1" ht="24" customHeight="1">
      <c r="W8102" s="1634"/>
    </row>
    <row r="8103" spans="23:23" s="1629" customFormat="1" ht="24" customHeight="1">
      <c r="W8103" s="1634"/>
    </row>
    <row r="8104" spans="23:23" s="1629" customFormat="1" ht="24" customHeight="1">
      <c r="W8104" s="1634"/>
    </row>
    <row r="8105" spans="23:23" s="1629" customFormat="1" ht="24" customHeight="1">
      <c r="W8105" s="1634"/>
    </row>
    <row r="8106" spans="23:23" s="1629" customFormat="1" ht="24" customHeight="1">
      <c r="W8106" s="1634"/>
    </row>
    <row r="8107" spans="23:23" s="1629" customFormat="1" ht="24" customHeight="1">
      <c r="W8107" s="1634"/>
    </row>
    <row r="8108" spans="23:23" s="1629" customFormat="1" ht="24" customHeight="1">
      <c r="W8108" s="1634"/>
    </row>
    <row r="8109" spans="23:23" s="1629" customFormat="1" ht="24" customHeight="1">
      <c r="W8109" s="1634"/>
    </row>
    <row r="8110" spans="23:23" s="1629" customFormat="1" ht="24" customHeight="1">
      <c r="W8110" s="1634"/>
    </row>
    <row r="8111" spans="23:23" s="1629" customFormat="1" ht="24" customHeight="1">
      <c r="W8111" s="1634"/>
    </row>
    <row r="8112" spans="23:23" s="1629" customFormat="1" ht="24" customHeight="1">
      <c r="W8112" s="1634"/>
    </row>
    <row r="8113" spans="23:23" s="1629" customFormat="1" ht="24" customHeight="1">
      <c r="W8113" s="1634"/>
    </row>
    <row r="8114" spans="23:23" s="1629" customFormat="1" ht="24" customHeight="1">
      <c r="W8114" s="1634"/>
    </row>
    <row r="8115" spans="23:23" s="1629" customFormat="1" ht="24" customHeight="1">
      <c r="W8115" s="1634"/>
    </row>
    <row r="8116" spans="23:23" s="1629" customFormat="1" ht="24" customHeight="1">
      <c r="W8116" s="1634"/>
    </row>
    <row r="8117" spans="23:23" s="1629" customFormat="1" ht="24" customHeight="1">
      <c r="W8117" s="1634"/>
    </row>
    <row r="8118" spans="23:23" s="1629" customFormat="1" ht="24" customHeight="1">
      <c r="W8118" s="1634"/>
    </row>
    <row r="8119" spans="23:23" s="1629" customFormat="1" ht="24" customHeight="1">
      <c r="W8119" s="1634"/>
    </row>
    <row r="8120" spans="23:23" s="1629" customFormat="1" ht="24" customHeight="1">
      <c r="W8120" s="1634"/>
    </row>
    <row r="8121" spans="23:23" s="1629" customFormat="1" ht="24" customHeight="1">
      <c r="W8121" s="1634"/>
    </row>
    <row r="8122" spans="23:23" s="1629" customFormat="1" ht="24" customHeight="1">
      <c r="W8122" s="1634"/>
    </row>
    <row r="8123" spans="23:23" s="1629" customFormat="1" ht="24" customHeight="1">
      <c r="W8123" s="1634"/>
    </row>
    <row r="8124" spans="23:23" s="1629" customFormat="1" ht="24" customHeight="1">
      <c r="W8124" s="1634"/>
    </row>
    <row r="8125" spans="23:23" s="1629" customFormat="1" ht="24" customHeight="1">
      <c r="W8125" s="1634"/>
    </row>
    <row r="8126" spans="23:23" s="1629" customFormat="1" ht="24" customHeight="1">
      <c r="W8126" s="1634"/>
    </row>
    <row r="8127" spans="23:23" s="1629" customFormat="1" ht="24" customHeight="1">
      <c r="W8127" s="1634"/>
    </row>
    <row r="8128" spans="23:23" s="1629" customFormat="1" ht="24" customHeight="1">
      <c r="W8128" s="1634"/>
    </row>
    <row r="8129" spans="23:23" s="1629" customFormat="1" ht="24" customHeight="1">
      <c r="W8129" s="1634"/>
    </row>
    <row r="8130" spans="23:23" s="1629" customFormat="1" ht="24" customHeight="1">
      <c r="W8130" s="1634"/>
    </row>
    <row r="8131" spans="23:23" s="1629" customFormat="1" ht="24" customHeight="1">
      <c r="W8131" s="1634"/>
    </row>
    <row r="8132" spans="23:23" s="1629" customFormat="1" ht="24" customHeight="1">
      <c r="W8132" s="1634"/>
    </row>
    <row r="8133" spans="23:23" s="1629" customFormat="1" ht="24" customHeight="1">
      <c r="W8133" s="1634"/>
    </row>
    <row r="8134" spans="23:23" s="1629" customFormat="1" ht="24" customHeight="1">
      <c r="W8134" s="1634"/>
    </row>
    <row r="8135" spans="23:23" s="1629" customFormat="1" ht="24" customHeight="1">
      <c r="W8135" s="1634"/>
    </row>
    <row r="8136" spans="23:23" s="1629" customFormat="1" ht="24" customHeight="1">
      <c r="W8136" s="1634"/>
    </row>
    <row r="8137" spans="23:23" s="1629" customFormat="1" ht="24" customHeight="1">
      <c r="W8137" s="1634"/>
    </row>
    <row r="8138" spans="23:23" s="1629" customFormat="1" ht="24" customHeight="1">
      <c r="W8138" s="1634"/>
    </row>
    <row r="8139" spans="23:23" s="1629" customFormat="1" ht="24" customHeight="1">
      <c r="W8139" s="1634"/>
    </row>
    <row r="8140" spans="23:23" s="1629" customFormat="1" ht="24" customHeight="1">
      <c r="W8140" s="1634"/>
    </row>
    <row r="8141" spans="23:23" s="1629" customFormat="1" ht="24" customHeight="1">
      <c r="W8141" s="1634"/>
    </row>
    <row r="8142" spans="23:23" s="1629" customFormat="1" ht="24" customHeight="1">
      <c r="W8142" s="1634"/>
    </row>
    <row r="8143" spans="23:23" s="1629" customFormat="1" ht="24" customHeight="1">
      <c r="W8143" s="1634"/>
    </row>
    <row r="8144" spans="23:23" s="1629" customFormat="1" ht="24" customHeight="1">
      <c r="W8144" s="1634"/>
    </row>
    <row r="8145" spans="23:23" s="1629" customFormat="1" ht="24" customHeight="1">
      <c r="W8145" s="1634"/>
    </row>
    <row r="8146" spans="23:23" s="1629" customFormat="1" ht="24" customHeight="1">
      <c r="W8146" s="1634"/>
    </row>
    <row r="8147" spans="23:23" s="1629" customFormat="1" ht="24" customHeight="1">
      <c r="W8147" s="1634"/>
    </row>
    <row r="8148" spans="23:23" s="1629" customFormat="1" ht="24" customHeight="1">
      <c r="W8148" s="1634"/>
    </row>
    <row r="8149" spans="23:23" s="1629" customFormat="1" ht="24" customHeight="1">
      <c r="W8149" s="1634"/>
    </row>
    <row r="8150" spans="23:23" s="1629" customFormat="1" ht="24" customHeight="1">
      <c r="W8150" s="1634"/>
    </row>
    <row r="8151" spans="23:23" s="1629" customFormat="1" ht="24" customHeight="1">
      <c r="W8151" s="1634"/>
    </row>
    <row r="8152" spans="23:23" s="1629" customFormat="1" ht="24" customHeight="1">
      <c r="W8152" s="1634"/>
    </row>
    <row r="8153" spans="23:23" s="1629" customFormat="1" ht="24" customHeight="1">
      <c r="W8153" s="1634"/>
    </row>
    <row r="8154" spans="23:23" s="1629" customFormat="1" ht="24" customHeight="1">
      <c r="W8154" s="1634"/>
    </row>
    <row r="8155" spans="23:23" s="1629" customFormat="1" ht="24" customHeight="1">
      <c r="W8155" s="1634"/>
    </row>
    <row r="8156" spans="23:23" s="1629" customFormat="1" ht="24" customHeight="1">
      <c r="W8156" s="1634"/>
    </row>
    <row r="8157" spans="23:23" s="1629" customFormat="1" ht="24" customHeight="1">
      <c r="W8157" s="1634"/>
    </row>
    <row r="8158" spans="23:23" s="1629" customFormat="1" ht="24" customHeight="1">
      <c r="W8158" s="1634"/>
    </row>
    <row r="8159" spans="23:23" s="1629" customFormat="1" ht="24" customHeight="1">
      <c r="W8159" s="1634"/>
    </row>
    <row r="8160" spans="23:23" s="1629" customFormat="1" ht="24" customHeight="1">
      <c r="W8160" s="1634"/>
    </row>
    <row r="8161" spans="23:23" s="1629" customFormat="1" ht="24" customHeight="1">
      <c r="W8161" s="1634"/>
    </row>
    <row r="8162" spans="23:23" s="1629" customFormat="1" ht="24" customHeight="1">
      <c r="W8162" s="1634"/>
    </row>
    <row r="8163" spans="23:23" s="1629" customFormat="1" ht="24" customHeight="1">
      <c r="W8163" s="1634"/>
    </row>
    <row r="8164" spans="23:23" s="1629" customFormat="1" ht="24" customHeight="1">
      <c r="W8164" s="1634"/>
    </row>
    <row r="8165" spans="23:23" s="1629" customFormat="1" ht="24" customHeight="1">
      <c r="W8165" s="1634"/>
    </row>
    <row r="8166" spans="23:23" s="1629" customFormat="1" ht="24" customHeight="1">
      <c r="W8166" s="1634"/>
    </row>
    <row r="8167" spans="23:23" s="1629" customFormat="1" ht="24" customHeight="1">
      <c r="W8167" s="1634"/>
    </row>
    <row r="8168" spans="23:23" s="1629" customFormat="1" ht="24" customHeight="1">
      <c r="W8168" s="1634"/>
    </row>
    <row r="8169" spans="23:23" s="1629" customFormat="1" ht="24" customHeight="1">
      <c r="W8169" s="1634"/>
    </row>
    <row r="8170" spans="23:23" s="1629" customFormat="1" ht="24" customHeight="1">
      <c r="W8170" s="1634"/>
    </row>
    <row r="8171" spans="23:23" s="1629" customFormat="1" ht="24" customHeight="1">
      <c r="W8171" s="1634"/>
    </row>
    <row r="8172" spans="23:23" s="1629" customFormat="1" ht="24" customHeight="1">
      <c r="W8172" s="1634"/>
    </row>
    <row r="8173" spans="23:23" s="1629" customFormat="1" ht="24" customHeight="1">
      <c r="W8173" s="1634"/>
    </row>
    <row r="8174" spans="23:23" s="1629" customFormat="1" ht="24" customHeight="1">
      <c r="W8174" s="1634"/>
    </row>
    <row r="8175" spans="23:23" s="1629" customFormat="1" ht="24" customHeight="1">
      <c r="W8175" s="1634"/>
    </row>
    <row r="8176" spans="23:23" s="1629" customFormat="1" ht="24" customHeight="1">
      <c r="W8176" s="1634"/>
    </row>
    <row r="8177" spans="23:23" s="1629" customFormat="1" ht="24" customHeight="1">
      <c r="W8177" s="1634"/>
    </row>
    <row r="8178" spans="23:23" s="1629" customFormat="1" ht="24" customHeight="1">
      <c r="W8178" s="1634"/>
    </row>
    <row r="8179" spans="23:23" s="1629" customFormat="1" ht="24" customHeight="1">
      <c r="W8179" s="1634"/>
    </row>
    <row r="8180" spans="23:23" s="1629" customFormat="1" ht="24" customHeight="1">
      <c r="W8180" s="1634"/>
    </row>
    <row r="8181" spans="23:23" s="1629" customFormat="1" ht="24" customHeight="1">
      <c r="W8181" s="1634"/>
    </row>
    <row r="8182" spans="23:23" s="1629" customFormat="1" ht="24" customHeight="1">
      <c r="W8182" s="1634"/>
    </row>
    <row r="8183" spans="23:23" s="1629" customFormat="1" ht="24" customHeight="1">
      <c r="W8183" s="1634"/>
    </row>
    <row r="8184" spans="23:23" s="1629" customFormat="1" ht="24" customHeight="1">
      <c r="W8184" s="1634"/>
    </row>
    <row r="8185" spans="23:23" s="1629" customFormat="1" ht="24" customHeight="1">
      <c r="W8185" s="1634"/>
    </row>
    <row r="8186" spans="23:23" s="1629" customFormat="1" ht="24" customHeight="1">
      <c r="W8186" s="1634"/>
    </row>
    <row r="8187" spans="23:23" s="1629" customFormat="1" ht="24" customHeight="1">
      <c r="W8187" s="1634"/>
    </row>
    <row r="8188" spans="23:23" s="1629" customFormat="1" ht="24" customHeight="1">
      <c r="W8188" s="1634"/>
    </row>
    <row r="8189" spans="23:23" s="1629" customFormat="1" ht="24" customHeight="1">
      <c r="W8189" s="1634"/>
    </row>
    <row r="8190" spans="23:23" s="1629" customFormat="1" ht="24" customHeight="1">
      <c r="W8190" s="1634"/>
    </row>
    <row r="8191" spans="23:23" s="1629" customFormat="1" ht="24" customHeight="1">
      <c r="W8191" s="1634"/>
    </row>
    <row r="8192" spans="23:23" s="1629" customFormat="1" ht="24" customHeight="1">
      <c r="W8192" s="1634"/>
    </row>
    <row r="8193" spans="23:23" s="1629" customFormat="1" ht="24" customHeight="1">
      <c r="W8193" s="1634"/>
    </row>
    <row r="8194" spans="23:23" s="1629" customFormat="1" ht="24" customHeight="1">
      <c r="W8194" s="1634"/>
    </row>
    <row r="8195" spans="23:23" s="1629" customFormat="1" ht="24" customHeight="1">
      <c r="W8195" s="1634"/>
    </row>
    <row r="8196" spans="23:23" s="1629" customFormat="1" ht="24" customHeight="1">
      <c r="W8196" s="1634"/>
    </row>
    <row r="8197" spans="23:23" s="1629" customFormat="1" ht="24" customHeight="1">
      <c r="W8197" s="1634"/>
    </row>
    <row r="8198" spans="23:23" s="1629" customFormat="1" ht="24" customHeight="1">
      <c r="W8198" s="1634"/>
    </row>
    <row r="8199" spans="23:23" s="1629" customFormat="1" ht="24" customHeight="1">
      <c r="W8199" s="1634"/>
    </row>
    <row r="8200" spans="23:23" s="1629" customFormat="1" ht="24" customHeight="1">
      <c r="W8200" s="1634"/>
    </row>
    <row r="8201" spans="23:23" s="1629" customFormat="1" ht="24" customHeight="1">
      <c r="W8201" s="1634"/>
    </row>
    <row r="8202" spans="23:23" s="1629" customFormat="1" ht="24" customHeight="1">
      <c r="W8202" s="1634"/>
    </row>
    <row r="8203" spans="23:23" s="1629" customFormat="1" ht="24" customHeight="1">
      <c r="W8203" s="1634"/>
    </row>
    <row r="8204" spans="23:23" s="1629" customFormat="1" ht="24" customHeight="1">
      <c r="W8204" s="1634"/>
    </row>
    <row r="8205" spans="23:23" s="1629" customFormat="1" ht="24" customHeight="1">
      <c r="W8205" s="1634"/>
    </row>
    <row r="8206" spans="23:23" s="1629" customFormat="1" ht="24" customHeight="1">
      <c r="W8206" s="1634"/>
    </row>
    <row r="8207" spans="23:23" s="1629" customFormat="1" ht="24" customHeight="1">
      <c r="W8207" s="1634"/>
    </row>
    <row r="8208" spans="23:23" s="1629" customFormat="1" ht="24" customHeight="1">
      <c r="W8208" s="1634"/>
    </row>
    <row r="8209" spans="23:23" s="1629" customFormat="1" ht="24" customHeight="1">
      <c r="W8209" s="1634"/>
    </row>
    <row r="8210" spans="23:23" s="1629" customFormat="1" ht="24" customHeight="1">
      <c r="W8210" s="1634"/>
    </row>
    <row r="8211" spans="23:23" s="1629" customFormat="1" ht="24" customHeight="1">
      <c r="W8211" s="1634"/>
    </row>
    <row r="8212" spans="23:23" s="1629" customFormat="1" ht="24" customHeight="1">
      <c r="W8212" s="1634"/>
    </row>
    <row r="8213" spans="23:23" s="1629" customFormat="1" ht="24" customHeight="1">
      <c r="W8213" s="1634"/>
    </row>
    <row r="8214" spans="23:23" s="1629" customFormat="1" ht="24" customHeight="1">
      <c r="W8214" s="1634"/>
    </row>
    <row r="8215" spans="23:23" s="1629" customFormat="1" ht="24" customHeight="1">
      <c r="W8215" s="1634"/>
    </row>
    <row r="8216" spans="23:23" s="1629" customFormat="1" ht="24" customHeight="1">
      <c r="W8216" s="1634"/>
    </row>
    <row r="8217" spans="23:23" s="1629" customFormat="1" ht="24" customHeight="1">
      <c r="W8217" s="1634"/>
    </row>
    <row r="8218" spans="23:23" s="1629" customFormat="1" ht="24" customHeight="1">
      <c r="W8218" s="1634"/>
    </row>
    <row r="8219" spans="23:23" s="1629" customFormat="1" ht="24" customHeight="1">
      <c r="W8219" s="1634"/>
    </row>
    <row r="8220" spans="23:23" s="1629" customFormat="1" ht="24" customHeight="1">
      <c r="W8220" s="1634"/>
    </row>
    <row r="8221" spans="23:23" s="1629" customFormat="1" ht="24" customHeight="1">
      <c r="W8221" s="1634"/>
    </row>
    <row r="8222" spans="23:23" s="1629" customFormat="1" ht="24" customHeight="1">
      <c r="W8222" s="1634"/>
    </row>
    <row r="8223" spans="23:23" s="1629" customFormat="1" ht="24" customHeight="1">
      <c r="W8223" s="1634"/>
    </row>
    <row r="8224" spans="23:23" s="1629" customFormat="1" ht="24" customHeight="1">
      <c r="W8224" s="1634"/>
    </row>
    <row r="8225" spans="23:23" s="1629" customFormat="1" ht="24" customHeight="1">
      <c r="W8225" s="1634"/>
    </row>
    <row r="8226" spans="23:23" s="1629" customFormat="1" ht="24" customHeight="1">
      <c r="W8226" s="1634"/>
    </row>
    <row r="8227" spans="23:23" s="1629" customFormat="1" ht="24" customHeight="1">
      <c r="W8227" s="1634"/>
    </row>
    <row r="8228" spans="23:23" s="1629" customFormat="1" ht="24" customHeight="1">
      <c r="W8228" s="1634"/>
    </row>
    <row r="8229" spans="23:23" s="1629" customFormat="1" ht="24" customHeight="1">
      <c r="W8229" s="1634"/>
    </row>
    <row r="8230" spans="23:23" s="1629" customFormat="1" ht="24" customHeight="1">
      <c r="W8230" s="1634"/>
    </row>
    <row r="8231" spans="23:23" s="1629" customFormat="1" ht="24" customHeight="1">
      <c r="W8231" s="1634"/>
    </row>
    <row r="8232" spans="23:23" s="1629" customFormat="1" ht="24" customHeight="1">
      <c r="W8232" s="1634"/>
    </row>
    <row r="8233" spans="23:23" s="1629" customFormat="1" ht="24" customHeight="1">
      <c r="W8233" s="1634"/>
    </row>
    <row r="8234" spans="23:23" s="1629" customFormat="1" ht="24" customHeight="1">
      <c r="W8234" s="1634"/>
    </row>
    <row r="8235" spans="23:23" s="1629" customFormat="1" ht="24" customHeight="1">
      <c r="W8235" s="1634"/>
    </row>
    <row r="8236" spans="23:23" s="1629" customFormat="1" ht="24" customHeight="1">
      <c r="W8236" s="1634"/>
    </row>
    <row r="8237" spans="23:23" s="1629" customFormat="1" ht="24" customHeight="1">
      <c r="W8237" s="1634"/>
    </row>
    <row r="8238" spans="23:23" s="1629" customFormat="1" ht="24" customHeight="1">
      <c r="W8238" s="1634"/>
    </row>
    <row r="8239" spans="23:23" s="1629" customFormat="1" ht="24" customHeight="1">
      <c r="W8239" s="1634"/>
    </row>
    <row r="8240" spans="23:23" s="1629" customFormat="1" ht="24" customHeight="1">
      <c r="W8240" s="1634"/>
    </row>
    <row r="8241" spans="23:23" s="1629" customFormat="1" ht="24" customHeight="1">
      <c r="W8241" s="1634"/>
    </row>
    <row r="8242" spans="23:23" s="1629" customFormat="1" ht="24" customHeight="1">
      <c r="W8242" s="1634"/>
    </row>
    <row r="8243" spans="23:23" s="1629" customFormat="1" ht="24" customHeight="1">
      <c r="W8243" s="1634"/>
    </row>
    <row r="8244" spans="23:23" s="1629" customFormat="1" ht="24" customHeight="1">
      <c r="W8244" s="1634"/>
    </row>
    <row r="8245" spans="23:23" s="1629" customFormat="1" ht="24" customHeight="1">
      <c r="W8245" s="1634"/>
    </row>
    <row r="8246" spans="23:23" s="1629" customFormat="1" ht="24" customHeight="1">
      <c r="W8246" s="1634"/>
    </row>
    <row r="8247" spans="23:23" s="1629" customFormat="1" ht="24" customHeight="1">
      <c r="W8247" s="1634"/>
    </row>
    <row r="8248" spans="23:23" s="1629" customFormat="1" ht="24" customHeight="1">
      <c r="W8248" s="1634"/>
    </row>
    <row r="8249" spans="23:23" s="1629" customFormat="1" ht="24" customHeight="1">
      <c r="W8249" s="1634"/>
    </row>
    <row r="8250" spans="23:23" s="1629" customFormat="1" ht="24" customHeight="1">
      <c r="W8250" s="1634"/>
    </row>
    <row r="8251" spans="23:23" s="1629" customFormat="1" ht="24" customHeight="1">
      <c r="W8251" s="1634"/>
    </row>
    <row r="8252" spans="23:23" s="1629" customFormat="1" ht="24" customHeight="1">
      <c r="W8252" s="1634"/>
    </row>
    <row r="8253" spans="23:23" s="1629" customFormat="1" ht="24" customHeight="1">
      <c r="W8253" s="1634"/>
    </row>
    <row r="8254" spans="23:23" s="1629" customFormat="1" ht="24" customHeight="1">
      <c r="W8254" s="1634"/>
    </row>
    <row r="8255" spans="23:23" s="1629" customFormat="1" ht="24" customHeight="1">
      <c r="W8255" s="1634"/>
    </row>
    <row r="8256" spans="23:23" s="1629" customFormat="1" ht="24" customHeight="1">
      <c r="W8256" s="1634"/>
    </row>
    <row r="8257" spans="23:23" s="1629" customFormat="1" ht="24" customHeight="1">
      <c r="W8257" s="1634"/>
    </row>
    <row r="8258" spans="23:23" s="1629" customFormat="1" ht="24" customHeight="1">
      <c r="W8258" s="1634"/>
    </row>
    <row r="8259" spans="23:23" s="1629" customFormat="1" ht="24" customHeight="1">
      <c r="W8259" s="1634"/>
    </row>
    <row r="8260" spans="23:23" s="1629" customFormat="1" ht="24" customHeight="1">
      <c r="W8260" s="1634"/>
    </row>
    <row r="8261" spans="23:23" s="1629" customFormat="1" ht="24" customHeight="1">
      <c r="W8261" s="1634"/>
    </row>
    <row r="8262" spans="23:23" s="1629" customFormat="1" ht="24" customHeight="1">
      <c r="W8262" s="1634"/>
    </row>
    <row r="8263" spans="23:23" s="1629" customFormat="1" ht="24" customHeight="1">
      <c r="W8263" s="1634"/>
    </row>
    <row r="8264" spans="23:23" s="1629" customFormat="1" ht="24" customHeight="1">
      <c r="W8264" s="1634"/>
    </row>
    <row r="8265" spans="23:23" s="1629" customFormat="1" ht="24" customHeight="1">
      <c r="W8265" s="1634"/>
    </row>
    <row r="8266" spans="23:23" s="1629" customFormat="1" ht="24" customHeight="1">
      <c r="W8266" s="1634"/>
    </row>
    <row r="8267" spans="23:23" s="1629" customFormat="1" ht="24" customHeight="1">
      <c r="W8267" s="1634"/>
    </row>
    <row r="8268" spans="23:23" s="1629" customFormat="1" ht="24" customHeight="1">
      <c r="W8268" s="1634"/>
    </row>
    <row r="8269" spans="23:23" s="1629" customFormat="1" ht="24" customHeight="1">
      <c r="W8269" s="1634"/>
    </row>
    <row r="8270" spans="23:23" s="1629" customFormat="1" ht="24" customHeight="1">
      <c r="W8270" s="1634"/>
    </row>
    <row r="8271" spans="23:23" s="1629" customFormat="1" ht="24" customHeight="1">
      <c r="W8271" s="1634"/>
    </row>
    <row r="8272" spans="23:23" s="1629" customFormat="1" ht="24" customHeight="1">
      <c r="W8272" s="1634"/>
    </row>
    <row r="8273" spans="23:23" s="1629" customFormat="1" ht="24" customHeight="1">
      <c r="W8273" s="1634"/>
    </row>
    <row r="8274" spans="23:23" s="1629" customFormat="1" ht="24" customHeight="1">
      <c r="W8274" s="1634"/>
    </row>
    <row r="8275" spans="23:23" s="1629" customFormat="1" ht="24" customHeight="1">
      <c r="W8275" s="1634"/>
    </row>
    <row r="8276" spans="23:23" s="1629" customFormat="1" ht="24" customHeight="1">
      <c r="W8276" s="1634"/>
    </row>
    <row r="8277" spans="23:23" s="1629" customFormat="1" ht="24" customHeight="1">
      <c r="W8277" s="1634"/>
    </row>
    <row r="8278" spans="23:23" s="1629" customFormat="1" ht="24" customHeight="1">
      <c r="W8278" s="1634"/>
    </row>
    <row r="8279" spans="23:23" s="1629" customFormat="1" ht="24" customHeight="1">
      <c r="W8279" s="1634"/>
    </row>
    <row r="8280" spans="23:23" s="1629" customFormat="1" ht="24" customHeight="1">
      <c r="W8280" s="1634"/>
    </row>
    <row r="8281" spans="23:23" s="1629" customFormat="1" ht="24" customHeight="1">
      <c r="W8281" s="1634"/>
    </row>
    <row r="8282" spans="23:23" s="1629" customFormat="1" ht="24" customHeight="1">
      <c r="W8282" s="1634"/>
    </row>
    <row r="8283" spans="23:23" s="1629" customFormat="1" ht="24" customHeight="1">
      <c r="W8283" s="1634"/>
    </row>
    <row r="8284" spans="23:23" s="1629" customFormat="1" ht="24" customHeight="1">
      <c r="W8284" s="1634"/>
    </row>
    <row r="8285" spans="23:23" s="1629" customFormat="1" ht="24" customHeight="1">
      <c r="W8285" s="1634"/>
    </row>
    <row r="8286" spans="23:23" s="1629" customFormat="1" ht="24" customHeight="1">
      <c r="W8286" s="1634"/>
    </row>
    <row r="8287" spans="23:23" s="1629" customFormat="1" ht="24" customHeight="1">
      <c r="W8287" s="1634"/>
    </row>
    <row r="8288" spans="23:23" s="1629" customFormat="1" ht="24" customHeight="1">
      <c r="W8288" s="1634"/>
    </row>
    <row r="8289" spans="23:23" s="1629" customFormat="1" ht="24" customHeight="1">
      <c r="W8289" s="1634"/>
    </row>
    <row r="8290" spans="23:23" s="1629" customFormat="1" ht="24" customHeight="1">
      <c r="W8290" s="1634"/>
    </row>
    <row r="8291" spans="23:23" s="1629" customFormat="1" ht="24" customHeight="1">
      <c r="W8291" s="1634"/>
    </row>
    <row r="8292" spans="23:23" s="1629" customFormat="1" ht="24" customHeight="1">
      <c r="W8292" s="1634"/>
    </row>
    <row r="8293" spans="23:23" s="1629" customFormat="1" ht="24" customHeight="1">
      <c r="W8293" s="1634"/>
    </row>
    <row r="8294" spans="23:23" s="1629" customFormat="1" ht="24" customHeight="1">
      <c r="W8294" s="1634"/>
    </row>
    <row r="8295" spans="23:23" s="1629" customFormat="1" ht="24" customHeight="1">
      <c r="W8295" s="1634"/>
    </row>
    <row r="8296" spans="23:23" s="1629" customFormat="1" ht="24" customHeight="1">
      <c r="W8296" s="1634"/>
    </row>
    <row r="8297" spans="23:23" s="1629" customFormat="1" ht="24" customHeight="1">
      <c r="W8297" s="1634"/>
    </row>
    <row r="8298" spans="23:23" s="1629" customFormat="1" ht="24" customHeight="1">
      <c r="W8298" s="1634"/>
    </row>
    <row r="8299" spans="23:23" s="1629" customFormat="1" ht="24" customHeight="1">
      <c r="W8299" s="1634"/>
    </row>
    <row r="8300" spans="23:23" s="1629" customFormat="1" ht="24" customHeight="1">
      <c r="W8300" s="1634"/>
    </row>
    <row r="8301" spans="23:23" s="1629" customFormat="1" ht="24" customHeight="1">
      <c r="W8301" s="1634"/>
    </row>
    <row r="8302" spans="23:23" s="1629" customFormat="1" ht="24" customHeight="1">
      <c r="W8302" s="1634"/>
    </row>
    <row r="8303" spans="23:23" s="1629" customFormat="1" ht="24" customHeight="1">
      <c r="W8303" s="1634"/>
    </row>
    <row r="8304" spans="23:23" s="1629" customFormat="1" ht="24" customHeight="1">
      <c r="W8304" s="1634"/>
    </row>
    <row r="8305" spans="23:23" s="1629" customFormat="1" ht="24" customHeight="1">
      <c r="W8305" s="1634"/>
    </row>
    <row r="8306" spans="23:23" s="1629" customFormat="1" ht="24" customHeight="1">
      <c r="W8306" s="1634"/>
    </row>
    <row r="8307" spans="23:23" s="1629" customFormat="1" ht="24" customHeight="1">
      <c r="W8307" s="1634"/>
    </row>
    <row r="8308" spans="23:23" s="1629" customFormat="1" ht="24" customHeight="1">
      <c r="W8308" s="1634"/>
    </row>
    <row r="8309" spans="23:23" s="1629" customFormat="1" ht="24" customHeight="1">
      <c r="W8309" s="1634"/>
    </row>
    <row r="8310" spans="23:23" s="1629" customFormat="1" ht="24" customHeight="1">
      <c r="W8310" s="1634"/>
    </row>
    <row r="8311" spans="23:23" s="1629" customFormat="1" ht="24" customHeight="1">
      <c r="W8311" s="1634"/>
    </row>
    <row r="8312" spans="23:23" s="1629" customFormat="1" ht="24" customHeight="1">
      <c r="W8312" s="1634"/>
    </row>
    <row r="8313" spans="23:23" s="1629" customFormat="1" ht="24" customHeight="1">
      <c r="W8313" s="1634"/>
    </row>
    <row r="8314" spans="23:23" s="1629" customFormat="1" ht="24" customHeight="1">
      <c r="W8314" s="1634"/>
    </row>
    <row r="8315" spans="23:23" s="1629" customFormat="1" ht="24" customHeight="1">
      <c r="W8315" s="1634"/>
    </row>
    <row r="8316" spans="23:23" s="1629" customFormat="1" ht="24" customHeight="1">
      <c r="W8316" s="1634"/>
    </row>
    <row r="8317" spans="23:23" s="1629" customFormat="1" ht="24" customHeight="1">
      <c r="W8317" s="1634"/>
    </row>
    <row r="8318" spans="23:23" s="1629" customFormat="1" ht="24" customHeight="1">
      <c r="W8318" s="1634"/>
    </row>
    <row r="8319" spans="23:23" s="1629" customFormat="1" ht="24" customHeight="1">
      <c r="W8319" s="1634"/>
    </row>
    <row r="8320" spans="23:23" s="1629" customFormat="1" ht="24" customHeight="1">
      <c r="W8320" s="1634"/>
    </row>
    <row r="8321" spans="23:23" s="1629" customFormat="1" ht="24" customHeight="1">
      <c r="W8321" s="1634"/>
    </row>
    <row r="8322" spans="23:23" s="1629" customFormat="1" ht="24" customHeight="1">
      <c r="W8322" s="1634"/>
    </row>
    <row r="8323" spans="23:23" s="1629" customFormat="1" ht="24" customHeight="1">
      <c r="W8323" s="1634"/>
    </row>
    <row r="8324" spans="23:23" s="1629" customFormat="1" ht="24" customHeight="1">
      <c r="W8324" s="1634"/>
    </row>
    <row r="8325" spans="23:23" s="1629" customFormat="1" ht="24" customHeight="1">
      <c r="W8325" s="1634"/>
    </row>
    <row r="8326" spans="23:23" s="1629" customFormat="1" ht="24" customHeight="1">
      <c r="W8326" s="1634"/>
    </row>
    <row r="8327" spans="23:23" s="1629" customFormat="1" ht="24" customHeight="1">
      <c r="W8327" s="1634"/>
    </row>
    <row r="8328" spans="23:23" s="1629" customFormat="1" ht="24" customHeight="1">
      <c r="W8328" s="1634"/>
    </row>
    <row r="8329" spans="23:23" s="1629" customFormat="1" ht="24" customHeight="1">
      <c r="W8329" s="1634"/>
    </row>
    <row r="8330" spans="23:23" s="1629" customFormat="1" ht="24" customHeight="1">
      <c r="W8330" s="1634"/>
    </row>
    <row r="8331" spans="23:23" s="1629" customFormat="1" ht="24" customHeight="1">
      <c r="W8331" s="1634"/>
    </row>
    <row r="8332" spans="23:23" s="1629" customFormat="1" ht="24" customHeight="1">
      <c r="W8332" s="1634"/>
    </row>
    <row r="8333" spans="23:23" s="1629" customFormat="1" ht="24" customHeight="1">
      <c r="W8333" s="1634"/>
    </row>
    <row r="8334" spans="23:23" s="1629" customFormat="1" ht="24" customHeight="1">
      <c r="W8334" s="1634"/>
    </row>
    <row r="8335" spans="23:23" s="1629" customFormat="1" ht="24" customHeight="1">
      <c r="W8335" s="1634"/>
    </row>
    <row r="8336" spans="23:23" s="1629" customFormat="1" ht="24" customHeight="1">
      <c r="W8336" s="1634"/>
    </row>
    <row r="8337" spans="23:23" s="1629" customFormat="1" ht="24" customHeight="1">
      <c r="W8337" s="1634"/>
    </row>
    <row r="8338" spans="23:23" s="1629" customFormat="1" ht="24" customHeight="1">
      <c r="W8338" s="1634"/>
    </row>
    <row r="8339" spans="23:23" s="1629" customFormat="1" ht="24" customHeight="1">
      <c r="W8339" s="1634"/>
    </row>
    <row r="8340" spans="23:23" s="1629" customFormat="1" ht="24" customHeight="1">
      <c r="W8340" s="1634"/>
    </row>
    <row r="8341" spans="23:23" s="1629" customFormat="1" ht="24" customHeight="1">
      <c r="W8341" s="1634"/>
    </row>
    <row r="8342" spans="23:23" s="1629" customFormat="1" ht="24" customHeight="1">
      <c r="W8342" s="1634"/>
    </row>
    <row r="8343" spans="23:23" s="1629" customFormat="1" ht="24" customHeight="1">
      <c r="W8343" s="1634"/>
    </row>
    <row r="8344" spans="23:23" s="1629" customFormat="1" ht="24" customHeight="1">
      <c r="W8344" s="1634"/>
    </row>
    <row r="8345" spans="23:23" s="1629" customFormat="1" ht="24" customHeight="1">
      <c r="W8345" s="1634"/>
    </row>
    <row r="8346" spans="23:23" s="1629" customFormat="1" ht="24" customHeight="1">
      <c r="W8346" s="1634"/>
    </row>
    <row r="8347" spans="23:23" s="1629" customFormat="1" ht="24" customHeight="1">
      <c r="W8347" s="1634"/>
    </row>
    <row r="8348" spans="23:23" s="1629" customFormat="1" ht="24" customHeight="1">
      <c r="W8348" s="1634"/>
    </row>
    <row r="8349" spans="23:23" s="1629" customFormat="1" ht="24" customHeight="1">
      <c r="W8349" s="1634"/>
    </row>
    <row r="8350" spans="23:23" s="1629" customFormat="1" ht="24" customHeight="1">
      <c r="W8350" s="1634"/>
    </row>
    <row r="8351" spans="23:23" s="1629" customFormat="1" ht="24" customHeight="1">
      <c r="W8351" s="1634"/>
    </row>
    <row r="8352" spans="23:23" s="1629" customFormat="1" ht="24" customHeight="1">
      <c r="W8352" s="1634"/>
    </row>
    <row r="8353" spans="23:23" s="1629" customFormat="1" ht="24" customHeight="1">
      <c r="W8353" s="1634"/>
    </row>
    <row r="8354" spans="23:23" s="1629" customFormat="1" ht="24" customHeight="1">
      <c r="W8354" s="1634"/>
    </row>
    <row r="8355" spans="23:23" s="1629" customFormat="1" ht="24" customHeight="1">
      <c r="W8355" s="1634"/>
    </row>
    <row r="8356" spans="23:23" s="1629" customFormat="1" ht="24" customHeight="1">
      <c r="W8356" s="1634"/>
    </row>
    <row r="8357" spans="23:23" s="1629" customFormat="1" ht="24" customHeight="1">
      <c r="W8357" s="1634"/>
    </row>
    <row r="8358" spans="23:23" s="1629" customFormat="1" ht="24" customHeight="1">
      <c r="W8358" s="1634"/>
    </row>
    <row r="8359" spans="23:23" s="1629" customFormat="1" ht="24" customHeight="1">
      <c r="W8359" s="1634"/>
    </row>
    <row r="8360" spans="23:23" s="1629" customFormat="1" ht="24" customHeight="1">
      <c r="W8360" s="1634"/>
    </row>
    <row r="8361" spans="23:23" s="1629" customFormat="1" ht="24" customHeight="1">
      <c r="W8361" s="1634"/>
    </row>
    <row r="8362" spans="23:23" s="1629" customFormat="1" ht="24" customHeight="1">
      <c r="W8362" s="1634"/>
    </row>
    <row r="8363" spans="23:23" s="1629" customFormat="1" ht="24" customHeight="1">
      <c r="W8363" s="1634"/>
    </row>
    <row r="8364" spans="23:23" s="1629" customFormat="1" ht="24" customHeight="1">
      <c r="W8364" s="1634"/>
    </row>
    <row r="8365" spans="23:23" s="1629" customFormat="1" ht="24" customHeight="1">
      <c r="W8365" s="1634"/>
    </row>
    <row r="8366" spans="23:23" s="1629" customFormat="1" ht="24" customHeight="1">
      <c r="W8366" s="1634"/>
    </row>
    <row r="8367" spans="23:23" s="1629" customFormat="1" ht="24" customHeight="1">
      <c r="W8367" s="1634"/>
    </row>
    <row r="8368" spans="23:23" s="1629" customFormat="1" ht="24" customHeight="1">
      <c r="W8368" s="1634"/>
    </row>
    <row r="8369" spans="23:23" s="1629" customFormat="1" ht="24" customHeight="1">
      <c r="W8369" s="1634"/>
    </row>
    <row r="8370" spans="23:23" s="1629" customFormat="1" ht="24" customHeight="1">
      <c r="W8370" s="1634"/>
    </row>
    <row r="8371" spans="23:23" s="1629" customFormat="1" ht="24" customHeight="1">
      <c r="W8371" s="1634"/>
    </row>
    <row r="8372" spans="23:23" s="1629" customFormat="1" ht="24" customHeight="1">
      <c r="W8372" s="1634"/>
    </row>
    <row r="8373" spans="23:23" s="1629" customFormat="1" ht="24" customHeight="1">
      <c r="W8373" s="1634"/>
    </row>
    <row r="8374" spans="23:23" s="1629" customFormat="1" ht="24" customHeight="1">
      <c r="W8374" s="1634"/>
    </row>
    <row r="8375" spans="23:23" s="1629" customFormat="1" ht="24" customHeight="1">
      <c r="W8375" s="1634"/>
    </row>
    <row r="8376" spans="23:23" s="1629" customFormat="1" ht="24" customHeight="1">
      <c r="W8376" s="1634"/>
    </row>
    <row r="8377" spans="23:23" s="1629" customFormat="1" ht="24" customHeight="1">
      <c r="W8377" s="1634"/>
    </row>
    <row r="8378" spans="23:23" s="1629" customFormat="1" ht="24" customHeight="1">
      <c r="W8378" s="1634"/>
    </row>
    <row r="8379" spans="23:23" s="1629" customFormat="1" ht="24" customHeight="1">
      <c r="W8379" s="1634"/>
    </row>
    <row r="8380" spans="23:23" s="1629" customFormat="1" ht="24" customHeight="1">
      <c r="W8380" s="1634"/>
    </row>
    <row r="8381" spans="23:23" s="1629" customFormat="1" ht="24" customHeight="1">
      <c r="W8381" s="1634"/>
    </row>
    <row r="8382" spans="23:23" s="1629" customFormat="1" ht="24" customHeight="1">
      <c r="W8382" s="1634"/>
    </row>
    <row r="8383" spans="23:23" s="1629" customFormat="1" ht="24" customHeight="1">
      <c r="W8383" s="1634"/>
    </row>
    <row r="8384" spans="23:23" s="1629" customFormat="1" ht="24" customHeight="1">
      <c r="W8384" s="1634"/>
    </row>
    <row r="8385" spans="23:23" s="1629" customFormat="1" ht="24" customHeight="1">
      <c r="W8385" s="1634"/>
    </row>
    <row r="8386" spans="23:23" s="1629" customFormat="1" ht="24" customHeight="1">
      <c r="W8386" s="1634"/>
    </row>
    <row r="8387" spans="23:23" s="1629" customFormat="1" ht="24" customHeight="1">
      <c r="W8387" s="1634"/>
    </row>
    <row r="8388" spans="23:23" s="1629" customFormat="1" ht="24" customHeight="1">
      <c r="W8388" s="1634"/>
    </row>
    <row r="8389" spans="23:23" s="1629" customFormat="1" ht="24" customHeight="1">
      <c r="W8389" s="1634"/>
    </row>
    <row r="8390" spans="23:23" s="1629" customFormat="1" ht="24" customHeight="1">
      <c r="W8390" s="1634"/>
    </row>
    <row r="8391" spans="23:23" s="1629" customFormat="1" ht="24" customHeight="1">
      <c r="W8391" s="1634"/>
    </row>
    <row r="8392" spans="23:23" s="1629" customFormat="1" ht="24" customHeight="1">
      <c r="W8392" s="1634"/>
    </row>
    <row r="8393" spans="23:23" s="1629" customFormat="1" ht="24" customHeight="1">
      <c r="W8393" s="1634"/>
    </row>
    <row r="8394" spans="23:23" s="1629" customFormat="1" ht="24" customHeight="1">
      <c r="W8394" s="1634"/>
    </row>
    <row r="8395" spans="23:23" s="1629" customFormat="1" ht="24" customHeight="1">
      <c r="W8395" s="1634"/>
    </row>
    <row r="8396" spans="23:23" s="1629" customFormat="1" ht="24" customHeight="1">
      <c r="W8396" s="1634"/>
    </row>
    <row r="8397" spans="23:23" s="1629" customFormat="1" ht="24" customHeight="1">
      <c r="W8397" s="1634"/>
    </row>
    <row r="8398" spans="23:23" s="1629" customFormat="1" ht="24" customHeight="1">
      <c r="W8398" s="1634"/>
    </row>
    <row r="8399" spans="23:23" s="1629" customFormat="1" ht="24" customHeight="1">
      <c r="W8399" s="1634"/>
    </row>
    <row r="8400" spans="23:23" s="1629" customFormat="1" ht="24" customHeight="1">
      <c r="W8400" s="1634"/>
    </row>
    <row r="8401" spans="23:23" s="1629" customFormat="1" ht="24" customHeight="1">
      <c r="W8401" s="1634"/>
    </row>
    <row r="8402" spans="23:23" s="1629" customFormat="1" ht="24" customHeight="1">
      <c r="W8402" s="1634"/>
    </row>
    <row r="8403" spans="23:23" s="1629" customFormat="1" ht="24" customHeight="1">
      <c r="W8403" s="1634"/>
    </row>
    <row r="8404" spans="23:23" s="1629" customFormat="1" ht="24" customHeight="1">
      <c r="W8404" s="1634"/>
    </row>
    <row r="8405" spans="23:23" s="1629" customFormat="1" ht="24" customHeight="1">
      <c r="W8405" s="1634"/>
    </row>
    <row r="8406" spans="23:23" s="1629" customFormat="1" ht="24" customHeight="1">
      <c r="W8406" s="1634"/>
    </row>
    <row r="8407" spans="23:23" s="1629" customFormat="1" ht="24" customHeight="1">
      <c r="W8407" s="1634"/>
    </row>
    <row r="8408" spans="23:23" s="1629" customFormat="1" ht="24" customHeight="1">
      <c r="W8408" s="1634"/>
    </row>
    <row r="8409" spans="23:23" s="1629" customFormat="1" ht="24" customHeight="1">
      <c r="W8409" s="1634"/>
    </row>
    <row r="8410" spans="23:23" s="1629" customFormat="1" ht="24" customHeight="1">
      <c r="W8410" s="1634"/>
    </row>
    <row r="8411" spans="23:23" s="1629" customFormat="1" ht="24" customHeight="1">
      <c r="W8411" s="1634"/>
    </row>
    <row r="8412" spans="23:23" s="1629" customFormat="1" ht="24" customHeight="1">
      <c r="W8412" s="1634"/>
    </row>
    <row r="8413" spans="23:23" s="1629" customFormat="1" ht="24" customHeight="1">
      <c r="W8413" s="1634"/>
    </row>
    <row r="8414" spans="23:23" s="1629" customFormat="1" ht="24" customHeight="1">
      <c r="W8414" s="1634"/>
    </row>
    <row r="8415" spans="23:23" s="1629" customFormat="1" ht="24" customHeight="1">
      <c r="W8415" s="1634"/>
    </row>
    <row r="8416" spans="23:23" s="1629" customFormat="1" ht="24" customHeight="1">
      <c r="W8416" s="1634"/>
    </row>
    <row r="8417" spans="23:23" s="1629" customFormat="1" ht="24" customHeight="1">
      <c r="W8417" s="1634"/>
    </row>
    <row r="8418" spans="23:23" s="1629" customFormat="1" ht="24" customHeight="1">
      <c r="W8418" s="1634"/>
    </row>
    <row r="8419" spans="23:23" s="1629" customFormat="1" ht="24" customHeight="1">
      <c r="W8419" s="1634"/>
    </row>
    <row r="8420" spans="23:23" s="1629" customFormat="1" ht="24" customHeight="1">
      <c r="W8420" s="1634"/>
    </row>
    <row r="8421" spans="23:23" s="1629" customFormat="1" ht="24" customHeight="1">
      <c r="W8421" s="1634"/>
    </row>
    <row r="8422" spans="23:23" s="1629" customFormat="1" ht="24" customHeight="1">
      <c r="W8422" s="1634"/>
    </row>
    <row r="8423" spans="23:23" s="1629" customFormat="1" ht="24" customHeight="1">
      <c r="W8423" s="1634"/>
    </row>
    <row r="8424" spans="23:23" s="1629" customFormat="1" ht="24" customHeight="1">
      <c r="W8424" s="1634"/>
    </row>
    <row r="8425" spans="23:23" s="1629" customFormat="1" ht="24" customHeight="1">
      <c r="W8425" s="1634"/>
    </row>
    <row r="8426" spans="23:23" s="1629" customFormat="1" ht="24" customHeight="1">
      <c r="W8426" s="1634"/>
    </row>
    <row r="8427" spans="23:23" s="1629" customFormat="1" ht="24" customHeight="1">
      <c r="W8427" s="1634"/>
    </row>
    <row r="8428" spans="23:23" s="1629" customFormat="1" ht="24" customHeight="1">
      <c r="W8428" s="1634"/>
    </row>
    <row r="8429" spans="23:23" s="1629" customFormat="1" ht="24" customHeight="1">
      <c r="W8429" s="1634"/>
    </row>
    <row r="8430" spans="23:23" s="1629" customFormat="1" ht="24" customHeight="1">
      <c r="W8430" s="1634"/>
    </row>
    <row r="8431" spans="23:23" s="1629" customFormat="1" ht="24" customHeight="1">
      <c r="W8431" s="1634"/>
    </row>
    <row r="8432" spans="23:23" s="1629" customFormat="1" ht="24" customHeight="1">
      <c r="W8432" s="1634"/>
    </row>
    <row r="8433" spans="23:23" s="1629" customFormat="1" ht="24" customHeight="1">
      <c r="W8433" s="1634"/>
    </row>
    <row r="8434" spans="23:23" s="1629" customFormat="1" ht="24" customHeight="1">
      <c r="W8434" s="1634"/>
    </row>
    <row r="8435" spans="23:23" s="1629" customFormat="1" ht="24" customHeight="1">
      <c r="W8435" s="1634"/>
    </row>
    <row r="8436" spans="23:23" s="1629" customFormat="1" ht="24" customHeight="1">
      <c r="W8436" s="1634"/>
    </row>
    <row r="8437" spans="23:23" s="1629" customFormat="1" ht="24" customHeight="1">
      <c r="W8437" s="1634"/>
    </row>
    <row r="8438" spans="23:23" s="1629" customFormat="1" ht="24" customHeight="1">
      <c r="W8438" s="1634"/>
    </row>
    <row r="8439" spans="23:23" s="1629" customFormat="1" ht="24" customHeight="1">
      <c r="W8439" s="1634"/>
    </row>
    <row r="8440" spans="23:23" s="1629" customFormat="1" ht="24" customHeight="1">
      <c r="W8440" s="1634"/>
    </row>
    <row r="8441" spans="23:23" s="1629" customFormat="1" ht="24" customHeight="1">
      <c r="W8441" s="1634"/>
    </row>
    <row r="8442" spans="23:23" s="1629" customFormat="1" ht="24" customHeight="1">
      <c r="W8442" s="1634"/>
    </row>
    <row r="8443" spans="23:23" s="1629" customFormat="1" ht="24" customHeight="1">
      <c r="W8443" s="1634"/>
    </row>
    <row r="8444" spans="23:23" s="1629" customFormat="1" ht="24" customHeight="1">
      <c r="W8444" s="1634"/>
    </row>
    <row r="8445" spans="23:23" s="1629" customFormat="1" ht="24" customHeight="1">
      <c r="W8445" s="1634"/>
    </row>
    <row r="8446" spans="23:23" s="1629" customFormat="1" ht="24" customHeight="1">
      <c r="W8446" s="1634"/>
    </row>
    <row r="8447" spans="23:23" s="1629" customFormat="1" ht="24" customHeight="1">
      <c r="W8447" s="1634"/>
    </row>
    <row r="8448" spans="23:23" s="1629" customFormat="1" ht="24" customHeight="1">
      <c r="W8448" s="1634"/>
    </row>
    <row r="8449" spans="23:23" s="1629" customFormat="1" ht="24" customHeight="1">
      <c r="W8449" s="1634"/>
    </row>
    <row r="8450" spans="23:23" s="1629" customFormat="1" ht="24" customHeight="1">
      <c r="W8450" s="1634"/>
    </row>
    <row r="8451" spans="23:23" s="1629" customFormat="1" ht="24" customHeight="1">
      <c r="W8451" s="1634"/>
    </row>
    <row r="8452" spans="23:23" s="1629" customFormat="1" ht="24" customHeight="1">
      <c r="W8452" s="1634"/>
    </row>
    <row r="8453" spans="23:23" s="1629" customFormat="1" ht="24" customHeight="1">
      <c r="W8453" s="1634"/>
    </row>
    <row r="8454" spans="23:23" s="1629" customFormat="1" ht="24" customHeight="1">
      <c r="W8454" s="1634"/>
    </row>
    <row r="8455" spans="23:23" s="1629" customFormat="1" ht="24" customHeight="1">
      <c r="W8455" s="1634"/>
    </row>
    <row r="8456" spans="23:23" s="1629" customFormat="1" ht="24" customHeight="1">
      <c r="W8456" s="1634"/>
    </row>
    <row r="8457" spans="23:23" s="1629" customFormat="1" ht="24" customHeight="1">
      <c r="W8457" s="1634"/>
    </row>
    <row r="8458" spans="23:23" s="1629" customFormat="1" ht="24" customHeight="1">
      <c r="W8458" s="1634"/>
    </row>
    <row r="8459" spans="23:23" s="1629" customFormat="1" ht="24" customHeight="1">
      <c r="W8459" s="1634"/>
    </row>
    <row r="8460" spans="23:23" s="1629" customFormat="1" ht="24" customHeight="1">
      <c r="W8460" s="1634"/>
    </row>
    <row r="8461" spans="23:23" s="1629" customFormat="1" ht="24" customHeight="1">
      <c r="W8461" s="1634"/>
    </row>
    <row r="8462" spans="23:23" s="1629" customFormat="1" ht="24" customHeight="1">
      <c r="W8462" s="1634"/>
    </row>
    <row r="8463" spans="23:23" s="1629" customFormat="1" ht="24" customHeight="1">
      <c r="W8463" s="1634"/>
    </row>
    <row r="8464" spans="23:23" s="1629" customFormat="1" ht="24" customHeight="1">
      <c r="W8464" s="1634"/>
    </row>
    <row r="8465" spans="23:23" s="1629" customFormat="1" ht="24" customHeight="1">
      <c r="W8465" s="1634"/>
    </row>
    <row r="8466" spans="23:23" s="1629" customFormat="1" ht="24" customHeight="1">
      <c r="W8466" s="1634"/>
    </row>
    <row r="8467" spans="23:23" s="1629" customFormat="1" ht="24" customHeight="1">
      <c r="W8467" s="1634"/>
    </row>
    <row r="8468" spans="23:23" s="1629" customFormat="1" ht="24" customHeight="1">
      <c r="W8468" s="1634"/>
    </row>
    <row r="8469" spans="23:23" s="1629" customFormat="1" ht="24" customHeight="1">
      <c r="W8469" s="1634"/>
    </row>
    <row r="8470" spans="23:23" s="1629" customFormat="1" ht="24" customHeight="1">
      <c r="W8470" s="1634"/>
    </row>
    <row r="8471" spans="23:23" s="1629" customFormat="1" ht="24" customHeight="1">
      <c r="W8471" s="1634"/>
    </row>
    <row r="8472" spans="23:23" s="1629" customFormat="1" ht="24" customHeight="1">
      <c r="W8472" s="1634"/>
    </row>
    <row r="8473" spans="23:23" s="1629" customFormat="1" ht="24" customHeight="1">
      <c r="W8473" s="1634"/>
    </row>
    <row r="8474" spans="23:23" s="1629" customFormat="1" ht="24" customHeight="1">
      <c r="W8474" s="1634"/>
    </row>
    <row r="8475" spans="23:23" s="1629" customFormat="1" ht="24" customHeight="1">
      <c r="W8475" s="1634"/>
    </row>
    <row r="8476" spans="23:23" s="1629" customFormat="1" ht="24" customHeight="1">
      <c r="W8476" s="1634"/>
    </row>
    <row r="8477" spans="23:23" s="1629" customFormat="1" ht="24" customHeight="1">
      <c r="W8477" s="1634"/>
    </row>
    <row r="8478" spans="23:23" s="1629" customFormat="1" ht="24" customHeight="1">
      <c r="W8478" s="1634"/>
    </row>
    <row r="8479" spans="23:23" s="1629" customFormat="1" ht="24" customHeight="1">
      <c r="W8479" s="1634"/>
    </row>
    <row r="8480" spans="23:23" s="1629" customFormat="1" ht="24" customHeight="1">
      <c r="W8480" s="1634"/>
    </row>
    <row r="8481" spans="23:23" s="1629" customFormat="1" ht="24" customHeight="1">
      <c r="W8481" s="1634"/>
    </row>
    <row r="8482" spans="23:23" s="1629" customFormat="1" ht="24" customHeight="1">
      <c r="W8482" s="1634"/>
    </row>
    <row r="8483" spans="23:23" s="1629" customFormat="1" ht="24" customHeight="1">
      <c r="W8483" s="1634"/>
    </row>
    <row r="8484" spans="23:23" s="1629" customFormat="1" ht="24" customHeight="1">
      <c r="W8484" s="1634"/>
    </row>
    <row r="8485" spans="23:23" s="1629" customFormat="1" ht="24" customHeight="1">
      <c r="W8485" s="1634"/>
    </row>
    <row r="8486" spans="23:23" s="1629" customFormat="1" ht="24" customHeight="1">
      <c r="W8486" s="1634"/>
    </row>
    <row r="8487" spans="23:23" s="1629" customFormat="1" ht="24" customHeight="1">
      <c r="W8487" s="1634"/>
    </row>
    <row r="8488" spans="23:23" s="1629" customFormat="1" ht="24" customHeight="1">
      <c r="W8488" s="1634"/>
    </row>
    <row r="8489" spans="23:23" s="1629" customFormat="1" ht="24" customHeight="1">
      <c r="W8489" s="1634"/>
    </row>
    <row r="8490" spans="23:23" s="1629" customFormat="1" ht="24" customHeight="1">
      <c r="W8490" s="1634"/>
    </row>
    <row r="8491" spans="23:23" s="1629" customFormat="1" ht="24" customHeight="1">
      <c r="W8491" s="1634"/>
    </row>
    <row r="8492" spans="23:23" s="1629" customFormat="1" ht="24" customHeight="1">
      <c r="W8492" s="1634"/>
    </row>
    <row r="8493" spans="23:23" s="1629" customFormat="1" ht="24" customHeight="1">
      <c r="W8493" s="1634"/>
    </row>
    <row r="8494" spans="23:23" s="1629" customFormat="1" ht="24" customHeight="1">
      <c r="W8494" s="1634"/>
    </row>
    <row r="8495" spans="23:23" s="1629" customFormat="1" ht="24" customHeight="1">
      <c r="W8495" s="1634"/>
    </row>
    <row r="8496" spans="23:23" s="1629" customFormat="1" ht="24" customHeight="1">
      <c r="W8496" s="1634"/>
    </row>
    <row r="8497" spans="23:23" s="1629" customFormat="1" ht="24" customHeight="1">
      <c r="W8497" s="1634"/>
    </row>
    <row r="8498" spans="23:23" s="1629" customFormat="1" ht="24" customHeight="1">
      <c r="W8498" s="1634"/>
    </row>
    <row r="8499" spans="23:23" s="1629" customFormat="1" ht="24" customHeight="1">
      <c r="W8499" s="1634"/>
    </row>
    <row r="8500" spans="23:23" s="1629" customFormat="1" ht="24" customHeight="1">
      <c r="W8500" s="1634"/>
    </row>
    <row r="8501" spans="23:23" s="1629" customFormat="1" ht="24" customHeight="1">
      <c r="W8501" s="1634"/>
    </row>
    <row r="8502" spans="23:23" s="1629" customFormat="1" ht="24" customHeight="1">
      <c r="W8502" s="1634"/>
    </row>
    <row r="8503" spans="23:23" s="1629" customFormat="1" ht="24" customHeight="1">
      <c r="W8503" s="1634"/>
    </row>
    <row r="8504" spans="23:23" s="1629" customFormat="1" ht="24" customHeight="1">
      <c r="W8504" s="1634"/>
    </row>
    <row r="8505" spans="23:23" s="1629" customFormat="1" ht="24" customHeight="1">
      <c r="W8505" s="1634"/>
    </row>
    <row r="8506" spans="23:23" s="1629" customFormat="1" ht="24" customHeight="1">
      <c r="W8506" s="1634"/>
    </row>
    <row r="8507" spans="23:23" s="1629" customFormat="1" ht="24" customHeight="1">
      <c r="W8507" s="1634"/>
    </row>
    <row r="8508" spans="23:23" s="1629" customFormat="1" ht="24" customHeight="1">
      <c r="W8508" s="1634"/>
    </row>
    <row r="8509" spans="23:23" s="1629" customFormat="1" ht="24" customHeight="1">
      <c r="W8509" s="1634"/>
    </row>
    <row r="8510" spans="23:23" s="1629" customFormat="1" ht="24" customHeight="1">
      <c r="W8510" s="1634"/>
    </row>
    <row r="8511" spans="23:23" s="1629" customFormat="1" ht="24" customHeight="1">
      <c r="W8511" s="1634"/>
    </row>
    <row r="8512" spans="23:23" s="1629" customFormat="1" ht="24" customHeight="1">
      <c r="W8512" s="1634"/>
    </row>
    <row r="8513" spans="23:23" s="1629" customFormat="1" ht="24" customHeight="1">
      <c r="W8513" s="1634"/>
    </row>
    <row r="8514" spans="23:23" s="1629" customFormat="1" ht="24" customHeight="1">
      <c r="W8514" s="1634"/>
    </row>
    <row r="8515" spans="23:23" s="1629" customFormat="1" ht="24" customHeight="1">
      <c r="W8515" s="1634"/>
    </row>
    <row r="8516" spans="23:23" s="1629" customFormat="1" ht="24" customHeight="1">
      <c r="W8516" s="1634"/>
    </row>
    <row r="8517" spans="23:23" s="1629" customFormat="1" ht="24" customHeight="1">
      <c r="W8517" s="1634"/>
    </row>
    <row r="8518" spans="23:23" s="1629" customFormat="1" ht="24" customHeight="1">
      <c r="W8518" s="1634"/>
    </row>
    <row r="8519" spans="23:23" s="1629" customFormat="1" ht="24" customHeight="1">
      <c r="W8519" s="1634"/>
    </row>
    <row r="8520" spans="23:23" s="1629" customFormat="1" ht="24" customHeight="1">
      <c r="W8520" s="1634"/>
    </row>
    <row r="8521" spans="23:23" s="1629" customFormat="1" ht="24" customHeight="1">
      <c r="W8521" s="1634"/>
    </row>
    <row r="8522" spans="23:23" s="1629" customFormat="1" ht="24" customHeight="1">
      <c r="W8522" s="1634"/>
    </row>
    <row r="8523" spans="23:23" s="1629" customFormat="1" ht="24" customHeight="1">
      <c r="W8523" s="1634"/>
    </row>
    <row r="8524" spans="23:23" s="1629" customFormat="1" ht="24" customHeight="1">
      <c r="W8524" s="1634"/>
    </row>
    <row r="8525" spans="23:23" s="1629" customFormat="1" ht="24" customHeight="1">
      <c r="W8525" s="1634"/>
    </row>
    <row r="8526" spans="23:23" s="1629" customFormat="1" ht="24" customHeight="1">
      <c r="W8526" s="1634"/>
    </row>
    <row r="8527" spans="23:23" s="1629" customFormat="1" ht="24" customHeight="1">
      <c r="W8527" s="1634"/>
    </row>
    <row r="8528" spans="23:23" s="1629" customFormat="1" ht="24" customHeight="1">
      <c r="W8528" s="1634"/>
    </row>
    <row r="8529" spans="23:23" s="1629" customFormat="1" ht="24" customHeight="1">
      <c r="W8529" s="1634"/>
    </row>
    <row r="8530" spans="23:23" s="1629" customFormat="1" ht="24" customHeight="1">
      <c r="W8530" s="1634"/>
    </row>
    <row r="8531" spans="23:23" s="1629" customFormat="1" ht="24" customHeight="1">
      <c r="W8531" s="1634"/>
    </row>
    <row r="8532" spans="23:23" s="1629" customFormat="1" ht="24" customHeight="1">
      <c r="W8532" s="1634"/>
    </row>
    <row r="8533" spans="23:23" s="1629" customFormat="1" ht="24" customHeight="1">
      <c r="W8533" s="1634"/>
    </row>
    <row r="8534" spans="23:23" s="1629" customFormat="1" ht="24" customHeight="1">
      <c r="W8534" s="1634"/>
    </row>
    <row r="8535" spans="23:23" s="1629" customFormat="1" ht="24" customHeight="1">
      <c r="W8535" s="1634"/>
    </row>
    <row r="8536" spans="23:23" s="1629" customFormat="1" ht="24" customHeight="1">
      <c r="W8536" s="1634"/>
    </row>
    <row r="8537" spans="23:23" s="1629" customFormat="1" ht="24" customHeight="1">
      <c r="W8537" s="1634"/>
    </row>
    <row r="8538" spans="23:23" s="1629" customFormat="1" ht="24" customHeight="1">
      <c r="W8538" s="1634"/>
    </row>
    <row r="8539" spans="23:23" s="1629" customFormat="1" ht="24" customHeight="1">
      <c r="W8539" s="1634"/>
    </row>
    <row r="8540" spans="23:23" s="1629" customFormat="1" ht="24" customHeight="1">
      <c r="W8540" s="1634"/>
    </row>
    <row r="8541" spans="23:23" s="1629" customFormat="1" ht="24" customHeight="1">
      <c r="W8541" s="1634"/>
    </row>
    <row r="8542" spans="23:23" s="1629" customFormat="1" ht="24" customHeight="1">
      <c r="W8542" s="1634"/>
    </row>
    <row r="8543" spans="23:23" s="1629" customFormat="1" ht="24" customHeight="1">
      <c r="W8543" s="1634"/>
    </row>
    <row r="8544" spans="23:23" s="1629" customFormat="1" ht="24" customHeight="1">
      <c r="W8544" s="1634"/>
    </row>
    <row r="8545" spans="23:23" s="1629" customFormat="1" ht="24" customHeight="1">
      <c r="W8545" s="1634"/>
    </row>
    <row r="8546" spans="23:23" s="1629" customFormat="1" ht="24" customHeight="1">
      <c r="W8546" s="1634"/>
    </row>
    <row r="8547" spans="23:23" s="1629" customFormat="1" ht="24" customHeight="1">
      <c r="W8547" s="1634"/>
    </row>
    <row r="8548" spans="23:23" s="1629" customFormat="1" ht="24" customHeight="1">
      <c r="W8548" s="1634"/>
    </row>
    <row r="8549" spans="23:23" s="1629" customFormat="1" ht="24" customHeight="1">
      <c r="W8549" s="1634"/>
    </row>
    <row r="8550" spans="23:23" s="1629" customFormat="1" ht="24" customHeight="1">
      <c r="W8550" s="1634"/>
    </row>
    <row r="8551" spans="23:23" s="1629" customFormat="1" ht="24" customHeight="1">
      <c r="W8551" s="1634"/>
    </row>
    <row r="8552" spans="23:23" s="1629" customFormat="1" ht="24" customHeight="1">
      <c r="W8552" s="1634"/>
    </row>
    <row r="8553" spans="23:23" s="1629" customFormat="1" ht="24" customHeight="1">
      <c r="W8553" s="1634"/>
    </row>
    <row r="8554" spans="23:23" s="1629" customFormat="1" ht="24" customHeight="1">
      <c r="W8554" s="1634"/>
    </row>
    <row r="8555" spans="23:23" s="1629" customFormat="1" ht="24" customHeight="1">
      <c r="W8555" s="1634"/>
    </row>
    <row r="8556" spans="23:23" s="1629" customFormat="1" ht="24" customHeight="1">
      <c r="W8556" s="1634"/>
    </row>
    <row r="8557" spans="23:23" s="1629" customFormat="1" ht="24" customHeight="1">
      <c r="W8557" s="1634"/>
    </row>
    <row r="8558" spans="23:23" s="1629" customFormat="1" ht="24" customHeight="1">
      <c r="W8558" s="1634"/>
    </row>
  </sheetData>
  <mergeCells count="26">
    <mergeCell ref="AJ550:AK550"/>
    <mergeCell ref="H2420:K2420"/>
    <mergeCell ref="U2:X2"/>
    <mergeCell ref="X6:Y6"/>
    <mergeCell ref="AA6:AB6"/>
    <mergeCell ref="U50:AF50"/>
    <mergeCell ref="AC550:AD550"/>
    <mergeCell ref="S3148:T3148"/>
    <mergeCell ref="P1474:R1474"/>
    <mergeCell ref="S1474:U1474"/>
    <mergeCell ref="N1531:R1531"/>
    <mergeCell ref="O2343:Q2343"/>
    <mergeCell ref="O2353:Q2353"/>
    <mergeCell ref="H2422:H2423"/>
    <mergeCell ref="O2427:R2427"/>
    <mergeCell ref="O2429:O2430"/>
    <mergeCell ref="AF2601:AI2601"/>
    <mergeCell ref="I3046:J3046"/>
    <mergeCell ref="H4002:K4002"/>
    <mergeCell ref="J4078:M4078"/>
    <mergeCell ref="I3492:J3492"/>
    <mergeCell ref="AD3648:AI3649"/>
    <mergeCell ref="S3680:V3680"/>
    <mergeCell ref="F3711:K3711"/>
    <mergeCell ref="O3711:P3711"/>
    <mergeCell ref="F3985:H3985"/>
  </mergeCells>
  <hyperlinks>
    <hyperlink ref="J270" r:id="rId1" display="G:\2273"/>
    <hyperlink ref="C270" r:id="rId2" display="G:\2273"/>
  </hyperlinks>
  <printOptions horizontalCentered="1"/>
  <pageMargins left="0.41" right="0.28000000000000003" top="0.48" bottom="0.35433070866141703" header="0.27" footer="0.196850393700787"/>
  <pageSetup paperSize="9" scale="55" orientation="landscape" r:id="rId3"/>
  <headerFooter alignWithMargins="0">
    <oddHeader>&amp;R&amp;P</oddHeader>
  </headerFooter>
  <drawing r:id="rId4"/>
</worksheet>
</file>

<file path=xl/worksheets/sheet13.xml><?xml version="1.0" encoding="utf-8"?>
<worksheet xmlns="http://schemas.openxmlformats.org/spreadsheetml/2006/main" xmlns:r="http://schemas.openxmlformats.org/officeDocument/2006/relationships">
  <dimension ref="A1:I20"/>
  <sheetViews>
    <sheetView tabSelected="1" view="pageBreakPreview" topLeftCell="A13" zoomScaleNormal="130" zoomScaleSheetLayoutView="100" workbookViewId="0">
      <selection activeCell="H17" sqref="H17"/>
    </sheetView>
  </sheetViews>
  <sheetFormatPr defaultColWidth="8.85546875" defaultRowHeight="15"/>
  <cols>
    <col min="1" max="1" width="4.7109375" style="1616" customWidth="1"/>
    <col min="2" max="2" width="8.5703125" style="1616" customWidth="1"/>
    <col min="3" max="3" width="36.7109375" style="1616" customWidth="1"/>
    <col min="4" max="4" width="13.28515625" style="1616" customWidth="1"/>
    <col min="5" max="5" width="6.28515625" style="1616" customWidth="1"/>
    <col min="6" max="6" width="15.85546875" style="1616" customWidth="1"/>
    <col min="7" max="7" width="8.85546875" style="1608"/>
    <col min="8" max="8" width="13.28515625" style="1608" customWidth="1"/>
    <col min="9" max="9" width="13.7109375" style="1608" bestFit="1" customWidth="1"/>
    <col min="10" max="16384" width="8.85546875" style="1608"/>
  </cols>
  <sheetData>
    <row r="1" spans="1:9" ht="19.149999999999999" customHeight="1">
      <c r="A1" s="2039" t="s">
        <v>5457</v>
      </c>
      <c r="B1" s="2039"/>
      <c r="C1" s="2039"/>
      <c r="D1" s="2039"/>
      <c r="E1" s="2039"/>
      <c r="F1" s="2039"/>
    </row>
    <row r="2" spans="1:9" ht="49.15" customHeight="1">
      <c r="A2" s="2040" t="s">
        <v>3699</v>
      </c>
      <c r="B2" s="2040"/>
      <c r="C2" s="2040"/>
      <c r="D2" s="2040"/>
      <c r="E2" s="2040"/>
      <c r="F2" s="2040"/>
    </row>
    <row r="3" spans="1:9" s="1610" customFormat="1" ht="14.25">
      <c r="A3" s="1609" t="s">
        <v>5394</v>
      </c>
      <c r="B3" s="1609" t="s">
        <v>3</v>
      </c>
      <c r="C3" s="1609" t="s">
        <v>3546</v>
      </c>
      <c r="D3" s="1609" t="s">
        <v>217</v>
      </c>
      <c r="E3" s="1609" t="s">
        <v>10</v>
      </c>
      <c r="F3" s="1609" t="s">
        <v>218</v>
      </c>
    </row>
    <row r="4" spans="1:9" ht="36" customHeight="1">
      <c r="A4" s="1611">
        <v>1</v>
      </c>
      <c r="B4" s="1612">
        <v>1</v>
      </c>
      <c r="C4" s="1613" t="s">
        <v>5458</v>
      </c>
      <c r="D4" s="1612">
        <f>'Ins Abs'!R88</f>
        <v>2176834.6027500257</v>
      </c>
      <c r="E4" s="1611" t="s">
        <v>154</v>
      </c>
      <c r="F4" s="1612">
        <f>D4</f>
        <v>2176834.6027500257</v>
      </c>
      <c r="H4" s="1626">
        <f>+Abstarct!F210</f>
        <v>2176834.6027500257</v>
      </c>
    </row>
    <row r="5" spans="1:9" ht="36" customHeight="1">
      <c r="A5" s="1611">
        <v>2</v>
      </c>
      <c r="B5" s="1612">
        <v>1</v>
      </c>
      <c r="C5" s="1613" t="s">
        <v>5459</v>
      </c>
      <c r="D5" s="1612">
        <f>'SI Abs '!R91</f>
        <v>2903458.4217969542</v>
      </c>
      <c r="E5" s="1611" t="s">
        <v>154</v>
      </c>
      <c r="F5" s="1612">
        <f>D5</f>
        <v>2903458.4217969542</v>
      </c>
      <c r="H5" s="1608">
        <f>+Abstarct!H210</f>
        <v>2903458.4217969542</v>
      </c>
    </row>
    <row r="6" spans="1:9" ht="36" customHeight="1">
      <c r="A6" s="1611">
        <v>3</v>
      </c>
      <c r="B6" s="1612">
        <v>1</v>
      </c>
      <c r="C6" s="1613" t="s">
        <v>5460</v>
      </c>
      <c r="D6" s="1612">
        <f>'PC Abs'!R83</f>
        <v>5551672.7482977249</v>
      </c>
      <c r="E6" s="1611" t="s">
        <v>154</v>
      </c>
      <c r="F6" s="1612">
        <f>D6</f>
        <v>5551672.7482977249</v>
      </c>
      <c r="H6" s="1608">
        <f>+Abstarct!J210</f>
        <v>5551672.7482977249</v>
      </c>
    </row>
    <row r="7" spans="1:9" ht="36" customHeight="1">
      <c r="A7" s="1611">
        <v>4</v>
      </c>
      <c r="B7" s="1612">
        <v>1</v>
      </c>
      <c r="C7" s="1613" t="s">
        <v>5461</v>
      </c>
      <c r="D7" s="1612">
        <f>Abstarct!L104</f>
        <v>888693.28850649996</v>
      </c>
      <c r="E7" s="1611" t="s">
        <v>154</v>
      </c>
      <c r="F7" s="1612">
        <f>D7</f>
        <v>888693.28850649996</v>
      </c>
      <c r="H7" s="1626">
        <f>+Abstarct!L104</f>
        <v>888693.28850649996</v>
      </c>
    </row>
    <row r="8" spans="1:9" ht="25.15" customHeight="1">
      <c r="A8" s="1611">
        <v>5</v>
      </c>
      <c r="B8" s="1612">
        <v>45</v>
      </c>
      <c r="C8" s="1614" t="s">
        <v>5486</v>
      </c>
      <c r="D8" s="1612">
        <v>31101.862440000001</v>
      </c>
      <c r="E8" s="1939" t="s">
        <v>303</v>
      </c>
      <c r="F8" s="1612">
        <f>B8*D8</f>
        <v>1399583.8097999999</v>
      </c>
      <c r="H8" s="1626">
        <f>+Abstarct!N104</f>
        <v>1399583.8068594998</v>
      </c>
      <c r="I8" s="1608">
        <f>+H8/30</f>
        <v>46652.793561983322</v>
      </c>
    </row>
    <row r="9" spans="1:9" ht="25.15" customHeight="1">
      <c r="A9" s="1611"/>
      <c r="B9" s="1611"/>
      <c r="C9" s="1614" t="s">
        <v>3558</v>
      </c>
      <c r="D9" s="2036" t="s">
        <v>226</v>
      </c>
      <c r="E9" s="2037"/>
      <c r="F9" s="1612">
        <v>38000</v>
      </c>
    </row>
    <row r="10" spans="1:9" ht="20.45" customHeight="1">
      <c r="A10" s="1611"/>
      <c r="B10" s="2036" t="s">
        <v>5462</v>
      </c>
      <c r="C10" s="2038"/>
      <c r="D10" s="2038"/>
      <c r="E10" s="2037"/>
      <c r="F10" s="1615">
        <f>SUM(F4:F9)</f>
        <v>12958242.871151205</v>
      </c>
    </row>
    <row r="11" spans="1:9" ht="20.45" customHeight="1">
      <c r="A11" s="1611"/>
      <c r="B11" s="2036" t="s">
        <v>5469</v>
      </c>
      <c r="C11" s="2038"/>
      <c r="D11" s="2038"/>
      <c r="E11" s="2037"/>
      <c r="F11" s="1611">
        <f>F10*18%</f>
        <v>2332483.7168072169</v>
      </c>
    </row>
    <row r="12" spans="1:9" ht="20.45" customHeight="1">
      <c r="A12" s="1611"/>
      <c r="B12" s="2036" t="s">
        <v>5463</v>
      </c>
      <c r="C12" s="2038"/>
      <c r="D12" s="2038"/>
      <c r="E12" s="2037"/>
      <c r="F12" s="1615">
        <f>SUM(F10:F11)</f>
        <v>15290726.587958422</v>
      </c>
    </row>
    <row r="13" spans="1:9" ht="27.6" customHeight="1">
      <c r="A13" s="1611">
        <v>6</v>
      </c>
      <c r="B13" s="1611"/>
      <c r="C13" s="2030" t="s">
        <v>5464</v>
      </c>
      <c r="D13" s="2031"/>
      <c r="E13" s="2032"/>
      <c r="F13" s="1612">
        <f>F10*1%</f>
        <v>129582.42871151205</v>
      </c>
    </row>
    <row r="14" spans="1:9" ht="36" customHeight="1">
      <c r="A14" s="1611">
        <v>7</v>
      </c>
      <c r="B14" s="1611"/>
      <c r="C14" s="2033" t="s">
        <v>5807</v>
      </c>
      <c r="D14" s="2034"/>
      <c r="E14" s="2035"/>
      <c r="F14" s="1612">
        <f>F12*2.5%</f>
        <v>382268.16469896055</v>
      </c>
    </row>
    <row r="15" spans="1:9" ht="28.15" customHeight="1">
      <c r="A15" s="1611">
        <v>8</v>
      </c>
      <c r="B15" s="1611"/>
      <c r="C15" s="2030" t="s">
        <v>5465</v>
      </c>
      <c r="D15" s="2031"/>
      <c r="E15" s="2032"/>
      <c r="F15" s="1612">
        <f>F12*7.5%</f>
        <v>1146804.4940968815</v>
      </c>
    </row>
    <row r="16" spans="1:9" ht="24" customHeight="1">
      <c r="A16" s="1611">
        <v>9</v>
      </c>
      <c r="B16" s="1611"/>
      <c r="C16" s="1613" t="s">
        <v>5466</v>
      </c>
      <c r="D16" s="2036" t="s">
        <v>226</v>
      </c>
      <c r="E16" s="2037"/>
      <c r="F16" s="1612">
        <v>400000</v>
      </c>
      <c r="H16" s="1626"/>
    </row>
    <row r="17" spans="1:9" ht="24" customHeight="1">
      <c r="A17" s="1611">
        <v>10</v>
      </c>
      <c r="B17" s="1611"/>
      <c r="C17" s="1613" t="s">
        <v>5467</v>
      </c>
      <c r="D17" s="2036" t="s">
        <v>226</v>
      </c>
      <c r="E17" s="2037"/>
      <c r="F17" s="1612">
        <v>450000</v>
      </c>
      <c r="H17" s="1626">
        <f>+F19-F15</f>
        <v>16653195.505903119</v>
      </c>
    </row>
    <row r="18" spans="1:9" ht="20.45" customHeight="1">
      <c r="A18" s="1611"/>
      <c r="B18" s="1611"/>
      <c r="C18" s="2036" t="s">
        <v>5468</v>
      </c>
      <c r="D18" s="2038"/>
      <c r="E18" s="2037"/>
      <c r="F18" s="1615">
        <f>SUM(F12:F17)</f>
        <v>17799381.675465774</v>
      </c>
      <c r="I18" s="1626"/>
    </row>
    <row r="19" spans="1:9" ht="20.45" customHeight="1">
      <c r="A19" s="1611"/>
      <c r="B19" s="1611"/>
      <c r="C19" s="2027" t="s">
        <v>5417</v>
      </c>
      <c r="D19" s="2028"/>
      <c r="E19" s="2029"/>
      <c r="F19" s="1615">
        <v>17800000</v>
      </c>
    </row>
    <row r="20" spans="1:9">
      <c r="H20" s="1617"/>
    </row>
  </sheetData>
  <mergeCells count="13">
    <mergeCell ref="B12:E12"/>
    <mergeCell ref="A1:F1"/>
    <mergeCell ref="A2:F2"/>
    <mergeCell ref="D9:E9"/>
    <mergeCell ref="B10:E10"/>
    <mergeCell ref="B11:E11"/>
    <mergeCell ref="C19:E19"/>
    <mergeCell ref="C13:E13"/>
    <mergeCell ref="C14:E14"/>
    <mergeCell ref="C15:E15"/>
    <mergeCell ref="D16:E16"/>
    <mergeCell ref="D17:E17"/>
    <mergeCell ref="C18:E18"/>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sheetPr codeName="Sheet44" filterMode="1">
    <tabColor rgb="FF00B0F0"/>
  </sheetPr>
  <dimension ref="A1:AB227"/>
  <sheetViews>
    <sheetView showZeros="0" view="pageBreakPreview" zoomScale="55" zoomScaleNormal="40" zoomScaleSheetLayoutView="55" workbookViewId="0">
      <pane xSplit="4" ySplit="5" topLeftCell="I84" activePane="bottomRight" state="frozen"/>
      <selection activeCell="L6" sqref="L6"/>
      <selection pane="topRight" activeCell="L6" sqref="L6"/>
      <selection pane="bottomLeft" activeCell="L6" sqref="L6"/>
      <selection pane="bottomRight" activeCell="S87" sqref="S87"/>
    </sheetView>
  </sheetViews>
  <sheetFormatPr defaultColWidth="10.85546875" defaultRowHeight="25.5"/>
  <cols>
    <col min="1" max="1" width="12.28515625" style="1084" customWidth="1"/>
    <col min="2" max="2" width="78.7109375" style="1084" customWidth="1"/>
    <col min="3" max="3" width="20.28515625" style="1084" customWidth="1"/>
    <col min="4" max="4" width="13.42578125" style="1084" customWidth="1"/>
    <col min="5" max="5" width="17.140625" style="1084" customWidth="1"/>
    <col min="6" max="6" width="22" style="1084" customWidth="1"/>
    <col min="7" max="7" width="17.85546875" style="1084" customWidth="1"/>
    <col min="8" max="8" width="21.28515625" style="1084" customWidth="1"/>
    <col min="9" max="9" width="16.5703125" style="1179" customWidth="1"/>
    <col min="10" max="10" width="20.28515625" style="1084" customWidth="1"/>
    <col min="11" max="11" width="17.28515625" style="1084" customWidth="1"/>
    <col min="12" max="12" width="19.42578125" style="1084" customWidth="1"/>
    <col min="13" max="13" width="18.5703125" style="1084" hidden="1" customWidth="1"/>
    <col min="14" max="14" width="19.7109375" style="1084" hidden="1" customWidth="1"/>
    <col min="15" max="15" width="16" style="1256" customWidth="1"/>
    <col min="16" max="16" width="20.5703125" style="1084" customWidth="1"/>
    <col min="17" max="17" width="16.85546875" style="1083" customWidth="1"/>
    <col min="18" max="18" width="23.7109375" style="1083" customWidth="1"/>
    <col min="19" max="19" width="27.140625" style="1083" bestFit="1" customWidth="1"/>
    <col min="20" max="20" width="25.7109375" style="1083" bestFit="1" customWidth="1"/>
    <col min="21" max="21" width="19.42578125" style="1084" bestFit="1" customWidth="1"/>
    <col min="22" max="22" width="10.85546875" style="1084"/>
    <col min="23" max="23" width="16.42578125" style="1084" bestFit="1" customWidth="1"/>
    <col min="24" max="24" width="10.85546875" style="1084"/>
    <col min="25" max="25" width="14.42578125" style="1084" bestFit="1" customWidth="1"/>
    <col min="26" max="27" width="10.85546875" style="1084"/>
    <col min="28" max="28" width="14.28515625" style="1084" bestFit="1" customWidth="1"/>
    <col min="29" max="256" width="10.85546875" style="1084"/>
    <col min="257" max="257" width="12.28515625" style="1084" customWidth="1"/>
    <col min="258" max="258" width="78.7109375" style="1084" customWidth="1"/>
    <col min="259" max="259" width="20.28515625" style="1084" customWidth="1"/>
    <col min="260" max="260" width="13.42578125" style="1084" customWidth="1"/>
    <col min="261" max="261" width="17.140625" style="1084" customWidth="1"/>
    <col min="262" max="262" width="22" style="1084" customWidth="1"/>
    <col min="263" max="263" width="17.85546875" style="1084" customWidth="1"/>
    <col min="264" max="264" width="21.28515625" style="1084" customWidth="1"/>
    <col min="265" max="265" width="16.5703125" style="1084" customWidth="1"/>
    <col min="266" max="266" width="20.28515625" style="1084" customWidth="1"/>
    <col min="267" max="267" width="17.28515625" style="1084" customWidth="1"/>
    <col min="268" max="268" width="19.42578125" style="1084" customWidth="1"/>
    <col min="269" max="269" width="18.5703125" style="1084" customWidth="1"/>
    <col min="270" max="270" width="19.7109375" style="1084" customWidth="1"/>
    <col min="271" max="271" width="16" style="1084" customWidth="1"/>
    <col min="272" max="272" width="20.5703125" style="1084" customWidth="1"/>
    <col min="273" max="273" width="16.85546875" style="1084" customWidth="1"/>
    <col min="274" max="274" width="23.7109375" style="1084" customWidth="1"/>
    <col min="275" max="275" width="27.140625" style="1084" bestFit="1" customWidth="1"/>
    <col min="276" max="276" width="25.7109375" style="1084" bestFit="1" customWidth="1"/>
    <col min="277" max="277" width="19.42578125" style="1084" bestFit="1" customWidth="1"/>
    <col min="278" max="278" width="10.85546875" style="1084"/>
    <col min="279" max="279" width="16.42578125" style="1084" bestFit="1" customWidth="1"/>
    <col min="280" max="280" width="10.85546875" style="1084"/>
    <col min="281" max="281" width="14.42578125" style="1084" bestFit="1" customWidth="1"/>
    <col min="282" max="283" width="10.85546875" style="1084"/>
    <col min="284" max="284" width="14.28515625" style="1084" bestFit="1" customWidth="1"/>
    <col min="285" max="512" width="10.85546875" style="1084"/>
    <col min="513" max="513" width="12.28515625" style="1084" customWidth="1"/>
    <col min="514" max="514" width="78.7109375" style="1084" customWidth="1"/>
    <col min="515" max="515" width="20.28515625" style="1084" customWidth="1"/>
    <col min="516" max="516" width="13.42578125" style="1084" customWidth="1"/>
    <col min="517" max="517" width="17.140625" style="1084" customWidth="1"/>
    <col min="518" max="518" width="22" style="1084" customWidth="1"/>
    <col min="519" max="519" width="17.85546875" style="1084" customWidth="1"/>
    <col min="520" max="520" width="21.28515625" style="1084" customWidth="1"/>
    <col min="521" max="521" width="16.5703125" style="1084" customWidth="1"/>
    <col min="522" max="522" width="20.28515625" style="1084" customWidth="1"/>
    <col min="523" max="523" width="17.28515625" style="1084" customWidth="1"/>
    <col min="524" max="524" width="19.42578125" style="1084" customWidth="1"/>
    <col min="525" max="525" width="18.5703125" style="1084" customWidth="1"/>
    <col min="526" max="526" width="19.7109375" style="1084" customWidth="1"/>
    <col min="527" max="527" width="16" style="1084" customWidth="1"/>
    <col min="528" max="528" width="20.5703125" style="1084" customWidth="1"/>
    <col min="529" max="529" width="16.85546875" style="1084" customWidth="1"/>
    <col min="530" max="530" width="23.7109375" style="1084" customWidth="1"/>
    <col min="531" max="531" width="27.140625" style="1084" bestFit="1" customWidth="1"/>
    <col min="532" max="532" width="25.7109375" style="1084" bestFit="1" customWidth="1"/>
    <col min="533" max="533" width="19.42578125" style="1084" bestFit="1" customWidth="1"/>
    <col min="534" max="534" width="10.85546875" style="1084"/>
    <col min="535" max="535" width="16.42578125" style="1084" bestFit="1" customWidth="1"/>
    <col min="536" max="536" width="10.85546875" style="1084"/>
    <col min="537" max="537" width="14.42578125" style="1084" bestFit="1" customWidth="1"/>
    <col min="538" max="539" width="10.85546875" style="1084"/>
    <col min="540" max="540" width="14.28515625" style="1084" bestFit="1" customWidth="1"/>
    <col min="541" max="768" width="10.85546875" style="1084"/>
    <col min="769" max="769" width="12.28515625" style="1084" customWidth="1"/>
    <col min="770" max="770" width="78.7109375" style="1084" customWidth="1"/>
    <col min="771" max="771" width="20.28515625" style="1084" customWidth="1"/>
    <col min="772" max="772" width="13.42578125" style="1084" customWidth="1"/>
    <col min="773" max="773" width="17.140625" style="1084" customWidth="1"/>
    <col min="774" max="774" width="22" style="1084" customWidth="1"/>
    <col min="775" max="775" width="17.85546875" style="1084" customWidth="1"/>
    <col min="776" max="776" width="21.28515625" style="1084" customWidth="1"/>
    <col min="777" max="777" width="16.5703125" style="1084" customWidth="1"/>
    <col min="778" max="778" width="20.28515625" style="1084" customWidth="1"/>
    <col min="779" max="779" width="17.28515625" style="1084" customWidth="1"/>
    <col min="780" max="780" width="19.42578125" style="1084" customWidth="1"/>
    <col min="781" max="781" width="18.5703125" style="1084" customWidth="1"/>
    <col min="782" max="782" width="19.7109375" style="1084" customWidth="1"/>
    <col min="783" max="783" width="16" style="1084" customWidth="1"/>
    <col min="784" max="784" width="20.5703125" style="1084" customWidth="1"/>
    <col min="785" max="785" width="16.85546875" style="1084" customWidth="1"/>
    <col min="786" max="786" width="23.7109375" style="1084" customWidth="1"/>
    <col min="787" max="787" width="27.140625" style="1084" bestFit="1" customWidth="1"/>
    <col min="788" max="788" width="25.7109375" style="1084" bestFit="1" customWidth="1"/>
    <col min="789" max="789" width="19.42578125" style="1084" bestFit="1" customWidth="1"/>
    <col min="790" max="790" width="10.85546875" style="1084"/>
    <col min="791" max="791" width="16.42578125" style="1084" bestFit="1" customWidth="1"/>
    <col min="792" max="792" width="10.85546875" style="1084"/>
    <col min="793" max="793" width="14.42578125" style="1084" bestFit="1" customWidth="1"/>
    <col min="794" max="795" width="10.85546875" style="1084"/>
    <col min="796" max="796" width="14.28515625" style="1084" bestFit="1" customWidth="1"/>
    <col min="797" max="1024" width="10.85546875" style="1084"/>
    <col min="1025" max="1025" width="12.28515625" style="1084" customWidth="1"/>
    <col min="1026" max="1026" width="78.7109375" style="1084" customWidth="1"/>
    <col min="1027" max="1027" width="20.28515625" style="1084" customWidth="1"/>
    <col min="1028" max="1028" width="13.42578125" style="1084" customWidth="1"/>
    <col min="1029" max="1029" width="17.140625" style="1084" customWidth="1"/>
    <col min="1030" max="1030" width="22" style="1084" customWidth="1"/>
    <col min="1031" max="1031" width="17.85546875" style="1084" customWidth="1"/>
    <col min="1032" max="1032" width="21.28515625" style="1084" customWidth="1"/>
    <col min="1033" max="1033" width="16.5703125" style="1084" customWidth="1"/>
    <col min="1034" max="1034" width="20.28515625" style="1084" customWidth="1"/>
    <col min="1035" max="1035" width="17.28515625" style="1084" customWidth="1"/>
    <col min="1036" max="1036" width="19.42578125" style="1084" customWidth="1"/>
    <col min="1037" max="1037" width="18.5703125" style="1084" customWidth="1"/>
    <col min="1038" max="1038" width="19.7109375" style="1084" customWidth="1"/>
    <col min="1039" max="1039" width="16" style="1084" customWidth="1"/>
    <col min="1040" max="1040" width="20.5703125" style="1084" customWidth="1"/>
    <col min="1041" max="1041" width="16.85546875" style="1084" customWidth="1"/>
    <col min="1042" max="1042" width="23.7109375" style="1084" customWidth="1"/>
    <col min="1043" max="1043" width="27.140625" style="1084" bestFit="1" customWidth="1"/>
    <col min="1044" max="1044" width="25.7109375" style="1084" bestFit="1" customWidth="1"/>
    <col min="1045" max="1045" width="19.42578125" style="1084" bestFit="1" customWidth="1"/>
    <col min="1046" max="1046" width="10.85546875" style="1084"/>
    <col min="1047" max="1047" width="16.42578125" style="1084" bestFit="1" customWidth="1"/>
    <col min="1048" max="1048" width="10.85546875" style="1084"/>
    <col min="1049" max="1049" width="14.42578125" style="1084" bestFit="1" customWidth="1"/>
    <col min="1050" max="1051" width="10.85546875" style="1084"/>
    <col min="1052" max="1052" width="14.28515625" style="1084" bestFit="1" customWidth="1"/>
    <col min="1053" max="1280" width="10.85546875" style="1084"/>
    <col min="1281" max="1281" width="12.28515625" style="1084" customWidth="1"/>
    <col min="1282" max="1282" width="78.7109375" style="1084" customWidth="1"/>
    <col min="1283" max="1283" width="20.28515625" style="1084" customWidth="1"/>
    <col min="1284" max="1284" width="13.42578125" style="1084" customWidth="1"/>
    <col min="1285" max="1285" width="17.140625" style="1084" customWidth="1"/>
    <col min="1286" max="1286" width="22" style="1084" customWidth="1"/>
    <col min="1287" max="1287" width="17.85546875" style="1084" customWidth="1"/>
    <col min="1288" max="1288" width="21.28515625" style="1084" customWidth="1"/>
    <col min="1289" max="1289" width="16.5703125" style="1084" customWidth="1"/>
    <col min="1290" max="1290" width="20.28515625" style="1084" customWidth="1"/>
    <col min="1291" max="1291" width="17.28515625" style="1084" customWidth="1"/>
    <col min="1292" max="1292" width="19.42578125" style="1084" customWidth="1"/>
    <col min="1293" max="1293" width="18.5703125" style="1084" customWidth="1"/>
    <col min="1294" max="1294" width="19.7109375" style="1084" customWidth="1"/>
    <col min="1295" max="1295" width="16" style="1084" customWidth="1"/>
    <col min="1296" max="1296" width="20.5703125" style="1084" customWidth="1"/>
    <col min="1297" max="1297" width="16.85546875" style="1084" customWidth="1"/>
    <col min="1298" max="1298" width="23.7109375" style="1084" customWidth="1"/>
    <col min="1299" max="1299" width="27.140625" style="1084" bestFit="1" customWidth="1"/>
    <col min="1300" max="1300" width="25.7109375" style="1084" bestFit="1" customWidth="1"/>
    <col min="1301" max="1301" width="19.42578125" style="1084" bestFit="1" customWidth="1"/>
    <col min="1302" max="1302" width="10.85546875" style="1084"/>
    <col min="1303" max="1303" width="16.42578125" style="1084" bestFit="1" customWidth="1"/>
    <col min="1304" max="1304" width="10.85546875" style="1084"/>
    <col min="1305" max="1305" width="14.42578125" style="1084" bestFit="1" customWidth="1"/>
    <col min="1306" max="1307" width="10.85546875" style="1084"/>
    <col min="1308" max="1308" width="14.28515625" style="1084" bestFit="1" customWidth="1"/>
    <col min="1309" max="1536" width="10.85546875" style="1084"/>
    <col min="1537" max="1537" width="12.28515625" style="1084" customWidth="1"/>
    <col min="1538" max="1538" width="78.7109375" style="1084" customWidth="1"/>
    <col min="1539" max="1539" width="20.28515625" style="1084" customWidth="1"/>
    <col min="1540" max="1540" width="13.42578125" style="1084" customWidth="1"/>
    <col min="1541" max="1541" width="17.140625" style="1084" customWidth="1"/>
    <col min="1542" max="1542" width="22" style="1084" customWidth="1"/>
    <col min="1543" max="1543" width="17.85546875" style="1084" customWidth="1"/>
    <col min="1544" max="1544" width="21.28515625" style="1084" customWidth="1"/>
    <col min="1545" max="1545" width="16.5703125" style="1084" customWidth="1"/>
    <col min="1546" max="1546" width="20.28515625" style="1084" customWidth="1"/>
    <col min="1547" max="1547" width="17.28515625" style="1084" customWidth="1"/>
    <col min="1548" max="1548" width="19.42578125" style="1084" customWidth="1"/>
    <col min="1549" max="1549" width="18.5703125" style="1084" customWidth="1"/>
    <col min="1550" max="1550" width="19.7109375" style="1084" customWidth="1"/>
    <col min="1551" max="1551" width="16" style="1084" customWidth="1"/>
    <col min="1552" max="1552" width="20.5703125" style="1084" customWidth="1"/>
    <col min="1553" max="1553" width="16.85546875" style="1084" customWidth="1"/>
    <col min="1554" max="1554" width="23.7109375" style="1084" customWidth="1"/>
    <col min="1555" max="1555" width="27.140625" style="1084" bestFit="1" customWidth="1"/>
    <col min="1556" max="1556" width="25.7109375" style="1084" bestFit="1" customWidth="1"/>
    <col min="1557" max="1557" width="19.42578125" style="1084" bestFit="1" customWidth="1"/>
    <col min="1558" max="1558" width="10.85546875" style="1084"/>
    <col min="1559" max="1559" width="16.42578125" style="1084" bestFit="1" customWidth="1"/>
    <col min="1560" max="1560" width="10.85546875" style="1084"/>
    <col min="1561" max="1561" width="14.42578125" style="1084" bestFit="1" customWidth="1"/>
    <col min="1562" max="1563" width="10.85546875" style="1084"/>
    <col min="1564" max="1564" width="14.28515625" style="1084" bestFit="1" customWidth="1"/>
    <col min="1565" max="1792" width="10.85546875" style="1084"/>
    <col min="1793" max="1793" width="12.28515625" style="1084" customWidth="1"/>
    <col min="1794" max="1794" width="78.7109375" style="1084" customWidth="1"/>
    <col min="1795" max="1795" width="20.28515625" style="1084" customWidth="1"/>
    <col min="1796" max="1796" width="13.42578125" style="1084" customWidth="1"/>
    <col min="1797" max="1797" width="17.140625" style="1084" customWidth="1"/>
    <col min="1798" max="1798" width="22" style="1084" customWidth="1"/>
    <col min="1799" max="1799" width="17.85546875" style="1084" customWidth="1"/>
    <col min="1800" max="1800" width="21.28515625" style="1084" customWidth="1"/>
    <col min="1801" max="1801" width="16.5703125" style="1084" customWidth="1"/>
    <col min="1802" max="1802" width="20.28515625" style="1084" customWidth="1"/>
    <col min="1803" max="1803" width="17.28515625" style="1084" customWidth="1"/>
    <col min="1804" max="1804" width="19.42578125" style="1084" customWidth="1"/>
    <col min="1805" max="1805" width="18.5703125" style="1084" customWidth="1"/>
    <col min="1806" max="1806" width="19.7109375" style="1084" customWidth="1"/>
    <col min="1807" max="1807" width="16" style="1084" customWidth="1"/>
    <col min="1808" max="1808" width="20.5703125" style="1084" customWidth="1"/>
    <col min="1809" max="1809" width="16.85546875" style="1084" customWidth="1"/>
    <col min="1810" max="1810" width="23.7109375" style="1084" customWidth="1"/>
    <col min="1811" max="1811" width="27.140625" style="1084" bestFit="1" customWidth="1"/>
    <col min="1812" max="1812" width="25.7109375" style="1084" bestFit="1" customWidth="1"/>
    <col min="1813" max="1813" width="19.42578125" style="1084" bestFit="1" customWidth="1"/>
    <col min="1814" max="1814" width="10.85546875" style="1084"/>
    <col min="1815" max="1815" width="16.42578125" style="1084" bestFit="1" customWidth="1"/>
    <col min="1816" max="1816" width="10.85546875" style="1084"/>
    <col min="1817" max="1817" width="14.42578125" style="1084" bestFit="1" customWidth="1"/>
    <col min="1818" max="1819" width="10.85546875" style="1084"/>
    <col min="1820" max="1820" width="14.28515625" style="1084" bestFit="1" customWidth="1"/>
    <col min="1821" max="2048" width="10.85546875" style="1084"/>
    <col min="2049" max="2049" width="12.28515625" style="1084" customWidth="1"/>
    <col min="2050" max="2050" width="78.7109375" style="1084" customWidth="1"/>
    <col min="2051" max="2051" width="20.28515625" style="1084" customWidth="1"/>
    <col min="2052" max="2052" width="13.42578125" style="1084" customWidth="1"/>
    <col min="2053" max="2053" width="17.140625" style="1084" customWidth="1"/>
    <col min="2054" max="2054" width="22" style="1084" customWidth="1"/>
    <col min="2055" max="2055" width="17.85546875" style="1084" customWidth="1"/>
    <col min="2056" max="2056" width="21.28515625" style="1084" customWidth="1"/>
    <col min="2057" max="2057" width="16.5703125" style="1084" customWidth="1"/>
    <col min="2058" max="2058" width="20.28515625" style="1084" customWidth="1"/>
    <col min="2059" max="2059" width="17.28515625" style="1084" customWidth="1"/>
    <col min="2060" max="2060" width="19.42578125" style="1084" customWidth="1"/>
    <col min="2061" max="2061" width="18.5703125" style="1084" customWidth="1"/>
    <col min="2062" max="2062" width="19.7109375" style="1084" customWidth="1"/>
    <col min="2063" max="2063" width="16" style="1084" customWidth="1"/>
    <col min="2064" max="2064" width="20.5703125" style="1084" customWidth="1"/>
    <col min="2065" max="2065" width="16.85546875" style="1084" customWidth="1"/>
    <col min="2066" max="2066" width="23.7109375" style="1084" customWidth="1"/>
    <col min="2067" max="2067" width="27.140625" style="1084" bestFit="1" customWidth="1"/>
    <col min="2068" max="2068" width="25.7109375" style="1084" bestFit="1" customWidth="1"/>
    <col min="2069" max="2069" width="19.42578125" style="1084" bestFit="1" customWidth="1"/>
    <col min="2070" max="2070" width="10.85546875" style="1084"/>
    <col min="2071" max="2071" width="16.42578125" style="1084" bestFit="1" customWidth="1"/>
    <col min="2072" max="2072" width="10.85546875" style="1084"/>
    <col min="2073" max="2073" width="14.42578125" style="1084" bestFit="1" customWidth="1"/>
    <col min="2074" max="2075" width="10.85546875" style="1084"/>
    <col min="2076" max="2076" width="14.28515625" style="1084" bestFit="1" customWidth="1"/>
    <col min="2077" max="2304" width="10.85546875" style="1084"/>
    <col min="2305" max="2305" width="12.28515625" style="1084" customWidth="1"/>
    <col min="2306" max="2306" width="78.7109375" style="1084" customWidth="1"/>
    <col min="2307" max="2307" width="20.28515625" style="1084" customWidth="1"/>
    <col min="2308" max="2308" width="13.42578125" style="1084" customWidth="1"/>
    <col min="2309" max="2309" width="17.140625" style="1084" customWidth="1"/>
    <col min="2310" max="2310" width="22" style="1084" customWidth="1"/>
    <col min="2311" max="2311" width="17.85546875" style="1084" customWidth="1"/>
    <col min="2312" max="2312" width="21.28515625" style="1084" customWidth="1"/>
    <col min="2313" max="2313" width="16.5703125" style="1084" customWidth="1"/>
    <col min="2314" max="2314" width="20.28515625" style="1084" customWidth="1"/>
    <col min="2315" max="2315" width="17.28515625" style="1084" customWidth="1"/>
    <col min="2316" max="2316" width="19.42578125" style="1084" customWidth="1"/>
    <col min="2317" max="2317" width="18.5703125" style="1084" customWidth="1"/>
    <col min="2318" max="2318" width="19.7109375" style="1084" customWidth="1"/>
    <col min="2319" max="2319" width="16" style="1084" customWidth="1"/>
    <col min="2320" max="2320" width="20.5703125" style="1084" customWidth="1"/>
    <col min="2321" max="2321" width="16.85546875" style="1084" customWidth="1"/>
    <col min="2322" max="2322" width="23.7109375" style="1084" customWidth="1"/>
    <col min="2323" max="2323" width="27.140625" style="1084" bestFit="1" customWidth="1"/>
    <col min="2324" max="2324" width="25.7109375" style="1084" bestFit="1" customWidth="1"/>
    <col min="2325" max="2325" width="19.42578125" style="1084" bestFit="1" customWidth="1"/>
    <col min="2326" max="2326" width="10.85546875" style="1084"/>
    <col min="2327" max="2327" width="16.42578125" style="1084" bestFit="1" customWidth="1"/>
    <col min="2328" max="2328" width="10.85546875" style="1084"/>
    <col min="2329" max="2329" width="14.42578125" style="1084" bestFit="1" customWidth="1"/>
    <col min="2330" max="2331" width="10.85546875" style="1084"/>
    <col min="2332" max="2332" width="14.28515625" style="1084" bestFit="1" customWidth="1"/>
    <col min="2333" max="2560" width="10.85546875" style="1084"/>
    <col min="2561" max="2561" width="12.28515625" style="1084" customWidth="1"/>
    <col min="2562" max="2562" width="78.7109375" style="1084" customWidth="1"/>
    <col min="2563" max="2563" width="20.28515625" style="1084" customWidth="1"/>
    <col min="2564" max="2564" width="13.42578125" style="1084" customWidth="1"/>
    <col min="2565" max="2565" width="17.140625" style="1084" customWidth="1"/>
    <col min="2566" max="2566" width="22" style="1084" customWidth="1"/>
    <col min="2567" max="2567" width="17.85546875" style="1084" customWidth="1"/>
    <col min="2568" max="2568" width="21.28515625" style="1084" customWidth="1"/>
    <col min="2569" max="2569" width="16.5703125" style="1084" customWidth="1"/>
    <col min="2570" max="2570" width="20.28515625" style="1084" customWidth="1"/>
    <col min="2571" max="2571" width="17.28515625" style="1084" customWidth="1"/>
    <col min="2572" max="2572" width="19.42578125" style="1084" customWidth="1"/>
    <col min="2573" max="2573" width="18.5703125" style="1084" customWidth="1"/>
    <col min="2574" max="2574" width="19.7109375" style="1084" customWidth="1"/>
    <col min="2575" max="2575" width="16" style="1084" customWidth="1"/>
    <col min="2576" max="2576" width="20.5703125" style="1084" customWidth="1"/>
    <col min="2577" max="2577" width="16.85546875" style="1084" customWidth="1"/>
    <col min="2578" max="2578" width="23.7109375" style="1084" customWidth="1"/>
    <col min="2579" max="2579" width="27.140625" style="1084" bestFit="1" customWidth="1"/>
    <col min="2580" max="2580" width="25.7109375" style="1084" bestFit="1" customWidth="1"/>
    <col min="2581" max="2581" width="19.42578125" style="1084" bestFit="1" customWidth="1"/>
    <col min="2582" max="2582" width="10.85546875" style="1084"/>
    <col min="2583" max="2583" width="16.42578125" style="1084" bestFit="1" customWidth="1"/>
    <col min="2584" max="2584" width="10.85546875" style="1084"/>
    <col min="2585" max="2585" width="14.42578125" style="1084" bestFit="1" customWidth="1"/>
    <col min="2586" max="2587" width="10.85546875" style="1084"/>
    <col min="2588" max="2588" width="14.28515625" style="1084" bestFit="1" customWidth="1"/>
    <col min="2589" max="2816" width="10.85546875" style="1084"/>
    <col min="2817" max="2817" width="12.28515625" style="1084" customWidth="1"/>
    <col min="2818" max="2818" width="78.7109375" style="1084" customWidth="1"/>
    <col min="2819" max="2819" width="20.28515625" style="1084" customWidth="1"/>
    <col min="2820" max="2820" width="13.42578125" style="1084" customWidth="1"/>
    <col min="2821" max="2821" width="17.140625" style="1084" customWidth="1"/>
    <col min="2822" max="2822" width="22" style="1084" customWidth="1"/>
    <col min="2823" max="2823" width="17.85546875" style="1084" customWidth="1"/>
    <col min="2824" max="2824" width="21.28515625" style="1084" customWidth="1"/>
    <col min="2825" max="2825" width="16.5703125" style="1084" customWidth="1"/>
    <col min="2826" max="2826" width="20.28515625" style="1084" customWidth="1"/>
    <col min="2827" max="2827" width="17.28515625" style="1084" customWidth="1"/>
    <col min="2828" max="2828" width="19.42578125" style="1084" customWidth="1"/>
    <col min="2829" max="2829" width="18.5703125" style="1084" customWidth="1"/>
    <col min="2830" max="2830" width="19.7109375" style="1084" customWidth="1"/>
    <col min="2831" max="2831" width="16" style="1084" customWidth="1"/>
    <col min="2832" max="2832" width="20.5703125" style="1084" customWidth="1"/>
    <col min="2833" max="2833" width="16.85546875" style="1084" customWidth="1"/>
    <col min="2834" max="2834" width="23.7109375" style="1084" customWidth="1"/>
    <col min="2835" max="2835" width="27.140625" style="1084" bestFit="1" customWidth="1"/>
    <col min="2836" max="2836" width="25.7109375" style="1084" bestFit="1" customWidth="1"/>
    <col min="2837" max="2837" width="19.42578125" style="1084" bestFit="1" customWidth="1"/>
    <col min="2838" max="2838" width="10.85546875" style="1084"/>
    <col min="2839" max="2839" width="16.42578125" style="1084" bestFit="1" customWidth="1"/>
    <col min="2840" max="2840" width="10.85546875" style="1084"/>
    <col min="2841" max="2841" width="14.42578125" style="1084" bestFit="1" customWidth="1"/>
    <col min="2842" max="2843" width="10.85546875" style="1084"/>
    <col min="2844" max="2844" width="14.28515625" style="1084" bestFit="1" customWidth="1"/>
    <col min="2845" max="3072" width="10.85546875" style="1084"/>
    <col min="3073" max="3073" width="12.28515625" style="1084" customWidth="1"/>
    <col min="3074" max="3074" width="78.7109375" style="1084" customWidth="1"/>
    <col min="3075" max="3075" width="20.28515625" style="1084" customWidth="1"/>
    <col min="3076" max="3076" width="13.42578125" style="1084" customWidth="1"/>
    <col min="3077" max="3077" width="17.140625" style="1084" customWidth="1"/>
    <col min="3078" max="3078" width="22" style="1084" customWidth="1"/>
    <col min="3079" max="3079" width="17.85546875" style="1084" customWidth="1"/>
    <col min="3080" max="3080" width="21.28515625" style="1084" customWidth="1"/>
    <col min="3081" max="3081" width="16.5703125" style="1084" customWidth="1"/>
    <col min="3082" max="3082" width="20.28515625" style="1084" customWidth="1"/>
    <col min="3083" max="3083" width="17.28515625" style="1084" customWidth="1"/>
    <col min="3084" max="3084" width="19.42578125" style="1084" customWidth="1"/>
    <col min="3085" max="3085" width="18.5703125" style="1084" customWidth="1"/>
    <col min="3086" max="3086" width="19.7109375" style="1084" customWidth="1"/>
    <col min="3087" max="3087" width="16" style="1084" customWidth="1"/>
    <col min="3088" max="3088" width="20.5703125" style="1084" customWidth="1"/>
    <col min="3089" max="3089" width="16.85546875" style="1084" customWidth="1"/>
    <col min="3090" max="3090" width="23.7109375" style="1084" customWidth="1"/>
    <col min="3091" max="3091" width="27.140625" style="1084" bestFit="1" customWidth="1"/>
    <col min="3092" max="3092" width="25.7109375" style="1084" bestFit="1" customWidth="1"/>
    <col min="3093" max="3093" width="19.42578125" style="1084" bestFit="1" customWidth="1"/>
    <col min="3094" max="3094" width="10.85546875" style="1084"/>
    <col min="3095" max="3095" width="16.42578125" style="1084" bestFit="1" customWidth="1"/>
    <col min="3096" max="3096" width="10.85546875" style="1084"/>
    <col min="3097" max="3097" width="14.42578125" style="1084" bestFit="1" customWidth="1"/>
    <col min="3098" max="3099" width="10.85546875" style="1084"/>
    <col min="3100" max="3100" width="14.28515625" style="1084" bestFit="1" customWidth="1"/>
    <col min="3101" max="3328" width="10.85546875" style="1084"/>
    <col min="3329" max="3329" width="12.28515625" style="1084" customWidth="1"/>
    <col min="3330" max="3330" width="78.7109375" style="1084" customWidth="1"/>
    <col min="3331" max="3331" width="20.28515625" style="1084" customWidth="1"/>
    <col min="3332" max="3332" width="13.42578125" style="1084" customWidth="1"/>
    <col min="3333" max="3333" width="17.140625" style="1084" customWidth="1"/>
    <col min="3334" max="3334" width="22" style="1084" customWidth="1"/>
    <col min="3335" max="3335" width="17.85546875" style="1084" customWidth="1"/>
    <col min="3336" max="3336" width="21.28515625" style="1084" customWidth="1"/>
    <col min="3337" max="3337" width="16.5703125" style="1084" customWidth="1"/>
    <col min="3338" max="3338" width="20.28515625" style="1084" customWidth="1"/>
    <col min="3339" max="3339" width="17.28515625" style="1084" customWidth="1"/>
    <col min="3340" max="3340" width="19.42578125" style="1084" customWidth="1"/>
    <col min="3341" max="3341" width="18.5703125" style="1084" customWidth="1"/>
    <col min="3342" max="3342" width="19.7109375" style="1084" customWidth="1"/>
    <col min="3343" max="3343" width="16" style="1084" customWidth="1"/>
    <col min="3344" max="3344" width="20.5703125" style="1084" customWidth="1"/>
    <col min="3345" max="3345" width="16.85546875" style="1084" customWidth="1"/>
    <col min="3346" max="3346" width="23.7109375" style="1084" customWidth="1"/>
    <col min="3347" max="3347" width="27.140625" style="1084" bestFit="1" customWidth="1"/>
    <col min="3348" max="3348" width="25.7109375" style="1084" bestFit="1" customWidth="1"/>
    <col min="3349" max="3349" width="19.42578125" style="1084" bestFit="1" customWidth="1"/>
    <col min="3350" max="3350" width="10.85546875" style="1084"/>
    <col min="3351" max="3351" width="16.42578125" style="1084" bestFit="1" customWidth="1"/>
    <col min="3352" max="3352" width="10.85546875" style="1084"/>
    <col min="3353" max="3353" width="14.42578125" style="1084" bestFit="1" customWidth="1"/>
    <col min="3354" max="3355" width="10.85546875" style="1084"/>
    <col min="3356" max="3356" width="14.28515625" style="1084" bestFit="1" customWidth="1"/>
    <col min="3357" max="3584" width="10.85546875" style="1084"/>
    <col min="3585" max="3585" width="12.28515625" style="1084" customWidth="1"/>
    <col min="3586" max="3586" width="78.7109375" style="1084" customWidth="1"/>
    <col min="3587" max="3587" width="20.28515625" style="1084" customWidth="1"/>
    <col min="3588" max="3588" width="13.42578125" style="1084" customWidth="1"/>
    <col min="3589" max="3589" width="17.140625" style="1084" customWidth="1"/>
    <col min="3590" max="3590" width="22" style="1084" customWidth="1"/>
    <col min="3591" max="3591" width="17.85546875" style="1084" customWidth="1"/>
    <col min="3592" max="3592" width="21.28515625" style="1084" customWidth="1"/>
    <col min="3593" max="3593" width="16.5703125" style="1084" customWidth="1"/>
    <col min="3594" max="3594" width="20.28515625" style="1084" customWidth="1"/>
    <col min="3595" max="3595" width="17.28515625" style="1084" customWidth="1"/>
    <col min="3596" max="3596" width="19.42578125" style="1084" customWidth="1"/>
    <col min="3597" max="3597" width="18.5703125" style="1084" customWidth="1"/>
    <col min="3598" max="3598" width="19.7109375" style="1084" customWidth="1"/>
    <col min="3599" max="3599" width="16" style="1084" customWidth="1"/>
    <col min="3600" max="3600" width="20.5703125" style="1084" customWidth="1"/>
    <col min="3601" max="3601" width="16.85546875" style="1084" customWidth="1"/>
    <col min="3602" max="3602" width="23.7109375" style="1084" customWidth="1"/>
    <col min="3603" max="3603" width="27.140625" style="1084" bestFit="1" customWidth="1"/>
    <col min="3604" max="3604" width="25.7109375" style="1084" bestFit="1" customWidth="1"/>
    <col min="3605" max="3605" width="19.42578125" style="1084" bestFit="1" customWidth="1"/>
    <col min="3606" max="3606" width="10.85546875" style="1084"/>
    <col min="3607" max="3607" width="16.42578125" style="1084" bestFit="1" customWidth="1"/>
    <col min="3608" max="3608" width="10.85546875" style="1084"/>
    <col min="3609" max="3609" width="14.42578125" style="1084" bestFit="1" customWidth="1"/>
    <col min="3610" max="3611" width="10.85546875" style="1084"/>
    <col min="3612" max="3612" width="14.28515625" style="1084" bestFit="1" customWidth="1"/>
    <col min="3613" max="3840" width="10.85546875" style="1084"/>
    <col min="3841" max="3841" width="12.28515625" style="1084" customWidth="1"/>
    <col min="3842" max="3842" width="78.7109375" style="1084" customWidth="1"/>
    <col min="3843" max="3843" width="20.28515625" style="1084" customWidth="1"/>
    <col min="3844" max="3844" width="13.42578125" style="1084" customWidth="1"/>
    <col min="3845" max="3845" width="17.140625" style="1084" customWidth="1"/>
    <col min="3846" max="3846" width="22" style="1084" customWidth="1"/>
    <col min="3847" max="3847" width="17.85546875" style="1084" customWidth="1"/>
    <col min="3848" max="3848" width="21.28515625" style="1084" customWidth="1"/>
    <col min="3849" max="3849" width="16.5703125" style="1084" customWidth="1"/>
    <col min="3850" max="3850" width="20.28515625" style="1084" customWidth="1"/>
    <col min="3851" max="3851" width="17.28515625" style="1084" customWidth="1"/>
    <col min="3852" max="3852" width="19.42578125" style="1084" customWidth="1"/>
    <col min="3853" max="3853" width="18.5703125" style="1084" customWidth="1"/>
    <col min="3854" max="3854" width="19.7109375" style="1084" customWidth="1"/>
    <col min="3855" max="3855" width="16" style="1084" customWidth="1"/>
    <col min="3856" max="3856" width="20.5703125" style="1084" customWidth="1"/>
    <col min="3857" max="3857" width="16.85546875" style="1084" customWidth="1"/>
    <col min="3858" max="3858" width="23.7109375" style="1084" customWidth="1"/>
    <col min="3859" max="3859" width="27.140625" style="1084" bestFit="1" customWidth="1"/>
    <col min="3860" max="3860" width="25.7109375" style="1084" bestFit="1" customWidth="1"/>
    <col min="3861" max="3861" width="19.42578125" style="1084" bestFit="1" customWidth="1"/>
    <col min="3862" max="3862" width="10.85546875" style="1084"/>
    <col min="3863" max="3863" width="16.42578125" style="1084" bestFit="1" customWidth="1"/>
    <col min="3864" max="3864" width="10.85546875" style="1084"/>
    <col min="3865" max="3865" width="14.42578125" style="1084" bestFit="1" customWidth="1"/>
    <col min="3866" max="3867" width="10.85546875" style="1084"/>
    <col min="3868" max="3868" width="14.28515625" style="1084" bestFit="1" customWidth="1"/>
    <col min="3869" max="4096" width="10.85546875" style="1084"/>
    <col min="4097" max="4097" width="12.28515625" style="1084" customWidth="1"/>
    <col min="4098" max="4098" width="78.7109375" style="1084" customWidth="1"/>
    <col min="4099" max="4099" width="20.28515625" style="1084" customWidth="1"/>
    <col min="4100" max="4100" width="13.42578125" style="1084" customWidth="1"/>
    <col min="4101" max="4101" width="17.140625" style="1084" customWidth="1"/>
    <col min="4102" max="4102" width="22" style="1084" customWidth="1"/>
    <col min="4103" max="4103" width="17.85546875" style="1084" customWidth="1"/>
    <col min="4104" max="4104" width="21.28515625" style="1084" customWidth="1"/>
    <col min="4105" max="4105" width="16.5703125" style="1084" customWidth="1"/>
    <col min="4106" max="4106" width="20.28515625" style="1084" customWidth="1"/>
    <col min="4107" max="4107" width="17.28515625" style="1084" customWidth="1"/>
    <col min="4108" max="4108" width="19.42578125" style="1084" customWidth="1"/>
    <col min="4109" max="4109" width="18.5703125" style="1084" customWidth="1"/>
    <col min="4110" max="4110" width="19.7109375" style="1084" customWidth="1"/>
    <col min="4111" max="4111" width="16" style="1084" customWidth="1"/>
    <col min="4112" max="4112" width="20.5703125" style="1084" customWidth="1"/>
    <col min="4113" max="4113" width="16.85546875" style="1084" customWidth="1"/>
    <col min="4114" max="4114" width="23.7109375" style="1084" customWidth="1"/>
    <col min="4115" max="4115" width="27.140625" style="1084" bestFit="1" customWidth="1"/>
    <col min="4116" max="4116" width="25.7109375" style="1084" bestFit="1" customWidth="1"/>
    <col min="4117" max="4117" width="19.42578125" style="1084" bestFit="1" customWidth="1"/>
    <col min="4118" max="4118" width="10.85546875" style="1084"/>
    <col min="4119" max="4119" width="16.42578125" style="1084" bestFit="1" customWidth="1"/>
    <col min="4120" max="4120" width="10.85546875" style="1084"/>
    <col min="4121" max="4121" width="14.42578125" style="1084" bestFit="1" customWidth="1"/>
    <col min="4122" max="4123" width="10.85546875" style="1084"/>
    <col min="4124" max="4124" width="14.28515625" style="1084" bestFit="1" customWidth="1"/>
    <col min="4125" max="4352" width="10.85546875" style="1084"/>
    <col min="4353" max="4353" width="12.28515625" style="1084" customWidth="1"/>
    <col min="4354" max="4354" width="78.7109375" style="1084" customWidth="1"/>
    <col min="4355" max="4355" width="20.28515625" style="1084" customWidth="1"/>
    <col min="4356" max="4356" width="13.42578125" style="1084" customWidth="1"/>
    <col min="4357" max="4357" width="17.140625" style="1084" customWidth="1"/>
    <col min="4358" max="4358" width="22" style="1084" customWidth="1"/>
    <col min="4359" max="4359" width="17.85546875" style="1084" customWidth="1"/>
    <col min="4360" max="4360" width="21.28515625" style="1084" customWidth="1"/>
    <col min="4361" max="4361" width="16.5703125" style="1084" customWidth="1"/>
    <col min="4362" max="4362" width="20.28515625" style="1084" customWidth="1"/>
    <col min="4363" max="4363" width="17.28515625" style="1084" customWidth="1"/>
    <col min="4364" max="4364" width="19.42578125" style="1084" customWidth="1"/>
    <col min="4365" max="4365" width="18.5703125" style="1084" customWidth="1"/>
    <col min="4366" max="4366" width="19.7109375" style="1084" customWidth="1"/>
    <col min="4367" max="4367" width="16" style="1084" customWidth="1"/>
    <col min="4368" max="4368" width="20.5703125" style="1084" customWidth="1"/>
    <col min="4369" max="4369" width="16.85546875" style="1084" customWidth="1"/>
    <col min="4370" max="4370" width="23.7109375" style="1084" customWidth="1"/>
    <col min="4371" max="4371" width="27.140625" style="1084" bestFit="1" customWidth="1"/>
    <col min="4372" max="4372" width="25.7109375" style="1084" bestFit="1" customWidth="1"/>
    <col min="4373" max="4373" width="19.42578125" style="1084" bestFit="1" customWidth="1"/>
    <col min="4374" max="4374" width="10.85546875" style="1084"/>
    <col min="4375" max="4375" width="16.42578125" style="1084" bestFit="1" customWidth="1"/>
    <col min="4376" max="4376" width="10.85546875" style="1084"/>
    <col min="4377" max="4377" width="14.42578125" style="1084" bestFit="1" customWidth="1"/>
    <col min="4378" max="4379" width="10.85546875" style="1084"/>
    <col min="4380" max="4380" width="14.28515625" style="1084" bestFit="1" customWidth="1"/>
    <col min="4381" max="4608" width="10.85546875" style="1084"/>
    <col min="4609" max="4609" width="12.28515625" style="1084" customWidth="1"/>
    <col min="4610" max="4610" width="78.7109375" style="1084" customWidth="1"/>
    <col min="4611" max="4611" width="20.28515625" style="1084" customWidth="1"/>
    <col min="4612" max="4612" width="13.42578125" style="1084" customWidth="1"/>
    <col min="4613" max="4613" width="17.140625" style="1084" customWidth="1"/>
    <col min="4614" max="4614" width="22" style="1084" customWidth="1"/>
    <col min="4615" max="4615" width="17.85546875" style="1084" customWidth="1"/>
    <col min="4616" max="4616" width="21.28515625" style="1084" customWidth="1"/>
    <col min="4617" max="4617" width="16.5703125" style="1084" customWidth="1"/>
    <col min="4618" max="4618" width="20.28515625" style="1084" customWidth="1"/>
    <col min="4619" max="4619" width="17.28515625" style="1084" customWidth="1"/>
    <col min="4620" max="4620" width="19.42578125" style="1084" customWidth="1"/>
    <col min="4621" max="4621" width="18.5703125" style="1084" customWidth="1"/>
    <col min="4622" max="4622" width="19.7109375" style="1084" customWidth="1"/>
    <col min="4623" max="4623" width="16" style="1084" customWidth="1"/>
    <col min="4624" max="4624" width="20.5703125" style="1084" customWidth="1"/>
    <col min="4625" max="4625" width="16.85546875" style="1084" customWidth="1"/>
    <col min="4626" max="4626" width="23.7109375" style="1084" customWidth="1"/>
    <col min="4627" max="4627" width="27.140625" style="1084" bestFit="1" customWidth="1"/>
    <col min="4628" max="4628" width="25.7109375" style="1084" bestFit="1" customWidth="1"/>
    <col min="4629" max="4629" width="19.42578125" style="1084" bestFit="1" customWidth="1"/>
    <col min="4630" max="4630" width="10.85546875" style="1084"/>
    <col min="4631" max="4631" width="16.42578125" style="1084" bestFit="1" customWidth="1"/>
    <col min="4632" max="4632" width="10.85546875" style="1084"/>
    <col min="4633" max="4633" width="14.42578125" style="1084" bestFit="1" customWidth="1"/>
    <col min="4634" max="4635" width="10.85546875" style="1084"/>
    <col min="4636" max="4636" width="14.28515625" style="1084" bestFit="1" customWidth="1"/>
    <col min="4637" max="4864" width="10.85546875" style="1084"/>
    <col min="4865" max="4865" width="12.28515625" style="1084" customWidth="1"/>
    <col min="4866" max="4866" width="78.7109375" style="1084" customWidth="1"/>
    <col min="4867" max="4867" width="20.28515625" style="1084" customWidth="1"/>
    <col min="4868" max="4868" width="13.42578125" style="1084" customWidth="1"/>
    <col min="4869" max="4869" width="17.140625" style="1084" customWidth="1"/>
    <col min="4870" max="4870" width="22" style="1084" customWidth="1"/>
    <col min="4871" max="4871" width="17.85546875" style="1084" customWidth="1"/>
    <col min="4872" max="4872" width="21.28515625" style="1084" customWidth="1"/>
    <col min="4873" max="4873" width="16.5703125" style="1084" customWidth="1"/>
    <col min="4874" max="4874" width="20.28515625" style="1084" customWidth="1"/>
    <col min="4875" max="4875" width="17.28515625" style="1084" customWidth="1"/>
    <col min="4876" max="4876" width="19.42578125" style="1084" customWidth="1"/>
    <col min="4877" max="4877" width="18.5703125" style="1084" customWidth="1"/>
    <col min="4878" max="4878" width="19.7109375" style="1084" customWidth="1"/>
    <col min="4879" max="4879" width="16" style="1084" customWidth="1"/>
    <col min="4880" max="4880" width="20.5703125" style="1084" customWidth="1"/>
    <col min="4881" max="4881" width="16.85546875" style="1084" customWidth="1"/>
    <col min="4882" max="4882" width="23.7109375" style="1084" customWidth="1"/>
    <col min="4883" max="4883" width="27.140625" style="1084" bestFit="1" customWidth="1"/>
    <col min="4884" max="4884" width="25.7109375" style="1084" bestFit="1" customWidth="1"/>
    <col min="4885" max="4885" width="19.42578125" style="1084" bestFit="1" customWidth="1"/>
    <col min="4886" max="4886" width="10.85546875" style="1084"/>
    <col min="4887" max="4887" width="16.42578125" style="1084" bestFit="1" customWidth="1"/>
    <col min="4888" max="4888" width="10.85546875" style="1084"/>
    <col min="4889" max="4889" width="14.42578125" style="1084" bestFit="1" customWidth="1"/>
    <col min="4890" max="4891" width="10.85546875" style="1084"/>
    <col min="4892" max="4892" width="14.28515625" style="1084" bestFit="1" customWidth="1"/>
    <col min="4893" max="5120" width="10.85546875" style="1084"/>
    <col min="5121" max="5121" width="12.28515625" style="1084" customWidth="1"/>
    <col min="5122" max="5122" width="78.7109375" style="1084" customWidth="1"/>
    <col min="5123" max="5123" width="20.28515625" style="1084" customWidth="1"/>
    <col min="5124" max="5124" width="13.42578125" style="1084" customWidth="1"/>
    <col min="5125" max="5125" width="17.140625" style="1084" customWidth="1"/>
    <col min="5126" max="5126" width="22" style="1084" customWidth="1"/>
    <col min="5127" max="5127" width="17.85546875" style="1084" customWidth="1"/>
    <col min="5128" max="5128" width="21.28515625" style="1084" customWidth="1"/>
    <col min="5129" max="5129" width="16.5703125" style="1084" customWidth="1"/>
    <col min="5130" max="5130" width="20.28515625" style="1084" customWidth="1"/>
    <col min="5131" max="5131" width="17.28515625" style="1084" customWidth="1"/>
    <col min="5132" max="5132" width="19.42578125" style="1084" customWidth="1"/>
    <col min="5133" max="5133" width="18.5703125" style="1084" customWidth="1"/>
    <col min="5134" max="5134" width="19.7109375" style="1084" customWidth="1"/>
    <col min="5135" max="5135" width="16" style="1084" customWidth="1"/>
    <col min="5136" max="5136" width="20.5703125" style="1084" customWidth="1"/>
    <col min="5137" max="5137" width="16.85546875" style="1084" customWidth="1"/>
    <col min="5138" max="5138" width="23.7109375" style="1084" customWidth="1"/>
    <col min="5139" max="5139" width="27.140625" style="1084" bestFit="1" customWidth="1"/>
    <col min="5140" max="5140" width="25.7109375" style="1084" bestFit="1" customWidth="1"/>
    <col min="5141" max="5141" width="19.42578125" style="1084" bestFit="1" customWidth="1"/>
    <col min="5142" max="5142" width="10.85546875" style="1084"/>
    <col min="5143" max="5143" width="16.42578125" style="1084" bestFit="1" customWidth="1"/>
    <col min="5144" max="5144" width="10.85546875" style="1084"/>
    <col min="5145" max="5145" width="14.42578125" style="1084" bestFit="1" customWidth="1"/>
    <col min="5146" max="5147" width="10.85546875" style="1084"/>
    <col min="5148" max="5148" width="14.28515625" style="1084" bestFit="1" customWidth="1"/>
    <col min="5149" max="5376" width="10.85546875" style="1084"/>
    <col min="5377" max="5377" width="12.28515625" style="1084" customWidth="1"/>
    <col min="5378" max="5378" width="78.7109375" style="1084" customWidth="1"/>
    <col min="5379" max="5379" width="20.28515625" style="1084" customWidth="1"/>
    <col min="5380" max="5380" width="13.42578125" style="1084" customWidth="1"/>
    <col min="5381" max="5381" width="17.140625" style="1084" customWidth="1"/>
    <col min="5382" max="5382" width="22" style="1084" customWidth="1"/>
    <col min="5383" max="5383" width="17.85546875" style="1084" customWidth="1"/>
    <col min="5384" max="5384" width="21.28515625" style="1084" customWidth="1"/>
    <col min="5385" max="5385" width="16.5703125" style="1084" customWidth="1"/>
    <col min="5386" max="5386" width="20.28515625" style="1084" customWidth="1"/>
    <col min="5387" max="5387" width="17.28515625" style="1084" customWidth="1"/>
    <col min="5388" max="5388" width="19.42578125" style="1084" customWidth="1"/>
    <col min="5389" max="5389" width="18.5703125" style="1084" customWidth="1"/>
    <col min="5390" max="5390" width="19.7109375" style="1084" customWidth="1"/>
    <col min="5391" max="5391" width="16" style="1084" customWidth="1"/>
    <col min="5392" max="5392" width="20.5703125" style="1084" customWidth="1"/>
    <col min="5393" max="5393" width="16.85546875" style="1084" customWidth="1"/>
    <col min="5394" max="5394" width="23.7109375" style="1084" customWidth="1"/>
    <col min="5395" max="5395" width="27.140625" style="1084" bestFit="1" customWidth="1"/>
    <col min="5396" max="5396" width="25.7109375" style="1084" bestFit="1" customWidth="1"/>
    <col min="5397" max="5397" width="19.42578125" style="1084" bestFit="1" customWidth="1"/>
    <col min="5398" max="5398" width="10.85546875" style="1084"/>
    <col min="5399" max="5399" width="16.42578125" style="1084" bestFit="1" customWidth="1"/>
    <col min="5400" max="5400" width="10.85546875" style="1084"/>
    <col min="5401" max="5401" width="14.42578125" style="1084" bestFit="1" customWidth="1"/>
    <col min="5402" max="5403" width="10.85546875" style="1084"/>
    <col min="5404" max="5404" width="14.28515625" style="1084" bestFit="1" customWidth="1"/>
    <col min="5405" max="5632" width="10.85546875" style="1084"/>
    <col min="5633" max="5633" width="12.28515625" style="1084" customWidth="1"/>
    <col min="5634" max="5634" width="78.7109375" style="1084" customWidth="1"/>
    <col min="5635" max="5635" width="20.28515625" style="1084" customWidth="1"/>
    <col min="5636" max="5636" width="13.42578125" style="1084" customWidth="1"/>
    <col min="5637" max="5637" width="17.140625" style="1084" customWidth="1"/>
    <col min="5638" max="5638" width="22" style="1084" customWidth="1"/>
    <col min="5639" max="5639" width="17.85546875" style="1084" customWidth="1"/>
    <col min="5640" max="5640" width="21.28515625" style="1084" customWidth="1"/>
    <col min="5641" max="5641" width="16.5703125" style="1084" customWidth="1"/>
    <col min="5642" max="5642" width="20.28515625" style="1084" customWidth="1"/>
    <col min="5643" max="5643" width="17.28515625" style="1084" customWidth="1"/>
    <col min="5644" max="5644" width="19.42578125" style="1084" customWidth="1"/>
    <col min="5645" max="5645" width="18.5703125" style="1084" customWidth="1"/>
    <col min="5646" max="5646" width="19.7109375" style="1084" customWidth="1"/>
    <col min="5647" max="5647" width="16" style="1084" customWidth="1"/>
    <col min="5648" max="5648" width="20.5703125" style="1084" customWidth="1"/>
    <col min="5649" max="5649" width="16.85546875" style="1084" customWidth="1"/>
    <col min="5650" max="5650" width="23.7109375" style="1084" customWidth="1"/>
    <col min="5651" max="5651" width="27.140625" style="1084" bestFit="1" customWidth="1"/>
    <col min="5652" max="5652" width="25.7109375" style="1084" bestFit="1" customWidth="1"/>
    <col min="5653" max="5653" width="19.42578125" style="1084" bestFit="1" customWidth="1"/>
    <col min="5654" max="5654" width="10.85546875" style="1084"/>
    <col min="5655" max="5655" width="16.42578125" style="1084" bestFit="1" customWidth="1"/>
    <col min="5656" max="5656" width="10.85546875" style="1084"/>
    <col min="5657" max="5657" width="14.42578125" style="1084" bestFit="1" customWidth="1"/>
    <col min="5658" max="5659" width="10.85546875" style="1084"/>
    <col min="5660" max="5660" width="14.28515625" style="1084" bestFit="1" customWidth="1"/>
    <col min="5661" max="5888" width="10.85546875" style="1084"/>
    <col min="5889" max="5889" width="12.28515625" style="1084" customWidth="1"/>
    <col min="5890" max="5890" width="78.7109375" style="1084" customWidth="1"/>
    <col min="5891" max="5891" width="20.28515625" style="1084" customWidth="1"/>
    <col min="5892" max="5892" width="13.42578125" style="1084" customWidth="1"/>
    <col min="5893" max="5893" width="17.140625" style="1084" customWidth="1"/>
    <col min="5894" max="5894" width="22" style="1084" customWidth="1"/>
    <col min="5895" max="5895" width="17.85546875" style="1084" customWidth="1"/>
    <col min="5896" max="5896" width="21.28515625" style="1084" customWidth="1"/>
    <col min="5897" max="5897" width="16.5703125" style="1084" customWidth="1"/>
    <col min="5898" max="5898" width="20.28515625" style="1084" customWidth="1"/>
    <col min="5899" max="5899" width="17.28515625" style="1084" customWidth="1"/>
    <col min="5900" max="5900" width="19.42578125" style="1084" customWidth="1"/>
    <col min="5901" max="5901" width="18.5703125" style="1084" customWidth="1"/>
    <col min="5902" max="5902" width="19.7109375" style="1084" customWidth="1"/>
    <col min="5903" max="5903" width="16" style="1084" customWidth="1"/>
    <col min="5904" max="5904" width="20.5703125" style="1084" customWidth="1"/>
    <col min="5905" max="5905" width="16.85546875" style="1084" customWidth="1"/>
    <col min="5906" max="5906" width="23.7109375" style="1084" customWidth="1"/>
    <col min="5907" max="5907" width="27.140625" style="1084" bestFit="1" customWidth="1"/>
    <col min="5908" max="5908" width="25.7109375" style="1084" bestFit="1" customWidth="1"/>
    <col min="5909" max="5909" width="19.42578125" style="1084" bestFit="1" customWidth="1"/>
    <col min="5910" max="5910" width="10.85546875" style="1084"/>
    <col min="5911" max="5911" width="16.42578125" style="1084" bestFit="1" customWidth="1"/>
    <col min="5912" max="5912" width="10.85546875" style="1084"/>
    <col min="5913" max="5913" width="14.42578125" style="1084" bestFit="1" customWidth="1"/>
    <col min="5914" max="5915" width="10.85546875" style="1084"/>
    <col min="5916" max="5916" width="14.28515625" style="1084" bestFit="1" customWidth="1"/>
    <col min="5917" max="6144" width="10.85546875" style="1084"/>
    <col min="6145" max="6145" width="12.28515625" style="1084" customWidth="1"/>
    <col min="6146" max="6146" width="78.7109375" style="1084" customWidth="1"/>
    <col min="6147" max="6147" width="20.28515625" style="1084" customWidth="1"/>
    <col min="6148" max="6148" width="13.42578125" style="1084" customWidth="1"/>
    <col min="6149" max="6149" width="17.140625" style="1084" customWidth="1"/>
    <col min="6150" max="6150" width="22" style="1084" customWidth="1"/>
    <col min="6151" max="6151" width="17.85546875" style="1084" customWidth="1"/>
    <col min="6152" max="6152" width="21.28515625" style="1084" customWidth="1"/>
    <col min="6153" max="6153" width="16.5703125" style="1084" customWidth="1"/>
    <col min="6154" max="6154" width="20.28515625" style="1084" customWidth="1"/>
    <col min="6155" max="6155" width="17.28515625" style="1084" customWidth="1"/>
    <col min="6156" max="6156" width="19.42578125" style="1084" customWidth="1"/>
    <col min="6157" max="6157" width="18.5703125" style="1084" customWidth="1"/>
    <col min="6158" max="6158" width="19.7109375" style="1084" customWidth="1"/>
    <col min="6159" max="6159" width="16" style="1084" customWidth="1"/>
    <col min="6160" max="6160" width="20.5703125" style="1084" customWidth="1"/>
    <col min="6161" max="6161" width="16.85546875" style="1084" customWidth="1"/>
    <col min="6162" max="6162" width="23.7109375" style="1084" customWidth="1"/>
    <col min="6163" max="6163" width="27.140625" style="1084" bestFit="1" customWidth="1"/>
    <col min="6164" max="6164" width="25.7109375" style="1084" bestFit="1" customWidth="1"/>
    <col min="6165" max="6165" width="19.42578125" style="1084" bestFit="1" customWidth="1"/>
    <col min="6166" max="6166" width="10.85546875" style="1084"/>
    <col min="6167" max="6167" width="16.42578125" style="1084" bestFit="1" customWidth="1"/>
    <col min="6168" max="6168" width="10.85546875" style="1084"/>
    <col min="6169" max="6169" width="14.42578125" style="1084" bestFit="1" customWidth="1"/>
    <col min="6170" max="6171" width="10.85546875" style="1084"/>
    <col min="6172" max="6172" width="14.28515625" style="1084" bestFit="1" customWidth="1"/>
    <col min="6173" max="6400" width="10.85546875" style="1084"/>
    <col min="6401" max="6401" width="12.28515625" style="1084" customWidth="1"/>
    <col min="6402" max="6402" width="78.7109375" style="1084" customWidth="1"/>
    <col min="6403" max="6403" width="20.28515625" style="1084" customWidth="1"/>
    <col min="6404" max="6404" width="13.42578125" style="1084" customWidth="1"/>
    <col min="6405" max="6405" width="17.140625" style="1084" customWidth="1"/>
    <col min="6406" max="6406" width="22" style="1084" customWidth="1"/>
    <col min="6407" max="6407" width="17.85546875" style="1084" customWidth="1"/>
    <col min="6408" max="6408" width="21.28515625" style="1084" customWidth="1"/>
    <col min="6409" max="6409" width="16.5703125" style="1084" customWidth="1"/>
    <col min="6410" max="6410" width="20.28515625" style="1084" customWidth="1"/>
    <col min="6411" max="6411" width="17.28515625" style="1084" customWidth="1"/>
    <col min="6412" max="6412" width="19.42578125" style="1084" customWidth="1"/>
    <col min="6413" max="6413" width="18.5703125" style="1084" customWidth="1"/>
    <col min="6414" max="6414" width="19.7109375" style="1084" customWidth="1"/>
    <col min="6415" max="6415" width="16" style="1084" customWidth="1"/>
    <col min="6416" max="6416" width="20.5703125" style="1084" customWidth="1"/>
    <col min="6417" max="6417" width="16.85546875" style="1084" customWidth="1"/>
    <col min="6418" max="6418" width="23.7109375" style="1084" customWidth="1"/>
    <col min="6419" max="6419" width="27.140625" style="1084" bestFit="1" customWidth="1"/>
    <col min="6420" max="6420" width="25.7109375" style="1084" bestFit="1" customWidth="1"/>
    <col min="6421" max="6421" width="19.42578125" style="1084" bestFit="1" customWidth="1"/>
    <col min="6422" max="6422" width="10.85546875" style="1084"/>
    <col min="6423" max="6423" width="16.42578125" style="1084" bestFit="1" customWidth="1"/>
    <col min="6424" max="6424" width="10.85546875" style="1084"/>
    <col min="6425" max="6425" width="14.42578125" style="1084" bestFit="1" customWidth="1"/>
    <col min="6426" max="6427" width="10.85546875" style="1084"/>
    <col min="6428" max="6428" width="14.28515625" style="1084" bestFit="1" customWidth="1"/>
    <col min="6429" max="6656" width="10.85546875" style="1084"/>
    <col min="6657" max="6657" width="12.28515625" style="1084" customWidth="1"/>
    <col min="6658" max="6658" width="78.7109375" style="1084" customWidth="1"/>
    <col min="6659" max="6659" width="20.28515625" style="1084" customWidth="1"/>
    <col min="6660" max="6660" width="13.42578125" style="1084" customWidth="1"/>
    <col min="6661" max="6661" width="17.140625" style="1084" customWidth="1"/>
    <col min="6662" max="6662" width="22" style="1084" customWidth="1"/>
    <col min="6663" max="6663" width="17.85546875" style="1084" customWidth="1"/>
    <col min="6664" max="6664" width="21.28515625" style="1084" customWidth="1"/>
    <col min="6665" max="6665" width="16.5703125" style="1084" customWidth="1"/>
    <col min="6666" max="6666" width="20.28515625" style="1084" customWidth="1"/>
    <col min="6667" max="6667" width="17.28515625" style="1084" customWidth="1"/>
    <col min="6668" max="6668" width="19.42578125" style="1084" customWidth="1"/>
    <col min="6669" max="6669" width="18.5703125" style="1084" customWidth="1"/>
    <col min="6670" max="6670" width="19.7109375" style="1084" customWidth="1"/>
    <col min="6671" max="6671" width="16" style="1084" customWidth="1"/>
    <col min="6672" max="6672" width="20.5703125" style="1084" customWidth="1"/>
    <col min="6673" max="6673" width="16.85546875" style="1084" customWidth="1"/>
    <col min="6674" max="6674" width="23.7109375" style="1084" customWidth="1"/>
    <col min="6675" max="6675" width="27.140625" style="1084" bestFit="1" customWidth="1"/>
    <col min="6676" max="6676" width="25.7109375" style="1084" bestFit="1" customWidth="1"/>
    <col min="6677" max="6677" width="19.42578125" style="1084" bestFit="1" customWidth="1"/>
    <col min="6678" max="6678" width="10.85546875" style="1084"/>
    <col min="6679" max="6679" width="16.42578125" style="1084" bestFit="1" customWidth="1"/>
    <col min="6680" max="6680" width="10.85546875" style="1084"/>
    <col min="6681" max="6681" width="14.42578125" style="1084" bestFit="1" customWidth="1"/>
    <col min="6682" max="6683" width="10.85546875" style="1084"/>
    <col min="6684" max="6684" width="14.28515625" style="1084" bestFit="1" customWidth="1"/>
    <col min="6685" max="6912" width="10.85546875" style="1084"/>
    <col min="6913" max="6913" width="12.28515625" style="1084" customWidth="1"/>
    <col min="6914" max="6914" width="78.7109375" style="1084" customWidth="1"/>
    <col min="6915" max="6915" width="20.28515625" style="1084" customWidth="1"/>
    <col min="6916" max="6916" width="13.42578125" style="1084" customWidth="1"/>
    <col min="6917" max="6917" width="17.140625" style="1084" customWidth="1"/>
    <col min="6918" max="6918" width="22" style="1084" customWidth="1"/>
    <col min="6919" max="6919" width="17.85546875" style="1084" customWidth="1"/>
    <col min="6920" max="6920" width="21.28515625" style="1084" customWidth="1"/>
    <col min="6921" max="6921" width="16.5703125" style="1084" customWidth="1"/>
    <col min="6922" max="6922" width="20.28515625" style="1084" customWidth="1"/>
    <col min="6923" max="6923" width="17.28515625" style="1084" customWidth="1"/>
    <col min="6924" max="6924" width="19.42578125" style="1084" customWidth="1"/>
    <col min="6925" max="6925" width="18.5703125" style="1084" customWidth="1"/>
    <col min="6926" max="6926" width="19.7109375" style="1084" customWidth="1"/>
    <col min="6927" max="6927" width="16" style="1084" customWidth="1"/>
    <col min="6928" max="6928" width="20.5703125" style="1084" customWidth="1"/>
    <col min="6929" max="6929" width="16.85546875" style="1084" customWidth="1"/>
    <col min="6930" max="6930" width="23.7109375" style="1084" customWidth="1"/>
    <col min="6931" max="6931" width="27.140625" style="1084" bestFit="1" customWidth="1"/>
    <col min="6932" max="6932" width="25.7109375" style="1084" bestFit="1" customWidth="1"/>
    <col min="6933" max="6933" width="19.42578125" style="1084" bestFit="1" customWidth="1"/>
    <col min="6934" max="6934" width="10.85546875" style="1084"/>
    <col min="6935" max="6935" width="16.42578125" style="1084" bestFit="1" customWidth="1"/>
    <col min="6936" max="6936" width="10.85546875" style="1084"/>
    <col min="6937" max="6937" width="14.42578125" style="1084" bestFit="1" customWidth="1"/>
    <col min="6938" max="6939" width="10.85546875" style="1084"/>
    <col min="6940" max="6940" width="14.28515625" style="1084" bestFit="1" customWidth="1"/>
    <col min="6941" max="7168" width="10.85546875" style="1084"/>
    <col min="7169" max="7169" width="12.28515625" style="1084" customWidth="1"/>
    <col min="7170" max="7170" width="78.7109375" style="1084" customWidth="1"/>
    <col min="7171" max="7171" width="20.28515625" style="1084" customWidth="1"/>
    <col min="7172" max="7172" width="13.42578125" style="1084" customWidth="1"/>
    <col min="7173" max="7173" width="17.140625" style="1084" customWidth="1"/>
    <col min="7174" max="7174" width="22" style="1084" customWidth="1"/>
    <col min="7175" max="7175" width="17.85546875" style="1084" customWidth="1"/>
    <col min="7176" max="7176" width="21.28515625" style="1084" customWidth="1"/>
    <col min="7177" max="7177" width="16.5703125" style="1084" customWidth="1"/>
    <col min="7178" max="7178" width="20.28515625" style="1084" customWidth="1"/>
    <col min="7179" max="7179" width="17.28515625" style="1084" customWidth="1"/>
    <col min="7180" max="7180" width="19.42578125" style="1084" customWidth="1"/>
    <col min="7181" max="7181" width="18.5703125" style="1084" customWidth="1"/>
    <col min="7182" max="7182" width="19.7109375" style="1084" customWidth="1"/>
    <col min="7183" max="7183" width="16" style="1084" customWidth="1"/>
    <col min="7184" max="7184" width="20.5703125" style="1084" customWidth="1"/>
    <col min="7185" max="7185" width="16.85546875" style="1084" customWidth="1"/>
    <col min="7186" max="7186" width="23.7109375" style="1084" customWidth="1"/>
    <col min="7187" max="7187" width="27.140625" style="1084" bestFit="1" customWidth="1"/>
    <col min="7188" max="7188" width="25.7109375" style="1084" bestFit="1" customWidth="1"/>
    <col min="7189" max="7189" width="19.42578125" style="1084" bestFit="1" customWidth="1"/>
    <col min="7190" max="7190" width="10.85546875" style="1084"/>
    <col min="7191" max="7191" width="16.42578125" style="1084" bestFit="1" customWidth="1"/>
    <col min="7192" max="7192" width="10.85546875" style="1084"/>
    <col min="7193" max="7193" width="14.42578125" style="1084" bestFit="1" customWidth="1"/>
    <col min="7194" max="7195" width="10.85546875" style="1084"/>
    <col min="7196" max="7196" width="14.28515625" style="1084" bestFit="1" customWidth="1"/>
    <col min="7197" max="7424" width="10.85546875" style="1084"/>
    <col min="7425" max="7425" width="12.28515625" style="1084" customWidth="1"/>
    <col min="7426" max="7426" width="78.7109375" style="1084" customWidth="1"/>
    <col min="7427" max="7427" width="20.28515625" style="1084" customWidth="1"/>
    <col min="7428" max="7428" width="13.42578125" style="1084" customWidth="1"/>
    <col min="7429" max="7429" width="17.140625" style="1084" customWidth="1"/>
    <col min="7430" max="7430" width="22" style="1084" customWidth="1"/>
    <col min="7431" max="7431" width="17.85546875" style="1084" customWidth="1"/>
    <col min="7432" max="7432" width="21.28515625" style="1084" customWidth="1"/>
    <col min="7433" max="7433" width="16.5703125" style="1084" customWidth="1"/>
    <col min="7434" max="7434" width="20.28515625" style="1084" customWidth="1"/>
    <col min="7435" max="7435" width="17.28515625" style="1084" customWidth="1"/>
    <col min="7436" max="7436" width="19.42578125" style="1084" customWidth="1"/>
    <col min="7437" max="7437" width="18.5703125" style="1084" customWidth="1"/>
    <col min="7438" max="7438" width="19.7109375" style="1084" customWidth="1"/>
    <col min="7439" max="7439" width="16" style="1084" customWidth="1"/>
    <col min="7440" max="7440" width="20.5703125" style="1084" customWidth="1"/>
    <col min="7441" max="7441" width="16.85546875" style="1084" customWidth="1"/>
    <col min="7442" max="7442" width="23.7109375" style="1084" customWidth="1"/>
    <col min="7443" max="7443" width="27.140625" style="1084" bestFit="1" customWidth="1"/>
    <col min="7444" max="7444" width="25.7109375" style="1084" bestFit="1" customWidth="1"/>
    <col min="7445" max="7445" width="19.42578125" style="1084" bestFit="1" customWidth="1"/>
    <col min="7446" max="7446" width="10.85546875" style="1084"/>
    <col min="7447" max="7447" width="16.42578125" style="1084" bestFit="1" customWidth="1"/>
    <col min="7448" max="7448" width="10.85546875" style="1084"/>
    <col min="7449" max="7449" width="14.42578125" style="1084" bestFit="1" customWidth="1"/>
    <col min="7450" max="7451" width="10.85546875" style="1084"/>
    <col min="7452" max="7452" width="14.28515625" style="1084" bestFit="1" customWidth="1"/>
    <col min="7453" max="7680" width="10.85546875" style="1084"/>
    <col min="7681" max="7681" width="12.28515625" style="1084" customWidth="1"/>
    <col min="7682" max="7682" width="78.7109375" style="1084" customWidth="1"/>
    <col min="7683" max="7683" width="20.28515625" style="1084" customWidth="1"/>
    <col min="7684" max="7684" width="13.42578125" style="1084" customWidth="1"/>
    <col min="7685" max="7685" width="17.140625" style="1084" customWidth="1"/>
    <col min="7686" max="7686" width="22" style="1084" customWidth="1"/>
    <col min="7687" max="7687" width="17.85546875" style="1084" customWidth="1"/>
    <col min="7688" max="7688" width="21.28515625" style="1084" customWidth="1"/>
    <col min="7689" max="7689" width="16.5703125" style="1084" customWidth="1"/>
    <col min="7690" max="7690" width="20.28515625" style="1084" customWidth="1"/>
    <col min="7691" max="7691" width="17.28515625" style="1084" customWidth="1"/>
    <col min="7692" max="7692" width="19.42578125" style="1084" customWidth="1"/>
    <col min="7693" max="7693" width="18.5703125" style="1084" customWidth="1"/>
    <col min="7694" max="7694" width="19.7109375" style="1084" customWidth="1"/>
    <col min="7695" max="7695" width="16" style="1084" customWidth="1"/>
    <col min="7696" max="7696" width="20.5703125" style="1084" customWidth="1"/>
    <col min="7697" max="7697" width="16.85546875" style="1084" customWidth="1"/>
    <col min="7698" max="7698" width="23.7109375" style="1084" customWidth="1"/>
    <col min="7699" max="7699" width="27.140625" style="1084" bestFit="1" customWidth="1"/>
    <col min="7700" max="7700" width="25.7109375" style="1084" bestFit="1" customWidth="1"/>
    <col min="7701" max="7701" width="19.42578125" style="1084" bestFit="1" customWidth="1"/>
    <col min="7702" max="7702" width="10.85546875" style="1084"/>
    <col min="7703" max="7703" width="16.42578125" style="1084" bestFit="1" customWidth="1"/>
    <col min="7704" max="7704" width="10.85546875" style="1084"/>
    <col min="7705" max="7705" width="14.42578125" style="1084" bestFit="1" customWidth="1"/>
    <col min="7706" max="7707" width="10.85546875" style="1084"/>
    <col min="7708" max="7708" width="14.28515625" style="1084" bestFit="1" customWidth="1"/>
    <col min="7709" max="7936" width="10.85546875" style="1084"/>
    <col min="7937" max="7937" width="12.28515625" style="1084" customWidth="1"/>
    <col min="7938" max="7938" width="78.7109375" style="1084" customWidth="1"/>
    <col min="7939" max="7939" width="20.28515625" style="1084" customWidth="1"/>
    <col min="7940" max="7940" width="13.42578125" style="1084" customWidth="1"/>
    <col min="7941" max="7941" width="17.140625" style="1084" customWidth="1"/>
    <col min="7942" max="7942" width="22" style="1084" customWidth="1"/>
    <col min="7943" max="7943" width="17.85546875" style="1084" customWidth="1"/>
    <col min="7944" max="7944" width="21.28515625" style="1084" customWidth="1"/>
    <col min="7945" max="7945" width="16.5703125" style="1084" customWidth="1"/>
    <col min="7946" max="7946" width="20.28515625" style="1084" customWidth="1"/>
    <col min="7947" max="7947" width="17.28515625" style="1084" customWidth="1"/>
    <col min="7948" max="7948" width="19.42578125" style="1084" customWidth="1"/>
    <col min="7949" max="7949" width="18.5703125" style="1084" customWidth="1"/>
    <col min="7950" max="7950" width="19.7109375" style="1084" customWidth="1"/>
    <col min="7951" max="7951" width="16" style="1084" customWidth="1"/>
    <col min="7952" max="7952" width="20.5703125" style="1084" customWidth="1"/>
    <col min="7953" max="7953" width="16.85546875" style="1084" customWidth="1"/>
    <col min="7954" max="7954" width="23.7109375" style="1084" customWidth="1"/>
    <col min="7955" max="7955" width="27.140625" style="1084" bestFit="1" customWidth="1"/>
    <col min="7956" max="7956" width="25.7109375" style="1084" bestFit="1" customWidth="1"/>
    <col min="7957" max="7957" width="19.42578125" style="1084" bestFit="1" customWidth="1"/>
    <col min="7958" max="7958" width="10.85546875" style="1084"/>
    <col min="7959" max="7959" width="16.42578125" style="1084" bestFit="1" customWidth="1"/>
    <col min="7960" max="7960" width="10.85546875" style="1084"/>
    <col min="7961" max="7961" width="14.42578125" style="1084" bestFit="1" customWidth="1"/>
    <col min="7962" max="7963" width="10.85546875" style="1084"/>
    <col min="7964" max="7964" width="14.28515625" style="1084" bestFit="1" customWidth="1"/>
    <col min="7965" max="8192" width="10.85546875" style="1084"/>
    <col min="8193" max="8193" width="12.28515625" style="1084" customWidth="1"/>
    <col min="8194" max="8194" width="78.7109375" style="1084" customWidth="1"/>
    <col min="8195" max="8195" width="20.28515625" style="1084" customWidth="1"/>
    <col min="8196" max="8196" width="13.42578125" style="1084" customWidth="1"/>
    <col min="8197" max="8197" width="17.140625" style="1084" customWidth="1"/>
    <col min="8198" max="8198" width="22" style="1084" customWidth="1"/>
    <col min="8199" max="8199" width="17.85546875" style="1084" customWidth="1"/>
    <col min="8200" max="8200" width="21.28515625" style="1084" customWidth="1"/>
    <col min="8201" max="8201" width="16.5703125" style="1084" customWidth="1"/>
    <col min="8202" max="8202" width="20.28515625" style="1084" customWidth="1"/>
    <col min="8203" max="8203" width="17.28515625" style="1084" customWidth="1"/>
    <col min="8204" max="8204" width="19.42578125" style="1084" customWidth="1"/>
    <col min="8205" max="8205" width="18.5703125" style="1084" customWidth="1"/>
    <col min="8206" max="8206" width="19.7109375" style="1084" customWidth="1"/>
    <col min="8207" max="8207" width="16" style="1084" customWidth="1"/>
    <col min="8208" max="8208" width="20.5703125" style="1084" customWidth="1"/>
    <col min="8209" max="8209" width="16.85546875" style="1084" customWidth="1"/>
    <col min="8210" max="8210" width="23.7109375" style="1084" customWidth="1"/>
    <col min="8211" max="8211" width="27.140625" style="1084" bestFit="1" customWidth="1"/>
    <col min="8212" max="8212" width="25.7109375" style="1084" bestFit="1" customWidth="1"/>
    <col min="8213" max="8213" width="19.42578125" style="1084" bestFit="1" customWidth="1"/>
    <col min="8214" max="8214" width="10.85546875" style="1084"/>
    <col min="8215" max="8215" width="16.42578125" style="1084" bestFit="1" customWidth="1"/>
    <col min="8216" max="8216" width="10.85546875" style="1084"/>
    <col min="8217" max="8217" width="14.42578125" style="1084" bestFit="1" customWidth="1"/>
    <col min="8218" max="8219" width="10.85546875" style="1084"/>
    <col min="8220" max="8220" width="14.28515625" style="1084" bestFit="1" customWidth="1"/>
    <col min="8221" max="8448" width="10.85546875" style="1084"/>
    <col min="8449" max="8449" width="12.28515625" style="1084" customWidth="1"/>
    <col min="8450" max="8450" width="78.7109375" style="1084" customWidth="1"/>
    <col min="8451" max="8451" width="20.28515625" style="1084" customWidth="1"/>
    <col min="8452" max="8452" width="13.42578125" style="1084" customWidth="1"/>
    <col min="8453" max="8453" width="17.140625" style="1084" customWidth="1"/>
    <col min="8454" max="8454" width="22" style="1084" customWidth="1"/>
    <col min="8455" max="8455" width="17.85546875" style="1084" customWidth="1"/>
    <col min="8456" max="8456" width="21.28515625" style="1084" customWidth="1"/>
    <col min="8457" max="8457" width="16.5703125" style="1084" customWidth="1"/>
    <col min="8458" max="8458" width="20.28515625" style="1084" customWidth="1"/>
    <col min="8459" max="8459" width="17.28515625" style="1084" customWidth="1"/>
    <col min="8460" max="8460" width="19.42578125" style="1084" customWidth="1"/>
    <col min="8461" max="8461" width="18.5703125" style="1084" customWidth="1"/>
    <col min="8462" max="8462" width="19.7109375" style="1084" customWidth="1"/>
    <col min="8463" max="8463" width="16" style="1084" customWidth="1"/>
    <col min="8464" max="8464" width="20.5703125" style="1084" customWidth="1"/>
    <col min="8465" max="8465" width="16.85546875" style="1084" customWidth="1"/>
    <col min="8466" max="8466" width="23.7109375" style="1084" customWidth="1"/>
    <col min="8467" max="8467" width="27.140625" style="1084" bestFit="1" customWidth="1"/>
    <col min="8468" max="8468" width="25.7109375" style="1084" bestFit="1" customWidth="1"/>
    <col min="8469" max="8469" width="19.42578125" style="1084" bestFit="1" customWidth="1"/>
    <col min="8470" max="8470" width="10.85546875" style="1084"/>
    <col min="8471" max="8471" width="16.42578125" style="1084" bestFit="1" customWidth="1"/>
    <col min="8472" max="8472" width="10.85546875" style="1084"/>
    <col min="8473" max="8473" width="14.42578125" style="1084" bestFit="1" customWidth="1"/>
    <col min="8474" max="8475" width="10.85546875" style="1084"/>
    <col min="8476" max="8476" width="14.28515625" style="1084" bestFit="1" customWidth="1"/>
    <col min="8477" max="8704" width="10.85546875" style="1084"/>
    <col min="8705" max="8705" width="12.28515625" style="1084" customWidth="1"/>
    <col min="8706" max="8706" width="78.7109375" style="1084" customWidth="1"/>
    <col min="8707" max="8707" width="20.28515625" style="1084" customWidth="1"/>
    <col min="8708" max="8708" width="13.42578125" style="1084" customWidth="1"/>
    <col min="8709" max="8709" width="17.140625" style="1084" customWidth="1"/>
    <col min="8710" max="8710" width="22" style="1084" customWidth="1"/>
    <col min="8711" max="8711" width="17.85546875" style="1084" customWidth="1"/>
    <col min="8712" max="8712" width="21.28515625" style="1084" customWidth="1"/>
    <col min="8713" max="8713" width="16.5703125" style="1084" customWidth="1"/>
    <col min="8714" max="8714" width="20.28515625" style="1084" customWidth="1"/>
    <col min="8715" max="8715" width="17.28515625" style="1084" customWidth="1"/>
    <col min="8716" max="8716" width="19.42578125" style="1084" customWidth="1"/>
    <col min="8717" max="8717" width="18.5703125" style="1084" customWidth="1"/>
    <col min="8718" max="8718" width="19.7109375" style="1084" customWidth="1"/>
    <col min="8719" max="8719" width="16" style="1084" customWidth="1"/>
    <col min="8720" max="8720" width="20.5703125" style="1084" customWidth="1"/>
    <col min="8721" max="8721" width="16.85546875" style="1084" customWidth="1"/>
    <col min="8722" max="8722" width="23.7109375" style="1084" customWidth="1"/>
    <col min="8723" max="8723" width="27.140625" style="1084" bestFit="1" customWidth="1"/>
    <col min="8724" max="8724" width="25.7109375" style="1084" bestFit="1" customWidth="1"/>
    <col min="8725" max="8725" width="19.42578125" style="1084" bestFit="1" customWidth="1"/>
    <col min="8726" max="8726" width="10.85546875" style="1084"/>
    <col min="8727" max="8727" width="16.42578125" style="1084" bestFit="1" customWidth="1"/>
    <col min="8728" max="8728" width="10.85546875" style="1084"/>
    <col min="8729" max="8729" width="14.42578125" style="1084" bestFit="1" customWidth="1"/>
    <col min="8730" max="8731" width="10.85546875" style="1084"/>
    <col min="8732" max="8732" width="14.28515625" style="1084" bestFit="1" customWidth="1"/>
    <col min="8733" max="8960" width="10.85546875" style="1084"/>
    <col min="8961" max="8961" width="12.28515625" style="1084" customWidth="1"/>
    <col min="8962" max="8962" width="78.7109375" style="1084" customWidth="1"/>
    <col min="8963" max="8963" width="20.28515625" style="1084" customWidth="1"/>
    <col min="8964" max="8964" width="13.42578125" style="1084" customWidth="1"/>
    <col min="8965" max="8965" width="17.140625" style="1084" customWidth="1"/>
    <col min="8966" max="8966" width="22" style="1084" customWidth="1"/>
    <col min="8967" max="8967" width="17.85546875" style="1084" customWidth="1"/>
    <col min="8968" max="8968" width="21.28515625" style="1084" customWidth="1"/>
    <col min="8969" max="8969" width="16.5703125" style="1084" customWidth="1"/>
    <col min="8970" max="8970" width="20.28515625" style="1084" customWidth="1"/>
    <col min="8971" max="8971" width="17.28515625" style="1084" customWidth="1"/>
    <col min="8972" max="8972" width="19.42578125" style="1084" customWidth="1"/>
    <col min="8973" max="8973" width="18.5703125" style="1084" customWidth="1"/>
    <col min="8974" max="8974" width="19.7109375" style="1084" customWidth="1"/>
    <col min="8975" max="8975" width="16" style="1084" customWidth="1"/>
    <col min="8976" max="8976" width="20.5703125" style="1084" customWidth="1"/>
    <col min="8977" max="8977" width="16.85546875" style="1084" customWidth="1"/>
    <col min="8978" max="8978" width="23.7109375" style="1084" customWidth="1"/>
    <col min="8979" max="8979" width="27.140625" style="1084" bestFit="1" customWidth="1"/>
    <col min="8980" max="8980" width="25.7109375" style="1084" bestFit="1" customWidth="1"/>
    <col min="8981" max="8981" width="19.42578125" style="1084" bestFit="1" customWidth="1"/>
    <col min="8982" max="8982" width="10.85546875" style="1084"/>
    <col min="8983" max="8983" width="16.42578125" style="1084" bestFit="1" customWidth="1"/>
    <col min="8984" max="8984" width="10.85546875" style="1084"/>
    <col min="8985" max="8985" width="14.42578125" style="1084" bestFit="1" customWidth="1"/>
    <col min="8986" max="8987" width="10.85546875" style="1084"/>
    <col min="8988" max="8988" width="14.28515625" style="1084" bestFit="1" customWidth="1"/>
    <col min="8989" max="9216" width="10.85546875" style="1084"/>
    <col min="9217" max="9217" width="12.28515625" style="1084" customWidth="1"/>
    <col min="9218" max="9218" width="78.7109375" style="1084" customWidth="1"/>
    <col min="9219" max="9219" width="20.28515625" style="1084" customWidth="1"/>
    <col min="9220" max="9220" width="13.42578125" style="1084" customWidth="1"/>
    <col min="9221" max="9221" width="17.140625" style="1084" customWidth="1"/>
    <col min="9222" max="9222" width="22" style="1084" customWidth="1"/>
    <col min="9223" max="9223" width="17.85546875" style="1084" customWidth="1"/>
    <col min="9224" max="9224" width="21.28515625" style="1084" customWidth="1"/>
    <col min="9225" max="9225" width="16.5703125" style="1084" customWidth="1"/>
    <col min="9226" max="9226" width="20.28515625" style="1084" customWidth="1"/>
    <col min="9227" max="9227" width="17.28515625" style="1084" customWidth="1"/>
    <col min="9228" max="9228" width="19.42578125" style="1084" customWidth="1"/>
    <col min="9229" max="9229" width="18.5703125" style="1084" customWidth="1"/>
    <col min="9230" max="9230" width="19.7109375" style="1084" customWidth="1"/>
    <col min="9231" max="9231" width="16" style="1084" customWidth="1"/>
    <col min="9232" max="9232" width="20.5703125" style="1084" customWidth="1"/>
    <col min="9233" max="9233" width="16.85546875" style="1084" customWidth="1"/>
    <col min="9234" max="9234" width="23.7109375" style="1084" customWidth="1"/>
    <col min="9235" max="9235" width="27.140625" style="1084" bestFit="1" customWidth="1"/>
    <col min="9236" max="9236" width="25.7109375" style="1084" bestFit="1" customWidth="1"/>
    <col min="9237" max="9237" width="19.42578125" style="1084" bestFit="1" customWidth="1"/>
    <col min="9238" max="9238" width="10.85546875" style="1084"/>
    <col min="9239" max="9239" width="16.42578125" style="1084" bestFit="1" customWidth="1"/>
    <col min="9240" max="9240" width="10.85546875" style="1084"/>
    <col min="9241" max="9241" width="14.42578125" style="1084" bestFit="1" customWidth="1"/>
    <col min="9242" max="9243" width="10.85546875" style="1084"/>
    <col min="9244" max="9244" width="14.28515625" style="1084" bestFit="1" customWidth="1"/>
    <col min="9245" max="9472" width="10.85546875" style="1084"/>
    <col min="9473" max="9473" width="12.28515625" style="1084" customWidth="1"/>
    <col min="9474" max="9474" width="78.7109375" style="1084" customWidth="1"/>
    <col min="9475" max="9475" width="20.28515625" style="1084" customWidth="1"/>
    <col min="9476" max="9476" width="13.42578125" style="1084" customWidth="1"/>
    <col min="9477" max="9477" width="17.140625" style="1084" customWidth="1"/>
    <col min="9478" max="9478" width="22" style="1084" customWidth="1"/>
    <col min="9479" max="9479" width="17.85546875" style="1084" customWidth="1"/>
    <col min="9480" max="9480" width="21.28515625" style="1084" customWidth="1"/>
    <col min="9481" max="9481" width="16.5703125" style="1084" customWidth="1"/>
    <col min="9482" max="9482" width="20.28515625" style="1084" customWidth="1"/>
    <col min="9483" max="9483" width="17.28515625" style="1084" customWidth="1"/>
    <col min="9484" max="9484" width="19.42578125" style="1084" customWidth="1"/>
    <col min="9485" max="9485" width="18.5703125" style="1084" customWidth="1"/>
    <col min="9486" max="9486" width="19.7109375" style="1084" customWidth="1"/>
    <col min="9487" max="9487" width="16" style="1084" customWidth="1"/>
    <col min="9488" max="9488" width="20.5703125" style="1084" customWidth="1"/>
    <col min="9489" max="9489" width="16.85546875" style="1084" customWidth="1"/>
    <col min="9490" max="9490" width="23.7109375" style="1084" customWidth="1"/>
    <col min="9491" max="9491" width="27.140625" style="1084" bestFit="1" customWidth="1"/>
    <col min="9492" max="9492" width="25.7109375" style="1084" bestFit="1" customWidth="1"/>
    <col min="9493" max="9493" width="19.42578125" style="1084" bestFit="1" customWidth="1"/>
    <col min="9494" max="9494" width="10.85546875" style="1084"/>
    <col min="9495" max="9495" width="16.42578125" style="1084" bestFit="1" customWidth="1"/>
    <col min="9496" max="9496" width="10.85546875" style="1084"/>
    <col min="9497" max="9497" width="14.42578125" style="1084" bestFit="1" customWidth="1"/>
    <col min="9498" max="9499" width="10.85546875" style="1084"/>
    <col min="9500" max="9500" width="14.28515625" style="1084" bestFit="1" customWidth="1"/>
    <col min="9501" max="9728" width="10.85546875" style="1084"/>
    <col min="9729" max="9729" width="12.28515625" style="1084" customWidth="1"/>
    <col min="9730" max="9730" width="78.7109375" style="1084" customWidth="1"/>
    <col min="9731" max="9731" width="20.28515625" style="1084" customWidth="1"/>
    <col min="9732" max="9732" width="13.42578125" style="1084" customWidth="1"/>
    <col min="9733" max="9733" width="17.140625" style="1084" customWidth="1"/>
    <col min="9734" max="9734" width="22" style="1084" customWidth="1"/>
    <col min="9735" max="9735" width="17.85546875" style="1084" customWidth="1"/>
    <col min="9736" max="9736" width="21.28515625" style="1084" customWidth="1"/>
    <col min="9737" max="9737" width="16.5703125" style="1084" customWidth="1"/>
    <col min="9738" max="9738" width="20.28515625" style="1084" customWidth="1"/>
    <col min="9739" max="9739" width="17.28515625" style="1084" customWidth="1"/>
    <col min="9740" max="9740" width="19.42578125" style="1084" customWidth="1"/>
    <col min="9741" max="9741" width="18.5703125" style="1084" customWidth="1"/>
    <col min="9742" max="9742" width="19.7109375" style="1084" customWidth="1"/>
    <col min="9743" max="9743" width="16" style="1084" customWidth="1"/>
    <col min="9744" max="9744" width="20.5703125" style="1084" customWidth="1"/>
    <col min="9745" max="9745" width="16.85546875" style="1084" customWidth="1"/>
    <col min="9746" max="9746" width="23.7109375" style="1084" customWidth="1"/>
    <col min="9747" max="9747" width="27.140625" style="1084" bestFit="1" customWidth="1"/>
    <col min="9748" max="9748" width="25.7109375" style="1084" bestFit="1" customWidth="1"/>
    <col min="9749" max="9749" width="19.42578125" style="1084" bestFit="1" customWidth="1"/>
    <col min="9750" max="9750" width="10.85546875" style="1084"/>
    <col min="9751" max="9751" width="16.42578125" style="1084" bestFit="1" customWidth="1"/>
    <col min="9752" max="9752" width="10.85546875" style="1084"/>
    <col min="9753" max="9753" width="14.42578125" style="1084" bestFit="1" customWidth="1"/>
    <col min="9754" max="9755" width="10.85546875" style="1084"/>
    <col min="9756" max="9756" width="14.28515625" style="1084" bestFit="1" customWidth="1"/>
    <col min="9757" max="9984" width="10.85546875" style="1084"/>
    <col min="9985" max="9985" width="12.28515625" style="1084" customWidth="1"/>
    <col min="9986" max="9986" width="78.7109375" style="1084" customWidth="1"/>
    <col min="9987" max="9987" width="20.28515625" style="1084" customWidth="1"/>
    <col min="9988" max="9988" width="13.42578125" style="1084" customWidth="1"/>
    <col min="9989" max="9989" width="17.140625" style="1084" customWidth="1"/>
    <col min="9990" max="9990" width="22" style="1084" customWidth="1"/>
    <col min="9991" max="9991" width="17.85546875" style="1084" customWidth="1"/>
    <col min="9992" max="9992" width="21.28515625" style="1084" customWidth="1"/>
    <col min="9993" max="9993" width="16.5703125" style="1084" customWidth="1"/>
    <col min="9994" max="9994" width="20.28515625" style="1084" customWidth="1"/>
    <col min="9995" max="9995" width="17.28515625" style="1084" customWidth="1"/>
    <col min="9996" max="9996" width="19.42578125" style="1084" customWidth="1"/>
    <col min="9997" max="9997" width="18.5703125" style="1084" customWidth="1"/>
    <col min="9998" max="9998" width="19.7109375" style="1084" customWidth="1"/>
    <col min="9999" max="9999" width="16" style="1084" customWidth="1"/>
    <col min="10000" max="10000" width="20.5703125" style="1084" customWidth="1"/>
    <col min="10001" max="10001" width="16.85546875" style="1084" customWidth="1"/>
    <col min="10002" max="10002" width="23.7109375" style="1084" customWidth="1"/>
    <col min="10003" max="10003" width="27.140625" style="1084" bestFit="1" customWidth="1"/>
    <col min="10004" max="10004" width="25.7109375" style="1084" bestFit="1" customWidth="1"/>
    <col min="10005" max="10005" width="19.42578125" style="1084" bestFit="1" customWidth="1"/>
    <col min="10006" max="10006" width="10.85546875" style="1084"/>
    <col min="10007" max="10007" width="16.42578125" style="1084" bestFit="1" customWidth="1"/>
    <col min="10008" max="10008" width="10.85546875" style="1084"/>
    <col min="10009" max="10009" width="14.42578125" style="1084" bestFit="1" customWidth="1"/>
    <col min="10010" max="10011" width="10.85546875" style="1084"/>
    <col min="10012" max="10012" width="14.28515625" style="1084" bestFit="1" customWidth="1"/>
    <col min="10013" max="10240" width="10.85546875" style="1084"/>
    <col min="10241" max="10241" width="12.28515625" style="1084" customWidth="1"/>
    <col min="10242" max="10242" width="78.7109375" style="1084" customWidth="1"/>
    <col min="10243" max="10243" width="20.28515625" style="1084" customWidth="1"/>
    <col min="10244" max="10244" width="13.42578125" style="1084" customWidth="1"/>
    <col min="10245" max="10245" width="17.140625" style="1084" customWidth="1"/>
    <col min="10246" max="10246" width="22" style="1084" customWidth="1"/>
    <col min="10247" max="10247" width="17.85546875" style="1084" customWidth="1"/>
    <col min="10248" max="10248" width="21.28515625" style="1084" customWidth="1"/>
    <col min="10249" max="10249" width="16.5703125" style="1084" customWidth="1"/>
    <col min="10250" max="10250" width="20.28515625" style="1084" customWidth="1"/>
    <col min="10251" max="10251" width="17.28515625" style="1084" customWidth="1"/>
    <col min="10252" max="10252" width="19.42578125" style="1084" customWidth="1"/>
    <col min="10253" max="10253" width="18.5703125" style="1084" customWidth="1"/>
    <col min="10254" max="10254" width="19.7109375" style="1084" customWidth="1"/>
    <col min="10255" max="10255" width="16" style="1084" customWidth="1"/>
    <col min="10256" max="10256" width="20.5703125" style="1084" customWidth="1"/>
    <col min="10257" max="10257" width="16.85546875" style="1084" customWidth="1"/>
    <col min="10258" max="10258" width="23.7109375" style="1084" customWidth="1"/>
    <col min="10259" max="10259" width="27.140625" style="1084" bestFit="1" customWidth="1"/>
    <col min="10260" max="10260" width="25.7109375" style="1084" bestFit="1" customWidth="1"/>
    <col min="10261" max="10261" width="19.42578125" style="1084" bestFit="1" customWidth="1"/>
    <col min="10262" max="10262" width="10.85546875" style="1084"/>
    <col min="10263" max="10263" width="16.42578125" style="1084" bestFit="1" customWidth="1"/>
    <col min="10264" max="10264" width="10.85546875" style="1084"/>
    <col min="10265" max="10265" width="14.42578125" style="1084" bestFit="1" customWidth="1"/>
    <col min="10266" max="10267" width="10.85546875" style="1084"/>
    <col min="10268" max="10268" width="14.28515625" style="1084" bestFit="1" customWidth="1"/>
    <col min="10269" max="10496" width="10.85546875" style="1084"/>
    <col min="10497" max="10497" width="12.28515625" style="1084" customWidth="1"/>
    <col min="10498" max="10498" width="78.7109375" style="1084" customWidth="1"/>
    <col min="10499" max="10499" width="20.28515625" style="1084" customWidth="1"/>
    <col min="10500" max="10500" width="13.42578125" style="1084" customWidth="1"/>
    <col min="10501" max="10501" width="17.140625" style="1084" customWidth="1"/>
    <col min="10502" max="10502" width="22" style="1084" customWidth="1"/>
    <col min="10503" max="10503" width="17.85546875" style="1084" customWidth="1"/>
    <col min="10504" max="10504" width="21.28515625" style="1084" customWidth="1"/>
    <col min="10505" max="10505" width="16.5703125" style="1084" customWidth="1"/>
    <col min="10506" max="10506" width="20.28515625" style="1084" customWidth="1"/>
    <col min="10507" max="10507" width="17.28515625" style="1084" customWidth="1"/>
    <col min="10508" max="10508" width="19.42578125" style="1084" customWidth="1"/>
    <col min="10509" max="10509" width="18.5703125" style="1084" customWidth="1"/>
    <col min="10510" max="10510" width="19.7109375" style="1084" customWidth="1"/>
    <col min="10511" max="10511" width="16" style="1084" customWidth="1"/>
    <col min="10512" max="10512" width="20.5703125" style="1084" customWidth="1"/>
    <col min="10513" max="10513" width="16.85546875" style="1084" customWidth="1"/>
    <col min="10514" max="10514" width="23.7109375" style="1084" customWidth="1"/>
    <col min="10515" max="10515" width="27.140625" style="1084" bestFit="1" customWidth="1"/>
    <col min="10516" max="10516" width="25.7109375" style="1084" bestFit="1" customWidth="1"/>
    <col min="10517" max="10517" width="19.42578125" style="1084" bestFit="1" customWidth="1"/>
    <col min="10518" max="10518" width="10.85546875" style="1084"/>
    <col min="10519" max="10519" width="16.42578125" style="1084" bestFit="1" customWidth="1"/>
    <col min="10520" max="10520" width="10.85546875" style="1084"/>
    <col min="10521" max="10521" width="14.42578125" style="1084" bestFit="1" customWidth="1"/>
    <col min="10522" max="10523" width="10.85546875" style="1084"/>
    <col min="10524" max="10524" width="14.28515625" style="1084" bestFit="1" customWidth="1"/>
    <col min="10525" max="10752" width="10.85546875" style="1084"/>
    <col min="10753" max="10753" width="12.28515625" style="1084" customWidth="1"/>
    <col min="10754" max="10754" width="78.7109375" style="1084" customWidth="1"/>
    <col min="10755" max="10755" width="20.28515625" style="1084" customWidth="1"/>
    <col min="10756" max="10756" width="13.42578125" style="1084" customWidth="1"/>
    <col min="10757" max="10757" width="17.140625" style="1084" customWidth="1"/>
    <col min="10758" max="10758" width="22" style="1084" customWidth="1"/>
    <col min="10759" max="10759" width="17.85546875" style="1084" customWidth="1"/>
    <col min="10760" max="10760" width="21.28515625" style="1084" customWidth="1"/>
    <col min="10761" max="10761" width="16.5703125" style="1084" customWidth="1"/>
    <col min="10762" max="10762" width="20.28515625" style="1084" customWidth="1"/>
    <col min="10763" max="10763" width="17.28515625" style="1084" customWidth="1"/>
    <col min="10764" max="10764" width="19.42578125" style="1084" customWidth="1"/>
    <col min="10765" max="10765" width="18.5703125" style="1084" customWidth="1"/>
    <col min="10766" max="10766" width="19.7109375" style="1084" customWidth="1"/>
    <col min="10767" max="10767" width="16" style="1084" customWidth="1"/>
    <col min="10768" max="10768" width="20.5703125" style="1084" customWidth="1"/>
    <col min="10769" max="10769" width="16.85546875" style="1084" customWidth="1"/>
    <col min="10770" max="10770" width="23.7109375" style="1084" customWidth="1"/>
    <col min="10771" max="10771" width="27.140625" style="1084" bestFit="1" customWidth="1"/>
    <col min="10772" max="10772" width="25.7109375" style="1084" bestFit="1" customWidth="1"/>
    <col min="10773" max="10773" width="19.42578125" style="1084" bestFit="1" customWidth="1"/>
    <col min="10774" max="10774" width="10.85546875" style="1084"/>
    <col min="10775" max="10775" width="16.42578125" style="1084" bestFit="1" customWidth="1"/>
    <col min="10776" max="10776" width="10.85546875" style="1084"/>
    <col min="10777" max="10777" width="14.42578125" style="1084" bestFit="1" customWidth="1"/>
    <col min="10778" max="10779" width="10.85546875" style="1084"/>
    <col min="10780" max="10780" width="14.28515625" style="1084" bestFit="1" customWidth="1"/>
    <col min="10781" max="11008" width="10.85546875" style="1084"/>
    <col min="11009" max="11009" width="12.28515625" style="1084" customWidth="1"/>
    <col min="11010" max="11010" width="78.7109375" style="1084" customWidth="1"/>
    <col min="11011" max="11011" width="20.28515625" style="1084" customWidth="1"/>
    <col min="11012" max="11012" width="13.42578125" style="1084" customWidth="1"/>
    <col min="11013" max="11013" width="17.140625" style="1084" customWidth="1"/>
    <col min="11014" max="11014" width="22" style="1084" customWidth="1"/>
    <col min="11015" max="11015" width="17.85546875" style="1084" customWidth="1"/>
    <col min="11016" max="11016" width="21.28515625" style="1084" customWidth="1"/>
    <col min="11017" max="11017" width="16.5703125" style="1084" customWidth="1"/>
    <col min="11018" max="11018" width="20.28515625" style="1084" customWidth="1"/>
    <col min="11019" max="11019" width="17.28515625" style="1084" customWidth="1"/>
    <col min="11020" max="11020" width="19.42578125" style="1084" customWidth="1"/>
    <col min="11021" max="11021" width="18.5703125" style="1084" customWidth="1"/>
    <col min="11022" max="11022" width="19.7109375" style="1084" customWidth="1"/>
    <col min="11023" max="11023" width="16" style="1084" customWidth="1"/>
    <col min="11024" max="11024" width="20.5703125" style="1084" customWidth="1"/>
    <col min="11025" max="11025" width="16.85546875" style="1084" customWidth="1"/>
    <col min="11026" max="11026" width="23.7109375" style="1084" customWidth="1"/>
    <col min="11027" max="11027" width="27.140625" style="1084" bestFit="1" customWidth="1"/>
    <col min="11028" max="11028" width="25.7109375" style="1084" bestFit="1" customWidth="1"/>
    <col min="11029" max="11029" width="19.42578125" style="1084" bestFit="1" customWidth="1"/>
    <col min="11030" max="11030" width="10.85546875" style="1084"/>
    <col min="11031" max="11031" width="16.42578125" style="1084" bestFit="1" customWidth="1"/>
    <col min="11032" max="11032" width="10.85546875" style="1084"/>
    <col min="11033" max="11033" width="14.42578125" style="1084" bestFit="1" customWidth="1"/>
    <col min="11034" max="11035" width="10.85546875" style="1084"/>
    <col min="11036" max="11036" width="14.28515625" style="1084" bestFit="1" customWidth="1"/>
    <col min="11037" max="11264" width="10.85546875" style="1084"/>
    <col min="11265" max="11265" width="12.28515625" style="1084" customWidth="1"/>
    <col min="11266" max="11266" width="78.7109375" style="1084" customWidth="1"/>
    <col min="11267" max="11267" width="20.28515625" style="1084" customWidth="1"/>
    <col min="11268" max="11268" width="13.42578125" style="1084" customWidth="1"/>
    <col min="11269" max="11269" width="17.140625" style="1084" customWidth="1"/>
    <col min="11270" max="11270" width="22" style="1084" customWidth="1"/>
    <col min="11271" max="11271" width="17.85546875" style="1084" customWidth="1"/>
    <col min="11272" max="11272" width="21.28515625" style="1084" customWidth="1"/>
    <col min="11273" max="11273" width="16.5703125" style="1084" customWidth="1"/>
    <col min="11274" max="11274" width="20.28515625" style="1084" customWidth="1"/>
    <col min="11275" max="11275" width="17.28515625" style="1084" customWidth="1"/>
    <col min="11276" max="11276" width="19.42578125" style="1084" customWidth="1"/>
    <col min="11277" max="11277" width="18.5703125" style="1084" customWidth="1"/>
    <col min="11278" max="11278" width="19.7109375" style="1084" customWidth="1"/>
    <col min="11279" max="11279" width="16" style="1084" customWidth="1"/>
    <col min="11280" max="11280" width="20.5703125" style="1084" customWidth="1"/>
    <col min="11281" max="11281" width="16.85546875" style="1084" customWidth="1"/>
    <col min="11282" max="11282" width="23.7109375" style="1084" customWidth="1"/>
    <col min="11283" max="11283" width="27.140625" style="1084" bestFit="1" customWidth="1"/>
    <col min="11284" max="11284" width="25.7109375" style="1084" bestFit="1" customWidth="1"/>
    <col min="11285" max="11285" width="19.42578125" style="1084" bestFit="1" customWidth="1"/>
    <col min="11286" max="11286" width="10.85546875" style="1084"/>
    <col min="11287" max="11287" width="16.42578125" style="1084" bestFit="1" customWidth="1"/>
    <col min="11288" max="11288" width="10.85546875" style="1084"/>
    <col min="11289" max="11289" width="14.42578125" style="1084" bestFit="1" customWidth="1"/>
    <col min="11290" max="11291" width="10.85546875" style="1084"/>
    <col min="11292" max="11292" width="14.28515625" style="1084" bestFit="1" customWidth="1"/>
    <col min="11293" max="11520" width="10.85546875" style="1084"/>
    <col min="11521" max="11521" width="12.28515625" style="1084" customWidth="1"/>
    <col min="11522" max="11522" width="78.7109375" style="1084" customWidth="1"/>
    <col min="11523" max="11523" width="20.28515625" style="1084" customWidth="1"/>
    <col min="11524" max="11524" width="13.42578125" style="1084" customWidth="1"/>
    <col min="11525" max="11525" width="17.140625" style="1084" customWidth="1"/>
    <col min="11526" max="11526" width="22" style="1084" customWidth="1"/>
    <col min="11527" max="11527" width="17.85546875" style="1084" customWidth="1"/>
    <col min="11528" max="11528" width="21.28515625" style="1084" customWidth="1"/>
    <col min="11529" max="11529" width="16.5703125" style="1084" customWidth="1"/>
    <col min="11530" max="11530" width="20.28515625" style="1084" customWidth="1"/>
    <col min="11531" max="11531" width="17.28515625" style="1084" customWidth="1"/>
    <col min="11532" max="11532" width="19.42578125" style="1084" customWidth="1"/>
    <col min="11533" max="11533" width="18.5703125" style="1084" customWidth="1"/>
    <col min="11534" max="11534" width="19.7109375" style="1084" customWidth="1"/>
    <col min="11535" max="11535" width="16" style="1084" customWidth="1"/>
    <col min="11536" max="11536" width="20.5703125" style="1084" customWidth="1"/>
    <col min="11537" max="11537" width="16.85546875" style="1084" customWidth="1"/>
    <col min="11538" max="11538" width="23.7109375" style="1084" customWidth="1"/>
    <col min="11539" max="11539" width="27.140625" style="1084" bestFit="1" customWidth="1"/>
    <col min="11540" max="11540" width="25.7109375" style="1084" bestFit="1" customWidth="1"/>
    <col min="11541" max="11541" width="19.42578125" style="1084" bestFit="1" customWidth="1"/>
    <col min="11542" max="11542" width="10.85546875" style="1084"/>
    <col min="11543" max="11543" width="16.42578125" style="1084" bestFit="1" customWidth="1"/>
    <col min="11544" max="11544" width="10.85546875" style="1084"/>
    <col min="11545" max="11545" width="14.42578125" style="1084" bestFit="1" customWidth="1"/>
    <col min="11546" max="11547" width="10.85546875" style="1084"/>
    <col min="11548" max="11548" width="14.28515625" style="1084" bestFit="1" customWidth="1"/>
    <col min="11549" max="11776" width="10.85546875" style="1084"/>
    <col min="11777" max="11777" width="12.28515625" style="1084" customWidth="1"/>
    <col min="11778" max="11778" width="78.7109375" style="1084" customWidth="1"/>
    <col min="11779" max="11779" width="20.28515625" style="1084" customWidth="1"/>
    <col min="11780" max="11780" width="13.42578125" style="1084" customWidth="1"/>
    <col min="11781" max="11781" width="17.140625" style="1084" customWidth="1"/>
    <col min="11782" max="11782" width="22" style="1084" customWidth="1"/>
    <col min="11783" max="11783" width="17.85546875" style="1084" customWidth="1"/>
    <col min="11784" max="11784" width="21.28515625" style="1084" customWidth="1"/>
    <col min="11785" max="11785" width="16.5703125" style="1084" customWidth="1"/>
    <col min="11786" max="11786" width="20.28515625" style="1084" customWidth="1"/>
    <col min="11787" max="11787" width="17.28515625" style="1084" customWidth="1"/>
    <col min="11788" max="11788" width="19.42578125" style="1084" customWidth="1"/>
    <col min="11789" max="11789" width="18.5703125" style="1084" customWidth="1"/>
    <col min="11790" max="11790" width="19.7109375" style="1084" customWidth="1"/>
    <col min="11791" max="11791" width="16" style="1084" customWidth="1"/>
    <col min="11792" max="11792" width="20.5703125" style="1084" customWidth="1"/>
    <col min="11793" max="11793" width="16.85546875" style="1084" customWidth="1"/>
    <col min="11794" max="11794" width="23.7109375" style="1084" customWidth="1"/>
    <col min="11795" max="11795" width="27.140625" style="1084" bestFit="1" customWidth="1"/>
    <col min="11796" max="11796" width="25.7109375" style="1084" bestFit="1" customWidth="1"/>
    <col min="11797" max="11797" width="19.42578125" style="1084" bestFit="1" customWidth="1"/>
    <col min="11798" max="11798" width="10.85546875" style="1084"/>
    <col min="11799" max="11799" width="16.42578125" style="1084" bestFit="1" customWidth="1"/>
    <col min="11800" max="11800" width="10.85546875" style="1084"/>
    <col min="11801" max="11801" width="14.42578125" style="1084" bestFit="1" customWidth="1"/>
    <col min="11802" max="11803" width="10.85546875" style="1084"/>
    <col min="11804" max="11804" width="14.28515625" style="1084" bestFit="1" customWidth="1"/>
    <col min="11805" max="12032" width="10.85546875" style="1084"/>
    <col min="12033" max="12033" width="12.28515625" style="1084" customWidth="1"/>
    <col min="12034" max="12034" width="78.7109375" style="1084" customWidth="1"/>
    <col min="12035" max="12035" width="20.28515625" style="1084" customWidth="1"/>
    <col min="12036" max="12036" width="13.42578125" style="1084" customWidth="1"/>
    <col min="12037" max="12037" width="17.140625" style="1084" customWidth="1"/>
    <col min="12038" max="12038" width="22" style="1084" customWidth="1"/>
    <col min="12039" max="12039" width="17.85546875" style="1084" customWidth="1"/>
    <col min="12040" max="12040" width="21.28515625" style="1084" customWidth="1"/>
    <col min="12041" max="12041" width="16.5703125" style="1084" customWidth="1"/>
    <col min="12042" max="12042" width="20.28515625" style="1084" customWidth="1"/>
    <col min="12043" max="12043" width="17.28515625" style="1084" customWidth="1"/>
    <col min="12044" max="12044" width="19.42578125" style="1084" customWidth="1"/>
    <col min="12045" max="12045" width="18.5703125" style="1084" customWidth="1"/>
    <col min="12046" max="12046" width="19.7109375" style="1084" customWidth="1"/>
    <col min="12047" max="12047" width="16" style="1084" customWidth="1"/>
    <col min="12048" max="12048" width="20.5703125" style="1084" customWidth="1"/>
    <col min="12049" max="12049" width="16.85546875" style="1084" customWidth="1"/>
    <col min="12050" max="12050" width="23.7109375" style="1084" customWidth="1"/>
    <col min="12051" max="12051" width="27.140625" style="1084" bestFit="1" customWidth="1"/>
    <col min="12052" max="12052" width="25.7109375" style="1084" bestFit="1" customWidth="1"/>
    <col min="12053" max="12053" width="19.42578125" style="1084" bestFit="1" customWidth="1"/>
    <col min="12054" max="12054" width="10.85546875" style="1084"/>
    <col min="12055" max="12055" width="16.42578125" style="1084" bestFit="1" customWidth="1"/>
    <col min="12056" max="12056" width="10.85546875" style="1084"/>
    <col min="12057" max="12057" width="14.42578125" style="1084" bestFit="1" customWidth="1"/>
    <col min="12058" max="12059" width="10.85546875" style="1084"/>
    <col min="12060" max="12060" width="14.28515625" style="1084" bestFit="1" customWidth="1"/>
    <col min="12061" max="12288" width="10.85546875" style="1084"/>
    <col min="12289" max="12289" width="12.28515625" style="1084" customWidth="1"/>
    <col min="12290" max="12290" width="78.7109375" style="1084" customWidth="1"/>
    <col min="12291" max="12291" width="20.28515625" style="1084" customWidth="1"/>
    <col min="12292" max="12292" width="13.42578125" style="1084" customWidth="1"/>
    <col min="12293" max="12293" width="17.140625" style="1084" customWidth="1"/>
    <col min="12294" max="12294" width="22" style="1084" customWidth="1"/>
    <col min="12295" max="12295" width="17.85546875" style="1084" customWidth="1"/>
    <col min="12296" max="12296" width="21.28515625" style="1084" customWidth="1"/>
    <col min="12297" max="12297" width="16.5703125" style="1084" customWidth="1"/>
    <col min="12298" max="12298" width="20.28515625" style="1084" customWidth="1"/>
    <col min="12299" max="12299" width="17.28515625" style="1084" customWidth="1"/>
    <col min="12300" max="12300" width="19.42578125" style="1084" customWidth="1"/>
    <col min="12301" max="12301" width="18.5703125" style="1084" customWidth="1"/>
    <col min="12302" max="12302" width="19.7109375" style="1084" customWidth="1"/>
    <col min="12303" max="12303" width="16" style="1084" customWidth="1"/>
    <col min="12304" max="12304" width="20.5703125" style="1084" customWidth="1"/>
    <col min="12305" max="12305" width="16.85546875" style="1084" customWidth="1"/>
    <col min="12306" max="12306" width="23.7109375" style="1084" customWidth="1"/>
    <col min="12307" max="12307" width="27.140625" style="1084" bestFit="1" customWidth="1"/>
    <col min="12308" max="12308" width="25.7109375" style="1084" bestFit="1" customWidth="1"/>
    <col min="12309" max="12309" width="19.42578125" style="1084" bestFit="1" customWidth="1"/>
    <col min="12310" max="12310" width="10.85546875" style="1084"/>
    <col min="12311" max="12311" width="16.42578125" style="1084" bestFit="1" customWidth="1"/>
    <col min="12312" max="12312" width="10.85546875" style="1084"/>
    <col min="12313" max="12313" width="14.42578125" style="1084" bestFit="1" customWidth="1"/>
    <col min="12314" max="12315" width="10.85546875" style="1084"/>
    <col min="12316" max="12316" width="14.28515625" style="1084" bestFit="1" customWidth="1"/>
    <col min="12317" max="12544" width="10.85546875" style="1084"/>
    <col min="12545" max="12545" width="12.28515625" style="1084" customWidth="1"/>
    <col min="12546" max="12546" width="78.7109375" style="1084" customWidth="1"/>
    <col min="12547" max="12547" width="20.28515625" style="1084" customWidth="1"/>
    <col min="12548" max="12548" width="13.42578125" style="1084" customWidth="1"/>
    <col min="12549" max="12549" width="17.140625" style="1084" customWidth="1"/>
    <col min="12550" max="12550" width="22" style="1084" customWidth="1"/>
    <col min="12551" max="12551" width="17.85546875" style="1084" customWidth="1"/>
    <col min="12552" max="12552" width="21.28515625" style="1084" customWidth="1"/>
    <col min="12553" max="12553" width="16.5703125" style="1084" customWidth="1"/>
    <col min="12554" max="12554" width="20.28515625" style="1084" customWidth="1"/>
    <col min="12555" max="12555" width="17.28515625" style="1084" customWidth="1"/>
    <col min="12556" max="12556" width="19.42578125" style="1084" customWidth="1"/>
    <col min="12557" max="12557" width="18.5703125" style="1084" customWidth="1"/>
    <col min="12558" max="12558" width="19.7109375" style="1084" customWidth="1"/>
    <col min="12559" max="12559" width="16" style="1084" customWidth="1"/>
    <col min="12560" max="12560" width="20.5703125" style="1084" customWidth="1"/>
    <col min="12561" max="12561" width="16.85546875" style="1084" customWidth="1"/>
    <col min="12562" max="12562" width="23.7109375" style="1084" customWidth="1"/>
    <col min="12563" max="12563" width="27.140625" style="1084" bestFit="1" customWidth="1"/>
    <col min="12564" max="12564" width="25.7109375" style="1084" bestFit="1" customWidth="1"/>
    <col min="12565" max="12565" width="19.42578125" style="1084" bestFit="1" customWidth="1"/>
    <col min="12566" max="12566" width="10.85546875" style="1084"/>
    <col min="12567" max="12567" width="16.42578125" style="1084" bestFit="1" customWidth="1"/>
    <col min="12568" max="12568" width="10.85546875" style="1084"/>
    <col min="12569" max="12569" width="14.42578125" style="1084" bestFit="1" customWidth="1"/>
    <col min="12570" max="12571" width="10.85546875" style="1084"/>
    <col min="12572" max="12572" width="14.28515625" style="1084" bestFit="1" customWidth="1"/>
    <col min="12573" max="12800" width="10.85546875" style="1084"/>
    <col min="12801" max="12801" width="12.28515625" style="1084" customWidth="1"/>
    <col min="12802" max="12802" width="78.7109375" style="1084" customWidth="1"/>
    <col min="12803" max="12803" width="20.28515625" style="1084" customWidth="1"/>
    <col min="12804" max="12804" width="13.42578125" style="1084" customWidth="1"/>
    <col min="12805" max="12805" width="17.140625" style="1084" customWidth="1"/>
    <col min="12806" max="12806" width="22" style="1084" customWidth="1"/>
    <col min="12807" max="12807" width="17.85546875" style="1084" customWidth="1"/>
    <col min="12808" max="12808" width="21.28515625" style="1084" customWidth="1"/>
    <col min="12809" max="12809" width="16.5703125" style="1084" customWidth="1"/>
    <col min="12810" max="12810" width="20.28515625" style="1084" customWidth="1"/>
    <col min="12811" max="12811" width="17.28515625" style="1084" customWidth="1"/>
    <col min="12812" max="12812" width="19.42578125" style="1084" customWidth="1"/>
    <col min="12813" max="12813" width="18.5703125" style="1084" customWidth="1"/>
    <col min="12814" max="12814" width="19.7109375" style="1084" customWidth="1"/>
    <col min="12815" max="12815" width="16" style="1084" customWidth="1"/>
    <col min="12816" max="12816" width="20.5703125" style="1084" customWidth="1"/>
    <col min="12817" max="12817" width="16.85546875" style="1084" customWidth="1"/>
    <col min="12818" max="12818" width="23.7109375" style="1084" customWidth="1"/>
    <col min="12819" max="12819" width="27.140625" style="1084" bestFit="1" customWidth="1"/>
    <col min="12820" max="12820" width="25.7109375" style="1084" bestFit="1" customWidth="1"/>
    <col min="12821" max="12821" width="19.42578125" style="1084" bestFit="1" customWidth="1"/>
    <col min="12822" max="12822" width="10.85546875" style="1084"/>
    <col min="12823" max="12823" width="16.42578125" style="1084" bestFit="1" customWidth="1"/>
    <col min="12824" max="12824" width="10.85546875" style="1084"/>
    <col min="12825" max="12825" width="14.42578125" style="1084" bestFit="1" customWidth="1"/>
    <col min="12826" max="12827" width="10.85546875" style="1084"/>
    <col min="12828" max="12828" width="14.28515625" style="1084" bestFit="1" customWidth="1"/>
    <col min="12829" max="13056" width="10.85546875" style="1084"/>
    <col min="13057" max="13057" width="12.28515625" style="1084" customWidth="1"/>
    <col min="13058" max="13058" width="78.7109375" style="1084" customWidth="1"/>
    <col min="13059" max="13059" width="20.28515625" style="1084" customWidth="1"/>
    <col min="13060" max="13060" width="13.42578125" style="1084" customWidth="1"/>
    <col min="13061" max="13061" width="17.140625" style="1084" customWidth="1"/>
    <col min="13062" max="13062" width="22" style="1084" customWidth="1"/>
    <col min="13063" max="13063" width="17.85546875" style="1084" customWidth="1"/>
    <col min="13064" max="13064" width="21.28515625" style="1084" customWidth="1"/>
    <col min="13065" max="13065" width="16.5703125" style="1084" customWidth="1"/>
    <col min="13066" max="13066" width="20.28515625" style="1084" customWidth="1"/>
    <col min="13067" max="13067" width="17.28515625" style="1084" customWidth="1"/>
    <col min="13068" max="13068" width="19.42578125" style="1084" customWidth="1"/>
    <col min="13069" max="13069" width="18.5703125" style="1084" customWidth="1"/>
    <col min="13070" max="13070" width="19.7109375" style="1084" customWidth="1"/>
    <col min="13071" max="13071" width="16" style="1084" customWidth="1"/>
    <col min="13072" max="13072" width="20.5703125" style="1084" customWidth="1"/>
    <col min="13073" max="13073" width="16.85546875" style="1084" customWidth="1"/>
    <col min="13074" max="13074" width="23.7109375" style="1084" customWidth="1"/>
    <col min="13075" max="13075" width="27.140625" style="1084" bestFit="1" customWidth="1"/>
    <col min="13076" max="13076" width="25.7109375" style="1084" bestFit="1" customWidth="1"/>
    <col min="13077" max="13077" width="19.42578125" style="1084" bestFit="1" customWidth="1"/>
    <col min="13078" max="13078" width="10.85546875" style="1084"/>
    <col min="13079" max="13079" width="16.42578125" style="1084" bestFit="1" customWidth="1"/>
    <col min="13080" max="13080" width="10.85546875" style="1084"/>
    <col min="13081" max="13081" width="14.42578125" style="1084" bestFit="1" customWidth="1"/>
    <col min="13082" max="13083" width="10.85546875" style="1084"/>
    <col min="13084" max="13084" width="14.28515625" style="1084" bestFit="1" customWidth="1"/>
    <col min="13085" max="13312" width="10.85546875" style="1084"/>
    <col min="13313" max="13313" width="12.28515625" style="1084" customWidth="1"/>
    <col min="13314" max="13314" width="78.7109375" style="1084" customWidth="1"/>
    <col min="13315" max="13315" width="20.28515625" style="1084" customWidth="1"/>
    <col min="13316" max="13316" width="13.42578125" style="1084" customWidth="1"/>
    <col min="13317" max="13317" width="17.140625" style="1084" customWidth="1"/>
    <col min="13318" max="13318" width="22" style="1084" customWidth="1"/>
    <col min="13319" max="13319" width="17.85546875" style="1084" customWidth="1"/>
    <col min="13320" max="13320" width="21.28515625" style="1084" customWidth="1"/>
    <col min="13321" max="13321" width="16.5703125" style="1084" customWidth="1"/>
    <col min="13322" max="13322" width="20.28515625" style="1084" customWidth="1"/>
    <col min="13323" max="13323" width="17.28515625" style="1084" customWidth="1"/>
    <col min="13324" max="13324" width="19.42578125" style="1084" customWidth="1"/>
    <col min="13325" max="13325" width="18.5703125" style="1084" customWidth="1"/>
    <col min="13326" max="13326" width="19.7109375" style="1084" customWidth="1"/>
    <col min="13327" max="13327" width="16" style="1084" customWidth="1"/>
    <col min="13328" max="13328" width="20.5703125" style="1084" customWidth="1"/>
    <col min="13329" max="13329" width="16.85546875" style="1084" customWidth="1"/>
    <col min="13330" max="13330" width="23.7109375" style="1084" customWidth="1"/>
    <col min="13331" max="13331" width="27.140625" style="1084" bestFit="1" customWidth="1"/>
    <col min="13332" max="13332" width="25.7109375" style="1084" bestFit="1" customWidth="1"/>
    <col min="13333" max="13333" width="19.42578125" style="1084" bestFit="1" customWidth="1"/>
    <col min="13334" max="13334" width="10.85546875" style="1084"/>
    <col min="13335" max="13335" width="16.42578125" style="1084" bestFit="1" customWidth="1"/>
    <col min="13336" max="13336" width="10.85546875" style="1084"/>
    <col min="13337" max="13337" width="14.42578125" style="1084" bestFit="1" customWidth="1"/>
    <col min="13338" max="13339" width="10.85546875" style="1084"/>
    <col min="13340" max="13340" width="14.28515625" style="1084" bestFit="1" customWidth="1"/>
    <col min="13341" max="13568" width="10.85546875" style="1084"/>
    <col min="13569" max="13569" width="12.28515625" style="1084" customWidth="1"/>
    <col min="13570" max="13570" width="78.7109375" style="1084" customWidth="1"/>
    <col min="13571" max="13571" width="20.28515625" style="1084" customWidth="1"/>
    <col min="13572" max="13572" width="13.42578125" style="1084" customWidth="1"/>
    <col min="13573" max="13573" width="17.140625" style="1084" customWidth="1"/>
    <col min="13574" max="13574" width="22" style="1084" customWidth="1"/>
    <col min="13575" max="13575" width="17.85546875" style="1084" customWidth="1"/>
    <col min="13576" max="13576" width="21.28515625" style="1084" customWidth="1"/>
    <col min="13577" max="13577" width="16.5703125" style="1084" customWidth="1"/>
    <col min="13578" max="13578" width="20.28515625" style="1084" customWidth="1"/>
    <col min="13579" max="13579" width="17.28515625" style="1084" customWidth="1"/>
    <col min="13580" max="13580" width="19.42578125" style="1084" customWidth="1"/>
    <col min="13581" max="13581" width="18.5703125" style="1084" customWidth="1"/>
    <col min="13582" max="13582" width="19.7109375" style="1084" customWidth="1"/>
    <col min="13583" max="13583" width="16" style="1084" customWidth="1"/>
    <col min="13584" max="13584" width="20.5703125" style="1084" customWidth="1"/>
    <col min="13585" max="13585" width="16.85546875" style="1084" customWidth="1"/>
    <col min="13586" max="13586" width="23.7109375" style="1084" customWidth="1"/>
    <col min="13587" max="13587" width="27.140625" style="1084" bestFit="1" customWidth="1"/>
    <col min="13588" max="13588" width="25.7109375" style="1084" bestFit="1" customWidth="1"/>
    <col min="13589" max="13589" width="19.42578125" style="1084" bestFit="1" customWidth="1"/>
    <col min="13590" max="13590" width="10.85546875" style="1084"/>
    <col min="13591" max="13591" width="16.42578125" style="1084" bestFit="1" customWidth="1"/>
    <col min="13592" max="13592" width="10.85546875" style="1084"/>
    <col min="13593" max="13593" width="14.42578125" style="1084" bestFit="1" customWidth="1"/>
    <col min="13594" max="13595" width="10.85546875" style="1084"/>
    <col min="13596" max="13596" width="14.28515625" style="1084" bestFit="1" customWidth="1"/>
    <col min="13597" max="13824" width="10.85546875" style="1084"/>
    <col min="13825" max="13825" width="12.28515625" style="1084" customWidth="1"/>
    <col min="13826" max="13826" width="78.7109375" style="1084" customWidth="1"/>
    <col min="13827" max="13827" width="20.28515625" style="1084" customWidth="1"/>
    <col min="13828" max="13828" width="13.42578125" style="1084" customWidth="1"/>
    <col min="13829" max="13829" width="17.140625" style="1084" customWidth="1"/>
    <col min="13830" max="13830" width="22" style="1084" customWidth="1"/>
    <col min="13831" max="13831" width="17.85546875" style="1084" customWidth="1"/>
    <col min="13832" max="13832" width="21.28515625" style="1084" customWidth="1"/>
    <col min="13833" max="13833" width="16.5703125" style="1084" customWidth="1"/>
    <col min="13834" max="13834" width="20.28515625" style="1084" customWidth="1"/>
    <col min="13835" max="13835" width="17.28515625" style="1084" customWidth="1"/>
    <col min="13836" max="13836" width="19.42578125" style="1084" customWidth="1"/>
    <col min="13837" max="13837" width="18.5703125" style="1084" customWidth="1"/>
    <col min="13838" max="13838" width="19.7109375" style="1084" customWidth="1"/>
    <col min="13839" max="13839" width="16" style="1084" customWidth="1"/>
    <col min="13840" max="13840" width="20.5703125" style="1084" customWidth="1"/>
    <col min="13841" max="13841" width="16.85546875" style="1084" customWidth="1"/>
    <col min="13842" max="13842" width="23.7109375" style="1084" customWidth="1"/>
    <col min="13843" max="13843" width="27.140625" style="1084" bestFit="1" customWidth="1"/>
    <col min="13844" max="13844" width="25.7109375" style="1084" bestFit="1" customWidth="1"/>
    <col min="13845" max="13845" width="19.42578125" style="1084" bestFit="1" customWidth="1"/>
    <col min="13846" max="13846" width="10.85546875" style="1084"/>
    <col min="13847" max="13847" width="16.42578125" style="1084" bestFit="1" customWidth="1"/>
    <col min="13848" max="13848" width="10.85546875" style="1084"/>
    <col min="13849" max="13849" width="14.42578125" style="1084" bestFit="1" customWidth="1"/>
    <col min="13850" max="13851" width="10.85546875" style="1084"/>
    <col min="13852" max="13852" width="14.28515625" style="1084" bestFit="1" customWidth="1"/>
    <col min="13853" max="14080" width="10.85546875" style="1084"/>
    <col min="14081" max="14081" width="12.28515625" style="1084" customWidth="1"/>
    <col min="14082" max="14082" width="78.7109375" style="1084" customWidth="1"/>
    <col min="14083" max="14083" width="20.28515625" style="1084" customWidth="1"/>
    <col min="14084" max="14084" width="13.42578125" style="1084" customWidth="1"/>
    <col min="14085" max="14085" width="17.140625" style="1084" customWidth="1"/>
    <col min="14086" max="14086" width="22" style="1084" customWidth="1"/>
    <col min="14087" max="14087" width="17.85546875" style="1084" customWidth="1"/>
    <col min="14088" max="14088" width="21.28515625" style="1084" customWidth="1"/>
    <col min="14089" max="14089" width="16.5703125" style="1084" customWidth="1"/>
    <col min="14090" max="14090" width="20.28515625" style="1084" customWidth="1"/>
    <col min="14091" max="14091" width="17.28515625" style="1084" customWidth="1"/>
    <col min="14092" max="14092" width="19.42578125" style="1084" customWidth="1"/>
    <col min="14093" max="14093" width="18.5703125" style="1084" customWidth="1"/>
    <col min="14094" max="14094" width="19.7109375" style="1084" customWidth="1"/>
    <col min="14095" max="14095" width="16" style="1084" customWidth="1"/>
    <col min="14096" max="14096" width="20.5703125" style="1084" customWidth="1"/>
    <col min="14097" max="14097" width="16.85546875" style="1084" customWidth="1"/>
    <col min="14098" max="14098" width="23.7109375" style="1084" customWidth="1"/>
    <col min="14099" max="14099" width="27.140625" style="1084" bestFit="1" customWidth="1"/>
    <col min="14100" max="14100" width="25.7109375" style="1084" bestFit="1" customWidth="1"/>
    <col min="14101" max="14101" width="19.42578125" style="1084" bestFit="1" customWidth="1"/>
    <col min="14102" max="14102" width="10.85546875" style="1084"/>
    <col min="14103" max="14103" width="16.42578125" style="1084" bestFit="1" customWidth="1"/>
    <col min="14104" max="14104" width="10.85546875" style="1084"/>
    <col min="14105" max="14105" width="14.42578125" style="1084" bestFit="1" customWidth="1"/>
    <col min="14106" max="14107" width="10.85546875" style="1084"/>
    <col min="14108" max="14108" width="14.28515625" style="1084" bestFit="1" customWidth="1"/>
    <col min="14109" max="14336" width="10.85546875" style="1084"/>
    <col min="14337" max="14337" width="12.28515625" style="1084" customWidth="1"/>
    <col min="14338" max="14338" width="78.7109375" style="1084" customWidth="1"/>
    <col min="14339" max="14339" width="20.28515625" style="1084" customWidth="1"/>
    <col min="14340" max="14340" width="13.42578125" style="1084" customWidth="1"/>
    <col min="14341" max="14341" width="17.140625" style="1084" customWidth="1"/>
    <col min="14342" max="14342" width="22" style="1084" customWidth="1"/>
    <col min="14343" max="14343" width="17.85546875" style="1084" customWidth="1"/>
    <col min="14344" max="14344" width="21.28515625" style="1084" customWidth="1"/>
    <col min="14345" max="14345" width="16.5703125" style="1084" customWidth="1"/>
    <col min="14346" max="14346" width="20.28515625" style="1084" customWidth="1"/>
    <col min="14347" max="14347" width="17.28515625" style="1084" customWidth="1"/>
    <col min="14348" max="14348" width="19.42578125" style="1084" customWidth="1"/>
    <col min="14349" max="14349" width="18.5703125" style="1084" customWidth="1"/>
    <col min="14350" max="14350" width="19.7109375" style="1084" customWidth="1"/>
    <col min="14351" max="14351" width="16" style="1084" customWidth="1"/>
    <col min="14352" max="14352" width="20.5703125" style="1084" customWidth="1"/>
    <col min="14353" max="14353" width="16.85546875" style="1084" customWidth="1"/>
    <col min="14354" max="14354" width="23.7109375" style="1084" customWidth="1"/>
    <col min="14355" max="14355" width="27.140625" style="1084" bestFit="1" customWidth="1"/>
    <col min="14356" max="14356" width="25.7109375" style="1084" bestFit="1" customWidth="1"/>
    <col min="14357" max="14357" width="19.42578125" style="1084" bestFit="1" customWidth="1"/>
    <col min="14358" max="14358" width="10.85546875" style="1084"/>
    <col min="14359" max="14359" width="16.42578125" style="1084" bestFit="1" customWidth="1"/>
    <col min="14360" max="14360" width="10.85546875" style="1084"/>
    <col min="14361" max="14361" width="14.42578125" style="1084" bestFit="1" customWidth="1"/>
    <col min="14362" max="14363" width="10.85546875" style="1084"/>
    <col min="14364" max="14364" width="14.28515625" style="1084" bestFit="1" customWidth="1"/>
    <col min="14365" max="14592" width="10.85546875" style="1084"/>
    <col min="14593" max="14593" width="12.28515625" style="1084" customWidth="1"/>
    <col min="14594" max="14594" width="78.7109375" style="1084" customWidth="1"/>
    <col min="14595" max="14595" width="20.28515625" style="1084" customWidth="1"/>
    <col min="14596" max="14596" width="13.42578125" style="1084" customWidth="1"/>
    <col min="14597" max="14597" width="17.140625" style="1084" customWidth="1"/>
    <col min="14598" max="14598" width="22" style="1084" customWidth="1"/>
    <col min="14599" max="14599" width="17.85546875" style="1084" customWidth="1"/>
    <col min="14600" max="14600" width="21.28515625" style="1084" customWidth="1"/>
    <col min="14601" max="14601" width="16.5703125" style="1084" customWidth="1"/>
    <col min="14602" max="14602" width="20.28515625" style="1084" customWidth="1"/>
    <col min="14603" max="14603" width="17.28515625" style="1084" customWidth="1"/>
    <col min="14604" max="14604" width="19.42578125" style="1084" customWidth="1"/>
    <col min="14605" max="14605" width="18.5703125" style="1084" customWidth="1"/>
    <col min="14606" max="14606" width="19.7109375" style="1084" customWidth="1"/>
    <col min="14607" max="14607" width="16" style="1084" customWidth="1"/>
    <col min="14608" max="14608" width="20.5703125" style="1084" customWidth="1"/>
    <col min="14609" max="14609" width="16.85546875" style="1084" customWidth="1"/>
    <col min="14610" max="14610" width="23.7109375" style="1084" customWidth="1"/>
    <col min="14611" max="14611" width="27.140625" style="1084" bestFit="1" customWidth="1"/>
    <col min="14612" max="14612" width="25.7109375" style="1084" bestFit="1" customWidth="1"/>
    <col min="14613" max="14613" width="19.42578125" style="1084" bestFit="1" customWidth="1"/>
    <col min="14614" max="14614" width="10.85546875" style="1084"/>
    <col min="14615" max="14615" width="16.42578125" style="1084" bestFit="1" customWidth="1"/>
    <col min="14616" max="14616" width="10.85546875" style="1084"/>
    <col min="14617" max="14617" width="14.42578125" style="1084" bestFit="1" customWidth="1"/>
    <col min="14618" max="14619" width="10.85546875" style="1084"/>
    <col min="14620" max="14620" width="14.28515625" style="1084" bestFit="1" customWidth="1"/>
    <col min="14621" max="14848" width="10.85546875" style="1084"/>
    <col min="14849" max="14849" width="12.28515625" style="1084" customWidth="1"/>
    <col min="14850" max="14850" width="78.7109375" style="1084" customWidth="1"/>
    <col min="14851" max="14851" width="20.28515625" style="1084" customWidth="1"/>
    <col min="14852" max="14852" width="13.42578125" style="1084" customWidth="1"/>
    <col min="14853" max="14853" width="17.140625" style="1084" customWidth="1"/>
    <col min="14854" max="14854" width="22" style="1084" customWidth="1"/>
    <col min="14855" max="14855" width="17.85546875" style="1084" customWidth="1"/>
    <col min="14856" max="14856" width="21.28515625" style="1084" customWidth="1"/>
    <col min="14857" max="14857" width="16.5703125" style="1084" customWidth="1"/>
    <col min="14858" max="14858" width="20.28515625" style="1084" customWidth="1"/>
    <col min="14859" max="14859" width="17.28515625" style="1084" customWidth="1"/>
    <col min="14860" max="14860" width="19.42578125" style="1084" customWidth="1"/>
    <col min="14861" max="14861" width="18.5703125" style="1084" customWidth="1"/>
    <col min="14862" max="14862" width="19.7109375" style="1084" customWidth="1"/>
    <col min="14863" max="14863" width="16" style="1084" customWidth="1"/>
    <col min="14864" max="14864" width="20.5703125" style="1084" customWidth="1"/>
    <col min="14865" max="14865" width="16.85546875" style="1084" customWidth="1"/>
    <col min="14866" max="14866" width="23.7109375" style="1084" customWidth="1"/>
    <col min="14867" max="14867" width="27.140625" style="1084" bestFit="1" customWidth="1"/>
    <col min="14868" max="14868" width="25.7109375" style="1084" bestFit="1" customWidth="1"/>
    <col min="14869" max="14869" width="19.42578125" style="1084" bestFit="1" customWidth="1"/>
    <col min="14870" max="14870" width="10.85546875" style="1084"/>
    <col min="14871" max="14871" width="16.42578125" style="1084" bestFit="1" customWidth="1"/>
    <col min="14872" max="14872" width="10.85546875" style="1084"/>
    <col min="14873" max="14873" width="14.42578125" style="1084" bestFit="1" customWidth="1"/>
    <col min="14874" max="14875" width="10.85546875" style="1084"/>
    <col min="14876" max="14876" width="14.28515625" style="1084" bestFit="1" customWidth="1"/>
    <col min="14877" max="15104" width="10.85546875" style="1084"/>
    <col min="15105" max="15105" width="12.28515625" style="1084" customWidth="1"/>
    <col min="15106" max="15106" width="78.7109375" style="1084" customWidth="1"/>
    <col min="15107" max="15107" width="20.28515625" style="1084" customWidth="1"/>
    <col min="15108" max="15108" width="13.42578125" style="1084" customWidth="1"/>
    <col min="15109" max="15109" width="17.140625" style="1084" customWidth="1"/>
    <col min="15110" max="15110" width="22" style="1084" customWidth="1"/>
    <col min="15111" max="15111" width="17.85546875" style="1084" customWidth="1"/>
    <col min="15112" max="15112" width="21.28515625" style="1084" customWidth="1"/>
    <col min="15113" max="15113" width="16.5703125" style="1084" customWidth="1"/>
    <col min="15114" max="15114" width="20.28515625" style="1084" customWidth="1"/>
    <col min="15115" max="15115" width="17.28515625" style="1084" customWidth="1"/>
    <col min="15116" max="15116" width="19.42578125" style="1084" customWidth="1"/>
    <col min="15117" max="15117" width="18.5703125" style="1084" customWidth="1"/>
    <col min="15118" max="15118" width="19.7109375" style="1084" customWidth="1"/>
    <col min="15119" max="15119" width="16" style="1084" customWidth="1"/>
    <col min="15120" max="15120" width="20.5703125" style="1084" customWidth="1"/>
    <col min="15121" max="15121" width="16.85546875" style="1084" customWidth="1"/>
    <col min="15122" max="15122" width="23.7109375" style="1084" customWidth="1"/>
    <col min="15123" max="15123" width="27.140625" style="1084" bestFit="1" customWidth="1"/>
    <col min="15124" max="15124" width="25.7109375" style="1084" bestFit="1" customWidth="1"/>
    <col min="15125" max="15125" width="19.42578125" style="1084" bestFit="1" customWidth="1"/>
    <col min="15126" max="15126" width="10.85546875" style="1084"/>
    <col min="15127" max="15127" width="16.42578125" style="1084" bestFit="1" customWidth="1"/>
    <col min="15128" max="15128" width="10.85546875" style="1084"/>
    <col min="15129" max="15129" width="14.42578125" style="1084" bestFit="1" customWidth="1"/>
    <col min="15130" max="15131" width="10.85546875" style="1084"/>
    <col min="15132" max="15132" width="14.28515625" style="1084" bestFit="1" customWidth="1"/>
    <col min="15133" max="15360" width="10.85546875" style="1084"/>
    <col min="15361" max="15361" width="12.28515625" style="1084" customWidth="1"/>
    <col min="15362" max="15362" width="78.7109375" style="1084" customWidth="1"/>
    <col min="15363" max="15363" width="20.28515625" style="1084" customWidth="1"/>
    <col min="15364" max="15364" width="13.42578125" style="1084" customWidth="1"/>
    <col min="15365" max="15365" width="17.140625" style="1084" customWidth="1"/>
    <col min="15366" max="15366" width="22" style="1084" customWidth="1"/>
    <col min="15367" max="15367" width="17.85546875" style="1084" customWidth="1"/>
    <col min="15368" max="15368" width="21.28515625" style="1084" customWidth="1"/>
    <col min="15369" max="15369" width="16.5703125" style="1084" customWidth="1"/>
    <col min="15370" max="15370" width="20.28515625" style="1084" customWidth="1"/>
    <col min="15371" max="15371" width="17.28515625" style="1084" customWidth="1"/>
    <col min="15372" max="15372" width="19.42578125" style="1084" customWidth="1"/>
    <col min="15373" max="15373" width="18.5703125" style="1084" customWidth="1"/>
    <col min="15374" max="15374" width="19.7109375" style="1084" customWidth="1"/>
    <col min="15375" max="15375" width="16" style="1084" customWidth="1"/>
    <col min="15376" max="15376" width="20.5703125" style="1084" customWidth="1"/>
    <col min="15377" max="15377" width="16.85546875" style="1084" customWidth="1"/>
    <col min="15378" max="15378" width="23.7109375" style="1084" customWidth="1"/>
    <col min="15379" max="15379" width="27.140625" style="1084" bestFit="1" customWidth="1"/>
    <col min="15380" max="15380" width="25.7109375" style="1084" bestFit="1" customWidth="1"/>
    <col min="15381" max="15381" width="19.42578125" style="1084" bestFit="1" customWidth="1"/>
    <col min="15382" max="15382" width="10.85546875" style="1084"/>
    <col min="15383" max="15383" width="16.42578125" style="1084" bestFit="1" customWidth="1"/>
    <col min="15384" max="15384" width="10.85546875" style="1084"/>
    <col min="15385" max="15385" width="14.42578125" style="1084" bestFit="1" customWidth="1"/>
    <col min="15386" max="15387" width="10.85546875" style="1084"/>
    <col min="15388" max="15388" width="14.28515625" style="1084" bestFit="1" customWidth="1"/>
    <col min="15389" max="15616" width="10.85546875" style="1084"/>
    <col min="15617" max="15617" width="12.28515625" style="1084" customWidth="1"/>
    <col min="15618" max="15618" width="78.7109375" style="1084" customWidth="1"/>
    <col min="15619" max="15619" width="20.28515625" style="1084" customWidth="1"/>
    <col min="15620" max="15620" width="13.42578125" style="1084" customWidth="1"/>
    <col min="15621" max="15621" width="17.140625" style="1084" customWidth="1"/>
    <col min="15622" max="15622" width="22" style="1084" customWidth="1"/>
    <col min="15623" max="15623" width="17.85546875" style="1084" customWidth="1"/>
    <col min="15624" max="15624" width="21.28515625" style="1084" customWidth="1"/>
    <col min="15625" max="15625" width="16.5703125" style="1084" customWidth="1"/>
    <col min="15626" max="15626" width="20.28515625" style="1084" customWidth="1"/>
    <col min="15627" max="15627" width="17.28515625" style="1084" customWidth="1"/>
    <col min="15628" max="15628" width="19.42578125" style="1084" customWidth="1"/>
    <col min="15629" max="15629" width="18.5703125" style="1084" customWidth="1"/>
    <col min="15630" max="15630" width="19.7109375" style="1084" customWidth="1"/>
    <col min="15631" max="15631" width="16" style="1084" customWidth="1"/>
    <col min="15632" max="15632" width="20.5703125" style="1084" customWidth="1"/>
    <col min="15633" max="15633" width="16.85546875" style="1084" customWidth="1"/>
    <col min="15634" max="15634" width="23.7109375" style="1084" customWidth="1"/>
    <col min="15635" max="15635" width="27.140625" style="1084" bestFit="1" customWidth="1"/>
    <col min="15636" max="15636" width="25.7109375" style="1084" bestFit="1" customWidth="1"/>
    <col min="15637" max="15637" width="19.42578125" style="1084" bestFit="1" customWidth="1"/>
    <col min="15638" max="15638" width="10.85546875" style="1084"/>
    <col min="15639" max="15639" width="16.42578125" style="1084" bestFit="1" customWidth="1"/>
    <col min="15640" max="15640" width="10.85546875" style="1084"/>
    <col min="15641" max="15641" width="14.42578125" style="1084" bestFit="1" customWidth="1"/>
    <col min="15642" max="15643" width="10.85546875" style="1084"/>
    <col min="15644" max="15644" width="14.28515625" style="1084" bestFit="1" customWidth="1"/>
    <col min="15645" max="15872" width="10.85546875" style="1084"/>
    <col min="15873" max="15873" width="12.28515625" style="1084" customWidth="1"/>
    <col min="15874" max="15874" width="78.7109375" style="1084" customWidth="1"/>
    <col min="15875" max="15875" width="20.28515625" style="1084" customWidth="1"/>
    <col min="15876" max="15876" width="13.42578125" style="1084" customWidth="1"/>
    <col min="15877" max="15877" width="17.140625" style="1084" customWidth="1"/>
    <col min="15878" max="15878" width="22" style="1084" customWidth="1"/>
    <col min="15879" max="15879" width="17.85546875" style="1084" customWidth="1"/>
    <col min="15880" max="15880" width="21.28515625" style="1084" customWidth="1"/>
    <col min="15881" max="15881" width="16.5703125" style="1084" customWidth="1"/>
    <col min="15882" max="15882" width="20.28515625" style="1084" customWidth="1"/>
    <col min="15883" max="15883" width="17.28515625" style="1084" customWidth="1"/>
    <col min="15884" max="15884" width="19.42578125" style="1084" customWidth="1"/>
    <col min="15885" max="15885" width="18.5703125" style="1084" customWidth="1"/>
    <col min="15886" max="15886" width="19.7109375" style="1084" customWidth="1"/>
    <col min="15887" max="15887" width="16" style="1084" customWidth="1"/>
    <col min="15888" max="15888" width="20.5703125" style="1084" customWidth="1"/>
    <col min="15889" max="15889" width="16.85546875" style="1084" customWidth="1"/>
    <col min="15890" max="15890" width="23.7109375" style="1084" customWidth="1"/>
    <col min="15891" max="15891" width="27.140625" style="1084" bestFit="1" customWidth="1"/>
    <col min="15892" max="15892" width="25.7109375" style="1084" bestFit="1" customWidth="1"/>
    <col min="15893" max="15893" width="19.42578125" style="1084" bestFit="1" customWidth="1"/>
    <col min="15894" max="15894" width="10.85546875" style="1084"/>
    <col min="15895" max="15895" width="16.42578125" style="1084" bestFit="1" customWidth="1"/>
    <col min="15896" max="15896" width="10.85546875" style="1084"/>
    <col min="15897" max="15897" width="14.42578125" style="1084" bestFit="1" customWidth="1"/>
    <col min="15898" max="15899" width="10.85546875" style="1084"/>
    <col min="15900" max="15900" width="14.28515625" style="1084" bestFit="1" customWidth="1"/>
    <col min="15901" max="16128" width="10.85546875" style="1084"/>
    <col min="16129" max="16129" width="12.28515625" style="1084" customWidth="1"/>
    <col min="16130" max="16130" width="78.7109375" style="1084" customWidth="1"/>
    <col min="16131" max="16131" width="20.28515625" style="1084" customWidth="1"/>
    <col min="16132" max="16132" width="13.42578125" style="1084" customWidth="1"/>
    <col min="16133" max="16133" width="17.140625" style="1084" customWidth="1"/>
    <col min="16134" max="16134" width="22" style="1084" customWidth="1"/>
    <col min="16135" max="16135" width="17.85546875" style="1084" customWidth="1"/>
    <col min="16136" max="16136" width="21.28515625" style="1084" customWidth="1"/>
    <col min="16137" max="16137" width="16.5703125" style="1084" customWidth="1"/>
    <col min="16138" max="16138" width="20.28515625" style="1084" customWidth="1"/>
    <col min="16139" max="16139" width="17.28515625" style="1084" customWidth="1"/>
    <col min="16140" max="16140" width="19.42578125" style="1084" customWidth="1"/>
    <col min="16141" max="16141" width="18.5703125" style="1084" customWidth="1"/>
    <col min="16142" max="16142" width="19.7109375" style="1084" customWidth="1"/>
    <col min="16143" max="16143" width="16" style="1084" customWidth="1"/>
    <col min="16144" max="16144" width="20.5703125" style="1084" customWidth="1"/>
    <col min="16145" max="16145" width="16.85546875" style="1084" customWidth="1"/>
    <col min="16146" max="16146" width="23.7109375" style="1084" customWidth="1"/>
    <col min="16147" max="16147" width="27.140625" style="1084" bestFit="1" customWidth="1"/>
    <col min="16148" max="16148" width="25.7109375" style="1084" bestFit="1" customWidth="1"/>
    <col min="16149" max="16149" width="19.42578125" style="1084" bestFit="1" customWidth="1"/>
    <col min="16150" max="16150" width="10.85546875" style="1084"/>
    <col min="16151" max="16151" width="16.42578125" style="1084" bestFit="1" customWidth="1"/>
    <col min="16152" max="16152" width="10.85546875" style="1084"/>
    <col min="16153" max="16153" width="14.42578125" style="1084" bestFit="1" customWidth="1"/>
    <col min="16154" max="16155" width="10.85546875" style="1084"/>
    <col min="16156" max="16156" width="14.28515625" style="1084" bestFit="1" customWidth="1"/>
    <col min="16157" max="16384" width="10.85546875" style="1084"/>
  </cols>
  <sheetData>
    <row r="1" spans="1:20" ht="52.5" customHeight="1">
      <c r="A1" s="1974" t="str">
        <f>'INS- Detail '!A2:I2</f>
        <v>Name of work: Providing Special Repair works for 5 Nos INS, 8 Nos SI, 24 Nos PC/HC Quarters  at Church Hill Ooty in the Nilgiri District</v>
      </c>
      <c r="B1" s="1975"/>
      <c r="C1" s="1975"/>
      <c r="D1" s="1975"/>
      <c r="E1" s="1975"/>
      <c r="F1" s="1975"/>
      <c r="G1" s="1975"/>
      <c r="H1" s="1975"/>
      <c r="I1" s="1975"/>
      <c r="J1" s="1975"/>
      <c r="K1" s="1975"/>
      <c r="L1" s="1975"/>
      <c r="M1" s="1975"/>
      <c r="N1" s="1975"/>
      <c r="O1" s="1975"/>
      <c r="P1" s="1975"/>
      <c r="Q1" s="1975"/>
      <c r="R1" s="1976"/>
    </row>
    <row r="2" spans="1:20" ht="31.5" customHeight="1">
      <c r="A2" s="1974" t="s">
        <v>5268</v>
      </c>
      <c r="B2" s="1975"/>
      <c r="C2" s="1975"/>
      <c r="D2" s="1975"/>
      <c r="E2" s="1975"/>
      <c r="F2" s="1975"/>
      <c r="G2" s="1975"/>
      <c r="H2" s="1975"/>
      <c r="I2" s="1975"/>
      <c r="J2" s="1975"/>
      <c r="K2" s="1975"/>
      <c r="L2" s="1975"/>
      <c r="M2" s="1975"/>
      <c r="N2" s="1975"/>
      <c r="O2" s="1975"/>
      <c r="P2" s="1975"/>
      <c r="Q2" s="1975"/>
      <c r="R2" s="1976"/>
    </row>
    <row r="3" spans="1:20" s="1085" customFormat="1" ht="66.75" customHeight="1">
      <c r="A3" s="1973" t="s">
        <v>3613</v>
      </c>
      <c r="B3" s="1973" t="s">
        <v>3546</v>
      </c>
      <c r="C3" s="1973" t="s">
        <v>217</v>
      </c>
      <c r="D3" s="1973" t="s">
        <v>10</v>
      </c>
      <c r="E3" s="1973" t="s">
        <v>5269</v>
      </c>
      <c r="F3" s="1973"/>
      <c r="G3" s="1973" t="s">
        <v>5270</v>
      </c>
      <c r="H3" s="1973"/>
      <c r="I3" s="1973" t="s">
        <v>5271</v>
      </c>
      <c r="J3" s="1973"/>
      <c r="K3" s="1973" t="s">
        <v>4555</v>
      </c>
      <c r="L3" s="1973"/>
      <c r="M3" s="1973" t="s">
        <v>3767</v>
      </c>
      <c r="N3" s="1973"/>
      <c r="O3" s="1973" t="s">
        <v>3614</v>
      </c>
      <c r="P3" s="1973"/>
      <c r="Q3" s="1973" t="s">
        <v>3615</v>
      </c>
      <c r="R3" s="1973"/>
      <c r="T3" s="1086"/>
    </row>
    <row r="4" spans="1:20" s="1085" customFormat="1" ht="38.25" customHeight="1">
      <c r="A4" s="1973"/>
      <c r="B4" s="1973"/>
      <c r="C4" s="1973"/>
      <c r="D4" s="1973"/>
      <c r="E4" s="1087" t="s">
        <v>3</v>
      </c>
      <c r="F4" s="1088" t="s">
        <v>218</v>
      </c>
      <c r="G4" s="1087" t="s">
        <v>3</v>
      </c>
      <c r="H4" s="1088" t="s">
        <v>218</v>
      </c>
      <c r="I4" s="1087" t="s">
        <v>3</v>
      </c>
      <c r="J4" s="1088" t="s">
        <v>218</v>
      </c>
      <c r="K4" s="1087" t="s">
        <v>3</v>
      </c>
      <c r="L4" s="1088" t="s">
        <v>218</v>
      </c>
      <c r="M4" s="1087" t="s">
        <v>3</v>
      </c>
      <c r="N4" s="1088" t="s">
        <v>218</v>
      </c>
      <c r="O4" s="1087" t="s">
        <v>3</v>
      </c>
      <c r="P4" s="1088" t="s">
        <v>218</v>
      </c>
      <c r="Q4" s="1088" t="s">
        <v>3</v>
      </c>
      <c r="R4" s="1088" t="s">
        <v>218</v>
      </c>
      <c r="S4" s="1086"/>
      <c r="T4" s="1086"/>
    </row>
    <row r="5" spans="1:20" s="1085" customFormat="1" ht="39.75" customHeight="1">
      <c r="A5" s="1088"/>
      <c r="B5" s="1257"/>
      <c r="C5" s="1088"/>
      <c r="D5" s="1088"/>
      <c r="E5" s="1088"/>
      <c r="F5" s="1088"/>
      <c r="G5" s="1088"/>
      <c r="H5" s="1088"/>
      <c r="I5" s="1089"/>
      <c r="J5" s="1088"/>
      <c r="K5" s="1088"/>
      <c r="L5" s="1088"/>
      <c r="M5" s="1088"/>
      <c r="N5" s="1088"/>
      <c r="O5" s="1087"/>
      <c r="P5" s="1088"/>
      <c r="Q5" s="1088"/>
      <c r="R5" s="1088"/>
      <c r="S5" s="1086"/>
      <c r="T5" s="1086"/>
    </row>
    <row r="6" spans="1:20" ht="50.25" customHeight="1">
      <c r="A6" s="1090">
        <v>1.1000000000000001</v>
      </c>
      <c r="B6" s="933" t="s">
        <v>3768</v>
      </c>
      <c r="C6" s="1091"/>
      <c r="D6" s="940" t="s">
        <v>150</v>
      </c>
      <c r="E6" s="940"/>
      <c r="F6" s="940"/>
      <c r="G6" s="1092"/>
      <c r="H6" s="1092"/>
      <c r="I6" s="1093"/>
      <c r="J6" s="1092"/>
      <c r="K6" s="1092"/>
      <c r="L6" s="1092"/>
      <c r="M6" s="1092"/>
      <c r="N6" s="1092"/>
      <c r="O6" s="1094"/>
      <c r="P6" s="1092"/>
      <c r="Q6" s="1095" t="s">
        <v>249</v>
      </c>
      <c r="R6" s="1095" t="s">
        <v>2400</v>
      </c>
    </row>
    <row r="7" spans="1:20">
      <c r="A7" s="1090"/>
      <c r="B7" s="933" t="s">
        <v>3769</v>
      </c>
      <c r="C7" s="1092">
        <f>+'Data 2022-23'!K88</f>
        <v>314.74333333333334</v>
      </c>
      <c r="D7" s="940" t="s">
        <v>3770</v>
      </c>
      <c r="E7" s="1096">
        <f>'INS- Detail '!H8</f>
        <v>7.2</v>
      </c>
      <c r="F7" s="1097">
        <f>C7*E7</f>
        <v>2266.152</v>
      </c>
      <c r="G7" s="1096"/>
      <c r="H7" s="1097">
        <f>C7*G7</f>
        <v>0</v>
      </c>
      <c r="I7" s="1096"/>
      <c r="J7" s="1097">
        <f>I7*C7</f>
        <v>0</v>
      </c>
      <c r="K7" s="1096">
        <v>6.75</v>
      </c>
      <c r="L7" s="1097">
        <f>K7*C7</f>
        <v>2124.5174999999999</v>
      </c>
      <c r="M7" s="1096"/>
      <c r="N7" s="1096"/>
      <c r="O7" s="1098">
        <f>K7+I7</f>
        <v>6.75</v>
      </c>
      <c r="P7" s="1096">
        <f>O7*C7</f>
        <v>2124.5174999999999</v>
      </c>
      <c r="Q7" s="1098">
        <f>E7+G7+O7</f>
        <v>13.95</v>
      </c>
      <c r="R7" s="1096">
        <f>Q7*C7</f>
        <v>4390.6695</v>
      </c>
      <c r="S7" s="1099"/>
      <c r="T7" s="1099"/>
    </row>
    <row r="8" spans="1:20" s="1108" customFormat="1" ht="46.5">
      <c r="A8" s="1109">
        <v>1.5</v>
      </c>
      <c r="B8" s="933" t="s">
        <v>3768</v>
      </c>
      <c r="C8" s="1111"/>
      <c r="D8" s="1112"/>
      <c r="E8" s="1113"/>
      <c r="F8" s="1097">
        <f t="shared" ref="F8:F71" si="0">C8*E8</f>
        <v>0</v>
      </c>
      <c r="G8" s="1113"/>
      <c r="H8" s="1097">
        <f t="shared" ref="H8:H71" si="1">C8*G8</f>
        <v>0</v>
      </c>
      <c r="I8" s="1113"/>
      <c r="J8" s="1097">
        <f t="shared" ref="J8:J71" si="2">I8*C8</f>
        <v>0</v>
      </c>
      <c r="K8" s="1114"/>
      <c r="L8" s="1097">
        <f t="shared" ref="L8:L71" si="3">K8*C8</f>
        <v>0</v>
      </c>
      <c r="M8" s="1113"/>
      <c r="N8" s="1096"/>
      <c r="O8" s="1098"/>
      <c r="P8" s="1096">
        <f t="shared" ref="P8:P71" si="4">O8*C8</f>
        <v>0</v>
      </c>
      <c r="Q8" s="1098">
        <f t="shared" ref="Q8:Q14" si="5">E8+G8+O8</f>
        <v>0</v>
      </c>
      <c r="R8" s="1096">
        <f t="shared" ref="R8:R71" si="6">Q8*C8</f>
        <v>0</v>
      </c>
      <c r="S8" s="1107"/>
      <c r="T8" s="1104"/>
    </row>
    <row r="9" spans="1:20" s="1108" customFormat="1" ht="45" customHeight="1">
      <c r="A9" s="1109"/>
      <c r="B9" s="933" t="s">
        <v>3769</v>
      </c>
      <c r="C9" s="1092">
        <f>+'Data 2022-23'!K118</f>
        <v>148.75</v>
      </c>
      <c r="D9" s="940" t="s">
        <v>3770</v>
      </c>
      <c r="E9" s="1113">
        <f>'INS- Detail '!H11</f>
        <v>24</v>
      </c>
      <c r="F9" s="1097">
        <f t="shared" si="0"/>
        <v>3570</v>
      </c>
      <c r="G9" s="1113"/>
      <c r="H9" s="1097">
        <f t="shared" si="1"/>
        <v>0</v>
      </c>
      <c r="I9" s="1113"/>
      <c r="J9" s="1097">
        <f t="shared" si="2"/>
        <v>0</v>
      </c>
      <c r="K9" s="1114"/>
      <c r="L9" s="1097">
        <f t="shared" si="3"/>
        <v>0</v>
      </c>
      <c r="M9" s="1113"/>
      <c r="N9" s="1096"/>
      <c r="O9" s="1098"/>
      <c r="P9" s="1096">
        <f t="shared" si="4"/>
        <v>0</v>
      </c>
      <c r="Q9" s="1098">
        <f t="shared" si="5"/>
        <v>24</v>
      </c>
      <c r="R9" s="1096">
        <f t="shared" si="6"/>
        <v>3570</v>
      </c>
      <c r="S9" s="1107"/>
      <c r="T9" s="1104"/>
    </row>
    <row r="10" spans="1:20" s="1108" customFormat="1" ht="51" customHeight="1">
      <c r="A10" s="1090">
        <v>1.6</v>
      </c>
      <c r="B10" s="933" t="s">
        <v>3778</v>
      </c>
      <c r="C10" s="1092"/>
      <c r="D10" s="940"/>
      <c r="E10" s="1103"/>
      <c r="F10" s="1097">
        <f t="shared" si="0"/>
        <v>0</v>
      </c>
      <c r="G10" s="1103"/>
      <c r="H10" s="1097">
        <f t="shared" si="1"/>
        <v>0</v>
      </c>
      <c r="I10" s="1103"/>
      <c r="J10" s="1097">
        <f t="shared" si="2"/>
        <v>0</v>
      </c>
      <c r="K10" s="1096"/>
      <c r="L10" s="1097">
        <f t="shared" si="3"/>
        <v>0</v>
      </c>
      <c r="M10" s="1103"/>
      <c r="N10" s="1096"/>
      <c r="O10" s="1098">
        <f t="shared" ref="O10:O15" si="7">K10+I10</f>
        <v>0</v>
      </c>
      <c r="P10" s="1096">
        <f t="shared" si="4"/>
        <v>0</v>
      </c>
      <c r="Q10" s="1098">
        <f t="shared" si="5"/>
        <v>0</v>
      </c>
      <c r="R10" s="1096">
        <f t="shared" si="6"/>
        <v>0</v>
      </c>
      <c r="S10" s="1107"/>
      <c r="T10" s="1104"/>
    </row>
    <row r="11" spans="1:20" s="1108" customFormat="1">
      <c r="A11" s="1090"/>
      <c r="B11" s="933" t="s">
        <v>3769</v>
      </c>
      <c r="C11" s="1092">
        <f>+'Data 2022-23'!K133</f>
        <v>223.125</v>
      </c>
      <c r="D11" s="940" t="s">
        <v>3770</v>
      </c>
      <c r="E11" s="1103"/>
      <c r="F11" s="1097">
        <f t="shared" si="0"/>
        <v>0</v>
      </c>
      <c r="G11" s="1103"/>
      <c r="H11" s="1097">
        <f t="shared" si="1"/>
        <v>0</v>
      </c>
      <c r="I11" s="1103">
        <f>'INS - Sullage '!H10</f>
        <v>9.6</v>
      </c>
      <c r="J11" s="1097">
        <f t="shared" si="2"/>
        <v>2142</v>
      </c>
      <c r="K11" s="1096"/>
      <c r="L11" s="1097">
        <f t="shared" si="3"/>
        <v>0</v>
      </c>
      <c r="M11" s="1103"/>
      <c r="N11" s="1096"/>
      <c r="O11" s="1098">
        <f t="shared" si="7"/>
        <v>9.6</v>
      </c>
      <c r="P11" s="1096">
        <f t="shared" si="4"/>
        <v>2142</v>
      </c>
      <c r="Q11" s="1098">
        <f t="shared" si="5"/>
        <v>9.6</v>
      </c>
      <c r="R11" s="1096">
        <f t="shared" si="6"/>
        <v>2142</v>
      </c>
      <c r="S11" s="1107"/>
      <c r="T11" s="1104"/>
    </row>
    <row r="12" spans="1:20" s="1127" customFormat="1">
      <c r="A12" s="1090">
        <v>2.1</v>
      </c>
      <c r="B12" s="933" t="s">
        <v>908</v>
      </c>
      <c r="C12" s="1092">
        <f>+'Data 2022-23'!K144</f>
        <v>2310.9299999999998</v>
      </c>
      <c r="D12" s="940" t="s">
        <v>3770</v>
      </c>
      <c r="E12" s="1096"/>
      <c r="F12" s="1097">
        <f t="shared" si="0"/>
        <v>0</v>
      </c>
      <c r="G12" s="1096"/>
      <c r="H12" s="1097">
        <f t="shared" si="1"/>
        <v>0</v>
      </c>
      <c r="I12" s="1096">
        <f>'INS - Sullage '!H14</f>
        <v>2.4</v>
      </c>
      <c r="J12" s="1097">
        <f t="shared" si="2"/>
        <v>5546.2319999999991</v>
      </c>
      <c r="K12" s="1096">
        <f>'INS - PP - Detail '!H34</f>
        <v>2.7581249999999997</v>
      </c>
      <c r="L12" s="1097">
        <f t="shared" si="3"/>
        <v>6373.8338062499988</v>
      </c>
      <c r="M12" s="1096"/>
      <c r="N12" s="1096"/>
      <c r="O12" s="1098">
        <f t="shared" si="7"/>
        <v>5.1581250000000001</v>
      </c>
      <c r="P12" s="1096">
        <f t="shared" si="4"/>
        <v>11920.065806249999</v>
      </c>
      <c r="Q12" s="1098">
        <f>E12+G12+O12</f>
        <v>5.1581250000000001</v>
      </c>
      <c r="R12" s="1096">
        <f t="shared" si="6"/>
        <v>11920.065806249999</v>
      </c>
      <c r="S12" s="1099"/>
      <c r="T12" s="1099"/>
    </row>
    <row r="13" spans="1:20" s="1127" customFormat="1">
      <c r="A13" s="1090">
        <v>3.1</v>
      </c>
      <c r="B13" s="933" t="s">
        <v>3794</v>
      </c>
      <c r="C13" s="1092">
        <f>+'Data 2022-23'!K204</f>
        <v>6456.8970000000008</v>
      </c>
      <c r="D13" s="940" t="s">
        <v>3770</v>
      </c>
      <c r="E13" s="1096">
        <f>'INS- Detail '!H16</f>
        <v>9.15</v>
      </c>
      <c r="F13" s="1097">
        <f t="shared" si="0"/>
        <v>59080.607550000008</v>
      </c>
      <c r="G13" s="1096"/>
      <c r="H13" s="1097">
        <f t="shared" si="1"/>
        <v>0</v>
      </c>
      <c r="I13" s="1096">
        <f>'INS - Sullage '!H18</f>
        <v>2.4</v>
      </c>
      <c r="J13" s="1097">
        <f t="shared" si="2"/>
        <v>15496.552800000001</v>
      </c>
      <c r="K13" s="1096">
        <f>'INS - PP - Detail '!H16</f>
        <v>3.375</v>
      </c>
      <c r="L13" s="1097">
        <f t="shared" si="3"/>
        <v>21792.027375000001</v>
      </c>
      <c r="M13" s="1096"/>
      <c r="N13" s="1096"/>
      <c r="O13" s="1098">
        <f t="shared" si="7"/>
        <v>5.7750000000000004</v>
      </c>
      <c r="P13" s="1096">
        <f t="shared" si="4"/>
        <v>37288.58017500001</v>
      </c>
      <c r="Q13" s="1098">
        <f t="shared" si="5"/>
        <v>14.925000000000001</v>
      </c>
      <c r="R13" s="1096">
        <f t="shared" si="6"/>
        <v>96369.187725000011</v>
      </c>
      <c r="S13" s="1099"/>
      <c r="T13" s="1099"/>
    </row>
    <row r="14" spans="1:20" ht="46.5">
      <c r="A14" s="1090">
        <v>3.2</v>
      </c>
      <c r="B14" s="933" t="s">
        <v>3795</v>
      </c>
      <c r="C14" s="1092">
        <f>+'Data 2022-23'!K219</f>
        <v>8002.7729999999992</v>
      </c>
      <c r="D14" s="940" t="s">
        <v>3770</v>
      </c>
      <c r="E14" s="1096">
        <f>'INS- Detail '!H19</f>
        <v>6.48</v>
      </c>
      <c r="F14" s="1097">
        <f t="shared" si="0"/>
        <v>51857.969039999996</v>
      </c>
      <c r="G14" s="1096"/>
      <c r="H14" s="1097">
        <f t="shared" si="1"/>
        <v>0</v>
      </c>
      <c r="I14" s="1096"/>
      <c r="J14" s="1097">
        <f t="shared" si="2"/>
        <v>0</v>
      </c>
      <c r="K14" s="1096"/>
      <c r="L14" s="1097">
        <f t="shared" si="3"/>
        <v>0</v>
      </c>
      <c r="M14" s="1096"/>
      <c r="N14" s="1096"/>
      <c r="O14" s="1098">
        <f t="shared" si="7"/>
        <v>0</v>
      </c>
      <c r="P14" s="1096">
        <f t="shared" si="4"/>
        <v>0</v>
      </c>
      <c r="Q14" s="1098">
        <f t="shared" si="5"/>
        <v>6.48</v>
      </c>
      <c r="R14" s="1096">
        <f t="shared" si="6"/>
        <v>51857.969039999996</v>
      </c>
      <c r="S14" s="1099"/>
      <c r="T14" s="1099"/>
    </row>
    <row r="15" spans="1:20" s="1108" customFormat="1" ht="46.5">
      <c r="A15" s="1090">
        <v>6.2</v>
      </c>
      <c r="B15" s="1262" t="s">
        <v>5812</v>
      </c>
      <c r="C15" s="1092">
        <f>'Data 2022-23'!AU73</f>
        <v>8664.0401316532934</v>
      </c>
      <c r="D15" s="940" t="s">
        <v>3770</v>
      </c>
      <c r="E15" s="1096">
        <f>'INS- Detail '!H24</f>
        <v>4.7494999999999994</v>
      </c>
      <c r="F15" s="1097">
        <f t="shared" si="0"/>
        <v>41149.858605287314</v>
      </c>
      <c r="G15" s="1096"/>
      <c r="H15" s="1097">
        <f t="shared" si="1"/>
        <v>0</v>
      </c>
      <c r="I15" s="1096">
        <f>'INS - Sullage '!H22</f>
        <v>0.2</v>
      </c>
      <c r="J15" s="1097">
        <f t="shared" si="2"/>
        <v>1732.8080263306588</v>
      </c>
      <c r="K15" s="1096"/>
      <c r="L15" s="1097">
        <f t="shared" si="3"/>
        <v>0</v>
      </c>
      <c r="M15" s="1096"/>
      <c r="N15" s="1096"/>
      <c r="O15" s="1098">
        <f t="shared" si="7"/>
        <v>0.2</v>
      </c>
      <c r="P15" s="1096">
        <f t="shared" si="4"/>
        <v>1732.8080263306588</v>
      </c>
      <c r="Q15" s="1098">
        <f>E15+G15+O15</f>
        <v>4.9494999999999996</v>
      </c>
      <c r="R15" s="1096">
        <f t="shared" si="6"/>
        <v>42882.666631617969</v>
      </c>
      <c r="S15" s="1107"/>
      <c r="T15" s="1099"/>
    </row>
    <row r="16" spans="1:20" s="1108" customFormat="1" ht="46.5">
      <c r="A16" s="1090">
        <v>9.1999999999999993</v>
      </c>
      <c r="B16" s="1262" t="s">
        <v>3833</v>
      </c>
      <c r="C16" s="1092"/>
      <c r="D16" s="940"/>
      <c r="E16" s="1096"/>
      <c r="F16" s="1097">
        <f t="shared" si="0"/>
        <v>0</v>
      </c>
      <c r="G16" s="1096"/>
      <c r="H16" s="1097">
        <f t="shared" si="1"/>
        <v>0</v>
      </c>
      <c r="I16" s="1096"/>
      <c r="J16" s="1097">
        <f t="shared" si="2"/>
        <v>0</v>
      </c>
      <c r="K16" s="1096"/>
      <c r="L16" s="1097">
        <f t="shared" si="3"/>
        <v>0</v>
      </c>
      <c r="M16" s="1096"/>
      <c r="N16" s="1096"/>
      <c r="O16" s="1098">
        <f t="shared" ref="O16:O17" si="8">K16+I16</f>
        <v>0</v>
      </c>
      <c r="P16" s="1096">
        <f t="shared" si="4"/>
        <v>0</v>
      </c>
      <c r="Q16" s="1098">
        <f t="shared" ref="Q16:Q17" si="9">E16+G16+O16</f>
        <v>0</v>
      </c>
      <c r="R16" s="1096">
        <f t="shared" si="6"/>
        <v>0</v>
      </c>
      <c r="S16" s="1107"/>
      <c r="T16" s="1099"/>
    </row>
    <row r="17" spans="1:20" s="1108" customFormat="1">
      <c r="A17" s="1090"/>
      <c r="B17" s="933" t="s">
        <v>3834</v>
      </c>
      <c r="C17" s="1092">
        <f>'Data 2022-23'!AU99</f>
        <v>8696.2719408972753</v>
      </c>
      <c r="D17" s="940" t="s">
        <v>3770</v>
      </c>
      <c r="E17" s="1096"/>
      <c r="F17" s="1097">
        <f t="shared" si="0"/>
        <v>0</v>
      </c>
      <c r="G17" s="1096"/>
      <c r="H17" s="1097">
        <f t="shared" si="1"/>
        <v>0</v>
      </c>
      <c r="I17" s="1096"/>
      <c r="J17" s="1097">
        <f t="shared" si="2"/>
        <v>0</v>
      </c>
      <c r="K17" s="1096">
        <f>'INS - PP - Detail '!H20</f>
        <v>1.0827232142857144</v>
      </c>
      <c r="L17" s="1097">
        <f t="shared" si="3"/>
        <v>9415.655508150965</v>
      </c>
      <c r="M17" s="1096"/>
      <c r="N17" s="1096"/>
      <c r="O17" s="1098">
        <f t="shared" si="8"/>
        <v>1.0827232142857144</v>
      </c>
      <c r="P17" s="1096">
        <f t="shared" si="4"/>
        <v>9415.655508150965</v>
      </c>
      <c r="Q17" s="1098">
        <f t="shared" si="9"/>
        <v>1.0827232142857144</v>
      </c>
      <c r="R17" s="1096">
        <f t="shared" si="6"/>
        <v>9415.655508150965</v>
      </c>
      <c r="S17" s="1107"/>
      <c r="T17" s="1099"/>
    </row>
    <row r="18" spans="1:20" s="1108" customFormat="1" ht="69.75">
      <c r="A18" s="1090">
        <v>10.199999999999999</v>
      </c>
      <c r="B18" s="1262" t="s">
        <v>3847</v>
      </c>
      <c r="C18" s="1092"/>
      <c r="D18" s="940"/>
      <c r="E18" s="1096"/>
      <c r="F18" s="1097">
        <f t="shared" si="0"/>
        <v>0</v>
      </c>
      <c r="G18" s="1096"/>
      <c r="H18" s="1097">
        <f t="shared" si="1"/>
        <v>0</v>
      </c>
      <c r="I18" s="1096"/>
      <c r="J18" s="1097">
        <f t="shared" si="2"/>
        <v>0</v>
      </c>
      <c r="K18" s="1096"/>
      <c r="L18" s="1097">
        <f t="shared" si="3"/>
        <v>0</v>
      </c>
      <c r="M18" s="1096"/>
      <c r="N18" s="1096"/>
      <c r="O18" s="1098">
        <f t="shared" ref="O18:O19" si="10">K18+I18</f>
        <v>0</v>
      </c>
      <c r="P18" s="1096">
        <f t="shared" si="4"/>
        <v>0</v>
      </c>
      <c r="Q18" s="1098">
        <f t="shared" ref="Q18:Q19" si="11">E18+G18+O18</f>
        <v>0</v>
      </c>
      <c r="R18" s="1096">
        <f t="shared" si="6"/>
        <v>0</v>
      </c>
      <c r="S18" s="1107"/>
      <c r="T18" s="1099"/>
    </row>
    <row r="19" spans="1:20" s="1108" customFormat="1">
      <c r="A19" s="1090"/>
      <c r="B19" s="933" t="s">
        <v>3841</v>
      </c>
      <c r="C19" s="1092">
        <f>'Data 2022-23'!AU153</f>
        <v>1097.5849659566052</v>
      </c>
      <c r="D19" s="940" t="s">
        <v>3798</v>
      </c>
      <c r="E19" s="1096"/>
      <c r="F19" s="1097">
        <f t="shared" si="0"/>
        <v>0</v>
      </c>
      <c r="G19" s="1096"/>
      <c r="H19" s="1097">
        <f t="shared" si="1"/>
        <v>0</v>
      </c>
      <c r="I19" s="1096">
        <f>'INS - Sullage '!H29</f>
        <v>24.45</v>
      </c>
      <c r="J19" s="1097">
        <f t="shared" si="2"/>
        <v>26835.952417638997</v>
      </c>
      <c r="K19" s="1096">
        <f>'INS - PP - Detail '!H26</f>
        <v>51.669464285714284</v>
      </c>
      <c r="L19" s="1097">
        <f t="shared" si="3"/>
        <v>56711.62719903174</v>
      </c>
      <c r="M19" s="1096"/>
      <c r="N19" s="1096"/>
      <c r="O19" s="1098">
        <f t="shared" si="10"/>
        <v>76.119464285714287</v>
      </c>
      <c r="P19" s="1096">
        <f t="shared" si="4"/>
        <v>83547.579616670744</v>
      </c>
      <c r="Q19" s="1098">
        <f t="shared" si="11"/>
        <v>76.119464285714287</v>
      </c>
      <c r="R19" s="1096">
        <f t="shared" si="6"/>
        <v>83547.579616670744</v>
      </c>
      <c r="S19" s="1107"/>
      <c r="T19" s="1099"/>
    </row>
    <row r="20" spans="1:20" s="1147" customFormat="1">
      <c r="A20" s="1146">
        <v>13.1</v>
      </c>
      <c r="B20" s="1267" t="s">
        <v>3861</v>
      </c>
      <c r="C20" s="1096">
        <f>+'Data 2022-23'!K482</f>
        <v>51.730000000000004</v>
      </c>
      <c r="D20" s="1097" t="s">
        <v>3770</v>
      </c>
      <c r="E20" s="1096"/>
      <c r="F20" s="1097">
        <f t="shared" si="0"/>
        <v>0</v>
      </c>
      <c r="G20" s="1096"/>
      <c r="H20" s="1097">
        <f t="shared" si="1"/>
        <v>0</v>
      </c>
      <c r="I20" s="1096"/>
      <c r="J20" s="1097">
        <f t="shared" si="2"/>
        <v>0</v>
      </c>
      <c r="K20" s="1096">
        <f>'INS - PP - Detail '!H30</f>
        <v>17.298125000000002</v>
      </c>
      <c r="L20" s="1097">
        <f t="shared" si="3"/>
        <v>894.83200625000018</v>
      </c>
      <c r="M20" s="1096"/>
      <c r="N20" s="1096"/>
      <c r="O20" s="1098">
        <f t="shared" ref="O20" si="12">K20+I20</f>
        <v>17.298125000000002</v>
      </c>
      <c r="P20" s="1096">
        <f t="shared" si="4"/>
        <v>894.83200625000018</v>
      </c>
      <c r="Q20" s="1098">
        <f>E20+G20+O20</f>
        <v>17.298125000000002</v>
      </c>
      <c r="R20" s="1096">
        <f t="shared" si="6"/>
        <v>894.83200625000018</v>
      </c>
      <c r="S20" s="1099"/>
      <c r="T20" s="1099"/>
    </row>
    <row r="21" spans="1:20" s="1108" customFormat="1">
      <c r="A21" s="1090">
        <v>22.2</v>
      </c>
      <c r="B21" s="1262" t="s">
        <v>3893</v>
      </c>
      <c r="C21" s="1106"/>
      <c r="D21" s="943"/>
      <c r="E21" s="1103"/>
      <c r="F21" s="1097">
        <f t="shared" si="0"/>
        <v>0</v>
      </c>
      <c r="G21" s="1103"/>
      <c r="H21" s="1097">
        <f t="shared" si="1"/>
        <v>0</v>
      </c>
      <c r="I21" s="1103"/>
      <c r="J21" s="1097">
        <f t="shared" si="2"/>
        <v>0</v>
      </c>
      <c r="K21" s="1096"/>
      <c r="L21" s="1097">
        <f t="shared" si="3"/>
        <v>0</v>
      </c>
      <c r="M21" s="1103"/>
      <c r="N21" s="1096"/>
      <c r="O21" s="1098">
        <f t="shared" ref="O21:O22" si="13">K21+I21</f>
        <v>0</v>
      </c>
      <c r="P21" s="1096">
        <f t="shared" si="4"/>
        <v>0</v>
      </c>
      <c r="Q21" s="1098">
        <f t="shared" ref="Q21:Q22" si="14">E21+G21+O21</f>
        <v>0</v>
      </c>
      <c r="R21" s="1096">
        <f t="shared" si="6"/>
        <v>0</v>
      </c>
      <c r="S21" s="1107"/>
      <c r="T21" s="1104"/>
    </row>
    <row r="22" spans="1:20" s="1108" customFormat="1">
      <c r="A22" s="940"/>
      <c r="B22" s="933" t="s">
        <v>3894</v>
      </c>
      <c r="C22" s="1096">
        <f>+'Data 2022-23'!K1081</f>
        <v>4068.0220898027696</v>
      </c>
      <c r="D22" s="943" t="s">
        <v>3798</v>
      </c>
      <c r="E22" s="1103">
        <f>'INS- Detail '!H376</f>
        <v>11.2</v>
      </c>
      <c r="F22" s="1097">
        <f t="shared" si="0"/>
        <v>45561.847405791021</v>
      </c>
      <c r="G22" s="1103"/>
      <c r="H22" s="1097">
        <f t="shared" si="1"/>
        <v>0</v>
      </c>
      <c r="I22" s="1103"/>
      <c r="J22" s="1097">
        <f t="shared" si="2"/>
        <v>0</v>
      </c>
      <c r="K22" s="1096"/>
      <c r="L22" s="1097">
        <f t="shared" si="3"/>
        <v>0</v>
      </c>
      <c r="M22" s="1103"/>
      <c r="N22" s="1096"/>
      <c r="O22" s="1098">
        <f t="shared" si="13"/>
        <v>0</v>
      </c>
      <c r="P22" s="1096">
        <f t="shared" si="4"/>
        <v>0</v>
      </c>
      <c r="Q22" s="1098">
        <f t="shared" si="14"/>
        <v>11.2</v>
      </c>
      <c r="R22" s="1096">
        <f t="shared" si="6"/>
        <v>45561.847405791021</v>
      </c>
      <c r="S22" s="1107"/>
      <c r="T22" s="1104"/>
    </row>
    <row r="23" spans="1:20" s="1108" customFormat="1" ht="42.75" customHeight="1">
      <c r="A23" s="1090"/>
      <c r="B23" s="933" t="str">
        <f>'INS- Detail '!B377</f>
        <v xml:space="preserve">Supplying and fixing of TW Swing type ventilater </v>
      </c>
      <c r="C23" s="1096">
        <f>+'Data 2022-23'!K1112</f>
        <v>3196.838999999999</v>
      </c>
      <c r="D23" s="943" t="s">
        <v>3798</v>
      </c>
      <c r="E23" s="1103">
        <f>'INS- Detail '!H379</f>
        <v>2.2000000000000002</v>
      </c>
      <c r="F23" s="1097">
        <f t="shared" si="0"/>
        <v>7033.0457999999981</v>
      </c>
      <c r="G23" s="1103"/>
      <c r="H23" s="1097">
        <f t="shared" si="1"/>
        <v>0</v>
      </c>
      <c r="I23" s="1103"/>
      <c r="J23" s="1097">
        <f t="shared" si="2"/>
        <v>0</v>
      </c>
      <c r="K23" s="1096"/>
      <c r="L23" s="1097">
        <f t="shared" si="3"/>
        <v>0</v>
      </c>
      <c r="M23" s="1103"/>
      <c r="N23" s="1096"/>
      <c r="O23" s="1098">
        <f t="shared" ref="O23:O40" si="15">K23+I23</f>
        <v>0</v>
      </c>
      <c r="P23" s="1096">
        <f t="shared" si="4"/>
        <v>0</v>
      </c>
      <c r="Q23" s="1098">
        <f t="shared" ref="Q23:Q39" si="16">E23+G23+O23</f>
        <v>2.2000000000000002</v>
      </c>
      <c r="R23" s="1096">
        <f t="shared" si="6"/>
        <v>7033.0457999999981</v>
      </c>
      <c r="S23" s="1107"/>
      <c r="T23" s="1104"/>
    </row>
    <row r="24" spans="1:20" s="1108" customFormat="1" ht="67.900000000000006" customHeight="1">
      <c r="A24" s="1090"/>
      <c r="B24" s="1265" t="s">
        <v>5797</v>
      </c>
      <c r="C24" s="1096">
        <v>48.79</v>
      </c>
      <c r="D24" s="940" t="s">
        <v>3798</v>
      </c>
      <c r="E24" s="1103">
        <f>'INS- Detail '!H158</f>
        <v>84.3</v>
      </c>
      <c r="F24" s="1097">
        <f t="shared" si="0"/>
        <v>4112.9969999999994</v>
      </c>
      <c r="G24" s="1103"/>
      <c r="H24" s="1097">
        <f t="shared" si="1"/>
        <v>0</v>
      </c>
      <c r="I24" s="1103"/>
      <c r="J24" s="1097">
        <f t="shared" si="2"/>
        <v>0</v>
      </c>
      <c r="K24" s="1096"/>
      <c r="L24" s="1097">
        <f t="shared" si="3"/>
        <v>0</v>
      </c>
      <c r="M24" s="1103"/>
      <c r="N24" s="1096"/>
      <c r="O24" s="1098">
        <f t="shared" si="15"/>
        <v>0</v>
      </c>
      <c r="P24" s="1096">
        <f t="shared" si="4"/>
        <v>0</v>
      </c>
      <c r="Q24" s="1098">
        <f t="shared" si="16"/>
        <v>84.3</v>
      </c>
      <c r="R24" s="1096">
        <f t="shared" si="6"/>
        <v>4112.9969999999994</v>
      </c>
      <c r="S24" s="1107"/>
      <c r="T24" s="1104"/>
    </row>
    <row r="25" spans="1:20">
      <c r="A25" s="1090">
        <v>28</v>
      </c>
      <c r="B25" s="1262" t="s">
        <v>3924</v>
      </c>
      <c r="C25" s="1092">
        <f>+'Data 2022-23'!K1213</f>
        <v>663.63780000000008</v>
      </c>
      <c r="D25" s="940" t="s">
        <v>3798</v>
      </c>
      <c r="E25" s="1096">
        <f>'INS- Detail '!H173</f>
        <v>87.4</v>
      </c>
      <c r="F25" s="1097">
        <f t="shared" si="0"/>
        <v>58001.94372000001</v>
      </c>
      <c r="G25" s="1096"/>
      <c r="H25" s="1097">
        <f t="shared" si="1"/>
        <v>0</v>
      </c>
      <c r="I25" s="1096">
        <f>'INS - Sullage '!H44</f>
        <v>8.4</v>
      </c>
      <c r="J25" s="1097">
        <f t="shared" si="2"/>
        <v>5574.5575200000012</v>
      </c>
      <c r="K25" s="1096"/>
      <c r="L25" s="1097">
        <f t="shared" si="3"/>
        <v>0</v>
      </c>
      <c r="M25" s="1096"/>
      <c r="N25" s="1096"/>
      <c r="O25" s="1098">
        <f t="shared" si="15"/>
        <v>8.4</v>
      </c>
      <c r="P25" s="1096">
        <f t="shared" si="4"/>
        <v>5574.5575200000012</v>
      </c>
      <c r="Q25" s="1098">
        <f t="shared" si="16"/>
        <v>95.800000000000011</v>
      </c>
      <c r="R25" s="1096">
        <f t="shared" si="6"/>
        <v>63576.501240000012</v>
      </c>
      <c r="S25" s="1099"/>
      <c r="T25" s="1099"/>
    </row>
    <row r="26" spans="1:20" ht="46.5">
      <c r="A26" s="1119"/>
      <c r="B26" s="935" t="s">
        <v>5798</v>
      </c>
      <c r="C26" s="1153">
        <v>30.8</v>
      </c>
      <c r="D26" s="1069" t="s">
        <v>3798</v>
      </c>
      <c r="E26" s="1096">
        <f>'INS- Detail '!H93</f>
        <v>87.25</v>
      </c>
      <c r="F26" s="1097">
        <f t="shared" si="0"/>
        <v>2687.3</v>
      </c>
      <c r="G26" s="1096"/>
      <c r="H26" s="1097">
        <f t="shared" si="1"/>
        <v>0</v>
      </c>
      <c r="I26" s="1096"/>
      <c r="J26" s="1097">
        <f t="shared" si="2"/>
        <v>0</v>
      </c>
      <c r="K26" s="1096"/>
      <c r="L26" s="1097">
        <f t="shared" si="3"/>
        <v>0</v>
      </c>
      <c r="M26" s="1096"/>
      <c r="N26" s="1096"/>
      <c r="O26" s="1098">
        <f t="shared" si="15"/>
        <v>0</v>
      </c>
      <c r="P26" s="1096">
        <f t="shared" si="4"/>
        <v>0</v>
      </c>
      <c r="Q26" s="1098">
        <f>E26+G26+O26</f>
        <v>87.25</v>
      </c>
      <c r="R26" s="1096">
        <f t="shared" si="6"/>
        <v>2687.3</v>
      </c>
      <c r="S26" s="1099"/>
      <c r="T26" s="1099"/>
    </row>
    <row r="27" spans="1:20" s="1108" customFormat="1" ht="46.5" customHeight="1">
      <c r="A27" s="1090">
        <v>32.1</v>
      </c>
      <c r="B27" s="933" t="s">
        <v>3933</v>
      </c>
      <c r="C27" s="1153">
        <f>+'Data 2022-23'!K1365</f>
        <v>1465.4549999999999</v>
      </c>
      <c r="D27" s="1069" t="s">
        <v>3798</v>
      </c>
      <c r="E27" s="1103">
        <f>'INS- Detail '!H102</f>
        <v>87.25</v>
      </c>
      <c r="F27" s="1097">
        <f t="shared" si="0"/>
        <v>127860.94875</v>
      </c>
      <c r="G27" s="1103"/>
      <c r="H27" s="1097">
        <f t="shared" si="1"/>
        <v>0</v>
      </c>
      <c r="I27" s="1103"/>
      <c r="J27" s="1097">
        <f t="shared" si="2"/>
        <v>0</v>
      </c>
      <c r="K27" s="1096"/>
      <c r="L27" s="1097">
        <f t="shared" si="3"/>
        <v>0</v>
      </c>
      <c r="M27" s="1103"/>
      <c r="N27" s="1096"/>
      <c r="O27" s="1098">
        <f t="shared" si="15"/>
        <v>0</v>
      </c>
      <c r="P27" s="1096">
        <f t="shared" si="4"/>
        <v>0</v>
      </c>
      <c r="Q27" s="1098">
        <f t="shared" si="16"/>
        <v>87.25</v>
      </c>
      <c r="R27" s="1096">
        <f t="shared" si="6"/>
        <v>127860.94875</v>
      </c>
      <c r="S27" s="1107"/>
      <c r="T27" s="1104"/>
    </row>
    <row r="28" spans="1:20" s="1108" customFormat="1" ht="75.75" customHeight="1">
      <c r="A28" s="1090"/>
      <c r="B28" s="1930" t="s">
        <v>5799</v>
      </c>
      <c r="C28" s="1153">
        <v>460.6</v>
      </c>
      <c r="D28" s="1069" t="s">
        <v>3798</v>
      </c>
      <c r="E28" s="1103">
        <f>'INS- Detail '!H111</f>
        <v>174.5</v>
      </c>
      <c r="F28" s="1097">
        <f t="shared" si="0"/>
        <v>80374.7</v>
      </c>
      <c r="G28" s="1103"/>
      <c r="H28" s="1097">
        <f t="shared" si="1"/>
        <v>0</v>
      </c>
      <c r="I28" s="1103"/>
      <c r="J28" s="1097">
        <f t="shared" si="2"/>
        <v>0</v>
      </c>
      <c r="K28" s="1096"/>
      <c r="L28" s="1097">
        <f t="shared" si="3"/>
        <v>0</v>
      </c>
      <c r="M28" s="1103"/>
      <c r="N28" s="1096"/>
      <c r="O28" s="1098">
        <f t="shared" si="15"/>
        <v>0</v>
      </c>
      <c r="P28" s="1096">
        <f t="shared" si="4"/>
        <v>0</v>
      </c>
      <c r="Q28" s="1098">
        <f t="shared" si="16"/>
        <v>174.5</v>
      </c>
      <c r="R28" s="1096">
        <f t="shared" si="6"/>
        <v>80374.7</v>
      </c>
      <c r="S28" s="1107"/>
      <c r="T28" s="1104"/>
    </row>
    <row r="29" spans="1:20" s="1108" customFormat="1" ht="115.9" customHeight="1">
      <c r="A29" s="1090"/>
      <c r="B29" s="1931" t="s">
        <v>3424</v>
      </c>
      <c r="C29" s="1153">
        <v>13.58</v>
      </c>
      <c r="D29" s="943" t="s">
        <v>3798</v>
      </c>
      <c r="E29" s="1103">
        <f>'INS- Detail '!H46</f>
        <v>75.349999999999994</v>
      </c>
      <c r="F29" s="1097">
        <f t="shared" si="0"/>
        <v>1023.2529999999999</v>
      </c>
      <c r="G29" s="1103"/>
      <c r="H29" s="1097">
        <f t="shared" si="1"/>
        <v>0</v>
      </c>
      <c r="I29" s="1103"/>
      <c r="J29" s="1097">
        <f t="shared" si="2"/>
        <v>0</v>
      </c>
      <c r="K29" s="1096"/>
      <c r="L29" s="1097">
        <f t="shared" si="3"/>
        <v>0</v>
      </c>
      <c r="M29" s="1103"/>
      <c r="N29" s="1096"/>
      <c r="O29" s="1098">
        <f t="shared" si="15"/>
        <v>0</v>
      </c>
      <c r="P29" s="1096">
        <f t="shared" si="4"/>
        <v>0</v>
      </c>
      <c r="Q29" s="1098">
        <f t="shared" si="16"/>
        <v>75.349999999999994</v>
      </c>
      <c r="R29" s="1096">
        <f t="shared" si="6"/>
        <v>1023.2529999999999</v>
      </c>
      <c r="S29" s="1107"/>
      <c r="T29" s="1104"/>
    </row>
    <row r="30" spans="1:20" ht="45.75" customHeight="1">
      <c r="A30" s="1090">
        <v>33</v>
      </c>
      <c r="B30" s="933" t="s">
        <v>3935</v>
      </c>
      <c r="C30" s="1092">
        <f>+'Data 2022-23'!K1400</f>
        <v>325.90227999999996</v>
      </c>
      <c r="D30" s="940" t="s">
        <v>3798</v>
      </c>
      <c r="E30" s="1096">
        <f>'INS- Detail '!H75</f>
        <v>28.9</v>
      </c>
      <c r="F30" s="1097">
        <f t="shared" si="0"/>
        <v>9418.5758919999989</v>
      </c>
      <c r="G30" s="1096"/>
      <c r="H30" s="1097">
        <f t="shared" si="1"/>
        <v>0</v>
      </c>
      <c r="I30" s="1096">
        <f>'INS - Sullage '!H41</f>
        <v>58.849999999999994</v>
      </c>
      <c r="J30" s="1097">
        <f t="shared" si="2"/>
        <v>19179.349177999997</v>
      </c>
      <c r="K30" s="1096">
        <f>'INS - PP - Detail '!H42</f>
        <v>37.5</v>
      </c>
      <c r="L30" s="1097">
        <f t="shared" si="3"/>
        <v>12221.335499999999</v>
      </c>
      <c r="M30" s="1096"/>
      <c r="N30" s="1096"/>
      <c r="O30" s="1098">
        <f t="shared" si="15"/>
        <v>96.35</v>
      </c>
      <c r="P30" s="1096">
        <f t="shared" si="4"/>
        <v>31400.684677999994</v>
      </c>
      <c r="Q30" s="1098">
        <f t="shared" si="16"/>
        <v>125.25</v>
      </c>
      <c r="R30" s="1096">
        <f t="shared" si="6"/>
        <v>40819.260569999999</v>
      </c>
      <c r="S30" s="1099"/>
      <c r="T30" s="1099"/>
    </row>
    <row r="31" spans="1:20" ht="47.25" customHeight="1">
      <c r="A31" s="1090">
        <v>34</v>
      </c>
      <c r="B31" s="933" t="s">
        <v>3936</v>
      </c>
      <c r="C31" s="1092">
        <f>+'Data 2022-23'!K1414</f>
        <v>331.99059999999997</v>
      </c>
      <c r="D31" s="940" t="s">
        <v>3798</v>
      </c>
      <c r="E31" s="1096">
        <f>'INS- Detail '!H78</f>
        <v>12</v>
      </c>
      <c r="F31" s="1097">
        <f t="shared" si="0"/>
        <v>3983.8871999999997</v>
      </c>
      <c r="G31" s="1096"/>
      <c r="H31" s="1097">
        <f t="shared" si="1"/>
        <v>0</v>
      </c>
      <c r="I31" s="1096">
        <f>'INS - Sullage '!H32</f>
        <v>48</v>
      </c>
      <c r="J31" s="1097">
        <f t="shared" si="2"/>
        <v>15935.548799999999</v>
      </c>
      <c r="K31" s="1096"/>
      <c r="L31" s="1097">
        <f t="shared" si="3"/>
        <v>0</v>
      </c>
      <c r="M31" s="1096"/>
      <c r="N31" s="1096"/>
      <c r="O31" s="1098">
        <f t="shared" si="15"/>
        <v>48</v>
      </c>
      <c r="P31" s="1096">
        <f t="shared" si="4"/>
        <v>15935.548799999999</v>
      </c>
      <c r="Q31" s="1098">
        <f t="shared" si="16"/>
        <v>60</v>
      </c>
      <c r="R31" s="1096">
        <f t="shared" si="6"/>
        <v>19919.435999999998</v>
      </c>
      <c r="S31" s="1099"/>
      <c r="T31" s="1099"/>
    </row>
    <row r="32" spans="1:20" ht="57.75" customHeight="1">
      <c r="A32" s="1090">
        <v>35</v>
      </c>
      <c r="B32" s="933" t="s">
        <v>3937</v>
      </c>
      <c r="C32" s="1092">
        <f>+'Data 2022-23'!K1426</f>
        <v>372.77499999999998</v>
      </c>
      <c r="D32" s="940" t="s">
        <v>3798</v>
      </c>
      <c r="E32" s="1096">
        <f>'INS- Detail '!H68</f>
        <v>75.349999999999994</v>
      </c>
      <c r="F32" s="1097">
        <f t="shared" si="0"/>
        <v>28088.596249999995</v>
      </c>
      <c r="G32" s="1096"/>
      <c r="H32" s="1097">
        <f t="shared" si="1"/>
        <v>0</v>
      </c>
      <c r="I32" s="1096"/>
      <c r="J32" s="1097">
        <f t="shared" si="2"/>
        <v>0</v>
      </c>
      <c r="K32" s="1096"/>
      <c r="L32" s="1097">
        <f t="shared" si="3"/>
        <v>0</v>
      </c>
      <c r="M32" s="1096"/>
      <c r="N32" s="1096"/>
      <c r="O32" s="1098">
        <f t="shared" si="15"/>
        <v>0</v>
      </c>
      <c r="P32" s="1096">
        <f t="shared" si="4"/>
        <v>0</v>
      </c>
      <c r="Q32" s="1098">
        <f t="shared" si="16"/>
        <v>75.349999999999994</v>
      </c>
      <c r="R32" s="1096">
        <f t="shared" si="6"/>
        <v>28088.596249999995</v>
      </c>
      <c r="S32" s="1099"/>
      <c r="T32" s="1099"/>
    </row>
    <row r="33" spans="1:21">
      <c r="A33" s="1090"/>
      <c r="B33" s="1270" t="s">
        <v>4544</v>
      </c>
      <c r="C33" s="1085">
        <f>+'Data 2022-23'!R398</f>
        <v>44.256700000000002</v>
      </c>
      <c r="D33" s="940" t="s">
        <v>3798</v>
      </c>
      <c r="E33" s="1096">
        <f>'INS- Detail '!H217</f>
        <v>288</v>
      </c>
      <c r="F33" s="1097">
        <f t="shared" si="0"/>
        <v>12745.929600000001</v>
      </c>
      <c r="G33" s="1096"/>
      <c r="H33" s="1097">
        <f t="shared" si="1"/>
        <v>0</v>
      </c>
      <c r="I33" s="1096"/>
      <c r="J33" s="1097">
        <f t="shared" si="2"/>
        <v>0</v>
      </c>
      <c r="K33" s="1096"/>
      <c r="L33" s="1097">
        <f t="shared" si="3"/>
        <v>0</v>
      </c>
      <c r="M33" s="1096"/>
      <c r="N33" s="1096"/>
      <c r="O33" s="1098">
        <f t="shared" si="15"/>
        <v>0</v>
      </c>
      <c r="P33" s="1096">
        <f t="shared" si="4"/>
        <v>0</v>
      </c>
      <c r="Q33" s="1098">
        <f t="shared" si="16"/>
        <v>288</v>
      </c>
      <c r="R33" s="1096">
        <f t="shared" si="6"/>
        <v>12745.929600000001</v>
      </c>
      <c r="S33" s="1099"/>
      <c r="T33" s="1099"/>
    </row>
    <row r="34" spans="1:21">
      <c r="A34" s="1090">
        <v>40</v>
      </c>
      <c r="B34" s="933" t="s">
        <v>3944</v>
      </c>
      <c r="C34" s="1092">
        <f>+'Data 2022-23'!K1540</f>
        <v>283.40549999999996</v>
      </c>
      <c r="D34" s="940" t="s">
        <v>3798</v>
      </c>
      <c r="E34" s="1096">
        <f>'INS- Detail '!H389</f>
        <v>17.650000000000006</v>
      </c>
      <c r="F34" s="1097">
        <f t="shared" si="0"/>
        <v>5002.1070750000008</v>
      </c>
      <c r="G34" s="1096"/>
      <c r="H34" s="1097">
        <f t="shared" si="1"/>
        <v>0</v>
      </c>
      <c r="I34" s="1096"/>
      <c r="J34" s="1097">
        <f t="shared" si="2"/>
        <v>0</v>
      </c>
      <c r="K34" s="1096"/>
      <c r="L34" s="1097">
        <f t="shared" si="3"/>
        <v>0</v>
      </c>
      <c r="M34" s="1096"/>
      <c r="N34" s="1096"/>
      <c r="O34" s="1098">
        <f t="shared" si="15"/>
        <v>0</v>
      </c>
      <c r="P34" s="1096">
        <f t="shared" si="4"/>
        <v>0</v>
      </c>
      <c r="Q34" s="1098">
        <f>E34+G34+O34</f>
        <v>17.650000000000006</v>
      </c>
      <c r="R34" s="1096">
        <f t="shared" si="6"/>
        <v>5002.1070750000008</v>
      </c>
      <c r="S34" s="1099"/>
      <c r="T34" s="1099"/>
    </row>
    <row r="35" spans="1:21">
      <c r="A35" s="1119"/>
      <c r="B35" s="935" t="s">
        <v>5290</v>
      </c>
      <c r="C35" s="1153">
        <f>+'Data 2022-23'!K3231</f>
        <v>193.79879999999997</v>
      </c>
      <c r="D35" s="940" t="s">
        <v>3798</v>
      </c>
      <c r="E35" s="1096">
        <f>'INS- Detail '!H323</f>
        <v>203.2</v>
      </c>
      <c r="F35" s="1097">
        <f t="shared" si="0"/>
        <v>39379.916159999993</v>
      </c>
      <c r="G35" s="1096"/>
      <c r="H35" s="1097">
        <f t="shared" si="1"/>
        <v>0</v>
      </c>
      <c r="I35" s="1096"/>
      <c r="J35" s="1097">
        <f t="shared" si="2"/>
        <v>0</v>
      </c>
      <c r="K35" s="1096"/>
      <c r="L35" s="1097">
        <f t="shared" si="3"/>
        <v>0</v>
      </c>
      <c r="M35" s="1096"/>
      <c r="N35" s="1096"/>
      <c r="O35" s="1098">
        <f t="shared" si="15"/>
        <v>0</v>
      </c>
      <c r="P35" s="1096">
        <f t="shared" si="4"/>
        <v>0</v>
      </c>
      <c r="Q35" s="1098">
        <f>E35+G35+O35</f>
        <v>203.2</v>
      </c>
      <c r="R35" s="1096">
        <f t="shared" si="6"/>
        <v>39379.916159999993</v>
      </c>
      <c r="S35" s="1099"/>
      <c r="T35" s="1099"/>
    </row>
    <row r="36" spans="1:21" s="1108" customFormat="1" ht="53.25" customHeight="1">
      <c r="A36" s="1154">
        <v>51</v>
      </c>
      <c r="B36" s="1272" t="s">
        <v>3961</v>
      </c>
      <c r="C36" s="1092">
        <f>+(10.05*700)</f>
        <v>7035.0000000000009</v>
      </c>
      <c r="D36" s="940" t="s">
        <v>340</v>
      </c>
      <c r="E36" s="1113">
        <f>'INS- Detail '!H329</f>
        <v>5</v>
      </c>
      <c r="F36" s="1097">
        <f t="shared" si="0"/>
        <v>35175.000000000007</v>
      </c>
      <c r="G36" s="1113"/>
      <c r="H36" s="1097">
        <f t="shared" si="1"/>
        <v>0</v>
      </c>
      <c r="I36" s="1113"/>
      <c r="J36" s="1097">
        <f t="shared" si="2"/>
        <v>0</v>
      </c>
      <c r="K36" s="1114"/>
      <c r="L36" s="1097">
        <f t="shared" si="3"/>
        <v>0</v>
      </c>
      <c r="M36" s="1113"/>
      <c r="N36" s="1096"/>
      <c r="O36" s="1098">
        <f t="shared" si="15"/>
        <v>0</v>
      </c>
      <c r="P36" s="1096">
        <f t="shared" si="4"/>
        <v>0</v>
      </c>
      <c r="Q36" s="1098">
        <f t="shared" si="16"/>
        <v>5</v>
      </c>
      <c r="R36" s="1096">
        <f t="shared" si="6"/>
        <v>35175.000000000007</v>
      </c>
      <c r="S36" s="1107"/>
      <c r="T36" s="1104"/>
    </row>
    <row r="37" spans="1:21" s="1144" customFormat="1" ht="46.9" customHeight="1">
      <c r="A37" s="1129">
        <v>52</v>
      </c>
      <c r="B37" s="1263" t="s">
        <v>3962</v>
      </c>
      <c r="C37" s="1117"/>
      <c r="D37" s="1118"/>
      <c r="E37" s="1103"/>
      <c r="F37" s="1097">
        <f t="shared" si="0"/>
        <v>0</v>
      </c>
      <c r="G37" s="1103"/>
      <c r="H37" s="1097">
        <f t="shared" si="1"/>
        <v>0</v>
      </c>
      <c r="I37" s="1103"/>
      <c r="J37" s="1097">
        <f t="shared" si="2"/>
        <v>0</v>
      </c>
      <c r="K37" s="1096"/>
      <c r="L37" s="1097">
        <f t="shared" si="3"/>
        <v>0</v>
      </c>
      <c r="M37" s="1103"/>
      <c r="N37" s="1096"/>
      <c r="O37" s="1098">
        <f t="shared" si="15"/>
        <v>0</v>
      </c>
      <c r="P37" s="1096">
        <f t="shared" si="4"/>
        <v>0</v>
      </c>
      <c r="Q37" s="1098">
        <f t="shared" si="16"/>
        <v>0</v>
      </c>
      <c r="R37" s="1096">
        <f t="shared" si="6"/>
        <v>0</v>
      </c>
      <c r="S37" s="1132"/>
      <c r="T37" s="1104"/>
      <c r="U37" s="1133"/>
    </row>
    <row r="38" spans="1:21" s="1144" customFormat="1" ht="46.9" customHeight="1">
      <c r="A38" s="1118"/>
      <c r="B38" s="1265" t="s">
        <v>3963</v>
      </c>
      <c r="C38" s="1117">
        <f>+'Data 2022-23'!K1890</f>
        <v>307.24199999999996</v>
      </c>
      <c r="D38" s="1118" t="s">
        <v>303</v>
      </c>
      <c r="E38" s="1103">
        <f>'INS- Detail '!H179</f>
        <v>30</v>
      </c>
      <c r="F38" s="1097">
        <f t="shared" si="0"/>
        <v>9217.2599999999984</v>
      </c>
      <c r="G38" s="1103"/>
      <c r="H38" s="1097">
        <f t="shared" si="1"/>
        <v>0</v>
      </c>
      <c r="I38" s="1103"/>
      <c r="J38" s="1097">
        <f t="shared" si="2"/>
        <v>0</v>
      </c>
      <c r="K38" s="1096"/>
      <c r="L38" s="1097">
        <f t="shared" si="3"/>
        <v>0</v>
      </c>
      <c r="M38" s="1103"/>
      <c r="N38" s="1096"/>
      <c r="O38" s="1098">
        <f t="shared" si="15"/>
        <v>0</v>
      </c>
      <c r="P38" s="1096">
        <f t="shared" si="4"/>
        <v>0</v>
      </c>
      <c r="Q38" s="1098">
        <f t="shared" si="16"/>
        <v>30</v>
      </c>
      <c r="R38" s="1096">
        <f t="shared" si="6"/>
        <v>9217.2599999999984</v>
      </c>
      <c r="S38" s="1104"/>
      <c r="T38" s="1104"/>
    </row>
    <row r="39" spans="1:21" s="1144" customFormat="1">
      <c r="A39" s="1118"/>
      <c r="B39" s="1265" t="s">
        <v>3964</v>
      </c>
      <c r="C39" s="1117">
        <f>+'Data 2022-23'!K1882</f>
        <v>289.63333333333333</v>
      </c>
      <c r="D39" s="1118" t="s">
        <v>303</v>
      </c>
      <c r="E39" s="1103">
        <f>'INS- Detail '!H176</f>
        <v>90</v>
      </c>
      <c r="F39" s="1097">
        <f t="shared" si="0"/>
        <v>26067</v>
      </c>
      <c r="G39" s="1103"/>
      <c r="H39" s="1097">
        <f t="shared" si="1"/>
        <v>0</v>
      </c>
      <c r="I39" s="1103"/>
      <c r="J39" s="1097">
        <f t="shared" si="2"/>
        <v>0</v>
      </c>
      <c r="K39" s="1096"/>
      <c r="L39" s="1097">
        <f t="shared" si="3"/>
        <v>0</v>
      </c>
      <c r="M39" s="1103"/>
      <c r="N39" s="1096"/>
      <c r="O39" s="1098">
        <f t="shared" si="15"/>
        <v>0</v>
      </c>
      <c r="P39" s="1096">
        <f t="shared" si="4"/>
        <v>0</v>
      </c>
      <c r="Q39" s="1098">
        <f t="shared" si="16"/>
        <v>90</v>
      </c>
      <c r="R39" s="1096">
        <f t="shared" si="6"/>
        <v>26067</v>
      </c>
      <c r="S39" s="1104"/>
      <c r="T39" s="1104"/>
    </row>
    <row r="40" spans="1:21" s="1108" customFormat="1">
      <c r="A40" s="1119">
        <v>53.1</v>
      </c>
      <c r="B40" s="935" t="s">
        <v>3967</v>
      </c>
      <c r="C40" s="1117">
        <f>+'Data 2022-23'!K1948</f>
        <v>3856.62</v>
      </c>
      <c r="D40" s="1118" t="s">
        <v>340</v>
      </c>
      <c r="E40" s="1103">
        <f>'INS- Detail '!H381</f>
        <v>5</v>
      </c>
      <c r="F40" s="1097">
        <f t="shared" si="0"/>
        <v>19283.099999999999</v>
      </c>
      <c r="G40" s="1103"/>
      <c r="H40" s="1097">
        <f t="shared" si="1"/>
        <v>0</v>
      </c>
      <c r="I40" s="1103"/>
      <c r="J40" s="1097">
        <f t="shared" si="2"/>
        <v>0</v>
      </c>
      <c r="K40" s="1096"/>
      <c r="L40" s="1097">
        <f t="shared" si="3"/>
        <v>0</v>
      </c>
      <c r="M40" s="1103"/>
      <c r="N40" s="1096"/>
      <c r="O40" s="1098">
        <f t="shared" si="15"/>
        <v>0</v>
      </c>
      <c r="P40" s="1096">
        <f t="shared" si="4"/>
        <v>0</v>
      </c>
      <c r="Q40" s="1098">
        <f>E40+G40+O40</f>
        <v>5</v>
      </c>
      <c r="R40" s="1096">
        <f t="shared" si="6"/>
        <v>19283.099999999999</v>
      </c>
      <c r="S40" s="1107"/>
      <c r="T40" s="1104"/>
    </row>
    <row r="41" spans="1:21" s="1108" customFormat="1">
      <c r="A41" s="1090">
        <v>54.1</v>
      </c>
      <c r="B41" s="933" t="s">
        <v>3971</v>
      </c>
      <c r="C41" s="1117">
        <f>+'Data 2022-23'!AI3115</f>
        <v>538</v>
      </c>
      <c r="D41" s="1118" t="s">
        <v>340</v>
      </c>
      <c r="E41" s="1103">
        <f>'INS- Detail '!H186</f>
        <v>20</v>
      </c>
      <c r="F41" s="1097">
        <f t="shared" si="0"/>
        <v>10760</v>
      </c>
      <c r="G41" s="1103"/>
      <c r="H41" s="1097">
        <f t="shared" si="1"/>
        <v>0</v>
      </c>
      <c r="I41" s="1103"/>
      <c r="J41" s="1097">
        <f t="shared" si="2"/>
        <v>0</v>
      </c>
      <c r="K41" s="1096"/>
      <c r="L41" s="1097">
        <f t="shared" si="3"/>
        <v>0</v>
      </c>
      <c r="M41" s="1103"/>
      <c r="N41" s="1096"/>
      <c r="O41" s="1098">
        <f t="shared" ref="O41:O43" si="17">K41+I41</f>
        <v>0</v>
      </c>
      <c r="P41" s="1096">
        <f t="shared" si="4"/>
        <v>0</v>
      </c>
      <c r="Q41" s="1098">
        <f t="shared" ref="Q41:Q42" si="18">E41+G41+O41</f>
        <v>20</v>
      </c>
      <c r="R41" s="1096">
        <f t="shared" si="6"/>
        <v>10760</v>
      </c>
      <c r="S41" s="1107"/>
      <c r="T41" s="1104"/>
    </row>
    <row r="42" spans="1:21" s="1108" customFormat="1">
      <c r="A42" s="1090">
        <v>54.2</v>
      </c>
      <c r="B42" s="933" t="s">
        <v>3972</v>
      </c>
      <c r="C42" s="1117">
        <f>+'Data 2022-23'!AJ3115</f>
        <v>490</v>
      </c>
      <c r="D42" s="1118" t="s">
        <v>340</v>
      </c>
      <c r="E42" s="1103">
        <f>'INS- Detail '!H190</f>
        <v>8</v>
      </c>
      <c r="F42" s="1097">
        <f t="shared" si="0"/>
        <v>3920</v>
      </c>
      <c r="G42" s="1103"/>
      <c r="H42" s="1097">
        <f t="shared" si="1"/>
        <v>0</v>
      </c>
      <c r="I42" s="1103"/>
      <c r="J42" s="1097">
        <f t="shared" si="2"/>
        <v>0</v>
      </c>
      <c r="K42" s="1096"/>
      <c r="L42" s="1097">
        <f t="shared" si="3"/>
        <v>0</v>
      </c>
      <c r="M42" s="1103"/>
      <c r="N42" s="1096"/>
      <c r="O42" s="1098">
        <f t="shared" si="17"/>
        <v>0</v>
      </c>
      <c r="P42" s="1096">
        <f t="shared" si="4"/>
        <v>0</v>
      </c>
      <c r="Q42" s="1098">
        <f t="shared" si="18"/>
        <v>8</v>
      </c>
      <c r="R42" s="1096">
        <f t="shared" si="6"/>
        <v>3920</v>
      </c>
      <c r="S42" s="1107"/>
      <c r="T42" s="1104"/>
    </row>
    <row r="43" spans="1:21" s="1105" customFormat="1">
      <c r="A43" s="1129">
        <v>69</v>
      </c>
      <c r="B43" s="1265" t="s">
        <v>4007</v>
      </c>
      <c r="C43" s="1117">
        <f>+Elec.Data!K157</f>
        <v>149.995</v>
      </c>
      <c r="D43" s="1118" t="s">
        <v>340</v>
      </c>
      <c r="F43" s="1097">
        <f t="shared" si="0"/>
        <v>0</v>
      </c>
      <c r="G43" s="1103">
        <f>'INS- Elec '!H44</f>
        <v>25</v>
      </c>
      <c r="H43" s="1097">
        <f t="shared" si="1"/>
        <v>3749.875</v>
      </c>
      <c r="I43" s="1103"/>
      <c r="J43" s="1097">
        <f t="shared" si="2"/>
        <v>0</v>
      </c>
      <c r="K43" s="1096"/>
      <c r="L43" s="1097">
        <f t="shared" si="3"/>
        <v>0</v>
      </c>
      <c r="M43" s="1103"/>
      <c r="N43" s="1096"/>
      <c r="O43" s="1098">
        <f t="shared" si="17"/>
        <v>0</v>
      </c>
      <c r="P43" s="1096">
        <f t="shared" si="4"/>
        <v>0</v>
      </c>
      <c r="Q43" s="1098">
        <f>E43+G43+O43</f>
        <v>25</v>
      </c>
      <c r="R43" s="1096">
        <f t="shared" si="6"/>
        <v>3749.875</v>
      </c>
      <c r="S43" s="1104"/>
      <c r="T43" s="1104"/>
    </row>
    <row r="44" spans="1:21">
      <c r="A44" s="1090"/>
      <c r="B44" s="1257" t="s">
        <v>4039</v>
      </c>
      <c r="C44" s="1092"/>
      <c r="D44" s="940"/>
      <c r="E44" s="1096"/>
      <c r="F44" s="1097">
        <f t="shared" si="0"/>
        <v>0</v>
      </c>
      <c r="G44" s="1096"/>
      <c r="H44" s="1097">
        <f t="shared" si="1"/>
        <v>0</v>
      </c>
      <c r="I44" s="1096"/>
      <c r="J44" s="1097">
        <f t="shared" si="2"/>
        <v>0</v>
      </c>
      <c r="K44" s="1096"/>
      <c r="L44" s="1097">
        <f t="shared" si="3"/>
        <v>0</v>
      </c>
      <c r="M44" s="1096"/>
      <c r="N44" s="1096"/>
      <c r="O44" s="1098">
        <f t="shared" ref="O44" si="19">K44+I44</f>
        <v>0</v>
      </c>
      <c r="P44" s="1096">
        <f t="shared" si="4"/>
        <v>0</v>
      </c>
      <c r="Q44" s="1098">
        <f>E44+G44+O44</f>
        <v>0</v>
      </c>
      <c r="R44" s="1096">
        <f t="shared" si="6"/>
        <v>0</v>
      </c>
      <c r="S44" s="1122"/>
      <c r="T44" s="1099"/>
      <c r="U44" s="1123"/>
    </row>
    <row r="45" spans="1:21" s="1108" customFormat="1" ht="46.5">
      <c r="A45" s="1138"/>
      <c r="B45" s="1931" t="s">
        <v>3563</v>
      </c>
      <c r="C45" s="1932">
        <v>185.36</v>
      </c>
      <c r="D45" s="940" t="s">
        <v>306</v>
      </c>
      <c r="E45" s="1103">
        <f>'INS- Detail '!H141</f>
        <v>7.5</v>
      </c>
      <c r="F45" s="1097">
        <f t="shared" si="0"/>
        <v>1390.2</v>
      </c>
      <c r="G45" s="1103"/>
      <c r="H45" s="1097">
        <f t="shared" si="1"/>
        <v>0</v>
      </c>
      <c r="I45" s="1103"/>
      <c r="J45" s="1097">
        <f t="shared" si="2"/>
        <v>0</v>
      </c>
      <c r="K45" s="1096"/>
      <c r="L45" s="1097">
        <f t="shared" si="3"/>
        <v>0</v>
      </c>
      <c r="M45" s="1103"/>
      <c r="N45" s="1096"/>
      <c r="O45" s="1098">
        <f t="shared" ref="O45:O50" si="20">K45+I45</f>
        <v>0</v>
      </c>
      <c r="P45" s="1096">
        <f t="shared" si="4"/>
        <v>0</v>
      </c>
      <c r="Q45" s="1098">
        <f t="shared" ref="Q45:Q50" si="21">E45+G45+O45</f>
        <v>7.5</v>
      </c>
      <c r="R45" s="1096">
        <f t="shared" si="6"/>
        <v>1390.2</v>
      </c>
      <c r="S45" s="1107"/>
      <c r="T45" s="1104"/>
    </row>
    <row r="46" spans="1:21" ht="58.5" customHeight="1">
      <c r="A46" s="1090" t="s">
        <v>4132</v>
      </c>
      <c r="B46" s="1930" t="s">
        <v>5800</v>
      </c>
      <c r="C46" s="1933">
        <v>3325</v>
      </c>
      <c r="D46" s="940" t="s">
        <v>306</v>
      </c>
      <c r="E46" s="1096">
        <f>'INS- Detail '!H144</f>
        <v>7.5</v>
      </c>
      <c r="F46" s="1097">
        <f t="shared" si="0"/>
        <v>24937.5</v>
      </c>
      <c r="G46" s="1096"/>
      <c r="H46" s="1097">
        <f t="shared" si="1"/>
        <v>0</v>
      </c>
      <c r="I46" s="1096"/>
      <c r="J46" s="1097">
        <f t="shared" si="2"/>
        <v>0</v>
      </c>
      <c r="K46" s="1096"/>
      <c r="L46" s="1097">
        <f t="shared" si="3"/>
        <v>0</v>
      </c>
      <c r="M46" s="1096"/>
      <c r="N46" s="1096"/>
      <c r="O46" s="1098">
        <f t="shared" si="20"/>
        <v>0</v>
      </c>
      <c r="P46" s="1096">
        <f t="shared" si="4"/>
        <v>0</v>
      </c>
      <c r="Q46" s="1098">
        <f t="shared" si="21"/>
        <v>7.5</v>
      </c>
      <c r="R46" s="1096">
        <f t="shared" si="6"/>
        <v>24937.5</v>
      </c>
      <c r="S46" s="1099"/>
      <c r="T46" s="1099"/>
    </row>
    <row r="47" spans="1:21" s="1105" customFormat="1" ht="66.75" customHeight="1">
      <c r="A47" s="1206" t="s">
        <v>4134</v>
      </c>
      <c r="B47" s="1265" t="s">
        <v>4135</v>
      </c>
      <c r="C47" s="1117">
        <f>+'Data 2022-23'!K1185</f>
        <v>906.4</v>
      </c>
      <c r="D47" s="1118" t="s">
        <v>306</v>
      </c>
      <c r="E47" s="1103">
        <f>'INS- Detail '!H84</f>
        <v>9</v>
      </c>
      <c r="F47" s="1097">
        <f t="shared" si="0"/>
        <v>8157.5999999999995</v>
      </c>
      <c r="G47" s="1103"/>
      <c r="H47" s="1097">
        <f t="shared" si="1"/>
        <v>0</v>
      </c>
      <c r="I47" s="1103"/>
      <c r="J47" s="1097">
        <f t="shared" si="2"/>
        <v>0</v>
      </c>
      <c r="K47" s="1096"/>
      <c r="L47" s="1097">
        <f t="shared" si="3"/>
        <v>0</v>
      </c>
      <c r="M47" s="1103"/>
      <c r="N47" s="1096"/>
      <c r="O47" s="1098">
        <f t="shared" si="20"/>
        <v>0</v>
      </c>
      <c r="P47" s="1096">
        <f t="shared" si="4"/>
        <v>0</v>
      </c>
      <c r="Q47" s="1098">
        <f t="shared" si="21"/>
        <v>9</v>
      </c>
      <c r="R47" s="1096">
        <f t="shared" si="6"/>
        <v>8157.5999999999995</v>
      </c>
      <c r="S47" s="1104"/>
      <c r="T47" s="1104"/>
    </row>
    <row r="48" spans="1:21" s="1108" customFormat="1" ht="45.75" customHeight="1">
      <c r="A48" s="940"/>
      <c r="B48" s="1262" t="s">
        <v>4136</v>
      </c>
      <c r="C48" s="1106"/>
      <c r="D48" s="943"/>
      <c r="E48" s="1103"/>
      <c r="F48" s="1097">
        <f t="shared" si="0"/>
        <v>0</v>
      </c>
      <c r="G48" s="1103"/>
      <c r="H48" s="1097">
        <f t="shared" si="1"/>
        <v>0</v>
      </c>
      <c r="I48" s="1103"/>
      <c r="J48" s="1097">
        <f t="shared" si="2"/>
        <v>0</v>
      </c>
      <c r="K48" s="1096"/>
      <c r="L48" s="1097">
        <f t="shared" si="3"/>
        <v>0</v>
      </c>
      <c r="M48" s="1103"/>
      <c r="N48" s="1096"/>
      <c r="O48" s="1098">
        <f t="shared" si="20"/>
        <v>0</v>
      </c>
      <c r="P48" s="1096">
        <f t="shared" si="4"/>
        <v>0</v>
      </c>
      <c r="Q48" s="1098">
        <f t="shared" si="21"/>
        <v>0</v>
      </c>
      <c r="R48" s="1096">
        <f t="shared" si="6"/>
        <v>0</v>
      </c>
      <c r="S48" s="1107"/>
      <c r="T48" s="1104"/>
    </row>
    <row r="49" spans="1:21" s="1108" customFormat="1" ht="39" customHeight="1">
      <c r="A49" s="940"/>
      <c r="B49" s="933" t="s">
        <v>3815</v>
      </c>
      <c r="C49" s="1092">
        <f>+'Data 2022-23'!K628</f>
        <v>662.83819999999992</v>
      </c>
      <c r="D49" s="940" t="s">
        <v>3798</v>
      </c>
      <c r="E49" s="1103">
        <f>'INS- Detail '!H393</f>
        <v>3.15</v>
      </c>
      <c r="F49" s="1097">
        <f t="shared" si="0"/>
        <v>2087.9403299999994</v>
      </c>
      <c r="G49" s="1103"/>
      <c r="H49" s="1097">
        <f t="shared" si="1"/>
        <v>0</v>
      </c>
      <c r="I49" s="1103"/>
      <c r="J49" s="1097">
        <f t="shared" si="2"/>
        <v>0</v>
      </c>
      <c r="K49" s="1096"/>
      <c r="L49" s="1097">
        <f t="shared" si="3"/>
        <v>0</v>
      </c>
      <c r="M49" s="1103"/>
      <c r="N49" s="1096"/>
      <c r="O49" s="1098">
        <f t="shared" si="20"/>
        <v>0</v>
      </c>
      <c r="P49" s="1096">
        <f t="shared" si="4"/>
        <v>0</v>
      </c>
      <c r="Q49" s="1098">
        <f t="shared" si="21"/>
        <v>3.15</v>
      </c>
      <c r="R49" s="1096">
        <f t="shared" si="6"/>
        <v>2087.9403299999994</v>
      </c>
      <c r="S49" s="1107"/>
      <c r="T49" s="1104"/>
    </row>
    <row r="50" spans="1:21" s="1108" customFormat="1">
      <c r="A50" s="940"/>
      <c r="B50" s="933" t="s">
        <v>3816</v>
      </c>
      <c r="C50" s="1092">
        <f>+'Data 2022-23'!K629</f>
        <v>669.10459999999989</v>
      </c>
      <c r="D50" s="940" t="s">
        <v>3798</v>
      </c>
      <c r="E50" s="1103">
        <f>'INS- Detail '!H396</f>
        <v>2.1</v>
      </c>
      <c r="F50" s="1097">
        <f t="shared" si="0"/>
        <v>1405.1196599999998</v>
      </c>
      <c r="G50" s="1103"/>
      <c r="H50" s="1097">
        <f t="shared" si="1"/>
        <v>0</v>
      </c>
      <c r="I50" s="1103"/>
      <c r="J50" s="1097">
        <f t="shared" si="2"/>
        <v>0</v>
      </c>
      <c r="K50" s="1096"/>
      <c r="L50" s="1097">
        <f t="shared" si="3"/>
        <v>0</v>
      </c>
      <c r="M50" s="1103"/>
      <c r="N50" s="1096"/>
      <c r="O50" s="1098">
        <f t="shared" si="20"/>
        <v>0</v>
      </c>
      <c r="P50" s="1096">
        <f t="shared" si="4"/>
        <v>0</v>
      </c>
      <c r="Q50" s="1098">
        <f t="shared" si="21"/>
        <v>2.1</v>
      </c>
      <c r="R50" s="1096">
        <f t="shared" si="6"/>
        <v>1405.1196599999998</v>
      </c>
      <c r="S50" s="1107"/>
      <c r="T50" s="1104"/>
    </row>
    <row r="51" spans="1:21">
      <c r="A51" s="1090">
        <v>29.8</v>
      </c>
      <c r="B51" s="933" t="s">
        <v>4141</v>
      </c>
      <c r="C51" s="1092">
        <f>+'Data 2022-23'!K1278</f>
        <v>1673.4978494623656</v>
      </c>
      <c r="D51" s="940" t="s">
        <v>306</v>
      </c>
      <c r="E51" s="1096">
        <f>'INS- Detail '!H131</f>
        <v>30.45</v>
      </c>
      <c r="F51" s="1097">
        <f t="shared" si="0"/>
        <v>50958.00951612903</v>
      </c>
      <c r="G51" s="1096"/>
      <c r="H51" s="1097">
        <f t="shared" si="1"/>
        <v>0</v>
      </c>
      <c r="I51" s="1096"/>
      <c r="J51" s="1097">
        <f t="shared" si="2"/>
        <v>0</v>
      </c>
      <c r="K51" s="1096"/>
      <c r="L51" s="1097">
        <f t="shared" si="3"/>
        <v>0</v>
      </c>
      <c r="M51" s="1096"/>
      <c r="N51" s="1096"/>
      <c r="O51" s="1098">
        <f t="shared" ref="O51:O64" si="22">K51+I51</f>
        <v>0</v>
      </c>
      <c r="P51" s="1096">
        <f t="shared" si="4"/>
        <v>0</v>
      </c>
      <c r="Q51" s="1098">
        <f>E51+G51+O51</f>
        <v>30.45</v>
      </c>
      <c r="R51" s="1096">
        <f t="shared" si="6"/>
        <v>50958.00951612903</v>
      </c>
      <c r="S51" s="1099"/>
      <c r="T51" s="1099"/>
    </row>
    <row r="52" spans="1:21" ht="46.5">
      <c r="A52" s="1090">
        <v>29.9</v>
      </c>
      <c r="B52" s="933" t="s">
        <v>4143</v>
      </c>
      <c r="C52" s="1092">
        <f>+'Data 2022-23'!K1264</f>
        <v>1456.6807000000001</v>
      </c>
      <c r="D52" s="940" t="s">
        <v>306</v>
      </c>
      <c r="E52" s="1096">
        <f>'INS- Detail '!H120</f>
        <v>12.95</v>
      </c>
      <c r="F52" s="1097">
        <f t="shared" si="0"/>
        <v>18864.015065</v>
      </c>
      <c r="G52" s="1096"/>
      <c r="H52" s="1097">
        <f t="shared" si="1"/>
        <v>0</v>
      </c>
      <c r="I52" s="1096"/>
      <c r="J52" s="1097">
        <f t="shared" si="2"/>
        <v>0</v>
      </c>
      <c r="K52" s="1096"/>
      <c r="L52" s="1097">
        <f t="shared" si="3"/>
        <v>0</v>
      </c>
      <c r="M52" s="1096"/>
      <c r="N52" s="1096"/>
      <c r="O52" s="1098">
        <f t="shared" si="22"/>
        <v>0</v>
      </c>
      <c r="P52" s="1096">
        <f t="shared" si="4"/>
        <v>0</v>
      </c>
      <c r="Q52" s="1098">
        <f>E52+G52+O52</f>
        <v>12.95</v>
      </c>
      <c r="R52" s="1096">
        <f t="shared" si="6"/>
        <v>18864.015065</v>
      </c>
      <c r="S52" s="1099"/>
      <c r="T52" s="1099"/>
    </row>
    <row r="53" spans="1:21" s="1105" customFormat="1" ht="69.75">
      <c r="A53" s="1129">
        <v>43</v>
      </c>
      <c r="B53" s="1265" t="s">
        <v>4147</v>
      </c>
      <c r="C53" s="1117">
        <f>+'Data 2022-23'!K1608</f>
        <v>98792.5</v>
      </c>
      <c r="D53" s="1118" t="s">
        <v>277</v>
      </c>
      <c r="E53" s="1207"/>
      <c r="F53" s="1097">
        <f t="shared" si="0"/>
        <v>0</v>
      </c>
      <c r="G53" s="1207"/>
      <c r="H53" s="1097">
        <f t="shared" si="1"/>
        <v>0</v>
      </c>
      <c r="I53" s="1207"/>
      <c r="J53" s="1097">
        <f t="shared" si="2"/>
        <v>0</v>
      </c>
      <c r="K53" s="1096"/>
      <c r="L53" s="1097">
        <f t="shared" si="3"/>
        <v>0</v>
      </c>
      <c r="M53" s="1207"/>
      <c r="N53" s="1096"/>
      <c r="O53" s="1098">
        <f t="shared" si="22"/>
        <v>0</v>
      </c>
      <c r="P53" s="1096">
        <f t="shared" si="4"/>
        <v>0</v>
      </c>
      <c r="Q53" s="1098">
        <f t="shared" ref="Q53:Q64" si="23">E53+G53+O53</f>
        <v>0</v>
      </c>
      <c r="R53" s="1096">
        <f t="shared" si="6"/>
        <v>0</v>
      </c>
      <c r="S53" s="1104"/>
      <c r="T53" s="1104"/>
    </row>
    <row r="54" spans="1:21" s="1105" customFormat="1" ht="65.25" customHeight="1">
      <c r="A54" s="1129">
        <v>44.6</v>
      </c>
      <c r="B54" s="1265" t="s">
        <v>4148</v>
      </c>
      <c r="C54" s="1117">
        <f>+'Data 2022-23'!K1638</f>
        <v>390.34</v>
      </c>
      <c r="D54" s="1118" t="s">
        <v>303</v>
      </c>
      <c r="E54" s="1103">
        <f>'INS- Detail '!H193</f>
        <v>72</v>
      </c>
      <c r="F54" s="1097">
        <f t="shared" si="0"/>
        <v>28104.48</v>
      </c>
      <c r="G54" s="1103"/>
      <c r="H54" s="1097">
        <f t="shared" si="1"/>
        <v>0</v>
      </c>
      <c r="I54" s="1103"/>
      <c r="J54" s="1097">
        <f t="shared" si="2"/>
        <v>0</v>
      </c>
      <c r="K54" s="1096"/>
      <c r="L54" s="1097">
        <f t="shared" si="3"/>
        <v>0</v>
      </c>
      <c r="M54" s="1103"/>
      <c r="N54" s="1096"/>
      <c r="O54" s="1098">
        <f t="shared" si="22"/>
        <v>0</v>
      </c>
      <c r="P54" s="1096">
        <f t="shared" si="4"/>
        <v>0</v>
      </c>
      <c r="Q54" s="1098">
        <f t="shared" si="23"/>
        <v>72</v>
      </c>
      <c r="R54" s="1096">
        <f t="shared" si="6"/>
        <v>28104.48</v>
      </c>
      <c r="S54" s="1104"/>
      <c r="T54" s="1104"/>
    </row>
    <row r="55" spans="1:21" s="1105" customFormat="1">
      <c r="A55" s="1129">
        <v>50.6</v>
      </c>
      <c r="B55" s="1265" t="s">
        <v>4149</v>
      </c>
      <c r="C55" s="1117">
        <f>+'Data 2022-23'!K2392</f>
        <v>514.23368249999976</v>
      </c>
      <c r="D55" s="1118" t="s">
        <v>306</v>
      </c>
      <c r="E55" s="1103"/>
      <c r="F55" s="1097">
        <f t="shared" si="0"/>
        <v>0</v>
      </c>
      <c r="G55" s="1103"/>
      <c r="H55" s="1097">
        <f t="shared" si="1"/>
        <v>0</v>
      </c>
      <c r="I55" s="1103"/>
      <c r="J55" s="1097">
        <f t="shared" si="2"/>
        <v>0</v>
      </c>
      <c r="K55" s="1096">
        <f>'INS - PP - Detail '!H38</f>
        <v>45</v>
      </c>
      <c r="L55" s="1097">
        <f t="shared" si="3"/>
        <v>23140.51571249999</v>
      </c>
      <c r="M55" s="1103"/>
      <c r="N55" s="1096"/>
      <c r="O55" s="1098">
        <f t="shared" si="22"/>
        <v>45</v>
      </c>
      <c r="P55" s="1096">
        <f t="shared" si="4"/>
        <v>23140.51571249999</v>
      </c>
      <c r="Q55" s="1098">
        <f t="shared" si="23"/>
        <v>45</v>
      </c>
      <c r="R55" s="1096">
        <f t="shared" si="6"/>
        <v>23140.51571249999</v>
      </c>
      <c r="S55" s="1104"/>
      <c r="T55" s="1104"/>
    </row>
    <row r="56" spans="1:21" s="1108" customFormat="1" ht="46.5">
      <c r="A56" s="1090">
        <v>56.3</v>
      </c>
      <c r="B56" s="933" t="s">
        <v>354</v>
      </c>
      <c r="C56" s="1106">
        <f>+'Data 2022-23'!R1978</f>
        <v>4051.933023</v>
      </c>
      <c r="D56" s="943" t="s">
        <v>340</v>
      </c>
      <c r="E56" s="1103">
        <f>'INS- Detail '!H135</f>
        <v>3</v>
      </c>
      <c r="F56" s="1097">
        <f t="shared" si="0"/>
        <v>12155.799069000001</v>
      </c>
      <c r="G56" s="1103"/>
      <c r="H56" s="1097">
        <f t="shared" si="1"/>
        <v>0</v>
      </c>
      <c r="I56" s="1103"/>
      <c r="J56" s="1097">
        <f t="shared" si="2"/>
        <v>0</v>
      </c>
      <c r="K56" s="1096"/>
      <c r="L56" s="1097">
        <f t="shared" si="3"/>
        <v>0</v>
      </c>
      <c r="M56" s="1103"/>
      <c r="N56" s="1096"/>
      <c r="O56" s="1098">
        <f t="shared" si="22"/>
        <v>0</v>
      </c>
      <c r="P56" s="1096">
        <f t="shared" si="4"/>
        <v>0</v>
      </c>
      <c r="Q56" s="1098">
        <f t="shared" si="23"/>
        <v>3</v>
      </c>
      <c r="R56" s="1096">
        <f t="shared" si="6"/>
        <v>12155.799069000001</v>
      </c>
      <c r="S56" s="1107"/>
      <c r="T56" s="1104"/>
    </row>
    <row r="57" spans="1:21" s="1108" customFormat="1" ht="66" customHeight="1">
      <c r="A57" s="1109">
        <v>56.4</v>
      </c>
      <c r="B57" s="1259" t="s">
        <v>355</v>
      </c>
      <c r="C57" s="1111">
        <f>+'Data 2022-23'!R1999</f>
        <v>6609.6227230000013</v>
      </c>
      <c r="D57" s="1112" t="s">
        <v>340</v>
      </c>
      <c r="E57" s="1113">
        <f>'INS- Detail '!H138</f>
        <v>2</v>
      </c>
      <c r="F57" s="1097">
        <f t="shared" si="0"/>
        <v>13219.245446000003</v>
      </c>
      <c r="G57" s="1113"/>
      <c r="H57" s="1097">
        <f t="shared" si="1"/>
        <v>0</v>
      </c>
      <c r="I57" s="1113"/>
      <c r="J57" s="1097">
        <f t="shared" si="2"/>
        <v>0</v>
      </c>
      <c r="K57" s="1114"/>
      <c r="L57" s="1097">
        <f t="shared" si="3"/>
        <v>0</v>
      </c>
      <c r="M57" s="1113"/>
      <c r="N57" s="1096"/>
      <c r="O57" s="1098">
        <f t="shared" si="22"/>
        <v>0</v>
      </c>
      <c r="P57" s="1096">
        <f t="shared" si="4"/>
        <v>0</v>
      </c>
      <c r="Q57" s="1098">
        <f t="shared" si="23"/>
        <v>2</v>
      </c>
      <c r="R57" s="1096">
        <f t="shared" si="6"/>
        <v>13219.245446000003</v>
      </c>
      <c r="S57" s="1107"/>
      <c r="T57" s="1104"/>
    </row>
    <row r="58" spans="1:21" ht="48" customHeight="1">
      <c r="A58" s="1090">
        <v>58.3</v>
      </c>
      <c r="B58" s="1262" t="s">
        <v>4154</v>
      </c>
      <c r="C58" s="1092"/>
      <c r="D58" s="1208"/>
      <c r="E58" s="1096"/>
      <c r="F58" s="1097">
        <f t="shared" si="0"/>
        <v>0</v>
      </c>
      <c r="G58" s="1096"/>
      <c r="H58" s="1097">
        <f t="shared" si="1"/>
        <v>0</v>
      </c>
      <c r="I58" s="1096"/>
      <c r="J58" s="1097">
        <f t="shared" si="2"/>
        <v>0</v>
      </c>
      <c r="K58" s="1096"/>
      <c r="L58" s="1097">
        <f t="shared" si="3"/>
        <v>0</v>
      </c>
      <c r="M58" s="1096"/>
      <c r="N58" s="1096"/>
      <c r="O58" s="1098">
        <f t="shared" si="22"/>
        <v>0</v>
      </c>
      <c r="P58" s="1096">
        <f t="shared" si="4"/>
        <v>0</v>
      </c>
      <c r="Q58" s="1098">
        <f t="shared" si="23"/>
        <v>0</v>
      </c>
      <c r="R58" s="1096">
        <f t="shared" si="6"/>
        <v>0</v>
      </c>
      <c r="S58" s="1122"/>
      <c r="T58" s="1099"/>
      <c r="U58" s="1123"/>
    </row>
    <row r="59" spans="1:21" ht="48" customHeight="1">
      <c r="A59" s="1090"/>
      <c r="B59" s="933" t="s">
        <v>3980</v>
      </c>
      <c r="C59" s="1092">
        <f>+'Data 2022-23'!K2063</f>
        <v>851.42</v>
      </c>
      <c r="D59" s="940" t="s">
        <v>303</v>
      </c>
      <c r="E59" s="1096">
        <f>'INS- Detail '!H197</f>
        <v>24</v>
      </c>
      <c r="F59" s="1097">
        <f t="shared" si="0"/>
        <v>20434.079999999998</v>
      </c>
      <c r="G59" s="1096"/>
      <c r="H59" s="1097">
        <f t="shared" si="1"/>
        <v>0</v>
      </c>
      <c r="I59" s="1096"/>
      <c r="J59" s="1097">
        <f t="shared" si="2"/>
        <v>0</v>
      </c>
      <c r="K59" s="1096"/>
      <c r="L59" s="1097">
        <f t="shared" si="3"/>
        <v>0</v>
      </c>
      <c r="M59" s="1096"/>
      <c r="N59" s="1096"/>
      <c r="O59" s="1098">
        <f t="shared" si="22"/>
        <v>0</v>
      </c>
      <c r="P59" s="1096">
        <f t="shared" si="4"/>
        <v>0</v>
      </c>
      <c r="Q59" s="1098">
        <f t="shared" si="23"/>
        <v>24</v>
      </c>
      <c r="R59" s="1096">
        <f t="shared" si="6"/>
        <v>20434.079999999998</v>
      </c>
      <c r="S59" s="1099"/>
      <c r="T59" s="1099"/>
    </row>
    <row r="60" spans="1:21">
      <c r="A60" s="1092"/>
      <c r="B60" s="933" t="s">
        <v>3981</v>
      </c>
      <c r="C60" s="1092">
        <f>+'Data 2022-23'!K2087</f>
        <v>734.11666666666667</v>
      </c>
      <c r="D60" s="940" t="s">
        <v>303</v>
      </c>
      <c r="E60" s="1096">
        <f>'INS- Detail '!H199</f>
        <v>36</v>
      </c>
      <c r="F60" s="1097">
        <f t="shared" si="0"/>
        <v>26428.2</v>
      </c>
      <c r="G60" s="1096"/>
      <c r="H60" s="1097">
        <f t="shared" si="1"/>
        <v>0</v>
      </c>
      <c r="I60" s="1096"/>
      <c r="J60" s="1097">
        <f t="shared" si="2"/>
        <v>0</v>
      </c>
      <c r="K60" s="1096"/>
      <c r="L60" s="1097">
        <f t="shared" si="3"/>
        <v>0</v>
      </c>
      <c r="M60" s="1096"/>
      <c r="N60" s="1096"/>
      <c r="O60" s="1098">
        <f t="shared" si="22"/>
        <v>0</v>
      </c>
      <c r="P60" s="1096">
        <f t="shared" si="4"/>
        <v>0</v>
      </c>
      <c r="Q60" s="1098">
        <f t="shared" si="23"/>
        <v>36</v>
      </c>
      <c r="R60" s="1096">
        <f t="shared" si="6"/>
        <v>26428.2</v>
      </c>
      <c r="S60" s="1099"/>
      <c r="T60" s="1099"/>
    </row>
    <row r="61" spans="1:21" s="1105" customFormat="1" ht="93">
      <c r="A61" s="1129">
        <v>66.099999999999994</v>
      </c>
      <c r="B61" s="1298" t="s">
        <v>4159</v>
      </c>
      <c r="C61" s="1117">
        <f>+Elec.Data!K114</f>
        <v>3051.9983333333334</v>
      </c>
      <c r="D61" s="1117" t="s">
        <v>340</v>
      </c>
      <c r="F61" s="1097">
        <f t="shared" si="0"/>
        <v>0</v>
      </c>
      <c r="G61" s="1096">
        <f>'INS- Elec '!H80</f>
        <v>4</v>
      </c>
      <c r="H61" s="1097">
        <f t="shared" si="1"/>
        <v>12207.993333333334</v>
      </c>
      <c r="I61" s="1103"/>
      <c r="J61" s="1097">
        <f t="shared" si="2"/>
        <v>0</v>
      </c>
      <c r="K61" s="1096"/>
      <c r="L61" s="1097">
        <f t="shared" si="3"/>
        <v>0</v>
      </c>
      <c r="M61" s="1103"/>
      <c r="N61" s="1096"/>
      <c r="O61" s="1098">
        <f t="shared" si="22"/>
        <v>0</v>
      </c>
      <c r="P61" s="1096">
        <f t="shared" si="4"/>
        <v>0</v>
      </c>
      <c r="Q61" s="1098">
        <f>E61+G61+O61</f>
        <v>4</v>
      </c>
      <c r="R61" s="1096">
        <f t="shared" si="6"/>
        <v>12207.993333333334</v>
      </c>
      <c r="S61" s="1104"/>
      <c r="T61" s="1104"/>
    </row>
    <row r="62" spans="1:21" ht="69.75">
      <c r="A62" s="1092"/>
      <c r="B62" s="933" t="s">
        <v>4164</v>
      </c>
      <c r="C62" s="1092">
        <f>+Elec.Data!K274</f>
        <v>266</v>
      </c>
      <c r="D62" s="1208" t="s">
        <v>303</v>
      </c>
      <c r="F62" s="1097">
        <f t="shared" si="0"/>
        <v>0</v>
      </c>
      <c r="G62" s="1096">
        <f>'INS- Elec '!H85</f>
        <v>25</v>
      </c>
      <c r="H62" s="1097">
        <f t="shared" si="1"/>
        <v>6650</v>
      </c>
      <c r="I62" s="1096"/>
      <c r="J62" s="1097">
        <f t="shared" si="2"/>
        <v>0</v>
      </c>
      <c r="K62" s="1096"/>
      <c r="L62" s="1097">
        <f t="shared" si="3"/>
        <v>0</v>
      </c>
      <c r="M62" s="1096"/>
      <c r="N62" s="1096"/>
      <c r="O62" s="1098">
        <f t="shared" si="22"/>
        <v>0</v>
      </c>
      <c r="P62" s="1096">
        <f t="shared" si="4"/>
        <v>0</v>
      </c>
      <c r="Q62" s="1098">
        <f>E62+G62+O62</f>
        <v>25</v>
      </c>
      <c r="R62" s="1096">
        <f t="shared" si="6"/>
        <v>6650</v>
      </c>
      <c r="S62" s="1099"/>
      <c r="T62" s="1099"/>
    </row>
    <row r="63" spans="1:21" s="1108" customFormat="1" ht="84.75" customHeight="1">
      <c r="A63" s="1090"/>
      <c r="B63" s="933" t="s">
        <v>4166</v>
      </c>
      <c r="C63" s="1092">
        <f>+Elec.Data!K261</f>
        <v>226</v>
      </c>
      <c r="D63" s="1158" t="s">
        <v>303</v>
      </c>
      <c r="F63" s="1097">
        <f t="shared" si="0"/>
        <v>0</v>
      </c>
      <c r="G63" s="1096">
        <f>'INS- Elec '!H71</f>
        <v>200</v>
      </c>
      <c r="H63" s="1097">
        <f t="shared" si="1"/>
        <v>45200</v>
      </c>
      <c r="I63" s="1096"/>
      <c r="J63" s="1097">
        <f t="shared" si="2"/>
        <v>0</v>
      </c>
      <c r="K63" s="1096"/>
      <c r="L63" s="1097">
        <f t="shared" si="3"/>
        <v>0</v>
      </c>
      <c r="M63" s="1096"/>
      <c r="N63" s="1096"/>
      <c r="O63" s="1098">
        <f t="shared" si="22"/>
        <v>0</v>
      </c>
      <c r="P63" s="1096">
        <f t="shared" si="4"/>
        <v>0</v>
      </c>
      <c r="Q63" s="1098">
        <f t="shared" si="23"/>
        <v>200</v>
      </c>
      <c r="R63" s="1096">
        <f t="shared" si="6"/>
        <v>45200</v>
      </c>
      <c r="S63" s="1107"/>
      <c r="T63" s="1099"/>
    </row>
    <row r="64" spans="1:21" ht="69.75">
      <c r="A64" s="1090"/>
      <c r="B64" s="933" t="s">
        <v>4167</v>
      </c>
      <c r="C64" s="1092">
        <f>+Elec.Data!K708</f>
        <v>270</v>
      </c>
      <c r="D64" s="1208" t="s">
        <v>303</v>
      </c>
      <c r="F64" s="1097">
        <f t="shared" si="0"/>
        <v>0</v>
      </c>
      <c r="G64" s="1096">
        <f>'INS- Elec '!H74</f>
        <v>175</v>
      </c>
      <c r="H64" s="1097">
        <f t="shared" si="1"/>
        <v>47250</v>
      </c>
      <c r="I64" s="1096"/>
      <c r="J64" s="1097">
        <f t="shared" si="2"/>
        <v>0</v>
      </c>
      <c r="K64" s="1096"/>
      <c r="L64" s="1097">
        <f t="shared" si="3"/>
        <v>0</v>
      </c>
      <c r="M64" s="1096"/>
      <c r="N64" s="1096"/>
      <c r="O64" s="1098">
        <f t="shared" si="22"/>
        <v>0</v>
      </c>
      <c r="P64" s="1096">
        <f t="shared" si="4"/>
        <v>0</v>
      </c>
      <c r="Q64" s="1098">
        <f t="shared" si="23"/>
        <v>175</v>
      </c>
      <c r="R64" s="1096">
        <f t="shared" si="6"/>
        <v>47250</v>
      </c>
      <c r="S64" s="1099"/>
      <c r="T64" s="1099"/>
    </row>
    <row r="65" spans="1:20">
      <c r="A65" s="1090">
        <v>344.2</v>
      </c>
      <c r="B65" s="933" t="s">
        <v>4178</v>
      </c>
      <c r="C65" s="1092">
        <f>+'Data 2022-23'!K3012</f>
        <v>494.7</v>
      </c>
      <c r="D65" s="1092" t="s">
        <v>340</v>
      </c>
      <c r="E65" s="1096">
        <f>'INS- Detail '!H383</f>
        <v>5</v>
      </c>
      <c r="F65" s="1097">
        <f t="shared" si="0"/>
        <v>2473.5</v>
      </c>
      <c r="G65" s="1096"/>
      <c r="H65" s="1097">
        <f t="shared" si="1"/>
        <v>0</v>
      </c>
      <c r="I65" s="1096"/>
      <c r="J65" s="1097">
        <f t="shared" si="2"/>
        <v>0</v>
      </c>
      <c r="K65" s="1096"/>
      <c r="L65" s="1097">
        <f t="shared" si="3"/>
        <v>0</v>
      </c>
      <c r="M65" s="1096"/>
      <c r="N65" s="1096"/>
      <c r="O65" s="1098">
        <f t="shared" ref="O65" si="24">K65+I65</f>
        <v>0</v>
      </c>
      <c r="P65" s="1096">
        <f t="shared" si="4"/>
        <v>0</v>
      </c>
      <c r="Q65" s="1098">
        <f>E65+G65+O65</f>
        <v>5</v>
      </c>
      <c r="R65" s="1096">
        <f t="shared" si="6"/>
        <v>2473.5</v>
      </c>
      <c r="S65" s="1099"/>
      <c r="T65" s="1099"/>
    </row>
    <row r="66" spans="1:20" ht="69.75">
      <c r="A66" s="1090"/>
      <c r="B66" s="933" t="str">
        <f>'INS- Detail '!B270</f>
        <v xml:space="preserve">Plastic Emulsion paint two coat of Old walls including cost of materials and labours etc.., completed </v>
      </c>
      <c r="C66" s="1092">
        <f>+'Data 2022-23'!K3358</f>
        <v>206.17699999999999</v>
      </c>
      <c r="D66" s="1158" t="s">
        <v>306</v>
      </c>
      <c r="E66" s="1096">
        <f>'INS- Detail '!H312</f>
        <v>1813.1</v>
      </c>
      <c r="F66" s="1097">
        <f t="shared" si="0"/>
        <v>373819.51869999996</v>
      </c>
      <c r="G66" s="1096"/>
      <c r="H66" s="1097">
        <f t="shared" si="1"/>
        <v>0</v>
      </c>
      <c r="I66" s="1096"/>
      <c r="J66" s="1097">
        <f t="shared" si="2"/>
        <v>0</v>
      </c>
      <c r="K66" s="1096"/>
      <c r="L66" s="1097">
        <f t="shared" si="3"/>
        <v>0</v>
      </c>
      <c r="M66" s="1096"/>
      <c r="N66" s="1096"/>
      <c r="O66" s="1098">
        <f t="shared" ref="O66:O67" si="25">K66+I66</f>
        <v>0</v>
      </c>
      <c r="P66" s="1096">
        <f t="shared" si="4"/>
        <v>0</v>
      </c>
      <c r="Q66" s="1098">
        <f t="shared" ref="Q66:Q67" si="26">E66+G66+O66</f>
        <v>1813.1</v>
      </c>
      <c r="R66" s="1096">
        <f t="shared" si="6"/>
        <v>373819.51869999996</v>
      </c>
      <c r="S66" s="1099"/>
      <c r="T66" s="1099"/>
    </row>
    <row r="67" spans="1:20" ht="69.75">
      <c r="A67" s="1090" t="s">
        <v>4190</v>
      </c>
      <c r="B67" s="933" t="str">
        <f>'INS- Detail '!B218</f>
        <v xml:space="preserve">Painting Two coat of OBD over one coat white cement for inner walls  including cost of materials and labours etc.., completed </v>
      </c>
      <c r="C67" s="1092">
        <v>167.11</v>
      </c>
      <c r="D67" s="1158" t="s">
        <v>306</v>
      </c>
      <c r="E67" s="1096">
        <f>'INS- Detail '!H269</f>
        <v>1138</v>
      </c>
      <c r="F67" s="1097">
        <f t="shared" si="0"/>
        <v>190171.18000000002</v>
      </c>
      <c r="G67" s="1096"/>
      <c r="H67" s="1097">
        <f t="shared" si="1"/>
        <v>0</v>
      </c>
      <c r="I67" s="1096"/>
      <c r="J67" s="1097">
        <f t="shared" si="2"/>
        <v>0</v>
      </c>
      <c r="K67" s="1096"/>
      <c r="L67" s="1097">
        <f t="shared" si="3"/>
        <v>0</v>
      </c>
      <c r="M67" s="1096"/>
      <c r="N67" s="1096"/>
      <c r="O67" s="1098">
        <f t="shared" si="25"/>
        <v>0</v>
      </c>
      <c r="P67" s="1096">
        <f t="shared" si="4"/>
        <v>0</v>
      </c>
      <c r="Q67" s="1098">
        <f t="shared" si="26"/>
        <v>1138</v>
      </c>
      <c r="R67" s="1096">
        <f t="shared" si="6"/>
        <v>190171.18000000002</v>
      </c>
      <c r="S67" s="1099"/>
      <c r="T67" s="1099"/>
    </row>
    <row r="68" spans="1:20" ht="57" customHeight="1">
      <c r="A68" s="1090"/>
      <c r="B68" s="1262" t="s">
        <v>4309</v>
      </c>
      <c r="C68" s="1092"/>
      <c r="D68" s="940"/>
      <c r="E68" s="1096"/>
      <c r="F68" s="1097">
        <f t="shared" si="0"/>
        <v>0</v>
      </c>
      <c r="G68" s="1096"/>
      <c r="H68" s="1097">
        <f t="shared" si="1"/>
        <v>0</v>
      </c>
      <c r="I68" s="1096"/>
      <c r="J68" s="1097">
        <f t="shared" si="2"/>
        <v>0</v>
      </c>
      <c r="K68" s="1096"/>
      <c r="L68" s="1097">
        <f t="shared" si="3"/>
        <v>0</v>
      </c>
      <c r="M68" s="1096"/>
      <c r="N68" s="1096"/>
      <c r="O68" s="1098">
        <f t="shared" ref="O68:O70" si="27">K68+I68</f>
        <v>0</v>
      </c>
      <c r="P68" s="1096">
        <f t="shared" si="4"/>
        <v>0</v>
      </c>
      <c r="Q68" s="1098">
        <f t="shared" ref="Q68:Q70" si="28">E68+G68+O68</f>
        <v>0</v>
      </c>
      <c r="R68" s="1096">
        <f t="shared" si="6"/>
        <v>0</v>
      </c>
      <c r="S68" s="1099"/>
      <c r="T68" s="1099"/>
    </row>
    <row r="69" spans="1:20" ht="50.25" customHeight="1">
      <c r="A69" s="1090"/>
      <c r="B69" s="933" t="s">
        <v>4310</v>
      </c>
      <c r="C69" s="1233">
        <f>+'Data 2022-23'!K3677</f>
        <v>535.10599666666667</v>
      </c>
      <c r="D69" s="940" t="s">
        <v>303</v>
      </c>
      <c r="E69" s="1103">
        <f>'INS- Detail '!H204</f>
        <v>30</v>
      </c>
      <c r="F69" s="1097">
        <f t="shared" si="0"/>
        <v>16053.179899999999</v>
      </c>
      <c r="G69" s="1096"/>
      <c r="H69" s="1097">
        <f t="shared" si="1"/>
        <v>0</v>
      </c>
      <c r="I69" s="1096"/>
      <c r="J69" s="1097">
        <f t="shared" si="2"/>
        <v>0</v>
      </c>
      <c r="K69" s="1096"/>
      <c r="L69" s="1097">
        <f t="shared" si="3"/>
        <v>0</v>
      </c>
      <c r="M69" s="1096"/>
      <c r="N69" s="1096"/>
      <c r="O69" s="1098">
        <f t="shared" si="27"/>
        <v>0</v>
      </c>
      <c r="P69" s="1096">
        <f t="shared" si="4"/>
        <v>0</v>
      </c>
      <c r="Q69" s="1098">
        <f t="shared" si="28"/>
        <v>30</v>
      </c>
      <c r="R69" s="1096">
        <f t="shared" si="6"/>
        <v>16053.179899999999</v>
      </c>
      <c r="S69" s="1099"/>
      <c r="T69" s="1099"/>
    </row>
    <row r="70" spans="1:20">
      <c r="A70" s="1090"/>
      <c r="B70" s="933" t="s">
        <v>4311</v>
      </c>
      <c r="C70" s="1233">
        <f>+'Data 2022-23'!K3697</f>
        <v>859.17696666666654</v>
      </c>
      <c r="D70" s="940" t="s">
        <v>303</v>
      </c>
      <c r="E70" s="1096">
        <f>'INS- Detail '!H201</f>
        <v>30</v>
      </c>
      <c r="F70" s="1097">
        <f t="shared" si="0"/>
        <v>25775.308999999997</v>
      </c>
      <c r="G70" s="1096"/>
      <c r="H70" s="1097">
        <f t="shared" si="1"/>
        <v>0</v>
      </c>
      <c r="I70" s="1096"/>
      <c r="J70" s="1097">
        <f t="shared" si="2"/>
        <v>0</v>
      </c>
      <c r="K70" s="1096"/>
      <c r="L70" s="1097">
        <f t="shared" si="3"/>
        <v>0</v>
      </c>
      <c r="M70" s="1096"/>
      <c r="N70" s="1096"/>
      <c r="O70" s="1098">
        <f t="shared" si="27"/>
        <v>0</v>
      </c>
      <c r="P70" s="1096">
        <f t="shared" si="4"/>
        <v>0</v>
      </c>
      <c r="Q70" s="1098">
        <f t="shared" si="28"/>
        <v>30</v>
      </c>
      <c r="R70" s="1096">
        <f t="shared" si="6"/>
        <v>25775.308999999997</v>
      </c>
      <c r="S70" s="1099"/>
      <c r="T70" s="1099"/>
    </row>
    <row r="71" spans="1:20" s="1108" customFormat="1" ht="93">
      <c r="A71" s="1090"/>
      <c r="B71" s="1262" t="s">
        <v>4351</v>
      </c>
      <c r="C71" s="1241"/>
      <c r="D71" s="1165"/>
      <c r="E71" s="1103"/>
      <c r="F71" s="1097">
        <f t="shared" si="0"/>
        <v>0</v>
      </c>
      <c r="G71" s="1103"/>
      <c r="H71" s="1097">
        <f t="shared" si="1"/>
        <v>0</v>
      </c>
      <c r="I71" s="1103"/>
      <c r="J71" s="1097">
        <f t="shared" si="2"/>
        <v>0</v>
      </c>
      <c r="K71" s="1096"/>
      <c r="L71" s="1097">
        <f t="shared" si="3"/>
        <v>0</v>
      </c>
      <c r="M71" s="1103"/>
      <c r="N71" s="1096"/>
      <c r="O71" s="1098">
        <f t="shared" ref="O71:O81" si="29">K71+I71</f>
        <v>0</v>
      </c>
      <c r="P71" s="1096">
        <f t="shared" si="4"/>
        <v>0</v>
      </c>
      <c r="Q71" s="1098">
        <f t="shared" ref="Q71:Q81" si="30">E71+G71+O71</f>
        <v>0</v>
      </c>
      <c r="R71" s="1096">
        <f t="shared" si="6"/>
        <v>0</v>
      </c>
      <c r="S71" s="1107"/>
      <c r="T71" s="1104"/>
    </row>
    <row r="72" spans="1:20" s="1108" customFormat="1" ht="25.5" customHeight="1">
      <c r="A72" s="1090"/>
      <c r="B72" s="1275" t="s">
        <v>4000</v>
      </c>
      <c r="C72" s="1241">
        <f>+Elec.Data!K993</f>
        <v>894.99583333333339</v>
      </c>
      <c r="D72" s="1165" t="s">
        <v>340</v>
      </c>
      <c r="F72" s="1097">
        <f t="shared" ref="F72:F86" si="31">C72*E72</f>
        <v>0</v>
      </c>
      <c r="G72" s="1103">
        <f>'INS- Elec '!H16</f>
        <v>45</v>
      </c>
      <c r="H72" s="1097">
        <f t="shared" ref="H72:H86" si="32">C72*G72</f>
        <v>40274.8125</v>
      </c>
      <c r="I72" s="1103"/>
      <c r="J72" s="1097">
        <f t="shared" ref="J72:J86" si="33">I72*C72</f>
        <v>0</v>
      </c>
      <c r="K72" s="1096"/>
      <c r="L72" s="1097">
        <f t="shared" ref="L72:L86" si="34">K72*C72</f>
        <v>0</v>
      </c>
      <c r="M72" s="1103"/>
      <c r="N72" s="1096"/>
      <c r="O72" s="1098">
        <f t="shared" si="29"/>
        <v>0</v>
      </c>
      <c r="P72" s="1096">
        <f t="shared" ref="P72:P86" si="35">O72*C72</f>
        <v>0</v>
      </c>
      <c r="Q72" s="1098">
        <f t="shared" si="30"/>
        <v>45</v>
      </c>
      <c r="R72" s="1096">
        <f t="shared" ref="R72:R87" si="36">Q72*C72</f>
        <v>40274.8125</v>
      </c>
      <c r="S72" s="1107"/>
      <c r="T72" s="1104"/>
    </row>
    <row r="73" spans="1:20" s="1108" customFormat="1" ht="25.5" customHeight="1">
      <c r="A73" s="1090"/>
      <c r="B73" s="1275" t="s">
        <v>4001</v>
      </c>
      <c r="C73" s="1241">
        <f>+Elec.Data!K1019</f>
        <v>896.99583333333339</v>
      </c>
      <c r="D73" s="1165" t="s">
        <v>340</v>
      </c>
      <c r="F73" s="1097">
        <f t="shared" si="31"/>
        <v>0</v>
      </c>
      <c r="G73" s="1103">
        <f>'INS- Elec '!H22</f>
        <v>25</v>
      </c>
      <c r="H73" s="1097">
        <f t="shared" si="32"/>
        <v>22424.895833333336</v>
      </c>
      <c r="I73" s="1103"/>
      <c r="J73" s="1097">
        <f t="shared" si="33"/>
        <v>0</v>
      </c>
      <c r="K73" s="1096"/>
      <c r="L73" s="1097">
        <f t="shared" si="34"/>
        <v>0</v>
      </c>
      <c r="M73" s="1103"/>
      <c r="N73" s="1096"/>
      <c r="O73" s="1098">
        <f t="shared" si="29"/>
        <v>0</v>
      </c>
      <c r="P73" s="1096">
        <f t="shared" si="35"/>
        <v>0</v>
      </c>
      <c r="Q73" s="1098">
        <f t="shared" si="30"/>
        <v>25</v>
      </c>
      <c r="R73" s="1096">
        <f t="shared" si="36"/>
        <v>22424.895833333336</v>
      </c>
      <c r="S73" s="1107"/>
      <c r="T73" s="1104"/>
    </row>
    <row r="74" spans="1:20" s="1108" customFormat="1" ht="87" customHeight="1">
      <c r="A74" s="1090"/>
      <c r="B74" s="1275" t="s">
        <v>4353</v>
      </c>
      <c r="C74" s="1241">
        <f>+Elec.Data!K1096</f>
        <v>689.99599999999998</v>
      </c>
      <c r="D74" s="1165" t="s">
        <v>340</v>
      </c>
      <c r="F74" s="1097">
        <f t="shared" si="31"/>
        <v>0</v>
      </c>
      <c r="G74" s="1103">
        <f>'INS- Elec '!H37</f>
        <v>20</v>
      </c>
      <c r="H74" s="1097">
        <f t="shared" si="32"/>
        <v>13799.92</v>
      </c>
      <c r="I74" s="1103"/>
      <c r="J74" s="1097">
        <f t="shared" si="33"/>
        <v>0</v>
      </c>
      <c r="K74" s="1096"/>
      <c r="L74" s="1097">
        <f t="shared" si="34"/>
        <v>0</v>
      </c>
      <c r="M74" s="1103"/>
      <c r="N74" s="1096"/>
      <c r="O74" s="1098">
        <f t="shared" si="29"/>
        <v>0</v>
      </c>
      <c r="P74" s="1096">
        <f t="shared" si="35"/>
        <v>0</v>
      </c>
      <c r="Q74" s="1098">
        <f t="shared" si="30"/>
        <v>20</v>
      </c>
      <c r="R74" s="1096">
        <f t="shared" si="36"/>
        <v>13799.92</v>
      </c>
      <c r="S74" s="1107"/>
      <c r="T74" s="1104"/>
    </row>
    <row r="75" spans="1:20" s="1108" customFormat="1" ht="108.75">
      <c r="A75" s="1090"/>
      <c r="B75" s="1275" t="s">
        <v>4354</v>
      </c>
      <c r="C75" s="1241">
        <f>+Elec.Data!K146</f>
        <v>834.99833333333333</v>
      </c>
      <c r="D75" s="1165" t="s">
        <v>340</v>
      </c>
      <c r="F75" s="1097">
        <f t="shared" si="31"/>
        <v>0</v>
      </c>
      <c r="G75" s="1103">
        <f>'INS- Elec '!H30</f>
        <v>25</v>
      </c>
      <c r="H75" s="1097">
        <f t="shared" si="32"/>
        <v>20874.958333333332</v>
      </c>
      <c r="I75" s="1103"/>
      <c r="J75" s="1097">
        <f t="shared" si="33"/>
        <v>0</v>
      </c>
      <c r="K75" s="1096"/>
      <c r="L75" s="1097">
        <f t="shared" si="34"/>
        <v>0</v>
      </c>
      <c r="M75" s="1103"/>
      <c r="N75" s="1096"/>
      <c r="O75" s="1098">
        <f t="shared" si="29"/>
        <v>0</v>
      </c>
      <c r="P75" s="1096">
        <f t="shared" si="35"/>
        <v>0</v>
      </c>
      <c r="Q75" s="1098">
        <f t="shared" si="30"/>
        <v>25</v>
      </c>
      <c r="R75" s="1096">
        <f t="shared" si="36"/>
        <v>20874.958333333332</v>
      </c>
      <c r="S75" s="1107"/>
      <c r="T75" s="1104"/>
    </row>
    <row r="76" spans="1:20" s="1108" customFormat="1" ht="46.5">
      <c r="A76" s="1158"/>
      <c r="B76" s="933" t="s">
        <v>4367</v>
      </c>
      <c r="C76" s="1068">
        <v>135</v>
      </c>
      <c r="D76" s="940" t="s">
        <v>340</v>
      </c>
      <c r="F76" s="1097">
        <f t="shared" si="31"/>
        <v>0</v>
      </c>
      <c r="G76" s="1096">
        <f>'INS- Elec '!H53</f>
        <v>25</v>
      </c>
      <c r="H76" s="1097">
        <f t="shared" si="32"/>
        <v>3375</v>
      </c>
      <c r="I76" s="1096"/>
      <c r="J76" s="1097">
        <f t="shared" si="33"/>
        <v>0</v>
      </c>
      <c r="K76" s="1096"/>
      <c r="L76" s="1097">
        <f t="shared" si="34"/>
        <v>0</v>
      </c>
      <c r="M76" s="1096"/>
      <c r="N76" s="1096"/>
      <c r="O76" s="1098">
        <f t="shared" si="29"/>
        <v>0</v>
      </c>
      <c r="P76" s="1096">
        <f t="shared" si="35"/>
        <v>0</v>
      </c>
      <c r="Q76" s="1098">
        <f t="shared" si="30"/>
        <v>25</v>
      </c>
      <c r="R76" s="1096">
        <f t="shared" si="36"/>
        <v>3375</v>
      </c>
      <c r="S76" s="1107"/>
      <c r="T76" s="1099"/>
    </row>
    <row r="77" spans="1:20" s="1108" customFormat="1" ht="54.95" customHeight="1">
      <c r="A77" s="1158"/>
      <c r="B77" s="933" t="s">
        <v>4368</v>
      </c>
      <c r="C77" s="940">
        <f>+Elec.Data!K959</f>
        <v>690.00200000000007</v>
      </c>
      <c r="D77" s="943" t="s">
        <v>340</v>
      </c>
      <c r="F77" s="1097">
        <f t="shared" si="31"/>
        <v>0</v>
      </c>
      <c r="G77" s="1096">
        <f>'INS- Elec '!H65</f>
        <v>25</v>
      </c>
      <c r="H77" s="1097">
        <f t="shared" si="32"/>
        <v>17250.050000000003</v>
      </c>
      <c r="I77" s="1096"/>
      <c r="J77" s="1097">
        <f t="shared" si="33"/>
        <v>0</v>
      </c>
      <c r="K77" s="1096"/>
      <c r="L77" s="1097">
        <f t="shared" si="34"/>
        <v>0</v>
      </c>
      <c r="M77" s="1096"/>
      <c r="N77" s="1096"/>
      <c r="O77" s="1098">
        <f t="shared" si="29"/>
        <v>0</v>
      </c>
      <c r="P77" s="1096">
        <f t="shared" si="35"/>
        <v>0</v>
      </c>
      <c r="Q77" s="1098">
        <f t="shared" si="30"/>
        <v>25</v>
      </c>
      <c r="R77" s="1096">
        <f t="shared" si="36"/>
        <v>17250.050000000003</v>
      </c>
      <c r="S77" s="1107"/>
      <c r="T77" s="1099"/>
    </row>
    <row r="78" spans="1:20" s="1108" customFormat="1" ht="65.099999999999994" customHeight="1">
      <c r="A78" s="1158"/>
      <c r="B78" s="933" t="s">
        <v>4369</v>
      </c>
      <c r="C78" s="940">
        <f>+Elec.Data!K304</f>
        <v>517.00333333333333</v>
      </c>
      <c r="D78" s="940" t="s">
        <v>340</v>
      </c>
      <c r="F78" s="1097">
        <f t="shared" si="31"/>
        <v>0</v>
      </c>
      <c r="G78" s="1096">
        <f>'INS- Elec '!H57</f>
        <v>14</v>
      </c>
      <c r="H78" s="1097">
        <f t="shared" si="32"/>
        <v>7238.0466666666671</v>
      </c>
      <c r="I78" s="1096"/>
      <c r="J78" s="1097">
        <f t="shared" si="33"/>
        <v>0</v>
      </c>
      <c r="K78" s="1096"/>
      <c r="L78" s="1097">
        <f t="shared" si="34"/>
        <v>0</v>
      </c>
      <c r="M78" s="1096"/>
      <c r="N78" s="1096"/>
      <c r="O78" s="1098">
        <f t="shared" si="29"/>
        <v>0</v>
      </c>
      <c r="P78" s="1096">
        <f t="shared" si="35"/>
        <v>0</v>
      </c>
      <c r="Q78" s="1098">
        <f t="shared" si="30"/>
        <v>14</v>
      </c>
      <c r="R78" s="1096">
        <f t="shared" si="36"/>
        <v>7238.0466666666671</v>
      </c>
      <c r="S78" s="1107"/>
      <c r="T78" s="1099"/>
    </row>
    <row r="79" spans="1:20" s="1108" customFormat="1" ht="54.95" customHeight="1">
      <c r="A79" s="1158"/>
      <c r="B79" s="933" t="s">
        <v>4370</v>
      </c>
      <c r="C79" s="940">
        <f>+Elec.Data!R807</f>
        <v>3367</v>
      </c>
      <c r="D79" s="940" t="s">
        <v>340</v>
      </c>
      <c r="F79" s="1097">
        <f t="shared" si="31"/>
        <v>0</v>
      </c>
      <c r="G79" s="1096">
        <f>'INS- Elec '!H68</f>
        <v>10</v>
      </c>
      <c r="H79" s="1097">
        <f t="shared" si="32"/>
        <v>33670</v>
      </c>
      <c r="I79" s="1096"/>
      <c r="J79" s="1097">
        <f t="shared" si="33"/>
        <v>0</v>
      </c>
      <c r="K79" s="1096"/>
      <c r="L79" s="1097">
        <f t="shared" si="34"/>
        <v>0</v>
      </c>
      <c r="M79" s="1096"/>
      <c r="N79" s="1096"/>
      <c r="O79" s="1098">
        <f t="shared" si="29"/>
        <v>0</v>
      </c>
      <c r="P79" s="1096">
        <f t="shared" si="35"/>
        <v>0</v>
      </c>
      <c r="Q79" s="1098">
        <f t="shared" si="30"/>
        <v>10</v>
      </c>
      <c r="R79" s="1096">
        <f t="shared" si="36"/>
        <v>33670</v>
      </c>
      <c r="S79" s="1107"/>
      <c r="T79" s="1099"/>
    </row>
    <row r="80" spans="1:20" s="1108" customFormat="1">
      <c r="A80" s="1158"/>
      <c r="B80" s="933" t="s">
        <v>4371</v>
      </c>
      <c r="C80" s="940">
        <v>170</v>
      </c>
      <c r="D80" s="940" t="str">
        <f>D79</f>
        <v>Each</v>
      </c>
      <c r="F80" s="1097">
        <f t="shared" si="31"/>
        <v>0</v>
      </c>
      <c r="G80" s="1096">
        <f>'INS- Elec '!H57</f>
        <v>14</v>
      </c>
      <c r="H80" s="1097">
        <f t="shared" si="32"/>
        <v>2380</v>
      </c>
      <c r="I80" s="1096"/>
      <c r="J80" s="1097">
        <f t="shared" si="33"/>
        <v>0</v>
      </c>
      <c r="K80" s="1096"/>
      <c r="L80" s="1097">
        <f t="shared" si="34"/>
        <v>0</v>
      </c>
      <c r="M80" s="1096"/>
      <c r="N80" s="1096"/>
      <c r="O80" s="1098">
        <f t="shared" si="29"/>
        <v>0</v>
      </c>
      <c r="P80" s="1096">
        <f t="shared" si="35"/>
        <v>0</v>
      </c>
      <c r="Q80" s="1098">
        <f t="shared" si="30"/>
        <v>14</v>
      </c>
      <c r="R80" s="1096">
        <f t="shared" si="36"/>
        <v>2380</v>
      </c>
      <c r="S80" s="1107"/>
      <c r="T80" s="1099"/>
    </row>
    <row r="81" spans="1:28" s="1108" customFormat="1" ht="139.5">
      <c r="A81" s="1158"/>
      <c r="B81" s="1935" t="str">
        <f>'INS- Elec '!B75</f>
        <v>Supply and fixing of Three Phase Distribution Board with 4 way TPN double door MCB DB 40 Amps 4 Pole ELCB - 1, 6Amps to 32 amps SP MCB - 12 No's   with necessary cutting work etc., including cost of all materials and fixing charges all complete. CER NO.267/2018-19</v>
      </c>
      <c r="C81" s="1936">
        <v>11750</v>
      </c>
      <c r="D81" s="940" t="e">
        <f>#REF!</f>
        <v>#REF!</v>
      </c>
      <c r="F81" s="1097">
        <f t="shared" si="31"/>
        <v>0</v>
      </c>
      <c r="G81" s="1248">
        <f>'INS- Elec '!H77</f>
        <v>5</v>
      </c>
      <c r="H81" s="1097">
        <f t="shared" si="32"/>
        <v>58750</v>
      </c>
      <c r="I81" s="1096"/>
      <c r="J81" s="1097">
        <f t="shared" si="33"/>
        <v>0</v>
      </c>
      <c r="K81" s="1096"/>
      <c r="L81" s="1097">
        <f t="shared" si="34"/>
        <v>0</v>
      </c>
      <c r="M81" s="1096"/>
      <c r="N81" s="1096"/>
      <c r="O81" s="1098">
        <f t="shared" si="29"/>
        <v>0</v>
      </c>
      <c r="P81" s="1096">
        <f t="shared" si="35"/>
        <v>0</v>
      </c>
      <c r="Q81" s="1098">
        <f t="shared" si="30"/>
        <v>5</v>
      </c>
      <c r="R81" s="1096">
        <f t="shared" si="36"/>
        <v>58750</v>
      </c>
      <c r="S81" s="1107"/>
      <c r="T81" s="1099"/>
    </row>
    <row r="82" spans="1:28" s="1108" customFormat="1" ht="76.5" customHeight="1">
      <c r="A82" s="1158"/>
      <c r="B82" s="1319" t="s">
        <v>5804</v>
      </c>
      <c r="C82" s="1075"/>
      <c r="D82" s="940"/>
      <c r="E82" s="1097"/>
      <c r="F82" s="1097">
        <f t="shared" si="31"/>
        <v>0</v>
      </c>
      <c r="G82" s="1096"/>
      <c r="H82" s="1097">
        <f t="shared" si="32"/>
        <v>0</v>
      </c>
      <c r="I82" s="1096"/>
      <c r="J82" s="1097">
        <f t="shared" si="33"/>
        <v>0</v>
      </c>
      <c r="K82" s="1096"/>
      <c r="L82" s="1097">
        <f t="shared" si="34"/>
        <v>0</v>
      </c>
      <c r="M82" s="1096"/>
      <c r="N82" s="1096"/>
      <c r="O82" s="1098">
        <f t="shared" ref="O82:O84" si="37">K82+I82</f>
        <v>0</v>
      </c>
      <c r="P82" s="1096">
        <f t="shared" si="35"/>
        <v>0</v>
      </c>
      <c r="Q82" s="1098">
        <f t="shared" ref="Q82:Q83" si="38">E82+G82+O82</f>
        <v>0</v>
      </c>
      <c r="R82" s="1096">
        <f t="shared" si="36"/>
        <v>0</v>
      </c>
      <c r="S82" s="1107"/>
      <c r="T82" s="1099"/>
    </row>
    <row r="83" spans="1:28" s="1108" customFormat="1">
      <c r="A83" s="1158"/>
      <c r="B83" s="1313" t="s">
        <v>4427</v>
      </c>
      <c r="C83" s="1937">
        <v>2701</v>
      </c>
      <c r="D83" s="940" t="s">
        <v>340</v>
      </c>
      <c r="E83" s="1097">
        <f>'INS- Detail '!H325</f>
        <v>5</v>
      </c>
      <c r="F83" s="1097">
        <f t="shared" si="31"/>
        <v>13505</v>
      </c>
      <c r="G83" s="1096"/>
      <c r="H83" s="1097">
        <f t="shared" si="32"/>
        <v>0</v>
      </c>
      <c r="I83" s="1096"/>
      <c r="J83" s="1097">
        <f t="shared" si="33"/>
        <v>0</v>
      </c>
      <c r="K83" s="1096"/>
      <c r="L83" s="1097">
        <f t="shared" si="34"/>
        <v>0</v>
      </c>
      <c r="M83" s="1096"/>
      <c r="N83" s="1096"/>
      <c r="O83" s="1098">
        <f t="shared" si="37"/>
        <v>0</v>
      </c>
      <c r="P83" s="1096">
        <f t="shared" si="35"/>
        <v>0</v>
      </c>
      <c r="Q83" s="1098">
        <f t="shared" si="38"/>
        <v>5</v>
      </c>
      <c r="R83" s="1096">
        <f t="shared" si="36"/>
        <v>13505</v>
      </c>
      <c r="S83" s="1107"/>
      <c r="T83" s="1099"/>
    </row>
    <row r="84" spans="1:28" s="1108" customFormat="1" ht="46.5">
      <c r="A84" s="1158"/>
      <c r="B84" s="1313" t="s">
        <v>5304</v>
      </c>
      <c r="C84" s="1081">
        <v>340</v>
      </c>
      <c r="D84" s="940" t="s">
        <v>2757</v>
      </c>
      <c r="E84" s="1097">
        <f>'INS- Detail '!H181</f>
        <v>70</v>
      </c>
      <c r="F84" s="1097">
        <f t="shared" si="31"/>
        <v>23800</v>
      </c>
      <c r="G84" s="1096"/>
      <c r="H84" s="1097">
        <f t="shared" si="32"/>
        <v>0</v>
      </c>
      <c r="I84" s="1096"/>
      <c r="J84" s="1097">
        <f t="shared" si="33"/>
        <v>0</v>
      </c>
      <c r="K84" s="1096"/>
      <c r="L84" s="1097">
        <f t="shared" si="34"/>
        <v>0</v>
      </c>
      <c r="M84" s="1096"/>
      <c r="N84" s="1096"/>
      <c r="O84" s="1098">
        <f t="shared" si="37"/>
        <v>0</v>
      </c>
      <c r="P84" s="1096">
        <f t="shared" si="35"/>
        <v>0</v>
      </c>
      <c r="Q84" s="1098">
        <f>E84+G84+O84</f>
        <v>70</v>
      </c>
      <c r="R84" s="1096">
        <f t="shared" si="36"/>
        <v>23800</v>
      </c>
      <c r="S84" s="1107"/>
      <c r="T84" s="1099"/>
    </row>
    <row r="85" spans="1:28" s="1108" customFormat="1" ht="69.75">
      <c r="A85" s="1158"/>
      <c r="B85" s="1331" t="s">
        <v>5308</v>
      </c>
      <c r="C85" s="1938">
        <v>4646</v>
      </c>
      <c r="D85" s="940" t="s">
        <v>340</v>
      </c>
      <c r="E85" s="1097"/>
      <c r="F85" s="1097">
        <f t="shared" si="31"/>
        <v>0</v>
      </c>
      <c r="G85" s="1096">
        <f>'INS- Elec '!H83</f>
        <v>5</v>
      </c>
      <c r="H85" s="1097">
        <f t="shared" si="32"/>
        <v>23230</v>
      </c>
      <c r="I85" s="1096"/>
      <c r="J85" s="1097">
        <f t="shared" si="33"/>
        <v>0</v>
      </c>
      <c r="K85" s="1096"/>
      <c r="L85" s="1097">
        <f t="shared" si="34"/>
        <v>0</v>
      </c>
      <c r="M85" s="1096"/>
      <c r="N85" s="1096"/>
      <c r="O85" s="1098">
        <f t="shared" ref="O85" si="39">K85+I85</f>
        <v>0</v>
      </c>
      <c r="P85" s="1096">
        <f t="shared" si="35"/>
        <v>0</v>
      </c>
      <c r="Q85" s="1098">
        <f>E85+G85+O85</f>
        <v>5</v>
      </c>
      <c r="R85" s="1096">
        <f t="shared" si="36"/>
        <v>23230</v>
      </c>
      <c r="S85" s="1107"/>
      <c r="T85" s="1099"/>
    </row>
    <row r="86" spans="1:28" s="1108" customFormat="1" ht="69.75">
      <c r="A86" s="1158"/>
      <c r="B86" s="1313" t="str">
        <f>'INS- Elec '!B86</f>
        <v xml:space="preserve">Supplying and fixing of 25mm dia GI Service pipe line including cost of materials and labours etc.., completed </v>
      </c>
      <c r="C86" s="1075">
        <f>+Elec.Data!K684</f>
        <v>130</v>
      </c>
      <c r="D86" s="940" t="s">
        <v>303</v>
      </c>
      <c r="E86" s="1097"/>
      <c r="F86" s="1097">
        <f t="shared" si="31"/>
        <v>0</v>
      </c>
      <c r="G86" s="1096">
        <f>'INS- Elec '!H87</f>
        <v>15</v>
      </c>
      <c r="H86" s="1097">
        <f t="shared" si="32"/>
        <v>1950</v>
      </c>
      <c r="I86" s="1096"/>
      <c r="J86" s="1097">
        <f t="shared" si="33"/>
        <v>0</v>
      </c>
      <c r="K86" s="1096"/>
      <c r="L86" s="1097">
        <f t="shared" si="34"/>
        <v>0</v>
      </c>
      <c r="M86" s="1096"/>
      <c r="N86" s="1096"/>
      <c r="O86" s="1098">
        <f t="shared" ref="O86:O88" si="40">K86+I86</f>
        <v>0</v>
      </c>
      <c r="P86" s="1096">
        <f t="shared" si="35"/>
        <v>0</v>
      </c>
      <c r="Q86" s="1098">
        <f>E86+G86+O86</f>
        <v>15</v>
      </c>
      <c r="R86" s="1096">
        <f t="shared" si="36"/>
        <v>1950</v>
      </c>
      <c r="S86" s="1107"/>
      <c r="T86" s="1099"/>
    </row>
    <row r="87" spans="1:28" s="1108" customFormat="1" ht="57" customHeight="1">
      <c r="A87" s="1158"/>
      <c r="B87" s="1940" t="s">
        <v>5805</v>
      </c>
      <c r="C87" s="1075">
        <v>3974.59</v>
      </c>
      <c r="D87" s="940" t="s">
        <v>533</v>
      </c>
      <c r="E87" s="1097">
        <v>12.6</v>
      </c>
      <c r="F87" s="1097">
        <f>E87*C87</f>
        <v>50079.834000000003</v>
      </c>
      <c r="G87" s="1096"/>
      <c r="H87" s="1097"/>
      <c r="I87" s="1096"/>
      <c r="J87" s="1097"/>
      <c r="K87" s="1096"/>
      <c r="L87" s="1097"/>
      <c r="M87" s="1096"/>
      <c r="N87" s="1096"/>
      <c r="O87" s="1098"/>
      <c r="P87" s="1096"/>
      <c r="Q87" s="1098">
        <f>E87</f>
        <v>12.6</v>
      </c>
      <c r="R87" s="1096">
        <f t="shared" si="36"/>
        <v>50079.834000000003</v>
      </c>
      <c r="S87" s="1107"/>
      <c r="T87" s="1099"/>
    </row>
    <row r="88" spans="1:28" ht="48" customHeight="1">
      <c r="A88" s="1138"/>
      <c r="B88" s="1262" t="s">
        <v>227</v>
      </c>
      <c r="C88" s="1106"/>
      <c r="D88" s="943"/>
      <c r="E88" s="1122"/>
      <c r="F88" s="1151">
        <f>SUM(F7:F87)</f>
        <v>1591441.7057342073</v>
      </c>
      <c r="G88" s="1249"/>
      <c r="H88" s="1151">
        <f>SUM(H7:H87)</f>
        <v>360275.55166666675</v>
      </c>
      <c r="I88" s="1096"/>
      <c r="J88" s="1151">
        <f>SUM(J7:J87)</f>
        <v>92443.000741969663</v>
      </c>
      <c r="K88" s="1151"/>
      <c r="L88" s="1151">
        <f>SUM(L7:L87)</f>
        <v>132674.34460718269</v>
      </c>
      <c r="M88" s="1249"/>
      <c r="N88" s="1151">
        <f>SUM(N7:N85)+0.01</f>
        <v>0.01</v>
      </c>
      <c r="O88" s="1098">
        <f t="shared" si="40"/>
        <v>0</v>
      </c>
      <c r="P88" s="1151">
        <f>SUM(P7:P87)</f>
        <v>225117.34534915237</v>
      </c>
      <c r="Q88" s="1095" t="s">
        <v>249</v>
      </c>
      <c r="R88" s="1151">
        <f>SUM(R7:R87)</f>
        <v>2176834.6027500257</v>
      </c>
      <c r="S88" s="1250"/>
      <c r="T88" s="1099"/>
      <c r="V88" s="1251"/>
      <c r="W88" s="1092"/>
      <c r="X88" s="1092"/>
      <c r="Y88" s="1252"/>
      <c r="Z88" s="940" t="e">
        <f>Y88*#REF!</f>
        <v>#REF!</v>
      </c>
      <c r="AA88" s="1094">
        <f>Y88+W88</f>
        <v>0</v>
      </c>
      <c r="AB88" s="1092" t="e">
        <f>AA88*#REF!</f>
        <v>#REF!</v>
      </c>
    </row>
    <row r="89" spans="1:28" s="1108" customFormat="1" hidden="1">
      <c r="A89" s="1085"/>
      <c r="B89" s="1321"/>
      <c r="C89" s="1085"/>
      <c r="E89" s="1240"/>
      <c r="F89" s="1097">
        <f t="shared" ref="F89:F93" si="41">E89*C89</f>
        <v>0</v>
      </c>
      <c r="G89" s="1160"/>
      <c r="H89" s="1096">
        <f t="shared" ref="H89:H93" si="42">G89*C89</f>
        <v>0</v>
      </c>
      <c r="I89" s="1160"/>
      <c r="J89" s="1096">
        <f t="shared" ref="J89:J93" si="43">I89*C89</f>
        <v>0</v>
      </c>
      <c r="K89" s="1161"/>
      <c r="L89" s="1096">
        <f t="shared" ref="L89:L93" si="44">K89*C89</f>
        <v>0</v>
      </c>
      <c r="M89" s="1160"/>
      <c r="N89" s="1096">
        <f t="shared" ref="N89:N93" si="45">M89*C89</f>
        <v>0</v>
      </c>
      <c r="O89" s="1098">
        <f t="shared" ref="O89:O93" si="46">I89+K89+M89</f>
        <v>0</v>
      </c>
      <c r="P89" s="1096">
        <f t="shared" ref="P89:P93" si="47">O89*C89</f>
        <v>0</v>
      </c>
      <c r="Q89" s="1098">
        <f t="shared" ref="Q89:Q93" si="48">O89+E89+G89</f>
        <v>0</v>
      </c>
      <c r="R89" s="1096">
        <f t="shared" ref="R89:R91" si="49">Q89*C89</f>
        <v>0</v>
      </c>
      <c r="S89" s="1107"/>
      <c r="T89" s="1104"/>
    </row>
    <row r="90" spans="1:28" s="1108" customFormat="1" hidden="1">
      <c r="A90" s="1085"/>
      <c r="B90" s="933" t="s">
        <v>4288</v>
      </c>
      <c r="C90" s="1138"/>
      <c r="D90" s="1165" t="s">
        <v>340</v>
      </c>
      <c r="E90" s="1253"/>
      <c r="F90" s="1097">
        <f t="shared" si="41"/>
        <v>0</v>
      </c>
      <c r="G90" s="1103"/>
      <c r="H90" s="1096">
        <f t="shared" si="42"/>
        <v>0</v>
      </c>
      <c r="I90" s="1103"/>
      <c r="J90" s="1096">
        <f t="shared" si="43"/>
        <v>0</v>
      </c>
      <c r="K90" s="1096"/>
      <c r="L90" s="1096">
        <f t="shared" si="44"/>
        <v>0</v>
      </c>
      <c r="M90" s="1103"/>
      <c r="N90" s="1096">
        <f t="shared" si="45"/>
        <v>0</v>
      </c>
      <c r="O90" s="1098">
        <f t="shared" si="46"/>
        <v>0</v>
      </c>
      <c r="P90" s="1096">
        <f t="shared" si="47"/>
        <v>0</v>
      </c>
      <c r="Q90" s="1098">
        <f t="shared" si="48"/>
        <v>0</v>
      </c>
      <c r="R90" s="1096">
        <f t="shared" si="49"/>
        <v>0</v>
      </c>
      <c r="S90" s="1107"/>
      <c r="T90" s="1104"/>
    </row>
    <row r="91" spans="1:28" s="1108" customFormat="1" hidden="1">
      <c r="A91" s="1085"/>
      <c r="B91" s="933" t="s">
        <v>4289</v>
      </c>
      <c r="C91" s="1138"/>
      <c r="D91" s="1165" t="s">
        <v>340</v>
      </c>
      <c r="E91" s="1253"/>
      <c r="F91" s="1097">
        <f t="shared" si="41"/>
        <v>0</v>
      </c>
      <c r="G91" s="1103"/>
      <c r="H91" s="1096">
        <f t="shared" si="42"/>
        <v>0</v>
      </c>
      <c r="I91" s="1103"/>
      <c r="J91" s="1096">
        <f t="shared" si="43"/>
        <v>0</v>
      </c>
      <c r="K91" s="1096"/>
      <c r="L91" s="1096">
        <f t="shared" si="44"/>
        <v>0</v>
      </c>
      <c r="M91" s="1103"/>
      <c r="N91" s="1096">
        <f t="shared" si="45"/>
        <v>0</v>
      </c>
      <c r="O91" s="1098">
        <f t="shared" si="46"/>
        <v>0</v>
      </c>
      <c r="P91" s="1096">
        <f>J88+L88+N88</f>
        <v>225117.35534915235</v>
      </c>
      <c r="Q91" s="1098">
        <f t="shared" si="48"/>
        <v>0</v>
      </c>
      <c r="R91" s="1096">
        <f t="shared" si="49"/>
        <v>0</v>
      </c>
      <c r="S91" s="1107"/>
      <c r="T91" s="1104"/>
    </row>
    <row r="92" spans="1:28" s="1108" customFormat="1">
      <c r="A92" s="1085"/>
      <c r="B92" s="933"/>
      <c r="C92" s="1138"/>
      <c r="E92" s="1240"/>
      <c r="F92" s="1097"/>
      <c r="G92" s="1103"/>
      <c r="H92" s="1096"/>
      <c r="I92" s="1103"/>
      <c r="J92" s="1096"/>
      <c r="K92" s="1096"/>
      <c r="L92" s="1096"/>
      <c r="M92" s="1103"/>
      <c r="N92" s="1096">
        <f t="shared" si="45"/>
        <v>0</v>
      </c>
      <c r="O92" s="1098"/>
      <c r="P92" s="1096"/>
      <c r="Q92" s="1098"/>
      <c r="R92" s="1096"/>
      <c r="S92" s="1107"/>
      <c r="T92" s="1104"/>
    </row>
    <row r="93" spans="1:28" s="1108" customFormat="1" hidden="1">
      <c r="A93" s="1085"/>
      <c r="B93" s="933" t="s">
        <v>4296</v>
      </c>
      <c r="C93" s="1138" t="e">
        <f>#REF!</f>
        <v>#REF!</v>
      </c>
      <c r="D93" s="1108" t="s">
        <v>306</v>
      </c>
      <c r="E93" s="1240"/>
      <c r="F93" s="1097" t="e">
        <f t="shared" si="41"/>
        <v>#REF!</v>
      </c>
      <c r="G93" s="1103"/>
      <c r="H93" s="1096" t="e">
        <f t="shared" si="42"/>
        <v>#REF!</v>
      </c>
      <c r="I93" s="1103"/>
      <c r="J93" s="1096" t="e">
        <f t="shared" si="43"/>
        <v>#REF!</v>
      </c>
      <c r="K93" s="1096"/>
      <c r="L93" s="1096" t="e">
        <f t="shared" si="44"/>
        <v>#REF!</v>
      </c>
      <c r="M93" s="1103"/>
      <c r="N93" s="1096" t="e">
        <f t="shared" si="45"/>
        <v>#REF!</v>
      </c>
      <c r="O93" s="1098">
        <f t="shared" si="46"/>
        <v>0</v>
      </c>
      <c r="P93" s="1096" t="e">
        <f t="shared" si="47"/>
        <v>#REF!</v>
      </c>
      <c r="Q93" s="1098">
        <f t="shared" si="48"/>
        <v>0</v>
      </c>
      <c r="R93" s="1096">
        <f>R92-R88</f>
        <v>-2176834.6027500257</v>
      </c>
      <c r="S93" s="1107"/>
      <c r="T93" s="1104"/>
    </row>
    <row r="94" spans="1:28" s="1108" customFormat="1" hidden="1">
      <c r="A94" s="1085"/>
      <c r="B94" s="933" t="s">
        <v>4297</v>
      </c>
      <c r="C94" s="1138" t="e">
        <f>#REF!</f>
        <v>#REF!</v>
      </c>
      <c r="D94" s="1108" t="s">
        <v>306</v>
      </c>
      <c r="E94" s="1240"/>
      <c r="F94" s="1097" t="e">
        <f t="shared" ref="F94:F157" si="50">E94*C94</f>
        <v>#REF!</v>
      </c>
      <c r="G94" s="1103"/>
      <c r="H94" s="1096" t="e">
        <f t="shared" ref="H94:H157" si="51">G94*C94</f>
        <v>#REF!</v>
      </c>
      <c r="I94" s="1103"/>
      <c r="J94" s="1096" t="e">
        <f t="shared" ref="J94:J157" si="52">I94*C94</f>
        <v>#REF!</v>
      </c>
      <c r="K94" s="1096"/>
      <c r="L94" s="1096" t="e">
        <f t="shared" ref="L94:L157" si="53">K94*C94</f>
        <v>#REF!</v>
      </c>
      <c r="M94" s="1103"/>
      <c r="N94" s="1096" t="e">
        <f t="shared" ref="N94:N157" si="54">M94*C94</f>
        <v>#REF!</v>
      </c>
      <c r="O94" s="1098">
        <f t="shared" ref="O94:O157" si="55">I94+K94+M94</f>
        <v>0</v>
      </c>
      <c r="P94" s="1096" t="e">
        <f t="shared" ref="P94:P157" si="56">O94*C94</f>
        <v>#REF!</v>
      </c>
      <c r="Q94" s="1098">
        <f t="shared" ref="Q94:Q157" si="57">O94+E94+G94</f>
        <v>0</v>
      </c>
      <c r="R94" s="1096" t="e">
        <f t="shared" ref="R94:R157" si="58">Q94*C94</f>
        <v>#REF!</v>
      </c>
      <c r="S94" s="1107"/>
      <c r="T94" s="1104"/>
    </row>
    <row r="95" spans="1:28" s="1108" customFormat="1" hidden="1">
      <c r="A95" s="1085"/>
      <c r="B95" s="933" t="s">
        <v>4291</v>
      </c>
      <c r="C95" s="1138"/>
      <c r="D95" s="1108" t="s">
        <v>306</v>
      </c>
      <c r="E95" s="1240"/>
      <c r="F95" s="1097">
        <f t="shared" si="50"/>
        <v>0</v>
      </c>
      <c r="G95" s="1103"/>
      <c r="H95" s="1096">
        <f t="shared" si="51"/>
        <v>0</v>
      </c>
      <c r="I95" s="1103"/>
      <c r="J95" s="1096">
        <f t="shared" si="52"/>
        <v>0</v>
      </c>
      <c r="K95" s="1096"/>
      <c r="L95" s="1096">
        <f t="shared" si="53"/>
        <v>0</v>
      </c>
      <c r="M95" s="1103"/>
      <c r="N95" s="1096">
        <f t="shared" si="54"/>
        <v>0</v>
      </c>
      <c r="O95" s="1098">
        <f t="shared" si="55"/>
        <v>0</v>
      </c>
      <c r="P95" s="1096">
        <f t="shared" si="56"/>
        <v>0</v>
      </c>
      <c r="Q95" s="1098">
        <f t="shared" si="57"/>
        <v>0</v>
      </c>
      <c r="R95" s="1096">
        <f t="shared" si="58"/>
        <v>0</v>
      </c>
      <c r="S95" s="1107"/>
      <c r="T95" s="1104"/>
    </row>
    <row r="96" spans="1:28" s="1108" customFormat="1" ht="46.5" hidden="1">
      <c r="A96" s="1085"/>
      <c r="B96" s="933" t="s">
        <v>4468</v>
      </c>
      <c r="C96" s="1138"/>
      <c r="D96" s="1108" t="s">
        <v>306</v>
      </c>
      <c r="E96" s="1240"/>
      <c r="F96" s="1097">
        <f t="shared" si="50"/>
        <v>0</v>
      </c>
      <c r="G96" s="1103"/>
      <c r="H96" s="1096">
        <f t="shared" si="51"/>
        <v>0</v>
      </c>
      <c r="I96" s="1103"/>
      <c r="J96" s="1096">
        <f t="shared" si="52"/>
        <v>0</v>
      </c>
      <c r="K96" s="1096"/>
      <c r="L96" s="1096">
        <f t="shared" si="53"/>
        <v>0</v>
      </c>
      <c r="M96" s="1103"/>
      <c r="N96" s="1096">
        <f t="shared" si="54"/>
        <v>0</v>
      </c>
      <c r="O96" s="1098">
        <f t="shared" si="55"/>
        <v>0</v>
      </c>
      <c r="P96" s="1096">
        <f t="shared" si="56"/>
        <v>0</v>
      </c>
      <c r="Q96" s="1098">
        <f t="shared" si="57"/>
        <v>0</v>
      </c>
      <c r="R96" s="1096">
        <f t="shared" si="58"/>
        <v>0</v>
      </c>
      <c r="S96" s="1107"/>
      <c r="T96" s="1104"/>
    </row>
    <row r="97" spans="1:20" s="1108" customFormat="1" ht="46.5" hidden="1">
      <c r="A97" s="1085"/>
      <c r="B97" s="933" t="s">
        <v>4469</v>
      </c>
      <c r="C97" s="1138"/>
      <c r="D97" s="1108" t="s">
        <v>306</v>
      </c>
      <c r="E97" s="1240"/>
      <c r="F97" s="1097">
        <f t="shared" si="50"/>
        <v>0</v>
      </c>
      <c r="G97" s="1103"/>
      <c r="H97" s="1096">
        <f t="shared" si="51"/>
        <v>0</v>
      </c>
      <c r="I97" s="1103"/>
      <c r="J97" s="1096">
        <f t="shared" si="52"/>
        <v>0</v>
      </c>
      <c r="K97" s="1096"/>
      <c r="L97" s="1096">
        <f t="shared" si="53"/>
        <v>0</v>
      </c>
      <c r="M97" s="1103"/>
      <c r="N97" s="1096">
        <f t="shared" si="54"/>
        <v>0</v>
      </c>
      <c r="O97" s="1098">
        <f t="shared" si="55"/>
        <v>0</v>
      </c>
      <c r="P97" s="1096">
        <f t="shared" si="56"/>
        <v>0</v>
      </c>
      <c r="Q97" s="1098">
        <f t="shared" si="57"/>
        <v>0</v>
      </c>
      <c r="R97" s="1096">
        <f t="shared" si="58"/>
        <v>0</v>
      </c>
      <c r="S97" s="1107"/>
      <c r="T97" s="1104"/>
    </row>
    <row r="98" spans="1:20" s="1108" customFormat="1" ht="46.5" hidden="1">
      <c r="A98" s="1085"/>
      <c r="B98" s="933" t="s">
        <v>4470</v>
      </c>
      <c r="C98" s="1138"/>
      <c r="D98" s="1108" t="s">
        <v>306</v>
      </c>
      <c r="E98" s="1240"/>
      <c r="F98" s="1097">
        <f t="shared" si="50"/>
        <v>0</v>
      </c>
      <c r="G98" s="1103"/>
      <c r="H98" s="1096">
        <f t="shared" si="51"/>
        <v>0</v>
      </c>
      <c r="I98" s="1103"/>
      <c r="J98" s="1096">
        <f t="shared" si="52"/>
        <v>0</v>
      </c>
      <c r="K98" s="1096"/>
      <c r="L98" s="1096">
        <f t="shared" si="53"/>
        <v>0</v>
      </c>
      <c r="M98" s="1103"/>
      <c r="N98" s="1096">
        <f t="shared" si="54"/>
        <v>0</v>
      </c>
      <c r="O98" s="1098">
        <f t="shared" si="55"/>
        <v>0</v>
      </c>
      <c r="P98" s="1096">
        <f t="shared" si="56"/>
        <v>0</v>
      </c>
      <c r="Q98" s="1098">
        <f t="shared" si="57"/>
        <v>0</v>
      </c>
      <c r="R98" s="1096">
        <f t="shared" si="58"/>
        <v>0</v>
      </c>
      <c r="S98" s="1107"/>
      <c r="T98" s="1104"/>
    </row>
    <row r="99" spans="1:20" s="1108" customFormat="1" hidden="1">
      <c r="A99" s="1085"/>
      <c r="B99" s="933" t="s">
        <v>4471</v>
      </c>
      <c r="C99" s="1138">
        <f>8.2*1500</f>
        <v>12299.999999999998</v>
      </c>
      <c r="D99" s="1108" t="s">
        <v>340</v>
      </c>
      <c r="E99" s="1240"/>
      <c r="F99" s="1097">
        <f t="shared" si="50"/>
        <v>0</v>
      </c>
      <c r="G99" s="1103"/>
      <c r="H99" s="1096">
        <f t="shared" si="51"/>
        <v>0</v>
      </c>
      <c r="I99" s="1103"/>
      <c r="J99" s="1096">
        <f t="shared" si="52"/>
        <v>0</v>
      </c>
      <c r="K99" s="1096"/>
      <c r="L99" s="1096">
        <f t="shared" si="53"/>
        <v>0</v>
      </c>
      <c r="M99" s="1103"/>
      <c r="N99" s="1096">
        <f t="shared" si="54"/>
        <v>0</v>
      </c>
      <c r="O99" s="1098">
        <f t="shared" si="55"/>
        <v>0</v>
      </c>
      <c r="P99" s="1096">
        <f t="shared" si="56"/>
        <v>0</v>
      </c>
      <c r="Q99" s="1098">
        <f t="shared" si="57"/>
        <v>0</v>
      </c>
      <c r="R99" s="1096">
        <f t="shared" si="58"/>
        <v>0</v>
      </c>
      <c r="S99" s="1107"/>
      <c r="T99" s="1104"/>
    </row>
    <row r="100" spans="1:20" s="1108" customFormat="1" hidden="1">
      <c r="A100" s="1085"/>
      <c r="B100" s="933" t="s">
        <v>4472</v>
      </c>
      <c r="C100" s="1138" t="e">
        <f>#REF!</f>
        <v>#REF!</v>
      </c>
      <c r="D100" s="1108" t="s">
        <v>306</v>
      </c>
      <c r="E100" s="1240"/>
      <c r="F100" s="1097" t="e">
        <f t="shared" si="50"/>
        <v>#REF!</v>
      </c>
      <c r="G100" s="1103"/>
      <c r="H100" s="1096" t="e">
        <f t="shared" si="51"/>
        <v>#REF!</v>
      </c>
      <c r="I100" s="1103"/>
      <c r="J100" s="1096" t="e">
        <f t="shared" si="52"/>
        <v>#REF!</v>
      </c>
      <c r="K100" s="1096"/>
      <c r="L100" s="1096" t="e">
        <f t="shared" si="53"/>
        <v>#REF!</v>
      </c>
      <c r="M100" s="1103"/>
      <c r="N100" s="1096" t="e">
        <f t="shared" si="54"/>
        <v>#REF!</v>
      </c>
      <c r="O100" s="1098">
        <f t="shared" si="55"/>
        <v>0</v>
      </c>
      <c r="P100" s="1096" t="e">
        <f t="shared" si="56"/>
        <v>#REF!</v>
      </c>
      <c r="Q100" s="1098">
        <f t="shared" si="57"/>
        <v>0</v>
      </c>
      <c r="R100" s="1096" t="e">
        <f t="shared" si="58"/>
        <v>#REF!</v>
      </c>
      <c r="S100" s="1107"/>
      <c r="T100" s="1104"/>
    </row>
    <row r="101" spans="1:20" s="1108" customFormat="1" hidden="1">
      <c r="A101" s="1085"/>
      <c r="B101" s="933" t="s">
        <v>4473</v>
      </c>
      <c r="C101" s="1138" t="e">
        <f>#REF!</f>
        <v>#REF!</v>
      </c>
      <c r="D101" s="1108" t="s">
        <v>306</v>
      </c>
      <c r="E101" s="1240"/>
      <c r="F101" s="1097" t="e">
        <f t="shared" si="50"/>
        <v>#REF!</v>
      </c>
      <c r="G101" s="1103"/>
      <c r="H101" s="1096" t="e">
        <f t="shared" si="51"/>
        <v>#REF!</v>
      </c>
      <c r="I101" s="1103"/>
      <c r="J101" s="1096" t="e">
        <f t="shared" si="52"/>
        <v>#REF!</v>
      </c>
      <c r="K101" s="1096"/>
      <c r="L101" s="1096" t="e">
        <f t="shared" si="53"/>
        <v>#REF!</v>
      </c>
      <c r="M101" s="1103"/>
      <c r="N101" s="1096" t="e">
        <f t="shared" si="54"/>
        <v>#REF!</v>
      </c>
      <c r="O101" s="1098">
        <f t="shared" si="55"/>
        <v>0</v>
      </c>
      <c r="P101" s="1096" t="e">
        <f t="shared" si="56"/>
        <v>#REF!</v>
      </c>
      <c r="Q101" s="1098">
        <f t="shared" si="57"/>
        <v>0</v>
      </c>
      <c r="R101" s="1096" t="e">
        <f t="shared" si="58"/>
        <v>#REF!</v>
      </c>
      <c r="S101" s="1107"/>
      <c r="T101" s="1104"/>
    </row>
    <row r="102" spans="1:20" s="1108" customFormat="1" hidden="1">
      <c r="A102" s="1085"/>
      <c r="B102" s="933" t="s">
        <v>4474</v>
      </c>
      <c r="C102" s="1138" t="e">
        <f>#REF!</f>
        <v>#REF!</v>
      </c>
      <c r="D102" s="1108" t="s">
        <v>306</v>
      </c>
      <c r="E102" s="1240"/>
      <c r="F102" s="1097" t="e">
        <f t="shared" si="50"/>
        <v>#REF!</v>
      </c>
      <c r="G102" s="1103"/>
      <c r="H102" s="1096" t="e">
        <f t="shared" si="51"/>
        <v>#REF!</v>
      </c>
      <c r="I102" s="1103"/>
      <c r="J102" s="1096" t="e">
        <f t="shared" si="52"/>
        <v>#REF!</v>
      </c>
      <c r="K102" s="1096"/>
      <c r="L102" s="1096" t="e">
        <f t="shared" si="53"/>
        <v>#REF!</v>
      </c>
      <c r="M102" s="1103"/>
      <c r="N102" s="1096" t="e">
        <f t="shared" si="54"/>
        <v>#REF!</v>
      </c>
      <c r="O102" s="1098">
        <f t="shared" si="55"/>
        <v>0</v>
      </c>
      <c r="P102" s="1096" t="e">
        <f t="shared" si="56"/>
        <v>#REF!</v>
      </c>
      <c r="Q102" s="1098">
        <f t="shared" si="57"/>
        <v>0</v>
      </c>
      <c r="R102" s="1096" t="e">
        <f t="shared" si="58"/>
        <v>#REF!</v>
      </c>
      <c r="S102" s="1107"/>
      <c r="T102" s="1104"/>
    </row>
    <row r="103" spans="1:20" s="1108" customFormat="1" hidden="1">
      <c r="A103" s="1085"/>
      <c r="B103" s="933" t="s">
        <v>4475</v>
      </c>
      <c r="C103" s="1138" t="e">
        <f>#REF!</f>
        <v>#REF!</v>
      </c>
      <c r="D103" s="1108" t="s">
        <v>306</v>
      </c>
      <c r="E103" s="1240"/>
      <c r="F103" s="1097" t="e">
        <f t="shared" si="50"/>
        <v>#REF!</v>
      </c>
      <c r="G103" s="1103"/>
      <c r="H103" s="1096" t="e">
        <f t="shared" si="51"/>
        <v>#REF!</v>
      </c>
      <c r="I103" s="1103"/>
      <c r="J103" s="1096" t="e">
        <f t="shared" si="52"/>
        <v>#REF!</v>
      </c>
      <c r="K103" s="1096"/>
      <c r="L103" s="1096" t="e">
        <f t="shared" si="53"/>
        <v>#REF!</v>
      </c>
      <c r="M103" s="1103"/>
      <c r="N103" s="1096" t="e">
        <f t="shared" si="54"/>
        <v>#REF!</v>
      </c>
      <c r="O103" s="1098">
        <f t="shared" si="55"/>
        <v>0</v>
      </c>
      <c r="P103" s="1096" t="e">
        <f t="shared" si="56"/>
        <v>#REF!</v>
      </c>
      <c r="Q103" s="1098">
        <f t="shared" si="57"/>
        <v>0</v>
      </c>
      <c r="R103" s="1096" t="e">
        <f t="shared" si="58"/>
        <v>#REF!</v>
      </c>
      <c r="S103" s="1107"/>
      <c r="T103" s="1104"/>
    </row>
    <row r="104" spans="1:20" s="1108" customFormat="1" hidden="1">
      <c r="A104" s="1085"/>
      <c r="B104" s="933" t="s">
        <v>4476</v>
      </c>
      <c r="C104" s="1138" t="e">
        <f>#REF!</f>
        <v>#REF!</v>
      </c>
      <c r="D104" s="1108" t="s">
        <v>306</v>
      </c>
      <c r="E104" s="1240"/>
      <c r="F104" s="1097" t="e">
        <f t="shared" si="50"/>
        <v>#REF!</v>
      </c>
      <c r="G104" s="1103"/>
      <c r="H104" s="1096" t="e">
        <f t="shared" si="51"/>
        <v>#REF!</v>
      </c>
      <c r="I104" s="1103"/>
      <c r="J104" s="1096" t="e">
        <f t="shared" si="52"/>
        <v>#REF!</v>
      </c>
      <c r="K104" s="1096"/>
      <c r="L104" s="1096" t="e">
        <f t="shared" si="53"/>
        <v>#REF!</v>
      </c>
      <c r="M104" s="1103"/>
      <c r="N104" s="1096" t="e">
        <f t="shared" si="54"/>
        <v>#REF!</v>
      </c>
      <c r="O104" s="1098">
        <f t="shared" si="55"/>
        <v>0</v>
      </c>
      <c r="P104" s="1096" t="e">
        <f t="shared" si="56"/>
        <v>#REF!</v>
      </c>
      <c r="Q104" s="1098">
        <f t="shared" si="57"/>
        <v>0</v>
      </c>
      <c r="R104" s="1096" t="e">
        <f t="shared" si="58"/>
        <v>#REF!</v>
      </c>
      <c r="S104" s="1107"/>
      <c r="T104" s="1104"/>
    </row>
    <row r="105" spans="1:20" s="1108" customFormat="1" hidden="1">
      <c r="A105" s="1085"/>
      <c r="B105" s="1322" t="s">
        <v>4477</v>
      </c>
      <c r="C105" s="1085" t="e">
        <f>#REF!</f>
        <v>#REF!</v>
      </c>
      <c r="D105" s="1108" t="s">
        <v>306</v>
      </c>
      <c r="E105" s="1240"/>
      <c r="F105" s="1097" t="e">
        <f t="shared" si="50"/>
        <v>#REF!</v>
      </c>
      <c r="G105" s="1103"/>
      <c r="H105" s="1096" t="e">
        <f t="shared" si="51"/>
        <v>#REF!</v>
      </c>
      <c r="I105" s="1103"/>
      <c r="J105" s="1096" t="e">
        <f t="shared" si="52"/>
        <v>#REF!</v>
      </c>
      <c r="K105" s="1096"/>
      <c r="L105" s="1096" t="e">
        <f t="shared" si="53"/>
        <v>#REF!</v>
      </c>
      <c r="M105" s="1103"/>
      <c r="N105" s="1096" t="e">
        <f t="shared" si="54"/>
        <v>#REF!</v>
      </c>
      <c r="O105" s="1098">
        <f t="shared" si="55"/>
        <v>0</v>
      </c>
      <c r="P105" s="1096" t="e">
        <f t="shared" si="56"/>
        <v>#REF!</v>
      </c>
      <c r="Q105" s="1098">
        <f t="shared" si="57"/>
        <v>0</v>
      </c>
      <c r="R105" s="1096" t="e">
        <f t="shared" si="58"/>
        <v>#REF!</v>
      </c>
      <c r="S105" s="1107"/>
      <c r="T105" s="1104"/>
    </row>
    <row r="106" spans="1:20" s="1108" customFormat="1" hidden="1">
      <c r="A106" s="1085"/>
      <c r="B106" s="1322" t="s">
        <v>4478</v>
      </c>
      <c r="C106" s="1085">
        <f>5000*8.2</f>
        <v>41000</v>
      </c>
      <c r="D106" s="1108" t="s">
        <v>340</v>
      </c>
      <c r="E106" s="1240"/>
      <c r="F106" s="1097">
        <f t="shared" si="50"/>
        <v>0</v>
      </c>
      <c r="G106" s="1103"/>
      <c r="H106" s="1096">
        <f t="shared" si="51"/>
        <v>0</v>
      </c>
      <c r="I106" s="1103"/>
      <c r="J106" s="1096">
        <f t="shared" si="52"/>
        <v>0</v>
      </c>
      <c r="K106" s="1096"/>
      <c r="L106" s="1096">
        <f t="shared" si="53"/>
        <v>0</v>
      </c>
      <c r="M106" s="1103"/>
      <c r="N106" s="1096">
        <f t="shared" si="54"/>
        <v>0</v>
      </c>
      <c r="O106" s="1098">
        <f t="shared" si="55"/>
        <v>0</v>
      </c>
      <c r="P106" s="1096">
        <f t="shared" si="56"/>
        <v>0</v>
      </c>
      <c r="Q106" s="1098">
        <f t="shared" si="57"/>
        <v>0</v>
      </c>
      <c r="R106" s="1096">
        <f t="shared" si="58"/>
        <v>0</v>
      </c>
      <c r="S106" s="1107"/>
      <c r="T106" s="1104"/>
    </row>
    <row r="107" spans="1:20" s="1108" customFormat="1" hidden="1">
      <c r="A107" s="1085"/>
      <c r="B107" s="1322" t="e">
        <f>#REF!</f>
        <v>#REF!</v>
      </c>
      <c r="C107" s="1085" t="e">
        <f>#REF!</f>
        <v>#REF!</v>
      </c>
      <c r="D107" s="1108" t="s">
        <v>306</v>
      </c>
      <c r="E107" s="1240"/>
      <c r="F107" s="1097" t="e">
        <f t="shared" si="50"/>
        <v>#REF!</v>
      </c>
      <c r="G107" s="1103"/>
      <c r="H107" s="1096" t="e">
        <f t="shared" si="51"/>
        <v>#REF!</v>
      </c>
      <c r="I107" s="1103"/>
      <c r="J107" s="1096" t="e">
        <f t="shared" si="52"/>
        <v>#REF!</v>
      </c>
      <c r="K107" s="1096"/>
      <c r="L107" s="1096" t="e">
        <f t="shared" si="53"/>
        <v>#REF!</v>
      </c>
      <c r="M107" s="1103"/>
      <c r="N107" s="1096" t="e">
        <f t="shared" si="54"/>
        <v>#REF!</v>
      </c>
      <c r="O107" s="1098">
        <f t="shared" si="55"/>
        <v>0</v>
      </c>
      <c r="P107" s="1096" t="e">
        <f t="shared" si="56"/>
        <v>#REF!</v>
      </c>
      <c r="Q107" s="1098">
        <f t="shared" si="57"/>
        <v>0</v>
      </c>
      <c r="R107" s="1096" t="e">
        <f t="shared" si="58"/>
        <v>#REF!</v>
      </c>
      <c r="S107" s="1107"/>
      <c r="T107" s="1104"/>
    </row>
    <row r="108" spans="1:20" s="1108" customFormat="1" hidden="1">
      <c r="A108" s="1085"/>
      <c r="B108" s="1322" t="s">
        <v>1794</v>
      </c>
      <c r="C108" s="1085" t="e">
        <f>#REF!</f>
        <v>#REF!</v>
      </c>
      <c r="D108" s="1108" t="s">
        <v>306</v>
      </c>
      <c r="E108" s="1240"/>
      <c r="F108" s="1097" t="e">
        <f t="shared" si="50"/>
        <v>#REF!</v>
      </c>
      <c r="G108" s="1103"/>
      <c r="H108" s="1096" t="e">
        <f t="shared" si="51"/>
        <v>#REF!</v>
      </c>
      <c r="I108" s="1103"/>
      <c r="J108" s="1096" t="e">
        <f t="shared" si="52"/>
        <v>#REF!</v>
      </c>
      <c r="K108" s="1096"/>
      <c r="L108" s="1096" t="e">
        <f t="shared" si="53"/>
        <v>#REF!</v>
      </c>
      <c r="M108" s="1103"/>
      <c r="N108" s="1096" t="e">
        <f t="shared" si="54"/>
        <v>#REF!</v>
      </c>
      <c r="O108" s="1098">
        <f t="shared" si="55"/>
        <v>0</v>
      </c>
      <c r="P108" s="1096" t="e">
        <f t="shared" si="56"/>
        <v>#REF!</v>
      </c>
      <c r="Q108" s="1098">
        <f t="shared" si="57"/>
        <v>0</v>
      </c>
      <c r="R108" s="1096" t="e">
        <f t="shared" si="58"/>
        <v>#REF!</v>
      </c>
      <c r="S108" s="1107"/>
      <c r="T108" s="1104"/>
    </row>
    <row r="109" spans="1:20" s="1108" customFormat="1" hidden="1">
      <c r="A109" s="1085"/>
      <c r="B109" s="1322" t="s">
        <v>4479</v>
      </c>
      <c r="C109" s="1085" t="e">
        <f>#REF!</f>
        <v>#REF!</v>
      </c>
      <c r="D109" s="1108" t="s">
        <v>306</v>
      </c>
      <c r="E109" s="1240"/>
      <c r="F109" s="1097" t="e">
        <f t="shared" si="50"/>
        <v>#REF!</v>
      </c>
      <c r="G109" s="1103"/>
      <c r="H109" s="1096" t="e">
        <f t="shared" si="51"/>
        <v>#REF!</v>
      </c>
      <c r="I109" s="1103"/>
      <c r="J109" s="1096" t="e">
        <f t="shared" si="52"/>
        <v>#REF!</v>
      </c>
      <c r="K109" s="1096"/>
      <c r="L109" s="1096" t="e">
        <f t="shared" si="53"/>
        <v>#REF!</v>
      </c>
      <c r="M109" s="1103"/>
      <c r="N109" s="1096" t="e">
        <f t="shared" si="54"/>
        <v>#REF!</v>
      </c>
      <c r="O109" s="1098">
        <f t="shared" si="55"/>
        <v>0</v>
      </c>
      <c r="P109" s="1096" t="e">
        <f t="shared" si="56"/>
        <v>#REF!</v>
      </c>
      <c r="Q109" s="1098">
        <f t="shared" si="57"/>
        <v>0</v>
      </c>
      <c r="R109" s="1096" t="e">
        <f t="shared" si="58"/>
        <v>#REF!</v>
      </c>
      <c r="S109" s="1107"/>
      <c r="T109" s="1104"/>
    </row>
    <row r="110" spans="1:20" s="1108" customFormat="1" hidden="1">
      <c r="A110" s="1085"/>
      <c r="B110" s="1322" t="s">
        <v>4480</v>
      </c>
      <c r="C110" s="1085" t="e">
        <f>#REF!</f>
        <v>#REF!</v>
      </c>
      <c r="D110" s="1108" t="s">
        <v>306</v>
      </c>
      <c r="E110" s="1240"/>
      <c r="F110" s="1097" t="e">
        <f t="shared" si="50"/>
        <v>#REF!</v>
      </c>
      <c r="G110" s="1103"/>
      <c r="H110" s="1096" t="e">
        <f t="shared" si="51"/>
        <v>#REF!</v>
      </c>
      <c r="I110" s="1103"/>
      <c r="J110" s="1096" t="e">
        <f t="shared" si="52"/>
        <v>#REF!</v>
      </c>
      <c r="K110" s="1096"/>
      <c r="L110" s="1096" t="e">
        <f t="shared" si="53"/>
        <v>#REF!</v>
      </c>
      <c r="M110" s="1103"/>
      <c r="N110" s="1096" t="e">
        <f t="shared" si="54"/>
        <v>#REF!</v>
      </c>
      <c r="O110" s="1098">
        <f t="shared" si="55"/>
        <v>0</v>
      </c>
      <c r="P110" s="1096" t="e">
        <f t="shared" si="56"/>
        <v>#REF!</v>
      </c>
      <c r="Q110" s="1098">
        <f t="shared" si="57"/>
        <v>0</v>
      </c>
      <c r="R110" s="1096" t="e">
        <f t="shared" si="58"/>
        <v>#REF!</v>
      </c>
      <c r="S110" s="1107"/>
      <c r="T110" s="1104"/>
    </row>
    <row r="111" spans="1:20" s="1108" customFormat="1" hidden="1">
      <c r="A111" s="1085"/>
      <c r="B111" s="1322" t="s">
        <v>4481</v>
      </c>
      <c r="C111" s="1085" t="e">
        <f>#REF!</f>
        <v>#REF!</v>
      </c>
      <c r="D111" s="1108" t="s">
        <v>306</v>
      </c>
      <c r="E111" s="1240"/>
      <c r="F111" s="1097" t="e">
        <f t="shared" si="50"/>
        <v>#REF!</v>
      </c>
      <c r="G111" s="1103"/>
      <c r="H111" s="1096" t="e">
        <f t="shared" si="51"/>
        <v>#REF!</v>
      </c>
      <c r="I111" s="1103"/>
      <c r="J111" s="1096" t="e">
        <f t="shared" si="52"/>
        <v>#REF!</v>
      </c>
      <c r="K111" s="1096"/>
      <c r="L111" s="1096" t="e">
        <f t="shared" si="53"/>
        <v>#REF!</v>
      </c>
      <c r="M111" s="1103"/>
      <c r="N111" s="1096" t="e">
        <f t="shared" si="54"/>
        <v>#REF!</v>
      </c>
      <c r="O111" s="1098">
        <f t="shared" si="55"/>
        <v>0</v>
      </c>
      <c r="P111" s="1096" t="e">
        <f t="shared" si="56"/>
        <v>#REF!</v>
      </c>
      <c r="Q111" s="1098">
        <f t="shared" si="57"/>
        <v>0</v>
      </c>
      <c r="R111" s="1096" t="e">
        <f t="shared" si="58"/>
        <v>#REF!</v>
      </c>
      <c r="S111" s="1107"/>
      <c r="T111" s="1104"/>
    </row>
    <row r="112" spans="1:20" s="1108" customFormat="1" ht="69.75" hidden="1">
      <c r="A112" s="1085"/>
      <c r="B112" s="1262" t="s">
        <v>4482</v>
      </c>
      <c r="C112" s="1085" t="e">
        <f>#REF!</f>
        <v>#REF!</v>
      </c>
      <c r="D112" s="1108" t="s">
        <v>306</v>
      </c>
      <c r="E112" s="1240"/>
      <c r="F112" s="1097" t="e">
        <f t="shared" si="50"/>
        <v>#REF!</v>
      </c>
      <c r="G112" s="1103"/>
      <c r="H112" s="1096" t="e">
        <f t="shared" si="51"/>
        <v>#REF!</v>
      </c>
      <c r="I112" s="1103"/>
      <c r="J112" s="1096" t="e">
        <f t="shared" si="52"/>
        <v>#REF!</v>
      </c>
      <c r="K112" s="1096"/>
      <c r="L112" s="1096" t="e">
        <f t="shared" si="53"/>
        <v>#REF!</v>
      </c>
      <c r="M112" s="1103"/>
      <c r="N112" s="1096" t="e">
        <f t="shared" si="54"/>
        <v>#REF!</v>
      </c>
      <c r="O112" s="1098">
        <f t="shared" si="55"/>
        <v>0</v>
      </c>
      <c r="P112" s="1096" t="e">
        <f t="shared" si="56"/>
        <v>#REF!</v>
      </c>
      <c r="Q112" s="1098">
        <f t="shared" si="57"/>
        <v>0</v>
      </c>
      <c r="R112" s="1096" t="e">
        <f t="shared" si="58"/>
        <v>#REF!</v>
      </c>
      <c r="S112" s="1107"/>
      <c r="T112" s="1104"/>
    </row>
    <row r="113" spans="1:20" s="1108" customFormat="1" ht="69.75" hidden="1">
      <c r="A113" s="1085"/>
      <c r="B113" s="1262" t="s">
        <v>4483</v>
      </c>
      <c r="C113" s="1085" t="e">
        <f>#REF!</f>
        <v>#REF!</v>
      </c>
      <c r="D113" s="1108" t="s">
        <v>306</v>
      </c>
      <c r="E113" s="1240"/>
      <c r="F113" s="1097" t="e">
        <f t="shared" si="50"/>
        <v>#REF!</v>
      </c>
      <c r="G113" s="1103"/>
      <c r="H113" s="1096" t="e">
        <f t="shared" si="51"/>
        <v>#REF!</v>
      </c>
      <c r="I113" s="1103"/>
      <c r="J113" s="1096" t="e">
        <f t="shared" si="52"/>
        <v>#REF!</v>
      </c>
      <c r="K113" s="1096"/>
      <c r="L113" s="1096" t="e">
        <f t="shared" si="53"/>
        <v>#REF!</v>
      </c>
      <c r="M113" s="1103"/>
      <c r="N113" s="1096" t="e">
        <f t="shared" si="54"/>
        <v>#REF!</v>
      </c>
      <c r="O113" s="1098">
        <f t="shared" si="55"/>
        <v>0</v>
      </c>
      <c r="P113" s="1096" t="e">
        <f t="shared" si="56"/>
        <v>#REF!</v>
      </c>
      <c r="Q113" s="1098">
        <f t="shared" si="57"/>
        <v>0</v>
      </c>
      <c r="R113" s="1096" t="e">
        <f t="shared" si="58"/>
        <v>#REF!</v>
      </c>
      <c r="S113" s="1107"/>
      <c r="T113" s="1104"/>
    </row>
    <row r="114" spans="1:20" s="1108" customFormat="1" ht="46.5" hidden="1">
      <c r="A114" s="1085"/>
      <c r="B114" s="933" t="s">
        <v>2893</v>
      </c>
      <c r="C114" s="1085" t="e">
        <f>#REF!</f>
        <v>#REF!</v>
      </c>
      <c r="D114" s="1108" t="s">
        <v>306</v>
      </c>
      <c r="E114" s="1240"/>
      <c r="F114" s="1097" t="e">
        <f t="shared" si="50"/>
        <v>#REF!</v>
      </c>
      <c r="G114" s="1103"/>
      <c r="H114" s="1096" t="e">
        <f t="shared" si="51"/>
        <v>#REF!</v>
      </c>
      <c r="I114" s="1103"/>
      <c r="J114" s="1096" t="e">
        <f t="shared" si="52"/>
        <v>#REF!</v>
      </c>
      <c r="K114" s="1096"/>
      <c r="L114" s="1096" t="e">
        <f t="shared" si="53"/>
        <v>#REF!</v>
      </c>
      <c r="M114" s="1103"/>
      <c r="N114" s="1096" t="e">
        <f t="shared" si="54"/>
        <v>#REF!</v>
      </c>
      <c r="O114" s="1098">
        <f t="shared" si="55"/>
        <v>0</v>
      </c>
      <c r="P114" s="1096" t="e">
        <f t="shared" si="56"/>
        <v>#REF!</v>
      </c>
      <c r="Q114" s="1098">
        <f t="shared" si="57"/>
        <v>0</v>
      </c>
      <c r="R114" s="1096" t="e">
        <f t="shared" si="58"/>
        <v>#REF!</v>
      </c>
      <c r="S114" s="1107"/>
      <c r="T114" s="1104"/>
    </row>
    <row r="115" spans="1:20" s="1108" customFormat="1" hidden="1">
      <c r="A115" s="1085"/>
      <c r="B115" s="1322" t="s">
        <v>4484</v>
      </c>
      <c r="C115" s="1085" t="e">
        <f>#REF!</f>
        <v>#REF!</v>
      </c>
      <c r="D115" s="1108" t="s">
        <v>306</v>
      </c>
      <c r="E115" s="1240"/>
      <c r="F115" s="1097" t="e">
        <f t="shared" si="50"/>
        <v>#REF!</v>
      </c>
      <c r="G115" s="1103"/>
      <c r="H115" s="1096" t="e">
        <f t="shared" si="51"/>
        <v>#REF!</v>
      </c>
      <c r="I115" s="1103"/>
      <c r="J115" s="1096" t="e">
        <f t="shared" si="52"/>
        <v>#REF!</v>
      </c>
      <c r="K115" s="1096"/>
      <c r="L115" s="1096" t="e">
        <f t="shared" si="53"/>
        <v>#REF!</v>
      </c>
      <c r="M115" s="1103"/>
      <c r="N115" s="1096" t="e">
        <f t="shared" si="54"/>
        <v>#REF!</v>
      </c>
      <c r="O115" s="1098">
        <f t="shared" si="55"/>
        <v>0</v>
      </c>
      <c r="P115" s="1096" t="e">
        <f t="shared" si="56"/>
        <v>#REF!</v>
      </c>
      <c r="Q115" s="1098">
        <f t="shared" si="57"/>
        <v>0</v>
      </c>
      <c r="R115" s="1096" t="e">
        <f t="shared" si="58"/>
        <v>#REF!</v>
      </c>
      <c r="S115" s="1107"/>
      <c r="T115" s="1104"/>
    </row>
    <row r="116" spans="1:20" s="1108" customFormat="1" hidden="1">
      <c r="A116" s="1085"/>
      <c r="B116" s="1322" t="s">
        <v>4485</v>
      </c>
      <c r="C116" s="1085" t="e">
        <f>#REF!</f>
        <v>#REF!</v>
      </c>
      <c r="D116" s="1108" t="s">
        <v>306</v>
      </c>
      <c r="E116" s="1240"/>
      <c r="F116" s="1097" t="e">
        <f t="shared" si="50"/>
        <v>#REF!</v>
      </c>
      <c r="G116" s="1103"/>
      <c r="H116" s="1096" t="e">
        <f t="shared" si="51"/>
        <v>#REF!</v>
      </c>
      <c r="I116" s="1103"/>
      <c r="J116" s="1096" t="e">
        <f t="shared" si="52"/>
        <v>#REF!</v>
      </c>
      <c r="K116" s="1096"/>
      <c r="L116" s="1096" t="e">
        <f t="shared" si="53"/>
        <v>#REF!</v>
      </c>
      <c r="M116" s="1103"/>
      <c r="N116" s="1096" t="e">
        <f t="shared" si="54"/>
        <v>#REF!</v>
      </c>
      <c r="O116" s="1098">
        <f t="shared" si="55"/>
        <v>0</v>
      </c>
      <c r="P116" s="1096" t="e">
        <f t="shared" si="56"/>
        <v>#REF!</v>
      </c>
      <c r="Q116" s="1098">
        <f t="shared" si="57"/>
        <v>0</v>
      </c>
      <c r="R116" s="1096" t="e">
        <f t="shared" si="58"/>
        <v>#REF!</v>
      </c>
      <c r="S116" s="1107"/>
      <c r="T116" s="1104"/>
    </row>
    <row r="117" spans="1:20" s="1108" customFormat="1" hidden="1">
      <c r="A117" s="1085"/>
      <c r="B117" s="1322" t="s">
        <v>4486</v>
      </c>
      <c r="C117" s="1085" t="e">
        <f>#REF!</f>
        <v>#REF!</v>
      </c>
      <c r="D117" s="1108" t="s">
        <v>306</v>
      </c>
      <c r="E117" s="1240"/>
      <c r="F117" s="1097" t="e">
        <f t="shared" si="50"/>
        <v>#REF!</v>
      </c>
      <c r="G117" s="1103"/>
      <c r="H117" s="1096" t="e">
        <f t="shared" si="51"/>
        <v>#REF!</v>
      </c>
      <c r="I117" s="1103"/>
      <c r="J117" s="1096" t="e">
        <f t="shared" si="52"/>
        <v>#REF!</v>
      </c>
      <c r="K117" s="1096"/>
      <c r="L117" s="1096" t="e">
        <f t="shared" si="53"/>
        <v>#REF!</v>
      </c>
      <c r="M117" s="1103"/>
      <c r="N117" s="1096" t="e">
        <f t="shared" si="54"/>
        <v>#REF!</v>
      </c>
      <c r="O117" s="1098">
        <f t="shared" si="55"/>
        <v>0</v>
      </c>
      <c r="P117" s="1096" t="e">
        <f t="shared" si="56"/>
        <v>#REF!</v>
      </c>
      <c r="Q117" s="1098">
        <f t="shared" si="57"/>
        <v>0</v>
      </c>
      <c r="R117" s="1096" t="e">
        <f t="shared" si="58"/>
        <v>#REF!</v>
      </c>
      <c r="S117" s="1107"/>
      <c r="T117" s="1104"/>
    </row>
    <row r="118" spans="1:20" s="1108" customFormat="1" hidden="1">
      <c r="A118" s="1085"/>
      <c r="B118" s="1322" t="s">
        <v>4487</v>
      </c>
      <c r="C118" s="1085" t="e">
        <f>#REF!</f>
        <v>#REF!</v>
      </c>
      <c r="D118" s="1108" t="s">
        <v>306</v>
      </c>
      <c r="E118" s="1240"/>
      <c r="F118" s="1097" t="e">
        <f t="shared" si="50"/>
        <v>#REF!</v>
      </c>
      <c r="G118" s="1103"/>
      <c r="H118" s="1096" t="e">
        <f t="shared" si="51"/>
        <v>#REF!</v>
      </c>
      <c r="I118" s="1103"/>
      <c r="J118" s="1096" t="e">
        <f t="shared" si="52"/>
        <v>#REF!</v>
      </c>
      <c r="K118" s="1096"/>
      <c r="L118" s="1096" t="e">
        <f t="shared" si="53"/>
        <v>#REF!</v>
      </c>
      <c r="M118" s="1103"/>
      <c r="N118" s="1096" t="e">
        <f t="shared" si="54"/>
        <v>#REF!</v>
      </c>
      <c r="O118" s="1098">
        <f t="shared" si="55"/>
        <v>0</v>
      </c>
      <c r="P118" s="1096" t="e">
        <f t="shared" si="56"/>
        <v>#REF!</v>
      </c>
      <c r="Q118" s="1098">
        <f t="shared" si="57"/>
        <v>0</v>
      </c>
      <c r="R118" s="1096" t="e">
        <f t="shared" si="58"/>
        <v>#REF!</v>
      </c>
      <c r="S118" s="1107"/>
      <c r="T118" s="1104"/>
    </row>
    <row r="119" spans="1:20" s="1108" customFormat="1" hidden="1">
      <c r="A119" s="1085"/>
      <c r="B119" s="1322" t="s">
        <v>4488</v>
      </c>
      <c r="C119" s="1085" t="e">
        <f>#REF!</f>
        <v>#REF!</v>
      </c>
      <c r="D119" s="1108" t="s">
        <v>340</v>
      </c>
      <c r="E119" s="1240"/>
      <c r="F119" s="1097" t="e">
        <f t="shared" si="50"/>
        <v>#REF!</v>
      </c>
      <c r="G119" s="1103"/>
      <c r="H119" s="1096" t="e">
        <f t="shared" si="51"/>
        <v>#REF!</v>
      </c>
      <c r="I119" s="1103"/>
      <c r="J119" s="1096" t="e">
        <f t="shared" si="52"/>
        <v>#REF!</v>
      </c>
      <c r="K119" s="1096"/>
      <c r="L119" s="1096" t="e">
        <f t="shared" si="53"/>
        <v>#REF!</v>
      </c>
      <c r="M119" s="1103"/>
      <c r="N119" s="1096" t="e">
        <f t="shared" si="54"/>
        <v>#REF!</v>
      </c>
      <c r="O119" s="1098">
        <f t="shared" si="55"/>
        <v>0</v>
      </c>
      <c r="P119" s="1096" t="e">
        <f t="shared" si="56"/>
        <v>#REF!</v>
      </c>
      <c r="Q119" s="1098">
        <f t="shared" si="57"/>
        <v>0</v>
      </c>
      <c r="R119" s="1096" t="e">
        <f t="shared" si="58"/>
        <v>#REF!</v>
      </c>
      <c r="S119" s="1107"/>
      <c r="T119" s="1104"/>
    </row>
    <row r="120" spans="1:20" s="1108" customFormat="1" hidden="1">
      <c r="A120" s="1085"/>
      <c r="B120" s="1322" t="s">
        <v>4489</v>
      </c>
      <c r="C120" s="1085" t="e">
        <f>#REF!</f>
        <v>#REF!</v>
      </c>
      <c r="D120" s="1108" t="s">
        <v>303</v>
      </c>
      <c r="E120" s="1240"/>
      <c r="F120" s="1097" t="e">
        <f t="shared" si="50"/>
        <v>#REF!</v>
      </c>
      <c r="G120" s="1103"/>
      <c r="H120" s="1096" t="e">
        <f t="shared" si="51"/>
        <v>#REF!</v>
      </c>
      <c r="I120" s="1103"/>
      <c r="J120" s="1096" t="e">
        <f t="shared" si="52"/>
        <v>#REF!</v>
      </c>
      <c r="K120" s="1096"/>
      <c r="L120" s="1096" t="e">
        <f t="shared" si="53"/>
        <v>#REF!</v>
      </c>
      <c r="M120" s="1103"/>
      <c r="N120" s="1096" t="e">
        <f t="shared" si="54"/>
        <v>#REF!</v>
      </c>
      <c r="O120" s="1098">
        <f t="shared" si="55"/>
        <v>0</v>
      </c>
      <c r="P120" s="1096" t="e">
        <f t="shared" si="56"/>
        <v>#REF!</v>
      </c>
      <c r="Q120" s="1098">
        <f t="shared" si="57"/>
        <v>0</v>
      </c>
      <c r="R120" s="1096" t="e">
        <f t="shared" si="58"/>
        <v>#REF!</v>
      </c>
      <c r="S120" s="1107"/>
      <c r="T120" s="1104"/>
    </row>
    <row r="121" spans="1:20" s="1108" customFormat="1" hidden="1">
      <c r="A121" s="1085"/>
      <c r="B121" s="1323" t="s">
        <v>4490</v>
      </c>
      <c r="C121" s="1085" t="e">
        <f>#REF!</f>
        <v>#REF!</v>
      </c>
      <c r="D121" s="1108" t="s">
        <v>340</v>
      </c>
      <c r="E121" s="1240"/>
      <c r="F121" s="1097" t="e">
        <f t="shared" si="50"/>
        <v>#REF!</v>
      </c>
      <c r="G121" s="1103"/>
      <c r="H121" s="1096" t="e">
        <f t="shared" si="51"/>
        <v>#REF!</v>
      </c>
      <c r="I121" s="1103"/>
      <c r="J121" s="1096" t="e">
        <f t="shared" si="52"/>
        <v>#REF!</v>
      </c>
      <c r="K121" s="1096"/>
      <c r="L121" s="1096" t="e">
        <f t="shared" si="53"/>
        <v>#REF!</v>
      </c>
      <c r="M121" s="1103"/>
      <c r="N121" s="1096" t="e">
        <f t="shared" si="54"/>
        <v>#REF!</v>
      </c>
      <c r="O121" s="1098">
        <f t="shared" si="55"/>
        <v>0</v>
      </c>
      <c r="P121" s="1096" t="e">
        <f t="shared" si="56"/>
        <v>#REF!</v>
      </c>
      <c r="Q121" s="1098">
        <f t="shared" si="57"/>
        <v>0</v>
      </c>
      <c r="R121" s="1096" t="e">
        <f t="shared" si="58"/>
        <v>#REF!</v>
      </c>
      <c r="S121" s="1107"/>
      <c r="T121" s="1104"/>
    </row>
    <row r="122" spans="1:20" s="1108" customFormat="1" hidden="1">
      <c r="A122" s="1085"/>
      <c r="B122" s="1322" t="s">
        <v>4491</v>
      </c>
      <c r="C122" s="1085" t="e">
        <f>#REF!</f>
        <v>#REF!</v>
      </c>
      <c r="D122" s="1108" t="s">
        <v>306</v>
      </c>
      <c r="E122" s="1240"/>
      <c r="F122" s="1097" t="e">
        <f t="shared" si="50"/>
        <v>#REF!</v>
      </c>
      <c r="G122" s="1103"/>
      <c r="H122" s="1096" t="e">
        <f t="shared" si="51"/>
        <v>#REF!</v>
      </c>
      <c r="I122" s="1103"/>
      <c r="J122" s="1096" t="e">
        <f t="shared" si="52"/>
        <v>#REF!</v>
      </c>
      <c r="K122" s="1096"/>
      <c r="L122" s="1096" t="e">
        <f t="shared" si="53"/>
        <v>#REF!</v>
      </c>
      <c r="M122" s="1103"/>
      <c r="N122" s="1096" t="e">
        <f t="shared" si="54"/>
        <v>#REF!</v>
      </c>
      <c r="O122" s="1098">
        <f t="shared" si="55"/>
        <v>0</v>
      </c>
      <c r="P122" s="1096" t="e">
        <f t="shared" si="56"/>
        <v>#REF!</v>
      </c>
      <c r="Q122" s="1098">
        <f t="shared" si="57"/>
        <v>0</v>
      </c>
      <c r="R122" s="1096" t="e">
        <f t="shared" si="58"/>
        <v>#REF!</v>
      </c>
      <c r="S122" s="1107"/>
      <c r="T122" s="1104"/>
    </row>
    <row r="123" spans="1:20" s="1108" customFormat="1" hidden="1">
      <c r="A123" s="1085"/>
      <c r="B123" s="1322" t="s">
        <v>4492</v>
      </c>
      <c r="C123" s="1085" t="e">
        <f>#REF!</f>
        <v>#REF!</v>
      </c>
      <c r="D123" s="1108" t="s">
        <v>306</v>
      </c>
      <c r="E123" s="1240"/>
      <c r="F123" s="1097" t="e">
        <f t="shared" si="50"/>
        <v>#REF!</v>
      </c>
      <c r="G123" s="1103"/>
      <c r="H123" s="1096" t="e">
        <f t="shared" si="51"/>
        <v>#REF!</v>
      </c>
      <c r="I123" s="1103"/>
      <c r="J123" s="1096" t="e">
        <f t="shared" si="52"/>
        <v>#REF!</v>
      </c>
      <c r="K123" s="1096"/>
      <c r="L123" s="1096" t="e">
        <f t="shared" si="53"/>
        <v>#REF!</v>
      </c>
      <c r="M123" s="1103"/>
      <c r="N123" s="1096" t="e">
        <f t="shared" si="54"/>
        <v>#REF!</v>
      </c>
      <c r="O123" s="1098">
        <f t="shared" si="55"/>
        <v>0</v>
      </c>
      <c r="P123" s="1096" t="e">
        <f t="shared" si="56"/>
        <v>#REF!</v>
      </c>
      <c r="Q123" s="1098">
        <f t="shared" si="57"/>
        <v>0</v>
      </c>
      <c r="R123" s="1096" t="e">
        <f t="shared" si="58"/>
        <v>#REF!</v>
      </c>
      <c r="S123" s="1107"/>
      <c r="T123" s="1104"/>
    </row>
    <row r="124" spans="1:20" s="1108" customFormat="1" hidden="1">
      <c r="A124" s="1085"/>
      <c r="B124" s="1322" t="s">
        <v>4493</v>
      </c>
      <c r="C124" s="1085" t="e">
        <f>#REF!</f>
        <v>#REF!</v>
      </c>
      <c r="D124" s="1108" t="s">
        <v>306</v>
      </c>
      <c r="E124" s="1240"/>
      <c r="F124" s="1097" t="e">
        <f t="shared" si="50"/>
        <v>#REF!</v>
      </c>
      <c r="G124" s="1103"/>
      <c r="H124" s="1096" t="e">
        <f t="shared" si="51"/>
        <v>#REF!</v>
      </c>
      <c r="I124" s="1103"/>
      <c r="J124" s="1096" t="e">
        <f t="shared" si="52"/>
        <v>#REF!</v>
      </c>
      <c r="K124" s="1096"/>
      <c r="L124" s="1096" t="e">
        <f t="shared" si="53"/>
        <v>#REF!</v>
      </c>
      <c r="M124" s="1103"/>
      <c r="N124" s="1096" t="e">
        <f t="shared" si="54"/>
        <v>#REF!</v>
      </c>
      <c r="O124" s="1098">
        <f t="shared" si="55"/>
        <v>0</v>
      </c>
      <c r="P124" s="1096" t="e">
        <f t="shared" si="56"/>
        <v>#REF!</v>
      </c>
      <c r="Q124" s="1098">
        <f t="shared" si="57"/>
        <v>0</v>
      </c>
      <c r="R124" s="1096" t="e">
        <f t="shared" si="58"/>
        <v>#REF!</v>
      </c>
      <c r="S124" s="1107"/>
      <c r="T124" s="1104"/>
    </row>
    <row r="125" spans="1:20" s="1108" customFormat="1" hidden="1">
      <c r="A125" s="1085"/>
      <c r="B125" s="1322" t="s">
        <v>4494</v>
      </c>
      <c r="C125" s="1085" t="e">
        <f>#REF!</f>
        <v>#REF!</v>
      </c>
      <c r="D125" s="1108" t="s">
        <v>306</v>
      </c>
      <c r="E125" s="1240"/>
      <c r="F125" s="1097" t="e">
        <f t="shared" si="50"/>
        <v>#REF!</v>
      </c>
      <c r="G125" s="1103"/>
      <c r="H125" s="1096" t="e">
        <f t="shared" si="51"/>
        <v>#REF!</v>
      </c>
      <c r="I125" s="1103"/>
      <c r="J125" s="1096" t="e">
        <f t="shared" si="52"/>
        <v>#REF!</v>
      </c>
      <c r="K125" s="1096"/>
      <c r="L125" s="1096" t="e">
        <f t="shared" si="53"/>
        <v>#REF!</v>
      </c>
      <c r="M125" s="1103"/>
      <c r="N125" s="1096" t="e">
        <f t="shared" si="54"/>
        <v>#REF!</v>
      </c>
      <c r="O125" s="1098">
        <f t="shared" si="55"/>
        <v>0</v>
      </c>
      <c r="P125" s="1096" t="e">
        <f t="shared" si="56"/>
        <v>#REF!</v>
      </c>
      <c r="Q125" s="1098">
        <f t="shared" si="57"/>
        <v>0</v>
      </c>
      <c r="R125" s="1096" t="e">
        <f t="shared" si="58"/>
        <v>#REF!</v>
      </c>
      <c r="S125" s="1107"/>
      <c r="T125" s="1104"/>
    </row>
    <row r="126" spans="1:20" s="1108" customFormat="1" hidden="1">
      <c r="A126" s="1085"/>
      <c r="B126" s="1322" t="s">
        <v>4495</v>
      </c>
      <c r="C126" s="1085" t="e">
        <f>#REF!</f>
        <v>#REF!</v>
      </c>
      <c r="D126" s="1108" t="s">
        <v>306</v>
      </c>
      <c r="E126" s="1240"/>
      <c r="F126" s="1097" t="e">
        <f t="shared" si="50"/>
        <v>#REF!</v>
      </c>
      <c r="G126" s="1103"/>
      <c r="H126" s="1096" t="e">
        <f t="shared" si="51"/>
        <v>#REF!</v>
      </c>
      <c r="I126" s="1103"/>
      <c r="J126" s="1096" t="e">
        <f t="shared" si="52"/>
        <v>#REF!</v>
      </c>
      <c r="K126" s="1096"/>
      <c r="L126" s="1096" t="e">
        <f t="shared" si="53"/>
        <v>#REF!</v>
      </c>
      <c r="M126" s="1103"/>
      <c r="N126" s="1096" t="e">
        <f t="shared" si="54"/>
        <v>#REF!</v>
      </c>
      <c r="O126" s="1098">
        <f t="shared" si="55"/>
        <v>0</v>
      </c>
      <c r="P126" s="1096" t="e">
        <f t="shared" si="56"/>
        <v>#REF!</v>
      </c>
      <c r="Q126" s="1098">
        <f t="shared" si="57"/>
        <v>0</v>
      </c>
      <c r="R126" s="1096" t="e">
        <f t="shared" si="58"/>
        <v>#REF!</v>
      </c>
      <c r="S126" s="1107"/>
      <c r="T126" s="1104"/>
    </row>
    <row r="127" spans="1:20" s="1108" customFormat="1" hidden="1">
      <c r="A127" s="1085"/>
      <c r="B127" s="1322" t="s">
        <v>4496</v>
      </c>
      <c r="C127" s="1085" t="e">
        <f>#REF!</f>
        <v>#REF!</v>
      </c>
      <c r="D127" s="1108" t="s">
        <v>306</v>
      </c>
      <c r="E127" s="1240"/>
      <c r="F127" s="1097" t="e">
        <f t="shared" si="50"/>
        <v>#REF!</v>
      </c>
      <c r="G127" s="1103"/>
      <c r="H127" s="1096" t="e">
        <f t="shared" si="51"/>
        <v>#REF!</v>
      </c>
      <c r="I127" s="1103"/>
      <c r="J127" s="1096" t="e">
        <f t="shared" si="52"/>
        <v>#REF!</v>
      </c>
      <c r="K127" s="1096"/>
      <c r="L127" s="1096" t="e">
        <f t="shared" si="53"/>
        <v>#REF!</v>
      </c>
      <c r="M127" s="1103"/>
      <c r="N127" s="1096" t="e">
        <f t="shared" si="54"/>
        <v>#REF!</v>
      </c>
      <c r="O127" s="1098">
        <f t="shared" si="55"/>
        <v>0</v>
      </c>
      <c r="P127" s="1096" t="e">
        <f t="shared" si="56"/>
        <v>#REF!</v>
      </c>
      <c r="Q127" s="1098">
        <f t="shared" si="57"/>
        <v>0</v>
      </c>
      <c r="R127" s="1096" t="e">
        <f t="shared" si="58"/>
        <v>#REF!</v>
      </c>
      <c r="S127" s="1107"/>
      <c r="T127" s="1104"/>
    </row>
    <row r="128" spans="1:20" s="1108" customFormat="1" ht="46.5" hidden="1">
      <c r="A128" s="1085"/>
      <c r="B128" s="1270" t="s">
        <v>2659</v>
      </c>
      <c r="C128" s="1085" t="e">
        <f>#REF!</f>
        <v>#REF!</v>
      </c>
      <c r="D128" s="1108" t="s">
        <v>306</v>
      </c>
      <c r="E128" s="1240"/>
      <c r="F128" s="1097" t="e">
        <f t="shared" si="50"/>
        <v>#REF!</v>
      </c>
      <c r="G128" s="1103"/>
      <c r="H128" s="1096" t="e">
        <f t="shared" si="51"/>
        <v>#REF!</v>
      </c>
      <c r="I128" s="1103"/>
      <c r="J128" s="1096" t="e">
        <f t="shared" si="52"/>
        <v>#REF!</v>
      </c>
      <c r="K128" s="1096"/>
      <c r="L128" s="1096" t="e">
        <f t="shared" si="53"/>
        <v>#REF!</v>
      </c>
      <c r="M128" s="1103"/>
      <c r="N128" s="1096" t="e">
        <f t="shared" si="54"/>
        <v>#REF!</v>
      </c>
      <c r="O128" s="1098">
        <f t="shared" si="55"/>
        <v>0</v>
      </c>
      <c r="P128" s="1096" t="e">
        <f t="shared" si="56"/>
        <v>#REF!</v>
      </c>
      <c r="Q128" s="1098">
        <f t="shared" si="57"/>
        <v>0</v>
      </c>
      <c r="R128" s="1096" t="e">
        <f t="shared" si="58"/>
        <v>#REF!</v>
      </c>
      <c r="S128" s="1107"/>
      <c r="T128" s="1104"/>
    </row>
    <row r="129" spans="1:20" s="1108" customFormat="1" hidden="1">
      <c r="A129" s="1085"/>
      <c r="B129" s="1322" t="s">
        <v>4497</v>
      </c>
      <c r="C129" s="1085" t="e">
        <f>#REF!</f>
        <v>#REF!</v>
      </c>
      <c r="E129" s="1240"/>
      <c r="F129" s="1097" t="e">
        <f t="shared" si="50"/>
        <v>#REF!</v>
      </c>
      <c r="G129" s="1103"/>
      <c r="H129" s="1096" t="e">
        <f t="shared" si="51"/>
        <v>#REF!</v>
      </c>
      <c r="I129" s="1103"/>
      <c r="J129" s="1096" t="e">
        <f t="shared" si="52"/>
        <v>#REF!</v>
      </c>
      <c r="K129" s="1096"/>
      <c r="L129" s="1096" t="e">
        <f t="shared" si="53"/>
        <v>#REF!</v>
      </c>
      <c r="M129" s="1103"/>
      <c r="N129" s="1096" t="e">
        <f t="shared" si="54"/>
        <v>#REF!</v>
      </c>
      <c r="O129" s="1098">
        <f t="shared" si="55"/>
        <v>0</v>
      </c>
      <c r="P129" s="1096" t="e">
        <f t="shared" si="56"/>
        <v>#REF!</v>
      </c>
      <c r="Q129" s="1098">
        <f t="shared" si="57"/>
        <v>0</v>
      </c>
      <c r="R129" s="1096" t="e">
        <f t="shared" si="58"/>
        <v>#REF!</v>
      </c>
      <c r="S129" s="1107"/>
      <c r="T129" s="1104"/>
    </row>
    <row r="130" spans="1:20" s="1108" customFormat="1" hidden="1">
      <c r="A130" s="1085"/>
      <c r="B130" s="1322" t="s">
        <v>4498</v>
      </c>
      <c r="C130" s="1085" t="e">
        <f>#REF!</f>
        <v>#REF!</v>
      </c>
      <c r="E130" s="1240"/>
      <c r="F130" s="1097" t="e">
        <f t="shared" si="50"/>
        <v>#REF!</v>
      </c>
      <c r="G130" s="1103"/>
      <c r="H130" s="1096" t="e">
        <f t="shared" si="51"/>
        <v>#REF!</v>
      </c>
      <c r="I130" s="1103"/>
      <c r="J130" s="1096" t="e">
        <f t="shared" si="52"/>
        <v>#REF!</v>
      </c>
      <c r="K130" s="1096"/>
      <c r="L130" s="1096" t="e">
        <f t="shared" si="53"/>
        <v>#REF!</v>
      </c>
      <c r="M130" s="1103"/>
      <c r="N130" s="1096" t="e">
        <f t="shared" si="54"/>
        <v>#REF!</v>
      </c>
      <c r="O130" s="1098">
        <f t="shared" si="55"/>
        <v>0</v>
      </c>
      <c r="P130" s="1096" t="e">
        <f t="shared" si="56"/>
        <v>#REF!</v>
      </c>
      <c r="Q130" s="1098">
        <f t="shared" si="57"/>
        <v>0</v>
      </c>
      <c r="R130" s="1096" t="e">
        <f t="shared" si="58"/>
        <v>#REF!</v>
      </c>
      <c r="S130" s="1107"/>
      <c r="T130" s="1104"/>
    </row>
    <row r="131" spans="1:20" s="1108" customFormat="1" hidden="1">
      <c r="A131" s="1085"/>
      <c r="B131" s="1322" t="s">
        <v>4499</v>
      </c>
      <c r="C131" s="1085" t="e">
        <f>#REF!</f>
        <v>#REF!</v>
      </c>
      <c r="E131" s="1240"/>
      <c r="F131" s="1097" t="e">
        <f t="shared" si="50"/>
        <v>#REF!</v>
      </c>
      <c r="G131" s="1103"/>
      <c r="H131" s="1096" t="e">
        <f t="shared" si="51"/>
        <v>#REF!</v>
      </c>
      <c r="I131" s="1103"/>
      <c r="J131" s="1096" t="e">
        <f t="shared" si="52"/>
        <v>#REF!</v>
      </c>
      <c r="K131" s="1096"/>
      <c r="L131" s="1096" t="e">
        <f t="shared" si="53"/>
        <v>#REF!</v>
      </c>
      <c r="M131" s="1103"/>
      <c r="N131" s="1096" t="e">
        <f t="shared" si="54"/>
        <v>#REF!</v>
      </c>
      <c r="O131" s="1098">
        <f t="shared" si="55"/>
        <v>0</v>
      </c>
      <c r="P131" s="1096" t="e">
        <f t="shared" si="56"/>
        <v>#REF!</v>
      </c>
      <c r="Q131" s="1098">
        <f t="shared" si="57"/>
        <v>0</v>
      </c>
      <c r="R131" s="1096" t="e">
        <f t="shared" si="58"/>
        <v>#REF!</v>
      </c>
      <c r="S131" s="1107"/>
      <c r="T131" s="1104"/>
    </row>
    <row r="132" spans="1:20" s="1108" customFormat="1" hidden="1">
      <c r="A132" s="1085"/>
      <c r="B132" s="1322" t="s">
        <v>4500</v>
      </c>
      <c r="C132" s="1085" t="e">
        <f>#REF!</f>
        <v>#REF!</v>
      </c>
      <c r="E132" s="1240"/>
      <c r="F132" s="1097" t="e">
        <f t="shared" si="50"/>
        <v>#REF!</v>
      </c>
      <c r="G132" s="1103"/>
      <c r="H132" s="1096" t="e">
        <f t="shared" si="51"/>
        <v>#REF!</v>
      </c>
      <c r="I132" s="1103"/>
      <c r="J132" s="1096" t="e">
        <f t="shared" si="52"/>
        <v>#REF!</v>
      </c>
      <c r="K132" s="1096"/>
      <c r="L132" s="1096" t="e">
        <f t="shared" si="53"/>
        <v>#REF!</v>
      </c>
      <c r="M132" s="1103"/>
      <c r="N132" s="1096" t="e">
        <f t="shared" si="54"/>
        <v>#REF!</v>
      </c>
      <c r="O132" s="1098">
        <f t="shared" si="55"/>
        <v>0</v>
      </c>
      <c r="P132" s="1096" t="e">
        <f t="shared" si="56"/>
        <v>#REF!</v>
      </c>
      <c r="Q132" s="1098">
        <f t="shared" si="57"/>
        <v>0</v>
      </c>
      <c r="R132" s="1096" t="e">
        <f t="shared" si="58"/>
        <v>#REF!</v>
      </c>
      <c r="S132" s="1107"/>
      <c r="T132" s="1104"/>
    </row>
    <row r="133" spans="1:20" s="1108" customFormat="1" ht="69.75" hidden="1">
      <c r="A133" s="1085"/>
      <c r="B133" s="1270" t="s">
        <v>4501</v>
      </c>
      <c r="C133" s="1085" t="e">
        <f>#REF!</f>
        <v>#REF!</v>
      </c>
      <c r="E133" s="1240"/>
      <c r="F133" s="1097" t="e">
        <f t="shared" si="50"/>
        <v>#REF!</v>
      </c>
      <c r="G133" s="1103"/>
      <c r="H133" s="1096" t="e">
        <f t="shared" si="51"/>
        <v>#REF!</v>
      </c>
      <c r="I133" s="1103"/>
      <c r="J133" s="1096" t="e">
        <f t="shared" si="52"/>
        <v>#REF!</v>
      </c>
      <c r="K133" s="1096"/>
      <c r="L133" s="1096" t="e">
        <f t="shared" si="53"/>
        <v>#REF!</v>
      </c>
      <c r="M133" s="1103"/>
      <c r="N133" s="1096" t="e">
        <f t="shared" si="54"/>
        <v>#REF!</v>
      </c>
      <c r="O133" s="1098">
        <f t="shared" si="55"/>
        <v>0</v>
      </c>
      <c r="P133" s="1096" t="e">
        <f t="shared" si="56"/>
        <v>#REF!</v>
      </c>
      <c r="Q133" s="1098">
        <f t="shared" si="57"/>
        <v>0</v>
      </c>
      <c r="R133" s="1096" t="e">
        <f t="shared" si="58"/>
        <v>#REF!</v>
      </c>
      <c r="S133" s="1107"/>
      <c r="T133" s="1104"/>
    </row>
    <row r="134" spans="1:20" s="1108" customFormat="1" ht="69.75" hidden="1">
      <c r="A134" s="1085"/>
      <c r="B134" s="1270" t="s">
        <v>4502</v>
      </c>
      <c r="C134" s="1085" t="e">
        <f>#REF!</f>
        <v>#REF!</v>
      </c>
      <c r="E134" s="1240"/>
      <c r="F134" s="1097" t="e">
        <f t="shared" si="50"/>
        <v>#REF!</v>
      </c>
      <c r="G134" s="1103"/>
      <c r="H134" s="1096" t="e">
        <f t="shared" si="51"/>
        <v>#REF!</v>
      </c>
      <c r="I134" s="1103"/>
      <c r="J134" s="1096" t="e">
        <f t="shared" si="52"/>
        <v>#REF!</v>
      </c>
      <c r="K134" s="1096"/>
      <c r="L134" s="1096" t="e">
        <f t="shared" si="53"/>
        <v>#REF!</v>
      </c>
      <c r="M134" s="1103"/>
      <c r="N134" s="1096" t="e">
        <f t="shared" si="54"/>
        <v>#REF!</v>
      </c>
      <c r="O134" s="1098">
        <f t="shared" si="55"/>
        <v>0</v>
      </c>
      <c r="P134" s="1096" t="e">
        <f t="shared" si="56"/>
        <v>#REF!</v>
      </c>
      <c r="Q134" s="1098">
        <f t="shared" si="57"/>
        <v>0</v>
      </c>
      <c r="R134" s="1096" t="e">
        <f t="shared" si="58"/>
        <v>#REF!</v>
      </c>
      <c r="S134" s="1107"/>
      <c r="T134" s="1104"/>
    </row>
    <row r="135" spans="1:20" s="1108" customFormat="1" ht="46.5" hidden="1">
      <c r="A135" s="1085"/>
      <c r="B135" s="1270" t="s">
        <v>4503</v>
      </c>
      <c r="C135" s="1085" t="e">
        <f>#REF!</f>
        <v>#REF!</v>
      </c>
      <c r="E135" s="1240"/>
      <c r="F135" s="1097" t="e">
        <f t="shared" si="50"/>
        <v>#REF!</v>
      </c>
      <c r="G135" s="1103"/>
      <c r="H135" s="1096" t="e">
        <f t="shared" si="51"/>
        <v>#REF!</v>
      </c>
      <c r="I135" s="1103"/>
      <c r="J135" s="1096" t="e">
        <f t="shared" si="52"/>
        <v>#REF!</v>
      </c>
      <c r="K135" s="1096"/>
      <c r="L135" s="1096" t="e">
        <f t="shared" si="53"/>
        <v>#REF!</v>
      </c>
      <c r="M135" s="1103"/>
      <c r="N135" s="1096" t="e">
        <f t="shared" si="54"/>
        <v>#REF!</v>
      </c>
      <c r="O135" s="1098">
        <f t="shared" si="55"/>
        <v>0</v>
      </c>
      <c r="P135" s="1096" t="e">
        <f t="shared" si="56"/>
        <v>#REF!</v>
      </c>
      <c r="Q135" s="1098">
        <f t="shared" si="57"/>
        <v>0</v>
      </c>
      <c r="R135" s="1096" t="e">
        <f t="shared" si="58"/>
        <v>#REF!</v>
      </c>
      <c r="S135" s="1107"/>
      <c r="T135" s="1104"/>
    </row>
    <row r="136" spans="1:20" s="1108" customFormat="1" ht="69.75" hidden="1">
      <c r="A136" s="1085"/>
      <c r="B136" s="1270" t="s">
        <v>4504</v>
      </c>
      <c r="C136" s="1085" t="e">
        <f>#REF!</f>
        <v>#REF!</v>
      </c>
      <c r="E136" s="1240"/>
      <c r="F136" s="1097" t="e">
        <f t="shared" si="50"/>
        <v>#REF!</v>
      </c>
      <c r="G136" s="1103"/>
      <c r="H136" s="1096" t="e">
        <f t="shared" si="51"/>
        <v>#REF!</v>
      </c>
      <c r="I136" s="1103"/>
      <c r="J136" s="1096" t="e">
        <f t="shared" si="52"/>
        <v>#REF!</v>
      </c>
      <c r="K136" s="1096"/>
      <c r="L136" s="1096" t="e">
        <f t="shared" si="53"/>
        <v>#REF!</v>
      </c>
      <c r="M136" s="1103"/>
      <c r="N136" s="1096" t="e">
        <f t="shared" si="54"/>
        <v>#REF!</v>
      </c>
      <c r="O136" s="1098">
        <f t="shared" si="55"/>
        <v>0</v>
      </c>
      <c r="P136" s="1096" t="e">
        <f t="shared" si="56"/>
        <v>#REF!</v>
      </c>
      <c r="Q136" s="1098">
        <f t="shared" si="57"/>
        <v>0</v>
      </c>
      <c r="R136" s="1096" t="e">
        <f t="shared" si="58"/>
        <v>#REF!</v>
      </c>
      <c r="S136" s="1107"/>
      <c r="T136" s="1104"/>
    </row>
    <row r="137" spans="1:20" s="1108" customFormat="1" hidden="1">
      <c r="A137" s="1085"/>
      <c r="B137" s="1270" t="s">
        <v>4505</v>
      </c>
      <c r="C137" s="1085" t="e">
        <f>#REF!</f>
        <v>#REF!</v>
      </c>
      <c r="E137" s="1240"/>
      <c r="F137" s="1097" t="e">
        <f t="shared" si="50"/>
        <v>#REF!</v>
      </c>
      <c r="G137" s="1103"/>
      <c r="H137" s="1096" t="e">
        <f t="shared" si="51"/>
        <v>#REF!</v>
      </c>
      <c r="I137" s="1103"/>
      <c r="J137" s="1096" t="e">
        <f t="shared" si="52"/>
        <v>#REF!</v>
      </c>
      <c r="K137" s="1096"/>
      <c r="L137" s="1096" t="e">
        <f t="shared" si="53"/>
        <v>#REF!</v>
      </c>
      <c r="M137" s="1103"/>
      <c r="N137" s="1096" t="e">
        <f t="shared" si="54"/>
        <v>#REF!</v>
      </c>
      <c r="O137" s="1098">
        <f t="shared" si="55"/>
        <v>0</v>
      </c>
      <c r="P137" s="1096" t="e">
        <f t="shared" si="56"/>
        <v>#REF!</v>
      </c>
      <c r="Q137" s="1098">
        <f t="shared" si="57"/>
        <v>0</v>
      </c>
      <c r="R137" s="1096" t="e">
        <f t="shared" si="58"/>
        <v>#REF!</v>
      </c>
      <c r="S137" s="1107"/>
      <c r="T137" s="1104"/>
    </row>
    <row r="138" spans="1:20" s="1108" customFormat="1" hidden="1">
      <c r="A138" s="1085"/>
      <c r="B138" s="1270" t="s">
        <v>4506</v>
      </c>
      <c r="C138" s="1085" t="e">
        <f>#REF!</f>
        <v>#REF!</v>
      </c>
      <c r="E138" s="1240"/>
      <c r="F138" s="1097" t="e">
        <f t="shared" si="50"/>
        <v>#REF!</v>
      </c>
      <c r="G138" s="1103"/>
      <c r="H138" s="1096" t="e">
        <f t="shared" si="51"/>
        <v>#REF!</v>
      </c>
      <c r="I138" s="1103"/>
      <c r="J138" s="1096" t="e">
        <f t="shared" si="52"/>
        <v>#REF!</v>
      </c>
      <c r="K138" s="1096"/>
      <c r="L138" s="1096" t="e">
        <f t="shared" si="53"/>
        <v>#REF!</v>
      </c>
      <c r="M138" s="1103"/>
      <c r="N138" s="1096" t="e">
        <f t="shared" si="54"/>
        <v>#REF!</v>
      </c>
      <c r="O138" s="1098">
        <f t="shared" si="55"/>
        <v>0</v>
      </c>
      <c r="P138" s="1096" t="e">
        <f t="shared" si="56"/>
        <v>#REF!</v>
      </c>
      <c r="Q138" s="1098">
        <f t="shared" si="57"/>
        <v>0</v>
      </c>
      <c r="R138" s="1096" t="e">
        <f t="shared" si="58"/>
        <v>#REF!</v>
      </c>
      <c r="S138" s="1107"/>
      <c r="T138" s="1104"/>
    </row>
    <row r="139" spans="1:20" s="1108" customFormat="1" hidden="1">
      <c r="A139" s="1085"/>
      <c r="B139" s="1270" t="s">
        <v>4507</v>
      </c>
      <c r="C139" s="1085" t="e">
        <f>#REF!</f>
        <v>#REF!</v>
      </c>
      <c r="E139" s="1240"/>
      <c r="F139" s="1097" t="e">
        <f t="shared" si="50"/>
        <v>#REF!</v>
      </c>
      <c r="G139" s="1103"/>
      <c r="H139" s="1096" t="e">
        <f t="shared" si="51"/>
        <v>#REF!</v>
      </c>
      <c r="I139" s="1103"/>
      <c r="J139" s="1096" t="e">
        <f t="shared" si="52"/>
        <v>#REF!</v>
      </c>
      <c r="K139" s="1096"/>
      <c r="L139" s="1096" t="e">
        <f t="shared" si="53"/>
        <v>#REF!</v>
      </c>
      <c r="M139" s="1103"/>
      <c r="N139" s="1096" t="e">
        <f t="shared" si="54"/>
        <v>#REF!</v>
      </c>
      <c r="O139" s="1098">
        <f t="shared" si="55"/>
        <v>0</v>
      </c>
      <c r="P139" s="1096" t="e">
        <f t="shared" si="56"/>
        <v>#REF!</v>
      </c>
      <c r="Q139" s="1098">
        <f t="shared" si="57"/>
        <v>0</v>
      </c>
      <c r="R139" s="1096" t="e">
        <f t="shared" si="58"/>
        <v>#REF!</v>
      </c>
      <c r="S139" s="1107"/>
      <c r="T139" s="1104"/>
    </row>
    <row r="140" spans="1:20" s="1108" customFormat="1" ht="93" hidden="1">
      <c r="A140" s="1085"/>
      <c r="B140" s="1270" t="s">
        <v>4508</v>
      </c>
      <c r="C140" s="1085" t="e">
        <f>#REF!</f>
        <v>#REF!</v>
      </c>
      <c r="E140" s="1240"/>
      <c r="F140" s="1097" t="e">
        <f t="shared" si="50"/>
        <v>#REF!</v>
      </c>
      <c r="G140" s="1103"/>
      <c r="H140" s="1096" t="e">
        <f t="shared" si="51"/>
        <v>#REF!</v>
      </c>
      <c r="I140" s="1103"/>
      <c r="J140" s="1096" t="e">
        <f t="shared" si="52"/>
        <v>#REF!</v>
      </c>
      <c r="K140" s="1096"/>
      <c r="L140" s="1096" t="e">
        <f t="shared" si="53"/>
        <v>#REF!</v>
      </c>
      <c r="M140" s="1103"/>
      <c r="N140" s="1096" t="e">
        <f t="shared" si="54"/>
        <v>#REF!</v>
      </c>
      <c r="O140" s="1098">
        <f t="shared" si="55"/>
        <v>0</v>
      </c>
      <c r="P140" s="1096" t="e">
        <f t="shared" si="56"/>
        <v>#REF!</v>
      </c>
      <c r="Q140" s="1098">
        <f t="shared" si="57"/>
        <v>0</v>
      </c>
      <c r="R140" s="1096" t="e">
        <f t="shared" si="58"/>
        <v>#REF!</v>
      </c>
      <c r="S140" s="1107"/>
      <c r="T140" s="1104"/>
    </row>
    <row r="141" spans="1:20" s="1108" customFormat="1" ht="93" hidden="1">
      <c r="A141" s="1085"/>
      <c r="B141" s="1270" t="s">
        <v>4509</v>
      </c>
      <c r="C141" s="1085" t="e">
        <f>#REF!</f>
        <v>#REF!</v>
      </c>
      <c r="E141" s="1240"/>
      <c r="F141" s="1097" t="e">
        <f t="shared" si="50"/>
        <v>#REF!</v>
      </c>
      <c r="G141" s="1103"/>
      <c r="H141" s="1096" t="e">
        <f t="shared" si="51"/>
        <v>#REF!</v>
      </c>
      <c r="I141" s="1103"/>
      <c r="J141" s="1096" t="e">
        <f t="shared" si="52"/>
        <v>#REF!</v>
      </c>
      <c r="K141" s="1096"/>
      <c r="L141" s="1096" t="e">
        <f t="shared" si="53"/>
        <v>#REF!</v>
      </c>
      <c r="M141" s="1103"/>
      <c r="N141" s="1096" t="e">
        <f t="shared" si="54"/>
        <v>#REF!</v>
      </c>
      <c r="O141" s="1098">
        <f t="shared" si="55"/>
        <v>0</v>
      </c>
      <c r="P141" s="1096" t="e">
        <f t="shared" si="56"/>
        <v>#REF!</v>
      </c>
      <c r="Q141" s="1098">
        <f t="shared" si="57"/>
        <v>0</v>
      </c>
      <c r="R141" s="1096" t="e">
        <f t="shared" si="58"/>
        <v>#REF!</v>
      </c>
      <c r="S141" s="1107"/>
      <c r="T141" s="1104"/>
    </row>
    <row r="142" spans="1:20" s="1108" customFormat="1" ht="69.75" hidden="1">
      <c r="A142" s="1085"/>
      <c r="B142" s="1270" t="s">
        <v>4510</v>
      </c>
      <c r="C142" s="1085" t="e">
        <f>#REF!</f>
        <v>#REF!</v>
      </c>
      <c r="E142" s="1240"/>
      <c r="F142" s="1097" t="e">
        <f t="shared" si="50"/>
        <v>#REF!</v>
      </c>
      <c r="G142" s="1103"/>
      <c r="H142" s="1096" t="e">
        <f t="shared" si="51"/>
        <v>#REF!</v>
      </c>
      <c r="I142" s="1103"/>
      <c r="J142" s="1096" t="e">
        <f t="shared" si="52"/>
        <v>#REF!</v>
      </c>
      <c r="K142" s="1096"/>
      <c r="L142" s="1096" t="e">
        <f t="shared" si="53"/>
        <v>#REF!</v>
      </c>
      <c r="M142" s="1103"/>
      <c r="N142" s="1096" t="e">
        <f t="shared" si="54"/>
        <v>#REF!</v>
      </c>
      <c r="O142" s="1098">
        <f t="shared" si="55"/>
        <v>0</v>
      </c>
      <c r="P142" s="1096" t="e">
        <f t="shared" si="56"/>
        <v>#REF!</v>
      </c>
      <c r="Q142" s="1098">
        <f t="shared" si="57"/>
        <v>0</v>
      </c>
      <c r="R142" s="1096" t="e">
        <f t="shared" si="58"/>
        <v>#REF!</v>
      </c>
      <c r="S142" s="1107"/>
      <c r="T142" s="1104"/>
    </row>
    <row r="143" spans="1:20" s="1108" customFormat="1" ht="69.75" hidden="1">
      <c r="A143" s="1085"/>
      <c r="B143" s="1270" t="s">
        <v>4511</v>
      </c>
      <c r="C143" s="1085" t="e">
        <f>#REF!</f>
        <v>#REF!</v>
      </c>
      <c r="E143" s="1240"/>
      <c r="F143" s="1097" t="e">
        <f t="shared" si="50"/>
        <v>#REF!</v>
      </c>
      <c r="G143" s="1103"/>
      <c r="H143" s="1096" t="e">
        <f t="shared" si="51"/>
        <v>#REF!</v>
      </c>
      <c r="I143" s="1103"/>
      <c r="J143" s="1096" t="e">
        <f t="shared" si="52"/>
        <v>#REF!</v>
      </c>
      <c r="K143" s="1096"/>
      <c r="L143" s="1096" t="e">
        <f t="shared" si="53"/>
        <v>#REF!</v>
      </c>
      <c r="M143" s="1103"/>
      <c r="N143" s="1096" t="e">
        <f t="shared" si="54"/>
        <v>#REF!</v>
      </c>
      <c r="O143" s="1098">
        <f t="shared" si="55"/>
        <v>0</v>
      </c>
      <c r="P143" s="1096" t="e">
        <f t="shared" si="56"/>
        <v>#REF!</v>
      </c>
      <c r="Q143" s="1098">
        <f t="shared" si="57"/>
        <v>0</v>
      </c>
      <c r="R143" s="1096" t="e">
        <f t="shared" si="58"/>
        <v>#REF!</v>
      </c>
      <c r="S143" s="1107"/>
      <c r="T143" s="1104"/>
    </row>
    <row r="144" spans="1:20" s="1108" customFormat="1" ht="116.25" hidden="1">
      <c r="A144" s="1085"/>
      <c r="B144" s="1270" t="s">
        <v>4512</v>
      </c>
      <c r="C144" s="1085" t="e">
        <f>#REF!</f>
        <v>#REF!</v>
      </c>
      <c r="E144" s="1240"/>
      <c r="F144" s="1097" t="e">
        <f t="shared" si="50"/>
        <v>#REF!</v>
      </c>
      <c r="G144" s="1103"/>
      <c r="H144" s="1096" t="e">
        <f t="shared" si="51"/>
        <v>#REF!</v>
      </c>
      <c r="I144" s="1103"/>
      <c r="J144" s="1096" t="e">
        <f t="shared" si="52"/>
        <v>#REF!</v>
      </c>
      <c r="K144" s="1096"/>
      <c r="L144" s="1096" t="e">
        <f t="shared" si="53"/>
        <v>#REF!</v>
      </c>
      <c r="M144" s="1103"/>
      <c r="N144" s="1096" t="e">
        <f t="shared" si="54"/>
        <v>#REF!</v>
      </c>
      <c r="O144" s="1098">
        <f t="shared" si="55"/>
        <v>0</v>
      </c>
      <c r="P144" s="1096" t="e">
        <f t="shared" si="56"/>
        <v>#REF!</v>
      </c>
      <c r="Q144" s="1098">
        <f t="shared" si="57"/>
        <v>0</v>
      </c>
      <c r="R144" s="1096" t="e">
        <f t="shared" si="58"/>
        <v>#REF!</v>
      </c>
      <c r="S144" s="1107"/>
      <c r="T144" s="1104"/>
    </row>
    <row r="145" spans="1:20" s="1108" customFormat="1" ht="93" hidden="1">
      <c r="A145" s="1085"/>
      <c r="B145" s="1270" t="s">
        <v>4513</v>
      </c>
      <c r="C145" s="1085" t="e">
        <f>#REF!</f>
        <v>#REF!</v>
      </c>
      <c r="E145" s="1240"/>
      <c r="F145" s="1097" t="e">
        <f t="shared" si="50"/>
        <v>#REF!</v>
      </c>
      <c r="G145" s="1103"/>
      <c r="H145" s="1096" t="e">
        <f t="shared" si="51"/>
        <v>#REF!</v>
      </c>
      <c r="I145" s="1103"/>
      <c r="J145" s="1096" t="e">
        <f t="shared" si="52"/>
        <v>#REF!</v>
      </c>
      <c r="K145" s="1096"/>
      <c r="L145" s="1096" t="e">
        <f t="shared" si="53"/>
        <v>#REF!</v>
      </c>
      <c r="M145" s="1103"/>
      <c r="N145" s="1096" t="e">
        <f t="shared" si="54"/>
        <v>#REF!</v>
      </c>
      <c r="O145" s="1098">
        <f t="shared" si="55"/>
        <v>0</v>
      </c>
      <c r="P145" s="1096" t="e">
        <f t="shared" si="56"/>
        <v>#REF!</v>
      </c>
      <c r="Q145" s="1098">
        <f t="shared" si="57"/>
        <v>0</v>
      </c>
      <c r="R145" s="1096" t="e">
        <f t="shared" si="58"/>
        <v>#REF!</v>
      </c>
      <c r="S145" s="1107"/>
      <c r="T145" s="1104"/>
    </row>
    <row r="146" spans="1:20" s="1108" customFormat="1" ht="46.5" hidden="1">
      <c r="A146" s="1085"/>
      <c r="B146" s="1270" t="s">
        <v>4514</v>
      </c>
      <c r="C146" s="1085" t="e">
        <f>#REF!</f>
        <v>#REF!</v>
      </c>
      <c r="E146" s="1240"/>
      <c r="F146" s="1097" t="e">
        <f t="shared" si="50"/>
        <v>#REF!</v>
      </c>
      <c r="G146" s="1103"/>
      <c r="H146" s="1096" t="e">
        <f t="shared" si="51"/>
        <v>#REF!</v>
      </c>
      <c r="I146" s="1103"/>
      <c r="J146" s="1096" t="e">
        <f t="shared" si="52"/>
        <v>#REF!</v>
      </c>
      <c r="K146" s="1096"/>
      <c r="L146" s="1096" t="e">
        <f t="shared" si="53"/>
        <v>#REF!</v>
      </c>
      <c r="M146" s="1103"/>
      <c r="N146" s="1096" t="e">
        <f t="shared" si="54"/>
        <v>#REF!</v>
      </c>
      <c r="O146" s="1098">
        <f t="shared" si="55"/>
        <v>0</v>
      </c>
      <c r="P146" s="1096" t="e">
        <f t="shared" si="56"/>
        <v>#REF!</v>
      </c>
      <c r="Q146" s="1098">
        <f t="shared" si="57"/>
        <v>0</v>
      </c>
      <c r="R146" s="1096" t="e">
        <f t="shared" si="58"/>
        <v>#REF!</v>
      </c>
      <c r="S146" s="1107"/>
      <c r="T146" s="1104"/>
    </row>
    <row r="147" spans="1:20" s="1108" customFormat="1" ht="46.5" hidden="1">
      <c r="A147" s="1085"/>
      <c r="B147" s="1270" t="s">
        <v>4515</v>
      </c>
      <c r="C147" s="1085" t="e">
        <f>#REF!</f>
        <v>#REF!</v>
      </c>
      <c r="E147" s="1240"/>
      <c r="F147" s="1097" t="e">
        <f t="shared" si="50"/>
        <v>#REF!</v>
      </c>
      <c r="G147" s="1103"/>
      <c r="H147" s="1096" t="e">
        <f t="shared" si="51"/>
        <v>#REF!</v>
      </c>
      <c r="I147" s="1103"/>
      <c r="J147" s="1096" t="e">
        <f t="shared" si="52"/>
        <v>#REF!</v>
      </c>
      <c r="K147" s="1096"/>
      <c r="L147" s="1096" t="e">
        <f t="shared" si="53"/>
        <v>#REF!</v>
      </c>
      <c r="M147" s="1103"/>
      <c r="N147" s="1096" t="e">
        <f t="shared" si="54"/>
        <v>#REF!</v>
      </c>
      <c r="O147" s="1098">
        <f t="shared" si="55"/>
        <v>0</v>
      </c>
      <c r="P147" s="1096" t="e">
        <f t="shared" si="56"/>
        <v>#REF!</v>
      </c>
      <c r="Q147" s="1098">
        <f t="shared" si="57"/>
        <v>0</v>
      </c>
      <c r="R147" s="1096" t="e">
        <f t="shared" si="58"/>
        <v>#REF!</v>
      </c>
      <c r="S147" s="1107"/>
      <c r="T147" s="1104"/>
    </row>
    <row r="148" spans="1:20" s="1108" customFormat="1" ht="46.5" hidden="1">
      <c r="A148" s="1085"/>
      <c r="B148" s="1270" t="s">
        <v>4516</v>
      </c>
      <c r="C148" s="1085" t="e">
        <f>#REF!</f>
        <v>#REF!</v>
      </c>
      <c r="E148" s="1240"/>
      <c r="F148" s="1097" t="e">
        <f t="shared" si="50"/>
        <v>#REF!</v>
      </c>
      <c r="G148" s="1103"/>
      <c r="H148" s="1096" t="e">
        <f t="shared" si="51"/>
        <v>#REF!</v>
      </c>
      <c r="I148" s="1103"/>
      <c r="J148" s="1096" t="e">
        <f t="shared" si="52"/>
        <v>#REF!</v>
      </c>
      <c r="K148" s="1096"/>
      <c r="L148" s="1096" t="e">
        <f t="shared" si="53"/>
        <v>#REF!</v>
      </c>
      <c r="M148" s="1103"/>
      <c r="N148" s="1096" t="e">
        <f t="shared" si="54"/>
        <v>#REF!</v>
      </c>
      <c r="O148" s="1098">
        <f t="shared" si="55"/>
        <v>0</v>
      </c>
      <c r="P148" s="1096" t="e">
        <f t="shared" si="56"/>
        <v>#REF!</v>
      </c>
      <c r="Q148" s="1098">
        <f t="shared" si="57"/>
        <v>0</v>
      </c>
      <c r="R148" s="1096" t="e">
        <f t="shared" si="58"/>
        <v>#REF!</v>
      </c>
      <c r="S148" s="1107"/>
      <c r="T148" s="1104"/>
    </row>
    <row r="149" spans="1:20" s="1108" customFormat="1" ht="46.5" hidden="1">
      <c r="A149" s="1085"/>
      <c r="B149" s="1270" t="s">
        <v>4517</v>
      </c>
      <c r="C149" s="1085" t="e">
        <f>#REF!</f>
        <v>#REF!</v>
      </c>
      <c r="E149" s="1240"/>
      <c r="F149" s="1097" t="e">
        <f t="shared" si="50"/>
        <v>#REF!</v>
      </c>
      <c r="G149" s="1103"/>
      <c r="H149" s="1096" t="e">
        <f t="shared" si="51"/>
        <v>#REF!</v>
      </c>
      <c r="I149" s="1103"/>
      <c r="J149" s="1096" t="e">
        <f t="shared" si="52"/>
        <v>#REF!</v>
      </c>
      <c r="K149" s="1096"/>
      <c r="L149" s="1096" t="e">
        <f t="shared" si="53"/>
        <v>#REF!</v>
      </c>
      <c r="M149" s="1103"/>
      <c r="N149" s="1096" t="e">
        <f t="shared" si="54"/>
        <v>#REF!</v>
      </c>
      <c r="O149" s="1098">
        <f t="shared" si="55"/>
        <v>0</v>
      </c>
      <c r="P149" s="1096" t="e">
        <f t="shared" si="56"/>
        <v>#REF!</v>
      </c>
      <c r="Q149" s="1098">
        <f t="shared" si="57"/>
        <v>0</v>
      </c>
      <c r="R149" s="1096" t="e">
        <f t="shared" si="58"/>
        <v>#REF!</v>
      </c>
      <c r="S149" s="1107"/>
      <c r="T149" s="1104"/>
    </row>
    <row r="150" spans="1:20" s="1108" customFormat="1" ht="46.5" hidden="1">
      <c r="A150" s="1085"/>
      <c r="B150" s="1270" t="s">
        <v>4518</v>
      </c>
      <c r="C150" s="1085" t="e">
        <f>#REF!</f>
        <v>#REF!</v>
      </c>
      <c r="E150" s="1240"/>
      <c r="F150" s="1097" t="e">
        <f t="shared" si="50"/>
        <v>#REF!</v>
      </c>
      <c r="G150" s="1103"/>
      <c r="H150" s="1096" t="e">
        <f t="shared" si="51"/>
        <v>#REF!</v>
      </c>
      <c r="I150" s="1103"/>
      <c r="J150" s="1096" t="e">
        <f t="shared" si="52"/>
        <v>#REF!</v>
      </c>
      <c r="K150" s="1096"/>
      <c r="L150" s="1096" t="e">
        <f t="shared" si="53"/>
        <v>#REF!</v>
      </c>
      <c r="M150" s="1103"/>
      <c r="N150" s="1096" t="e">
        <f t="shared" si="54"/>
        <v>#REF!</v>
      </c>
      <c r="O150" s="1098">
        <f t="shared" si="55"/>
        <v>0</v>
      </c>
      <c r="P150" s="1096" t="e">
        <f t="shared" si="56"/>
        <v>#REF!</v>
      </c>
      <c r="Q150" s="1098">
        <f t="shared" si="57"/>
        <v>0</v>
      </c>
      <c r="R150" s="1096" t="e">
        <f t="shared" si="58"/>
        <v>#REF!</v>
      </c>
      <c r="S150" s="1107"/>
      <c r="T150" s="1104"/>
    </row>
    <row r="151" spans="1:20" s="1108" customFormat="1" ht="46.5" hidden="1">
      <c r="A151" s="1085"/>
      <c r="B151" s="1270" t="s">
        <v>4519</v>
      </c>
      <c r="C151" s="1085" t="e">
        <f>#REF!</f>
        <v>#REF!</v>
      </c>
      <c r="E151" s="1240"/>
      <c r="F151" s="1097" t="e">
        <f t="shared" si="50"/>
        <v>#REF!</v>
      </c>
      <c r="G151" s="1103"/>
      <c r="H151" s="1096" t="e">
        <f t="shared" si="51"/>
        <v>#REF!</v>
      </c>
      <c r="I151" s="1103"/>
      <c r="J151" s="1096" t="e">
        <f t="shared" si="52"/>
        <v>#REF!</v>
      </c>
      <c r="K151" s="1096"/>
      <c r="L151" s="1096" t="e">
        <f t="shared" si="53"/>
        <v>#REF!</v>
      </c>
      <c r="M151" s="1103"/>
      <c r="N151" s="1096" t="e">
        <f t="shared" si="54"/>
        <v>#REF!</v>
      </c>
      <c r="O151" s="1098">
        <f t="shared" si="55"/>
        <v>0</v>
      </c>
      <c r="P151" s="1096" t="e">
        <f t="shared" si="56"/>
        <v>#REF!</v>
      </c>
      <c r="Q151" s="1098">
        <f t="shared" si="57"/>
        <v>0</v>
      </c>
      <c r="R151" s="1096" t="e">
        <f t="shared" si="58"/>
        <v>#REF!</v>
      </c>
      <c r="S151" s="1107"/>
      <c r="T151" s="1104"/>
    </row>
    <row r="152" spans="1:20" s="1108" customFormat="1" ht="46.5" hidden="1">
      <c r="A152" s="1085"/>
      <c r="B152" s="1270" t="s">
        <v>4520</v>
      </c>
      <c r="C152" s="1085" t="e">
        <f>#REF!</f>
        <v>#REF!</v>
      </c>
      <c r="E152" s="1240"/>
      <c r="F152" s="1097" t="e">
        <f t="shared" si="50"/>
        <v>#REF!</v>
      </c>
      <c r="G152" s="1103"/>
      <c r="H152" s="1096" t="e">
        <f t="shared" si="51"/>
        <v>#REF!</v>
      </c>
      <c r="I152" s="1103"/>
      <c r="J152" s="1096" t="e">
        <f t="shared" si="52"/>
        <v>#REF!</v>
      </c>
      <c r="K152" s="1096"/>
      <c r="L152" s="1096" t="e">
        <f t="shared" si="53"/>
        <v>#REF!</v>
      </c>
      <c r="M152" s="1103"/>
      <c r="N152" s="1096" t="e">
        <f t="shared" si="54"/>
        <v>#REF!</v>
      </c>
      <c r="O152" s="1098">
        <f t="shared" si="55"/>
        <v>0</v>
      </c>
      <c r="P152" s="1096" t="e">
        <f t="shared" si="56"/>
        <v>#REF!</v>
      </c>
      <c r="Q152" s="1098">
        <f t="shared" si="57"/>
        <v>0</v>
      </c>
      <c r="R152" s="1096" t="e">
        <f t="shared" si="58"/>
        <v>#REF!</v>
      </c>
      <c r="S152" s="1107"/>
      <c r="T152" s="1104"/>
    </row>
    <row r="153" spans="1:20" s="1108" customFormat="1" ht="46.5" hidden="1">
      <c r="A153" s="1085"/>
      <c r="B153" s="1270" t="s">
        <v>4521</v>
      </c>
      <c r="C153" s="1085" t="e">
        <f>#REF!</f>
        <v>#REF!</v>
      </c>
      <c r="E153" s="1240"/>
      <c r="F153" s="1097" t="e">
        <f t="shared" si="50"/>
        <v>#REF!</v>
      </c>
      <c r="G153" s="1103"/>
      <c r="H153" s="1096" t="e">
        <f t="shared" si="51"/>
        <v>#REF!</v>
      </c>
      <c r="I153" s="1103"/>
      <c r="J153" s="1096" t="e">
        <f t="shared" si="52"/>
        <v>#REF!</v>
      </c>
      <c r="K153" s="1096"/>
      <c r="L153" s="1096" t="e">
        <f t="shared" si="53"/>
        <v>#REF!</v>
      </c>
      <c r="M153" s="1103"/>
      <c r="N153" s="1096" t="e">
        <f t="shared" si="54"/>
        <v>#REF!</v>
      </c>
      <c r="O153" s="1098">
        <f t="shared" si="55"/>
        <v>0</v>
      </c>
      <c r="P153" s="1096" t="e">
        <f t="shared" si="56"/>
        <v>#REF!</v>
      </c>
      <c r="Q153" s="1098">
        <f t="shared" si="57"/>
        <v>0</v>
      </c>
      <c r="R153" s="1096" t="e">
        <f t="shared" si="58"/>
        <v>#REF!</v>
      </c>
      <c r="S153" s="1107"/>
      <c r="T153" s="1104"/>
    </row>
    <row r="154" spans="1:20" s="1108" customFormat="1" ht="69.75" hidden="1">
      <c r="A154" s="1085"/>
      <c r="B154" s="1270" t="s">
        <v>4522</v>
      </c>
      <c r="C154" s="1085" t="e">
        <f>#REF!</f>
        <v>#REF!</v>
      </c>
      <c r="E154" s="1240"/>
      <c r="F154" s="1097" t="e">
        <f t="shared" si="50"/>
        <v>#REF!</v>
      </c>
      <c r="G154" s="1103"/>
      <c r="H154" s="1096" t="e">
        <f t="shared" si="51"/>
        <v>#REF!</v>
      </c>
      <c r="I154" s="1103"/>
      <c r="J154" s="1096" t="e">
        <f t="shared" si="52"/>
        <v>#REF!</v>
      </c>
      <c r="K154" s="1096"/>
      <c r="L154" s="1096" t="e">
        <f t="shared" si="53"/>
        <v>#REF!</v>
      </c>
      <c r="M154" s="1103"/>
      <c r="N154" s="1096" t="e">
        <f t="shared" si="54"/>
        <v>#REF!</v>
      </c>
      <c r="O154" s="1098">
        <f t="shared" si="55"/>
        <v>0</v>
      </c>
      <c r="P154" s="1096" t="e">
        <f t="shared" si="56"/>
        <v>#REF!</v>
      </c>
      <c r="Q154" s="1098">
        <f t="shared" si="57"/>
        <v>0</v>
      </c>
      <c r="R154" s="1096" t="e">
        <f t="shared" si="58"/>
        <v>#REF!</v>
      </c>
      <c r="S154" s="1107"/>
      <c r="T154" s="1104"/>
    </row>
    <row r="155" spans="1:20" s="1108" customFormat="1" ht="69.75" hidden="1">
      <c r="A155" s="1085"/>
      <c r="B155" s="1270" t="s">
        <v>4523</v>
      </c>
      <c r="C155" s="1085" t="e">
        <f>#REF!</f>
        <v>#REF!</v>
      </c>
      <c r="E155" s="1240"/>
      <c r="F155" s="1097" t="e">
        <f t="shared" si="50"/>
        <v>#REF!</v>
      </c>
      <c r="G155" s="1103"/>
      <c r="H155" s="1096" t="e">
        <f t="shared" si="51"/>
        <v>#REF!</v>
      </c>
      <c r="I155" s="1103"/>
      <c r="J155" s="1096" t="e">
        <f t="shared" si="52"/>
        <v>#REF!</v>
      </c>
      <c r="K155" s="1096"/>
      <c r="L155" s="1096" t="e">
        <f t="shared" si="53"/>
        <v>#REF!</v>
      </c>
      <c r="M155" s="1103"/>
      <c r="N155" s="1096" t="e">
        <f t="shared" si="54"/>
        <v>#REF!</v>
      </c>
      <c r="O155" s="1098">
        <f t="shared" si="55"/>
        <v>0</v>
      </c>
      <c r="P155" s="1096" t="e">
        <f t="shared" si="56"/>
        <v>#REF!</v>
      </c>
      <c r="Q155" s="1098">
        <f t="shared" si="57"/>
        <v>0</v>
      </c>
      <c r="R155" s="1096" t="e">
        <f t="shared" si="58"/>
        <v>#REF!</v>
      </c>
      <c r="S155" s="1107"/>
      <c r="T155" s="1104"/>
    </row>
    <row r="156" spans="1:20" s="1108" customFormat="1" hidden="1">
      <c r="A156" s="1085"/>
      <c r="B156" s="1270" t="s">
        <v>4524</v>
      </c>
      <c r="C156" s="1085" t="e">
        <f>#REF!</f>
        <v>#REF!</v>
      </c>
      <c r="E156" s="1240"/>
      <c r="F156" s="1097" t="e">
        <f t="shared" si="50"/>
        <v>#REF!</v>
      </c>
      <c r="G156" s="1103"/>
      <c r="H156" s="1096" t="e">
        <f t="shared" si="51"/>
        <v>#REF!</v>
      </c>
      <c r="I156" s="1103"/>
      <c r="J156" s="1096" t="e">
        <f t="shared" si="52"/>
        <v>#REF!</v>
      </c>
      <c r="K156" s="1096"/>
      <c r="L156" s="1096" t="e">
        <f t="shared" si="53"/>
        <v>#REF!</v>
      </c>
      <c r="M156" s="1103"/>
      <c r="N156" s="1096" t="e">
        <f t="shared" si="54"/>
        <v>#REF!</v>
      </c>
      <c r="O156" s="1098">
        <f t="shared" si="55"/>
        <v>0</v>
      </c>
      <c r="P156" s="1096" t="e">
        <f t="shared" si="56"/>
        <v>#REF!</v>
      </c>
      <c r="Q156" s="1098">
        <f t="shared" si="57"/>
        <v>0</v>
      </c>
      <c r="R156" s="1096" t="e">
        <f t="shared" si="58"/>
        <v>#REF!</v>
      </c>
      <c r="S156" s="1107"/>
      <c r="T156" s="1104"/>
    </row>
    <row r="157" spans="1:20" s="1108" customFormat="1" hidden="1">
      <c r="A157" s="1085"/>
      <c r="B157" s="1270" t="s">
        <v>4525</v>
      </c>
      <c r="C157" s="1085" t="e">
        <f>#REF!</f>
        <v>#REF!</v>
      </c>
      <c r="E157" s="1240"/>
      <c r="F157" s="1097" t="e">
        <f t="shared" si="50"/>
        <v>#REF!</v>
      </c>
      <c r="G157" s="1103"/>
      <c r="H157" s="1096" t="e">
        <f t="shared" si="51"/>
        <v>#REF!</v>
      </c>
      <c r="I157" s="1103"/>
      <c r="J157" s="1096" t="e">
        <f t="shared" si="52"/>
        <v>#REF!</v>
      </c>
      <c r="K157" s="1096"/>
      <c r="L157" s="1096" t="e">
        <f t="shared" si="53"/>
        <v>#REF!</v>
      </c>
      <c r="M157" s="1103"/>
      <c r="N157" s="1096" t="e">
        <f t="shared" si="54"/>
        <v>#REF!</v>
      </c>
      <c r="O157" s="1098">
        <f t="shared" si="55"/>
        <v>0</v>
      </c>
      <c r="P157" s="1096" t="e">
        <f t="shared" si="56"/>
        <v>#REF!</v>
      </c>
      <c r="Q157" s="1098">
        <f t="shared" si="57"/>
        <v>0</v>
      </c>
      <c r="R157" s="1096" t="e">
        <f t="shared" si="58"/>
        <v>#REF!</v>
      </c>
      <c r="S157" s="1107"/>
      <c r="T157" s="1104"/>
    </row>
    <row r="158" spans="1:20" s="1108" customFormat="1" hidden="1">
      <c r="A158" s="1085"/>
      <c r="B158" s="1270" t="s">
        <v>4526</v>
      </c>
      <c r="C158" s="1085" t="e">
        <f>#REF!</f>
        <v>#REF!</v>
      </c>
      <c r="E158" s="1240"/>
      <c r="F158" s="1097" t="e">
        <f t="shared" ref="F158:F217" si="59">E158*C158</f>
        <v>#REF!</v>
      </c>
      <c r="G158" s="1103"/>
      <c r="H158" s="1096" t="e">
        <f t="shared" ref="H158:H209" si="60">G158*C158</f>
        <v>#REF!</v>
      </c>
      <c r="I158" s="1103"/>
      <c r="J158" s="1096" t="e">
        <f t="shared" ref="J158:J217" si="61">I158*C158</f>
        <v>#REF!</v>
      </c>
      <c r="K158" s="1096"/>
      <c r="L158" s="1096" t="e">
        <f t="shared" ref="L158:L213" si="62">K158*C158</f>
        <v>#REF!</v>
      </c>
      <c r="M158" s="1103"/>
      <c r="N158" s="1096" t="e">
        <f t="shared" ref="N158:N219" si="63">M158*C158</f>
        <v>#REF!</v>
      </c>
      <c r="O158" s="1098">
        <f t="shared" ref="O158:O211" si="64">I158+K158+M158</f>
        <v>0</v>
      </c>
      <c r="P158" s="1096" t="e">
        <f t="shared" ref="P158:P211" si="65">O158*C158</f>
        <v>#REF!</v>
      </c>
      <c r="Q158" s="1098">
        <f t="shared" ref="Q158:Q211" si="66">O158+E158+G158</f>
        <v>0</v>
      </c>
      <c r="R158" s="1096" t="e">
        <f t="shared" ref="R158:R211" si="67">Q158*C158</f>
        <v>#REF!</v>
      </c>
      <c r="S158" s="1107"/>
      <c r="T158" s="1104"/>
    </row>
    <row r="159" spans="1:20" s="1108" customFormat="1" hidden="1">
      <c r="A159" s="1085"/>
      <c r="B159" s="1270" t="s">
        <v>4527</v>
      </c>
      <c r="C159" s="1085" t="e">
        <f>#REF!</f>
        <v>#REF!</v>
      </c>
      <c r="E159" s="1240"/>
      <c r="F159" s="1097" t="e">
        <f t="shared" si="59"/>
        <v>#REF!</v>
      </c>
      <c r="G159" s="1103"/>
      <c r="H159" s="1096" t="e">
        <f t="shared" si="60"/>
        <v>#REF!</v>
      </c>
      <c r="I159" s="1103"/>
      <c r="J159" s="1096" t="e">
        <f t="shared" si="61"/>
        <v>#REF!</v>
      </c>
      <c r="K159" s="1096"/>
      <c r="L159" s="1096" t="e">
        <f t="shared" si="62"/>
        <v>#REF!</v>
      </c>
      <c r="M159" s="1103"/>
      <c r="N159" s="1096" t="e">
        <f t="shared" si="63"/>
        <v>#REF!</v>
      </c>
      <c r="O159" s="1098">
        <f t="shared" si="64"/>
        <v>0</v>
      </c>
      <c r="P159" s="1096" t="e">
        <f t="shared" si="65"/>
        <v>#REF!</v>
      </c>
      <c r="Q159" s="1098">
        <f t="shared" si="66"/>
        <v>0</v>
      </c>
      <c r="R159" s="1096" t="e">
        <f t="shared" si="67"/>
        <v>#REF!</v>
      </c>
      <c r="S159" s="1107"/>
      <c r="T159" s="1104"/>
    </row>
    <row r="160" spans="1:20" s="1108" customFormat="1" ht="116.25" hidden="1">
      <c r="A160" s="1085"/>
      <c r="B160" s="1270" t="s">
        <v>4528</v>
      </c>
      <c r="C160" s="1085" t="e">
        <f>#REF!</f>
        <v>#REF!</v>
      </c>
      <c r="E160" s="1240"/>
      <c r="F160" s="1097" t="e">
        <f t="shared" si="59"/>
        <v>#REF!</v>
      </c>
      <c r="G160" s="1103"/>
      <c r="H160" s="1096" t="e">
        <f t="shared" si="60"/>
        <v>#REF!</v>
      </c>
      <c r="I160" s="1103"/>
      <c r="J160" s="1096" t="e">
        <f t="shared" si="61"/>
        <v>#REF!</v>
      </c>
      <c r="K160" s="1096"/>
      <c r="L160" s="1096" t="e">
        <f t="shared" si="62"/>
        <v>#REF!</v>
      </c>
      <c r="M160" s="1103"/>
      <c r="N160" s="1096" t="e">
        <f t="shared" si="63"/>
        <v>#REF!</v>
      </c>
      <c r="O160" s="1098">
        <f t="shared" si="64"/>
        <v>0</v>
      </c>
      <c r="P160" s="1096" t="e">
        <f t="shared" si="65"/>
        <v>#REF!</v>
      </c>
      <c r="Q160" s="1098">
        <f t="shared" si="66"/>
        <v>0</v>
      </c>
      <c r="R160" s="1096" t="e">
        <f t="shared" si="67"/>
        <v>#REF!</v>
      </c>
      <c r="S160" s="1107"/>
      <c r="T160" s="1104"/>
    </row>
    <row r="161" spans="1:20" s="1108" customFormat="1" ht="69.75" hidden="1">
      <c r="A161" s="1085"/>
      <c r="B161" s="1270" t="s">
        <v>4529</v>
      </c>
      <c r="C161" s="1085" t="e">
        <f>#REF!</f>
        <v>#REF!</v>
      </c>
      <c r="E161" s="1240"/>
      <c r="F161" s="1097" t="e">
        <f t="shared" si="59"/>
        <v>#REF!</v>
      </c>
      <c r="G161" s="1103"/>
      <c r="H161" s="1096" t="e">
        <f t="shared" si="60"/>
        <v>#REF!</v>
      </c>
      <c r="I161" s="1103"/>
      <c r="J161" s="1096" t="e">
        <f t="shared" si="61"/>
        <v>#REF!</v>
      </c>
      <c r="K161" s="1096"/>
      <c r="L161" s="1096" t="e">
        <f t="shared" si="62"/>
        <v>#REF!</v>
      </c>
      <c r="M161" s="1103"/>
      <c r="N161" s="1096" t="e">
        <f t="shared" si="63"/>
        <v>#REF!</v>
      </c>
      <c r="O161" s="1098">
        <f t="shared" si="64"/>
        <v>0</v>
      </c>
      <c r="P161" s="1096" t="e">
        <f t="shared" si="65"/>
        <v>#REF!</v>
      </c>
      <c r="Q161" s="1098">
        <f t="shared" si="66"/>
        <v>0</v>
      </c>
      <c r="R161" s="1096" t="e">
        <f t="shared" si="67"/>
        <v>#REF!</v>
      </c>
      <c r="S161" s="1107"/>
      <c r="T161" s="1104"/>
    </row>
    <row r="162" spans="1:20" s="1108" customFormat="1" ht="46.5" hidden="1">
      <c r="A162" s="1085"/>
      <c r="B162" s="1270" t="s">
        <v>4530</v>
      </c>
      <c r="C162" s="1085" t="e">
        <f>#REF!</f>
        <v>#REF!</v>
      </c>
      <c r="E162" s="1240"/>
      <c r="F162" s="1097" t="e">
        <f t="shared" si="59"/>
        <v>#REF!</v>
      </c>
      <c r="G162" s="1103"/>
      <c r="H162" s="1096" t="e">
        <f t="shared" si="60"/>
        <v>#REF!</v>
      </c>
      <c r="I162" s="1103"/>
      <c r="J162" s="1096" t="e">
        <f t="shared" si="61"/>
        <v>#REF!</v>
      </c>
      <c r="K162" s="1096"/>
      <c r="L162" s="1096" t="e">
        <f t="shared" si="62"/>
        <v>#REF!</v>
      </c>
      <c r="M162" s="1103"/>
      <c r="N162" s="1096" t="e">
        <f t="shared" si="63"/>
        <v>#REF!</v>
      </c>
      <c r="O162" s="1098">
        <f t="shared" si="64"/>
        <v>0</v>
      </c>
      <c r="P162" s="1096" t="e">
        <f t="shared" si="65"/>
        <v>#REF!</v>
      </c>
      <c r="Q162" s="1098">
        <f t="shared" si="66"/>
        <v>0</v>
      </c>
      <c r="R162" s="1096" t="e">
        <f t="shared" si="67"/>
        <v>#REF!</v>
      </c>
      <c r="S162" s="1107"/>
      <c r="T162" s="1104"/>
    </row>
    <row r="163" spans="1:20" s="1108" customFormat="1" hidden="1">
      <c r="A163" s="1085"/>
      <c r="B163" s="1270" t="s">
        <v>4531</v>
      </c>
      <c r="C163" s="1085" t="e">
        <f>#REF!</f>
        <v>#REF!</v>
      </c>
      <c r="E163" s="1240"/>
      <c r="F163" s="1097" t="e">
        <f t="shared" si="59"/>
        <v>#REF!</v>
      </c>
      <c r="G163" s="1103"/>
      <c r="H163" s="1096" t="e">
        <f t="shared" si="60"/>
        <v>#REF!</v>
      </c>
      <c r="I163" s="1103"/>
      <c r="J163" s="1096" t="e">
        <f t="shared" si="61"/>
        <v>#REF!</v>
      </c>
      <c r="K163" s="1096"/>
      <c r="L163" s="1096" t="e">
        <f t="shared" si="62"/>
        <v>#REF!</v>
      </c>
      <c r="M163" s="1103"/>
      <c r="N163" s="1096" t="e">
        <f t="shared" si="63"/>
        <v>#REF!</v>
      </c>
      <c r="O163" s="1098">
        <f t="shared" si="64"/>
        <v>0</v>
      </c>
      <c r="P163" s="1096" t="e">
        <f t="shared" si="65"/>
        <v>#REF!</v>
      </c>
      <c r="Q163" s="1098">
        <f t="shared" si="66"/>
        <v>0</v>
      </c>
      <c r="R163" s="1096" t="e">
        <f t="shared" si="67"/>
        <v>#REF!</v>
      </c>
      <c r="S163" s="1107"/>
      <c r="T163" s="1104"/>
    </row>
    <row r="164" spans="1:20" s="1108" customFormat="1" ht="93" hidden="1">
      <c r="A164" s="1085"/>
      <c r="B164" s="1270" t="s">
        <v>4532</v>
      </c>
      <c r="C164" s="1085" t="e">
        <f>#REF!</f>
        <v>#REF!</v>
      </c>
      <c r="E164" s="1240"/>
      <c r="F164" s="1097" t="e">
        <f t="shared" si="59"/>
        <v>#REF!</v>
      </c>
      <c r="G164" s="1103"/>
      <c r="H164" s="1096" t="e">
        <f t="shared" si="60"/>
        <v>#REF!</v>
      </c>
      <c r="I164" s="1103"/>
      <c r="J164" s="1096" t="e">
        <f t="shared" si="61"/>
        <v>#REF!</v>
      </c>
      <c r="K164" s="1096"/>
      <c r="L164" s="1096" t="e">
        <f t="shared" si="62"/>
        <v>#REF!</v>
      </c>
      <c r="M164" s="1103"/>
      <c r="N164" s="1096" t="e">
        <f t="shared" si="63"/>
        <v>#REF!</v>
      </c>
      <c r="O164" s="1098">
        <f t="shared" si="64"/>
        <v>0</v>
      </c>
      <c r="P164" s="1096" t="e">
        <f t="shared" si="65"/>
        <v>#REF!</v>
      </c>
      <c r="Q164" s="1098">
        <f t="shared" si="66"/>
        <v>0</v>
      </c>
      <c r="R164" s="1096" t="e">
        <f t="shared" si="67"/>
        <v>#REF!</v>
      </c>
      <c r="S164" s="1107"/>
      <c r="T164" s="1104"/>
    </row>
    <row r="165" spans="1:20" s="1108" customFormat="1" hidden="1">
      <c r="A165" s="1085"/>
      <c r="B165" s="1270" t="s">
        <v>4533</v>
      </c>
      <c r="C165" s="1085" t="e">
        <f>#REF!</f>
        <v>#REF!</v>
      </c>
      <c r="E165" s="1240"/>
      <c r="F165" s="1097" t="e">
        <f t="shared" si="59"/>
        <v>#REF!</v>
      </c>
      <c r="G165" s="1103"/>
      <c r="H165" s="1096" t="e">
        <f t="shared" si="60"/>
        <v>#REF!</v>
      </c>
      <c r="I165" s="1103"/>
      <c r="J165" s="1096" t="e">
        <f t="shared" si="61"/>
        <v>#REF!</v>
      </c>
      <c r="K165" s="1096"/>
      <c r="L165" s="1096" t="e">
        <f t="shared" si="62"/>
        <v>#REF!</v>
      </c>
      <c r="M165" s="1103"/>
      <c r="N165" s="1096" t="e">
        <f t="shared" si="63"/>
        <v>#REF!</v>
      </c>
      <c r="O165" s="1098">
        <f t="shared" si="64"/>
        <v>0</v>
      </c>
      <c r="P165" s="1096" t="e">
        <f t="shared" si="65"/>
        <v>#REF!</v>
      </c>
      <c r="Q165" s="1098">
        <f t="shared" si="66"/>
        <v>0</v>
      </c>
      <c r="R165" s="1096" t="e">
        <f t="shared" si="67"/>
        <v>#REF!</v>
      </c>
      <c r="S165" s="1107"/>
      <c r="T165" s="1104"/>
    </row>
    <row r="166" spans="1:20" s="1108" customFormat="1" ht="46.5" hidden="1">
      <c r="A166" s="1085"/>
      <c r="B166" s="1324" t="s">
        <v>4534</v>
      </c>
      <c r="C166" s="1085" t="e">
        <f>#REF!</f>
        <v>#REF!</v>
      </c>
      <c r="E166" s="1240"/>
      <c r="F166" s="1097" t="e">
        <f t="shared" si="59"/>
        <v>#REF!</v>
      </c>
      <c r="G166" s="1103"/>
      <c r="H166" s="1096" t="e">
        <f t="shared" si="60"/>
        <v>#REF!</v>
      </c>
      <c r="I166" s="1103"/>
      <c r="J166" s="1096" t="e">
        <f t="shared" si="61"/>
        <v>#REF!</v>
      </c>
      <c r="K166" s="1096"/>
      <c r="L166" s="1096" t="e">
        <f t="shared" si="62"/>
        <v>#REF!</v>
      </c>
      <c r="M166" s="1103"/>
      <c r="N166" s="1096" t="e">
        <f t="shared" si="63"/>
        <v>#REF!</v>
      </c>
      <c r="O166" s="1098">
        <f t="shared" si="64"/>
        <v>0</v>
      </c>
      <c r="P166" s="1096" t="e">
        <f t="shared" si="65"/>
        <v>#REF!</v>
      </c>
      <c r="Q166" s="1098">
        <f t="shared" si="66"/>
        <v>0</v>
      </c>
      <c r="R166" s="1096" t="e">
        <f t="shared" si="67"/>
        <v>#REF!</v>
      </c>
      <c r="S166" s="1107"/>
      <c r="T166" s="1104"/>
    </row>
    <row r="167" spans="1:20" s="1108" customFormat="1" ht="46.5" hidden="1">
      <c r="A167" s="1085"/>
      <c r="B167" s="1270" t="s">
        <v>4535</v>
      </c>
      <c r="C167" s="1085" t="e">
        <f>#REF!</f>
        <v>#REF!</v>
      </c>
      <c r="E167" s="1240"/>
      <c r="F167" s="1097" t="e">
        <f t="shared" si="59"/>
        <v>#REF!</v>
      </c>
      <c r="G167" s="1103"/>
      <c r="H167" s="1096" t="e">
        <f t="shared" si="60"/>
        <v>#REF!</v>
      </c>
      <c r="I167" s="1103"/>
      <c r="J167" s="1096" t="e">
        <f t="shared" si="61"/>
        <v>#REF!</v>
      </c>
      <c r="K167" s="1096"/>
      <c r="L167" s="1096" t="e">
        <f t="shared" si="62"/>
        <v>#REF!</v>
      </c>
      <c r="M167" s="1103"/>
      <c r="N167" s="1096" t="e">
        <f t="shared" si="63"/>
        <v>#REF!</v>
      </c>
      <c r="O167" s="1098">
        <f t="shared" si="64"/>
        <v>0</v>
      </c>
      <c r="P167" s="1096" t="e">
        <f t="shared" si="65"/>
        <v>#REF!</v>
      </c>
      <c r="Q167" s="1098">
        <f t="shared" si="66"/>
        <v>0</v>
      </c>
      <c r="R167" s="1096" t="e">
        <f t="shared" si="67"/>
        <v>#REF!</v>
      </c>
      <c r="S167" s="1107"/>
      <c r="T167" s="1104"/>
    </row>
    <row r="168" spans="1:20" s="1108" customFormat="1" ht="69.75" hidden="1">
      <c r="A168" s="1085"/>
      <c r="B168" s="1324" t="s">
        <v>4536</v>
      </c>
      <c r="C168" s="1085" t="e">
        <f>#REF!</f>
        <v>#REF!</v>
      </c>
      <c r="E168" s="1240"/>
      <c r="F168" s="1097" t="e">
        <f t="shared" si="59"/>
        <v>#REF!</v>
      </c>
      <c r="G168" s="1103"/>
      <c r="H168" s="1096" t="e">
        <f t="shared" si="60"/>
        <v>#REF!</v>
      </c>
      <c r="I168" s="1103"/>
      <c r="J168" s="1096" t="e">
        <f t="shared" si="61"/>
        <v>#REF!</v>
      </c>
      <c r="K168" s="1096"/>
      <c r="L168" s="1096" t="e">
        <f t="shared" si="62"/>
        <v>#REF!</v>
      </c>
      <c r="M168" s="1103"/>
      <c r="N168" s="1096" t="e">
        <f t="shared" si="63"/>
        <v>#REF!</v>
      </c>
      <c r="O168" s="1098">
        <f t="shared" si="64"/>
        <v>0</v>
      </c>
      <c r="P168" s="1096" t="e">
        <f t="shared" si="65"/>
        <v>#REF!</v>
      </c>
      <c r="Q168" s="1098">
        <f t="shared" si="66"/>
        <v>0</v>
      </c>
      <c r="R168" s="1096" t="e">
        <f t="shared" si="67"/>
        <v>#REF!</v>
      </c>
      <c r="S168" s="1107"/>
      <c r="T168" s="1104"/>
    </row>
    <row r="169" spans="1:20" s="1108" customFormat="1" ht="69.75" hidden="1">
      <c r="A169" s="1085"/>
      <c r="B169" s="1324" t="s">
        <v>4537</v>
      </c>
      <c r="C169" s="1085" t="e">
        <f>#REF!</f>
        <v>#REF!</v>
      </c>
      <c r="E169" s="1240"/>
      <c r="F169" s="1097" t="e">
        <f t="shared" si="59"/>
        <v>#REF!</v>
      </c>
      <c r="G169" s="1103"/>
      <c r="H169" s="1096" t="e">
        <f t="shared" si="60"/>
        <v>#REF!</v>
      </c>
      <c r="I169" s="1103"/>
      <c r="J169" s="1096" t="e">
        <f t="shared" si="61"/>
        <v>#REF!</v>
      </c>
      <c r="K169" s="1096"/>
      <c r="L169" s="1096" t="e">
        <f t="shared" si="62"/>
        <v>#REF!</v>
      </c>
      <c r="M169" s="1103"/>
      <c r="N169" s="1096" t="e">
        <f t="shared" si="63"/>
        <v>#REF!</v>
      </c>
      <c r="O169" s="1098">
        <f t="shared" si="64"/>
        <v>0</v>
      </c>
      <c r="P169" s="1096" t="e">
        <f t="shared" si="65"/>
        <v>#REF!</v>
      </c>
      <c r="Q169" s="1098">
        <f t="shared" si="66"/>
        <v>0</v>
      </c>
      <c r="R169" s="1096" t="e">
        <f t="shared" si="67"/>
        <v>#REF!</v>
      </c>
      <c r="S169" s="1107"/>
      <c r="T169" s="1104"/>
    </row>
    <row r="170" spans="1:20" s="1108" customFormat="1" ht="69.75" hidden="1">
      <c r="A170" s="1085"/>
      <c r="B170" s="1324" t="s">
        <v>4538</v>
      </c>
      <c r="C170" s="1085" t="e">
        <f>#REF!</f>
        <v>#REF!</v>
      </c>
      <c r="E170" s="1240"/>
      <c r="F170" s="1097" t="e">
        <f t="shared" si="59"/>
        <v>#REF!</v>
      </c>
      <c r="G170" s="1240"/>
      <c r="H170" s="1096" t="e">
        <f t="shared" si="60"/>
        <v>#REF!</v>
      </c>
      <c r="I170" s="1103"/>
      <c r="J170" s="1096" t="e">
        <f t="shared" si="61"/>
        <v>#REF!</v>
      </c>
      <c r="K170" s="1096"/>
      <c r="L170" s="1096" t="e">
        <f t="shared" si="62"/>
        <v>#REF!</v>
      </c>
      <c r="M170" s="1103"/>
      <c r="N170" s="1096" t="e">
        <f t="shared" si="63"/>
        <v>#REF!</v>
      </c>
      <c r="O170" s="1098">
        <f t="shared" si="64"/>
        <v>0</v>
      </c>
      <c r="P170" s="1096" t="e">
        <f t="shared" si="65"/>
        <v>#REF!</v>
      </c>
      <c r="Q170" s="1098">
        <f t="shared" si="66"/>
        <v>0</v>
      </c>
      <c r="R170" s="1096" t="e">
        <f t="shared" si="67"/>
        <v>#REF!</v>
      </c>
      <c r="S170" s="1107"/>
      <c r="T170" s="1104"/>
    </row>
    <row r="171" spans="1:20" s="1108" customFormat="1" ht="69.75" hidden="1">
      <c r="A171" s="1085"/>
      <c r="B171" s="1324" t="s">
        <v>4539</v>
      </c>
      <c r="C171" s="1085" t="e">
        <f>#REF!</f>
        <v>#REF!</v>
      </c>
      <c r="E171" s="1240"/>
      <c r="F171" s="1097" t="e">
        <f t="shared" si="59"/>
        <v>#REF!</v>
      </c>
      <c r="G171" s="1240"/>
      <c r="H171" s="1096" t="e">
        <f t="shared" si="60"/>
        <v>#REF!</v>
      </c>
      <c r="I171" s="1103"/>
      <c r="J171" s="1096" t="e">
        <f t="shared" si="61"/>
        <v>#REF!</v>
      </c>
      <c r="K171" s="1096"/>
      <c r="L171" s="1096" t="e">
        <f t="shared" si="62"/>
        <v>#REF!</v>
      </c>
      <c r="M171" s="1103"/>
      <c r="N171" s="1096" t="e">
        <f t="shared" si="63"/>
        <v>#REF!</v>
      </c>
      <c r="O171" s="1098">
        <f t="shared" si="64"/>
        <v>0</v>
      </c>
      <c r="P171" s="1096" t="e">
        <f t="shared" si="65"/>
        <v>#REF!</v>
      </c>
      <c r="Q171" s="1098">
        <f t="shared" si="66"/>
        <v>0</v>
      </c>
      <c r="R171" s="1096" t="e">
        <f t="shared" si="67"/>
        <v>#REF!</v>
      </c>
      <c r="S171" s="1107"/>
      <c r="T171" s="1104"/>
    </row>
    <row r="172" spans="1:20" s="1108" customFormat="1" ht="46.5" hidden="1">
      <c r="A172" s="1085"/>
      <c r="B172" s="1324" t="s">
        <v>4540</v>
      </c>
      <c r="C172" s="1085" t="e">
        <f>#REF!</f>
        <v>#REF!</v>
      </c>
      <c r="E172" s="1240"/>
      <c r="F172" s="1097" t="e">
        <f t="shared" si="59"/>
        <v>#REF!</v>
      </c>
      <c r="G172" s="1240"/>
      <c r="H172" s="1096" t="e">
        <f t="shared" si="60"/>
        <v>#REF!</v>
      </c>
      <c r="I172" s="1103"/>
      <c r="J172" s="1096" t="e">
        <f t="shared" si="61"/>
        <v>#REF!</v>
      </c>
      <c r="K172" s="1096"/>
      <c r="L172" s="1096" t="e">
        <f t="shared" si="62"/>
        <v>#REF!</v>
      </c>
      <c r="M172" s="1103"/>
      <c r="N172" s="1096" t="e">
        <f t="shared" si="63"/>
        <v>#REF!</v>
      </c>
      <c r="O172" s="1098">
        <f t="shared" si="64"/>
        <v>0</v>
      </c>
      <c r="P172" s="1096" t="e">
        <f t="shared" si="65"/>
        <v>#REF!</v>
      </c>
      <c r="Q172" s="1098">
        <f t="shared" si="66"/>
        <v>0</v>
      </c>
      <c r="R172" s="1096" t="e">
        <f t="shared" si="67"/>
        <v>#REF!</v>
      </c>
      <c r="S172" s="1107"/>
      <c r="T172" s="1104"/>
    </row>
    <row r="173" spans="1:20" s="1108" customFormat="1" ht="46.5" hidden="1">
      <c r="A173" s="1085"/>
      <c r="B173" s="1270" t="s">
        <v>4541</v>
      </c>
      <c r="C173" s="1085" t="e">
        <f>#REF!</f>
        <v>#REF!</v>
      </c>
      <c r="E173" s="1240"/>
      <c r="F173" s="1097" t="e">
        <f t="shared" si="59"/>
        <v>#REF!</v>
      </c>
      <c r="G173" s="1240"/>
      <c r="H173" s="1096" t="e">
        <f t="shared" si="60"/>
        <v>#REF!</v>
      </c>
      <c r="I173" s="1103"/>
      <c r="J173" s="1096" t="e">
        <f t="shared" si="61"/>
        <v>#REF!</v>
      </c>
      <c r="K173" s="1096"/>
      <c r="L173" s="1096" t="e">
        <f t="shared" si="62"/>
        <v>#REF!</v>
      </c>
      <c r="M173" s="1103"/>
      <c r="N173" s="1096" t="e">
        <f t="shared" si="63"/>
        <v>#REF!</v>
      </c>
      <c r="O173" s="1098">
        <f t="shared" si="64"/>
        <v>0</v>
      </c>
      <c r="P173" s="1096" t="e">
        <f t="shared" si="65"/>
        <v>#REF!</v>
      </c>
      <c r="Q173" s="1098">
        <f t="shared" si="66"/>
        <v>0</v>
      </c>
      <c r="R173" s="1096" t="e">
        <f t="shared" si="67"/>
        <v>#REF!</v>
      </c>
      <c r="S173" s="1107"/>
      <c r="T173" s="1104"/>
    </row>
    <row r="174" spans="1:20" s="1108" customFormat="1" hidden="1">
      <c r="A174" s="1085"/>
      <c r="B174" s="1270" t="s">
        <v>4542</v>
      </c>
      <c r="C174" s="1085" t="e">
        <f>#REF!</f>
        <v>#REF!</v>
      </c>
      <c r="E174" s="1240"/>
      <c r="F174" s="1097" t="e">
        <f t="shared" si="59"/>
        <v>#REF!</v>
      </c>
      <c r="G174" s="1240"/>
      <c r="H174" s="1096" t="e">
        <f t="shared" si="60"/>
        <v>#REF!</v>
      </c>
      <c r="I174" s="1103"/>
      <c r="J174" s="1096" t="e">
        <f t="shared" si="61"/>
        <v>#REF!</v>
      </c>
      <c r="K174" s="1096"/>
      <c r="L174" s="1096" t="e">
        <f t="shared" si="62"/>
        <v>#REF!</v>
      </c>
      <c r="M174" s="1103"/>
      <c r="N174" s="1096" t="e">
        <f t="shared" si="63"/>
        <v>#REF!</v>
      </c>
      <c r="O174" s="1098">
        <f t="shared" si="64"/>
        <v>0</v>
      </c>
      <c r="P174" s="1096" t="e">
        <f t="shared" si="65"/>
        <v>#REF!</v>
      </c>
      <c r="Q174" s="1098">
        <f t="shared" si="66"/>
        <v>0</v>
      </c>
      <c r="R174" s="1096" t="e">
        <f t="shared" si="67"/>
        <v>#REF!</v>
      </c>
      <c r="S174" s="1107"/>
      <c r="T174" s="1104"/>
    </row>
    <row r="175" spans="1:20" s="1108" customFormat="1" hidden="1">
      <c r="A175" s="1085"/>
      <c r="B175" s="1270" t="s">
        <v>4543</v>
      </c>
      <c r="C175" s="1085" t="e">
        <f>C174+C177</f>
        <v>#REF!</v>
      </c>
      <c r="E175" s="1240"/>
      <c r="F175" s="1097" t="e">
        <f t="shared" si="59"/>
        <v>#REF!</v>
      </c>
      <c r="G175" s="1240"/>
      <c r="H175" s="1096" t="e">
        <f t="shared" si="60"/>
        <v>#REF!</v>
      </c>
      <c r="I175" s="1103"/>
      <c r="J175" s="1096" t="e">
        <f t="shared" si="61"/>
        <v>#REF!</v>
      </c>
      <c r="K175" s="1096"/>
      <c r="L175" s="1096" t="e">
        <f t="shared" si="62"/>
        <v>#REF!</v>
      </c>
      <c r="M175" s="1103"/>
      <c r="N175" s="1096" t="e">
        <f t="shared" si="63"/>
        <v>#REF!</v>
      </c>
      <c r="O175" s="1098">
        <f t="shared" si="64"/>
        <v>0</v>
      </c>
      <c r="P175" s="1096" t="e">
        <f t="shared" si="65"/>
        <v>#REF!</v>
      </c>
      <c r="Q175" s="1098">
        <f t="shared" si="66"/>
        <v>0</v>
      </c>
      <c r="R175" s="1096" t="e">
        <f t="shared" si="67"/>
        <v>#REF!</v>
      </c>
      <c r="S175" s="1107"/>
      <c r="T175" s="1104"/>
    </row>
    <row r="176" spans="1:20" s="1108" customFormat="1" hidden="1">
      <c r="A176" s="1085"/>
      <c r="B176" s="1270" t="s">
        <v>4544</v>
      </c>
      <c r="C176" s="1085" t="e">
        <f>#REF!</f>
        <v>#REF!</v>
      </c>
      <c r="E176" s="1240"/>
      <c r="F176" s="1097" t="e">
        <f t="shared" si="59"/>
        <v>#REF!</v>
      </c>
      <c r="G176" s="1240"/>
      <c r="H176" s="1096" t="e">
        <f t="shared" si="60"/>
        <v>#REF!</v>
      </c>
      <c r="I176" s="1103"/>
      <c r="J176" s="1096" t="e">
        <f t="shared" si="61"/>
        <v>#REF!</v>
      </c>
      <c r="K176" s="1096"/>
      <c r="L176" s="1096" t="e">
        <f t="shared" si="62"/>
        <v>#REF!</v>
      </c>
      <c r="M176" s="1103"/>
      <c r="N176" s="1096" t="e">
        <f t="shared" si="63"/>
        <v>#REF!</v>
      </c>
      <c r="O176" s="1098">
        <f t="shared" si="64"/>
        <v>0</v>
      </c>
      <c r="P176" s="1096" t="e">
        <f t="shared" si="65"/>
        <v>#REF!</v>
      </c>
      <c r="Q176" s="1098">
        <f t="shared" si="66"/>
        <v>0</v>
      </c>
      <c r="R176" s="1096" t="e">
        <f t="shared" si="67"/>
        <v>#REF!</v>
      </c>
      <c r="S176" s="1107"/>
      <c r="T176" s="1104"/>
    </row>
    <row r="177" spans="1:20" s="1108" customFormat="1" hidden="1">
      <c r="A177" s="1085"/>
      <c r="B177" s="1270" t="s">
        <v>4545</v>
      </c>
      <c r="C177" s="1085" t="e">
        <f>#REF!</f>
        <v>#REF!</v>
      </c>
      <c r="E177" s="1240"/>
      <c r="F177" s="1097" t="e">
        <f t="shared" si="59"/>
        <v>#REF!</v>
      </c>
      <c r="G177" s="1240"/>
      <c r="H177" s="1096" t="e">
        <f t="shared" si="60"/>
        <v>#REF!</v>
      </c>
      <c r="I177" s="1103"/>
      <c r="J177" s="1096" t="e">
        <f t="shared" si="61"/>
        <v>#REF!</v>
      </c>
      <c r="K177" s="1096"/>
      <c r="L177" s="1096" t="e">
        <f t="shared" si="62"/>
        <v>#REF!</v>
      </c>
      <c r="M177" s="1103"/>
      <c r="N177" s="1096" t="e">
        <f t="shared" si="63"/>
        <v>#REF!</v>
      </c>
      <c r="O177" s="1098">
        <f t="shared" si="64"/>
        <v>0</v>
      </c>
      <c r="P177" s="1096" t="e">
        <f t="shared" si="65"/>
        <v>#REF!</v>
      </c>
      <c r="Q177" s="1098">
        <f t="shared" si="66"/>
        <v>0</v>
      </c>
      <c r="R177" s="1096" t="e">
        <f t="shared" si="67"/>
        <v>#REF!</v>
      </c>
      <c r="S177" s="1107"/>
      <c r="T177" s="1104"/>
    </row>
    <row r="178" spans="1:20" s="1108" customFormat="1" hidden="1">
      <c r="A178" s="1085"/>
      <c r="B178" s="1270" t="s">
        <v>4546</v>
      </c>
      <c r="C178" s="1085" t="e">
        <f>#REF!</f>
        <v>#REF!</v>
      </c>
      <c r="E178" s="1240"/>
      <c r="F178" s="1097" t="e">
        <f t="shared" si="59"/>
        <v>#REF!</v>
      </c>
      <c r="G178" s="1240"/>
      <c r="H178" s="1096" t="e">
        <f t="shared" si="60"/>
        <v>#REF!</v>
      </c>
      <c r="I178" s="1103"/>
      <c r="J178" s="1096" t="e">
        <f t="shared" si="61"/>
        <v>#REF!</v>
      </c>
      <c r="K178" s="1096"/>
      <c r="L178" s="1096" t="e">
        <f t="shared" si="62"/>
        <v>#REF!</v>
      </c>
      <c r="M178" s="1103"/>
      <c r="N178" s="1096" t="e">
        <f t="shared" si="63"/>
        <v>#REF!</v>
      </c>
      <c r="O178" s="1098">
        <f t="shared" si="64"/>
        <v>0</v>
      </c>
      <c r="P178" s="1096" t="e">
        <f t="shared" si="65"/>
        <v>#REF!</v>
      </c>
      <c r="Q178" s="1098">
        <f t="shared" si="66"/>
        <v>0</v>
      </c>
      <c r="R178" s="1096" t="e">
        <f t="shared" si="67"/>
        <v>#REF!</v>
      </c>
      <c r="S178" s="1107"/>
      <c r="T178" s="1104"/>
    </row>
    <row r="179" spans="1:20" s="1108" customFormat="1" hidden="1">
      <c r="A179" s="1085"/>
      <c r="B179" s="1270" t="s">
        <v>4547</v>
      </c>
      <c r="C179" s="1085" t="e">
        <f>#REF!</f>
        <v>#REF!</v>
      </c>
      <c r="E179" s="1240"/>
      <c r="F179" s="1097" t="e">
        <f t="shared" si="59"/>
        <v>#REF!</v>
      </c>
      <c r="G179" s="1240"/>
      <c r="H179" s="1096" t="e">
        <f t="shared" si="60"/>
        <v>#REF!</v>
      </c>
      <c r="I179" s="1103"/>
      <c r="J179" s="1096" t="e">
        <f t="shared" si="61"/>
        <v>#REF!</v>
      </c>
      <c r="K179" s="1096"/>
      <c r="L179" s="1096" t="e">
        <f t="shared" si="62"/>
        <v>#REF!</v>
      </c>
      <c r="M179" s="1103"/>
      <c r="N179" s="1096" t="e">
        <f t="shared" si="63"/>
        <v>#REF!</v>
      </c>
      <c r="O179" s="1098">
        <f t="shared" si="64"/>
        <v>0</v>
      </c>
      <c r="P179" s="1096" t="e">
        <f t="shared" si="65"/>
        <v>#REF!</v>
      </c>
      <c r="Q179" s="1098">
        <f t="shared" si="66"/>
        <v>0</v>
      </c>
      <c r="R179" s="1096" t="e">
        <f t="shared" si="67"/>
        <v>#REF!</v>
      </c>
      <c r="S179" s="1107"/>
      <c r="T179" s="1104"/>
    </row>
    <row r="180" spans="1:20" s="1108" customFormat="1" hidden="1">
      <c r="A180" s="1085"/>
      <c r="B180" s="1270" t="s">
        <v>4548</v>
      </c>
      <c r="C180" s="1085" t="e">
        <f>#REF!</f>
        <v>#REF!</v>
      </c>
      <c r="E180" s="1240"/>
      <c r="F180" s="1097" t="e">
        <f t="shared" si="59"/>
        <v>#REF!</v>
      </c>
      <c r="G180" s="1240"/>
      <c r="H180" s="1096" t="e">
        <f t="shared" si="60"/>
        <v>#REF!</v>
      </c>
      <c r="I180" s="1103"/>
      <c r="J180" s="1096" t="e">
        <f t="shared" si="61"/>
        <v>#REF!</v>
      </c>
      <c r="K180" s="1096"/>
      <c r="L180" s="1096" t="e">
        <f t="shared" si="62"/>
        <v>#REF!</v>
      </c>
      <c r="M180" s="1103"/>
      <c r="N180" s="1096" t="e">
        <f t="shared" si="63"/>
        <v>#REF!</v>
      </c>
      <c r="O180" s="1098">
        <f t="shared" si="64"/>
        <v>0</v>
      </c>
      <c r="P180" s="1096" t="e">
        <f t="shared" si="65"/>
        <v>#REF!</v>
      </c>
      <c r="Q180" s="1098">
        <f t="shared" si="66"/>
        <v>0</v>
      </c>
      <c r="R180" s="1096" t="e">
        <f t="shared" si="67"/>
        <v>#REF!</v>
      </c>
      <c r="S180" s="1107"/>
      <c r="T180" s="1104"/>
    </row>
    <row r="181" spans="1:20" s="1108" customFormat="1" hidden="1">
      <c r="A181" s="1085"/>
      <c r="B181" s="1270" t="s">
        <v>4549</v>
      </c>
      <c r="C181" s="1085" t="e">
        <f>#REF!</f>
        <v>#REF!</v>
      </c>
      <c r="E181" s="1240"/>
      <c r="F181" s="1097" t="e">
        <f t="shared" si="59"/>
        <v>#REF!</v>
      </c>
      <c r="G181" s="1240"/>
      <c r="H181" s="1096" t="e">
        <f t="shared" si="60"/>
        <v>#REF!</v>
      </c>
      <c r="I181" s="1103"/>
      <c r="J181" s="1096" t="e">
        <f t="shared" si="61"/>
        <v>#REF!</v>
      </c>
      <c r="K181" s="1096"/>
      <c r="L181" s="1096" t="e">
        <f t="shared" si="62"/>
        <v>#REF!</v>
      </c>
      <c r="M181" s="1103"/>
      <c r="N181" s="1096" t="e">
        <f t="shared" si="63"/>
        <v>#REF!</v>
      </c>
      <c r="O181" s="1098">
        <f t="shared" si="64"/>
        <v>0</v>
      </c>
      <c r="P181" s="1096" t="e">
        <f t="shared" si="65"/>
        <v>#REF!</v>
      </c>
      <c r="Q181" s="1098">
        <f t="shared" si="66"/>
        <v>0</v>
      </c>
      <c r="R181" s="1096" t="e">
        <f t="shared" si="67"/>
        <v>#REF!</v>
      </c>
      <c r="S181" s="1107"/>
      <c r="T181" s="1104"/>
    </row>
    <row r="182" spans="1:20" s="1108" customFormat="1" hidden="1">
      <c r="A182" s="1085"/>
      <c r="B182" s="1322" t="s">
        <v>4550</v>
      </c>
      <c r="C182" s="1085" t="e">
        <f>#REF!</f>
        <v>#REF!</v>
      </c>
      <c r="E182" s="1240"/>
      <c r="F182" s="1097" t="e">
        <f t="shared" si="59"/>
        <v>#REF!</v>
      </c>
      <c r="G182" s="1240"/>
      <c r="H182" s="1096" t="e">
        <f t="shared" si="60"/>
        <v>#REF!</v>
      </c>
      <c r="I182" s="1103"/>
      <c r="J182" s="1096" t="e">
        <f t="shared" si="61"/>
        <v>#REF!</v>
      </c>
      <c r="K182" s="1096"/>
      <c r="L182" s="1096" t="e">
        <f t="shared" si="62"/>
        <v>#REF!</v>
      </c>
      <c r="M182" s="1103"/>
      <c r="N182" s="1096" t="e">
        <f t="shared" si="63"/>
        <v>#REF!</v>
      </c>
      <c r="O182" s="1098">
        <f t="shared" si="64"/>
        <v>0</v>
      </c>
      <c r="P182" s="1096" t="e">
        <f t="shared" si="65"/>
        <v>#REF!</v>
      </c>
      <c r="Q182" s="1098">
        <f t="shared" si="66"/>
        <v>0</v>
      </c>
      <c r="R182" s="1096" t="e">
        <f t="shared" si="67"/>
        <v>#REF!</v>
      </c>
      <c r="S182" s="1107"/>
      <c r="T182" s="1104"/>
    </row>
    <row r="183" spans="1:20" s="1108" customFormat="1" hidden="1">
      <c r="B183" s="1325" t="s">
        <v>4551</v>
      </c>
      <c r="C183" s="1108" t="e">
        <f>#REF!</f>
        <v>#REF!</v>
      </c>
      <c r="E183" s="1240"/>
      <c r="F183" s="1097" t="e">
        <f t="shared" si="59"/>
        <v>#REF!</v>
      </c>
      <c r="G183" s="1240"/>
      <c r="H183" s="1096" t="e">
        <f t="shared" si="60"/>
        <v>#REF!</v>
      </c>
      <c r="I183" s="1103"/>
      <c r="J183" s="1096" t="e">
        <f t="shared" si="61"/>
        <v>#REF!</v>
      </c>
      <c r="K183" s="1096"/>
      <c r="L183" s="1096" t="e">
        <f t="shared" si="62"/>
        <v>#REF!</v>
      </c>
      <c r="M183" s="1103"/>
      <c r="N183" s="1096" t="e">
        <f t="shared" si="63"/>
        <v>#REF!</v>
      </c>
      <c r="O183" s="1098">
        <f t="shared" si="64"/>
        <v>0</v>
      </c>
      <c r="P183" s="1096" t="e">
        <f t="shared" si="65"/>
        <v>#REF!</v>
      </c>
      <c r="Q183" s="1098">
        <f t="shared" si="66"/>
        <v>0</v>
      </c>
      <c r="R183" s="1096" t="e">
        <f t="shared" si="67"/>
        <v>#REF!</v>
      </c>
      <c r="S183" s="1107"/>
      <c r="T183" s="1104"/>
    </row>
    <row r="184" spans="1:20" s="1108" customFormat="1" hidden="1">
      <c r="B184" s="1325" t="s">
        <v>4552</v>
      </c>
      <c r="C184" s="1108" t="e">
        <f>#REF!</f>
        <v>#REF!</v>
      </c>
      <c r="E184" s="1240"/>
      <c r="F184" s="1097" t="e">
        <f t="shared" si="59"/>
        <v>#REF!</v>
      </c>
      <c r="G184" s="1240"/>
      <c r="H184" s="1096" t="e">
        <f t="shared" si="60"/>
        <v>#REF!</v>
      </c>
      <c r="I184" s="1103"/>
      <c r="J184" s="1096" t="e">
        <f t="shared" si="61"/>
        <v>#REF!</v>
      </c>
      <c r="K184" s="1096"/>
      <c r="L184" s="1096" t="e">
        <f t="shared" si="62"/>
        <v>#REF!</v>
      </c>
      <c r="M184" s="1103"/>
      <c r="N184" s="1096" t="e">
        <f t="shared" si="63"/>
        <v>#REF!</v>
      </c>
      <c r="O184" s="1098">
        <f t="shared" si="64"/>
        <v>0</v>
      </c>
      <c r="P184" s="1096" t="e">
        <f t="shared" si="65"/>
        <v>#REF!</v>
      </c>
      <c r="Q184" s="1098">
        <f t="shared" si="66"/>
        <v>0</v>
      </c>
      <c r="R184" s="1096" t="e">
        <f t="shared" si="67"/>
        <v>#REF!</v>
      </c>
      <c r="S184" s="1107"/>
      <c r="T184" s="1104"/>
    </row>
    <row r="185" spans="1:20" s="1108" customFormat="1" hidden="1">
      <c r="B185" s="1325" t="s">
        <v>4553</v>
      </c>
      <c r="C185" s="1108" t="e">
        <f>#REF!</f>
        <v>#REF!</v>
      </c>
      <c r="E185" s="1240"/>
      <c r="F185" s="1097" t="e">
        <f t="shared" si="59"/>
        <v>#REF!</v>
      </c>
      <c r="G185" s="1240"/>
      <c r="H185" s="1096" t="e">
        <f t="shared" si="60"/>
        <v>#REF!</v>
      </c>
      <c r="I185" s="1103"/>
      <c r="J185" s="1096" t="e">
        <f t="shared" si="61"/>
        <v>#REF!</v>
      </c>
      <c r="K185" s="1096"/>
      <c r="L185" s="1096" t="e">
        <f t="shared" si="62"/>
        <v>#REF!</v>
      </c>
      <c r="M185" s="1103"/>
      <c r="N185" s="1096" t="e">
        <f t="shared" si="63"/>
        <v>#REF!</v>
      </c>
      <c r="O185" s="1098">
        <f t="shared" si="64"/>
        <v>0</v>
      </c>
      <c r="P185" s="1096" t="e">
        <f t="shared" si="65"/>
        <v>#REF!</v>
      </c>
      <c r="Q185" s="1098">
        <f t="shared" si="66"/>
        <v>0</v>
      </c>
      <c r="R185" s="1096" t="e">
        <f t="shared" si="67"/>
        <v>#REF!</v>
      </c>
      <c r="S185" s="1107"/>
      <c r="T185" s="1104"/>
    </row>
    <row r="186" spans="1:20" s="1108" customFormat="1" hidden="1">
      <c r="B186" s="1325" t="s">
        <v>4554</v>
      </c>
      <c r="C186" s="1108" t="e">
        <f>#REF!</f>
        <v>#REF!</v>
      </c>
      <c r="E186" s="1240"/>
      <c r="F186" s="1097" t="e">
        <f t="shared" si="59"/>
        <v>#REF!</v>
      </c>
      <c r="G186" s="1240"/>
      <c r="H186" s="1096" t="e">
        <f t="shared" si="60"/>
        <v>#REF!</v>
      </c>
      <c r="I186" s="1103"/>
      <c r="J186" s="1096" t="e">
        <f t="shared" si="61"/>
        <v>#REF!</v>
      </c>
      <c r="K186" s="1096"/>
      <c r="L186" s="1096" t="e">
        <f t="shared" si="62"/>
        <v>#REF!</v>
      </c>
      <c r="M186" s="1103"/>
      <c r="N186" s="1096" t="e">
        <f t="shared" si="63"/>
        <v>#REF!</v>
      </c>
      <c r="O186" s="1098">
        <f t="shared" si="64"/>
        <v>0</v>
      </c>
      <c r="P186" s="1096" t="e">
        <f t="shared" si="65"/>
        <v>#REF!</v>
      </c>
      <c r="Q186" s="1098">
        <f t="shared" si="66"/>
        <v>0</v>
      </c>
      <c r="R186" s="1096" t="e">
        <f t="shared" si="67"/>
        <v>#REF!</v>
      </c>
      <c r="S186" s="1107"/>
      <c r="T186" s="1104"/>
    </row>
    <row r="187" spans="1:20" s="1108" customFormat="1" hidden="1">
      <c r="B187" s="1325" t="e">
        <f>#REF!</f>
        <v>#REF!</v>
      </c>
      <c r="C187" s="1108" t="e">
        <f>#REF!</f>
        <v>#REF!</v>
      </c>
      <c r="E187" s="1240"/>
      <c r="F187" s="1097" t="e">
        <f t="shared" si="59"/>
        <v>#REF!</v>
      </c>
      <c r="G187" s="1240"/>
      <c r="H187" s="1096" t="e">
        <f t="shared" si="60"/>
        <v>#REF!</v>
      </c>
      <c r="I187" s="1103"/>
      <c r="J187" s="1096" t="e">
        <f t="shared" si="61"/>
        <v>#REF!</v>
      </c>
      <c r="K187" s="1096"/>
      <c r="L187" s="1096" t="e">
        <f t="shared" si="62"/>
        <v>#REF!</v>
      </c>
      <c r="M187" s="1103"/>
      <c r="N187" s="1096" t="e">
        <f t="shared" si="63"/>
        <v>#REF!</v>
      </c>
      <c r="O187" s="1098">
        <f t="shared" si="64"/>
        <v>0</v>
      </c>
      <c r="P187" s="1096" t="e">
        <f t="shared" si="65"/>
        <v>#REF!</v>
      </c>
      <c r="Q187" s="1098">
        <f t="shared" si="66"/>
        <v>0</v>
      </c>
      <c r="R187" s="1096" t="e">
        <f t="shared" si="67"/>
        <v>#REF!</v>
      </c>
      <c r="S187" s="1107"/>
      <c r="T187" s="1104"/>
    </row>
    <row r="188" spans="1:20" s="1108" customFormat="1" hidden="1">
      <c r="B188" s="1325" t="e">
        <f>#REF!</f>
        <v>#REF!</v>
      </c>
      <c r="C188" s="1108" t="e">
        <f>#REF!</f>
        <v>#REF!</v>
      </c>
      <c r="E188" s="1240"/>
      <c r="F188" s="1097" t="e">
        <f t="shared" si="59"/>
        <v>#REF!</v>
      </c>
      <c r="G188" s="1240"/>
      <c r="H188" s="1096" t="e">
        <f t="shared" si="60"/>
        <v>#REF!</v>
      </c>
      <c r="I188" s="1103"/>
      <c r="J188" s="1096" t="e">
        <f t="shared" si="61"/>
        <v>#REF!</v>
      </c>
      <c r="K188" s="1096"/>
      <c r="L188" s="1096" t="e">
        <f t="shared" si="62"/>
        <v>#REF!</v>
      </c>
      <c r="M188" s="1103"/>
      <c r="N188" s="1096" t="e">
        <f t="shared" si="63"/>
        <v>#REF!</v>
      </c>
      <c r="O188" s="1098">
        <f t="shared" si="64"/>
        <v>0</v>
      </c>
      <c r="P188" s="1096" t="e">
        <f t="shared" si="65"/>
        <v>#REF!</v>
      </c>
      <c r="Q188" s="1098">
        <f t="shared" si="66"/>
        <v>0</v>
      </c>
      <c r="R188" s="1096" t="e">
        <f t="shared" si="67"/>
        <v>#REF!</v>
      </c>
      <c r="S188" s="1107"/>
      <c r="T188" s="1104"/>
    </row>
    <row r="189" spans="1:20" s="1108" customFormat="1" hidden="1">
      <c r="B189" s="1325"/>
      <c r="E189" s="1240"/>
      <c r="F189" s="1097">
        <f t="shared" si="59"/>
        <v>0</v>
      </c>
      <c r="G189" s="1240"/>
      <c r="H189" s="1096">
        <f t="shared" si="60"/>
        <v>0</v>
      </c>
      <c r="I189" s="1103"/>
      <c r="J189" s="1096">
        <f t="shared" si="61"/>
        <v>0</v>
      </c>
      <c r="K189" s="1096"/>
      <c r="L189" s="1096">
        <f t="shared" si="62"/>
        <v>0</v>
      </c>
      <c r="M189" s="1103"/>
      <c r="N189" s="1096">
        <f t="shared" si="63"/>
        <v>0</v>
      </c>
      <c r="O189" s="1098">
        <f t="shared" si="64"/>
        <v>0</v>
      </c>
      <c r="P189" s="1096">
        <f t="shared" si="65"/>
        <v>0</v>
      </c>
      <c r="Q189" s="1098">
        <f t="shared" si="66"/>
        <v>0</v>
      </c>
      <c r="R189" s="1096">
        <f t="shared" si="67"/>
        <v>0</v>
      </c>
      <c r="S189" s="1107"/>
      <c r="T189" s="1104"/>
    </row>
    <row r="190" spans="1:20" s="1108" customFormat="1" hidden="1">
      <c r="B190" s="1325"/>
      <c r="E190" s="1240"/>
      <c r="F190" s="1097">
        <f t="shared" si="59"/>
        <v>0</v>
      </c>
      <c r="G190" s="1240"/>
      <c r="H190" s="1096">
        <f t="shared" si="60"/>
        <v>0</v>
      </c>
      <c r="I190" s="1103"/>
      <c r="J190" s="1096">
        <f t="shared" si="61"/>
        <v>0</v>
      </c>
      <c r="K190" s="1096"/>
      <c r="L190" s="1096">
        <f t="shared" si="62"/>
        <v>0</v>
      </c>
      <c r="M190" s="1103"/>
      <c r="N190" s="1096">
        <f t="shared" si="63"/>
        <v>0</v>
      </c>
      <c r="O190" s="1098">
        <f t="shared" si="64"/>
        <v>0</v>
      </c>
      <c r="P190" s="1096">
        <f t="shared" si="65"/>
        <v>0</v>
      </c>
      <c r="Q190" s="1098">
        <f t="shared" si="66"/>
        <v>0</v>
      </c>
      <c r="R190" s="1096">
        <f t="shared" si="67"/>
        <v>0</v>
      </c>
      <c r="S190" s="1107"/>
      <c r="T190" s="1104"/>
    </row>
    <row r="191" spans="1:20" s="1108" customFormat="1" hidden="1">
      <c r="B191" s="1325"/>
      <c r="E191" s="1240"/>
      <c r="F191" s="1097">
        <f t="shared" si="59"/>
        <v>0</v>
      </c>
      <c r="G191" s="1240"/>
      <c r="H191" s="1096">
        <f t="shared" si="60"/>
        <v>0</v>
      </c>
      <c r="I191" s="1103"/>
      <c r="J191" s="1096">
        <f t="shared" si="61"/>
        <v>0</v>
      </c>
      <c r="K191" s="1096"/>
      <c r="L191" s="1096">
        <f t="shared" si="62"/>
        <v>0</v>
      </c>
      <c r="M191" s="1103"/>
      <c r="N191" s="1096">
        <f t="shared" si="63"/>
        <v>0</v>
      </c>
      <c r="O191" s="1098">
        <f t="shared" si="64"/>
        <v>0</v>
      </c>
      <c r="P191" s="1096">
        <f t="shared" si="65"/>
        <v>0</v>
      </c>
      <c r="Q191" s="1098">
        <f t="shared" si="66"/>
        <v>0</v>
      </c>
      <c r="R191" s="1096">
        <f t="shared" si="67"/>
        <v>0</v>
      </c>
      <c r="S191" s="1107"/>
      <c r="T191" s="1104"/>
    </row>
    <row r="192" spans="1:20" s="1108" customFormat="1" hidden="1">
      <c r="B192" s="1325"/>
      <c r="E192" s="1240"/>
      <c r="F192" s="1097">
        <f t="shared" si="59"/>
        <v>0</v>
      </c>
      <c r="G192" s="1240"/>
      <c r="H192" s="1096">
        <f t="shared" si="60"/>
        <v>0</v>
      </c>
      <c r="I192" s="1103"/>
      <c r="J192" s="1096">
        <f t="shared" si="61"/>
        <v>0</v>
      </c>
      <c r="K192" s="1096"/>
      <c r="L192" s="1096">
        <f t="shared" si="62"/>
        <v>0</v>
      </c>
      <c r="M192" s="1103"/>
      <c r="N192" s="1096">
        <f t="shared" si="63"/>
        <v>0</v>
      </c>
      <c r="O192" s="1098">
        <f t="shared" si="64"/>
        <v>0</v>
      </c>
      <c r="P192" s="1096">
        <f t="shared" si="65"/>
        <v>0</v>
      </c>
      <c r="Q192" s="1098">
        <f t="shared" si="66"/>
        <v>0</v>
      </c>
      <c r="R192" s="1096">
        <f t="shared" si="67"/>
        <v>0</v>
      </c>
      <c r="S192" s="1107"/>
      <c r="T192" s="1104"/>
    </row>
    <row r="193" spans="2:20" s="1108" customFormat="1" hidden="1">
      <c r="B193" s="1325"/>
      <c r="E193" s="1240"/>
      <c r="F193" s="1097">
        <f t="shared" si="59"/>
        <v>0</v>
      </c>
      <c r="G193" s="1240"/>
      <c r="H193" s="1096">
        <f t="shared" si="60"/>
        <v>0</v>
      </c>
      <c r="I193" s="1103"/>
      <c r="J193" s="1096">
        <f t="shared" si="61"/>
        <v>0</v>
      </c>
      <c r="K193" s="1096"/>
      <c r="L193" s="1096">
        <f t="shared" si="62"/>
        <v>0</v>
      </c>
      <c r="M193" s="1103"/>
      <c r="N193" s="1096">
        <f t="shared" si="63"/>
        <v>0</v>
      </c>
      <c r="O193" s="1098">
        <f t="shared" si="64"/>
        <v>0</v>
      </c>
      <c r="P193" s="1096">
        <f t="shared" si="65"/>
        <v>0</v>
      </c>
      <c r="Q193" s="1098">
        <f t="shared" si="66"/>
        <v>0</v>
      </c>
      <c r="R193" s="1096">
        <f t="shared" si="67"/>
        <v>0</v>
      </c>
      <c r="S193" s="1107"/>
      <c r="T193" s="1104"/>
    </row>
    <row r="194" spans="2:20" s="1108" customFormat="1" hidden="1">
      <c r="B194" s="1325"/>
      <c r="E194" s="1240"/>
      <c r="F194" s="1097">
        <f t="shared" si="59"/>
        <v>0</v>
      </c>
      <c r="G194" s="1240"/>
      <c r="H194" s="1096">
        <f t="shared" si="60"/>
        <v>0</v>
      </c>
      <c r="I194" s="1103"/>
      <c r="J194" s="1096">
        <f t="shared" si="61"/>
        <v>0</v>
      </c>
      <c r="K194" s="1096"/>
      <c r="L194" s="1096">
        <f t="shared" si="62"/>
        <v>0</v>
      </c>
      <c r="M194" s="1103"/>
      <c r="N194" s="1096">
        <f t="shared" si="63"/>
        <v>0</v>
      </c>
      <c r="O194" s="1098">
        <f t="shared" si="64"/>
        <v>0</v>
      </c>
      <c r="P194" s="1096">
        <f t="shared" si="65"/>
        <v>0</v>
      </c>
      <c r="Q194" s="1098">
        <f t="shared" si="66"/>
        <v>0</v>
      </c>
      <c r="R194" s="1096">
        <f t="shared" si="67"/>
        <v>0</v>
      </c>
      <c r="S194" s="1107"/>
      <c r="T194" s="1104"/>
    </row>
    <row r="195" spans="2:20" s="1108" customFormat="1" hidden="1">
      <c r="B195" s="1325"/>
      <c r="E195" s="1240"/>
      <c r="F195" s="1097">
        <f t="shared" si="59"/>
        <v>0</v>
      </c>
      <c r="G195" s="1240"/>
      <c r="H195" s="1096">
        <f t="shared" si="60"/>
        <v>0</v>
      </c>
      <c r="I195" s="1103"/>
      <c r="J195" s="1096">
        <f t="shared" si="61"/>
        <v>0</v>
      </c>
      <c r="K195" s="1096"/>
      <c r="L195" s="1096">
        <f t="shared" si="62"/>
        <v>0</v>
      </c>
      <c r="M195" s="1103"/>
      <c r="N195" s="1096">
        <f t="shared" si="63"/>
        <v>0</v>
      </c>
      <c r="O195" s="1098">
        <f t="shared" si="64"/>
        <v>0</v>
      </c>
      <c r="P195" s="1096">
        <f t="shared" si="65"/>
        <v>0</v>
      </c>
      <c r="Q195" s="1098">
        <f t="shared" si="66"/>
        <v>0</v>
      </c>
      <c r="R195" s="1096">
        <f t="shared" si="67"/>
        <v>0</v>
      </c>
      <c r="S195" s="1107"/>
      <c r="T195" s="1104"/>
    </row>
    <row r="196" spans="2:20" s="1108" customFormat="1" hidden="1">
      <c r="B196" s="1325"/>
      <c r="E196" s="1240"/>
      <c r="F196" s="1097">
        <f t="shared" si="59"/>
        <v>0</v>
      </c>
      <c r="G196" s="1240"/>
      <c r="H196" s="1096">
        <f t="shared" si="60"/>
        <v>0</v>
      </c>
      <c r="I196" s="1103"/>
      <c r="J196" s="1096">
        <f t="shared" si="61"/>
        <v>0</v>
      </c>
      <c r="K196" s="1096"/>
      <c r="L196" s="1096">
        <f t="shared" si="62"/>
        <v>0</v>
      </c>
      <c r="M196" s="1103"/>
      <c r="N196" s="1096">
        <f t="shared" si="63"/>
        <v>0</v>
      </c>
      <c r="O196" s="1098">
        <f t="shared" si="64"/>
        <v>0</v>
      </c>
      <c r="P196" s="1096">
        <f t="shared" si="65"/>
        <v>0</v>
      </c>
      <c r="Q196" s="1098">
        <f t="shared" si="66"/>
        <v>0</v>
      </c>
      <c r="R196" s="1096">
        <f t="shared" si="67"/>
        <v>0</v>
      </c>
      <c r="S196" s="1107"/>
      <c r="T196" s="1104"/>
    </row>
    <row r="197" spans="2:20">
      <c r="B197" s="1326"/>
      <c r="E197" s="1250"/>
      <c r="F197" s="1097"/>
      <c r="G197" s="1250"/>
      <c r="H197" s="1096"/>
      <c r="I197" s="1096"/>
      <c r="J197" s="1096"/>
      <c r="K197" s="1096"/>
      <c r="L197" s="1096"/>
      <c r="M197" s="1096"/>
      <c r="N197" s="1096">
        <f t="shared" si="63"/>
        <v>0</v>
      </c>
      <c r="O197" s="1098"/>
      <c r="P197" s="1096">
        <f>+F88+H88+J88+L88</f>
        <v>2176834.6027500262</v>
      </c>
      <c r="Q197" s="1098"/>
      <c r="R197" s="1096"/>
      <c r="S197" s="1099"/>
      <c r="T197" s="1099"/>
    </row>
    <row r="198" spans="2:20">
      <c r="B198" s="1326"/>
      <c r="E198" s="1250"/>
      <c r="F198" s="1097"/>
      <c r="G198" s="1250"/>
      <c r="H198" s="1096"/>
      <c r="I198" s="1096"/>
      <c r="J198" s="1096"/>
      <c r="K198" s="1096"/>
      <c r="L198" s="1096"/>
      <c r="M198" s="1096"/>
      <c r="N198" s="1096">
        <f t="shared" si="63"/>
        <v>0</v>
      </c>
      <c r="O198" s="1098"/>
      <c r="P198" s="1096"/>
      <c r="Q198" s="1098"/>
      <c r="R198" s="1096"/>
      <c r="S198" s="1099"/>
      <c r="T198" s="1099"/>
    </row>
    <row r="199" spans="2:20">
      <c r="B199" s="1326"/>
      <c r="E199" s="1250"/>
      <c r="F199" s="1097"/>
      <c r="G199" s="1250"/>
      <c r="H199" s="1096"/>
      <c r="I199" s="1096"/>
      <c r="J199" s="1096"/>
      <c r="K199" s="1096"/>
      <c r="L199" s="1096"/>
      <c r="M199" s="1096"/>
      <c r="N199" s="1096">
        <f t="shared" si="63"/>
        <v>0</v>
      </c>
      <c r="O199" s="1098"/>
      <c r="P199" s="1096"/>
      <c r="Q199" s="1098"/>
      <c r="R199" s="1096"/>
      <c r="S199" s="1099"/>
      <c r="T199" s="1099"/>
    </row>
    <row r="200" spans="2:20">
      <c r="B200" s="1326"/>
      <c r="E200" s="1250"/>
      <c r="F200" s="1097"/>
      <c r="G200" s="1250"/>
      <c r="H200" s="1096"/>
      <c r="I200" s="1096"/>
      <c r="J200" s="1096"/>
      <c r="K200" s="1096"/>
      <c r="L200" s="1096"/>
      <c r="M200" s="1096"/>
      <c r="N200" s="1096">
        <f t="shared" si="63"/>
        <v>0</v>
      </c>
      <c r="O200" s="1098"/>
      <c r="P200" s="1096"/>
      <c r="Q200" s="1098"/>
      <c r="R200" s="1096"/>
      <c r="S200" s="1099"/>
      <c r="T200" s="1099"/>
    </row>
    <row r="201" spans="2:20">
      <c r="B201" s="1326"/>
      <c r="E201" s="1250"/>
      <c r="F201" s="1097">
        <f t="shared" si="59"/>
        <v>0</v>
      </c>
      <c r="G201" s="1250"/>
      <c r="H201" s="1096">
        <f t="shared" si="60"/>
        <v>0</v>
      </c>
      <c r="I201" s="1096"/>
      <c r="J201" s="1096">
        <f t="shared" si="61"/>
        <v>0</v>
      </c>
      <c r="K201" s="1096"/>
      <c r="L201" s="1096">
        <f t="shared" si="62"/>
        <v>0</v>
      </c>
      <c r="M201" s="1096"/>
      <c r="N201" s="1096">
        <f t="shared" si="63"/>
        <v>0</v>
      </c>
      <c r="O201" s="1098">
        <f t="shared" si="64"/>
        <v>0</v>
      </c>
      <c r="P201" s="1096">
        <f t="shared" si="65"/>
        <v>0</v>
      </c>
      <c r="Q201" s="1098">
        <f t="shared" si="66"/>
        <v>0</v>
      </c>
      <c r="R201" s="1096">
        <f t="shared" si="67"/>
        <v>0</v>
      </c>
      <c r="S201" s="1099"/>
      <c r="T201" s="1099"/>
    </row>
    <row r="202" spans="2:20">
      <c r="B202" s="1326"/>
      <c r="E202" s="1250"/>
      <c r="F202" s="1097">
        <f t="shared" si="59"/>
        <v>0</v>
      </c>
      <c r="G202" s="1250"/>
      <c r="H202" s="1096">
        <f t="shared" si="60"/>
        <v>0</v>
      </c>
      <c r="I202" s="1096"/>
      <c r="J202" s="1096">
        <f t="shared" si="61"/>
        <v>0</v>
      </c>
      <c r="K202" s="1096"/>
      <c r="L202" s="1096">
        <f t="shared" si="62"/>
        <v>0</v>
      </c>
      <c r="M202" s="1096"/>
      <c r="N202" s="1096">
        <f t="shared" si="63"/>
        <v>0</v>
      </c>
      <c r="O202" s="1098">
        <f t="shared" si="64"/>
        <v>0</v>
      </c>
      <c r="P202" s="1096">
        <f t="shared" si="65"/>
        <v>0</v>
      </c>
      <c r="Q202" s="1098">
        <f t="shared" si="66"/>
        <v>0</v>
      </c>
      <c r="R202" s="1096">
        <f t="shared" si="67"/>
        <v>0</v>
      </c>
      <c r="S202" s="1099"/>
      <c r="T202" s="1099"/>
    </row>
    <row r="203" spans="2:20">
      <c r="B203" s="1326"/>
      <c r="E203" s="1250"/>
      <c r="F203" s="1097">
        <f t="shared" si="59"/>
        <v>0</v>
      </c>
      <c r="G203" s="1250"/>
      <c r="H203" s="1096">
        <f t="shared" si="60"/>
        <v>0</v>
      </c>
      <c r="I203" s="1096"/>
      <c r="J203" s="1096">
        <f t="shared" si="61"/>
        <v>0</v>
      </c>
      <c r="K203" s="1096"/>
      <c r="L203" s="1096">
        <f t="shared" si="62"/>
        <v>0</v>
      </c>
      <c r="M203" s="1096"/>
      <c r="N203" s="1096">
        <f t="shared" si="63"/>
        <v>0</v>
      </c>
      <c r="O203" s="1098">
        <f t="shared" si="64"/>
        <v>0</v>
      </c>
      <c r="P203" s="1096">
        <f t="shared" si="65"/>
        <v>0</v>
      </c>
      <c r="Q203" s="1098">
        <f t="shared" si="66"/>
        <v>0</v>
      </c>
      <c r="R203" s="1096">
        <f t="shared" si="67"/>
        <v>0</v>
      </c>
      <c r="S203" s="1099"/>
      <c r="T203" s="1099"/>
    </row>
    <row r="204" spans="2:20">
      <c r="B204" s="1326"/>
      <c r="E204" s="1250"/>
      <c r="F204" s="1097">
        <f t="shared" si="59"/>
        <v>0</v>
      </c>
      <c r="G204" s="1250"/>
      <c r="H204" s="1096">
        <f t="shared" si="60"/>
        <v>0</v>
      </c>
      <c r="I204" s="1096"/>
      <c r="J204" s="1096">
        <f t="shared" si="61"/>
        <v>0</v>
      </c>
      <c r="K204" s="1096"/>
      <c r="L204" s="1096">
        <f t="shared" si="62"/>
        <v>0</v>
      </c>
      <c r="M204" s="1096"/>
      <c r="N204" s="1096">
        <f t="shared" si="63"/>
        <v>0</v>
      </c>
      <c r="O204" s="1098">
        <f t="shared" si="64"/>
        <v>0</v>
      </c>
      <c r="P204" s="1096">
        <f t="shared" si="65"/>
        <v>0</v>
      </c>
      <c r="Q204" s="1098">
        <f t="shared" si="66"/>
        <v>0</v>
      </c>
      <c r="R204" s="1096">
        <f t="shared" si="67"/>
        <v>0</v>
      </c>
      <c r="S204" s="1099"/>
      <c r="T204" s="1099"/>
    </row>
    <row r="205" spans="2:20">
      <c r="B205" s="1326"/>
      <c r="E205" s="1250"/>
      <c r="F205" s="1097">
        <f t="shared" si="59"/>
        <v>0</v>
      </c>
      <c r="G205" s="1250"/>
      <c r="H205" s="1096">
        <f t="shared" si="60"/>
        <v>0</v>
      </c>
      <c r="I205" s="1096"/>
      <c r="J205" s="1096">
        <f t="shared" si="61"/>
        <v>0</v>
      </c>
      <c r="K205" s="1096"/>
      <c r="L205" s="1096">
        <f t="shared" si="62"/>
        <v>0</v>
      </c>
      <c r="M205" s="1096"/>
      <c r="N205" s="1096">
        <f t="shared" si="63"/>
        <v>0</v>
      </c>
      <c r="O205" s="1098">
        <f t="shared" si="64"/>
        <v>0</v>
      </c>
      <c r="P205" s="1096">
        <f t="shared" si="65"/>
        <v>0</v>
      </c>
      <c r="Q205" s="1098">
        <f t="shared" si="66"/>
        <v>0</v>
      </c>
      <c r="R205" s="1096">
        <f t="shared" si="67"/>
        <v>0</v>
      </c>
      <c r="S205" s="1099"/>
      <c r="T205" s="1099"/>
    </row>
    <row r="206" spans="2:20">
      <c r="B206" s="1326"/>
      <c r="E206" s="1250"/>
      <c r="F206" s="1097">
        <f t="shared" si="59"/>
        <v>0</v>
      </c>
      <c r="G206" s="1250"/>
      <c r="H206" s="1096">
        <f t="shared" si="60"/>
        <v>0</v>
      </c>
      <c r="I206" s="1096"/>
      <c r="J206" s="1096">
        <f t="shared" si="61"/>
        <v>0</v>
      </c>
      <c r="K206" s="1096"/>
      <c r="L206" s="1096">
        <f t="shared" si="62"/>
        <v>0</v>
      </c>
      <c r="M206" s="1096"/>
      <c r="N206" s="1096">
        <f t="shared" si="63"/>
        <v>0</v>
      </c>
      <c r="O206" s="1098">
        <f t="shared" si="64"/>
        <v>0</v>
      </c>
      <c r="P206" s="1096">
        <f t="shared" si="65"/>
        <v>0</v>
      </c>
      <c r="Q206" s="1098">
        <f t="shared" si="66"/>
        <v>0</v>
      </c>
      <c r="R206" s="1096">
        <f t="shared" si="67"/>
        <v>0</v>
      </c>
      <c r="S206" s="1099"/>
      <c r="T206" s="1099"/>
    </row>
    <row r="207" spans="2:20">
      <c r="B207" s="1326"/>
      <c r="E207" s="1250"/>
      <c r="F207" s="1097">
        <f t="shared" si="59"/>
        <v>0</v>
      </c>
      <c r="G207" s="1250"/>
      <c r="H207" s="1096">
        <f t="shared" si="60"/>
        <v>0</v>
      </c>
      <c r="I207" s="1096"/>
      <c r="J207" s="1096">
        <f t="shared" si="61"/>
        <v>0</v>
      </c>
      <c r="K207" s="1096"/>
      <c r="L207" s="1096">
        <f t="shared" si="62"/>
        <v>0</v>
      </c>
      <c r="M207" s="1096"/>
      <c r="N207" s="1096">
        <f t="shared" si="63"/>
        <v>0</v>
      </c>
      <c r="O207" s="1098">
        <f t="shared" si="64"/>
        <v>0</v>
      </c>
      <c r="P207" s="1096">
        <f t="shared" si="65"/>
        <v>0</v>
      </c>
      <c r="Q207" s="1098">
        <f t="shared" si="66"/>
        <v>0</v>
      </c>
      <c r="R207" s="1096">
        <f t="shared" si="67"/>
        <v>0</v>
      </c>
      <c r="S207" s="1099"/>
      <c r="T207" s="1099"/>
    </row>
    <row r="208" spans="2:20">
      <c r="B208" s="1326"/>
      <c r="E208" s="1250"/>
      <c r="F208" s="1097">
        <f t="shared" si="59"/>
        <v>0</v>
      </c>
      <c r="G208" s="1250"/>
      <c r="H208" s="1096">
        <f t="shared" si="60"/>
        <v>0</v>
      </c>
      <c r="I208" s="1096"/>
      <c r="J208" s="1096">
        <f t="shared" si="61"/>
        <v>0</v>
      </c>
      <c r="K208" s="1096"/>
      <c r="L208" s="1096">
        <f t="shared" si="62"/>
        <v>0</v>
      </c>
      <c r="M208" s="1096"/>
      <c r="N208" s="1096">
        <f t="shared" si="63"/>
        <v>0</v>
      </c>
      <c r="O208" s="1098">
        <f t="shared" si="64"/>
        <v>0</v>
      </c>
      <c r="P208" s="1096">
        <f t="shared" si="65"/>
        <v>0</v>
      </c>
      <c r="Q208" s="1098">
        <f t="shared" si="66"/>
        <v>0</v>
      </c>
      <c r="R208" s="1096">
        <f t="shared" si="67"/>
        <v>0</v>
      </c>
      <c r="S208" s="1099"/>
      <c r="T208" s="1099"/>
    </row>
    <row r="209" spans="2:20">
      <c r="B209" s="1326"/>
      <c r="E209" s="1250"/>
      <c r="F209" s="1097">
        <f t="shared" si="59"/>
        <v>0</v>
      </c>
      <c r="G209" s="1250"/>
      <c r="H209" s="1096">
        <f t="shared" si="60"/>
        <v>0</v>
      </c>
      <c r="I209" s="1096"/>
      <c r="J209" s="1096">
        <f t="shared" si="61"/>
        <v>0</v>
      </c>
      <c r="K209" s="1096"/>
      <c r="L209" s="1096">
        <f t="shared" si="62"/>
        <v>0</v>
      </c>
      <c r="M209" s="1096"/>
      <c r="N209" s="1096">
        <f t="shared" si="63"/>
        <v>0</v>
      </c>
      <c r="O209" s="1098">
        <f t="shared" si="64"/>
        <v>0</v>
      </c>
      <c r="P209" s="1096">
        <f t="shared" si="65"/>
        <v>0</v>
      </c>
      <c r="Q209" s="1098">
        <f t="shared" si="66"/>
        <v>0</v>
      </c>
      <c r="R209" s="1096">
        <f t="shared" si="67"/>
        <v>0</v>
      </c>
      <c r="S209" s="1250"/>
      <c r="T209" s="1099"/>
    </row>
    <row r="210" spans="2:20">
      <c r="B210" s="1326"/>
      <c r="E210" s="1250"/>
      <c r="F210" s="1097">
        <f t="shared" si="59"/>
        <v>0</v>
      </c>
      <c r="G210" s="1250"/>
      <c r="H210" s="1096"/>
      <c r="I210" s="1096"/>
      <c r="J210" s="1096">
        <f t="shared" si="61"/>
        <v>0</v>
      </c>
      <c r="K210" s="1096"/>
      <c r="L210" s="1096">
        <f t="shared" si="62"/>
        <v>0</v>
      </c>
      <c r="M210" s="1096"/>
      <c r="N210" s="1096">
        <f t="shared" si="63"/>
        <v>0</v>
      </c>
      <c r="O210" s="1098">
        <f t="shared" si="64"/>
        <v>0</v>
      </c>
      <c r="P210" s="1096">
        <f t="shared" si="65"/>
        <v>0</v>
      </c>
      <c r="Q210" s="1098">
        <f t="shared" si="66"/>
        <v>0</v>
      </c>
      <c r="R210" s="1096">
        <f t="shared" si="67"/>
        <v>0</v>
      </c>
      <c r="S210" s="1250"/>
      <c r="T210" s="1099"/>
    </row>
    <row r="211" spans="2:20">
      <c r="B211" s="1326"/>
      <c r="E211" s="1250"/>
      <c r="F211" s="1097">
        <f t="shared" si="59"/>
        <v>0</v>
      </c>
      <c r="G211" s="1250"/>
      <c r="H211" s="1096"/>
      <c r="I211" s="1096"/>
      <c r="J211" s="1096">
        <f t="shared" si="61"/>
        <v>0</v>
      </c>
      <c r="K211" s="1096"/>
      <c r="L211" s="1096">
        <f t="shared" si="62"/>
        <v>0</v>
      </c>
      <c r="M211" s="1096"/>
      <c r="N211" s="1096">
        <f t="shared" si="63"/>
        <v>0</v>
      </c>
      <c r="O211" s="1098">
        <f t="shared" si="64"/>
        <v>0</v>
      </c>
      <c r="P211" s="1096">
        <f t="shared" si="65"/>
        <v>0</v>
      </c>
      <c r="Q211" s="1098">
        <f t="shared" si="66"/>
        <v>0</v>
      </c>
      <c r="R211" s="1096">
        <f t="shared" si="67"/>
        <v>0</v>
      </c>
      <c r="S211" s="1250"/>
      <c r="T211" s="1099"/>
    </row>
    <row r="212" spans="2:20">
      <c r="B212" s="1326"/>
      <c r="E212" s="1250"/>
      <c r="F212" s="1097">
        <f t="shared" si="59"/>
        <v>0</v>
      </c>
      <c r="G212" s="1250"/>
      <c r="H212" s="1096"/>
      <c r="I212" s="1096"/>
      <c r="J212" s="1096">
        <f t="shared" si="61"/>
        <v>0</v>
      </c>
      <c r="K212" s="1096"/>
      <c r="L212" s="1096">
        <f t="shared" si="62"/>
        <v>0</v>
      </c>
      <c r="M212" s="1096"/>
      <c r="N212" s="1096">
        <f t="shared" si="63"/>
        <v>0</v>
      </c>
      <c r="O212" s="1098"/>
      <c r="P212" s="1096"/>
      <c r="Q212" s="1098"/>
      <c r="R212" s="1096"/>
      <c r="S212" s="1250"/>
      <c r="T212" s="1099"/>
    </row>
    <row r="213" spans="2:20">
      <c r="B213" s="1326"/>
      <c r="E213" s="1250"/>
      <c r="F213" s="1097">
        <f t="shared" si="59"/>
        <v>0</v>
      </c>
      <c r="G213" s="1250"/>
      <c r="H213" s="1096"/>
      <c r="I213" s="1096"/>
      <c r="J213" s="1096">
        <f t="shared" si="61"/>
        <v>0</v>
      </c>
      <c r="K213" s="1096"/>
      <c r="L213" s="1096">
        <f t="shared" si="62"/>
        <v>0</v>
      </c>
      <c r="M213" s="1096"/>
      <c r="N213" s="1096">
        <f t="shared" si="63"/>
        <v>0</v>
      </c>
      <c r="O213" s="1098"/>
      <c r="P213" s="1096"/>
      <c r="Q213" s="1098"/>
      <c r="R213" s="1096"/>
      <c r="S213" s="1250"/>
      <c r="T213" s="1099"/>
    </row>
    <row r="214" spans="2:20">
      <c r="E214" s="1250"/>
      <c r="F214" s="1097">
        <f t="shared" si="59"/>
        <v>0</v>
      </c>
      <c r="G214" s="1250"/>
      <c r="H214" s="1096"/>
      <c r="I214" s="1096"/>
      <c r="J214" s="1096">
        <f t="shared" si="61"/>
        <v>0</v>
      </c>
      <c r="K214" s="1096"/>
      <c r="L214" s="1096"/>
      <c r="M214" s="1096"/>
      <c r="N214" s="1096">
        <f t="shared" si="63"/>
        <v>0</v>
      </c>
      <c r="O214" s="1098"/>
      <c r="P214" s="1096"/>
      <c r="Q214" s="1096"/>
      <c r="R214" s="1096"/>
      <c r="S214" s="1250"/>
      <c r="T214" s="1099"/>
    </row>
    <row r="215" spans="2:20">
      <c r="E215" s="1250"/>
      <c r="F215" s="1097">
        <f t="shared" si="59"/>
        <v>0</v>
      </c>
      <c r="G215" s="1250"/>
      <c r="H215" s="1096"/>
      <c r="I215" s="1096"/>
      <c r="J215" s="1096">
        <f t="shared" si="61"/>
        <v>0</v>
      </c>
      <c r="K215" s="1096"/>
      <c r="L215" s="1096"/>
      <c r="M215" s="1096"/>
      <c r="N215" s="1096">
        <f t="shared" si="63"/>
        <v>0</v>
      </c>
      <c r="O215" s="1098"/>
      <c r="P215" s="1096"/>
      <c r="Q215" s="1096"/>
      <c r="R215" s="1096"/>
      <c r="S215" s="1250"/>
      <c r="T215" s="1099"/>
    </row>
    <row r="216" spans="2:20">
      <c r="E216" s="1250"/>
      <c r="F216" s="1097">
        <f t="shared" si="59"/>
        <v>0</v>
      </c>
      <c r="G216" s="1250"/>
      <c r="H216" s="1096"/>
      <c r="I216" s="1096"/>
      <c r="J216" s="1096">
        <f t="shared" si="61"/>
        <v>0</v>
      </c>
      <c r="K216" s="1096"/>
      <c r="L216" s="1096"/>
      <c r="M216" s="1096"/>
      <c r="N216" s="1096">
        <f t="shared" si="63"/>
        <v>0</v>
      </c>
      <c r="O216" s="1098"/>
      <c r="P216" s="1096"/>
      <c r="Q216" s="1096"/>
      <c r="R216" s="1096"/>
      <c r="S216" s="1250"/>
      <c r="T216" s="1099"/>
    </row>
    <row r="217" spans="2:20">
      <c r="E217" s="1250"/>
      <c r="F217" s="1097">
        <f t="shared" si="59"/>
        <v>0</v>
      </c>
      <c r="G217" s="1250"/>
      <c r="H217" s="1096"/>
      <c r="I217" s="1096"/>
      <c r="J217" s="1096">
        <f t="shared" si="61"/>
        <v>0</v>
      </c>
      <c r="K217" s="1096"/>
      <c r="L217" s="1096"/>
      <c r="M217" s="1096"/>
      <c r="N217" s="1096">
        <f t="shared" si="63"/>
        <v>0</v>
      </c>
      <c r="O217" s="1098"/>
      <c r="P217" s="1096"/>
      <c r="Q217" s="1096"/>
      <c r="R217" s="1096"/>
      <c r="S217" s="1250"/>
      <c r="T217" s="1099"/>
    </row>
    <row r="218" spans="2:20">
      <c r="F218" s="1097"/>
      <c r="H218" s="1096"/>
      <c r="I218" s="1096"/>
      <c r="J218" s="1092"/>
      <c r="K218" s="1092"/>
      <c r="L218" s="1092"/>
      <c r="M218" s="1092"/>
      <c r="N218" s="1096">
        <f t="shared" si="63"/>
        <v>0</v>
      </c>
      <c r="O218" s="1094"/>
      <c r="P218" s="1092"/>
      <c r="Q218" s="1096"/>
      <c r="R218" s="1096"/>
      <c r="S218" s="1084"/>
    </row>
    <row r="219" spans="2:20">
      <c r="F219" s="1097"/>
      <c r="H219" s="1096"/>
      <c r="I219" s="1096"/>
      <c r="J219" s="1092"/>
      <c r="K219" s="1092"/>
      <c r="L219" s="1092"/>
      <c r="M219" s="1092"/>
      <c r="N219" s="1096">
        <f t="shared" si="63"/>
        <v>0</v>
      </c>
      <c r="O219" s="1094"/>
      <c r="P219" s="1092"/>
      <c r="Q219" s="1096"/>
      <c r="R219" s="1096"/>
      <c r="S219" s="1084"/>
    </row>
    <row r="220" spans="2:20">
      <c r="H220" s="1096"/>
      <c r="J220" s="1092"/>
      <c r="K220" s="1254"/>
      <c r="L220" s="1254"/>
      <c r="M220" s="1254"/>
      <c r="N220" s="1254"/>
      <c r="O220" s="1255"/>
      <c r="P220" s="1254"/>
      <c r="Q220" s="1084"/>
      <c r="R220" s="1084"/>
      <c r="S220" s="1084"/>
    </row>
    <row r="221" spans="2:20">
      <c r="H221" s="1096"/>
      <c r="J221" s="1092"/>
      <c r="K221" s="1254"/>
      <c r="L221" s="1254"/>
      <c r="M221" s="1254"/>
      <c r="N221" s="1254"/>
      <c r="O221" s="1255"/>
      <c r="P221" s="1254"/>
      <c r="Q221" s="1084"/>
      <c r="R221" s="1084"/>
      <c r="S221" s="1084"/>
      <c r="T221" s="1084"/>
    </row>
    <row r="222" spans="2:20">
      <c r="Q222" s="1084"/>
      <c r="R222" s="1084"/>
      <c r="S222" s="1084"/>
      <c r="T222" s="1084"/>
    </row>
    <row r="223" spans="2:20">
      <c r="Q223" s="1084"/>
      <c r="R223" s="1084"/>
      <c r="S223" s="1084"/>
      <c r="T223" s="1084"/>
    </row>
    <row r="224" spans="2:20">
      <c r="Q224" s="1084"/>
      <c r="R224" s="1084"/>
      <c r="S224" s="1084"/>
      <c r="T224" s="1084"/>
    </row>
    <row r="225" spans="17:20">
      <c r="Q225" s="1084"/>
      <c r="R225" s="1084"/>
      <c r="S225" s="1084"/>
      <c r="T225" s="1084"/>
    </row>
    <row r="226" spans="17:20">
      <c r="Q226" s="1084"/>
      <c r="R226" s="1084"/>
      <c r="S226" s="1084"/>
      <c r="T226" s="1084"/>
    </row>
    <row r="227" spans="17:20">
      <c r="Q227" s="1084"/>
      <c r="R227" s="1084"/>
      <c r="S227" s="1084"/>
      <c r="T227" s="1084"/>
    </row>
  </sheetData>
  <autoFilter ref="A5:AB196">
    <filterColumn colId="17">
      <customFilters>
        <customFilter operator="notEqual" val=" "/>
      </customFilters>
    </filterColumn>
  </autoFilter>
  <mergeCells count="13">
    <mergeCell ref="O3:P3"/>
    <mergeCell ref="Q3:R3"/>
    <mergeCell ref="A2:R2"/>
    <mergeCell ref="A1:R1"/>
    <mergeCell ref="A3:A4"/>
    <mergeCell ref="B3:B4"/>
    <mergeCell ref="C3:C4"/>
    <mergeCell ref="D3:D4"/>
    <mergeCell ref="E3:F3"/>
    <mergeCell ref="G3:H3"/>
    <mergeCell ref="I3:J3"/>
    <mergeCell ref="K3:L3"/>
    <mergeCell ref="M3:N3"/>
  </mergeCells>
  <printOptions horizontalCentered="1"/>
  <pageMargins left="0.23622047244094491" right="0.19685039370078741" top="0.6692913385826772" bottom="0.55118110236220474" header="0.27559055118110237" footer="0.27559055118110237"/>
  <pageSetup paperSize="8" scale="31" orientation="landscape" r:id="rId1"/>
  <headerFooter alignWithMargins="0">
    <oddHeader>&amp;R&amp;P</oddHeader>
  </headerFooter>
  <rowBreaks count="1" manualBreakCount="1">
    <brk id="32" max="17" man="1"/>
  </rowBreaks>
  <drawing r:id="rId2"/>
</worksheet>
</file>

<file path=xl/worksheets/sheet15.xml><?xml version="1.0" encoding="utf-8"?>
<worksheet xmlns="http://schemas.openxmlformats.org/spreadsheetml/2006/main" xmlns:r="http://schemas.openxmlformats.org/officeDocument/2006/relationships">
  <sheetPr filterMode="1">
    <tabColor rgb="FF00B0F0"/>
  </sheetPr>
  <dimension ref="A1:AB230"/>
  <sheetViews>
    <sheetView showZeros="0" view="pageBreakPreview" zoomScale="55" zoomScaleNormal="40" zoomScaleSheetLayoutView="55" workbookViewId="0">
      <pane xSplit="4" ySplit="5" topLeftCell="J6" activePane="bottomRight" state="frozen"/>
      <selection activeCell="L6" sqref="L6"/>
      <selection pane="topRight" activeCell="L6" sqref="L6"/>
      <selection pane="bottomLeft" activeCell="L6" sqref="L6"/>
      <selection pane="bottomRight" activeCell="K87" sqref="K87"/>
    </sheetView>
  </sheetViews>
  <sheetFormatPr defaultColWidth="10.85546875" defaultRowHeight="25.5"/>
  <cols>
    <col min="1" max="1" width="12.28515625" style="1084" customWidth="1"/>
    <col min="2" max="2" width="78.7109375" style="1084" customWidth="1"/>
    <col min="3" max="3" width="20.28515625" style="1084" customWidth="1"/>
    <col min="4" max="4" width="13.42578125" style="1084" customWidth="1"/>
    <col min="5" max="5" width="17.140625" style="1084" customWidth="1"/>
    <col min="6" max="6" width="22" style="1084" customWidth="1"/>
    <col min="7" max="7" width="17.85546875" style="1084" customWidth="1"/>
    <col min="8" max="8" width="21.28515625" style="1084" customWidth="1"/>
    <col min="9" max="9" width="16.5703125" style="1179" customWidth="1"/>
    <col min="10" max="10" width="20.28515625" style="1084" customWidth="1"/>
    <col min="11" max="11" width="17.28515625" style="1084" customWidth="1"/>
    <col min="12" max="12" width="19.42578125" style="1084" customWidth="1"/>
    <col min="13" max="13" width="18.5703125" style="1084" hidden="1" customWidth="1"/>
    <col min="14" max="14" width="19.7109375" style="1084" hidden="1" customWidth="1"/>
    <col min="15" max="15" width="16" style="1256" customWidth="1"/>
    <col min="16" max="16" width="20.5703125" style="1084" customWidth="1"/>
    <col min="17" max="17" width="16.85546875" style="1083" customWidth="1"/>
    <col min="18" max="18" width="23.7109375" style="1083" customWidth="1"/>
    <col min="19" max="19" width="27.140625" style="1083" bestFit="1" customWidth="1"/>
    <col min="20" max="20" width="25.7109375" style="1083" bestFit="1" customWidth="1"/>
    <col min="21" max="21" width="19.42578125" style="1084" bestFit="1" customWidth="1"/>
    <col min="22" max="22" width="10.85546875" style="1084"/>
    <col min="23" max="23" width="16.42578125" style="1084" bestFit="1" customWidth="1"/>
    <col min="24" max="24" width="10.85546875" style="1084"/>
    <col min="25" max="25" width="14.42578125" style="1084" bestFit="1" customWidth="1"/>
    <col min="26" max="27" width="10.85546875" style="1084"/>
    <col min="28" max="28" width="14.28515625" style="1084" bestFit="1" customWidth="1"/>
    <col min="29" max="256" width="10.85546875" style="1084"/>
    <col min="257" max="257" width="12.28515625" style="1084" customWidth="1"/>
    <col min="258" max="258" width="78.7109375" style="1084" customWidth="1"/>
    <col min="259" max="259" width="20.28515625" style="1084" customWidth="1"/>
    <col min="260" max="260" width="13.42578125" style="1084" customWidth="1"/>
    <col min="261" max="261" width="17.140625" style="1084" customWidth="1"/>
    <col min="262" max="262" width="22" style="1084" customWidth="1"/>
    <col min="263" max="263" width="17.85546875" style="1084" customWidth="1"/>
    <col min="264" max="264" width="21.28515625" style="1084" customWidth="1"/>
    <col min="265" max="265" width="16.5703125" style="1084" customWidth="1"/>
    <col min="266" max="266" width="20.28515625" style="1084" customWidth="1"/>
    <col min="267" max="267" width="17.28515625" style="1084" customWidth="1"/>
    <col min="268" max="268" width="19.42578125" style="1084" customWidth="1"/>
    <col min="269" max="269" width="18.5703125" style="1084" customWidth="1"/>
    <col min="270" max="270" width="19.7109375" style="1084" customWidth="1"/>
    <col min="271" max="271" width="16" style="1084" customWidth="1"/>
    <col min="272" max="272" width="20.5703125" style="1084" customWidth="1"/>
    <col min="273" max="273" width="16.85546875" style="1084" customWidth="1"/>
    <col min="274" max="274" width="23.7109375" style="1084" customWidth="1"/>
    <col min="275" max="275" width="27.140625" style="1084" bestFit="1" customWidth="1"/>
    <col min="276" max="276" width="25.7109375" style="1084" bestFit="1" customWidth="1"/>
    <col min="277" max="277" width="19.42578125" style="1084" bestFit="1" customWidth="1"/>
    <col min="278" max="278" width="10.85546875" style="1084"/>
    <col min="279" max="279" width="16.42578125" style="1084" bestFit="1" customWidth="1"/>
    <col min="280" max="280" width="10.85546875" style="1084"/>
    <col min="281" max="281" width="14.42578125" style="1084" bestFit="1" customWidth="1"/>
    <col min="282" max="283" width="10.85546875" style="1084"/>
    <col min="284" max="284" width="14.28515625" style="1084" bestFit="1" customWidth="1"/>
    <col min="285" max="512" width="10.85546875" style="1084"/>
    <col min="513" max="513" width="12.28515625" style="1084" customWidth="1"/>
    <col min="514" max="514" width="78.7109375" style="1084" customWidth="1"/>
    <col min="515" max="515" width="20.28515625" style="1084" customWidth="1"/>
    <col min="516" max="516" width="13.42578125" style="1084" customWidth="1"/>
    <col min="517" max="517" width="17.140625" style="1084" customWidth="1"/>
    <col min="518" max="518" width="22" style="1084" customWidth="1"/>
    <col min="519" max="519" width="17.85546875" style="1084" customWidth="1"/>
    <col min="520" max="520" width="21.28515625" style="1084" customWidth="1"/>
    <col min="521" max="521" width="16.5703125" style="1084" customWidth="1"/>
    <col min="522" max="522" width="20.28515625" style="1084" customWidth="1"/>
    <col min="523" max="523" width="17.28515625" style="1084" customWidth="1"/>
    <col min="524" max="524" width="19.42578125" style="1084" customWidth="1"/>
    <col min="525" max="525" width="18.5703125" style="1084" customWidth="1"/>
    <col min="526" max="526" width="19.7109375" style="1084" customWidth="1"/>
    <col min="527" max="527" width="16" style="1084" customWidth="1"/>
    <col min="528" max="528" width="20.5703125" style="1084" customWidth="1"/>
    <col min="529" max="529" width="16.85546875" style="1084" customWidth="1"/>
    <col min="530" max="530" width="23.7109375" style="1084" customWidth="1"/>
    <col min="531" max="531" width="27.140625" style="1084" bestFit="1" customWidth="1"/>
    <col min="532" max="532" width="25.7109375" style="1084" bestFit="1" customWidth="1"/>
    <col min="533" max="533" width="19.42578125" style="1084" bestFit="1" customWidth="1"/>
    <col min="534" max="534" width="10.85546875" style="1084"/>
    <col min="535" max="535" width="16.42578125" style="1084" bestFit="1" customWidth="1"/>
    <col min="536" max="536" width="10.85546875" style="1084"/>
    <col min="537" max="537" width="14.42578125" style="1084" bestFit="1" customWidth="1"/>
    <col min="538" max="539" width="10.85546875" style="1084"/>
    <col min="540" max="540" width="14.28515625" style="1084" bestFit="1" customWidth="1"/>
    <col min="541" max="768" width="10.85546875" style="1084"/>
    <col min="769" max="769" width="12.28515625" style="1084" customWidth="1"/>
    <col min="770" max="770" width="78.7109375" style="1084" customWidth="1"/>
    <col min="771" max="771" width="20.28515625" style="1084" customWidth="1"/>
    <col min="772" max="772" width="13.42578125" style="1084" customWidth="1"/>
    <col min="773" max="773" width="17.140625" style="1084" customWidth="1"/>
    <col min="774" max="774" width="22" style="1084" customWidth="1"/>
    <col min="775" max="775" width="17.85546875" style="1084" customWidth="1"/>
    <col min="776" max="776" width="21.28515625" style="1084" customWidth="1"/>
    <col min="777" max="777" width="16.5703125" style="1084" customWidth="1"/>
    <col min="778" max="778" width="20.28515625" style="1084" customWidth="1"/>
    <col min="779" max="779" width="17.28515625" style="1084" customWidth="1"/>
    <col min="780" max="780" width="19.42578125" style="1084" customWidth="1"/>
    <col min="781" max="781" width="18.5703125" style="1084" customWidth="1"/>
    <col min="782" max="782" width="19.7109375" style="1084" customWidth="1"/>
    <col min="783" max="783" width="16" style="1084" customWidth="1"/>
    <col min="784" max="784" width="20.5703125" style="1084" customWidth="1"/>
    <col min="785" max="785" width="16.85546875" style="1084" customWidth="1"/>
    <col min="786" max="786" width="23.7109375" style="1084" customWidth="1"/>
    <col min="787" max="787" width="27.140625" style="1084" bestFit="1" customWidth="1"/>
    <col min="788" max="788" width="25.7109375" style="1084" bestFit="1" customWidth="1"/>
    <col min="789" max="789" width="19.42578125" style="1084" bestFit="1" customWidth="1"/>
    <col min="790" max="790" width="10.85546875" style="1084"/>
    <col min="791" max="791" width="16.42578125" style="1084" bestFit="1" customWidth="1"/>
    <col min="792" max="792" width="10.85546875" style="1084"/>
    <col min="793" max="793" width="14.42578125" style="1084" bestFit="1" customWidth="1"/>
    <col min="794" max="795" width="10.85546875" style="1084"/>
    <col min="796" max="796" width="14.28515625" style="1084" bestFit="1" customWidth="1"/>
    <col min="797" max="1024" width="10.85546875" style="1084"/>
    <col min="1025" max="1025" width="12.28515625" style="1084" customWidth="1"/>
    <col min="1026" max="1026" width="78.7109375" style="1084" customWidth="1"/>
    <col min="1027" max="1027" width="20.28515625" style="1084" customWidth="1"/>
    <col min="1028" max="1028" width="13.42578125" style="1084" customWidth="1"/>
    <col min="1029" max="1029" width="17.140625" style="1084" customWidth="1"/>
    <col min="1030" max="1030" width="22" style="1084" customWidth="1"/>
    <col min="1031" max="1031" width="17.85546875" style="1084" customWidth="1"/>
    <col min="1032" max="1032" width="21.28515625" style="1084" customWidth="1"/>
    <col min="1033" max="1033" width="16.5703125" style="1084" customWidth="1"/>
    <col min="1034" max="1034" width="20.28515625" style="1084" customWidth="1"/>
    <col min="1035" max="1035" width="17.28515625" style="1084" customWidth="1"/>
    <col min="1036" max="1036" width="19.42578125" style="1084" customWidth="1"/>
    <col min="1037" max="1037" width="18.5703125" style="1084" customWidth="1"/>
    <col min="1038" max="1038" width="19.7109375" style="1084" customWidth="1"/>
    <col min="1039" max="1039" width="16" style="1084" customWidth="1"/>
    <col min="1040" max="1040" width="20.5703125" style="1084" customWidth="1"/>
    <col min="1041" max="1041" width="16.85546875" style="1084" customWidth="1"/>
    <col min="1042" max="1042" width="23.7109375" style="1084" customWidth="1"/>
    <col min="1043" max="1043" width="27.140625" style="1084" bestFit="1" customWidth="1"/>
    <col min="1044" max="1044" width="25.7109375" style="1084" bestFit="1" customWidth="1"/>
    <col min="1045" max="1045" width="19.42578125" style="1084" bestFit="1" customWidth="1"/>
    <col min="1046" max="1046" width="10.85546875" style="1084"/>
    <col min="1047" max="1047" width="16.42578125" style="1084" bestFit="1" customWidth="1"/>
    <col min="1048" max="1048" width="10.85546875" style="1084"/>
    <col min="1049" max="1049" width="14.42578125" style="1084" bestFit="1" customWidth="1"/>
    <col min="1050" max="1051" width="10.85546875" style="1084"/>
    <col min="1052" max="1052" width="14.28515625" style="1084" bestFit="1" customWidth="1"/>
    <col min="1053" max="1280" width="10.85546875" style="1084"/>
    <col min="1281" max="1281" width="12.28515625" style="1084" customWidth="1"/>
    <col min="1282" max="1282" width="78.7109375" style="1084" customWidth="1"/>
    <col min="1283" max="1283" width="20.28515625" style="1084" customWidth="1"/>
    <col min="1284" max="1284" width="13.42578125" style="1084" customWidth="1"/>
    <col min="1285" max="1285" width="17.140625" style="1084" customWidth="1"/>
    <col min="1286" max="1286" width="22" style="1084" customWidth="1"/>
    <col min="1287" max="1287" width="17.85546875" style="1084" customWidth="1"/>
    <col min="1288" max="1288" width="21.28515625" style="1084" customWidth="1"/>
    <col min="1289" max="1289" width="16.5703125" style="1084" customWidth="1"/>
    <col min="1290" max="1290" width="20.28515625" style="1084" customWidth="1"/>
    <col min="1291" max="1291" width="17.28515625" style="1084" customWidth="1"/>
    <col min="1292" max="1292" width="19.42578125" style="1084" customWidth="1"/>
    <col min="1293" max="1293" width="18.5703125" style="1084" customWidth="1"/>
    <col min="1294" max="1294" width="19.7109375" style="1084" customWidth="1"/>
    <col min="1295" max="1295" width="16" style="1084" customWidth="1"/>
    <col min="1296" max="1296" width="20.5703125" style="1084" customWidth="1"/>
    <col min="1297" max="1297" width="16.85546875" style="1084" customWidth="1"/>
    <col min="1298" max="1298" width="23.7109375" style="1084" customWidth="1"/>
    <col min="1299" max="1299" width="27.140625" style="1084" bestFit="1" customWidth="1"/>
    <col min="1300" max="1300" width="25.7109375" style="1084" bestFit="1" customWidth="1"/>
    <col min="1301" max="1301" width="19.42578125" style="1084" bestFit="1" customWidth="1"/>
    <col min="1302" max="1302" width="10.85546875" style="1084"/>
    <col min="1303" max="1303" width="16.42578125" style="1084" bestFit="1" customWidth="1"/>
    <col min="1304" max="1304" width="10.85546875" style="1084"/>
    <col min="1305" max="1305" width="14.42578125" style="1084" bestFit="1" customWidth="1"/>
    <col min="1306" max="1307" width="10.85546875" style="1084"/>
    <col min="1308" max="1308" width="14.28515625" style="1084" bestFit="1" customWidth="1"/>
    <col min="1309" max="1536" width="10.85546875" style="1084"/>
    <col min="1537" max="1537" width="12.28515625" style="1084" customWidth="1"/>
    <col min="1538" max="1538" width="78.7109375" style="1084" customWidth="1"/>
    <col min="1539" max="1539" width="20.28515625" style="1084" customWidth="1"/>
    <col min="1540" max="1540" width="13.42578125" style="1084" customWidth="1"/>
    <col min="1541" max="1541" width="17.140625" style="1084" customWidth="1"/>
    <col min="1542" max="1542" width="22" style="1084" customWidth="1"/>
    <col min="1543" max="1543" width="17.85546875" style="1084" customWidth="1"/>
    <col min="1544" max="1544" width="21.28515625" style="1084" customWidth="1"/>
    <col min="1545" max="1545" width="16.5703125" style="1084" customWidth="1"/>
    <col min="1546" max="1546" width="20.28515625" style="1084" customWidth="1"/>
    <col min="1547" max="1547" width="17.28515625" style="1084" customWidth="1"/>
    <col min="1548" max="1548" width="19.42578125" style="1084" customWidth="1"/>
    <col min="1549" max="1549" width="18.5703125" style="1084" customWidth="1"/>
    <col min="1550" max="1550" width="19.7109375" style="1084" customWidth="1"/>
    <col min="1551" max="1551" width="16" style="1084" customWidth="1"/>
    <col min="1552" max="1552" width="20.5703125" style="1084" customWidth="1"/>
    <col min="1553" max="1553" width="16.85546875" style="1084" customWidth="1"/>
    <col min="1554" max="1554" width="23.7109375" style="1084" customWidth="1"/>
    <col min="1555" max="1555" width="27.140625" style="1084" bestFit="1" customWidth="1"/>
    <col min="1556" max="1556" width="25.7109375" style="1084" bestFit="1" customWidth="1"/>
    <col min="1557" max="1557" width="19.42578125" style="1084" bestFit="1" customWidth="1"/>
    <col min="1558" max="1558" width="10.85546875" style="1084"/>
    <col min="1559" max="1559" width="16.42578125" style="1084" bestFit="1" customWidth="1"/>
    <col min="1560" max="1560" width="10.85546875" style="1084"/>
    <col min="1561" max="1561" width="14.42578125" style="1084" bestFit="1" customWidth="1"/>
    <col min="1562" max="1563" width="10.85546875" style="1084"/>
    <col min="1564" max="1564" width="14.28515625" style="1084" bestFit="1" customWidth="1"/>
    <col min="1565" max="1792" width="10.85546875" style="1084"/>
    <col min="1793" max="1793" width="12.28515625" style="1084" customWidth="1"/>
    <col min="1794" max="1794" width="78.7109375" style="1084" customWidth="1"/>
    <col min="1795" max="1795" width="20.28515625" style="1084" customWidth="1"/>
    <col min="1796" max="1796" width="13.42578125" style="1084" customWidth="1"/>
    <col min="1797" max="1797" width="17.140625" style="1084" customWidth="1"/>
    <col min="1798" max="1798" width="22" style="1084" customWidth="1"/>
    <col min="1799" max="1799" width="17.85546875" style="1084" customWidth="1"/>
    <col min="1800" max="1800" width="21.28515625" style="1084" customWidth="1"/>
    <col min="1801" max="1801" width="16.5703125" style="1084" customWidth="1"/>
    <col min="1802" max="1802" width="20.28515625" style="1084" customWidth="1"/>
    <col min="1803" max="1803" width="17.28515625" style="1084" customWidth="1"/>
    <col min="1804" max="1804" width="19.42578125" style="1084" customWidth="1"/>
    <col min="1805" max="1805" width="18.5703125" style="1084" customWidth="1"/>
    <col min="1806" max="1806" width="19.7109375" style="1084" customWidth="1"/>
    <col min="1807" max="1807" width="16" style="1084" customWidth="1"/>
    <col min="1808" max="1808" width="20.5703125" style="1084" customWidth="1"/>
    <col min="1809" max="1809" width="16.85546875" style="1084" customWidth="1"/>
    <col min="1810" max="1810" width="23.7109375" style="1084" customWidth="1"/>
    <col min="1811" max="1811" width="27.140625" style="1084" bestFit="1" customWidth="1"/>
    <col min="1812" max="1812" width="25.7109375" style="1084" bestFit="1" customWidth="1"/>
    <col min="1813" max="1813" width="19.42578125" style="1084" bestFit="1" customWidth="1"/>
    <col min="1814" max="1814" width="10.85546875" style="1084"/>
    <col min="1815" max="1815" width="16.42578125" style="1084" bestFit="1" customWidth="1"/>
    <col min="1816" max="1816" width="10.85546875" style="1084"/>
    <col min="1817" max="1817" width="14.42578125" style="1084" bestFit="1" customWidth="1"/>
    <col min="1818" max="1819" width="10.85546875" style="1084"/>
    <col min="1820" max="1820" width="14.28515625" style="1084" bestFit="1" customWidth="1"/>
    <col min="1821" max="2048" width="10.85546875" style="1084"/>
    <col min="2049" max="2049" width="12.28515625" style="1084" customWidth="1"/>
    <col min="2050" max="2050" width="78.7109375" style="1084" customWidth="1"/>
    <col min="2051" max="2051" width="20.28515625" style="1084" customWidth="1"/>
    <col min="2052" max="2052" width="13.42578125" style="1084" customWidth="1"/>
    <col min="2053" max="2053" width="17.140625" style="1084" customWidth="1"/>
    <col min="2054" max="2054" width="22" style="1084" customWidth="1"/>
    <col min="2055" max="2055" width="17.85546875" style="1084" customWidth="1"/>
    <col min="2056" max="2056" width="21.28515625" style="1084" customWidth="1"/>
    <col min="2057" max="2057" width="16.5703125" style="1084" customWidth="1"/>
    <col min="2058" max="2058" width="20.28515625" style="1084" customWidth="1"/>
    <col min="2059" max="2059" width="17.28515625" style="1084" customWidth="1"/>
    <col min="2060" max="2060" width="19.42578125" style="1084" customWidth="1"/>
    <col min="2061" max="2061" width="18.5703125" style="1084" customWidth="1"/>
    <col min="2062" max="2062" width="19.7109375" style="1084" customWidth="1"/>
    <col min="2063" max="2063" width="16" style="1084" customWidth="1"/>
    <col min="2064" max="2064" width="20.5703125" style="1084" customWidth="1"/>
    <col min="2065" max="2065" width="16.85546875" style="1084" customWidth="1"/>
    <col min="2066" max="2066" width="23.7109375" style="1084" customWidth="1"/>
    <col min="2067" max="2067" width="27.140625" style="1084" bestFit="1" customWidth="1"/>
    <col min="2068" max="2068" width="25.7109375" style="1084" bestFit="1" customWidth="1"/>
    <col min="2069" max="2069" width="19.42578125" style="1084" bestFit="1" customWidth="1"/>
    <col min="2070" max="2070" width="10.85546875" style="1084"/>
    <col min="2071" max="2071" width="16.42578125" style="1084" bestFit="1" customWidth="1"/>
    <col min="2072" max="2072" width="10.85546875" style="1084"/>
    <col min="2073" max="2073" width="14.42578125" style="1084" bestFit="1" customWidth="1"/>
    <col min="2074" max="2075" width="10.85546875" style="1084"/>
    <col min="2076" max="2076" width="14.28515625" style="1084" bestFit="1" customWidth="1"/>
    <col min="2077" max="2304" width="10.85546875" style="1084"/>
    <col min="2305" max="2305" width="12.28515625" style="1084" customWidth="1"/>
    <col min="2306" max="2306" width="78.7109375" style="1084" customWidth="1"/>
    <col min="2307" max="2307" width="20.28515625" style="1084" customWidth="1"/>
    <col min="2308" max="2308" width="13.42578125" style="1084" customWidth="1"/>
    <col min="2309" max="2309" width="17.140625" style="1084" customWidth="1"/>
    <col min="2310" max="2310" width="22" style="1084" customWidth="1"/>
    <col min="2311" max="2311" width="17.85546875" style="1084" customWidth="1"/>
    <col min="2312" max="2312" width="21.28515625" style="1084" customWidth="1"/>
    <col min="2313" max="2313" width="16.5703125" style="1084" customWidth="1"/>
    <col min="2314" max="2314" width="20.28515625" style="1084" customWidth="1"/>
    <col min="2315" max="2315" width="17.28515625" style="1084" customWidth="1"/>
    <col min="2316" max="2316" width="19.42578125" style="1084" customWidth="1"/>
    <col min="2317" max="2317" width="18.5703125" style="1084" customWidth="1"/>
    <col min="2318" max="2318" width="19.7109375" style="1084" customWidth="1"/>
    <col min="2319" max="2319" width="16" style="1084" customWidth="1"/>
    <col min="2320" max="2320" width="20.5703125" style="1084" customWidth="1"/>
    <col min="2321" max="2321" width="16.85546875" style="1084" customWidth="1"/>
    <col min="2322" max="2322" width="23.7109375" style="1084" customWidth="1"/>
    <col min="2323" max="2323" width="27.140625" style="1084" bestFit="1" customWidth="1"/>
    <col min="2324" max="2324" width="25.7109375" style="1084" bestFit="1" customWidth="1"/>
    <col min="2325" max="2325" width="19.42578125" style="1084" bestFit="1" customWidth="1"/>
    <col min="2326" max="2326" width="10.85546875" style="1084"/>
    <col min="2327" max="2327" width="16.42578125" style="1084" bestFit="1" customWidth="1"/>
    <col min="2328" max="2328" width="10.85546875" style="1084"/>
    <col min="2329" max="2329" width="14.42578125" style="1084" bestFit="1" customWidth="1"/>
    <col min="2330" max="2331" width="10.85546875" style="1084"/>
    <col min="2332" max="2332" width="14.28515625" style="1084" bestFit="1" customWidth="1"/>
    <col min="2333" max="2560" width="10.85546875" style="1084"/>
    <col min="2561" max="2561" width="12.28515625" style="1084" customWidth="1"/>
    <col min="2562" max="2562" width="78.7109375" style="1084" customWidth="1"/>
    <col min="2563" max="2563" width="20.28515625" style="1084" customWidth="1"/>
    <col min="2564" max="2564" width="13.42578125" style="1084" customWidth="1"/>
    <col min="2565" max="2565" width="17.140625" style="1084" customWidth="1"/>
    <col min="2566" max="2566" width="22" style="1084" customWidth="1"/>
    <col min="2567" max="2567" width="17.85546875" style="1084" customWidth="1"/>
    <col min="2568" max="2568" width="21.28515625" style="1084" customWidth="1"/>
    <col min="2569" max="2569" width="16.5703125" style="1084" customWidth="1"/>
    <col min="2570" max="2570" width="20.28515625" style="1084" customWidth="1"/>
    <col min="2571" max="2571" width="17.28515625" style="1084" customWidth="1"/>
    <col min="2572" max="2572" width="19.42578125" style="1084" customWidth="1"/>
    <col min="2573" max="2573" width="18.5703125" style="1084" customWidth="1"/>
    <col min="2574" max="2574" width="19.7109375" style="1084" customWidth="1"/>
    <col min="2575" max="2575" width="16" style="1084" customWidth="1"/>
    <col min="2576" max="2576" width="20.5703125" style="1084" customWidth="1"/>
    <col min="2577" max="2577" width="16.85546875" style="1084" customWidth="1"/>
    <col min="2578" max="2578" width="23.7109375" style="1084" customWidth="1"/>
    <col min="2579" max="2579" width="27.140625" style="1084" bestFit="1" customWidth="1"/>
    <col min="2580" max="2580" width="25.7109375" style="1084" bestFit="1" customWidth="1"/>
    <col min="2581" max="2581" width="19.42578125" style="1084" bestFit="1" customWidth="1"/>
    <col min="2582" max="2582" width="10.85546875" style="1084"/>
    <col min="2583" max="2583" width="16.42578125" style="1084" bestFit="1" customWidth="1"/>
    <col min="2584" max="2584" width="10.85546875" style="1084"/>
    <col min="2585" max="2585" width="14.42578125" style="1084" bestFit="1" customWidth="1"/>
    <col min="2586" max="2587" width="10.85546875" style="1084"/>
    <col min="2588" max="2588" width="14.28515625" style="1084" bestFit="1" customWidth="1"/>
    <col min="2589" max="2816" width="10.85546875" style="1084"/>
    <col min="2817" max="2817" width="12.28515625" style="1084" customWidth="1"/>
    <col min="2818" max="2818" width="78.7109375" style="1084" customWidth="1"/>
    <col min="2819" max="2819" width="20.28515625" style="1084" customWidth="1"/>
    <col min="2820" max="2820" width="13.42578125" style="1084" customWidth="1"/>
    <col min="2821" max="2821" width="17.140625" style="1084" customWidth="1"/>
    <col min="2822" max="2822" width="22" style="1084" customWidth="1"/>
    <col min="2823" max="2823" width="17.85546875" style="1084" customWidth="1"/>
    <col min="2824" max="2824" width="21.28515625" style="1084" customWidth="1"/>
    <col min="2825" max="2825" width="16.5703125" style="1084" customWidth="1"/>
    <col min="2826" max="2826" width="20.28515625" style="1084" customWidth="1"/>
    <col min="2827" max="2827" width="17.28515625" style="1084" customWidth="1"/>
    <col min="2828" max="2828" width="19.42578125" style="1084" customWidth="1"/>
    <col min="2829" max="2829" width="18.5703125" style="1084" customWidth="1"/>
    <col min="2830" max="2830" width="19.7109375" style="1084" customWidth="1"/>
    <col min="2831" max="2831" width="16" style="1084" customWidth="1"/>
    <col min="2832" max="2832" width="20.5703125" style="1084" customWidth="1"/>
    <col min="2833" max="2833" width="16.85546875" style="1084" customWidth="1"/>
    <col min="2834" max="2834" width="23.7109375" style="1084" customWidth="1"/>
    <col min="2835" max="2835" width="27.140625" style="1084" bestFit="1" customWidth="1"/>
    <col min="2836" max="2836" width="25.7109375" style="1084" bestFit="1" customWidth="1"/>
    <col min="2837" max="2837" width="19.42578125" style="1084" bestFit="1" customWidth="1"/>
    <col min="2838" max="2838" width="10.85546875" style="1084"/>
    <col min="2839" max="2839" width="16.42578125" style="1084" bestFit="1" customWidth="1"/>
    <col min="2840" max="2840" width="10.85546875" style="1084"/>
    <col min="2841" max="2841" width="14.42578125" style="1084" bestFit="1" customWidth="1"/>
    <col min="2842" max="2843" width="10.85546875" style="1084"/>
    <col min="2844" max="2844" width="14.28515625" style="1084" bestFit="1" customWidth="1"/>
    <col min="2845" max="3072" width="10.85546875" style="1084"/>
    <col min="3073" max="3073" width="12.28515625" style="1084" customWidth="1"/>
    <col min="3074" max="3074" width="78.7109375" style="1084" customWidth="1"/>
    <col min="3075" max="3075" width="20.28515625" style="1084" customWidth="1"/>
    <col min="3076" max="3076" width="13.42578125" style="1084" customWidth="1"/>
    <col min="3077" max="3077" width="17.140625" style="1084" customWidth="1"/>
    <col min="3078" max="3078" width="22" style="1084" customWidth="1"/>
    <col min="3079" max="3079" width="17.85546875" style="1084" customWidth="1"/>
    <col min="3080" max="3080" width="21.28515625" style="1084" customWidth="1"/>
    <col min="3081" max="3081" width="16.5703125" style="1084" customWidth="1"/>
    <col min="3082" max="3082" width="20.28515625" style="1084" customWidth="1"/>
    <col min="3083" max="3083" width="17.28515625" style="1084" customWidth="1"/>
    <col min="3084" max="3084" width="19.42578125" style="1084" customWidth="1"/>
    <col min="3085" max="3085" width="18.5703125" style="1084" customWidth="1"/>
    <col min="3086" max="3086" width="19.7109375" style="1084" customWidth="1"/>
    <col min="3087" max="3087" width="16" style="1084" customWidth="1"/>
    <col min="3088" max="3088" width="20.5703125" style="1084" customWidth="1"/>
    <col min="3089" max="3089" width="16.85546875" style="1084" customWidth="1"/>
    <col min="3090" max="3090" width="23.7109375" style="1084" customWidth="1"/>
    <col min="3091" max="3091" width="27.140625" style="1084" bestFit="1" customWidth="1"/>
    <col min="3092" max="3092" width="25.7109375" style="1084" bestFit="1" customWidth="1"/>
    <col min="3093" max="3093" width="19.42578125" style="1084" bestFit="1" customWidth="1"/>
    <col min="3094" max="3094" width="10.85546875" style="1084"/>
    <col min="3095" max="3095" width="16.42578125" style="1084" bestFit="1" customWidth="1"/>
    <col min="3096" max="3096" width="10.85546875" style="1084"/>
    <col min="3097" max="3097" width="14.42578125" style="1084" bestFit="1" customWidth="1"/>
    <col min="3098" max="3099" width="10.85546875" style="1084"/>
    <col min="3100" max="3100" width="14.28515625" style="1084" bestFit="1" customWidth="1"/>
    <col min="3101" max="3328" width="10.85546875" style="1084"/>
    <col min="3329" max="3329" width="12.28515625" style="1084" customWidth="1"/>
    <col min="3330" max="3330" width="78.7109375" style="1084" customWidth="1"/>
    <col min="3331" max="3331" width="20.28515625" style="1084" customWidth="1"/>
    <col min="3332" max="3332" width="13.42578125" style="1084" customWidth="1"/>
    <col min="3333" max="3333" width="17.140625" style="1084" customWidth="1"/>
    <col min="3334" max="3334" width="22" style="1084" customWidth="1"/>
    <col min="3335" max="3335" width="17.85546875" style="1084" customWidth="1"/>
    <col min="3336" max="3336" width="21.28515625" style="1084" customWidth="1"/>
    <col min="3337" max="3337" width="16.5703125" style="1084" customWidth="1"/>
    <col min="3338" max="3338" width="20.28515625" style="1084" customWidth="1"/>
    <col min="3339" max="3339" width="17.28515625" style="1084" customWidth="1"/>
    <col min="3340" max="3340" width="19.42578125" style="1084" customWidth="1"/>
    <col min="3341" max="3341" width="18.5703125" style="1084" customWidth="1"/>
    <col min="3342" max="3342" width="19.7109375" style="1084" customWidth="1"/>
    <col min="3343" max="3343" width="16" style="1084" customWidth="1"/>
    <col min="3344" max="3344" width="20.5703125" style="1084" customWidth="1"/>
    <col min="3345" max="3345" width="16.85546875" style="1084" customWidth="1"/>
    <col min="3346" max="3346" width="23.7109375" style="1084" customWidth="1"/>
    <col min="3347" max="3347" width="27.140625" style="1084" bestFit="1" customWidth="1"/>
    <col min="3348" max="3348" width="25.7109375" style="1084" bestFit="1" customWidth="1"/>
    <col min="3349" max="3349" width="19.42578125" style="1084" bestFit="1" customWidth="1"/>
    <col min="3350" max="3350" width="10.85546875" style="1084"/>
    <col min="3351" max="3351" width="16.42578125" style="1084" bestFit="1" customWidth="1"/>
    <col min="3352" max="3352" width="10.85546875" style="1084"/>
    <col min="3353" max="3353" width="14.42578125" style="1084" bestFit="1" customWidth="1"/>
    <col min="3354" max="3355" width="10.85546875" style="1084"/>
    <col min="3356" max="3356" width="14.28515625" style="1084" bestFit="1" customWidth="1"/>
    <col min="3357" max="3584" width="10.85546875" style="1084"/>
    <col min="3585" max="3585" width="12.28515625" style="1084" customWidth="1"/>
    <col min="3586" max="3586" width="78.7109375" style="1084" customWidth="1"/>
    <col min="3587" max="3587" width="20.28515625" style="1084" customWidth="1"/>
    <col min="3588" max="3588" width="13.42578125" style="1084" customWidth="1"/>
    <col min="3589" max="3589" width="17.140625" style="1084" customWidth="1"/>
    <col min="3590" max="3590" width="22" style="1084" customWidth="1"/>
    <col min="3591" max="3591" width="17.85546875" style="1084" customWidth="1"/>
    <col min="3592" max="3592" width="21.28515625" style="1084" customWidth="1"/>
    <col min="3593" max="3593" width="16.5703125" style="1084" customWidth="1"/>
    <col min="3594" max="3594" width="20.28515625" style="1084" customWidth="1"/>
    <col min="3595" max="3595" width="17.28515625" style="1084" customWidth="1"/>
    <col min="3596" max="3596" width="19.42578125" style="1084" customWidth="1"/>
    <col min="3597" max="3597" width="18.5703125" style="1084" customWidth="1"/>
    <col min="3598" max="3598" width="19.7109375" style="1084" customWidth="1"/>
    <col min="3599" max="3599" width="16" style="1084" customWidth="1"/>
    <col min="3600" max="3600" width="20.5703125" style="1084" customWidth="1"/>
    <col min="3601" max="3601" width="16.85546875" style="1084" customWidth="1"/>
    <col min="3602" max="3602" width="23.7109375" style="1084" customWidth="1"/>
    <col min="3603" max="3603" width="27.140625" style="1084" bestFit="1" customWidth="1"/>
    <col min="3604" max="3604" width="25.7109375" style="1084" bestFit="1" customWidth="1"/>
    <col min="3605" max="3605" width="19.42578125" style="1084" bestFit="1" customWidth="1"/>
    <col min="3606" max="3606" width="10.85546875" style="1084"/>
    <col min="3607" max="3607" width="16.42578125" style="1084" bestFit="1" customWidth="1"/>
    <col min="3608" max="3608" width="10.85546875" style="1084"/>
    <col min="3609" max="3609" width="14.42578125" style="1084" bestFit="1" customWidth="1"/>
    <col min="3610" max="3611" width="10.85546875" style="1084"/>
    <col min="3612" max="3612" width="14.28515625" style="1084" bestFit="1" customWidth="1"/>
    <col min="3613" max="3840" width="10.85546875" style="1084"/>
    <col min="3841" max="3841" width="12.28515625" style="1084" customWidth="1"/>
    <col min="3842" max="3842" width="78.7109375" style="1084" customWidth="1"/>
    <col min="3843" max="3843" width="20.28515625" style="1084" customWidth="1"/>
    <col min="3844" max="3844" width="13.42578125" style="1084" customWidth="1"/>
    <col min="3845" max="3845" width="17.140625" style="1084" customWidth="1"/>
    <col min="3846" max="3846" width="22" style="1084" customWidth="1"/>
    <col min="3847" max="3847" width="17.85546875" style="1084" customWidth="1"/>
    <col min="3848" max="3848" width="21.28515625" style="1084" customWidth="1"/>
    <col min="3849" max="3849" width="16.5703125" style="1084" customWidth="1"/>
    <col min="3850" max="3850" width="20.28515625" style="1084" customWidth="1"/>
    <col min="3851" max="3851" width="17.28515625" style="1084" customWidth="1"/>
    <col min="3852" max="3852" width="19.42578125" style="1084" customWidth="1"/>
    <col min="3853" max="3853" width="18.5703125" style="1084" customWidth="1"/>
    <col min="3854" max="3854" width="19.7109375" style="1084" customWidth="1"/>
    <col min="3855" max="3855" width="16" style="1084" customWidth="1"/>
    <col min="3856" max="3856" width="20.5703125" style="1084" customWidth="1"/>
    <col min="3857" max="3857" width="16.85546875" style="1084" customWidth="1"/>
    <col min="3858" max="3858" width="23.7109375" style="1084" customWidth="1"/>
    <col min="3859" max="3859" width="27.140625" style="1084" bestFit="1" customWidth="1"/>
    <col min="3860" max="3860" width="25.7109375" style="1084" bestFit="1" customWidth="1"/>
    <col min="3861" max="3861" width="19.42578125" style="1084" bestFit="1" customWidth="1"/>
    <col min="3862" max="3862" width="10.85546875" style="1084"/>
    <col min="3863" max="3863" width="16.42578125" style="1084" bestFit="1" customWidth="1"/>
    <col min="3864" max="3864" width="10.85546875" style="1084"/>
    <col min="3865" max="3865" width="14.42578125" style="1084" bestFit="1" customWidth="1"/>
    <col min="3866" max="3867" width="10.85546875" style="1084"/>
    <col min="3868" max="3868" width="14.28515625" style="1084" bestFit="1" customWidth="1"/>
    <col min="3869" max="4096" width="10.85546875" style="1084"/>
    <col min="4097" max="4097" width="12.28515625" style="1084" customWidth="1"/>
    <col min="4098" max="4098" width="78.7109375" style="1084" customWidth="1"/>
    <col min="4099" max="4099" width="20.28515625" style="1084" customWidth="1"/>
    <col min="4100" max="4100" width="13.42578125" style="1084" customWidth="1"/>
    <col min="4101" max="4101" width="17.140625" style="1084" customWidth="1"/>
    <col min="4102" max="4102" width="22" style="1084" customWidth="1"/>
    <col min="4103" max="4103" width="17.85546875" style="1084" customWidth="1"/>
    <col min="4104" max="4104" width="21.28515625" style="1084" customWidth="1"/>
    <col min="4105" max="4105" width="16.5703125" style="1084" customWidth="1"/>
    <col min="4106" max="4106" width="20.28515625" style="1084" customWidth="1"/>
    <col min="4107" max="4107" width="17.28515625" style="1084" customWidth="1"/>
    <col min="4108" max="4108" width="19.42578125" style="1084" customWidth="1"/>
    <col min="4109" max="4109" width="18.5703125" style="1084" customWidth="1"/>
    <col min="4110" max="4110" width="19.7109375" style="1084" customWidth="1"/>
    <col min="4111" max="4111" width="16" style="1084" customWidth="1"/>
    <col min="4112" max="4112" width="20.5703125" style="1084" customWidth="1"/>
    <col min="4113" max="4113" width="16.85546875" style="1084" customWidth="1"/>
    <col min="4114" max="4114" width="23.7109375" style="1084" customWidth="1"/>
    <col min="4115" max="4115" width="27.140625" style="1084" bestFit="1" customWidth="1"/>
    <col min="4116" max="4116" width="25.7109375" style="1084" bestFit="1" customWidth="1"/>
    <col min="4117" max="4117" width="19.42578125" style="1084" bestFit="1" customWidth="1"/>
    <col min="4118" max="4118" width="10.85546875" style="1084"/>
    <col min="4119" max="4119" width="16.42578125" style="1084" bestFit="1" customWidth="1"/>
    <col min="4120" max="4120" width="10.85546875" style="1084"/>
    <col min="4121" max="4121" width="14.42578125" style="1084" bestFit="1" customWidth="1"/>
    <col min="4122" max="4123" width="10.85546875" style="1084"/>
    <col min="4124" max="4124" width="14.28515625" style="1084" bestFit="1" customWidth="1"/>
    <col min="4125" max="4352" width="10.85546875" style="1084"/>
    <col min="4353" max="4353" width="12.28515625" style="1084" customWidth="1"/>
    <col min="4354" max="4354" width="78.7109375" style="1084" customWidth="1"/>
    <col min="4355" max="4355" width="20.28515625" style="1084" customWidth="1"/>
    <col min="4356" max="4356" width="13.42578125" style="1084" customWidth="1"/>
    <col min="4357" max="4357" width="17.140625" style="1084" customWidth="1"/>
    <col min="4358" max="4358" width="22" style="1084" customWidth="1"/>
    <col min="4359" max="4359" width="17.85546875" style="1084" customWidth="1"/>
    <col min="4360" max="4360" width="21.28515625" style="1084" customWidth="1"/>
    <col min="4361" max="4361" width="16.5703125" style="1084" customWidth="1"/>
    <col min="4362" max="4362" width="20.28515625" style="1084" customWidth="1"/>
    <col min="4363" max="4363" width="17.28515625" style="1084" customWidth="1"/>
    <col min="4364" max="4364" width="19.42578125" style="1084" customWidth="1"/>
    <col min="4365" max="4365" width="18.5703125" style="1084" customWidth="1"/>
    <col min="4366" max="4366" width="19.7109375" style="1084" customWidth="1"/>
    <col min="4367" max="4367" width="16" style="1084" customWidth="1"/>
    <col min="4368" max="4368" width="20.5703125" style="1084" customWidth="1"/>
    <col min="4369" max="4369" width="16.85546875" style="1084" customWidth="1"/>
    <col min="4370" max="4370" width="23.7109375" style="1084" customWidth="1"/>
    <col min="4371" max="4371" width="27.140625" style="1084" bestFit="1" customWidth="1"/>
    <col min="4372" max="4372" width="25.7109375" style="1084" bestFit="1" customWidth="1"/>
    <col min="4373" max="4373" width="19.42578125" style="1084" bestFit="1" customWidth="1"/>
    <col min="4374" max="4374" width="10.85546875" style="1084"/>
    <col min="4375" max="4375" width="16.42578125" style="1084" bestFit="1" customWidth="1"/>
    <col min="4376" max="4376" width="10.85546875" style="1084"/>
    <col min="4377" max="4377" width="14.42578125" style="1084" bestFit="1" customWidth="1"/>
    <col min="4378" max="4379" width="10.85546875" style="1084"/>
    <col min="4380" max="4380" width="14.28515625" style="1084" bestFit="1" customWidth="1"/>
    <col min="4381" max="4608" width="10.85546875" style="1084"/>
    <col min="4609" max="4609" width="12.28515625" style="1084" customWidth="1"/>
    <col min="4610" max="4610" width="78.7109375" style="1084" customWidth="1"/>
    <col min="4611" max="4611" width="20.28515625" style="1084" customWidth="1"/>
    <col min="4612" max="4612" width="13.42578125" style="1084" customWidth="1"/>
    <col min="4613" max="4613" width="17.140625" style="1084" customWidth="1"/>
    <col min="4614" max="4614" width="22" style="1084" customWidth="1"/>
    <col min="4615" max="4615" width="17.85546875" style="1084" customWidth="1"/>
    <col min="4616" max="4616" width="21.28515625" style="1084" customWidth="1"/>
    <col min="4617" max="4617" width="16.5703125" style="1084" customWidth="1"/>
    <col min="4618" max="4618" width="20.28515625" style="1084" customWidth="1"/>
    <col min="4619" max="4619" width="17.28515625" style="1084" customWidth="1"/>
    <col min="4620" max="4620" width="19.42578125" style="1084" customWidth="1"/>
    <col min="4621" max="4621" width="18.5703125" style="1084" customWidth="1"/>
    <col min="4622" max="4622" width="19.7109375" style="1084" customWidth="1"/>
    <col min="4623" max="4623" width="16" style="1084" customWidth="1"/>
    <col min="4624" max="4624" width="20.5703125" style="1084" customWidth="1"/>
    <col min="4625" max="4625" width="16.85546875" style="1084" customWidth="1"/>
    <col min="4626" max="4626" width="23.7109375" style="1084" customWidth="1"/>
    <col min="4627" max="4627" width="27.140625" style="1084" bestFit="1" customWidth="1"/>
    <col min="4628" max="4628" width="25.7109375" style="1084" bestFit="1" customWidth="1"/>
    <col min="4629" max="4629" width="19.42578125" style="1084" bestFit="1" customWidth="1"/>
    <col min="4630" max="4630" width="10.85546875" style="1084"/>
    <col min="4631" max="4631" width="16.42578125" style="1084" bestFit="1" customWidth="1"/>
    <col min="4632" max="4632" width="10.85546875" style="1084"/>
    <col min="4633" max="4633" width="14.42578125" style="1084" bestFit="1" customWidth="1"/>
    <col min="4634" max="4635" width="10.85546875" style="1084"/>
    <col min="4636" max="4636" width="14.28515625" style="1084" bestFit="1" customWidth="1"/>
    <col min="4637" max="4864" width="10.85546875" style="1084"/>
    <col min="4865" max="4865" width="12.28515625" style="1084" customWidth="1"/>
    <col min="4866" max="4866" width="78.7109375" style="1084" customWidth="1"/>
    <col min="4867" max="4867" width="20.28515625" style="1084" customWidth="1"/>
    <col min="4868" max="4868" width="13.42578125" style="1084" customWidth="1"/>
    <col min="4869" max="4869" width="17.140625" style="1084" customWidth="1"/>
    <col min="4870" max="4870" width="22" style="1084" customWidth="1"/>
    <col min="4871" max="4871" width="17.85546875" style="1084" customWidth="1"/>
    <col min="4872" max="4872" width="21.28515625" style="1084" customWidth="1"/>
    <col min="4873" max="4873" width="16.5703125" style="1084" customWidth="1"/>
    <col min="4874" max="4874" width="20.28515625" style="1084" customWidth="1"/>
    <col min="4875" max="4875" width="17.28515625" style="1084" customWidth="1"/>
    <col min="4876" max="4876" width="19.42578125" style="1084" customWidth="1"/>
    <col min="4877" max="4877" width="18.5703125" style="1084" customWidth="1"/>
    <col min="4878" max="4878" width="19.7109375" style="1084" customWidth="1"/>
    <col min="4879" max="4879" width="16" style="1084" customWidth="1"/>
    <col min="4880" max="4880" width="20.5703125" style="1084" customWidth="1"/>
    <col min="4881" max="4881" width="16.85546875" style="1084" customWidth="1"/>
    <col min="4882" max="4882" width="23.7109375" style="1084" customWidth="1"/>
    <col min="4883" max="4883" width="27.140625" style="1084" bestFit="1" customWidth="1"/>
    <col min="4884" max="4884" width="25.7109375" style="1084" bestFit="1" customWidth="1"/>
    <col min="4885" max="4885" width="19.42578125" style="1084" bestFit="1" customWidth="1"/>
    <col min="4886" max="4886" width="10.85546875" style="1084"/>
    <col min="4887" max="4887" width="16.42578125" style="1084" bestFit="1" customWidth="1"/>
    <col min="4888" max="4888" width="10.85546875" style="1084"/>
    <col min="4889" max="4889" width="14.42578125" style="1084" bestFit="1" customWidth="1"/>
    <col min="4890" max="4891" width="10.85546875" style="1084"/>
    <col min="4892" max="4892" width="14.28515625" style="1084" bestFit="1" customWidth="1"/>
    <col min="4893" max="5120" width="10.85546875" style="1084"/>
    <col min="5121" max="5121" width="12.28515625" style="1084" customWidth="1"/>
    <col min="5122" max="5122" width="78.7109375" style="1084" customWidth="1"/>
    <col min="5123" max="5123" width="20.28515625" style="1084" customWidth="1"/>
    <col min="5124" max="5124" width="13.42578125" style="1084" customWidth="1"/>
    <col min="5125" max="5125" width="17.140625" style="1084" customWidth="1"/>
    <col min="5126" max="5126" width="22" style="1084" customWidth="1"/>
    <col min="5127" max="5127" width="17.85546875" style="1084" customWidth="1"/>
    <col min="5128" max="5128" width="21.28515625" style="1084" customWidth="1"/>
    <col min="5129" max="5129" width="16.5703125" style="1084" customWidth="1"/>
    <col min="5130" max="5130" width="20.28515625" style="1084" customWidth="1"/>
    <col min="5131" max="5131" width="17.28515625" style="1084" customWidth="1"/>
    <col min="5132" max="5132" width="19.42578125" style="1084" customWidth="1"/>
    <col min="5133" max="5133" width="18.5703125" style="1084" customWidth="1"/>
    <col min="5134" max="5134" width="19.7109375" style="1084" customWidth="1"/>
    <col min="5135" max="5135" width="16" style="1084" customWidth="1"/>
    <col min="5136" max="5136" width="20.5703125" style="1084" customWidth="1"/>
    <col min="5137" max="5137" width="16.85546875" style="1084" customWidth="1"/>
    <col min="5138" max="5138" width="23.7109375" style="1084" customWidth="1"/>
    <col min="5139" max="5139" width="27.140625" style="1084" bestFit="1" customWidth="1"/>
    <col min="5140" max="5140" width="25.7109375" style="1084" bestFit="1" customWidth="1"/>
    <col min="5141" max="5141" width="19.42578125" style="1084" bestFit="1" customWidth="1"/>
    <col min="5142" max="5142" width="10.85546875" style="1084"/>
    <col min="5143" max="5143" width="16.42578125" style="1084" bestFit="1" customWidth="1"/>
    <col min="5144" max="5144" width="10.85546875" style="1084"/>
    <col min="5145" max="5145" width="14.42578125" style="1084" bestFit="1" customWidth="1"/>
    <col min="5146" max="5147" width="10.85546875" style="1084"/>
    <col min="5148" max="5148" width="14.28515625" style="1084" bestFit="1" customWidth="1"/>
    <col min="5149" max="5376" width="10.85546875" style="1084"/>
    <col min="5377" max="5377" width="12.28515625" style="1084" customWidth="1"/>
    <col min="5378" max="5378" width="78.7109375" style="1084" customWidth="1"/>
    <col min="5379" max="5379" width="20.28515625" style="1084" customWidth="1"/>
    <col min="5380" max="5380" width="13.42578125" style="1084" customWidth="1"/>
    <col min="5381" max="5381" width="17.140625" style="1084" customWidth="1"/>
    <col min="5382" max="5382" width="22" style="1084" customWidth="1"/>
    <col min="5383" max="5383" width="17.85546875" style="1084" customWidth="1"/>
    <col min="5384" max="5384" width="21.28515625" style="1084" customWidth="1"/>
    <col min="5385" max="5385" width="16.5703125" style="1084" customWidth="1"/>
    <col min="5386" max="5386" width="20.28515625" style="1084" customWidth="1"/>
    <col min="5387" max="5387" width="17.28515625" style="1084" customWidth="1"/>
    <col min="5388" max="5388" width="19.42578125" style="1084" customWidth="1"/>
    <col min="5389" max="5389" width="18.5703125" style="1084" customWidth="1"/>
    <col min="5390" max="5390" width="19.7109375" style="1084" customWidth="1"/>
    <col min="5391" max="5391" width="16" style="1084" customWidth="1"/>
    <col min="5392" max="5392" width="20.5703125" style="1084" customWidth="1"/>
    <col min="5393" max="5393" width="16.85546875" style="1084" customWidth="1"/>
    <col min="5394" max="5394" width="23.7109375" style="1084" customWidth="1"/>
    <col min="5395" max="5395" width="27.140625" style="1084" bestFit="1" customWidth="1"/>
    <col min="5396" max="5396" width="25.7109375" style="1084" bestFit="1" customWidth="1"/>
    <col min="5397" max="5397" width="19.42578125" style="1084" bestFit="1" customWidth="1"/>
    <col min="5398" max="5398" width="10.85546875" style="1084"/>
    <col min="5399" max="5399" width="16.42578125" style="1084" bestFit="1" customWidth="1"/>
    <col min="5400" max="5400" width="10.85546875" style="1084"/>
    <col min="5401" max="5401" width="14.42578125" style="1084" bestFit="1" customWidth="1"/>
    <col min="5402" max="5403" width="10.85546875" style="1084"/>
    <col min="5404" max="5404" width="14.28515625" style="1084" bestFit="1" customWidth="1"/>
    <col min="5405" max="5632" width="10.85546875" style="1084"/>
    <col min="5633" max="5633" width="12.28515625" style="1084" customWidth="1"/>
    <col min="5634" max="5634" width="78.7109375" style="1084" customWidth="1"/>
    <col min="5635" max="5635" width="20.28515625" style="1084" customWidth="1"/>
    <col min="5636" max="5636" width="13.42578125" style="1084" customWidth="1"/>
    <col min="5637" max="5637" width="17.140625" style="1084" customWidth="1"/>
    <col min="5638" max="5638" width="22" style="1084" customWidth="1"/>
    <col min="5639" max="5639" width="17.85546875" style="1084" customWidth="1"/>
    <col min="5640" max="5640" width="21.28515625" style="1084" customWidth="1"/>
    <col min="5641" max="5641" width="16.5703125" style="1084" customWidth="1"/>
    <col min="5642" max="5642" width="20.28515625" style="1084" customWidth="1"/>
    <col min="5643" max="5643" width="17.28515625" style="1084" customWidth="1"/>
    <col min="5644" max="5644" width="19.42578125" style="1084" customWidth="1"/>
    <col min="5645" max="5645" width="18.5703125" style="1084" customWidth="1"/>
    <col min="5646" max="5646" width="19.7109375" style="1084" customWidth="1"/>
    <col min="5647" max="5647" width="16" style="1084" customWidth="1"/>
    <col min="5648" max="5648" width="20.5703125" style="1084" customWidth="1"/>
    <col min="5649" max="5649" width="16.85546875" style="1084" customWidth="1"/>
    <col min="5650" max="5650" width="23.7109375" style="1084" customWidth="1"/>
    <col min="5651" max="5651" width="27.140625" style="1084" bestFit="1" customWidth="1"/>
    <col min="5652" max="5652" width="25.7109375" style="1084" bestFit="1" customWidth="1"/>
    <col min="5653" max="5653" width="19.42578125" style="1084" bestFit="1" customWidth="1"/>
    <col min="5654" max="5654" width="10.85546875" style="1084"/>
    <col min="5655" max="5655" width="16.42578125" style="1084" bestFit="1" customWidth="1"/>
    <col min="5656" max="5656" width="10.85546875" style="1084"/>
    <col min="5657" max="5657" width="14.42578125" style="1084" bestFit="1" customWidth="1"/>
    <col min="5658" max="5659" width="10.85546875" style="1084"/>
    <col min="5660" max="5660" width="14.28515625" style="1084" bestFit="1" customWidth="1"/>
    <col min="5661" max="5888" width="10.85546875" style="1084"/>
    <col min="5889" max="5889" width="12.28515625" style="1084" customWidth="1"/>
    <col min="5890" max="5890" width="78.7109375" style="1084" customWidth="1"/>
    <col min="5891" max="5891" width="20.28515625" style="1084" customWidth="1"/>
    <col min="5892" max="5892" width="13.42578125" style="1084" customWidth="1"/>
    <col min="5893" max="5893" width="17.140625" style="1084" customWidth="1"/>
    <col min="5894" max="5894" width="22" style="1084" customWidth="1"/>
    <col min="5895" max="5895" width="17.85546875" style="1084" customWidth="1"/>
    <col min="5896" max="5896" width="21.28515625" style="1084" customWidth="1"/>
    <col min="5897" max="5897" width="16.5703125" style="1084" customWidth="1"/>
    <col min="5898" max="5898" width="20.28515625" style="1084" customWidth="1"/>
    <col min="5899" max="5899" width="17.28515625" style="1084" customWidth="1"/>
    <col min="5900" max="5900" width="19.42578125" style="1084" customWidth="1"/>
    <col min="5901" max="5901" width="18.5703125" style="1084" customWidth="1"/>
    <col min="5902" max="5902" width="19.7109375" style="1084" customWidth="1"/>
    <col min="5903" max="5903" width="16" style="1084" customWidth="1"/>
    <col min="5904" max="5904" width="20.5703125" style="1084" customWidth="1"/>
    <col min="5905" max="5905" width="16.85546875" style="1084" customWidth="1"/>
    <col min="5906" max="5906" width="23.7109375" style="1084" customWidth="1"/>
    <col min="5907" max="5907" width="27.140625" style="1084" bestFit="1" customWidth="1"/>
    <col min="5908" max="5908" width="25.7109375" style="1084" bestFit="1" customWidth="1"/>
    <col min="5909" max="5909" width="19.42578125" style="1084" bestFit="1" customWidth="1"/>
    <col min="5910" max="5910" width="10.85546875" style="1084"/>
    <col min="5911" max="5911" width="16.42578125" style="1084" bestFit="1" customWidth="1"/>
    <col min="5912" max="5912" width="10.85546875" style="1084"/>
    <col min="5913" max="5913" width="14.42578125" style="1084" bestFit="1" customWidth="1"/>
    <col min="5914" max="5915" width="10.85546875" style="1084"/>
    <col min="5916" max="5916" width="14.28515625" style="1084" bestFit="1" customWidth="1"/>
    <col min="5917" max="6144" width="10.85546875" style="1084"/>
    <col min="6145" max="6145" width="12.28515625" style="1084" customWidth="1"/>
    <col min="6146" max="6146" width="78.7109375" style="1084" customWidth="1"/>
    <col min="6147" max="6147" width="20.28515625" style="1084" customWidth="1"/>
    <col min="6148" max="6148" width="13.42578125" style="1084" customWidth="1"/>
    <col min="6149" max="6149" width="17.140625" style="1084" customWidth="1"/>
    <col min="6150" max="6150" width="22" style="1084" customWidth="1"/>
    <col min="6151" max="6151" width="17.85546875" style="1084" customWidth="1"/>
    <col min="6152" max="6152" width="21.28515625" style="1084" customWidth="1"/>
    <col min="6153" max="6153" width="16.5703125" style="1084" customWidth="1"/>
    <col min="6154" max="6154" width="20.28515625" style="1084" customWidth="1"/>
    <col min="6155" max="6155" width="17.28515625" style="1084" customWidth="1"/>
    <col min="6156" max="6156" width="19.42578125" style="1084" customWidth="1"/>
    <col min="6157" max="6157" width="18.5703125" style="1084" customWidth="1"/>
    <col min="6158" max="6158" width="19.7109375" style="1084" customWidth="1"/>
    <col min="6159" max="6159" width="16" style="1084" customWidth="1"/>
    <col min="6160" max="6160" width="20.5703125" style="1084" customWidth="1"/>
    <col min="6161" max="6161" width="16.85546875" style="1084" customWidth="1"/>
    <col min="6162" max="6162" width="23.7109375" style="1084" customWidth="1"/>
    <col min="6163" max="6163" width="27.140625" style="1084" bestFit="1" customWidth="1"/>
    <col min="6164" max="6164" width="25.7109375" style="1084" bestFit="1" customWidth="1"/>
    <col min="6165" max="6165" width="19.42578125" style="1084" bestFit="1" customWidth="1"/>
    <col min="6166" max="6166" width="10.85546875" style="1084"/>
    <col min="6167" max="6167" width="16.42578125" style="1084" bestFit="1" customWidth="1"/>
    <col min="6168" max="6168" width="10.85546875" style="1084"/>
    <col min="6169" max="6169" width="14.42578125" style="1084" bestFit="1" customWidth="1"/>
    <col min="6170" max="6171" width="10.85546875" style="1084"/>
    <col min="6172" max="6172" width="14.28515625" style="1084" bestFit="1" customWidth="1"/>
    <col min="6173" max="6400" width="10.85546875" style="1084"/>
    <col min="6401" max="6401" width="12.28515625" style="1084" customWidth="1"/>
    <col min="6402" max="6402" width="78.7109375" style="1084" customWidth="1"/>
    <col min="6403" max="6403" width="20.28515625" style="1084" customWidth="1"/>
    <col min="6404" max="6404" width="13.42578125" style="1084" customWidth="1"/>
    <col min="6405" max="6405" width="17.140625" style="1084" customWidth="1"/>
    <col min="6406" max="6406" width="22" style="1084" customWidth="1"/>
    <col min="6407" max="6407" width="17.85546875" style="1084" customWidth="1"/>
    <col min="6408" max="6408" width="21.28515625" style="1084" customWidth="1"/>
    <col min="6409" max="6409" width="16.5703125" style="1084" customWidth="1"/>
    <col min="6410" max="6410" width="20.28515625" style="1084" customWidth="1"/>
    <col min="6411" max="6411" width="17.28515625" style="1084" customWidth="1"/>
    <col min="6412" max="6412" width="19.42578125" style="1084" customWidth="1"/>
    <col min="6413" max="6413" width="18.5703125" style="1084" customWidth="1"/>
    <col min="6414" max="6414" width="19.7109375" style="1084" customWidth="1"/>
    <col min="6415" max="6415" width="16" style="1084" customWidth="1"/>
    <col min="6416" max="6416" width="20.5703125" style="1084" customWidth="1"/>
    <col min="6417" max="6417" width="16.85546875" style="1084" customWidth="1"/>
    <col min="6418" max="6418" width="23.7109375" style="1084" customWidth="1"/>
    <col min="6419" max="6419" width="27.140625" style="1084" bestFit="1" customWidth="1"/>
    <col min="6420" max="6420" width="25.7109375" style="1084" bestFit="1" customWidth="1"/>
    <col min="6421" max="6421" width="19.42578125" style="1084" bestFit="1" customWidth="1"/>
    <col min="6422" max="6422" width="10.85546875" style="1084"/>
    <col min="6423" max="6423" width="16.42578125" style="1084" bestFit="1" customWidth="1"/>
    <col min="6424" max="6424" width="10.85546875" style="1084"/>
    <col min="6425" max="6425" width="14.42578125" style="1084" bestFit="1" customWidth="1"/>
    <col min="6426" max="6427" width="10.85546875" style="1084"/>
    <col min="6428" max="6428" width="14.28515625" style="1084" bestFit="1" customWidth="1"/>
    <col min="6429" max="6656" width="10.85546875" style="1084"/>
    <col min="6657" max="6657" width="12.28515625" style="1084" customWidth="1"/>
    <col min="6658" max="6658" width="78.7109375" style="1084" customWidth="1"/>
    <col min="6659" max="6659" width="20.28515625" style="1084" customWidth="1"/>
    <col min="6660" max="6660" width="13.42578125" style="1084" customWidth="1"/>
    <col min="6661" max="6661" width="17.140625" style="1084" customWidth="1"/>
    <col min="6662" max="6662" width="22" style="1084" customWidth="1"/>
    <col min="6663" max="6663" width="17.85546875" style="1084" customWidth="1"/>
    <col min="6664" max="6664" width="21.28515625" style="1084" customWidth="1"/>
    <col min="6665" max="6665" width="16.5703125" style="1084" customWidth="1"/>
    <col min="6666" max="6666" width="20.28515625" style="1084" customWidth="1"/>
    <col min="6667" max="6667" width="17.28515625" style="1084" customWidth="1"/>
    <col min="6668" max="6668" width="19.42578125" style="1084" customWidth="1"/>
    <col min="6669" max="6669" width="18.5703125" style="1084" customWidth="1"/>
    <col min="6670" max="6670" width="19.7109375" style="1084" customWidth="1"/>
    <col min="6671" max="6671" width="16" style="1084" customWidth="1"/>
    <col min="6672" max="6672" width="20.5703125" style="1084" customWidth="1"/>
    <col min="6673" max="6673" width="16.85546875" style="1084" customWidth="1"/>
    <col min="6674" max="6674" width="23.7109375" style="1084" customWidth="1"/>
    <col min="6675" max="6675" width="27.140625" style="1084" bestFit="1" customWidth="1"/>
    <col min="6676" max="6676" width="25.7109375" style="1084" bestFit="1" customWidth="1"/>
    <col min="6677" max="6677" width="19.42578125" style="1084" bestFit="1" customWidth="1"/>
    <col min="6678" max="6678" width="10.85546875" style="1084"/>
    <col min="6679" max="6679" width="16.42578125" style="1084" bestFit="1" customWidth="1"/>
    <col min="6680" max="6680" width="10.85546875" style="1084"/>
    <col min="6681" max="6681" width="14.42578125" style="1084" bestFit="1" customWidth="1"/>
    <col min="6682" max="6683" width="10.85546875" style="1084"/>
    <col min="6684" max="6684" width="14.28515625" style="1084" bestFit="1" customWidth="1"/>
    <col min="6685" max="6912" width="10.85546875" style="1084"/>
    <col min="6913" max="6913" width="12.28515625" style="1084" customWidth="1"/>
    <col min="6914" max="6914" width="78.7109375" style="1084" customWidth="1"/>
    <col min="6915" max="6915" width="20.28515625" style="1084" customWidth="1"/>
    <col min="6916" max="6916" width="13.42578125" style="1084" customWidth="1"/>
    <col min="6917" max="6917" width="17.140625" style="1084" customWidth="1"/>
    <col min="6918" max="6918" width="22" style="1084" customWidth="1"/>
    <col min="6919" max="6919" width="17.85546875" style="1084" customWidth="1"/>
    <col min="6920" max="6920" width="21.28515625" style="1084" customWidth="1"/>
    <col min="6921" max="6921" width="16.5703125" style="1084" customWidth="1"/>
    <col min="6922" max="6922" width="20.28515625" style="1084" customWidth="1"/>
    <col min="6923" max="6923" width="17.28515625" style="1084" customWidth="1"/>
    <col min="6924" max="6924" width="19.42578125" style="1084" customWidth="1"/>
    <col min="6925" max="6925" width="18.5703125" style="1084" customWidth="1"/>
    <col min="6926" max="6926" width="19.7109375" style="1084" customWidth="1"/>
    <col min="6927" max="6927" width="16" style="1084" customWidth="1"/>
    <col min="6928" max="6928" width="20.5703125" style="1084" customWidth="1"/>
    <col min="6929" max="6929" width="16.85546875" style="1084" customWidth="1"/>
    <col min="6930" max="6930" width="23.7109375" style="1084" customWidth="1"/>
    <col min="6931" max="6931" width="27.140625" style="1084" bestFit="1" customWidth="1"/>
    <col min="6932" max="6932" width="25.7109375" style="1084" bestFit="1" customWidth="1"/>
    <col min="6933" max="6933" width="19.42578125" style="1084" bestFit="1" customWidth="1"/>
    <col min="6934" max="6934" width="10.85546875" style="1084"/>
    <col min="6935" max="6935" width="16.42578125" style="1084" bestFit="1" customWidth="1"/>
    <col min="6936" max="6936" width="10.85546875" style="1084"/>
    <col min="6937" max="6937" width="14.42578125" style="1084" bestFit="1" customWidth="1"/>
    <col min="6938" max="6939" width="10.85546875" style="1084"/>
    <col min="6940" max="6940" width="14.28515625" style="1084" bestFit="1" customWidth="1"/>
    <col min="6941" max="7168" width="10.85546875" style="1084"/>
    <col min="7169" max="7169" width="12.28515625" style="1084" customWidth="1"/>
    <col min="7170" max="7170" width="78.7109375" style="1084" customWidth="1"/>
    <col min="7171" max="7171" width="20.28515625" style="1084" customWidth="1"/>
    <col min="7172" max="7172" width="13.42578125" style="1084" customWidth="1"/>
    <col min="7173" max="7173" width="17.140625" style="1084" customWidth="1"/>
    <col min="7174" max="7174" width="22" style="1084" customWidth="1"/>
    <col min="7175" max="7175" width="17.85546875" style="1084" customWidth="1"/>
    <col min="7176" max="7176" width="21.28515625" style="1084" customWidth="1"/>
    <col min="7177" max="7177" width="16.5703125" style="1084" customWidth="1"/>
    <col min="7178" max="7178" width="20.28515625" style="1084" customWidth="1"/>
    <col min="7179" max="7179" width="17.28515625" style="1084" customWidth="1"/>
    <col min="7180" max="7180" width="19.42578125" style="1084" customWidth="1"/>
    <col min="7181" max="7181" width="18.5703125" style="1084" customWidth="1"/>
    <col min="7182" max="7182" width="19.7109375" style="1084" customWidth="1"/>
    <col min="7183" max="7183" width="16" style="1084" customWidth="1"/>
    <col min="7184" max="7184" width="20.5703125" style="1084" customWidth="1"/>
    <col min="7185" max="7185" width="16.85546875" style="1084" customWidth="1"/>
    <col min="7186" max="7186" width="23.7109375" style="1084" customWidth="1"/>
    <col min="7187" max="7187" width="27.140625" style="1084" bestFit="1" customWidth="1"/>
    <col min="7188" max="7188" width="25.7109375" style="1084" bestFit="1" customWidth="1"/>
    <col min="7189" max="7189" width="19.42578125" style="1084" bestFit="1" customWidth="1"/>
    <col min="7190" max="7190" width="10.85546875" style="1084"/>
    <col min="7191" max="7191" width="16.42578125" style="1084" bestFit="1" customWidth="1"/>
    <col min="7192" max="7192" width="10.85546875" style="1084"/>
    <col min="7193" max="7193" width="14.42578125" style="1084" bestFit="1" customWidth="1"/>
    <col min="7194" max="7195" width="10.85546875" style="1084"/>
    <col min="7196" max="7196" width="14.28515625" style="1084" bestFit="1" customWidth="1"/>
    <col min="7197" max="7424" width="10.85546875" style="1084"/>
    <col min="7425" max="7425" width="12.28515625" style="1084" customWidth="1"/>
    <col min="7426" max="7426" width="78.7109375" style="1084" customWidth="1"/>
    <col min="7427" max="7427" width="20.28515625" style="1084" customWidth="1"/>
    <col min="7428" max="7428" width="13.42578125" style="1084" customWidth="1"/>
    <col min="7429" max="7429" width="17.140625" style="1084" customWidth="1"/>
    <col min="7430" max="7430" width="22" style="1084" customWidth="1"/>
    <col min="7431" max="7431" width="17.85546875" style="1084" customWidth="1"/>
    <col min="7432" max="7432" width="21.28515625" style="1084" customWidth="1"/>
    <col min="7433" max="7433" width="16.5703125" style="1084" customWidth="1"/>
    <col min="7434" max="7434" width="20.28515625" style="1084" customWidth="1"/>
    <col min="7435" max="7435" width="17.28515625" style="1084" customWidth="1"/>
    <col min="7436" max="7436" width="19.42578125" style="1084" customWidth="1"/>
    <col min="7437" max="7437" width="18.5703125" style="1084" customWidth="1"/>
    <col min="7438" max="7438" width="19.7109375" style="1084" customWidth="1"/>
    <col min="7439" max="7439" width="16" style="1084" customWidth="1"/>
    <col min="7440" max="7440" width="20.5703125" style="1084" customWidth="1"/>
    <col min="7441" max="7441" width="16.85546875" style="1084" customWidth="1"/>
    <col min="7442" max="7442" width="23.7109375" style="1084" customWidth="1"/>
    <col min="7443" max="7443" width="27.140625" style="1084" bestFit="1" customWidth="1"/>
    <col min="7444" max="7444" width="25.7109375" style="1084" bestFit="1" customWidth="1"/>
    <col min="7445" max="7445" width="19.42578125" style="1084" bestFit="1" customWidth="1"/>
    <col min="7446" max="7446" width="10.85546875" style="1084"/>
    <col min="7447" max="7447" width="16.42578125" style="1084" bestFit="1" customWidth="1"/>
    <col min="7448" max="7448" width="10.85546875" style="1084"/>
    <col min="7449" max="7449" width="14.42578125" style="1084" bestFit="1" customWidth="1"/>
    <col min="7450" max="7451" width="10.85546875" style="1084"/>
    <col min="7452" max="7452" width="14.28515625" style="1084" bestFit="1" customWidth="1"/>
    <col min="7453" max="7680" width="10.85546875" style="1084"/>
    <col min="7681" max="7681" width="12.28515625" style="1084" customWidth="1"/>
    <col min="7682" max="7682" width="78.7109375" style="1084" customWidth="1"/>
    <col min="7683" max="7683" width="20.28515625" style="1084" customWidth="1"/>
    <col min="7684" max="7684" width="13.42578125" style="1084" customWidth="1"/>
    <col min="7685" max="7685" width="17.140625" style="1084" customWidth="1"/>
    <col min="7686" max="7686" width="22" style="1084" customWidth="1"/>
    <col min="7687" max="7687" width="17.85546875" style="1084" customWidth="1"/>
    <col min="7688" max="7688" width="21.28515625" style="1084" customWidth="1"/>
    <col min="7689" max="7689" width="16.5703125" style="1084" customWidth="1"/>
    <col min="7690" max="7690" width="20.28515625" style="1084" customWidth="1"/>
    <col min="7691" max="7691" width="17.28515625" style="1084" customWidth="1"/>
    <col min="7692" max="7692" width="19.42578125" style="1084" customWidth="1"/>
    <col min="7693" max="7693" width="18.5703125" style="1084" customWidth="1"/>
    <col min="7694" max="7694" width="19.7109375" style="1084" customWidth="1"/>
    <col min="7695" max="7695" width="16" style="1084" customWidth="1"/>
    <col min="7696" max="7696" width="20.5703125" style="1084" customWidth="1"/>
    <col min="7697" max="7697" width="16.85546875" style="1084" customWidth="1"/>
    <col min="7698" max="7698" width="23.7109375" style="1084" customWidth="1"/>
    <col min="7699" max="7699" width="27.140625" style="1084" bestFit="1" customWidth="1"/>
    <col min="7700" max="7700" width="25.7109375" style="1084" bestFit="1" customWidth="1"/>
    <col min="7701" max="7701" width="19.42578125" style="1084" bestFit="1" customWidth="1"/>
    <col min="7702" max="7702" width="10.85546875" style="1084"/>
    <col min="7703" max="7703" width="16.42578125" style="1084" bestFit="1" customWidth="1"/>
    <col min="7704" max="7704" width="10.85546875" style="1084"/>
    <col min="7705" max="7705" width="14.42578125" style="1084" bestFit="1" customWidth="1"/>
    <col min="7706" max="7707" width="10.85546875" style="1084"/>
    <col min="7708" max="7708" width="14.28515625" style="1084" bestFit="1" customWidth="1"/>
    <col min="7709" max="7936" width="10.85546875" style="1084"/>
    <col min="7937" max="7937" width="12.28515625" style="1084" customWidth="1"/>
    <col min="7938" max="7938" width="78.7109375" style="1084" customWidth="1"/>
    <col min="7939" max="7939" width="20.28515625" style="1084" customWidth="1"/>
    <col min="7940" max="7940" width="13.42578125" style="1084" customWidth="1"/>
    <col min="7941" max="7941" width="17.140625" style="1084" customWidth="1"/>
    <col min="7942" max="7942" width="22" style="1084" customWidth="1"/>
    <col min="7943" max="7943" width="17.85546875" style="1084" customWidth="1"/>
    <col min="7944" max="7944" width="21.28515625" style="1084" customWidth="1"/>
    <col min="7945" max="7945" width="16.5703125" style="1084" customWidth="1"/>
    <col min="7946" max="7946" width="20.28515625" style="1084" customWidth="1"/>
    <col min="7947" max="7947" width="17.28515625" style="1084" customWidth="1"/>
    <col min="7948" max="7948" width="19.42578125" style="1084" customWidth="1"/>
    <col min="7949" max="7949" width="18.5703125" style="1084" customWidth="1"/>
    <col min="7950" max="7950" width="19.7109375" style="1084" customWidth="1"/>
    <col min="7951" max="7951" width="16" style="1084" customWidth="1"/>
    <col min="7952" max="7952" width="20.5703125" style="1084" customWidth="1"/>
    <col min="7953" max="7953" width="16.85546875" style="1084" customWidth="1"/>
    <col min="7954" max="7954" width="23.7109375" style="1084" customWidth="1"/>
    <col min="7955" max="7955" width="27.140625" style="1084" bestFit="1" customWidth="1"/>
    <col min="7956" max="7956" width="25.7109375" style="1084" bestFit="1" customWidth="1"/>
    <col min="7957" max="7957" width="19.42578125" style="1084" bestFit="1" customWidth="1"/>
    <col min="7958" max="7958" width="10.85546875" style="1084"/>
    <col min="7959" max="7959" width="16.42578125" style="1084" bestFit="1" customWidth="1"/>
    <col min="7960" max="7960" width="10.85546875" style="1084"/>
    <col min="7961" max="7961" width="14.42578125" style="1084" bestFit="1" customWidth="1"/>
    <col min="7962" max="7963" width="10.85546875" style="1084"/>
    <col min="7964" max="7964" width="14.28515625" style="1084" bestFit="1" customWidth="1"/>
    <col min="7965" max="8192" width="10.85546875" style="1084"/>
    <col min="8193" max="8193" width="12.28515625" style="1084" customWidth="1"/>
    <col min="8194" max="8194" width="78.7109375" style="1084" customWidth="1"/>
    <col min="8195" max="8195" width="20.28515625" style="1084" customWidth="1"/>
    <col min="8196" max="8196" width="13.42578125" style="1084" customWidth="1"/>
    <col min="8197" max="8197" width="17.140625" style="1084" customWidth="1"/>
    <col min="8198" max="8198" width="22" style="1084" customWidth="1"/>
    <col min="8199" max="8199" width="17.85546875" style="1084" customWidth="1"/>
    <col min="8200" max="8200" width="21.28515625" style="1084" customWidth="1"/>
    <col min="8201" max="8201" width="16.5703125" style="1084" customWidth="1"/>
    <col min="8202" max="8202" width="20.28515625" style="1084" customWidth="1"/>
    <col min="8203" max="8203" width="17.28515625" style="1084" customWidth="1"/>
    <col min="8204" max="8204" width="19.42578125" style="1084" customWidth="1"/>
    <col min="8205" max="8205" width="18.5703125" style="1084" customWidth="1"/>
    <col min="8206" max="8206" width="19.7109375" style="1084" customWidth="1"/>
    <col min="8207" max="8207" width="16" style="1084" customWidth="1"/>
    <col min="8208" max="8208" width="20.5703125" style="1084" customWidth="1"/>
    <col min="8209" max="8209" width="16.85546875" style="1084" customWidth="1"/>
    <col min="8210" max="8210" width="23.7109375" style="1084" customWidth="1"/>
    <col min="8211" max="8211" width="27.140625" style="1084" bestFit="1" customWidth="1"/>
    <col min="8212" max="8212" width="25.7109375" style="1084" bestFit="1" customWidth="1"/>
    <col min="8213" max="8213" width="19.42578125" style="1084" bestFit="1" customWidth="1"/>
    <col min="8214" max="8214" width="10.85546875" style="1084"/>
    <col min="8215" max="8215" width="16.42578125" style="1084" bestFit="1" customWidth="1"/>
    <col min="8216" max="8216" width="10.85546875" style="1084"/>
    <col min="8217" max="8217" width="14.42578125" style="1084" bestFit="1" customWidth="1"/>
    <col min="8218" max="8219" width="10.85546875" style="1084"/>
    <col min="8220" max="8220" width="14.28515625" style="1084" bestFit="1" customWidth="1"/>
    <col min="8221" max="8448" width="10.85546875" style="1084"/>
    <col min="8449" max="8449" width="12.28515625" style="1084" customWidth="1"/>
    <col min="8450" max="8450" width="78.7109375" style="1084" customWidth="1"/>
    <col min="8451" max="8451" width="20.28515625" style="1084" customWidth="1"/>
    <col min="8452" max="8452" width="13.42578125" style="1084" customWidth="1"/>
    <col min="8453" max="8453" width="17.140625" style="1084" customWidth="1"/>
    <col min="8454" max="8454" width="22" style="1084" customWidth="1"/>
    <col min="8455" max="8455" width="17.85546875" style="1084" customWidth="1"/>
    <col min="8456" max="8456" width="21.28515625" style="1084" customWidth="1"/>
    <col min="8457" max="8457" width="16.5703125" style="1084" customWidth="1"/>
    <col min="8458" max="8458" width="20.28515625" style="1084" customWidth="1"/>
    <col min="8459" max="8459" width="17.28515625" style="1084" customWidth="1"/>
    <col min="8460" max="8460" width="19.42578125" style="1084" customWidth="1"/>
    <col min="8461" max="8461" width="18.5703125" style="1084" customWidth="1"/>
    <col min="8462" max="8462" width="19.7109375" style="1084" customWidth="1"/>
    <col min="8463" max="8463" width="16" style="1084" customWidth="1"/>
    <col min="8464" max="8464" width="20.5703125" style="1084" customWidth="1"/>
    <col min="8465" max="8465" width="16.85546875" style="1084" customWidth="1"/>
    <col min="8466" max="8466" width="23.7109375" style="1084" customWidth="1"/>
    <col min="8467" max="8467" width="27.140625" style="1084" bestFit="1" customWidth="1"/>
    <col min="8468" max="8468" width="25.7109375" style="1084" bestFit="1" customWidth="1"/>
    <col min="8469" max="8469" width="19.42578125" style="1084" bestFit="1" customWidth="1"/>
    <col min="8470" max="8470" width="10.85546875" style="1084"/>
    <col min="8471" max="8471" width="16.42578125" style="1084" bestFit="1" customWidth="1"/>
    <col min="8472" max="8472" width="10.85546875" style="1084"/>
    <col min="8473" max="8473" width="14.42578125" style="1084" bestFit="1" customWidth="1"/>
    <col min="8474" max="8475" width="10.85546875" style="1084"/>
    <col min="8476" max="8476" width="14.28515625" style="1084" bestFit="1" customWidth="1"/>
    <col min="8477" max="8704" width="10.85546875" style="1084"/>
    <col min="8705" max="8705" width="12.28515625" style="1084" customWidth="1"/>
    <col min="8706" max="8706" width="78.7109375" style="1084" customWidth="1"/>
    <col min="8707" max="8707" width="20.28515625" style="1084" customWidth="1"/>
    <col min="8708" max="8708" width="13.42578125" style="1084" customWidth="1"/>
    <col min="8709" max="8709" width="17.140625" style="1084" customWidth="1"/>
    <col min="8710" max="8710" width="22" style="1084" customWidth="1"/>
    <col min="8711" max="8711" width="17.85546875" style="1084" customWidth="1"/>
    <col min="8712" max="8712" width="21.28515625" style="1084" customWidth="1"/>
    <col min="8713" max="8713" width="16.5703125" style="1084" customWidth="1"/>
    <col min="8714" max="8714" width="20.28515625" style="1084" customWidth="1"/>
    <col min="8715" max="8715" width="17.28515625" style="1084" customWidth="1"/>
    <col min="8716" max="8716" width="19.42578125" style="1084" customWidth="1"/>
    <col min="8717" max="8717" width="18.5703125" style="1084" customWidth="1"/>
    <col min="8718" max="8718" width="19.7109375" style="1084" customWidth="1"/>
    <col min="8719" max="8719" width="16" style="1084" customWidth="1"/>
    <col min="8720" max="8720" width="20.5703125" style="1084" customWidth="1"/>
    <col min="8721" max="8721" width="16.85546875" style="1084" customWidth="1"/>
    <col min="8722" max="8722" width="23.7109375" style="1084" customWidth="1"/>
    <col min="8723" max="8723" width="27.140625" style="1084" bestFit="1" customWidth="1"/>
    <col min="8724" max="8724" width="25.7109375" style="1084" bestFit="1" customWidth="1"/>
    <col min="8725" max="8725" width="19.42578125" style="1084" bestFit="1" customWidth="1"/>
    <col min="8726" max="8726" width="10.85546875" style="1084"/>
    <col min="8727" max="8727" width="16.42578125" style="1084" bestFit="1" customWidth="1"/>
    <col min="8728" max="8728" width="10.85546875" style="1084"/>
    <col min="8729" max="8729" width="14.42578125" style="1084" bestFit="1" customWidth="1"/>
    <col min="8730" max="8731" width="10.85546875" style="1084"/>
    <col min="8732" max="8732" width="14.28515625" style="1084" bestFit="1" customWidth="1"/>
    <col min="8733" max="8960" width="10.85546875" style="1084"/>
    <col min="8961" max="8961" width="12.28515625" style="1084" customWidth="1"/>
    <col min="8962" max="8962" width="78.7109375" style="1084" customWidth="1"/>
    <col min="8963" max="8963" width="20.28515625" style="1084" customWidth="1"/>
    <col min="8964" max="8964" width="13.42578125" style="1084" customWidth="1"/>
    <col min="8965" max="8965" width="17.140625" style="1084" customWidth="1"/>
    <col min="8966" max="8966" width="22" style="1084" customWidth="1"/>
    <col min="8967" max="8967" width="17.85546875" style="1084" customWidth="1"/>
    <col min="8968" max="8968" width="21.28515625" style="1084" customWidth="1"/>
    <col min="8969" max="8969" width="16.5703125" style="1084" customWidth="1"/>
    <col min="8970" max="8970" width="20.28515625" style="1084" customWidth="1"/>
    <col min="8971" max="8971" width="17.28515625" style="1084" customWidth="1"/>
    <col min="8972" max="8972" width="19.42578125" style="1084" customWidth="1"/>
    <col min="8973" max="8973" width="18.5703125" style="1084" customWidth="1"/>
    <col min="8974" max="8974" width="19.7109375" style="1084" customWidth="1"/>
    <col min="8975" max="8975" width="16" style="1084" customWidth="1"/>
    <col min="8976" max="8976" width="20.5703125" style="1084" customWidth="1"/>
    <col min="8977" max="8977" width="16.85546875" style="1084" customWidth="1"/>
    <col min="8978" max="8978" width="23.7109375" style="1084" customWidth="1"/>
    <col min="8979" max="8979" width="27.140625" style="1084" bestFit="1" customWidth="1"/>
    <col min="8980" max="8980" width="25.7109375" style="1084" bestFit="1" customWidth="1"/>
    <col min="8981" max="8981" width="19.42578125" style="1084" bestFit="1" customWidth="1"/>
    <col min="8982" max="8982" width="10.85546875" style="1084"/>
    <col min="8983" max="8983" width="16.42578125" style="1084" bestFit="1" customWidth="1"/>
    <col min="8984" max="8984" width="10.85546875" style="1084"/>
    <col min="8985" max="8985" width="14.42578125" style="1084" bestFit="1" customWidth="1"/>
    <col min="8986" max="8987" width="10.85546875" style="1084"/>
    <col min="8988" max="8988" width="14.28515625" style="1084" bestFit="1" customWidth="1"/>
    <col min="8989" max="9216" width="10.85546875" style="1084"/>
    <col min="9217" max="9217" width="12.28515625" style="1084" customWidth="1"/>
    <col min="9218" max="9218" width="78.7109375" style="1084" customWidth="1"/>
    <col min="9219" max="9219" width="20.28515625" style="1084" customWidth="1"/>
    <col min="9220" max="9220" width="13.42578125" style="1084" customWidth="1"/>
    <col min="9221" max="9221" width="17.140625" style="1084" customWidth="1"/>
    <col min="9222" max="9222" width="22" style="1084" customWidth="1"/>
    <col min="9223" max="9223" width="17.85546875" style="1084" customWidth="1"/>
    <col min="9224" max="9224" width="21.28515625" style="1084" customWidth="1"/>
    <col min="9225" max="9225" width="16.5703125" style="1084" customWidth="1"/>
    <col min="9226" max="9226" width="20.28515625" style="1084" customWidth="1"/>
    <col min="9227" max="9227" width="17.28515625" style="1084" customWidth="1"/>
    <col min="9228" max="9228" width="19.42578125" style="1084" customWidth="1"/>
    <col min="9229" max="9229" width="18.5703125" style="1084" customWidth="1"/>
    <col min="9230" max="9230" width="19.7109375" style="1084" customWidth="1"/>
    <col min="9231" max="9231" width="16" style="1084" customWidth="1"/>
    <col min="9232" max="9232" width="20.5703125" style="1084" customWidth="1"/>
    <col min="9233" max="9233" width="16.85546875" style="1084" customWidth="1"/>
    <col min="9234" max="9234" width="23.7109375" style="1084" customWidth="1"/>
    <col min="9235" max="9235" width="27.140625" style="1084" bestFit="1" customWidth="1"/>
    <col min="9236" max="9236" width="25.7109375" style="1084" bestFit="1" customWidth="1"/>
    <col min="9237" max="9237" width="19.42578125" style="1084" bestFit="1" customWidth="1"/>
    <col min="9238" max="9238" width="10.85546875" style="1084"/>
    <col min="9239" max="9239" width="16.42578125" style="1084" bestFit="1" customWidth="1"/>
    <col min="9240" max="9240" width="10.85546875" style="1084"/>
    <col min="9241" max="9241" width="14.42578125" style="1084" bestFit="1" customWidth="1"/>
    <col min="9242" max="9243" width="10.85546875" style="1084"/>
    <col min="9244" max="9244" width="14.28515625" style="1084" bestFit="1" customWidth="1"/>
    <col min="9245" max="9472" width="10.85546875" style="1084"/>
    <col min="9473" max="9473" width="12.28515625" style="1084" customWidth="1"/>
    <col min="9474" max="9474" width="78.7109375" style="1084" customWidth="1"/>
    <col min="9475" max="9475" width="20.28515625" style="1084" customWidth="1"/>
    <col min="9476" max="9476" width="13.42578125" style="1084" customWidth="1"/>
    <col min="9477" max="9477" width="17.140625" style="1084" customWidth="1"/>
    <col min="9478" max="9478" width="22" style="1084" customWidth="1"/>
    <col min="9479" max="9479" width="17.85546875" style="1084" customWidth="1"/>
    <col min="9480" max="9480" width="21.28515625" style="1084" customWidth="1"/>
    <col min="9481" max="9481" width="16.5703125" style="1084" customWidth="1"/>
    <col min="9482" max="9482" width="20.28515625" style="1084" customWidth="1"/>
    <col min="9483" max="9483" width="17.28515625" style="1084" customWidth="1"/>
    <col min="9484" max="9484" width="19.42578125" style="1084" customWidth="1"/>
    <col min="9485" max="9485" width="18.5703125" style="1084" customWidth="1"/>
    <col min="9486" max="9486" width="19.7109375" style="1084" customWidth="1"/>
    <col min="9487" max="9487" width="16" style="1084" customWidth="1"/>
    <col min="9488" max="9488" width="20.5703125" style="1084" customWidth="1"/>
    <col min="9489" max="9489" width="16.85546875" style="1084" customWidth="1"/>
    <col min="9490" max="9490" width="23.7109375" style="1084" customWidth="1"/>
    <col min="9491" max="9491" width="27.140625" style="1084" bestFit="1" customWidth="1"/>
    <col min="9492" max="9492" width="25.7109375" style="1084" bestFit="1" customWidth="1"/>
    <col min="9493" max="9493" width="19.42578125" style="1084" bestFit="1" customWidth="1"/>
    <col min="9494" max="9494" width="10.85546875" style="1084"/>
    <col min="9495" max="9495" width="16.42578125" style="1084" bestFit="1" customWidth="1"/>
    <col min="9496" max="9496" width="10.85546875" style="1084"/>
    <col min="9497" max="9497" width="14.42578125" style="1084" bestFit="1" customWidth="1"/>
    <col min="9498" max="9499" width="10.85546875" style="1084"/>
    <col min="9500" max="9500" width="14.28515625" style="1084" bestFit="1" customWidth="1"/>
    <col min="9501" max="9728" width="10.85546875" style="1084"/>
    <col min="9729" max="9729" width="12.28515625" style="1084" customWidth="1"/>
    <col min="9730" max="9730" width="78.7109375" style="1084" customWidth="1"/>
    <col min="9731" max="9731" width="20.28515625" style="1084" customWidth="1"/>
    <col min="9732" max="9732" width="13.42578125" style="1084" customWidth="1"/>
    <col min="9733" max="9733" width="17.140625" style="1084" customWidth="1"/>
    <col min="9734" max="9734" width="22" style="1084" customWidth="1"/>
    <col min="9735" max="9735" width="17.85546875" style="1084" customWidth="1"/>
    <col min="9736" max="9736" width="21.28515625" style="1084" customWidth="1"/>
    <col min="9737" max="9737" width="16.5703125" style="1084" customWidth="1"/>
    <col min="9738" max="9738" width="20.28515625" style="1084" customWidth="1"/>
    <col min="9739" max="9739" width="17.28515625" style="1084" customWidth="1"/>
    <col min="9740" max="9740" width="19.42578125" style="1084" customWidth="1"/>
    <col min="9741" max="9741" width="18.5703125" style="1084" customWidth="1"/>
    <col min="9742" max="9742" width="19.7109375" style="1084" customWidth="1"/>
    <col min="9743" max="9743" width="16" style="1084" customWidth="1"/>
    <col min="9744" max="9744" width="20.5703125" style="1084" customWidth="1"/>
    <col min="9745" max="9745" width="16.85546875" style="1084" customWidth="1"/>
    <col min="9746" max="9746" width="23.7109375" style="1084" customWidth="1"/>
    <col min="9747" max="9747" width="27.140625" style="1084" bestFit="1" customWidth="1"/>
    <col min="9748" max="9748" width="25.7109375" style="1084" bestFit="1" customWidth="1"/>
    <col min="9749" max="9749" width="19.42578125" style="1084" bestFit="1" customWidth="1"/>
    <col min="9750" max="9750" width="10.85546875" style="1084"/>
    <col min="9751" max="9751" width="16.42578125" style="1084" bestFit="1" customWidth="1"/>
    <col min="9752" max="9752" width="10.85546875" style="1084"/>
    <col min="9753" max="9753" width="14.42578125" style="1084" bestFit="1" customWidth="1"/>
    <col min="9754" max="9755" width="10.85546875" style="1084"/>
    <col min="9756" max="9756" width="14.28515625" style="1084" bestFit="1" customWidth="1"/>
    <col min="9757" max="9984" width="10.85546875" style="1084"/>
    <col min="9985" max="9985" width="12.28515625" style="1084" customWidth="1"/>
    <col min="9986" max="9986" width="78.7109375" style="1084" customWidth="1"/>
    <col min="9987" max="9987" width="20.28515625" style="1084" customWidth="1"/>
    <col min="9988" max="9988" width="13.42578125" style="1084" customWidth="1"/>
    <col min="9989" max="9989" width="17.140625" style="1084" customWidth="1"/>
    <col min="9990" max="9990" width="22" style="1084" customWidth="1"/>
    <col min="9991" max="9991" width="17.85546875" style="1084" customWidth="1"/>
    <col min="9992" max="9992" width="21.28515625" style="1084" customWidth="1"/>
    <col min="9993" max="9993" width="16.5703125" style="1084" customWidth="1"/>
    <col min="9994" max="9994" width="20.28515625" style="1084" customWidth="1"/>
    <col min="9995" max="9995" width="17.28515625" style="1084" customWidth="1"/>
    <col min="9996" max="9996" width="19.42578125" style="1084" customWidth="1"/>
    <col min="9997" max="9997" width="18.5703125" style="1084" customWidth="1"/>
    <col min="9998" max="9998" width="19.7109375" style="1084" customWidth="1"/>
    <col min="9999" max="9999" width="16" style="1084" customWidth="1"/>
    <col min="10000" max="10000" width="20.5703125" style="1084" customWidth="1"/>
    <col min="10001" max="10001" width="16.85546875" style="1084" customWidth="1"/>
    <col min="10002" max="10002" width="23.7109375" style="1084" customWidth="1"/>
    <col min="10003" max="10003" width="27.140625" style="1084" bestFit="1" customWidth="1"/>
    <col min="10004" max="10004" width="25.7109375" style="1084" bestFit="1" customWidth="1"/>
    <col min="10005" max="10005" width="19.42578125" style="1084" bestFit="1" customWidth="1"/>
    <col min="10006" max="10006" width="10.85546875" style="1084"/>
    <col min="10007" max="10007" width="16.42578125" style="1084" bestFit="1" customWidth="1"/>
    <col min="10008" max="10008" width="10.85546875" style="1084"/>
    <col min="10009" max="10009" width="14.42578125" style="1084" bestFit="1" customWidth="1"/>
    <col min="10010" max="10011" width="10.85546875" style="1084"/>
    <col min="10012" max="10012" width="14.28515625" style="1084" bestFit="1" customWidth="1"/>
    <col min="10013" max="10240" width="10.85546875" style="1084"/>
    <col min="10241" max="10241" width="12.28515625" style="1084" customWidth="1"/>
    <col min="10242" max="10242" width="78.7109375" style="1084" customWidth="1"/>
    <col min="10243" max="10243" width="20.28515625" style="1084" customWidth="1"/>
    <col min="10244" max="10244" width="13.42578125" style="1084" customWidth="1"/>
    <col min="10245" max="10245" width="17.140625" style="1084" customWidth="1"/>
    <col min="10246" max="10246" width="22" style="1084" customWidth="1"/>
    <col min="10247" max="10247" width="17.85546875" style="1084" customWidth="1"/>
    <col min="10248" max="10248" width="21.28515625" style="1084" customWidth="1"/>
    <col min="10249" max="10249" width="16.5703125" style="1084" customWidth="1"/>
    <col min="10250" max="10250" width="20.28515625" style="1084" customWidth="1"/>
    <col min="10251" max="10251" width="17.28515625" style="1084" customWidth="1"/>
    <col min="10252" max="10252" width="19.42578125" style="1084" customWidth="1"/>
    <col min="10253" max="10253" width="18.5703125" style="1084" customWidth="1"/>
    <col min="10254" max="10254" width="19.7109375" style="1084" customWidth="1"/>
    <col min="10255" max="10255" width="16" style="1084" customWidth="1"/>
    <col min="10256" max="10256" width="20.5703125" style="1084" customWidth="1"/>
    <col min="10257" max="10257" width="16.85546875" style="1084" customWidth="1"/>
    <col min="10258" max="10258" width="23.7109375" style="1084" customWidth="1"/>
    <col min="10259" max="10259" width="27.140625" style="1084" bestFit="1" customWidth="1"/>
    <col min="10260" max="10260" width="25.7109375" style="1084" bestFit="1" customWidth="1"/>
    <col min="10261" max="10261" width="19.42578125" style="1084" bestFit="1" customWidth="1"/>
    <col min="10262" max="10262" width="10.85546875" style="1084"/>
    <col min="10263" max="10263" width="16.42578125" style="1084" bestFit="1" customWidth="1"/>
    <col min="10264" max="10264" width="10.85546875" style="1084"/>
    <col min="10265" max="10265" width="14.42578125" style="1084" bestFit="1" customWidth="1"/>
    <col min="10266" max="10267" width="10.85546875" style="1084"/>
    <col min="10268" max="10268" width="14.28515625" style="1084" bestFit="1" customWidth="1"/>
    <col min="10269" max="10496" width="10.85546875" style="1084"/>
    <col min="10497" max="10497" width="12.28515625" style="1084" customWidth="1"/>
    <col min="10498" max="10498" width="78.7109375" style="1084" customWidth="1"/>
    <col min="10499" max="10499" width="20.28515625" style="1084" customWidth="1"/>
    <col min="10500" max="10500" width="13.42578125" style="1084" customWidth="1"/>
    <col min="10501" max="10501" width="17.140625" style="1084" customWidth="1"/>
    <col min="10502" max="10502" width="22" style="1084" customWidth="1"/>
    <col min="10503" max="10503" width="17.85546875" style="1084" customWidth="1"/>
    <col min="10504" max="10504" width="21.28515625" style="1084" customWidth="1"/>
    <col min="10505" max="10505" width="16.5703125" style="1084" customWidth="1"/>
    <col min="10506" max="10506" width="20.28515625" style="1084" customWidth="1"/>
    <col min="10507" max="10507" width="17.28515625" style="1084" customWidth="1"/>
    <col min="10508" max="10508" width="19.42578125" style="1084" customWidth="1"/>
    <col min="10509" max="10509" width="18.5703125" style="1084" customWidth="1"/>
    <col min="10510" max="10510" width="19.7109375" style="1084" customWidth="1"/>
    <col min="10511" max="10511" width="16" style="1084" customWidth="1"/>
    <col min="10512" max="10512" width="20.5703125" style="1084" customWidth="1"/>
    <col min="10513" max="10513" width="16.85546875" style="1084" customWidth="1"/>
    <col min="10514" max="10514" width="23.7109375" style="1084" customWidth="1"/>
    <col min="10515" max="10515" width="27.140625" style="1084" bestFit="1" customWidth="1"/>
    <col min="10516" max="10516" width="25.7109375" style="1084" bestFit="1" customWidth="1"/>
    <col min="10517" max="10517" width="19.42578125" style="1084" bestFit="1" customWidth="1"/>
    <col min="10518" max="10518" width="10.85546875" style="1084"/>
    <col min="10519" max="10519" width="16.42578125" style="1084" bestFit="1" customWidth="1"/>
    <col min="10520" max="10520" width="10.85546875" style="1084"/>
    <col min="10521" max="10521" width="14.42578125" style="1084" bestFit="1" customWidth="1"/>
    <col min="10522" max="10523" width="10.85546875" style="1084"/>
    <col min="10524" max="10524" width="14.28515625" style="1084" bestFit="1" customWidth="1"/>
    <col min="10525" max="10752" width="10.85546875" style="1084"/>
    <col min="10753" max="10753" width="12.28515625" style="1084" customWidth="1"/>
    <col min="10754" max="10754" width="78.7109375" style="1084" customWidth="1"/>
    <col min="10755" max="10755" width="20.28515625" style="1084" customWidth="1"/>
    <col min="10756" max="10756" width="13.42578125" style="1084" customWidth="1"/>
    <col min="10757" max="10757" width="17.140625" style="1084" customWidth="1"/>
    <col min="10758" max="10758" width="22" style="1084" customWidth="1"/>
    <col min="10759" max="10759" width="17.85546875" style="1084" customWidth="1"/>
    <col min="10760" max="10760" width="21.28515625" style="1084" customWidth="1"/>
    <col min="10761" max="10761" width="16.5703125" style="1084" customWidth="1"/>
    <col min="10762" max="10762" width="20.28515625" style="1084" customWidth="1"/>
    <col min="10763" max="10763" width="17.28515625" style="1084" customWidth="1"/>
    <col min="10764" max="10764" width="19.42578125" style="1084" customWidth="1"/>
    <col min="10765" max="10765" width="18.5703125" style="1084" customWidth="1"/>
    <col min="10766" max="10766" width="19.7109375" style="1084" customWidth="1"/>
    <col min="10767" max="10767" width="16" style="1084" customWidth="1"/>
    <col min="10768" max="10768" width="20.5703125" style="1084" customWidth="1"/>
    <col min="10769" max="10769" width="16.85546875" style="1084" customWidth="1"/>
    <col min="10770" max="10770" width="23.7109375" style="1084" customWidth="1"/>
    <col min="10771" max="10771" width="27.140625" style="1084" bestFit="1" customWidth="1"/>
    <col min="10772" max="10772" width="25.7109375" style="1084" bestFit="1" customWidth="1"/>
    <col min="10773" max="10773" width="19.42578125" style="1084" bestFit="1" customWidth="1"/>
    <col min="10774" max="10774" width="10.85546875" style="1084"/>
    <col min="10775" max="10775" width="16.42578125" style="1084" bestFit="1" customWidth="1"/>
    <col min="10776" max="10776" width="10.85546875" style="1084"/>
    <col min="10777" max="10777" width="14.42578125" style="1084" bestFit="1" customWidth="1"/>
    <col min="10778" max="10779" width="10.85546875" style="1084"/>
    <col min="10780" max="10780" width="14.28515625" style="1084" bestFit="1" customWidth="1"/>
    <col min="10781" max="11008" width="10.85546875" style="1084"/>
    <col min="11009" max="11009" width="12.28515625" style="1084" customWidth="1"/>
    <col min="11010" max="11010" width="78.7109375" style="1084" customWidth="1"/>
    <col min="11011" max="11011" width="20.28515625" style="1084" customWidth="1"/>
    <col min="11012" max="11012" width="13.42578125" style="1084" customWidth="1"/>
    <col min="11013" max="11013" width="17.140625" style="1084" customWidth="1"/>
    <col min="11014" max="11014" width="22" style="1084" customWidth="1"/>
    <col min="11015" max="11015" width="17.85546875" style="1084" customWidth="1"/>
    <col min="11016" max="11016" width="21.28515625" style="1084" customWidth="1"/>
    <col min="11017" max="11017" width="16.5703125" style="1084" customWidth="1"/>
    <col min="11018" max="11018" width="20.28515625" style="1084" customWidth="1"/>
    <col min="11019" max="11019" width="17.28515625" style="1084" customWidth="1"/>
    <col min="11020" max="11020" width="19.42578125" style="1084" customWidth="1"/>
    <col min="11021" max="11021" width="18.5703125" style="1084" customWidth="1"/>
    <col min="11022" max="11022" width="19.7109375" style="1084" customWidth="1"/>
    <col min="11023" max="11023" width="16" style="1084" customWidth="1"/>
    <col min="11024" max="11024" width="20.5703125" style="1084" customWidth="1"/>
    <col min="11025" max="11025" width="16.85546875" style="1084" customWidth="1"/>
    <col min="11026" max="11026" width="23.7109375" style="1084" customWidth="1"/>
    <col min="11027" max="11027" width="27.140625" style="1084" bestFit="1" customWidth="1"/>
    <col min="11028" max="11028" width="25.7109375" style="1084" bestFit="1" customWidth="1"/>
    <col min="11029" max="11029" width="19.42578125" style="1084" bestFit="1" customWidth="1"/>
    <col min="11030" max="11030" width="10.85546875" style="1084"/>
    <col min="11031" max="11031" width="16.42578125" style="1084" bestFit="1" customWidth="1"/>
    <col min="11032" max="11032" width="10.85546875" style="1084"/>
    <col min="11033" max="11033" width="14.42578125" style="1084" bestFit="1" customWidth="1"/>
    <col min="11034" max="11035" width="10.85546875" style="1084"/>
    <col min="11036" max="11036" width="14.28515625" style="1084" bestFit="1" customWidth="1"/>
    <col min="11037" max="11264" width="10.85546875" style="1084"/>
    <col min="11265" max="11265" width="12.28515625" style="1084" customWidth="1"/>
    <col min="11266" max="11266" width="78.7109375" style="1084" customWidth="1"/>
    <col min="11267" max="11267" width="20.28515625" style="1084" customWidth="1"/>
    <col min="11268" max="11268" width="13.42578125" style="1084" customWidth="1"/>
    <col min="11269" max="11269" width="17.140625" style="1084" customWidth="1"/>
    <col min="11270" max="11270" width="22" style="1084" customWidth="1"/>
    <col min="11271" max="11271" width="17.85546875" style="1084" customWidth="1"/>
    <col min="11272" max="11272" width="21.28515625" style="1084" customWidth="1"/>
    <col min="11273" max="11273" width="16.5703125" style="1084" customWidth="1"/>
    <col min="11274" max="11274" width="20.28515625" style="1084" customWidth="1"/>
    <col min="11275" max="11275" width="17.28515625" style="1084" customWidth="1"/>
    <col min="11276" max="11276" width="19.42578125" style="1084" customWidth="1"/>
    <col min="11277" max="11277" width="18.5703125" style="1084" customWidth="1"/>
    <col min="11278" max="11278" width="19.7109375" style="1084" customWidth="1"/>
    <col min="11279" max="11279" width="16" style="1084" customWidth="1"/>
    <col min="11280" max="11280" width="20.5703125" style="1084" customWidth="1"/>
    <col min="11281" max="11281" width="16.85546875" style="1084" customWidth="1"/>
    <col min="11282" max="11282" width="23.7109375" style="1084" customWidth="1"/>
    <col min="11283" max="11283" width="27.140625" style="1084" bestFit="1" customWidth="1"/>
    <col min="11284" max="11284" width="25.7109375" style="1084" bestFit="1" customWidth="1"/>
    <col min="11285" max="11285" width="19.42578125" style="1084" bestFit="1" customWidth="1"/>
    <col min="11286" max="11286" width="10.85546875" style="1084"/>
    <col min="11287" max="11287" width="16.42578125" style="1084" bestFit="1" customWidth="1"/>
    <col min="11288" max="11288" width="10.85546875" style="1084"/>
    <col min="11289" max="11289" width="14.42578125" style="1084" bestFit="1" customWidth="1"/>
    <col min="11290" max="11291" width="10.85546875" style="1084"/>
    <col min="11292" max="11292" width="14.28515625" style="1084" bestFit="1" customWidth="1"/>
    <col min="11293" max="11520" width="10.85546875" style="1084"/>
    <col min="11521" max="11521" width="12.28515625" style="1084" customWidth="1"/>
    <col min="11522" max="11522" width="78.7109375" style="1084" customWidth="1"/>
    <col min="11523" max="11523" width="20.28515625" style="1084" customWidth="1"/>
    <col min="11524" max="11524" width="13.42578125" style="1084" customWidth="1"/>
    <col min="11525" max="11525" width="17.140625" style="1084" customWidth="1"/>
    <col min="11526" max="11526" width="22" style="1084" customWidth="1"/>
    <col min="11527" max="11527" width="17.85546875" style="1084" customWidth="1"/>
    <col min="11528" max="11528" width="21.28515625" style="1084" customWidth="1"/>
    <col min="11529" max="11529" width="16.5703125" style="1084" customWidth="1"/>
    <col min="11530" max="11530" width="20.28515625" style="1084" customWidth="1"/>
    <col min="11531" max="11531" width="17.28515625" style="1084" customWidth="1"/>
    <col min="11532" max="11532" width="19.42578125" style="1084" customWidth="1"/>
    <col min="11533" max="11533" width="18.5703125" style="1084" customWidth="1"/>
    <col min="11534" max="11534" width="19.7109375" style="1084" customWidth="1"/>
    <col min="11535" max="11535" width="16" style="1084" customWidth="1"/>
    <col min="11536" max="11536" width="20.5703125" style="1084" customWidth="1"/>
    <col min="11537" max="11537" width="16.85546875" style="1084" customWidth="1"/>
    <col min="11538" max="11538" width="23.7109375" style="1084" customWidth="1"/>
    <col min="11539" max="11539" width="27.140625" style="1084" bestFit="1" customWidth="1"/>
    <col min="11540" max="11540" width="25.7109375" style="1084" bestFit="1" customWidth="1"/>
    <col min="11541" max="11541" width="19.42578125" style="1084" bestFit="1" customWidth="1"/>
    <col min="11542" max="11542" width="10.85546875" style="1084"/>
    <col min="11543" max="11543" width="16.42578125" style="1084" bestFit="1" customWidth="1"/>
    <col min="11544" max="11544" width="10.85546875" style="1084"/>
    <col min="11545" max="11545" width="14.42578125" style="1084" bestFit="1" customWidth="1"/>
    <col min="11546" max="11547" width="10.85546875" style="1084"/>
    <col min="11548" max="11548" width="14.28515625" style="1084" bestFit="1" customWidth="1"/>
    <col min="11549" max="11776" width="10.85546875" style="1084"/>
    <col min="11777" max="11777" width="12.28515625" style="1084" customWidth="1"/>
    <col min="11778" max="11778" width="78.7109375" style="1084" customWidth="1"/>
    <col min="11779" max="11779" width="20.28515625" style="1084" customWidth="1"/>
    <col min="11780" max="11780" width="13.42578125" style="1084" customWidth="1"/>
    <col min="11781" max="11781" width="17.140625" style="1084" customWidth="1"/>
    <col min="11782" max="11782" width="22" style="1084" customWidth="1"/>
    <col min="11783" max="11783" width="17.85546875" style="1084" customWidth="1"/>
    <col min="11784" max="11784" width="21.28515625" style="1084" customWidth="1"/>
    <col min="11785" max="11785" width="16.5703125" style="1084" customWidth="1"/>
    <col min="11786" max="11786" width="20.28515625" style="1084" customWidth="1"/>
    <col min="11787" max="11787" width="17.28515625" style="1084" customWidth="1"/>
    <col min="11788" max="11788" width="19.42578125" style="1084" customWidth="1"/>
    <col min="11789" max="11789" width="18.5703125" style="1084" customWidth="1"/>
    <col min="11790" max="11790" width="19.7109375" style="1084" customWidth="1"/>
    <col min="11791" max="11791" width="16" style="1084" customWidth="1"/>
    <col min="11792" max="11792" width="20.5703125" style="1084" customWidth="1"/>
    <col min="11793" max="11793" width="16.85546875" style="1084" customWidth="1"/>
    <col min="11794" max="11794" width="23.7109375" style="1084" customWidth="1"/>
    <col min="11795" max="11795" width="27.140625" style="1084" bestFit="1" customWidth="1"/>
    <col min="11796" max="11796" width="25.7109375" style="1084" bestFit="1" customWidth="1"/>
    <col min="11797" max="11797" width="19.42578125" style="1084" bestFit="1" customWidth="1"/>
    <col min="11798" max="11798" width="10.85546875" style="1084"/>
    <col min="11799" max="11799" width="16.42578125" style="1084" bestFit="1" customWidth="1"/>
    <col min="11800" max="11800" width="10.85546875" style="1084"/>
    <col min="11801" max="11801" width="14.42578125" style="1084" bestFit="1" customWidth="1"/>
    <col min="11802" max="11803" width="10.85546875" style="1084"/>
    <col min="11804" max="11804" width="14.28515625" style="1084" bestFit="1" customWidth="1"/>
    <col min="11805" max="12032" width="10.85546875" style="1084"/>
    <col min="12033" max="12033" width="12.28515625" style="1084" customWidth="1"/>
    <col min="12034" max="12034" width="78.7109375" style="1084" customWidth="1"/>
    <col min="12035" max="12035" width="20.28515625" style="1084" customWidth="1"/>
    <col min="12036" max="12036" width="13.42578125" style="1084" customWidth="1"/>
    <col min="12037" max="12037" width="17.140625" style="1084" customWidth="1"/>
    <col min="12038" max="12038" width="22" style="1084" customWidth="1"/>
    <col min="12039" max="12039" width="17.85546875" style="1084" customWidth="1"/>
    <col min="12040" max="12040" width="21.28515625" style="1084" customWidth="1"/>
    <col min="12041" max="12041" width="16.5703125" style="1084" customWidth="1"/>
    <col min="12042" max="12042" width="20.28515625" style="1084" customWidth="1"/>
    <col min="12043" max="12043" width="17.28515625" style="1084" customWidth="1"/>
    <col min="12044" max="12044" width="19.42578125" style="1084" customWidth="1"/>
    <col min="12045" max="12045" width="18.5703125" style="1084" customWidth="1"/>
    <col min="12046" max="12046" width="19.7109375" style="1084" customWidth="1"/>
    <col min="12047" max="12047" width="16" style="1084" customWidth="1"/>
    <col min="12048" max="12048" width="20.5703125" style="1084" customWidth="1"/>
    <col min="12049" max="12049" width="16.85546875" style="1084" customWidth="1"/>
    <col min="12050" max="12050" width="23.7109375" style="1084" customWidth="1"/>
    <col min="12051" max="12051" width="27.140625" style="1084" bestFit="1" customWidth="1"/>
    <col min="12052" max="12052" width="25.7109375" style="1084" bestFit="1" customWidth="1"/>
    <col min="12053" max="12053" width="19.42578125" style="1084" bestFit="1" customWidth="1"/>
    <col min="12054" max="12054" width="10.85546875" style="1084"/>
    <col min="12055" max="12055" width="16.42578125" style="1084" bestFit="1" customWidth="1"/>
    <col min="12056" max="12056" width="10.85546875" style="1084"/>
    <col min="12057" max="12057" width="14.42578125" style="1084" bestFit="1" customWidth="1"/>
    <col min="12058" max="12059" width="10.85546875" style="1084"/>
    <col min="12060" max="12060" width="14.28515625" style="1084" bestFit="1" customWidth="1"/>
    <col min="12061" max="12288" width="10.85546875" style="1084"/>
    <col min="12289" max="12289" width="12.28515625" style="1084" customWidth="1"/>
    <col min="12290" max="12290" width="78.7109375" style="1084" customWidth="1"/>
    <col min="12291" max="12291" width="20.28515625" style="1084" customWidth="1"/>
    <col min="12292" max="12292" width="13.42578125" style="1084" customWidth="1"/>
    <col min="12293" max="12293" width="17.140625" style="1084" customWidth="1"/>
    <col min="12294" max="12294" width="22" style="1084" customWidth="1"/>
    <col min="12295" max="12295" width="17.85546875" style="1084" customWidth="1"/>
    <col min="12296" max="12296" width="21.28515625" style="1084" customWidth="1"/>
    <col min="12297" max="12297" width="16.5703125" style="1084" customWidth="1"/>
    <col min="12298" max="12298" width="20.28515625" style="1084" customWidth="1"/>
    <col min="12299" max="12299" width="17.28515625" style="1084" customWidth="1"/>
    <col min="12300" max="12300" width="19.42578125" style="1084" customWidth="1"/>
    <col min="12301" max="12301" width="18.5703125" style="1084" customWidth="1"/>
    <col min="12302" max="12302" width="19.7109375" style="1084" customWidth="1"/>
    <col min="12303" max="12303" width="16" style="1084" customWidth="1"/>
    <col min="12304" max="12304" width="20.5703125" style="1084" customWidth="1"/>
    <col min="12305" max="12305" width="16.85546875" style="1084" customWidth="1"/>
    <col min="12306" max="12306" width="23.7109375" style="1084" customWidth="1"/>
    <col min="12307" max="12307" width="27.140625" style="1084" bestFit="1" customWidth="1"/>
    <col min="12308" max="12308" width="25.7109375" style="1084" bestFit="1" customWidth="1"/>
    <col min="12309" max="12309" width="19.42578125" style="1084" bestFit="1" customWidth="1"/>
    <col min="12310" max="12310" width="10.85546875" style="1084"/>
    <col min="12311" max="12311" width="16.42578125" style="1084" bestFit="1" customWidth="1"/>
    <col min="12312" max="12312" width="10.85546875" style="1084"/>
    <col min="12313" max="12313" width="14.42578125" style="1084" bestFit="1" customWidth="1"/>
    <col min="12314" max="12315" width="10.85546875" style="1084"/>
    <col min="12316" max="12316" width="14.28515625" style="1084" bestFit="1" customWidth="1"/>
    <col min="12317" max="12544" width="10.85546875" style="1084"/>
    <col min="12545" max="12545" width="12.28515625" style="1084" customWidth="1"/>
    <col min="12546" max="12546" width="78.7109375" style="1084" customWidth="1"/>
    <col min="12547" max="12547" width="20.28515625" style="1084" customWidth="1"/>
    <col min="12548" max="12548" width="13.42578125" style="1084" customWidth="1"/>
    <col min="12549" max="12549" width="17.140625" style="1084" customWidth="1"/>
    <col min="12550" max="12550" width="22" style="1084" customWidth="1"/>
    <col min="12551" max="12551" width="17.85546875" style="1084" customWidth="1"/>
    <col min="12552" max="12552" width="21.28515625" style="1084" customWidth="1"/>
    <col min="12553" max="12553" width="16.5703125" style="1084" customWidth="1"/>
    <col min="12554" max="12554" width="20.28515625" style="1084" customWidth="1"/>
    <col min="12555" max="12555" width="17.28515625" style="1084" customWidth="1"/>
    <col min="12556" max="12556" width="19.42578125" style="1084" customWidth="1"/>
    <col min="12557" max="12557" width="18.5703125" style="1084" customWidth="1"/>
    <col min="12558" max="12558" width="19.7109375" style="1084" customWidth="1"/>
    <col min="12559" max="12559" width="16" style="1084" customWidth="1"/>
    <col min="12560" max="12560" width="20.5703125" style="1084" customWidth="1"/>
    <col min="12561" max="12561" width="16.85546875" style="1084" customWidth="1"/>
    <col min="12562" max="12562" width="23.7109375" style="1084" customWidth="1"/>
    <col min="12563" max="12563" width="27.140625" style="1084" bestFit="1" customWidth="1"/>
    <col min="12564" max="12564" width="25.7109375" style="1084" bestFit="1" customWidth="1"/>
    <col min="12565" max="12565" width="19.42578125" style="1084" bestFit="1" customWidth="1"/>
    <col min="12566" max="12566" width="10.85546875" style="1084"/>
    <col min="12567" max="12567" width="16.42578125" style="1084" bestFit="1" customWidth="1"/>
    <col min="12568" max="12568" width="10.85546875" style="1084"/>
    <col min="12569" max="12569" width="14.42578125" style="1084" bestFit="1" customWidth="1"/>
    <col min="12570" max="12571" width="10.85546875" style="1084"/>
    <col min="12572" max="12572" width="14.28515625" style="1084" bestFit="1" customWidth="1"/>
    <col min="12573" max="12800" width="10.85546875" style="1084"/>
    <col min="12801" max="12801" width="12.28515625" style="1084" customWidth="1"/>
    <col min="12802" max="12802" width="78.7109375" style="1084" customWidth="1"/>
    <col min="12803" max="12803" width="20.28515625" style="1084" customWidth="1"/>
    <col min="12804" max="12804" width="13.42578125" style="1084" customWidth="1"/>
    <col min="12805" max="12805" width="17.140625" style="1084" customWidth="1"/>
    <col min="12806" max="12806" width="22" style="1084" customWidth="1"/>
    <col min="12807" max="12807" width="17.85546875" style="1084" customWidth="1"/>
    <col min="12808" max="12808" width="21.28515625" style="1084" customWidth="1"/>
    <col min="12809" max="12809" width="16.5703125" style="1084" customWidth="1"/>
    <col min="12810" max="12810" width="20.28515625" style="1084" customWidth="1"/>
    <col min="12811" max="12811" width="17.28515625" style="1084" customWidth="1"/>
    <col min="12812" max="12812" width="19.42578125" style="1084" customWidth="1"/>
    <col min="12813" max="12813" width="18.5703125" style="1084" customWidth="1"/>
    <col min="12814" max="12814" width="19.7109375" style="1084" customWidth="1"/>
    <col min="12815" max="12815" width="16" style="1084" customWidth="1"/>
    <col min="12816" max="12816" width="20.5703125" style="1084" customWidth="1"/>
    <col min="12817" max="12817" width="16.85546875" style="1084" customWidth="1"/>
    <col min="12818" max="12818" width="23.7109375" style="1084" customWidth="1"/>
    <col min="12819" max="12819" width="27.140625" style="1084" bestFit="1" customWidth="1"/>
    <col min="12820" max="12820" width="25.7109375" style="1084" bestFit="1" customWidth="1"/>
    <col min="12821" max="12821" width="19.42578125" style="1084" bestFit="1" customWidth="1"/>
    <col min="12822" max="12822" width="10.85546875" style="1084"/>
    <col min="12823" max="12823" width="16.42578125" style="1084" bestFit="1" customWidth="1"/>
    <col min="12824" max="12824" width="10.85546875" style="1084"/>
    <col min="12825" max="12825" width="14.42578125" style="1084" bestFit="1" customWidth="1"/>
    <col min="12826" max="12827" width="10.85546875" style="1084"/>
    <col min="12828" max="12828" width="14.28515625" style="1084" bestFit="1" customWidth="1"/>
    <col min="12829" max="13056" width="10.85546875" style="1084"/>
    <col min="13057" max="13057" width="12.28515625" style="1084" customWidth="1"/>
    <col min="13058" max="13058" width="78.7109375" style="1084" customWidth="1"/>
    <col min="13059" max="13059" width="20.28515625" style="1084" customWidth="1"/>
    <col min="13060" max="13060" width="13.42578125" style="1084" customWidth="1"/>
    <col min="13061" max="13061" width="17.140625" style="1084" customWidth="1"/>
    <col min="13062" max="13062" width="22" style="1084" customWidth="1"/>
    <col min="13063" max="13063" width="17.85546875" style="1084" customWidth="1"/>
    <col min="13064" max="13064" width="21.28515625" style="1084" customWidth="1"/>
    <col min="13065" max="13065" width="16.5703125" style="1084" customWidth="1"/>
    <col min="13066" max="13066" width="20.28515625" style="1084" customWidth="1"/>
    <col min="13067" max="13067" width="17.28515625" style="1084" customWidth="1"/>
    <col min="13068" max="13068" width="19.42578125" style="1084" customWidth="1"/>
    <col min="13069" max="13069" width="18.5703125" style="1084" customWidth="1"/>
    <col min="13070" max="13070" width="19.7109375" style="1084" customWidth="1"/>
    <col min="13071" max="13071" width="16" style="1084" customWidth="1"/>
    <col min="13072" max="13072" width="20.5703125" style="1084" customWidth="1"/>
    <col min="13073" max="13073" width="16.85546875" style="1084" customWidth="1"/>
    <col min="13074" max="13074" width="23.7109375" style="1084" customWidth="1"/>
    <col min="13075" max="13075" width="27.140625" style="1084" bestFit="1" customWidth="1"/>
    <col min="13076" max="13076" width="25.7109375" style="1084" bestFit="1" customWidth="1"/>
    <col min="13077" max="13077" width="19.42578125" style="1084" bestFit="1" customWidth="1"/>
    <col min="13078" max="13078" width="10.85546875" style="1084"/>
    <col min="13079" max="13079" width="16.42578125" style="1084" bestFit="1" customWidth="1"/>
    <col min="13080" max="13080" width="10.85546875" style="1084"/>
    <col min="13081" max="13081" width="14.42578125" style="1084" bestFit="1" customWidth="1"/>
    <col min="13082" max="13083" width="10.85546875" style="1084"/>
    <col min="13084" max="13084" width="14.28515625" style="1084" bestFit="1" customWidth="1"/>
    <col min="13085" max="13312" width="10.85546875" style="1084"/>
    <col min="13313" max="13313" width="12.28515625" style="1084" customWidth="1"/>
    <col min="13314" max="13314" width="78.7109375" style="1084" customWidth="1"/>
    <col min="13315" max="13315" width="20.28515625" style="1084" customWidth="1"/>
    <col min="13316" max="13316" width="13.42578125" style="1084" customWidth="1"/>
    <col min="13317" max="13317" width="17.140625" style="1084" customWidth="1"/>
    <col min="13318" max="13318" width="22" style="1084" customWidth="1"/>
    <col min="13319" max="13319" width="17.85546875" style="1084" customWidth="1"/>
    <col min="13320" max="13320" width="21.28515625" style="1084" customWidth="1"/>
    <col min="13321" max="13321" width="16.5703125" style="1084" customWidth="1"/>
    <col min="13322" max="13322" width="20.28515625" style="1084" customWidth="1"/>
    <col min="13323" max="13323" width="17.28515625" style="1084" customWidth="1"/>
    <col min="13324" max="13324" width="19.42578125" style="1084" customWidth="1"/>
    <col min="13325" max="13325" width="18.5703125" style="1084" customWidth="1"/>
    <col min="13326" max="13326" width="19.7109375" style="1084" customWidth="1"/>
    <col min="13327" max="13327" width="16" style="1084" customWidth="1"/>
    <col min="13328" max="13328" width="20.5703125" style="1084" customWidth="1"/>
    <col min="13329" max="13329" width="16.85546875" style="1084" customWidth="1"/>
    <col min="13330" max="13330" width="23.7109375" style="1084" customWidth="1"/>
    <col min="13331" max="13331" width="27.140625" style="1084" bestFit="1" customWidth="1"/>
    <col min="13332" max="13332" width="25.7109375" style="1084" bestFit="1" customWidth="1"/>
    <col min="13333" max="13333" width="19.42578125" style="1084" bestFit="1" customWidth="1"/>
    <col min="13334" max="13334" width="10.85546875" style="1084"/>
    <col min="13335" max="13335" width="16.42578125" style="1084" bestFit="1" customWidth="1"/>
    <col min="13336" max="13336" width="10.85546875" style="1084"/>
    <col min="13337" max="13337" width="14.42578125" style="1084" bestFit="1" customWidth="1"/>
    <col min="13338" max="13339" width="10.85546875" style="1084"/>
    <col min="13340" max="13340" width="14.28515625" style="1084" bestFit="1" customWidth="1"/>
    <col min="13341" max="13568" width="10.85546875" style="1084"/>
    <col min="13569" max="13569" width="12.28515625" style="1084" customWidth="1"/>
    <col min="13570" max="13570" width="78.7109375" style="1084" customWidth="1"/>
    <col min="13571" max="13571" width="20.28515625" style="1084" customWidth="1"/>
    <col min="13572" max="13572" width="13.42578125" style="1084" customWidth="1"/>
    <col min="13573" max="13573" width="17.140625" style="1084" customWidth="1"/>
    <col min="13574" max="13574" width="22" style="1084" customWidth="1"/>
    <col min="13575" max="13575" width="17.85546875" style="1084" customWidth="1"/>
    <col min="13576" max="13576" width="21.28515625" style="1084" customWidth="1"/>
    <col min="13577" max="13577" width="16.5703125" style="1084" customWidth="1"/>
    <col min="13578" max="13578" width="20.28515625" style="1084" customWidth="1"/>
    <col min="13579" max="13579" width="17.28515625" style="1084" customWidth="1"/>
    <col min="13580" max="13580" width="19.42578125" style="1084" customWidth="1"/>
    <col min="13581" max="13581" width="18.5703125" style="1084" customWidth="1"/>
    <col min="13582" max="13582" width="19.7109375" style="1084" customWidth="1"/>
    <col min="13583" max="13583" width="16" style="1084" customWidth="1"/>
    <col min="13584" max="13584" width="20.5703125" style="1084" customWidth="1"/>
    <col min="13585" max="13585" width="16.85546875" style="1084" customWidth="1"/>
    <col min="13586" max="13586" width="23.7109375" style="1084" customWidth="1"/>
    <col min="13587" max="13587" width="27.140625" style="1084" bestFit="1" customWidth="1"/>
    <col min="13588" max="13588" width="25.7109375" style="1084" bestFit="1" customWidth="1"/>
    <col min="13589" max="13589" width="19.42578125" style="1084" bestFit="1" customWidth="1"/>
    <col min="13590" max="13590" width="10.85546875" style="1084"/>
    <col min="13591" max="13591" width="16.42578125" style="1084" bestFit="1" customWidth="1"/>
    <col min="13592" max="13592" width="10.85546875" style="1084"/>
    <col min="13593" max="13593" width="14.42578125" style="1084" bestFit="1" customWidth="1"/>
    <col min="13594" max="13595" width="10.85546875" style="1084"/>
    <col min="13596" max="13596" width="14.28515625" style="1084" bestFit="1" customWidth="1"/>
    <col min="13597" max="13824" width="10.85546875" style="1084"/>
    <col min="13825" max="13825" width="12.28515625" style="1084" customWidth="1"/>
    <col min="13826" max="13826" width="78.7109375" style="1084" customWidth="1"/>
    <col min="13827" max="13827" width="20.28515625" style="1084" customWidth="1"/>
    <col min="13828" max="13828" width="13.42578125" style="1084" customWidth="1"/>
    <col min="13829" max="13829" width="17.140625" style="1084" customWidth="1"/>
    <col min="13830" max="13830" width="22" style="1084" customWidth="1"/>
    <col min="13831" max="13831" width="17.85546875" style="1084" customWidth="1"/>
    <col min="13832" max="13832" width="21.28515625" style="1084" customWidth="1"/>
    <col min="13833" max="13833" width="16.5703125" style="1084" customWidth="1"/>
    <col min="13834" max="13834" width="20.28515625" style="1084" customWidth="1"/>
    <col min="13835" max="13835" width="17.28515625" style="1084" customWidth="1"/>
    <col min="13836" max="13836" width="19.42578125" style="1084" customWidth="1"/>
    <col min="13837" max="13837" width="18.5703125" style="1084" customWidth="1"/>
    <col min="13838" max="13838" width="19.7109375" style="1084" customWidth="1"/>
    <col min="13839" max="13839" width="16" style="1084" customWidth="1"/>
    <col min="13840" max="13840" width="20.5703125" style="1084" customWidth="1"/>
    <col min="13841" max="13841" width="16.85546875" style="1084" customWidth="1"/>
    <col min="13842" max="13842" width="23.7109375" style="1084" customWidth="1"/>
    <col min="13843" max="13843" width="27.140625" style="1084" bestFit="1" customWidth="1"/>
    <col min="13844" max="13844" width="25.7109375" style="1084" bestFit="1" customWidth="1"/>
    <col min="13845" max="13845" width="19.42578125" style="1084" bestFit="1" customWidth="1"/>
    <col min="13846" max="13846" width="10.85546875" style="1084"/>
    <col min="13847" max="13847" width="16.42578125" style="1084" bestFit="1" customWidth="1"/>
    <col min="13848" max="13848" width="10.85546875" style="1084"/>
    <col min="13849" max="13849" width="14.42578125" style="1084" bestFit="1" customWidth="1"/>
    <col min="13850" max="13851" width="10.85546875" style="1084"/>
    <col min="13852" max="13852" width="14.28515625" style="1084" bestFit="1" customWidth="1"/>
    <col min="13853" max="14080" width="10.85546875" style="1084"/>
    <col min="14081" max="14081" width="12.28515625" style="1084" customWidth="1"/>
    <col min="14082" max="14082" width="78.7109375" style="1084" customWidth="1"/>
    <col min="14083" max="14083" width="20.28515625" style="1084" customWidth="1"/>
    <col min="14084" max="14084" width="13.42578125" style="1084" customWidth="1"/>
    <col min="14085" max="14085" width="17.140625" style="1084" customWidth="1"/>
    <col min="14086" max="14086" width="22" style="1084" customWidth="1"/>
    <col min="14087" max="14087" width="17.85546875" style="1084" customWidth="1"/>
    <col min="14088" max="14088" width="21.28515625" style="1084" customWidth="1"/>
    <col min="14089" max="14089" width="16.5703125" style="1084" customWidth="1"/>
    <col min="14090" max="14090" width="20.28515625" style="1084" customWidth="1"/>
    <col min="14091" max="14091" width="17.28515625" style="1084" customWidth="1"/>
    <col min="14092" max="14092" width="19.42578125" style="1084" customWidth="1"/>
    <col min="14093" max="14093" width="18.5703125" style="1084" customWidth="1"/>
    <col min="14094" max="14094" width="19.7109375" style="1084" customWidth="1"/>
    <col min="14095" max="14095" width="16" style="1084" customWidth="1"/>
    <col min="14096" max="14096" width="20.5703125" style="1084" customWidth="1"/>
    <col min="14097" max="14097" width="16.85546875" style="1084" customWidth="1"/>
    <col min="14098" max="14098" width="23.7109375" style="1084" customWidth="1"/>
    <col min="14099" max="14099" width="27.140625" style="1084" bestFit="1" customWidth="1"/>
    <col min="14100" max="14100" width="25.7109375" style="1084" bestFit="1" customWidth="1"/>
    <col min="14101" max="14101" width="19.42578125" style="1084" bestFit="1" customWidth="1"/>
    <col min="14102" max="14102" width="10.85546875" style="1084"/>
    <col min="14103" max="14103" width="16.42578125" style="1084" bestFit="1" customWidth="1"/>
    <col min="14104" max="14104" width="10.85546875" style="1084"/>
    <col min="14105" max="14105" width="14.42578125" style="1084" bestFit="1" customWidth="1"/>
    <col min="14106" max="14107" width="10.85546875" style="1084"/>
    <col min="14108" max="14108" width="14.28515625" style="1084" bestFit="1" customWidth="1"/>
    <col min="14109" max="14336" width="10.85546875" style="1084"/>
    <col min="14337" max="14337" width="12.28515625" style="1084" customWidth="1"/>
    <col min="14338" max="14338" width="78.7109375" style="1084" customWidth="1"/>
    <col min="14339" max="14339" width="20.28515625" style="1084" customWidth="1"/>
    <col min="14340" max="14340" width="13.42578125" style="1084" customWidth="1"/>
    <col min="14341" max="14341" width="17.140625" style="1084" customWidth="1"/>
    <col min="14342" max="14342" width="22" style="1084" customWidth="1"/>
    <col min="14343" max="14343" width="17.85546875" style="1084" customWidth="1"/>
    <col min="14344" max="14344" width="21.28515625" style="1084" customWidth="1"/>
    <col min="14345" max="14345" width="16.5703125" style="1084" customWidth="1"/>
    <col min="14346" max="14346" width="20.28515625" style="1084" customWidth="1"/>
    <col min="14347" max="14347" width="17.28515625" style="1084" customWidth="1"/>
    <col min="14348" max="14348" width="19.42578125" style="1084" customWidth="1"/>
    <col min="14349" max="14349" width="18.5703125" style="1084" customWidth="1"/>
    <col min="14350" max="14350" width="19.7109375" style="1084" customWidth="1"/>
    <col min="14351" max="14351" width="16" style="1084" customWidth="1"/>
    <col min="14352" max="14352" width="20.5703125" style="1084" customWidth="1"/>
    <col min="14353" max="14353" width="16.85546875" style="1084" customWidth="1"/>
    <col min="14354" max="14354" width="23.7109375" style="1084" customWidth="1"/>
    <col min="14355" max="14355" width="27.140625" style="1084" bestFit="1" customWidth="1"/>
    <col min="14356" max="14356" width="25.7109375" style="1084" bestFit="1" customWidth="1"/>
    <col min="14357" max="14357" width="19.42578125" style="1084" bestFit="1" customWidth="1"/>
    <col min="14358" max="14358" width="10.85546875" style="1084"/>
    <col min="14359" max="14359" width="16.42578125" style="1084" bestFit="1" customWidth="1"/>
    <col min="14360" max="14360" width="10.85546875" style="1084"/>
    <col min="14361" max="14361" width="14.42578125" style="1084" bestFit="1" customWidth="1"/>
    <col min="14362" max="14363" width="10.85546875" style="1084"/>
    <col min="14364" max="14364" width="14.28515625" style="1084" bestFit="1" customWidth="1"/>
    <col min="14365" max="14592" width="10.85546875" style="1084"/>
    <col min="14593" max="14593" width="12.28515625" style="1084" customWidth="1"/>
    <col min="14594" max="14594" width="78.7109375" style="1084" customWidth="1"/>
    <col min="14595" max="14595" width="20.28515625" style="1084" customWidth="1"/>
    <col min="14596" max="14596" width="13.42578125" style="1084" customWidth="1"/>
    <col min="14597" max="14597" width="17.140625" style="1084" customWidth="1"/>
    <col min="14598" max="14598" width="22" style="1084" customWidth="1"/>
    <col min="14599" max="14599" width="17.85546875" style="1084" customWidth="1"/>
    <col min="14600" max="14600" width="21.28515625" style="1084" customWidth="1"/>
    <col min="14601" max="14601" width="16.5703125" style="1084" customWidth="1"/>
    <col min="14602" max="14602" width="20.28515625" style="1084" customWidth="1"/>
    <col min="14603" max="14603" width="17.28515625" style="1084" customWidth="1"/>
    <col min="14604" max="14604" width="19.42578125" style="1084" customWidth="1"/>
    <col min="14605" max="14605" width="18.5703125" style="1084" customWidth="1"/>
    <col min="14606" max="14606" width="19.7109375" style="1084" customWidth="1"/>
    <col min="14607" max="14607" width="16" style="1084" customWidth="1"/>
    <col min="14608" max="14608" width="20.5703125" style="1084" customWidth="1"/>
    <col min="14609" max="14609" width="16.85546875" style="1084" customWidth="1"/>
    <col min="14610" max="14610" width="23.7109375" style="1084" customWidth="1"/>
    <col min="14611" max="14611" width="27.140625" style="1084" bestFit="1" customWidth="1"/>
    <col min="14612" max="14612" width="25.7109375" style="1084" bestFit="1" customWidth="1"/>
    <col min="14613" max="14613" width="19.42578125" style="1084" bestFit="1" customWidth="1"/>
    <col min="14614" max="14614" width="10.85546875" style="1084"/>
    <col min="14615" max="14615" width="16.42578125" style="1084" bestFit="1" customWidth="1"/>
    <col min="14616" max="14616" width="10.85546875" style="1084"/>
    <col min="14617" max="14617" width="14.42578125" style="1084" bestFit="1" customWidth="1"/>
    <col min="14618" max="14619" width="10.85546875" style="1084"/>
    <col min="14620" max="14620" width="14.28515625" style="1084" bestFit="1" customWidth="1"/>
    <col min="14621" max="14848" width="10.85546875" style="1084"/>
    <col min="14849" max="14849" width="12.28515625" style="1084" customWidth="1"/>
    <col min="14850" max="14850" width="78.7109375" style="1084" customWidth="1"/>
    <col min="14851" max="14851" width="20.28515625" style="1084" customWidth="1"/>
    <col min="14852" max="14852" width="13.42578125" style="1084" customWidth="1"/>
    <col min="14853" max="14853" width="17.140625" style="1084" customWidth="1"/>
    <col min="14854" max="14854" width="22" style="1084" customWidth="1"/>
    <col min="14855" max="14855" width="17.85546875" style="1084" customWidth="1"/>
    <col min="14856" max="14856" width="21.28515625" style="1084" customWidth="1"/>
    <col min="14857" max="14857" width="16.5703125" style="1084" customWidth="1"/>
    <col min="14858" max="14858" width="20.28515625" style="1084" customWidth="1"/>
    <col min="14859" max="14859" width="17.28515625" style="1084" customWidth="1"/>
    <col min="14860" max="14860" width="19.42578125" style="1084" customWidth="1"/>
    <col min="14861" max="14861" width="18.5703125" style="1084" customWidth="1"/>
    <col min="14862" max="14862" width="19.7109375" style="1084" customWidth="1"/>
    <col min="14863" max="14863" width="16" style="1084" customWidth="1"/>
    <col min="14864" max="14864" width="20.5703125" style="1084" customWidth="1"/>
    <col min="14865" max="14865" width="16.85546875" style="1084" customWidth="1"/>
    <col min="14866" max="14866" width="23.7109375" style="1084" customWidth="1"/>
    <col min="14867" max="14867" width="27.140625" style="1084" bestFit="1" customWidth="1"/>
    <col min="14868" max="14868" width="25.7109375" style="1084" bestFit="1" customWidth="1"/>
    <col min="14869" max="14869" width="19.42578125" style="1084" bestFit="1" customWidth="1"/>
    <col min="14870" max="14870" width="10.85546875" style="1084"/>
    <col min="14871" max="14871" width="16.42578125" style="1084" bestFit="1" customWidth="1"/>
    <col min="14872" max="14872" width="10.85546875" style="1084"/>
    <col min="14873" max="14873" width="14.42578125" style="1084" bestFit="1" customWidth="1"/>
    <col min="14874" max="14875" width="10.85546875" style="1084"/>
    <col min="14876" max="14876" width="14.28515625" style="1084" bestFit="1" customWidth="1"/>
    <col min="14877" max="15104" width="10.85546875" style="1084"/>
    <col min="15105" max="15105" width="12.28515625" style="1084" customWidth="1"/>
    <col min="15106" max="15106" width="78.7109375" style="1084" customWidth="1"/>
    <col min="15107" max="15107" width="20.28515625" style="1084" customWidth="1"/>
    <col min="15108" max="15108" width="13.42578125" style="1084" customWidth="1"/>
    <col min="15109" max="15109" width="17.140625" style="1084" customWidth="1"/>
    <col min="15110" max="15110" width="22" style="1084" customWidth="1"/>
    <col min="15111" max="15111" width="17.85546875" style="1084" customWidth="1"/>
    <col min="15112" max="15112" width="21.28515625" style="1084" customWidth="1"/>
    <col min="15113" max="15113" width="16.5703125" style="1084" customWidth="1"/>
    <col min="15114" max="15114" width="20.28515625" style="1084" customWidth="1"/>
    <col min="15115" max="15115" width="17.28515625" style="1084" customWidth="1"/>
    <col min="15116" max="15116" width="19.42578125" style="1084" customWidth="1"/>
    <col min="15117" max="15117" width="18.5703125" style="1084" customWidth="1"/>
    <col min="15118" max="15118" width="19.7109375" style="1084" customWidth="1"/>
    <col min="15119" max="15119" width="16" style="1084" customWidth="1"/>
    <col min="15120" max="15120" width="20.5703125" style="1084" customWidth="1"/>
    <col min="15121" max="15121" width="16.85546875" style="1084" customWidth="1"/>
    <col min="15122" max="15122" width="23.7109375" style="1084" customWidth="1"/>
    <col min="15123" max="15123" width="27.140625" style="1084" bestFit="1" customWidth="1"/>
    <col min="15124" max="15124" width="25.7109375" style="1084" bestFit="1" customWidth="1"/>
    <col min="15125" max="15125" width="19.42578125" style="1084" bestFit="1" customWidth="1"/>
    <col min="15126" max="15126" width="10.85546875" style="1084"/>
    <col min="15127" max="15127" width="16.42578125" style="1084" bestFit="1" customWidth="1"/>
    <col min="15128" max="15128" width="10.85546875" style="1084"/>
    <col min="15129" max="15129" width="14.42578125" style="1084" bestFit="1" customWidth="1"/>
    <col min="15130" max="15131" width="10.85546875" style="1084"/>
    <col min="15132" max="15132" width="14.28515625" style="1084" bestFit="1" customWidth="1"/>
    <col min="15133" max="15360" width="10.85546875" style="1084"/>
    <col min="15361" max="15361" width="12.28515625" style="1084" customWidth="1"/>
    <col min="15362" max="15362" width="78.7109375" style="1084" customWidth="1"/>
    <col min="15363" max="15363" width="20.28515625" style="1084" customWidth="1"/>
    <col min="15364" max="15364" width="13.42578125" style="1084" customWidth="1"/>
    <col min="15365" max="15365" width="17.140625" style="1084" customWidth="1"/>
    <col min="15366" max="15366" width="22" style="1084" customWidth="1"/>
    <col min="15367" max="15367" width="17.85546875" style="1084" customWidth="1"/>
    <col min="15368" max="15368" width="21.28515625" style="1084" customWidth="1"/>
    <col min="15369" max="15369" width="16.5703125" style="1084" customWidth="1"/>
    <col min="15370" max="15370" width="20.28515625" style="1084" customWidth="1"/>
    <col min="15371" max="15371" width="17.28515625" style="1084" customWidth="1"/>
    <col min="15372" max="15372" width="19.42578125" style="1084" customWidth="1"/>
    <col min="15373" max="15373" width="18.5703125" style="1084" customWidth="1"/>
    <col min="15374" max="15374" width="19.7109375" style="1084" customWidth="1"/>
    <col min="15375" max="15375" width="16" style="1084" customWidth="1"/>
    <col min="15376" max="15376" width="20.5703125" style="1084" customWidth="1"/>
    <col min="15377" max="15377" width="16.85546875" style="1084" customWidth="1"/>
    <col min="15378" max="15378" width="23.7109375" style="1084" customWidth="1"/>
    <col min="15379" max="15379" width="27.140625" style="1084" bestFit="1" customWidth="1"/>
    <col min="15380" max="15380" width="25.7109375" style="1084" bestFit="1" customWidth="1"/>
    <col min="15381" max="15381" width="19.42578125" style="1084" bestFit="1" customWidth="1"/>
    <col min="15382" max="15382" width="10.85546875" style="1084"/>
    <col min="15383" max="15383" width="16.42578125" style="1084" bestFit="1" customWidth="1"/>
    <col min="15384" max="15384" width="10.85546875" style="1084"/>
    <col min="15385" max="15385" width="14.42578125" style="1084" bestFit="1" customWidth="1"/>
    <col min="15386" max="15387" width="10.85546875" style="1084"/>
    <col min="15388" max="15388" width="14.28515625" style="1084" bestFit="1" customWidth="1"/>
    <col min="15389" max="15616" width="10.85546875" style="1084"/>
    <col min="15617" max="15617" width="12.28515625" style="1084" customWidth="1"/>
    <col min="15618" max="15618" width="78.7109375" style="1084" customWidth="1"/>
    <col min="15619" max="15619" width="20.28515625" style="1084" customWidth="1"/>
    <col min="15620" max="15620" width="13.42578125" style="1084" customWidth="1"/>
    <col min="15621" max="15621" width="17.140625" style="1084" customWidth="1"/>
    <col min="15622" max="15622" width="22" style="1084" customWidth="1"/>
    <col min="15623" max="15623" width="17.85546875" style="1084" customWidth="1"/>
    <col min="15624" max="15624" width="21.28515625" style="1084" customWidth="1"/>
    <col min="15625" max="15625" width="16.5703125" style="1084" customWidth="1"/>
    <col min="15626" max="15626" width="20.28515625" style="1084" customWidth="1"/>
    <col min="15627" max="15627" width="17.28515625" style="1084" customWidth="1"/>
    <col min="15628" max="15628" width="19.42578125" style="1084" customWidth="1"/>
    <col min="15629" max="15629" width="18.5703125" style="1084" customWidth="1"/>
    <col min="15630" max="15630" width="19.7109375" style="1084" customWidth="1"/>
    <col min="15631" max="15631" width="16" style="1084" customWidth="1"/>
    <col min="15632" max="15632" width="20.5703125" style="1084" customWidth="1"/>
    <col min="15633" max="15633" width="16.85546875" style="1084" customWidth="1"/>
    <col min="15634" max="15634" width="23.7109375" style="1084" customWidth="1"/>
    <col min="15635" max="15635" width="27.140625" style="1084" bestFit="1" customWidth="1"/>
    <col min="15636" max="15636" width="25.7109375" style="1084" bestFit="1" customWidth="1"/>
    <col min="15637" max="15637" width="19.42578125" style="1084" bestFit="1" customWidth="1"/>
    <col min="15638" max="15638" width="10.85546875" style="1084"/>
    <col min="15639" max="15639" width="16.42578125" style="1084" bestFit="1" customWidth="1"/>
    <col min="15640" max="15640" width="10.85546875" style="1084"/>
    <col min="15641" max="15641" width="14.42578125" style="1084" bestFit="1" customWidth="1"/>
    <col min="15642" max="15643" width="10.85546875" style="1084"/>
    <col min="15644" max="15644" width="14.28515625" style="1084" bestFit="1" customWidth="1"/>
    <col min="15645" max="15872" width="10.85546875" style="1084"/>
    <col min="15873" max="15873" width="12.28515625" style="1084" customWidth="1"/>
    <col min="15874" max="15874" width="78.7109375" style="1084" customWidth="1"/>
    <col min="15875" max="15875" width="20.28515625" style="1084" customWidth="1"/>
    <col min="15876" max="15876" width="13.42578125" style="1084" customWidth="1"/>
    <col min="15877" max="15877" width="17.140625" style="1084" customWidth="1"/>
    <col min="15878" max="15878" width="22" style="1084" customWidth="1"/>
    <col min="15879" max="15879" width="17.85546875" style="1084" customWidth="1"/>
    <col min="15880" max="15880" width="21.28515625" style="1084" customWidth="1"/>
    <col min="15881" max="15881" width="16.5703125" style="1084" customWidth="1"/>
    <col min="15882" max="15882" width="20.28515625" style="1084" customWidth="1"/>
    <col min="15883" max="15883" width="17.28515625" style="1084" customWidth="1"/>
    <col min="15884" max="15884" width="19.42578125" style="1084" customWidth="1"/>
    <col min="15885" max="15885" width="18.5703125" style="1084" customWidth="1"/>
    <col min="15886" max="15886" width="19.7109375" style="1084" customWidth="1"/>
    <col min="15887" max="15887" width="16" style="1084" customWidth="1"/>
    <col min="15888" max="15888" width="20.5703125" style="1084" customWidth="1"/>
    <col min="15889" max="15889" width="16.85546875" style="1084" customWidth="1"/>
    <col min="15890" max="15890" width="23.7109375" style="1084" customWidth="1"/>
    <col min="15891" max="15891" width="27.140625" style="1084" bestFit="1" customWidth="1"/>
    <col min="15892" max="15892" width="25.7109375" style="1084" bestFit="1" customWidth="1"/>
    <col min="15893" max="15893" width="19.42578125" style="1084" bestFit="1" customWidth="1"/>
    <col min="15894" max="15894" width="10.85546875" style="1084"/>
    <col min="15895" max="15895" width="16.42578125" style="1084" bestFit="1" customWidth="1"/>
    <col min="15896" max="15896" width="10.85546875" style="1084"/>
    <col min="15897" max="15897" width="14.42578125" style="1084" bestFit="1" customWidth="1"/>
    <col min="15898" max="15899" width="10.85546875" style="1084"/>
    <col min="15900" max="15900" width="14.28515625" style="1084" bestFit="1" customWidth="1"/>
    <col min="15901" max="16128" width="10.85546875" style="1084"/>
    <col min="16129" max="16129" width="12.28515625" style="1084" customWidth="1"/>
    <col min="16130" max="16130" width="78.7109375" style="1084" customWidth="1"/>
    <col min="16131" max="16131" width="20.28515625" style="1084" customWidth="1"/>
    <col min="16132" max="16132" width="13.42578125" style="1084" customWidth="1"/>
    <col min="16133" max="16133" width="17.140625" style="1084" customWidth="1"/>
    <col min="16134" max="16134" width="22" style="1084" customWidth="1"/>
    <col min="16135" max="16135" width="17.85546875" style="1084" customWidth="1"/>
    <col min="16136" max="16136" width="21.28515625" style="1084" customWidth="1"/>
    <col min="16137" max="16137" width="16.5703125" style="1084" customWidth="1"/>
    <col min="16138" max="16138" width="20.28515625" style="1084" customWidth="1"/>
    <col min="16139" max="16139" width="17.28515625" style="1084" customWidth="1"/>
    <col min="16140" max="16140" width="19.42578125" style="1084" customWidth="1"/>
    <col min="16141" max="16141" width="18.5703125" style="1084" customWidth="1"/>
    <col min="16142" max="16142" width="19.7109375" style="1084" customWidth="1"/>
    <col min="16143" max="16143" width="16" style="1084" customWidth="1"/>
    <col min="16144" max="16144" width="20.5703125" style="1084" customWidth="1"/>
    <col min="16145" max="16145" width="16.85546875" style="1084" customWidth="1"/>
    <col min="16146" max="16146" width="23.7109375" style="1084" customWidth="1"/>
    <col min="16147" max="16147" width="27.140625" style="1084" bestFit="1" customWidth="1"/>
    <col min="16148" max="16148" width="25.7109375" style="1084" bestFit="1" customWidth="1"/>
    <col min="16149" max="16149" width="19.42578125" style="1084" bestFit="1" customWidth="1"/>
    <col min="16150" max="16150" width="10.85546875" style="1084"/>
    <col min="16151" max="16151" width="16.42578125" style="1084" bestFit="1" customWidth="1"/>
    <col min="16152" max="16152" width="10.85546875" style="1084"/>
    <col min="16153" max="16153" width="14.42578125" style="1084" bestFit="1" customWidth="1"/>
    <col min="16154" max="16155" width="10.85546875" style="1084"/>
    <col min="16156" max="16156" width="14.28515625" style="1084" bestFit="1" customWidth="1"/>
    <col min="16157" max="16384" width="10.85546875" style="1084"/>
  </cols>
  <sheetData>
    <row r="1" spans="1:20" ht="40.9" customHeight="1">
      <c r="A1" s="1974" t="str">
        <f>'INS- Detail '!A2:I2</f>
        <v>Name of work: Providing Special Repair works for 5 Nos INS, 8 Nos SI, 24 Nos PC/HC Quarters  at Church Hill Ooty in the Nilgiri District</v>
      </c>
      <c r="B1" s="1975"/>
      <c r="C1" s="1975"/>
      <c r="D1" s="1975"/>
      <c r="E1" s="1975"/>
      <c r="F1" s="1975"/>
      <c r="G1" s="1975"/>
      <c r="H1" s="1975"/>
      <c r="I1" s="1975"/>
      <c r="J1" s="1975"/>
      <c r="K1" s="1975"/>
      <c r="L1" s="1975"/>
      <c r="M1" s="1975"/>
      <c r="N1" s="1975"/>
      <c r="O1" s="1975"/>
      <c r="P1" s="1975"/>
      <c r="Q1" s="1975"/>
      <c r="R1" s="1976"/>
    </row>
    <row r="2" spans="1:20" ht="42" customHeight="1">
      <c r="A2" s="1974" t="s">
        <v>5292</v>
      </c>
      <c r="B2" s="1975"/>
      <c r="C2" s="1975"/>
      <c r="D2" s="1975"/>
      <c r="E2" s="1975"/>
      <c r="F2" s="1975"/>
      <c r="G2" s="1975"/>
      <c r="H2" s="1975"/>
      <c r="I2" s="1975"/>
      <c r="J2" s="1975"/>
      <c r="K2" s="1975"/>
      <c r="L2" s="1975"/>
      <c r="M2" s="1975"/>
      <c r="N2" s="1975"/>
      <c r="O2" s="1975"/>
      <c r="P2" s="1975"/>
      <c r="Q2" s="1975"/>
      <c r="R2" s="1976"/>
    </row>
    <row r="3" spans="1:20" s="1085" customFormat="1" ht="55.9" customHeight="1">
      <c r="A3" s="1973" t="s">
        <v>3613</v>
      </c>
      <c r="B3" s="1973" t="s">
        <v>3546</v>
      </c>
      <c r="C3" s="1973" t="s">
        <v>217</v>
      </c>
      <c r="D3" s="1973" t="s">
        <v>10</v>
      </c>
      <c r="E3" s="1973" t="s">
        <v>5269</v>
      </c>
      <c r="F3" s="1973"/>
      <c r="G3" s="1973" t="s">
        <v>5270</v>
      </c>
      <c r="H3" s="1973"/>
      <c r="I3" s="1973" t="s">
        <v>5271</v>
      </c>
      <c r="J3" s="1973"/>
      <c r="K3" s="1973" t="s">
        <v>4555</v>
      </c>
      <c r="L3" s="1973"/>
      <c r="M3" s="1973" t="s">
        <v>3767</v>
      </c>
      <c r="N3" s="1973"/>
      <c r="O3" s="1973" t="s">
        <v>3614</v>
      </c>
      <c r="P3" s="1973"/>
      <c r="Q3" s="1973" t="s">
        <v>3615</v>
      </c>
      <c r="R3" s="1973"/>
      <c r="T3" s="1086"/>
    </row>
    <row r="4" spans="1:20" s="1085" customFormat="1" ht="31.9" customHeight="1">
      <c r="A4" s="1973"/>
      <c r="B4" s="1973"/>
      <c r="C4" s="1973"/>
      <c r="D4" s="1973"/>
      <c r="E4" s="1087" t="s">
        <v>3</v>
      </c>
      <c r="F4" s="1329" t="s">
        <v>218</v>
      </c>
      <c r="G4" s="1087" t="s">
        <v>3</v>
      </c>
      <c r="H4" s="1329" t="s">
        <v>218</v>
      </c>
      <c r="I4" s="1087" t="s">
        <v>3</v>
      </c>
      <c r="J4" s="1329" t="s">
        <v>218</v>
      </c>
      <c r="K4" s="1087" t="s">
        <v>3</v>
      </c>
      <c r="L4" s="1329" t="s">
        <v>218</v>
      </c>
      <c r="M4" s="1087" t="s">
        <v>3</v>
      </c>
      <c r="N4" s="1329" t="s">
        <v>218</v>
      </c>
      <c r="O4" s="1087" t="s">
        <v>3</v>
      </c>
      <c r="P4" s="1329" t="s">
        <v>218</v>
      </c>
      <c r="Q4" s="1329" t="s">
        <v>3</v>
      </c>
      <c r="R4" s="1329" t="s">
        <v>218</v>
      </c>
      <c r="S4" s="1086"/>
      <c r="T4" s="1086"/>
    </row>
    <row r="5" spans="1:20" s="1085" customFormat="1" ht="39.75" customHeight="1">
      <c r="A5" s="1329"/>
      <c r="B5" s="1257"/>
      <c r="C5" s="1329"/>
      <c r="D5" s="1329"/>
      <c r="E5" s="1329"/>
      <c r="F5" s="1329"/>
      <c r="G5" s="1329"/>
      <c r="H5" s="1329"/>
      <c r="I5" s="1089"/>
      <c r="J5" s="1329"/>
      <c r="K5" s="1329"/>
      <c r="L5" s="1329"/>
      <c r="M5" s="1329"/>
      <c r="N5" s="1329"/>
      <c r="O5" s="1087"/>
      <c r="P5" s="1329"/>
      <c r="Q5" s="1329"/>
      <c r="R5" s="1329"/>
      <c r="S5" s="1086"/>
      <c r="T5" s="1086"/>
    </row>
    <row r="6" spans="1:20" ht="50.25" customHeight="1">
      <c r="A6" s="1090">
        <v>1.1000000000000001</v>
      </c>
      <c r="B6" s="933" t="s">
        <v>3768</v>
      </c>
      <c r="C6" s="1091"/>
      <c r="D6" s="940" t="s">
        <v>150</v>
      </c>
      <c r="E6" s="940"/>
      <c r="F6" s="940"/>
      <c r="G6" s="1092"/>
      <c r="H6" s="1092"/>
      <c r="I6" s="1093"/>
      <c r="J6" s="1092"/>
      <c r="K6" s="1092"/>
      <c r="L6" s="1092"/>
      <c r="M6" s="1092"/>
      <c r="N6" s="1092"/>
      <c r="O6" s="1094"/>
      <c r="P6" s="1092"/>
      <c r="Q6" s="1095" t="s">
        <v>249</v>
      </c>
      <c r="R6" s="1095" t="s">
        <v>2400</v>
      </c>
    </row>
    <row r="7" spans="1:20">
      <c r="A7" s="1090"/>
      <c r="B7" s="933" t="s">
        <v>3769</v>
      </c>
      <c r="C7" s="1092">
        <f>+'Ins Abs'!C7</f>
        <v>314.74333333333334</v>
      </c>
      <c r="D7" s="940" t="s">
        <v>3770</v>
      </c>
      <c r="E7" s="1096">
        <f>'SI- Detail  '!H8</f>
        <v>7.2</v>
      </c>
      <c r="F7" s="1097">
        <f>C7*E7</f>
        <v>2266.152</v>
      </c>
      <c r="G7" s="1096"/>
      <c r="H7" s="1097">
        <f>C7*G7</f>
        <v>0</v>
      </c>
      <c r="I7" s="1096"/>
      <c r="J7" s="1097">
        <f>G7*I7</f>
        <v>0</v>
      </c>
      <c r="K7" s="1096">
        <v>10.8</v>
      </c>
      <c r="L7" s="1097">
        <f>K7*C7</f>
        <v>3399.2280000000001</v>
      </c>
      <c r="M7" s="1096"/>
      <c r="N7" s="1096"/>
      <c r="O7" s="1098">
        <f>K7+I7</f>
        <v>10.8</v>
      </c>
      <c r="P7" s="1096">
        <f>J7+L7</f>
        <v>3399.2280000000001</v>
      </c>
      <c r="Q7" s="1098">
        <f>E7+G7+O7</f>
        <v>18</v>
      </c>
      <c r="R7" s="1096">
        <f>Q7*C7</f>
        <v>5665.38</v>
      </c>
      <c r="S7" s="1099"/>
      <c r="T7" s="1099"/>
    </row>
    <row r="8" spans="1:20" s="1108" customFormat="1" ht="46.5">
      <c r="A8" s="1109">
        <v>1.5</v>
      </c>
      <c r="B8" s="1259" t="str">
        <f>'Ins Abs'!B8</f>
        <v>Earth work excavation in all soils (including refilling)</v>
      </c>
      <c r="C8" s="1111"/>
      <c r="D8" s="1112"/>
      <c r="E8" s="1113"/>
      <c r="F8" s="1097">
        <f t="shared" ref="F8:L15" si="0">C8*E8</f>
        <v>0</v>
      </c>
      <c r="G8" s="1113"/>
      <c r="H8" s="1097"/>
      <c r="I8" s="1113"/>
      <c r="J8" s="1097"/>
      <c r="K8" s="1114"/>
      <c r="L8" s="1097"/>
      <c r="M8" s="1113"/>
      <c r="N8" s="1096"/>
      <c r="O8" s="1098"/>
      <c r="P8" s="1096"/>
      <c r="Q8" s="1098">
        <f t="shared" ref="Q8:Q15" si="1">E8+G8+O8</f>
        <v>0</v>
      </c>
      <c r="R8" s="1096">
        <f t="shared" ref="R8:R15" si="2">Q8*C8</f>
        <v>0</v>
      </c>
      <c r="S8" s="1107"/>
      <c r="T8" s="1104"/>
    </row>
    <row r="9" spans="1:20" s="1108" customFormat="1" ht="25.5" customHeight="1">
      <c r="A9" s="1109"/>
      <c r="B9" s="1259" t="str">
        <f>'Ins Abs'!B7</f>
        <v>a. 0 to 2 mt.</v>
      </c>
      <c r="C9" s="1111">
        <f>+'Ins Abs'!C9</f>
        <v>148.75</v>
      </c>
      <c r="D9" s="1112" t="str">
        <f>D7</f>
        <v>Cum.</v>
      </c>
      <c r="E9" s="1113">
        <f>'SI- Detail  '!H13</f>
        <v>45.03</v>
      </c>
      <c r="F9" s="1097">
        <f t="shared" si="0"/>
        <v>6698.2125000000005</v>
      </c>
      <c r="G9" s="1113"/>
      <c r="H9" s="1097"/>
      <c r="I9" s="1113"/>
      <c r="J9" s="1097"/>
      <c r="K9" s="1114"/>
      <c r="L9" s="1097"/>
      <c r="M9" s="1113"/>
      <c r="N9" s="1096"/>
      <c r="O9" s="1098"/>
      <c r="P9" s="1096"/>
      <c r="Q9" s="1098">
        <f t="shared" si="1"/>
        <v>45.03</v>
      </c>
      <c r="R9" s="1096">
        <f t="shared" si="2"/>
        <v>6698.2125000000005</v>
      </c>
      <c r="S9" s="1107"/>
      <c r="T9" s="1104"/>
    </row>
    <row r="10" spans="1:20" s="1108" customFormat="1" ht="51" customHeight="1">
      <c r="A10" s="1090">
        <v>1.6</v>
      </c>
      <c r="B10" s="933" t="s">
        <v>3778</v>
      </c>
      <c r="C10" s="1092"/>
      <c r="D10" s="940"/>
      <c r="E10" s="1103"/>
      <c r="F10" s="1097">
        <f t="shared" si="0"/>
        <v>0</v>
      </c>
      <c r="G10" s="1103"/>
      <c r="H10" s="1097">
        <f t="shared" ref="H10:H16" si="3">C10*G10</f>
        <v>0</v>
      </c>
      <c r="I10" s="1103"/>
      <c r="J10" s="1097">
        <f t="shared" si="0"/>
        <v>0</v>
      </c>
      <c r="K10" s="1096"/>
      <c r="L10" s="1097">
        <f t="shared" si="0"/>
        <v>0</v>
      </c>
      <c r="M10" s="1103"/>
      <c r="N10" s="1096"/>
      <c r="O10" s="1098">
        <f t="shared" ref="O10:O16" si="4">K10+I10</f>
        <v>0</v>
      </c>
      <c r="P10" s="1096">
        <f t="shared" ref="P10:P16" si="5">J10+L10</f>
        <v>0</v>
      </c>
      <c r="Q10" s="1098">
        <f t="shared" si="1"/>
        <v>0</v>
      </c>
      <c r="R10" s="1096">
        <f t="shared" si="2"/>
        <v>0</v>
      </c>
      <c r="S10" s="1107"/>
      <c r="T10" s="1104"/>
    </row>
    <row r="11" spans="1:20" s="1108" customFormat="1" ht="43.5" customHeight="1">
      <c r="A11" s="1090"/>
      <c r="B11" s="933" t="s">
        <v>3769</v>
      </c>
      <c r="C11" s="1092">
        <f>+'Ins Abs'!C11</f>
        <v>223.125</v>
      </c>
      <c r="D11" s="940" t="s">
        <v>3770</v>
      </c>
      <c r="E11" s="1103"/>
      <c r="F11" s="1097">
        <f t="shared" si="0"/>
        <v>0</v>
      </c>
      <c r="G11" s="1103"/>
      <c r="H11" s="1097">
        <f t="shared" si="3"/>
        <v>0</v>
      </c>
      <c r="I11" s="1103">
        <f>'SI - Sullage  '!H10</f>
        <v>10.8</v>
      </c>
      <c r="J11" s="1097">
        <f>I11*C11</f>
        <v>2409.75</v>
      </c>
      <c r="K11" s="1096"/>
      <c r="L11" s="1097">
        <f>K11*C11</f>
        <v>0</v>
      </c>
      <c r="M11" s="1103"/>
      <c r="N11" s="1096"/>
      <c r="O11" s="1098">
        <f t="shared" si="4"/>
        <v>10.8</v>
      </c>
      <c r="P11" s="1096">
        <f t="shared" si="5"/>
        <v>2409.75</v>
      </c>
      <c r="Q11" s="1098">
        <f t="shared" si="1"/>
        <v>10.8</v>
      </c>
      <c r="R11" s="1096">
        <f t="shared" si="2"/>
        <v>2409.75</v>
      </c>
      <c r="S11" s="1107"/>
      <c r="T11" s="1104"/>
    </row>
    <row r="12" spans="1:20" s="1108" customFormat="1">
      <c r="A12" s="1119"/>
      <c r="B12" s="935" t="s">
        <v>3771</v>
      </c>
      <c r="C12" s="1120">
        <f>+'Data 2022-23'!K134</f>
        <v>237.41</v>
      </c>
      <c r="D12" s="1121" t="s">
        <v>3770</v>
      </c>
      <c r="E12" s="1103"/>
      <c r="F12" s="1097">
        <f t="shared" si="0"/>
        <v>0</v>
      </c>
      <c r="G12" s="1103"/>
      <c r="H12" s="1097">
        <f t="shared" si="3"/>
        <v>0</v>
      </c>
      <c r="I12" s="1103"/>
      <c r="J12" s="1097">
        <f>I12*C12</f>
        <v>0</v>
      </c>
      <c r="K12" s="1096"/>
      <c r="L12" s="1097">
        <f>K12*C12</f>
        <v>0</v>
      </c>
      <c r="M12" s="1103"/>
      <c r="N12" s="1096"/>
      <c r="O12" s="1098">
        <f t="shared" si="4"/>
        <v>0</v>
      </c>
      <c r="P12" s="1096">
        <f t="shared" si="5"/>
        <v>0</v>
      </c>
      <c r="Q12" s="1098">
        <f t="shared" si="1"/>
        <v>0</v>
      </c>
      <c r="R12" s="1096">
        <f t="shared" si="2"/>
        <v>0</v>
      </c>
      <c r="S12" s="1107"/>
      <c r="T12" s="1104"/>
    </row>
    <row r="13" spans="1:20" s="1127" customFormat="1">
      <c r="A13" s="1090">
        <v>2.1</v>
      </c>
      <c r="B13" s="1298" t="s">
        <v>908</v>
      </c>
      <c r="C13" s="1092">
        <f>+'Ins Abs'!C12</f>
        <v>2310.9299999999998</v>
      </c>
      <c r="D13" s="940" t="s">
        <v>3770</v>
      </c>
      <c r="E13" s="1096"/>
      <c r="F13" s="1097">
        <f>C13*E13</f>
        <v>0</v>
      </c>
      <c r="G13" s="1096"/>
      <c r="H13" s="1097">
        <f t="shared" si="3"/>
        <v>0</v>
      </c>
      <c r="I13" s="1096">
        <f>'SI - Sullage  '!H14</f>
        <v>2.7</v>
      </c>
      <c r="J13" s="1097">
        <f>I13*C13</f>
        <v>6239.5110000000004</v>
      </c>
      <c r="K13" s="1096">
        <f>'SI - PP - Detail '!H34</f>
        <v>4.3950000000000005</v>
      </c>
      <c r="L13" s="1097">
        <f>K13*C13</f>
        <v>10156.537350000001</v>
      </c>
      <c r="M13" s="1096"/>
      <c r="N13" s="1096"/>
      <c r="O13" s="1098">
        <f t="shared" si="4"/>
        <v>7.0950000000000006</v>
      </c>
      <c r="P13" s="1096">
        <f t="shared" si="5"/>
        <v>16396.048350000001</v>
      </c>
      <c r="Q13" s="1098">
        <f>E13+G13+O13</f>
        <v>7.0950000000000006</v>
      </c>
      <c r="R13" s="1096">
        <f>Q13*C13</f>
        <v>16396.048350000001</v>
      </c>
      <c r="S13" s="1099"/>
      <c r="T13" s="1099"/>
    </row>
    <row r="14" spans="1:20" s="1127" customFormat="1">
      <c r="A14" s="1090">
        <v>3.1</v>
      </c>
      <c r="B14" s="933" t="s">
        <v>3794</v>
      </c>
      <c r="C14" s="1092">
        <f>+'Ins Abs'!C13</f>
        <v>6456.8970000000008</v>
      </c>
      <c r="D14" s="940" t="s">
        <v>3770</v>
      </c>
      <c r="E14" s="1096">
        <f>'SI- Detail  '!H19</f>
        <v>23</v>
      </c>
      <c r="F14" s="1097">
        <f t="shared" si="0"/>
        <v>148508.63100000002</v>
      </c>
      <c r="G14" s="1096"/>
      <c r="H14" s="1097">
        <f t="shared" si="3"/>
        <v>0</v>
      </c>
      <c r="I14" s="1096">
        <f>'SI - Sullage  '!H18</f>
        <v>2.7</v>
      </c>
      <c r="J14" s="1097">
        <f t="shared" ref="J14:J15" si="6">I14*C14</f>
        <v>17433.621900000002</v>
      </c>
      <c r="K14" s="1096">
        <f>'SI - PP - Detail '!H16</f>
        <v>5.4</v>
      </c>
      <c r="L14" s="1097">
        <f t="shared" ref="L14:L15" si="7">K14*C14</f>
        <v>34867.243800000004</v>
      </c>
      <c r="M14" s="1096"/>
      <c r="N14" s="1096"/>
      <c r="O14" s="1098">
        <f t="shared" si="4"/>
        <v>8.1000000000000014</v>
      </c>
      <c r="P14" s="1096">
        <f t="shared" si="5"/>
        <v>52300.865700000009</v>
      </c>
      <c r="Q14" s="1098">
        <f t="shared" si="1"/>
        <v>31.1</v>
      </c>
      <c r="R14" s="1096">
        <f t="shared" si="2"/>
        <v>200809.49670000005</v>
      </c>
      <c r="S14" s="1099"/>
      <c r="T14" s="1099"/>
    </row>
    <row r="15" spans="1:20" ht="46.5">
      <c r="A15" s="1090">
        <v>3.2</v>
      </c>
      <c r="B15" s="933" t="s">
        <v>3795</v>
      </c>
      <c r="C15" s="1092">
        <f>+'Ins Abs'!C14</f>
        <v>8002.7729999999992</v>
      </c>
      <c r="D15" s="940" t="s">
        <v>3770</v>
      </c>
      <c r="E15" s="1096">
        <f>'SI- Detail  '!H24</f>
        <v>22.54</v>
      </c>
      <c r="F15" s="1097">
        <f t="shared" si="0"/>
        <v>180382.50341999996</v>
      </c>
      <c r="G15" s="1096"/>
      <c r="H15" s="1097">
        <f t="shared" si="3"/>
        <v>0</v>
      </c>
      <c r="I15" s="1096"/>
      <c r="J15" s="1097">
        <f t="shared" si="6"/>
        <v>0</v>
      </c>
      <c r="K15" s="1096"/>
      <c r="L15" s="1097">
        <f t="shared" si="7"/>
        <v>0</v>
      </c>
      <c r="M15" s="1096"/>
      <c r="N15" s="1096"/>
      <c r="O15" s="1098">
        <f t="shared" si="4"/>
        <v>0</v>
      </c>
      <c r="P15" s="1096">
        <f t="shared" si="5"/>
        <v>0</v>
      </c>
      <c r="Q15" s="1098">
        <f t="shared" si="1"/>
        <v>22.54</v>
      </c>
      <c r="R15" s="1096">
        <f t="shared" si="2"/>
        <v>180382.50341999996</v>
      </c>
      <c r="S15" s="1099"/>
      <c r="T15" s="1099"/>
    </row>
    <row r="16" spans="1:20" s="1108" customFormat="1" ht="46.5">
      <c r="A16" s="1090">
        <v>6.2</v>
      </c>
      <c r="B16" s="1262" t="s">
        <v>5812</v>
      </c>
      <c r="C16" s="1092">
        <f>+'Ins Abs'!C15</f>
        <v>8664.0401316532934</v>
      </c>
      <c r="D16" s="940" t="s">
        <v>3770</v>
      </c>
      <c r="E16" s="1096">
        <f>'SI- Detail  '!H27</f>
        <v>4</v>
      </c>
      <c r="F16" s="1097">
        <f>C16*E16</f>
        <v>34656.160526613174</v>
      </c>
      <c r="G16" s="1096"/>
      <c r="H16" s="1097">
        <f t="shared" si="3"/>
        <v>0</v>
      </c>
      <c r="I16" s="1096">
        <f>'SI - Sullage  '!H22</f>
        <v>0.35</v>
      </c>
      <c r="J16" s="1097">
        <f>I16*C16</f>
        <v>3032.4140460786525</v>
      </c>
      <c r="K16" s="1096"/>
      <c r="L16" s="1097">
        <f>K16*C16</f>
        <v>0</v>
      </c>
      <c r="M16" s="1096"/>
      <c r="N16" s="1096"/>
      <c r="O16" s="1098">
        <f t="shared" si="4"/>
        <v>0.35</v>
      </c>
      <c r="P16" s="1096">
        <f t="shared" si="5"/>
        <v>3032.4140460786525</v>
      </c>
      <c r="Q16" s="1098">
        <f>E16+G16+O16</f>
        <v>4.3499999999999996</v>
      </c>
      <c r="R16" s="1096">
        <f>Q16*C16</f>
        <v>37688.574572691825</v>
      </c>
      <c r="S16" s="1107"/>
      <c r="T16" s="1099"/>
    </row>
    <row r="17" spans="1:20" s="1108" customFormat="1" ht="46.5">
      <c r="A17" s="1090">
        <v>9.1999999999999993</v>
      </c>
      <c r="B17" s="1262" t="s">
        <v>3833</v>
      </c>
      <c r="C17" s="1092"/>
      <c r="D17" s="940"/>
      <c r="E17" s="1096"/>
      <c r="F17" s="1097">
        <f t="shared" ref="F17:F18" si="8">C17*E17</f>
        <v>0</v>
      </c>
      <c r="G17" s="1096"/>
      <c r="H17" s="1097">
        <f t="shared" ref="H17:H18" si="9">C17*G17</f>
        <v>0</v>
      </c>
      <c r="I17" s="1096"/>
      <c r="J17" s="1097">
        <f t="shared" ref="J17:J20" si="10">I17*C17</f>
        <v>0</v>
      </c>
      <c r="L17" s="1097">
        <f t="shared" ref="L17:L20" si="11">K17*C17</f>
        <v>0</v>
      </c>
      <c r="O17" s="1098">
        <f t="shared" ref="O17:O18" si="12">K17+I17</f>
        <v>0</v>
      </c>
      <c r="P17" s="1096">
        <f t="shared" ref="P17:P18" si="13">J17+L17</f>
        <v>0</v>
      </c>
      <c r="Q17" s="1098">
        <f t="shared" ref="Q17:Q18" si="14">E17+G17+O17</f>
        <v>0</v>
      </c>
      <c r="R17" s="1096">
        <f t="shared" ref="R17:R18" si="15">Q17*C17</f>
        <v>0</v>
      </c>
      <c r="S17" s="1107"/>
      <c r="T17" s="1099"/>
    </row>
    <row r="18" spans="1:20" s="1108" customFormat="1">
      <c r="A18" s="1090"/>
      <c r="B18" s="933" t="s">
        <v>3834</v>
      </c>
      <c r="C18" s="1092">
        <f>+'Ins Abs'!C17</f>
        <v>8696.2719408972753</v>
      </c>
      <c r="D18" s="940" t="s">
        <v>3770</v>
      </c>
      <c r="E18" s="1096"/>
      <c r="F18" s="1097">
        <f t="shared" si="8"/>
        <v>0</v>
      </c>
      <c r="G18" s="1096"/>
      <c r="H18" s="1097">
        <f t="shared" si="9"/>
        <v>0</v>
      </c>
      <c r="I18" s="1096"/>
      <c r="J18" s="1097">
        <f t="shared" si="10"/>
        <v>0</v>
      </c>
      <c r="K18" s="1096">
        <f>'SI - PP - Detail '!H20</f>
        <v>1.7</v>
      </c>
      <c r="L18" s="1097">
        <f t="shared" si="11"/>
        <v>14783.662299525367</v>
      </c>
      <c r="M18" s="1096"/>
      <c r="N18" s="1096"/>
      <c r="O18" s="1098">
        <f t="shared" si="12"/>
        <v>1.7</v>
      </c>
      <c r="P18" s="1096">
        <f t="shared" si="13"/>
        <v>14783.662299525367</v>
      </c>
      <c r="Q18" s="1098">
        <f t="shared" si="14"/>
        <v>1.7</v>
      </c>
      <c r="R18" s="1096">
        <f t="shared" si="15"/>
        <v>14783.662299525367</v>
      </c>
      <c r="S18" s="1107"/>
      <c r="T18" s="1099"/>
    </row>
    <row r="19" spans="1:20" s="1108" customFormat="1" ht="69.75">
      <c r="A19" s="1090">
        <v>10.199999999999999</v>
      </c>
      <c r="B19" s="1262" t="s">
        <v>3847</v>
      </c>
      <c r="C19" s="1092"/>
      <c r="D19" s="940"/>
      <c r="E19" s="1096"/>
      <c r="F19" s="1097">
        <f t="shared" ref="F19:F20" si="16">C19*E19</f>
        <v>0</v>
      </c>
      <c r="G19" s="1096"/>
      <c r="H19" s="1097">
        <f t="shared" ref="H19:H20" si="17">C19*G19</f>
        <v>0</v>
      </c>
      <c r="I19" s="1096"/>
      <c r="J19" s="1097">
        <f t="shared" si="10"/>
        <v>0</v>
      </c>
      <c r="K19" s="1096"/>
      <c r="L19" s="1097">
        <f t="shared" si="11"/>
        <v>0</v>
      </c>
      <c r="M19" s="1096"/>
      <c r="N19" s="1096"/>
      <c r="O19" s="1098">
        <f t="shared" ref="O19:O20" si="18">K19+I19</f>
        <v>0</v>
      </c>
      <c r="P19" s="1096">
        <f t="shared" ref="P19:P20" si="19">J19+L19</f>
        <v>0</v>
      </c>
      <c r="Q19" s="1098">
        <f t="shared" ref="Q19:Q20" si="20">E19+G19+O19</f>
        <v>0</v>
      </c>
      <c r="R19" s="1096">
        <f t="shared" ref="R19:R20" si="21">Q19*C19</f>
        <v>0</v>
      </c>
      <c r="S19" s="1107"/>
      <c r="T19" s="1099"/>
    </row>
    <row r="20" spans="1:20" s="1108" customFormat="1">
      <c r="A20" s="1090"/>
      <c r="B20" s="933" t="s">
        <v>3841</v>
      </c>
      <c r="C20" s="1092">
        <f>+'Ins Abs'!C19</f>
        <v>1097.5849659566052</v>
      </c>
      <c r="D20" s="940" t="s">
        <v>3798</v>
      </c>
      <c r="E20" s="1096"/>
      <c r="F20" s="1097">
        <f t="shared" si="16"/>
        <v>0</v>
      </c>
      <c r="G20" s="1096"/>
      <c r="H20" s="1097">
        <f t="shared" si="17"/>
        <v>0</v>
      </c>
      <c r="I20" s="1096">
        <f>'SI - Sullage  '!H29</f>
        <v>25.35</v>
      </c>
      <c r="J20" s="1097">
        <f t="shared" si="10"/>
        <v>27823.778886999942</v>
      </c>
      <c r="K20" s="1096">
        <f>'SI - PP - Detail '!H26</f>
        <v>82.647142857142867</v>
      </c>
      <c r="L20" s="1097">
        <f t="shared" si="11"/>
        <v>90712.261479267836</v>
      </c>
      <c r="M20" s="1096"/>
      <c r="N20" s="1096"/>
      <c r="O20" s="1098">
        <f t="shared" si="18"/>
        <v>107.99714285714288</v>
      </c>
      <c r="P20" s="1096">
        <f t="shared" si="19"/>
        <v>118536.04036626779</v>
      </c>
      <c r="Q20" s="1098">
        <f t="shared" si="20"/>
        <v>107.99714285714288</v>
      </c>
      <c r="R20" s="1096">
        <f t="shared" si="21"/>
        <v>118536.04036626779</v>
      </c>
      <c r="S20" s="1107"/>
      <c r="T20" s="1099"/>
    </row>
    <row r="21" spans="1:20" s="1147" customFormat="1">
      <c r="A21" s="1146">
        <v>13.1</v>
      </c>
      <c r="B21" s="1267" t="s">
        <v>3861</v>
      </c>
      <c r="C21" s="1096">
        <f>+'Ins Abs'!C20</f>
        <v>51.730000000000004</v>
      </c>
      <c r="D21" s="1097" t="s">
        <v>3770</v>
      </c>
      <c r="E21" s="1096"/>
      <c r="F21" s="1097">
        <f>C21*E21</f>
        <v>0</v>
      </c>
      <c r="G21" s="1096"/>
      <c r="H21" s="1097">
        <f t="shared" ref="H21" si="22">C21*G21</f>
        <v>0</v>
      </c>
      <c r="I21" s="1096"/>
      <c r="J21" s="1097">
        <f>I21*C21</f>
        <v>0</v>
      </c>
      <c r="K21" s="1096">
        <f>'SI - PP - Detail '!H30</f>
        <v>27.645</v>
      </c>
      <c r="L21" s="1097">
        <f>K21*C21</f>
        <v>1430.0758500000002</v>
      </c>
      <c r="M21" s="1096"/>
      <c r="N21" s="1096"/>
      <c r="O21" s="1098">
        <f t="shared" ref="O21" si="23">K21+I21</f>
        <v>27.645</v>
      </c>
      <c r="P21" s="1096">
        <f t="shared" ref="P21" si="24">J21+L21</f>
        <v>1430.0758500000002</v>
      </c>
      <c r="Q21" s="1098">
        <f>E21+G21+O21</f>
        <v>27.645</v>
      </c>
      <c r="R21" s="1096">
        <f>Q21*C21</f>
        <v>1430.0758500000002</v>
      </c>
      <c r="S21" s="1099"/>
      <c r="T21" s="1099"/>
    </row>
    <row r="22" spans="1:20" s="1108" customFormat="1">
      <c r="A22" s="1090">
        <v>22.2</v>
      </c>
      <c r="B22" s="1262" t="s">
        <v>3893</v>
      </c>
      <c r="C22" s="1106"/>
      <c r="D22" s="943"/>
      <c r="E22" s="1103"/>
      <c r="F22" s="1097">
        <f t="shared" ref="F22:F23" si="25">C22*E22</f>
        <v>0</v>
      </c>
      <c r="G22" s="1103"/>
      <c r="H22" s="1097">
        <f t="shared" ref="H22:H23" si="26">C22*G22</f>
        <v>0</v>
      </c>
      <c r="I22" s="1103"/>
      <c r="J22" s="1097">
        <f t="shared" ref="J22:J29" si="27">I22*C22</f>
        <v>0</v>
      </c>
      <c r="K22" s="1096"/>
      <c r="L22" s="1097">
        <f t="shared" ref="L22:L29" si="28">K22*C22</f>
        <v>0</v>
      </c>
      <c r="M22" s="1103"/>
      <c r="N22" s="1096"/>
      <c r="O22" s="1098">
        <f t="shared" ref="O22:O23" si="29">K22+I22</f>
        <v>0</v>
      </c>
      <c r="P22" s="1096">
        <f t="shared" ref="P22:P23" si="30">J22+L22</f>
        <v>0</v>
      </c>
      <c r="Q22" s="1098">
        <f t="shared" ref="Q22:Q23" si="31">E22+G22+O22</f>
        <v>0</v>
      </c>
      <c r="R22" s="1096">
        <f t="shared" ref="R22:R23" si="32">Q22*C22</f>
        <v>0</v>
      </c>
      <c r="S22" s="1107"/>
      <c r="T22" s="1104"/>
    </row>
    <row r="23" spans="1:20" s="1108" customFormat="1">
      <c r="A23" s="940"/>
      <c r="B23" s="933" t="s">
        <v>3894</v>
      </c>
      <c r="C23" s="1106">
        <f>+'Ins Abs'!C22</f>
        <v>4068.0220898027696</v>
      </c>
      <c r="D23" s="943" t="s">
        <v>3798</v>
      </c>
      <c r="E23" s="1103">
        <f>'SI- Detail  '!H344</f>
        <v>7.6</v>
      </c>
      <c r="F23" s="1097">
        <f t="shared" si="25"/>
        <v>30916.967882501049</v>
      </c>
      <c r="G23" s="1103"/>
      <c r="H23" s="1097">
        <f t="shared" si="26"/>
        <v>0</v>
      </c>
      <c r="I23" s="1103"/>
      <c r="J23" s="1097">
        <f t="shared" si="27"/>
        <v>0</v>
      </c>
      <c r="K23" s="1096"/>
      <c r="L23" s="1097">
        <f t="shared" si="28"/>
        <v>0</v>
      </c>
      <c r="M23" s="1103"/>
      <c r="N23" s="1096"/>
      <c r="O23" s="1098">
        <f t="shared" si="29"/>
        <v>0</v>
      </c>
      <c r="P23" s="1096">
        <f t="shared" si="30"/>
        <v>0</v>
      </c>
      <c r="Q23" s="1098">
        <f t="shared" si="31"/>
        <v>7.6</v>
      </c>
      <c r="R23" s="1096">
        <f t="shared" si="32"/>
        <v>30916.967882501049</v>
      </c>
      <c r="S23" s="1107"/>
      <c r="T23" s="1104"/>
    </row>
    <row r="24" spans="1:20" s="1108" customFormat="1">
      <c r="A24" s="1090"/>
      <c r="B24" s="933" t="str">
        <f>'SI- Detail  '!B345</f>
        <v xml:space="preserve">Supplying and fixing of TW Swing type ventilater </v>
      </c>
      <c r="C24" s="1106">
        <f>+'Ins Abs'!C23</f>
        <v>3196.838999999999</v>
      </c>
      <c r="D24" s="943" t="s">
        <v>3798</v>
      </c>
      <c r="E24" s="1103">
        <f>'SI- Detail  '!H347</f>
        <v>1.35</v>
      </c>
      <c r="F24" s="1097">
        <f t="shared" ref="F24:F46" si="33">C24*E24</f>
        <v>4315.732649999999</v>
      </c>
      <c r="G24" s="1103"/>
      <c r="H24" s="1097"/>
      <c r="I24" s="1103"/>
      <c r="J24" s="1097">
        <f t="shared" si="27"/>
        <v>0</v>
      </c>
      <c r="K24" s="1096"/>
      <c r="L24" s="1097">
        <f t="shared" si="28"/>
        <v>0</v>
      </c>
      <c r="M24" s="1103"/>
      <c r="N24" s="1096"/>
      <c r="O24" s="1098">
        <f t="shared" ref="O24:O46" si="34">K24+I24</f>
        <v>0</v>
      </c>
      <c r="P24" s="1096">
        <f t="shared" ref="P24:P46" si="35">J24+L24</f>
        <v>0</v>
      </c>
      <c r="Q24" s="1098">
        <f t="shared" ref="Q24:Q46" si="36">E24+G24+O24</f>
        <v>1.35</v>
      </c>
      <c r="R24" s="1096">
        <f t="shared" ref="R24:R46" si="37">Q24*C24</f>
        <v>4315.732649999999</v>
      </c>
      <c r="S24" s="1107"/>
      <c r="T24" s="1104"/>
    </row>
    <row r="25" spans="1:20" s="1108" customFormat="1" ht="67.5" customHeight="1">
      <c r="A25" s="1090"/>
      <c r="B25" s="933" t="s">
        <v>5797</v>
      </c>
      <c r="C25" s="1106">
        <f>+'Ins Abs'!C24</f>
        <v>48.79</v>
      </c>
      <c r="D25" s="940" t="s">
        <v>3798</v>
      </c>
      <c r="E25" s="1103">
        <f>'SI- Detail  '!H136</f>
        <v>196.45</v>
      </c>
      <c r="F25" s="1097">
        <f t="shared" si="33"/>
        <v>9584.7955000000002</v>
      </c>
      <c r="G25" s="1103"/>
      <c r="H25" s="1097">
        <f t="shared" ref="H25:H46" si="38">C25*G25</f>
        <v>0</v>
      </c>
      <c r="I25" s="1103"/>
      <c r="J25" s="1097">
        <f t="shared" si="27"/>
        <v>0</v>
      </c>
      <c r="K25" s="1096"/>
      <c r="L25" s="1097">
        <f t="shared" si="28"/>
        <v>0</v>
      </c>
      <c r="M25" s="1103"/>
      <c r="N25" s="1096"/>
      <c r="O25" s="1098">
        <f t="shared" si="34"/>
        <v>0</v>
      </c>
      <c r="P25" s="1096">
        <f t="shared" si="35"/>
        <v>0</v>
      </c>
      <c r="Q25" s="1098">
        <f t="shared" si="36"/>
        <v>196.45</v>
      </c>
      <c r="R25" s="1096">
        <f t="shared" si="37"/>
        <v>9584.7955000000002</v>
      </c>
      <c r="S25" s="1107"/>
      <c r="T25" s="1104"/>
    </row>
    <row r="26" spans="1:20">
      <c r="A26" s="1090">
        <v>28</v>
      </c>
      <c r="B26" s="1262" t="s">
        <v>3924</v>
      </c>
      <c r="C26" s="1092">
        <f>+'Ins Abs'!C25</f>
        <v>663.63780000000008</v>
      </c>
      <c r="D26" s="940" t="s">
        <v>3798</v>
      </c>
      <c r="E26" s="1096">
        <f>'SI- Detail  '!H144</f>
        <v>180</v>
      </c>
      <c r="F26" s="1097">
        <f t="shared" si="33"/>
        <v>119454.80400000002</v>
      </c>
      <c r="G26" s="1096"/>
      <c r="H26" s="1097">
        <f t="shared" si="38"/>
        <v>0</v>
      </c>
      <c r="I26" s="1096">
        <f>'SI - Sullage  '!H44</f>
        <v>8.4</v>
      </c>
      <c r="J26" s="1097">
        <f t="shared" si="27"/>
        <v>5574.5575200000012</v>
      </c>
      <c r="K26" s="1096"/>
      <c r="L26" s="1097">
        <f t="shared" si="28"/>
        <v>0</v>
      </c>
      <c r="M26" s="1096"/>
      <c r="N26" s="1096"/>
      <c r="O26" s="1098">
        <f t="shared" si="34"/>
        <v>8.4</v>
      </c>
      <c r="P26" s="1096">
        <f t="shared" si="35"/>
        <v>5574.5575200000012</v>
      </c>
      <c r="Q26" s="1098">
        <f t="shared" si="36"/>
        <v>188.4</v>
      </c>
      <c r="R26" s="1096">
        <f t="shared" si="37"/>
        <v>125029.36152000002</v>
      </c>
      <c r="S26" s="1099"/>
      <c r="T26" s="1099"/>
    </row>
    <row r="27" spans="1:20" ht="46.5">
      <c r="A27" s="1119"/>
      <c r="B27" s="935" t="s">
        <v>5798</v>
      </c>
      <c r="C27" s="1153">
        <f>+'Ins Abs'!C26</f>
        <v>30.8</v>
      </c>
      <c r="D27" s="1069" t="s">
        <v>3798</v>
      </c>
      <c r="E27" s="1096">
        <f>'SI- Detail  '!H80</f>
        <v>110.8</v>
      </c>
      <c r="F27" s="1097">
        <f>C27*E27</f>
        <v>3412.64</v>
      </c>
      <c r="G27" s="1096"/>
      <c r="H27" s="1097">
        <f t="shared" si="38"/>
        <v>0</v>
      </c>
      <c r="I27" s="1096"/>
      <c r="J27" s="1097">
        <f>I27*C27</f>
        <v>0</v>
      </c>
      <c r="K27" s="1096"/>
      <c r="L27" s="1097">
        <f>K27*C27</f>
        <v>0</v>
      </c>
      <c r="M27" s="1096"/>
      <c r="N27" s="1096"/>
      <c r="O27" s="1098">
        <f t="shared" si="34"/>
        <v>0</v>
      </c>
      <c r="P27" s="1096">
        <f t="shared" si="35"/>
        <v>0</v>
      </c>
      <c r="Q27" s="1098">
        <f>E27+G27+O27</f>
        <v>110.8</v>
      </c>
      <c r="R27" s="1096">
        <f>Q27*C27</f>
        <v>3412.64</v>
      </c>
      <c r="S27" s="1099"/>
      <c r="T27" s="1099"/>
    </row>
    <row r="28" spans="1:20" s="1108" customFormat="1" ht="46.5">
      <c r="A28" s="1090">
        <v>32.1</v>
      </c>
      <c r="B28" s="933" t="s">
        <v>3933</v>
      </c>
      <c r="C28" s="1106">
        <f>+'Ins Abs'!C27</f>
        <v>1465.4549999999999</v>
      </c>
      <c r="D28" s="943" t="s">
        <v>3798</v>
      </c>
      <c r="E28" s="1103">
        <f>'SI- Detail  '!H90</f>
        <v>110.8</v>
      </c>
      <c r="F28" s="1097">
        <f t="shared" si="33"/>
        <v>162372.41399999999</v>
      </c>
      <c r="G28" s="1103"/>
      <c r="H28" s="1097">
        <f t="shared" si="38"/>
        <v>0</v>
      </c>
      <c r="I28" s="1103"/>
      <c r="J28" s="1097">
        <f t="shared" si="27"/>
        <v>0</v>
      </c>
      <c r="K28" s="1096"/>
      <c r="L28" s="1097">
        <f t="shared" si="28"/>
        <v>0</v>
      </c>
      <c r="M28" s="1103"/>
      <c r="N28" s="1096"/>
      <c r="O28" s="1098">
        <f t="shared" si="34"/>
        <v>0</v>
      </c>
      <c r="P28" s="1096">
        <f t="shared" si="35"/>
        <v>0</v>
      </c>
      <c r="Q28" s="1098">
        <f t="shared" si="36"/>
        <v>110.8</v>
      </c>
      <c r="R28" s="1096">
        <f t="shared" si="37"/>
        <v>162372.41399999999</v>
      </c>
      <c r="S28" s="1107"/>
      <c r="T28" s="1104"/>
    </row>
    <row r="29" spans="1:20" s="1108" customFormat="1" ht="69.75">
      <c r="A29" s="1090"/>
      <c r="B29" s="1388" t="s">
        <v>5799</v>
      </c>
      <c r="C29" s="1106">
        <f>+'Ins Abs'!C28</f>
        <v>460.6</v>
      </c>
      <c r="D29" s="943" t="s">
        <v>3798</v>
      </c>
      <c r="E29" s="1103">
        <f>'SI- Detail  '!H100</f>
        <v>181.25</v>
      </c>
      <c r="F29" s="1097">
        <f t="shared" si="33"/>
        <v>83483.75</v>
      </c>
      <c r="G29" s="1103"/>
      <c r="H29" s="1097">
        <f t="shared" si="38"/>
        <v>0</v>
      </c>
      <c r="I29" s="1103"/>
      <c r="J29" s="1097">
        <f t="shared" si="27"/>
        <v>0</v>
      </c>
      <c r="K29" s="1096"/>
      <c r="L29" s="1097">
        <f t="shared" si="28"/>
        <v>0</v>
      </c>
      <c r="M29" s="1103"/>
      <c r="N29" s="1096"/>
      <c r="O29" s="1098">
        <f t="shared" si="34"/>
        <v>0</v>
      </c>
      <c r="P29" s="1096">
        <f t="shared" si="35"/>
        <v>0</v>
      </c>
      <c r="Q29" s="1098">
        <f t="shared" si="36"/>
        <v>181.25</v>
      </c>
      <c r="R29" s="1096">
        <f t="shared" si="37"/>
        <v>83483.75</v>
      </c>
      <c r="S29" s="1107"/>
      <c r="T29" s="1104"/>
    </row>
    <row r="30" spans="1:20" s="1108" customFormat="1" ht="116.25">
      <c r="A30" s="1090"/>
      <c r="B30" s="933" t="s">
        <v>3424</v>
      </c>
      <c r="C30" s="1106">
        <f>+'Ins Abs'!C29</f>
        <v>13.58</v>
      </c>
      <c r="D30" s="943" t="s">
        <v>3798</v>
      </c>
      <c r="E30" s="1103">
        <f>'SI- Detail  '!H40</f>
        <v>32.200000000000003</v>
      </c>
      <c r="F30" s="1097">
        <f t="shared" si="33"/>
        <v>437.27600000000007</v>
      </c>
      <c r="G30" s="1103"/>
      <c r="H30" s="1097">
        <f t="shared" si="38"/>
        <v>0</v>
      </c>
      <c r="I30" s="1103"/>
      <c r="J30" s="1097">
        <f t="shared" ref="J30:J34" si="39">I30*C30</f>
        <v>0</v>
      </c>
      <c r="K30" s="1096"/>
      <c r="L30" s="1097">
        <f t="shared" ref="L30:L34" si="40">K30*C30</f>
        <v>0</v>
      </c>
      <c r="M30" s="1103"/>
      <c r="N30" s="1096"/>
      <c r="O30" s="1098">
        <f t="shared" si="34"/>
        <v>0</v>
      </c>
      <c r="P30" s="1096">
        <f t="shared" si="35"/>
        <v>0</v>
      </c>
      <c r="Q30" s="1098">
        <f t="shared" si="36"/>
        <v>32.200000000000003</v>
      </c>
      <c r="R30" s="1096">
        <f t="shared" si="37"/>
        <v>437.27600000000007</v>
      </c>
      <c r="S30" s="1107"/>
      <c r="T30" s="1104"/>
    </row>
    <row r="31" spans="1:20" ht="45.75" customHeight="1">
      <c r="A31" s="1090">
        <v>33</v>
      </c>
      <c r="B31" s="933" t="s">
        <v>3935</v>
      </c>
      <c r="C31" s="1092">
        <f>+'Ins Abs'!C30</f>
        <v>325.90227999999996</v>
      </c>
      <c r="D31" s="940" t="s">
        <v>3798</v>
      </c>
      <c r="E31" s="1096">
        <f>'SI- Detail  '!H59</f>
        <v>20.8</v>
      </c>
      <c r="F31" s="1097">
        <f t="shared" si="33"/>
        <v>6778.7674239999997</v>
      </c>
      <c r="G31" s="1096"/>
      <c r="H31" s="1097">
        <f t="shared" si="38"/>
        <v>0</v>
      </c>
      <c r="I31" s="1096">
        <f>'SI - Sullage  '!H41</f>
        <v>67.149999999999991</v>
      </c>
      <c r="J31" s="1097">
        <f t="shared" si="39"/>
        <v>21884.338101999994</v>
      </c>
      <c r="K31" s="1096">
        <f>'SI - PP - Detail '!H42</f>
        <v>60</v>
      </c>
      <c r="L31" s="1097">
        <f t="shared" si="40"/>
        <v>19554.136799999997</v>
      </c>
      <c r="M31" s="1096"/>
      <c r="N31" s="1096"/>
      <c r="O31" s="1098">
        <f t="shared" si="34"/>
        <v>127.14999999999999</v>
      </c>
      <c r="P31" s="1096">
        <f t="shared" si="35"/>
        <v>41438.474901999987</v>
      </c>
      <c r="Q31" s="1098">
        <f t="shared" si="36"/>
        <v>147.94999999999999</v>
      </c>
      <c r="R31" s="1096">
        <f t="shared" si="37"/>
        <v>48217.242325999992</v>
      </c>
      <c r="S31" s="1099"/>
      <c r="T31" s="1099"/>
    </row>
    <row r="32" spans="1:20" ht="47.25" customHeight="1">
      <c r="A32" s="1090">
        <v>34</v>
      </c>
      <c r="B32" s="933" t="s">
        <v>3936</v>
      </c>
      <c r="C32" s="1092">
        <f>+'Ins Abs'!C31</f>
        <v>331.99059999999997</v>
      </c>
      <c r="D32" s="940" t="s">
        <v>3798</v>
      </c>
      <c r="E32" s="1096">
        <f>'SI- Detail  '!H62</f>
        <v>12</v>
      </c>
      <c r="F32" s="1097">
        <f t="shared" si="33"/>
        <v>3983.8871999999997</v>
      </c>
      <c r="G32" s="1096"/>
      <c r="H32" s="1097">
        <f t="shared" si="38"/>
        <v>0</v>
      </c>
      <c r="I32" s="1096">
        <f>'SI - Sullage  '!H32</f>
        <v>108</v>
      </c>
      <c r="J32" s="1097">
        <f t="shared" si="39"/>
        <v>35854.984799999998</v>
      </c>
      <c r="K32" s="1096"/>
      <c r="L32" s="1097">
        <f t="shared" si="40"/>
        <v>0</v>
      </c>
      <c r="M32" s="1096"/>
      <c r="N32" s="1096"/>
      <c r="O32" s="1098">
        <f t="shared" si="34"/>
        <v>108</v>
      </c>
      <c r="P32" s="1096">
        <f t="shared" si="35"/>
        <v>35854.984799999998</v>
      </c>
      <c r="Q32" s="1098">
        <f t="shared" si="36"/>
        <v>120</v>
      </c>
      <c r="R32" s="1096">
        <f t="shared" si="37"/>
        <v>39838.871999999996</v>
      </c>
      <c r="S32" s="1099"/>
      <c r="T32" s="1099"/>
    </row>
    <row r="33" spans="1:21" ht="57.75" customHeight="1">
      <c r="A33" s="1090">
        <v>35</v>
      </c>
      <c r="B33" s="933" t="s">
        <v>3937</v>
      </c>
      <c r="C33" s="1092">
        <f>+'Ins Abs'!C32</f>
        <v>372.77499999999998</v>
      </c>
      <c r="D33" s="940" t="s">
        <v>3798</v>
      </c>
      <c r="E33" s="1096">
        <f>'SI- Detail  '!H53</f>
        <v>32.200000000000003</v>
      </c>
      <c r="F33" s="1097">
        <f t="shared" si="33"/>
        <v>12003.355</v>
      </c>
      <c r="G33" s="1096"/>
      <c r="H33" s="1097">
        <f t="shared" si="38"/>
        <v>0</v>
      </c>
      <c r="I33" s="1096"/>
      <c r="J33" s="1097">
        <f t="shared" si="39"/>
        <v>0</v>
      </c>
      <c r="K33" s="1096"/>
      <c r="L33" s="1097">
        <f t="shared" si="40"/>
        <v>0</v>
      </c>
      <c r="M33" s="1096"/>
      <c r="N33" s="1096"/>
      <c r="O33" s="1098">
        <f t="shared" si="34"/>
        <v>0</v>
      </c>
      <c r="P33" s="1096">
        <f t="shared" si="35"/>
        <v>0</v>
      </c>
      <c r="Q33" s="1098">
        <f t="shared" si="36"/>
        <v>32.200000000000003</v>
      </c>
      <c r="R33" s="1096">
        <f t="shared" si="37"/>
        <v>12003.355</v>
      </c>
      <c r="S33" s="1099"/>
      <c r="T33" s="1099"/>
    </row>
    <row r="34" spans="1:21">
      <c r="A34" s="1090"/>
      <c r="B34" s="1270" t="s">
        <v>4544</v>
      </c>
      <c r="C34" s="1085">
        <f>+'Ins Abs'!C33</f>
        <v>44.256700000000002</v>
      </c>
      <c r="D34" s="940" t="s">
        <v>3798</v>
      </c>
      <c r="E34" s="1096">
        <f>'SI- Detail  '!H191</f>
        <v>246</v>
      </c>
      <c r="F34" s="1097">
        <f t="shared" si="33"/>
        <v>10887.1482</v>
      </c>
      <c r="G34" s="1096"/>
      <c r="H34" s="1097">
        <f t="shared" si="38"/>
        <v>0</v>
      </c>
      <c r="I34" s="1096"/>
      <c r="J34" s="1097">
        <f t="shared" si="39"/>
        <v>0</v>
      </c>
      <c r="K34" s="1096"/>
      <c r="L34" s="1097">
        <f t="shared" si="40"/>
        <v>0</v>
      </c>
      <c r="M34" s="1096"/>
      <c r="N34" s="1096"/>
      <c r="O34" s="1098">
        <f t="shared" si="34"/>
        <v>0</v>
      </c>
      <c r="P34" s="1096">
        <f t="shared" si="35"/>
        <v>0</v>
      </c>
      <c r="Q34" s="1098">
        <f t="shared" si="36"/>
        <v>246</v>
      </c>
      <c r="R34" s="1096">
        <f t="shared" si="37"/>
        <v>10887.1482</v>
      </c>
      <c r="S34" s="1099"/>
      <c r="T34" s="1099"/>
    </row>
    <row r="35" spans="1:21">
      <c r="A35" s="1090">
        <v>40</v>
      </c>
      <c r="B35" s="933" t="s">
        <v>3944</v>
      </c>
      <c r="C35" s="1092">
        <f>+'Ins Abs'!C34</f>
        <v>283.40549999999996</v>
      </c>
      <c r="D35" s="940" t="s">
        <v>3798</v>
      </c>
      <c r="E35" s="1096">
        <f>'SI- Detail  '!H357</f>
        <v>6.1500000000000012</v>
      </c>
      <c r="F35" s="1097">
        <f>C35*E35</f>
        <v>1742.9438250000001</v>
      </c>
      <c r="G35" s="1096"/>
      <c r="H35" s="1097">
        <f t="shared" si="38"/>
        <v>0</v>
      </c>
      <c r="I35" s="1096"/>
      <c r="J35" s="1097">
        <f>I35*C35</f>
        <v>0</v>
      </c>
      <c r="K35" s="1096"/>
      <c r="L35" s="1097">
        <f>K35*C35</f>
        <v>0</v>
      </c>
      <c r="M35" s="1096"/>
      <c r="N35" s="1096"/>
      <c r="O35" s="1098">
        <f t="shared" si="34"/>
        <v>0</v>
      </c>
      <c r="P35" s="1096">
        <f t="shared" si="35"/>
        <v>0</v>
      </c>
      <c r="Q35" s="1098">
        <f>E35+G35+O35</f>
        <v>6.1500000000000012</v>
      </c>
      <c r="R35" s="1096">
        <f>Q35*C35</f>
        <v>1742.9438250000001</v>
      </c>
      <c r="S35" s="1099"/>
      <c r="T35" s="1099"/>
    </row>
    <row r="36" spans="1:21">
      <c r="A36" s="1119"/>
      <c r="B36" s="935" t="s">
        <v>5289</v>
      </c>
      <c r="C36" s="1153">
        <v>159.80259999999998</v>
      </c>
      <c r="D36" s="940" t="s">
        <v>3798</v>
      </c>
      <c r="E36" s="1096"/>
      <c r="F36" s="1097"/>
      <c r="G36" s="1096"/>
      <c r="H36" s="1097">
        <f t="shared" si="38"/>
        <v>0</v>
      </c>
      <c r="I36" s="1096"/>
      <c r="J36" s="1097">
        <f t="shared" ref="J36:J46" si="41">I36*C36</f>
        <v>0</v>
      </c>
      <c r="K36" s="1096"/>
      <c r="L36" s="1097">
        <f t="shared" ref="L36:L46" si="42">K36*C36</f>
        <v>0</v>
      </c>
      <c r="M36" s="1096"/>
      <c r="N36" s="1096"/>
      <c r="O36" s="1098">
        <f t="shared" si="34"/>
        <v>0</v>
      </c>
      <c r="P36" s="1096">
        <f t="shared" si="35"/>
        <v>0</v>
      </c>
      <c r="Q36" s="1098">
        <f t="shared" si="36"/>
        <v>0</v>
      </c>
      <c r="R36" s="1096">
        <f t="shared" si="37"/>
        <v>0</v>
      </c>
      <c r="S36" s="1099"/>
      <c r="T36" s="1099"/>
    </row>
    <row r="37" spans="1:21">
      <c r="A37" s="1119"/>
      <c r="B37" s="935" t="s">
        <v>4552</v>
      </c>
      <c r="C37" s="1153">
        <v>111.1348</v>
      </c>
      <c r="D37" s="940" t="s">
        <v>3798</v>
      </c>
      <c r="E37" s="1096"/>
      <c r="F37" s="1097">
        <f t="shared" si="33"/>
        <v>0</v>
      </c>
      <c r="G37" s="1096"/>
      <c r="H37" s="1097">
        <f t="shared" si="38"/>
        <v>0</v>
      </c>
      <c r="I37" s="1096"/>
      <c r="J37" s="1097">
        <f t="shared" si="41"/>
        <v>0</v>
      </c>
      <c r="K37" s="1096"/>
      <c r="L37" s="1097">
        <f t="shared" si="42"/>
        <v>0</v>
      </c>
      <c r="M37" s="1096"/>
      <c r="N37" s="1096"/>
      <c r="O37" s="1098">
        <f t="shared" si="34"/>
        <v>0</v>
      </c>
      <c r="P37" s="1096">
        <f t="shared" si="35"/>
        <v>0</v>
      </c>
      <c r="Q37" s="1098">
        <f t="shared" si="36"/>
        <v>0</v>
      </c>
      <c r="R37" s="1096">
        <f t="shared" si="37"/>
        <v>0</v>
      </c>
      <c r="S37" s="1099"/>
      <c r="T37" s="1099"/>
    </row>
    <row r="38" spans="1:21">
      <c r="A38" s="1119"/>
      <c r="B38" s="935" t="s">
        <v>5290</v>
      </c>
      <c r="C38" s="1153">
        <f>+'Ins Abs'!C35</f>
        <v>193.79879999999997</v>
      </c>
      <c r="D38" s="940" t="s">
        <v>3798</v>
      </c>
      <c r="E38" s="1096">
        <f>'SI- Detail  '!H291</f>
        <v>383.1</v>
      </c>
      <c r="F38" s="1097">
        <f>C38*E38</f>
        <v>74244.32028</v>
      </c>
      <c r="G38" s="1096"/>
      <c r="H38" s="1097">
        <f t="shared" si="38"/>
        <v>0</v>
      </c>
      <c r="I38" s="1096"/>
      <c r="J38" s="1097">
        <f>I38*C38</f>
        <v>0</v>
      </c>
      <c r="K38" s="1096"/>
      <c r="L38" s="1097">
        <f>K38*C38</f>
        <v>0</v>
      </c>
      <c r="M38" s="1096"/>
      <c r="N38" s="1096"/>
      <c r="O38" s="1098">
        <f t="shared" si="34"/>
        <v>0</v>
      </c>
      <c r="P38" s="1096">
        <f t="shared" si="35"/>
        <v>0</v>
      </c>
      <c r="Q38" s="1098">
        <f>E38+G38+O38</f>
        <v>383.1</v>
      </c>
      <c r="R38" s="1096">
        <f>Q38*C38</f>
        <v>74244.32028</v>
      </c>
      <c r="S38" s="1099"/>
      <c r="T38" s="1099"/>
    </row>
    <row r="39" spans="1:21" s="1108" customFormat="1">
      <c r="A39" s="1090">
        <v>44.1</v>
      </c>
      <c r="B39" s="933" t="s">
        <v>3950</v>
      </c>
      <c r="C39" s="1106">
        <f>+'Data 2022-23'!K1638</f>
        <v>390.34</v>
      </c>
      <c r="D39" s="943" t="s">
        <v>303</v>
      </c>
      <c r="E39" s="1103">
        <f>'SI- Detail  '!H162</f>
        <v>120</v>
      </c>
      <c r="F39" s="1097">
        <f t="shared" si="33"/>
        <v>46840.799999999996</v>
      </c>
      <c r="G39" s="1103"/>
      <c r="H39" s="1097">
        <f t="shared" si="38"/>
        <v>0</v>
      </c>
      <c r="I39" s="1103"/>
      <c r="J39" s="1097">
        <f t="shared" si="41"/>
        <v>0</v>
      </c>
      <c r="K39" s="1096"/>
      <c r="L39" s="1097">
        <f t="shared" si="42"/>
        <v>0</v>
      </c>
      <c r="M39" s="1103"/>
      <c r="N39" s="1096"/>
      <c r="O39" s="1098">
        <f t="shared" si="34"/>
        <v>0</v>
      </c>
      <c r="P39" s="1096">
        <f t="shared" si="35"/>
        <v>0</v>
      </c>
      <c r="Q39" s="1098">
        <f t="shared" si="36"/>
        <v>120</v>
      </c>
      <c r="R39" s="1096">
        <f t="shared" si="37"/>
        <v>46840.799999999996</v>
      </c>
      <c r="S39" s="1107"/>
      <c r="T39" s="1104"/>
    </row>
    <row r="40" spans="1:21" s="1108" customFormat="1">
      <c r="A40" s="1154">
        <v>51</v>
      </c>
      <c r="B40" s="1272" t="s">
        <v>3961</v>
      </c>
      <c r="C40" s="1155">
        <f>+'Ins Abs'!C36</f>
        <v>7035.0000000000009</v>
      </c>
      <c r="D40" s="1156" t="s">
        <v>340</v>
      </c>
      <c r="E40" s="1113">
        <f>'SI- Detail  '!H297</f>
        <v>8</v>
      </c>
      <c r="F40" s="1097">
        <f t="shared" si="33"/>
        <v>56280.000000000007</v>
      </c>
      <c r="G40" s="1113"/>
      <c r="H40" s="1097">
        <f t="shared" si="38"/>
        <v>0</v>
      </c>
      <c r="I40" s="1113"/>
      <c r="J40" s="1097">
        <f t="shared" si="41"/>
        <v>0</v>
      </c>
      <c r="K40" s="1114"/>
      <c r="L40" s="1097">
        <f t="shared" si="42"/>
        <v>0</v>
      </c>
      <c r="M40" s="1113"/>
      <c r="N40" s="1096"/>
      <c r="O40" s="1098">
        <f t="shared" si="34"/>
        <v>0</v>
      </c>
      <c r="P40" s="1096">
        <f t="shared" si="35"/>
        <v>0</v>
      </c>
      <c r="Q40" s="1098">
        <f t="shared" si="36"/>
        <v>8</v>
      </c>
      <c r="R40" s="1096">
        <f t="shared" si="37"/>
        <v>56280.000000000007</v>
      </c>
      <c r="S40" s="1107"/>
      <c r="T40" s="1104"/>
    </row>
    <row r="41" spans="1:21" s="1144" customFormat="1" ht="46.9" customHeight="1">
      <c r="A41" s="1129">
        <v>52</v>
      </c>
      <c r="B41" s="1263" t="s">
        <v>3962</v>
      </c>
      <c r="C41" s="1117"/>
      <c r="D41" s="1118"/>
      <c r="E41" s="1103"/>
      <c r="F41" s="1097">
        <f t="shared" si="33"/>
        <v>0</v>
      </c>
      <c r="G41" s="1103"/>
      <c r="H41" s="1097">
        <f t="shared" si="38"/>
        <v>0</v>
      </c>
      <c r="I41" s="1103"/>
      <c r="J41" s="1097">
        <f t="shared" si="41"/>
        <v>0</v>
      </c>
      <c r="K41" s="1096"/>
      <c r="L41" s="1097">
        <f t="shared" si="42"/>
        <v>0</v>
      </c>
      <c r="M41" s="1103"/>
      <c r="N41" s="1096"/>
      <c r="O41" s="1098">
        <f t="shared" si="34"/>
        <v>0</v>
      </c>
      <c r="P41" s="1096">
        <f t="shared" si="35"/>
        <v>0</v>
      </c>
      <c r="Q41" s="1098">
        <f t="shared" si="36"/>
        <v>0</v>
      </c>
      <c r="R41" s="1096">
        <f t="shared" si="37"/>
        <v>0</v>
      </c>
      <c r="S41" s="1132"/>
      <c r="T41" s="1104"/>
      <c r="U41" s="1133"/>
    </row>
    <row r="42" spans="1:21" s="1144" customFormat="1" ht="36" customHeight="1">
      <c r="A42" s="1118"/>
      <c r="B42" s="1265" t="s">
        <v>3963</v>
      </c>
      <c r="C42" s="1117">
        <f>+'Ins Abs'!C38</f>
        <v>307.24199999999996</v>
      </c>
      <c r="D42" s="1118" t="s">
        <v>303</v>
      </c>
      <c r="E42" s="1103">
        <f>'SI- Detail  '!H150</f>
        <v>72</v>
      </c>
      <c r="F42" s="1097">
        <f t="shared" si="33"/>
        <v>22121.423999999999</v>
      </c>
      <c r="G42" s="1103"/>
      <c r="H42" s="1097">
        <f t="shared" si="38"/>
        <v>0</v>
      </c>
      <c r="I42" s="1103"/>
      <c r="J42" s="1097">
        <f t="shared" si="41"/>
        <v>0</v>
      </c>
      <c r="K42" s="1096"/>
      <c r="L42" s="1097">
        <f t="shared" si="42"/>
        <v>0</v>
      </c>
      <c r="M42" s="1103"/>
      <c r="N42" s="1096"/>
      <c r="O42" s="1098">
        <f t="shared" si="34"/>
        <v>0</v>
      </c>
      <c r="P42" s="1096">
        <f t="shared" si="35"/>
        <v>0</v>
      </c>
      <c r="Q42" s="1098">
        <f t="shared" si="36"/>
        <v>72</v>
      </c>
      <c r="R42" s="1096">
        <f t="shared" si="37"/>
        <v>22121.423999999999</v>
      </c>
      <c r="S42" s="1104"/>
      <c r="T42" s="1104"/>
    </row>
    <row r="43" spans="1:21" s="1144" customFormat="1">
      <c r="A43" s="1118"/>
      <c r="B43" s="1265" t="s">
        <v>3964</v>
      </c>
      <c r="C43" s="1117">
        <f>+'Ins Abs'!C39</f>
        <v>289.63333333333333</v>
      </c>
      <c r="D43" s="1118" t="s">
        <v>303</v>
      </c>
      <c r="E43" s="1103">
        <f>'SI- Detail  '!H147</f>
        <v>120</v>
      </c>
      <c r="F43" s="1097">
        <f t="shared" si="33"/>
        <v>34756</v>
      </c>
      <c r="G43" s="1103"/>
      <c r="H43" s="1097">
        <f t="shared" si="38"/>
        <v>0</v>
      </c>
      <c r="I43" s="1103"/>
      <c r="J43" s="1097">
        <f t="shared" si="41"/>
        <v>0</v>
      </c>
      <c r="K43" s="1096"/>
      <c r="L43" s="1097">
        <f t="shared" si="42"/>
        <v>0</v>
      </c>
      <c r="M43" s="1103"/>
      <c r="N43" s="1096"/>
      <c r="O43" s="1098">
        <f t="shared" si="34"/>
        <v>0</v>
      </c>
      <c r="P43" s="1096">
        <f t="shared" si="35"/>
        <v>0</v>
      </c>
      <c r="Q43" s="1098">
        <f t="shared" si="36"/>
        <v>120</v>
      </c>
      <c r="R43" s="1096">
        <f t="shared" si="37"/>
        <v>34756</v>
      </c>
      <c r="S43" s="1104"/>
      <c r="T43" s="1104"/>
    </row>
    <row r="44" spans="1:21" s="1108" customFormat="1">
      <c r="A44" s="1119">
        <v>53.1</v>
      </c>
      <c r="B44" s="935" t="s">
        <v>3967</v>
      </c>
      <c r="C44" s="1120">
        <f>+'Ins Abs'!C40</f>
        <v>3856.62</v>
      </c>
      <c r="D44" s="1121" t="s">
        <v>340</v>
      </c>
      <c r="E44" s="1103">
        <f>'SI- Detail  '!H349</f>
        <v>8</v>
      </c>
      <c r="F44" s="1097">
        <f>C44*E44</f>
        <v>30852.959999999999</v>
      </c>
      <c r="G44" s="1103"/>
      <c r="H44" s="1097">
        <f t="shared" si="38"/>
        <v>0</v>
      </c>
      <c r="I44" s="1103"/>
      <c r="J44" s="1097">
        <f>I44*C44</f>
        <v>0</v>
      </c>
      <c r="K44" s="1096"/>
      <c r="L44" s="1097">
        <f>K44*C44</f>
        <v>0</v>
      </c>
      <c r="M44" s="1103"/>
      <c r="N44" s="1096"/>
      <c r="O44" s="1098">
        <f t="shared" si="34"/>
        <v>0</v>
      </c>
      <c r="P44" s="1096">
        <f t="shared" si="35"/>
        <v>0</v>
      </c>
      <c r="Q44" s="1098">
        <f>E44+G44+O44</f>
        <v>8</v>
      </c>
      <c r="R44" s="1096">
        <f>Q44*C44</f>
        <v>30852.959999999999</v>
      </c>
      <c r="S44" s="1107"/>
      <c r="T44" s="1104"/>
    </row>
    <row r="45" spans="1:21" s="1108" customFormat="1">
      <c r="A45" s="1090">
        <v>54.1</v>
      </c>
      <c r="B45" s="933" t="s">
        <v>3971</v>
      </c>
      <c r="C45" s="1106">
        <f>+'Ins Abs'!C41</f>
        <v>538</v>
      </c>
      <c r="D45" s="943" t="s">
        <v>340</v>
      </c>
      <c r="E45" s="1103">
        <f>'SI- Detail  '!H155</f>
        <v>24</v>
      </c>
      <c r="F45" s="1097">
        <f t="shared" si="33"/>
        <v>12912</v>
      </c>
      <c r="G45" s="1103"/>
      <c r="H45" s="1097">
        <f t="shared" si="38"/>
        <v>0</v>
      </c>
      <c r="I45" s="1103"/>
      <c r="J45" s="1097">
        <f t="shared" si="41"/>
        <v>0</v>
      </c>
      <c r="K45" s="1096"/>
      <c r="L45" s="1097">
        <f t="shared" si="42"/>
        <v>0</v>
      </c>
      <c r="M45" s="1103"/>
      <c r="N45" s="1096"/>
      <c r="O45" s="1098">
        <f t="shared" si="34"/>
        <v>0</v>
      </c>
      <c r="P45" s="1096">
        <f t="shared" si="35"/>
        <v>0</v>
      </c>
      <c r="Q45" s="1098">
        <f t="shared" si="36"/>
        <v>24</v>
      </c>
      <c r="R45" s="1096">
        <f t="shared" si="37"/>
        <v>12912</v>
      </c>
      <c r="S45" s="1107"/>
      <c r="T45" s="1104"/>
    </row>
    <row r="46" spans="1:21" s="1108" customFormat="1">
      <c r="A46" s="1090">
        <v>54.2</v>
      </c>
      <c r="B46" s="933" t="s">
        <v>3972</v>
      </c>
      <c r="C46" s="1106">
        <f>+'Ins Abs'!C42</f>
        <v>490</v>
      </c>
      <c r="D46" s="943" t="s">
        <v>340</v>
      </c>
      <c r="E46" s="1103">
        <f>'SI- Detail  '!H159</f>
        <v>13</v>
      </c>
      <c r="F46" s="1097">
        <f t="shared" si="33"/>
        <v>6370</v>
      </c>
      <c r="G46" s="1103"/>
      <c r="H46" s="1097">
        <f t="shared" si="38"/>
        <v>0</v>
      </c>
      <c r="I46" s="1103"/>
      <c r="J46" s="1097">
        <f t="shared" si="41"/>
        <v>0</v>
      </c>
      <c r="K46" s="1096"/>
      <c r="L46" s="1097">
        <f t="shared" si="42"/>
        <v>0</v>
      </c>
      <c r="M46" s="1103"/>
      <c r="N46" s="1096"/>
      <c r="O46" s="1098">
        <f t="shared" si="34"/>
        <v>0</v>
      </c>
      <c r="P46" s="1096">
        <f t="shared" si="35"/>
        <v>0</v>
      </c>
      <c r="Q46" s="1098">
        <f t="shared" si="36"/>
        <v>13</v>
      </c>
      <c r="R46" s="1096">
        <f t="shared" si="37"/>
        <v>6370</v>
      </c>
      <c r="S46" s="1107"/>
      <c r="T46" s="1104"/>
    </row>
    <row r="47" spans="1:21" s="1105" customFormat="1">
      <c r="A47" s="1129">
        <v>69</v>
      </c>
      <c r="B47" s="1265" t="s">
        <v>4007</v>
      </c>
      <c r="C47" s="1117">
        <f>+'Ins Abs'!C43</f>
        <v>149.995</v>
      </c>
      <c r="D47" s="1118" t="s">
        <v>340</v>
      </c>
      <c r="F47" s="1097">
        <f>C47*E47</f>
        <v>0</v>
      </c>
      <c r="G47" s="1103">
        <f>'SI- Elec  '!H42</f>
        <v>34</v>
      </c>
      <c r="H47" s="1097">
        <f t="shared" ref="H47" si="43">C47*G47</f>
        <v>5099.83</v>
      </c>
      <c r="I47" s="1103"/>
      <c r="J47" s="1097">
        <f>I47*C47</f>
        <v>0</v>
      </c>
      <c r="K47" s="1096"/>
      <c r="L47" s="1097">
        <f>K47*C47</f>
        <v>0</v>
      </c>
      <c r="M47" s="1103"/>
      <c r="N47" s="1096"/>
      <c r="O47" s="1098">
        <f t="shared" ref="O47" si="44">K47+I47</f>
        <v>0</v>
      </c>
      <c r="P47" s="1096">
        <f t="shared" ref="P47" si="45">J47+L47</f>
        <v>0</v>
      </c>
      <c r="Q47" s="1098">
        <f>E47+G47+O47</f>
        <v>34</v>
      </c>
      <c r="R47" s="1096">
        <f>Q47*C47</f>
        <v>5099.83</v>
      </c>
      <c r="S47" s="1104"/>
      <c r="T47" s="1104"/>
    </row>
    <row r="48" spans="1:21">
      <c r="A48" s="1090">
        <v>86</v>
      </c>
      <c r="B48" s="933" t="s">
        <v>4035</v>
      </c>
      <c r="C48" s="1092">
        <v>34</v>
      </c>
      <c r="D48" s="940" t="s">
        <v>3798</v>
      </c>
      <c r="E48" s="1096"/>
      <c r="F48" s="1097">
        <f t="shared" ref="F48" si="46">C48*E48</f>
        <v>0</v>
      </c>
      <c r="G48" s="1096"/>
      <c r="H48" s="1097">
        <f t="shared" ref="H48:H49" si="47">C48*G48</f>
        <v>0</v>
      </c>
      <c r="I48" s="1096"/>
      <c r="J48" s="1097">
        <f t="shared" ref="J48" si="48">I48*C48</f>
        <v>0</v>
      </c>
      <c r="K48" s="1096"/>
      <c r="L48" s="1097">
        <f t="shared" ref="L48" si="49">K48*C48</f>
        <v>0</v>
      </c>
      <c r="M48" s="1096"/>
      <c r="N48" s="1096"/>
      <c r="O48" s="1098">
        <f t="shared" ref="O48:O49" si="50">K48+I48</f>
        <v>0</v>
      </c>
      <c r="P48" s="1096">
        <f t="shared" ref="P48:P49" si="51">J48+L48</f>
        <v>0</v>
      </c>
      <c r="Q48" s="1098">
        <f t="shared" ref="Q48" si="52">E48+G48+O48</f>
        <v>0</v>
      </c>
      <c r="R48" s="1096">
        <f t="shared" ref="R48" si="53">Q48*C48</f>
        <v>0</v>
      </c>
      <c r="S48" s="1099"/>
      <c r="T48" s="1099"/>
    </row>
    <row r="49" spans="1:21" ht="26.25">
      <c r="A49" s="1090"/>
      <c r="B49" s="1273" t="s">
        <v>4039</v>
      </c>
      <c r="C49" s="1092"/>
      <c r="D49" s="940"/>
      <c r="E49" s="1096"/>
      <c r="F49" s="1097">
        <f>C49*E49</f>
        <v>0</v>
      </c>
      <c r="G49" s="1096"/>
      <c r="H49" s="1097">
        <f t="shared" si="47"/>
        <v>0</v>
      </c>
      <c r="I49" s="1096"/>
      <c r="J49" s="1097">
        <f>I49*C49</f>
        <v>0</v>
      </c>
      <c r="K49" s="1096"/>
      <c r="L49" s="1097">
        <f>K49*C49</f>
        <v>0</v>
      </c>
      <c r="M49" s="1096"/>
      <c r="N49" s="1096"/>
      <c r="O49" s="1098">
        <f t="shared" si="50"/>
        <v>0</v>
      </c>
      <c r="P49" s="1096">
        <f t="shared" si="51"/>
        <v>0</v>
      </c>
      <c r="Q49" s="1098">
        <f>E49+G49+O49</f>
        <v>0</v>
      </c>
      <c r="R49" s="1096">
        <f>Q49*C49</f>
        <v>0</v>
      </c>
      <c r="S49" s="1122"/>
      <c r="T49" s="1099"/>
      <c r="U49" s="1123"/>
    </row>
    <row r="50" spans="1:21" s="1108" customFormat="1" ht="46.5">
      <c r="A50" s="1138"/>
      <c r="B50" s="933" t="s">
        <v>3563</v>
      </c>
      <c r="C50" s="1106">
        <f>+'Ins Abs'!C45</f>
        <v>185.36</v>
      </c>
      <c r="D50" s="943" t="s">
        <v>306</v>
      </c>
      <c r="E50" s="1103">
        <f>'SI- Detail  '!H123</f>
        <v>24</v>
      </c>
      <c r="F50" s="1097">
        <f t="shared" ref="F50:F52" si="54">C50*E50</f>
        <v>4448.6400000000003</v>
      </c>
      <c r="G50" s="1103"/>
      <c r="H50" s="1097">
        <f t="shared" ref="H50:H52" si="55">C50*G50</f>
        <v>0</v>
      </c>
      <c r="I50" s="1103"/>
      <c r="J50" s="1097">
        <f t="shared" ref="J50:J52" si="56">I50*C50</f>
        <v>0</v>
      </c>
      <c r="K50" s="1096"/>
      <c r="L50" s="1097">
        <f t="shared" ref="L50:L52" si="57">K50*C50</f>
        <v>0</v>
      </c>
      <c r="M50" s="1103"/>
      <c r="N50" s="1096"/>
      <c r="O50" s="1098">
        <f t="shared" ref="O50:O52" si="58">K50+I50</f>
        <v>0</v>
      </c>
      <c r="P50" s="1096">
        <f t="shared" ref="P50:P52" si="59">J50+L50</f>
        <v>0</v>
      </c>
      <c r="Q50" s="1098">
        <f t="shared" ref="Q50:Q52" si="60">E50+G50+O50</f>
        <v>24</v>
      </c>
      <c r="R50" s="1096">
        <f t="shared" ref="R50:R52" si="61">Q50*C50</f>
        <v>4448.6400000000003</v>
      </c>
      <c r="S50" s="1107"/>
      <c r="T50" s="1104"/>
    </row>
    <row r="51" spans="1:21" ht="58.5" customHeight="1">
      <c r="A51" s="1090" t="s">
        <v>4132</v>
      </c>
      <c r="B51" s="933" t="s">
        <v>5800</v>
      </c>
      <c r="C51" s="1092">
        <f>+'Ins Abs'!C46</f>
        <v>3325</v>
      </c>
      <c r="D51" s="940" t="s">
        <v>306</v>
      </c>
      <c r="E51" s="1096">
        <f>'SI- Detail  '!H126</f>
        <v>24</v>
      </c>
      <c r="F51" s="1097">
        <f t="shared" si="54"/>
        <v>79800</v>
      </c>
      <c r="G51" s="1096"/>
      <c r="H51" s="1097">
        <f t="shared" si="55"/>
        <v>0</v>
      </c>
      <c r="I51" s="1096"/>
      <c r="J51" s="1097">
        <f t="shared" si="56"/>
        <v>0</v>
      </c>
      <c r="K51" s="1096"/>
      <c r="L51" s="1097">
        <f t="shared" si="57"/>
        <v>0</v>
      </c>
      <c r="M51" s="1096"/>
      <c r="N51" s="1096"/>
      <c r="O51" s="1098">
        <f t="shared" si="58"/>
        <v>0</v>
      </c>
      <c r="P51" s="1096">
        <f t="shared" si="59"/>
        <v>0</v>
      </c>
      <c r="Q51" s="1098">
        <f t="shared" si="60"/>
        <v>24</v>
      </c>
      <c r="R51" s="1096">
        <f t="shared" si="61"/>
        <v>79800</v>
      </c>
      <c r="S51" s="1099"/>
      <c r="T51" s="1099"/>
    </row>
    <row r="52" spans="1:21" s="1105" customFormat="1" ht="46.5">
      <c r="A52" s="1206" t="s">
        <v>4134</v>
      </c>
      <c r="B52" s="1265" t="s">
        <v>4135</v>
      </c>
      <c r="C52" s="1117">
        <f>+'Ins Abs'!C47</f>
        <v>906.4</v>
      </c>
      <c r="D52" s="1118" t="s">
        <v>306</v>
      </c>
      <c r="E52" s="1103">
        <f>'SI- Detail  '!H69</f>
        <v>7.25</v>
      </c>
      <c r="F52" s="1097">
        <f t="shared" si="54"/>
        <v>6571.4</v>
      </c>
      <c r="G52" s="1103"/>
      <c r="H52" s="1097">
        <f t="shared" si="55"/>
        <v>0</v>
      </c>
      <c r="I52" s="1103"/>
      <c r="J52" s="1097">
        <f t="shared" si="56"/>
        <v>0</v>
      </c>
      <c r="K52" s="1096"/>
      <c r="L52" s="1097">
        <f t="shared" si="57"/>
        <v>0</v>
      </c>
      <c r="M52" s="1103"/>
      <c r="N52" s="1096"/>
      <c r="O52" s="1098">
        <f t="shared" si="58"/>
        <v>0</v>
      </c>
      <c r="P52" s="1096">
        <f t="shared" si="59"/>
        <v>0</v>
      </c>
      <c r="Q52" s="1098">
        <f t="shared" si="60"/>
        <v>7.25</v>
      </c>
      <c r="R52" s="1096">
        <f t="shared" si="61"/>
        <v>6571.4</v>
      </c>
      <c r="S52" s="1104"/>
      <c r="T52" s="1104"/>
    </row>
    <row r="53" spans="1:21">
      <c r="A53" s="1090">
        <v>29.8</v>
      </c>
      <c r="B53" s="933" t="s">
        <v>4141</v>
      </c>
      <c r="C53" s="1092">
        <f>+'Ins Abs'!C51</f>
        <v>1673.4978494623656</v>
      </c>
      <c r="D53" s="940" t="s">
        <v>306</v>
      </c>
      <c r="E53" s="1096">
        <f>'SI- Detail  '!H113</f>
        <v>44.7</v>
      </c>
      <c r="F53" s="1097">
        <f>C53*E53</f>
        <v>74805.353870967752</v>
      </c>
      <c r="G53" s="1096"/>
      <c r="H53" s="1097">
        <f t="shared" ref="H53:H66" si="62">C53*G53</f>
        <v>0</v>
      </c>
      <c r="I53" s="1096"/>
      <c r="J53" s="1097">
        <f>I53*C53</f>
        <v>0</v>
      </c>
      <c r="K53" s="1096"/>
      <c r="L53" s="1097">
        <f>K53*C53</f>
        <v>0</v>
      </c>
      <c r="M53" s="1096"/>
      <c r="N53" s="1096"/>
      <c r="O53" s="1098">
        <f t="shared" ref="O53:O66" si="63">K53+I53</f>
        <v>0</v>
      </c>
      <c r="P53" s="1096">
        <f t="shared" ref="P53:P66" si="64">J53+L53</f>
        <v>0</v>
      </c>
      <c r="Q53" s="1098">
        <f>E53+G53+O53</f>
        <v>44.7</v>
      </c>
      <c r="R53" s="1096">
        <f>Q53*C53</f>
        <v>74805.353870967752</v>
      </c>
      <c r="S53" s="1099"/>
      <c r="T53" s="1099"/>
    </row>
    <row r="54" spans="1:21" ht="46.5">
      <c r="A54" s="1090">
        <v>29.9</v>
      </c>
      <c r="B54" s="933" t="s">
        <v>4143</v>
      </c>
      <c r="C54" s="1092">
        <f>+'Ins Abs'!C52</f>
        <v>1456.6807000000001</v>
      </c>
      <c r="D54" s="940" t="s">
        <v>306</v>
      </c>
      <c r="E54" s="1096">
        <f>'SI- Detail  '!H106</f>
        <v>17.3</v>
      </c>
      <c r="F54" s="1097">
        <f>C54*E54</f>
        <v>25200.576110000002</v>
      </c>
      <c r="G54" s="1096"/>
      <c r="H54" s="1097">
        <f t="shared" si="62"/>
        <v>0</v>
      </c>
      <c r="I54" s="1096"/>
      <c r="J54" s="1097">
        <f>I54*C54</f>
        <v>0</v>
      </c>
      <c r="K54" s="1096"/>
      <c r="L54" s="1097">
        <f>K54*C54</f>
        <v>0</v>
      </c>
      <c r="M54" s="1096"/>
      <c r="N54" s="1096"/>
      <c r="O54" s="1098">
        <f t="shared" si="63"/>
        <v>0</v>
      </c>
      <c r="P54" s="1096">
        <f t="shared" si="64"/>
        <v>0</v>
      </c>
      <c r="Q54" s="1098">
        <f>E54+G54+O54</f>
        <v>17.3</v>
      </c>
      <c r="R54" s="1096">
        <f>Q54*C54</f>
        <v>25200.576110000002</v>
      </c>
      <c r="S54" s="1099"/>
      <c r="T54" s="1099"/>
    </row>
    <row r="55" spans="1:21" s="1105" customFormat="1" ht="69.75">
      <c r="A55" s="1129">
        <v>43</v>
      </c>
      <c r="B55" s="1265" t="s">
        <v>4147</v>
      </c>
      <c r="C55" s="1117">
        <f>+'Ins Abs'!C53</f>
        <v>98792.5</v>
      </c>
      <c r="D55" s="1118" t="s">
        <v>277</v>
      </c>
      <c r="E55" s="1207"/>
      <c r="F55" s="1097">
        <f t="shared" ref="F55:F65" si="65">C55*E55</f>
        <v>0</v>
      </c>
      <c r="G55" s="1207"/>
      <c r="H55" s="1097">
        <f t="shared" si="62"/>
        <v>0</v>
      </c>
      <c r="I55" s="1207"/>
      <c r="J55" s="1097">
        <f t="shared" ref="J55:J68" si="66">I55*C55</f>
        <v>0</v>
      </c>
      <c r="K55" s="1096"/>
      <c r="L55" s="1097">
        <f t="shared" ref="L55:L68" si="67">K55*C55</f>
        <v>0</v>
      </c>
      <c r="M55" s="1207"/>
      <c r="N55" s="1096"/>
      <c r="O55" s="1098">
        <f t="shared" si="63"/>
        <v>0</v>
      </c>
      <c r="P55" s="1096">
        <f t="shared" si="64"/>
        <v>0</v>
      </c>
      <c r="Q55" s="1098">
        <f t="shared" ref="Q55:Q65" si="68">E55+G55+O55</f>
        <v>0</v>
      </c>
      <c r="R55" s="1096">
        <f t="shared" ref="R55:R65" si="69">Q55*C55</f>
        <v>0</v>
      </c>
      <c r="S55" s="1104"/>
      <c r="T55" s="1104"/>
    </row>
    <row r="56" spans="1:21" s="1105" customFormat="1">
      <c r="A56" s="1129">
        <v>50.6</v>
      </c>
      <c r="B56" s="1265" t="s">
        <v>4149</v>
      </c>
      <c r="C56" s="1117">
        <f>+'Ins Abs'!C55</f>
        <v>514.23368249999976</v>
      </c>
      <c r="D56" s="1118" t="s">
        <v>306</v>
      </c>
      <c r="E56" s="1103"/>
      <c r="F56" s="1097">
        <f t="shared" si="65"/>
        <v>0</v>
      </c>
      <c r="G56" s="1103"/>
      <c r="H56" s="1097">
        <f t="shared" si="62"/>
        <v>0</v>
      </c>
      <c r="I56" s="1103"/>
      <c r="J56" s="1097">
        <f t="shared" si="66"/>
        <v>0</v>
      </c>
      <c r="K56" s="1096">
        <f>'SI - PP - Detail '!H38</f>
        <v>72</v>
      </c>
      <c r="L56" s="1097">
        <f t="shared" si="67"/>
        <v>37024.825139999986</v>
      </c>
      <c r="M56" s="1103"/>
      <c r="N56" s="1096"/>
      <c r="O56" s="1098">
        <f t="shared" si="63"/>
        <v>72</v>
      </c>
      <c r="P56" s="1096">
        <f t="shared" si="64"/>
        <v>37024.825139999986</v>
      </c>
      <c r="Q56" s="1098">
        <f t="shared" si="68"/>
        <v>72</v>
      </c>
      <c r="R56" s="1096">
        <f t="shared" si="69"/>
        <v>37024.825139999986</v>
      </c>
      <c r="S56" s="1104"/>
      <c r="T56" s="1104"/>
    </row>
    <row r="57" spans="1:21" s="1108" customFormat="1" ht="46.5">
      <c r="A57" s="1090">
        <v>56.3</v>
      </c>
      <c r="B57" s="933" t="s">
        <v>354</v>
      </c>
      <c r="C57" s="1106">
        <f>+'Ins Abs'!C56</f>
        <v>4051.933023</v>
      </c>
      <c r="D57" s="943" t="s">
        <v>340</v>
      </c>
      <c r="E57" s="1103">
        <f>'SI- Detail  '!H117</f>
        <v>5</v>
      </c>
      <c r="F57" s="1097">
        <f t="shared" si="65"/>
        <v>20259.665115</v>
      </c>
      <c r="G57" s="1103"/>
      <c r="H57" s="1097">
        <f t="shared" si="62"/>
        <v>0</v>
      </c>
      <c r="I57" s="1103"/>
      <c r="J57" s="1097">
        <f t="shared" si="66"/>
        <v>0</v>
      </c>
      <c r="K57" s="1096"/>
      <c r="L57" s="1097">
        <f t="shared" si="67"/>
        <v>0</v>
      </c>
      <c r="M57" s="1103"/>
      <c r="N57" s="1096"/>
      <c r="O57" s="1098">
        <f t="shared" si="63"/>
        <v>0</v>
      </c>
      <c r="P57" s="1096">
        <f t="shared" si="64"/>
        <v>0</v>
      </c>
      <c r="Q57" s="1098">
        <f t="shared" si="68"/>
        <v>5</v>
      </c>
      <c r="R57" s="1096">
        <f t="shared" si="69"/>
        <v>20259.665115</v>
      </c>
      <c r="S57" s="1107"/>
      <c r="T57" s="1104"/>
    </row>
    <row r="58" spans="1:21" s="1108" customFormat="1" ht="75.75" customHeight="1">
      <c r="A58" s="1109">
        <v>56.4</v>
      </c>
      <c r="B58" s="1259" t="s">
        <v>355</v>
      </c>
      <c r="C58" s="1111">
        <f>+'Ins Abs'!C57</f>
        <v>6609.6227230000013</v>
      </c>
      <c r="D58" s="1112" t="s">
        <v>340</v>
      </c>
      <c r="E58" s="1113">
        <v>3</v>
      </c>
      <c r="F58" s="1097">
        <f t="shared" si="65"/>
        <v>19828.868169000005</v>
      </c>
      <c r="G58" s="1113"/>
      <c r="H58" s="1097">
        <f t="shared" si="62"/>
        <v>0</v>
      </c>
      <c r="I58" s="1113"/>
      <c r="J58" s="1097">
        <f t="shared" si="66"/>
        <v>0</v>
      </c>
      <c r="K58" s="1114"/>
      <c r="L58" s="1097">
        <f t="shared" si="67"/>
        <v>0</v>
      </c>
      <c r="M58" s="1113"/>
      <c r="N58" s="1096"/>
      <c r="O58" s="1098">
        <f t="shared" si="63"/>
        <v>0</v>
      </c>
      <c r="P58" s="1096">
        <f t="shared" si="64"/>
        <v>0</v>
      </c>
      <c r="Q58" s="1098">
        <f t="shared" si="68"/>
        <v>3</v>
      </c>
      <c r="R58" s="1096">
        <f t="shared" si="69"/>
        <v>19828.868169000005</v>
      </c>
      <c r="S58" s="1107"/>
      <c r="T58" s="1104"/>
    </row>
    <row r="59" spans="1:21" ht="48" customHeight="1">
      <c r="A59" s="1090">
        <v>58.3</v>
      </c>
      <c r="B59" s="1262" t="s">
        <v>4154</v>
      </c>
      <c r="C59" s="1092"/>
      <c r="D59" s="1208"/>
      <c r="E59" s="1096"/>
      <c r="F59" s="1097">
        <f t="shared" si="65"/>
        <v>0</v>
      </c>
      <c r="G59" s="1096"/>
      <c r="H59" s="1097">
        <f t="shared" si="62"/>
        <v>0</v>
      </c>
      <c r="I59" s="1096"/>
      <c r="J59" s="1097">
        <f t="shared" si="66"/>
        <v>0</v>
      </c>
      <c r="K59" s="1096"/>
      <c r="L59" s="1097">
        <f t="shared" si="67"/>
        <v>0</v>
      </c>
      <c r="M59" s="1096"/>
      <c r="N59" s="1096"/>
      <c r="O59" s="1098">
        <f t="shared" si="63"/>
        <v>0</v>
      </c>
      <c r="P59" s="1096">
        <f t="shared" si="64"/>
        <v>0</v>
      </c>
      <c r="Q59" s="1098">
        <f t="shared" si="68"/>
        <v>0</v>
      </c>
      <c r="R59" s="1096">
        <f t="shared" si="69"/>
        <v>0</v>
      </c>
      <c r="S59" s="1122"/>
      <c r="T59" s="1099"/>
      <c r="U59" s="1123"/>
    </row>
    <row r="60" spans="1:21" ht="30.75" customHeight="1">
      <c r="A60" s="1090"/>
      <c r="B60" s="933" t="s">
        <v>3980</v>
      </c>
      <c r="C60" s="1092">
        <f>+'Ins Abs'!C59</f>
        <v>851.42</v>
      </c>
      <c r="D60" s="940" t="s">
        <v>303</v>
      </c>
      <c r="E60" s="1096">
        <f>'SI- Detail  '!H166</f>
        <v>96</v>
      </c>
      <c r="F60" s="1097">
        <f t="shared" si="65"/>
        <v>81736.319999999992</v>
      </c>
      <c r="G60" s="1096"/>
      <c r="H60" s="1097">
        <f t="shared" si="62"/>
        <v>0</v>
      </c>
      <c r="I60" s="1096"/>
      <c r="J60" s="1097">
        <f t="shared" si="66"/>
        <v>0</v>
      </c>
      <c r="K60" s="1096"/>
      <c r="L60" s="1097">
        <f t="shared" si="67"/>
        <v>0</v>
      </c>
      <c r="M60" s="1096"/>
      <c r="N60" s="1096"/>
      <c r="O60" s="1098">
        <f t="shared" si="63"/>
        <v>0</v>
      </c>
      <c r="P60" s="1096">
        <f t="shared" si="64"/>
        <v>0</v>
      </c>
      <c r="Q60" s="1098">
        <f t="shared" si="68"/>
        <v>96</v>
      </c>
      <c r="R60" s="1096">
        <f t="shared" si="69"/>
        <v>81736.319999999992</v>
      </c>
      <c r="S60" s="1099"/>
      <c r="T60" s="1099"/>
    </row>
    <row r="61" spans="1:21">
      <c r="A61" s="1092"/>
      <c r="B61" s="933" t="s">
        <v>3981</v>
      </c>
      <c r="C61" s="1092">
        <f>+'Ins Abs'!C60</f>
        <v>734.11666666666667</v>
      </c>
      <c r="D61" s="940" t="s">
        <v>303</v>
      </c>
      <c r="E61" s="1096">
        <f>'SI- Detail  '!H169</f>
        <v>48</v>
      </c>
      <c r="F61" s="1097">
        <f t="shared" si="65"/>
        <v>35237.599999999999</v>
      </c>
      <c r="G61" s="1096"/>
      <c r="H61" s="1097">
        <f t="shared" si="62"/>
        <v>0</v>
      </c>
      <c r="I61" s="1096"/>
      <c r="J61" s="1097">
        <f t="shared" si="66"/>
        <v>0</v>
      </c>
      <c r="K61" s="1096"/>
      <c r="L61" s="1097">
        <f t="shared" si="67"/>
        <v>0</v>
      </c>
      <c r="M61" s="1096"/>
      <c r="N61" s="1096"/>
      <c r="O61" s="1098">
        <f t="shared" si="63"/>
        <v>0</v>
      </c>
      <c r="P61" s="1096">
        <f t="shared" si="64"/>
        <v>0</v>
      </c>
      <c r="Q61" s="1098">
        <f t="shared" si="68"/>
        <v>48</v>
      </c>
      <c r="R61" s="1096">
        <f t="shared" si="69"/>
        <v>35237.599999999999</v>
      </c>
      <c r="S61" s="1099"/>
      <c r="T61" s="1099"/>
    </row>
    <row r="62" spans="1:21" s="1105" customFormat="1" ht="93">
      <c r="A62" s="1129">
        <v>66.099999999999994</v>
      </c>
      <c r="B62" s="1265" t="s">
        <v>4159</v>
      </c>
      <c r="C62" s="1117">
        <f>+'Ins Abs'!C61</f>
        <v>3051.9983333333334</v>
      </c>
      <c r="D62" s="1117" t="s">
        <v>340</v>
      </c>
      <c r="F62" s="1097">
        <f>C62*E62</f>
        <v>0</v>
      </c>
      <c r="G62" s="1096"/>
      <c r="H62" s="1097">
        <f t="shared" si="62"/>
        <v>0</v>
      </c>
      <c r="I62" s="1103"/>
      <c r="J62" s="1097">
        <f>I62*C62</f>
        <v>0</v>
      </c>
      <c r="K62" s="1096"/>
      <c r="L62" s="1097">
        <f>K62*C62</f>
        <v>0</v>
      </c>
      <c r="M62" s="1103"/>
      <c r="N62" s="1096"/>
      <c r="O62" s="1098">
        <f t="shared" si="63"/>
        <v>0</v>
      </c>
      <c r="P62" s="1096">
        <f t="shared" si="64"/>
        <v>0</v>
      </c>
      <c r="Q62" s="1098">
        <f>E62+G62+O62</f>
        <v>0</v>
      </c>
      <c r="R62" s="1096">
        <f>Q62*C62</f>
        <v>0</v>
      </c>
      <c r="S62" s="1104"/>
      <c r="T62" s="1104"/>
    </row>
    <row r="63" spans="1:21" ht="69.75">
      <c r="A63" s="1092"/>
      <c r="B63" s="933" t="s">
        <v>4164</v>
      </c>
      <c r="C63" s="1092">
        <f>+'Ins Abs'!C62</f>
        <v>266</v>
      </c>
      <c r="D63" s="1208" t="s">
        <v>303</v>
      </c>
      <c r="F63" s="1097">
        <f>C63*E63</f>
        <v>0</v>
      </c>
      <c r="G63" s="1096">
        <f>'SI- Elec  '!H82</f>
        <v>40</v>
      </c>
      <c r="H63" s="1097">
        <f t="shared" si="62"/>
        <v>10640</v>
      </c>
      <c r="I63" s="1096"/>
      <c r="J63" s="1097">
        <f>I63*C63</f>
        <v>0</v>
      </c>
      <c r="K63" s="1096"/>
      <c r="L63" s="1097">
        <f>K63*C63</f>
        <v>0</v>
      </c>
      <c r="M63" s="1096"/>
      <c r="N63" s="1096"/>
      <c r="O63" s="1098">
        <f t="shared" si="63"/>
        <v>0</v>
      </c>
      <c r="P63" s="1096">
        <f t="shared" si="64"/>
        <v>0</v>
      </c>
      <c r="Q63" s="1098">
        <f>E63+G63+O63</f>
        <v>40</v>
      </c>
      <c r="R63" s="1096">
        <f>Q63*C63</f>
        <v>10640</v>
      </c>
      <c r="S63" s="1099"/>
      <c r="T63" s="1099"/>
    </row>
    <row r="64" spans="1:21" s="1108" customFormat="1" ht="81" customHeight="1">
      <c r="A64" s="1090"/>
      <c r="B64" s="933" t="s">
        <v>4166</v>
      </c>
      <c r="C64" s="1092">
        <f>+'Ins Abs'!C63</f>
        <v>226</v>
      </c>
      <c r="D64" s="1158" t="s">
        <v>303</v>
      </c>
      <c r="F64" s="1097">
        <f t="shared" si="65"/>
        <v>0</v>
      </c>
      <c r="G64" s="1096">
        <f>'SI- Elec  '!H69</f>
        <v>400</v>
      </c>
      <c r="H64" s="1097">
        <f t="shared" si="62"/>
        <v>90400</v>
      </c>
      <c r="I64" s="1096"/>
      <c r="J64" s="1097">
        <f t="shared" si="66"/>
        <v>0</v>
      </c>
      <c r="K64" s="1096"/>
      <c r="L64" s="1097">
        <f t="shared" si="67"/>
        <v>0</v>
      </c>
      <c r="M64" s="1096"/>
      <c r="N64" s="1096"/>
      <c r="O64" s="1098">
        <f t="shared" si="63"/>
        <v>0</v>
      </c>
      <c r="P64" s="1096">
        <f t="shared" si="64"/>
        <v>0</v>
      </c>
      <c r="Q64" s="1098">
        <f t="shared" si="68"/>
        <v>400</v>
      </c>
      <c r="R64" s="1096">
        <f t="shared" si="69"/>
        <v>90400</v>
      </c>
      <c r="S64" s="1107"/>
      <c r="T64" s="1099"/>
    </row>
    <row r="65" spans="1:20" ht="69.75">
      <c r="A65" s="1090"/>
      <c r="B65" s="933" t="s">
        <v>4167</v>
      </c>
      <c r="C65" s="1092">
        <f>+'Ins Abs'!C64</f>
        <v>270</v>
      </c>
      <c r="D65" s="1208" t="s">
        <v>303</v>
      </c>
      <c r="F65" s="1097">
        <f t="shared" si="65"/>
        <v>0</v>
      </c>
      <c r="G65" s="1096">
        <f>'SI- Elec  '!H73</f>
        <v>280</v>
      </c>
      <c r="H65" s="1097">
        <f t="shared" si="62"/>
        <v>75600</v>
      </c>
      <c r="I65" s="1096"/>
      <c r="J65" s="1097">
        <f t="shared" si="66"/>
        <v>0</v>
      </c>
      <c r="K65" s="1096"/>
      <c r="L65" s="1097">
        <f t="shared" si="67"/>
        <v>0</v>
      </c>
      <c r="M65" s="1096"/>
      <c r="N65" s="1096"/>
      <c r="O65" s="1098">
        <f t="shared" si="63"/>
        <v>0</v>
      </c>
      <c r="P65" s="1096">
        <f t="shared" si="64"/>
        <v>0</v>
      </c>
      <c r="Q65" s="1098">
        <f t="shared" si="68"/>
        <v>280</v>
      </c>
      <c r="R65" s="1096">
        <f t="shared" si="69"/>
        <v>75600</v>
      </c>
      <c r="S65" s="1099"/>
      <c r="T65" s="1099"/>
    </row>
    <row r="66" spans="1:20">
      <c r="A66" s="1090">
        <v>344.2</v>
      </c>
      <c r="B66" s="933" t="s">
        <v>4178</v>
      </c>
      <c r="C66" s="1092">
        <f>+'Ins Abs'!C65</f>
        <v>494.7</v>
      </c>
      <c r="D66" s="1092" t="s">
        <v>340</v>
      </c>
      <c r="E66" s="1096">
        <f>'SI- Detail  '!H351</f>
        <v>8</v>
      </c>
      <c r="F66" s="1097">
        <f>C66*E66</f>
        <v>3957.6</v>
      </c>
      <c r="G66" s="1096"/>
      <c r="H66" s="1097">
        <f t="shared" si="62"/>
        <v>0</v>
      </c>
      <c r="I66" s="1096"/>
      <c r="J66" s="1097">
        <f>I66*C66</f>
        <v>0</v>
      </c>
      <c r="K66" s="1096"/>
      <c r="L66" s="1097">
        <f>K66*C66</f>
        <v>0</v>
      </c>
      <c r="M66" s="1096"/>
      <c r="N66" s="1096"/>
      <c r="O66" s="1098">
        <f t="shared" si="63"/>
        <v>0</v>
      </c>
      <c r="P66" s="1096">
        <f t="shared" si="64"/>
        <v>0</v>
      </c>
      <c r="Q66" s="1098">
        <f>E66+G66+O66</f>
        <v>8</v>
      </c>
      <c r="R66" s="1096">
        <f>Q66*C66</f>
        <v>3957.6</v>
      </c>
      <c r="S66" s="1099"/>
      <c r="T66" s="1099"/>
    </row>
    <row r="67" spans="1:20" ht="69.75">
      <c r="A67" s="1090"/>
      <c r="B67" s="933" t="str">
        <f>'INS- Detail '!B270</f>
        <v xml:space="preserve">Plastic Emulsion paint two coat of Old walls including cost of materials and labours etc.., completed </v>
      </c>
      <c r="C67" s="1092">
        <f>+'Ins Abs'!C66</f>
        <v>206.17699999999999</v>
      </c>
      <c r="D67" s="1158" t="s">
        <v>306</v>
      </c>
      <c r="E67" s="1096">
        <f>'SI- Detail  '!H281</f>
        <v>1207</v>
      </c>
      <c r="F67" s="1097">
        <f t="shared" ref="F67:F68" si="70">C67*E67</f>
        <v>248855.639</v>
      </c>
      <c r="G67" s="1096"/>
      <c r="H67" s="1097">
        <f t="shared" ref="H67:H68" si="71">C67*G67</f>
        <v>0</v>
      </c>
      <c r="I67" s="1096"/>
      <c r="J67" s="1097">
        <f t="shared" si="66"/>
        <v>0</v>
      </c>
      <c r="K67" s="1096"/>
      <c r="L67" s="1097">
        <f t="shared" si="67"/>
        <v>0</v>
      </c>
      <c r="M67" s="1096"/>
      <c r="N67" s="1096"/>
      <c r="O67" s="1098">
        <f t="shared" ref="O67:O68" si="72">K67+I67</f>
        <v>0</v>
      </c>
      <c r="P67" s="1096">
        <f t="shared" ref="P67:P68" si="73">J67+L67</f>
        <v>0</v>
      </c>
      <c r="Q67" s="1098">
        <f t="shared" ref="Q67:Q68" si="74">E67+G67+O67</f>
        <v>1207</v>
      </c>
      <c r="R67" s="1096">
        <f t="shared" ref="R67:R68" si="75">Q67*C67</f>
        <v>248855.639</v>
      </c>
      <c r="S67" s="1099"/>
      <c r="T67" s="1099"/>
    </row>
    <row r="68" spans="1:20" ht="69.75">
      <c r="A68" s="1090" t="s">
        <v>4190</v>
      </c>
      <c r="B68" s="933" t="str">
        <f>'INS- Detail '!B218</f>
        <v xml:space="preserve">Painting Two coat of OBD over one coat white cement for inner walls  including cost of materials and labours etc.., completed </v>
      </c>
      <c r="C68" s="1092">
        <f>+'Ins Abs'!C67</f>
        <v>167.11</v>
      </c>
      <c r="D68" s="1158" t="s">
        <v>306</v>
      </c>
      <c r="E68" s="1096">
        <f>'SI- Detail  '!H249</f>
        <v>731</v>
      </c>
      <c r="F68" s="1097">
        <f t="shared" si="70"/>
        <v>122157.41</v>
      </c>
      <c r="G68" s="1096"/>
      <c r="H68" s="1097">
        <f t="shared" si="71"/>
        <v>0</v>
      </c>
      <c r="I68" s="1096"/>
      <c r="J68" s="1097">
        <f t="shared" si="66"/>
        <v>0</v>
      </c>
      <c r="K68" s="1096"/>
      <c r="L68" s="1097">
        <f t="shared" si="67"/>
        <v>0</v>
      </c>
      <c r="M68" s="1096"/>
      <c r="N68" s="1096"/>
      <c r="O68" s="1098">
        <f t="shared" si="72"/>
        <v>0</v>
      </c>
      <c r="P68" s="1096">
        <f t="shared" si="73"/>
        <v>0</v>
      </c>
      <c r="Q68" s="1098">
        <f t="shared" si="74"/>
        <v>731</v>
      </c>
      <c r="R68" s="1096">
        <f t="shared" si="75"/>
        <v>122157.41</v>
      </c>
      <c r="S68" s="1099"/>
      <c r="T68" s="1099"/>
    </row>
    <row r="69" spans="1:20" ht="46.5">
      <c r="A69" s="1090"/>
      <c r="B69" s="1262" t="s">
        <v>4309</v>
      </c>
      <c r="C69" s="1092"/>
      <c r="D69" s="940"/>
      <c r="E69" s="1096"/>
      <c r="F69" s="1097">
        <f t="shared" ref="F69:F73" si="76">C69*E69</f>
        <v>0</v>
      </c>
      <c r="G69" s="1096"/>
      <c r="H69" s="1097">
        <f t="shared" ref="H69:H73" si="77">C69*G69</f>
        <v>0</v>
      </c>
      <c r="I69" s="1096"/>
      <c r="J69" s="1097">
        <f t="shared" ref="J69:J71" si="78">I69*C69</f>
        <v>0</v>
      </c>
      <c r="K69" s="1096"/>
      <c r="L69" s="1097">
        <f t="shared" ref="L69:L71" si="79">K69*C69</f>
        <v>0</v>
      </c>
      <c r="M69" s="1096"/>
      <c r="N69" s="1096"/>
      <c r="O69" s="1098">
        <f t="shared" ref="O69:O73" si="80">K69+I69</f>
        <v>0</v>
      </c>
      <c r="P69" s="1096">
        <f t="shared" ref="P69:P73" si="81">J69+L69</f>
        <v>0</v>
      </c>
      <c r="Q69" s="1098">
        <f t="shared" ref="Q69:Q73" si="82">E69+G69+O69</f>
        <v>0</v>
      </c>
      <c r="R69" s="1096">
        <f t="shared" ref="R69:R73" si="83">Q69*C69</f>
        <v>0</v>
      </c>
      <c r="S69" s="1099"/>
      <c r="T69" s="1099"/>
    </row>
    <row r="70" spans="1:20" ht="50.25" customHeight="1">
      <c r="A70" s="1090"/>
      <c r="B70" s="933" t="s">
        <v>4310</v>
      </c>
      <c r="C70" s="1233">
        <f>+'Ins Abs'!C69</f>
        <v>535.10599666666667</v>
      </c>
      <c r="D70" s="940" t="s">
        <v>303</v>
      </c>
      <c r="E70" s="1103">
        <f>'SI- Detail  '!H173</f>
        <v>75</v>
      </c>
      <c r="F70" s="1097">
        <f t="shared" si="76"/>
        <v>40132.94975</v>
      </c>
      <c r="G70" s="1096"/>
      <c r="H70" s="1097">
        <f t="shared" si="77"/>
        <v>0</v>
      </c>
      <c r="I70" s="1096"/>
      <c r="J70" s="1097">
        <f t="shared" si="78"/>
        <v>0</v>
      </c>
      <c r="K70" s="1096"/>
      <c r="L70" s="1097">
        <f t="shared" si="79"/>
        <v>0</v>
      </c>
      <c r="M70" s="1096"/>
      <c r="N70" s="1096"/>
      <c r="O70" s="1098">
        <f t="shared" si="80"/>
        <v>0</v>
      </c>
      <c r="P70" s="1096">
        <f t="shared" si="81"/>
        <v>0</v>
      </c>
      <c r="Q70" s="1098">
        <f t="shared" si="82"/>
        <v>75</v>
      </c>
      <c r="R70" s="1096">
        <f t="shared" si="83"/>
        <v>40132.94975</v>
      </c>
      <c r="S70" s="1099"/>
      <c r="T70" s="1099"/>
    </row>
    <row r="71" spans="1:20">
      <c r="A71" s="1090"/>
      <c r="B71" s="933" t="s">
        <v>4311</v>
      </c>
      <c r="C71" s="1233">
        <f>+'Ins Abs'!C70</f>
        <v>859.17696666666654</v>
      </c>
      <c r="D71" s="940" t="s">
        <v>303</v>
      </c>
      <c r="E71" s="1096">
        <f>'SI- Detail  '!H171</f>
        <v>100</v>
      </c>
      <c r="F71" s="1097">
        <f t="shared" si="76"/>
        <v>85917.696666666656</v>
      </c>
      <c r="G71" s="1096"/>
      <c r="H71" s="1097">
        <f t="shared" si="77"/>
        <v>0</v>
      </c>
      <c r="I71" s="1096"/>
      <c r="J71" s="1097">
        <f t="shared" si="78"/>
        <v>0</v>
      </c>
      <c r="K71" s="1096"/>
      <c r="L71" s="1097">
        <f t="shared" si="79"/>
        <v>0</v>
      </c>
      <c r="M71" s="1096"/>
      <c r="N71" s="1096"/>
      <c r="O71" s="1098">
        <f t="shared" si="80"/>
        <v>0</v>
      </c>
      <c r="P71" s="1096">
        <f t="shared" si="81"/>
        <v>0</v>
      </c>
      <c r="Q71" s="1098">
        <f t="shared" si="82"/>
        <v>100</v>
      </c>
      <c r="R71" s="1096">
        <f t="shared" si="83"/>
        <v>85917.696666666656</v>
      </c>
      <c r="S71" s="1099"/>
      <c r="T71" s="1099"/>
    </row>
    <row r="72" spans="1:20" s="1108" customFormat="1" ht="93">
      <c r="A72" s="1090"/>
      <c r="B72" s="1262" t="s">
        <v>4351</v>
      </c>
      <c r="C72" s="1241"/>
      <c r="D72" s="1165"/>
      <c r="E72" s="1103"/>
      <c r="F72" s="1097">
        <f t="shared" si="76"/>
        <v>0</v>
      </c>
      <c r="G72" s="1103"/>
      <c r="H72" s="1097">
        <f t="shared" si="77"/>
        <v>0</v>
      </c>
      <c r="I72" s="1103"/>
      <c r="J72" s="1097">
        <f t="shared" ref="J72:J76" si="84">I72*C72</f>
        <v>0</v>
      </c>
      <c r="K72" s="1096"/>
      <c r="L72" s="1097">
        <f t="shared" ref="L72:L76" si="85">K72*C72</f>
        <v>0</v>
      </c>
      <c r="M72" s="1103"/>
      <c r="N72" s="1096"/>
      <c r="O72" s="1098">
        <f t="shared" si="80"/>
        <v>0</v>
      </c>
      <c r="P72" s="1096">
        <f t="shared" si="81"/>
        <v>0</v>
      </c>
      <c r="Q72" s="1098">
        <f t="shared" si="82"/>
        <v>0</v>
      </c>
      <c r="R72" s="1096">
        <f t="shared" si="83"/>
        <v>0</v>
      </c>
      <c r="S72" s="1107"/>
      <c r="T72" s="1104"/>
    </row>
    <row r="73" spans="1:20" s="1108" customFormat="1" ht="25.5" customHeight="1">
      <c r="A73" s="1090"/>
      <c r="B73" s="1275" t="s">
        <v>4000</v>
      </c>
      <c r="C73" s="1241">
        <f>+'Ins Abs'!C72</f>
        <v>894.99583333333339</v>
      </c>
      <c r="D73" s="1165" t="s">
        <v>340</v>
      </c>
      <c r="F73" s="1097">
        <f t="shared" si="76"/>
        <v>0</v>
      </c>
      <c r="G73" s="1103">
        <f>'SI- Elec  '!H16</f>
        <v>66</v>
      </c>
      <c r="H73" s="1097">
        <f t="shared" si="77"/>
        <v>59069.725000000006</v>
      </c>
      <c r="I73" s="1103"/>
      <c r="J73" s="1097">
        <f t="shared" si="84"/>
        <v>0</v>
      </c>
      <c r="K73" s="1096"/>
      <c r="L73" s="1097">
        <f t="shared" si="85"/>
        <v>0</v>
      </c>
      <c r="M73" s="1103"/>
      <c r="N73" s="1096"/>
      <c r="O73" s="1098">
        <f t="shared" si="80"/>
        <v>0</v>
      </c>
      <c r="P73" s="1096">
        <f t="shared" si="81"/>
        <v>0</v>
      </c>
      <c r="Q73" s="1098">
        <f t="shared" si="82"/>
        <v>66</v>
      </c>
      <c r="R73" s="1096">
        <f t="shared" si="83"/>
        <v>59069.725000000006</v>
      </c>
      <c r="S73" s="1107"/>
      <c r="T73" s="1104"/>
    </row>
    <row r="74" spans="1:20" s="1108" customFormat="1" ht="25.5" customHeight="1">
      <c r="A74" s="1090"/>
      <c r="B74" s="1275" t="s">
        <v>4001</v>
      </c>
      <c r="C74" s="1241">
        <f>+'Ins Abs'!C73</f>
        <v>896.99583333333339</v>
      </c>
      <c r="D74" s="1165" t="s">
        <v>340</v>
      </c>
      <c r="F74" s="1097">
        <f t="shared" ref="F74:F76" si="86">C74*E74</f>
        <v>0</v>
      </c>
      <c r="G74" s="1103">
        <f>'SI- Elec  '!H21</f>
        <v>24</v>
      </c>
      <c r="H74" s="1097">
        <f t="shared" ref="H74:H76" si="87">C74*G74</f>
        <v>21527.9</v>
      </c>
      <c r="I74" s="1103"/>
      <c r="J74" s="1097">
        <f t="shared" si="84"/>
        <v>0</v>
      </c>
      <c r="K74" s="1096"/>
      <c r="L74" s="1097">
        <f t="shared" si="85"/>
        <v>0</v>
      </c>
      <c r="M74" s="1103"/>
      <c r="N74" s="1096"/>
      <c r="O74" s="1098">
        <f t="shared" ref="O74:O76" si="88">K74+I74</f>
        <v>0</v>
      </c>
      <c r="P74" s="1096">
        <f t="shared" ref="P74:P76" si="89">J74+L74</f>
        <v>0</v>
      </c>
      <c r="Q74" s="1098">
        <f t="shared" ref="Q74:Q76" si="90">E74+G74+O74</f>
        <v>24</v>
      </c>
      <c r="R74" s="1096">
        <f t="shared" ref="R74:R76" si="91">Q74*C74</f>
        <v>21527.9</v>
      </c>
      <c r="S74" s="1107"/>
      <c r="T74" s="1104"/>
    </row>
    <row r="75" spans="1:20" s="1108" customFormat="1" ht="87" customHeight="1">
      <c r="A75" s="1090"/>
      <c r="B75" s="1275" t="s">
        <v>4353</v>
      </c>
      <c r="C75" s="1241">
        <f>+'Ins Abs'!C74</f>
        <v>689.99599999999998</v>
      </c>
      <c r="D75" s="1165" t="s">
        <v>340</v>
      </c>
      <c r="F75" s="1097">
        <f t="shared" si="86"/>
        <v>0</v>
      </c>
      <c r="G75" s="1103">
        <f>'SI- Elec  '!H35</f>
        <v>24</v>
      </c>
      <c r="H75" s="1097">
        <f t="shared" si="87"/>
        <v>16559.903999999999</v>
      </c>
      <c r="I75" s="1103"/>
      <c r="J75" s="1097">
        <f t="shared" si="84"/>
        <v>0</v>
      </c>
      <c r="K75" s="1096"/>
      <c r="L75" s="1097">
        <f t="shared" si="85"/>
        <v>0</v>
      </c>
      <c r="M75" s="1103"/>
      <c r="N75" s="1096"/>
      <c r="O75" s="1098">
        <f t="shared" si="88"/>
        <v>0</v>
      </c>
      <c r="P75" s="1096">
        <f t="shared" si="89"/>
        <v>0</v>
      </c>
      <c r="Q75" s="1098">
        <f t="shared" si="90"/>
        <v>24</v>
      </c>
      <c r="R75" s="1096">
        <f t="shared" si="91"/>
        <v>16559.903999999999</v>
      </c>
      <c r="S75" s="1107"/>
      <c r="T75" s="1104"/>
    </row>
    <row r="76" spans="1:20" s="1108" customFormat="1" ht="108.75">
      <c r="A76" s="1090"/>
      <c r="B76" s="1275" t="s">
        <v>4354</v>
      </c>
      <c r="C76" s="1241">
        <f>+'Ins Abs'!C75</f>
        <v>834.99833333333333</v>
      </c>
      <c r="D76" s="1165" t="s">
        <v>340</v>
      </c>
      <c r="F76" s="1097">
        <f t="shared" si="86"/>
        <v>0</v>
      </c>
      <c r="G76" s="1103">
        <f>'SI- Elec  '!H29</f>
        <v>32</v>
      </c>
      <c r="H76" s="1097">
        <f t="shared" si="87"/>
        <v>26719.946666666667</v>
      </c>
      <c r="I76" s="1103"/>
      <c r="J76" s="1097">
        <f t="shared" si="84"/>
        <v>0</v>
      </c>
      <c r="K76" s="1096"/>
      <c r="L76" s="1097">
        <f t="shared" si="85"/>
        <v>0</v>
      </c>
      <c r="M76" s="1103"/>
      <c r="N76" s="1096"/>
      <c r="O76" s="1098">
        <f t="shared" si="88"/>
        <v>0</v>
      </c>
      <c r="P76" s="1096">
        <f t="shared" si="89"/>
        <v>0</v>
      </c>
      <c r="Q76" s="1098">
        <f t="shared" si="90"/>
        <v>32</v>
      </c>
      <c r="R76" s="1096">
        <f t="shared" si="91"/>
        <v>26719.946666666667</v>
      </c>
      <c r="S76" s="1107"/>
      <c r="T76" s="1104"/>
    </row>
    <row r="77" spans="1:20" s="1108" customFormat="1" ht="46.5">
      <c r="A77" s="1158"/>
      <c r="B77" s="933" t="s">
        <v>4367</v>
      </c>
      <c r="C77" s="1068">
        <f>+'Ins Abs'!C76</f>
        <v>135</v>
      </c>
      <c r="D77" s="943" t="s">
        <v>340</v>
      </c>
      <c r="F77" s="1097">
        <f t="shared" ref="F77:F83" si="92">C77*E77</f>
        <v>0</v>
      </c>
      <c r="G77" s="1096">
        <f>'SI- Elec  '!H51</f>
        <v>32</v>
      </c>
      <c r="H77" s="1097">
        <f t="shared" ref="H77:H84" si="93">C77*G77</f>
        <v>4320</v>
      </c>
      <c r="I77" s="1096"/>
      <c r="J77" s="1097">
        <f t="shared" ref="J77:J83" si="94">I77*C77</f>
        <v>0</v>
      </c>
      <c r="K77" s="1096"/>
      <c r="L77" s="1097">
        <f t="shared" ref="L77:L83" si="95">K77*C77</f>
        <v>0</v>
      </c>
      <c r="M77" s="1096"/>
      <c r="N77" s="1096"/>
      <c r="O77" s="1098">
        <f t="shared" ref="O77:O84" si="96">K77+I77</f>
        <v>0</v>
      </c>
      <c r="P77" s="1096">
        <f t="shared" ref="P77:P84" si="97">J77+L77</f>
        <v>0</v>
      </c>
      <c r="Q77" s="1098">
        <f t="shared" ref="Q77:Q83" si="98">E77+G77+O77</f>
        <v>32</v>
      </c>
      <c r="R77" s="1096">
        <f t="shared" ref="R77:R83" si="99">Q77*C77</f>
        <v>4320</v>
      </c>
      <c r="S77" s="1107"/>
      <c r="T77" s="1099"/>
    </row>
    <row r="78" spans="1:20" s="1108" customFormat="1" ht="54.95" customHeight="1">
      <c r="A78" s="1158"/>
      <c r="B78" s="933" t="s">
        <v>4368</v>
      </c>
      <c r="C78" s="940">
        <f>+'Ins Abs'!C77</f>
        <v>690.00200000000007</v>
      </c>
      <c r="D78" s="943" t="s">
        <v>340</v>
      </c>
      <c r="F78" s="1097">
        <f t="shared" si="92"/>
        <v>0</v>
      </c>
      <c r="G78" s="1096">
        <f>'SI- Elec  '!H61</f>
        <v>32</v>
      </c>
      <c r="H78" s="1097">
        <f t="shared" si="93"/>
        <v>22080.064000000002</v>
      </c>
      <c r="I78" s="1096"/>
      <c r="J78" s="1097">
        <f t="shared" si="94"/>
        <v>0</v>
      </c>
      <c r="K78" s="1096"/>
      <c r="L78" s="1097">
        <f t="shared" si="95"/>
        <v>0</v>
      </c>
      <c r="M78" s="1096"/>
      <c r="N78" s="1096"/>
      <c r="O78" s="1098">
        <f t="shared" si="96"/>
        <v>0</v>
      </c>
      <c r="P78" s="1096">
        <f t="shared" si="97"/>
        <v>0</v>
      </c>
      <c r="Q78" s="1098">
        <f t="shared" si="98"/>
        <v>32</v>
      </c>
      <c r="R78" s="1096">
        <f t="shared" si="99"/>
        <v>22080.064000000002</v>
      </c>
      <c r="S78" s="1107"/>
      <c r="T78" s="1099"/>
    </row>
    <row r="79" spans="1:20" s="1108" customFormat="1" ht="65.099999999999994" customHeight="1">
      <c r="A79" s="1158"/>
      <c r="B79" s="933" t="s">
        <v>4369</v>
      </c>
      <c r="C79" s="940">
        <f>+'Ins Abs'!C78</f>
        <v>517.00333333333333</v>
      </c>
      <c r="D79" s="940" t="s">
        <v>340</v>
      </c>
      <c r="F79" s="1097">
        <f t="shared" si="92"/>
        <v>0</v>
      </c>
      <c r="G79" s="1096">
        <f>'SI- Elec  '!H44</f>
        <v>8</v>
      </c>
      <c r="H79" s="1097">
        <f t="shared" si="93"/>
        <v>4136.0266666666666</v>
      </c>
      <c r="I79" s="1096"/>
      <c r="J79" s="1097">
        <f t="shared" si="94"/>
        <v>0</v>
      </c>
      <c r="K79" s="1096"/>
      <c r="L79" s="1097">
        <f t="shared" si="95"/>
        <v>0</v>
      </c>
      <c r="M79" s="1096"/>
      <c r="N79" s="1096"/>
      <c r="O79" s="1098">
        <f t="shared" si="96"/>
        <v>0</v>
      </c>
      <c r="P79" s="1096">
        <f t="shared" si="97"/>
        <v>0</v>
      </c>
      <c r="Q79" s="1098">
        <f t="shared" si="98"/>
        <v>8</v>
      </c>
      <c r="R79" s="1096">
        <f t="shared" si="99"/>
        <v>4136.0266666666666</v>
      </c>
      <c r="S79" s="1107"/>
      <c r="T79" s="1099"/>
    </row>
    <row r="80" spans="1:20" s="1108" customFormat="1" ht="54.95" customHeight="1">
      <c r="A80" s="1158"/>
      <c r="B80" s="933" t="s">
        <v>4370</v>
      </c>
      <c r="C80" s="940">
        <f>+'Ins Abs'!C79</f>
        <v>3367</v>
      </c>
      <c r="D80" s="940" t="s">
        <v>340</v>
      </c>
      <c r="F80" s="1097">
        <f t="shared" si="92"/>
        <v>0</v>
      </c>
      <c r="G80" s="1096">
        <f>'SI- Elec  '!H65</f>
        <v>10</v>
      </c>
      <c r="H80" s="1097">
        <f t="shared" si="93"/>
        <v>33670</v>
      </c>
      <c r="I80" s="1096"/>
      <c r="J80" s="1097">
        <f t="shared" si="94"/>
        <v>0</v>
      </c>
      <c r="K80" s="1096"/>
      <c r="L80" s="1097">
        <f t="shared" si="95"/>
        <v>0</v>
      </c>
      <c r="M80" s="1096"/>
      <c r="N80" s="1096"/>
      <c r="O80" s="1098">
        <f t="shared" si="96"/>
        <v>0</v>
      </c>
      <c r="P80" s="1096">
        <f t="shared" si="97"/>
        <v>0</v>
      </c>
      <c r="Q80" s="1098">
        <f t="shared" si="98"/>
        <v>10</v>
      </c>
      <c r="R80" s="1096">
        <f t="shared" si="99"/>
        <v>33670</v>
      </c>
      <c r="S80" s="1107"/>
      <c r="T80" s="1099"/>
    </row>
    <row r="81" spans="1:28" s="1108" customFormat="1">
      <c r="A81" s="1158"/>
      <c r="B81" s="933" t="s">
        <v>4371</v>
      </c>
      <c r="C81" s="940">
        <v>170</v>
      </c>
      <c r="D81" s="940" t="str">
        <f>D80</f>
        <v>Each</v>
      </c>
      <c r="F81" s="1097">
        <f t="shared" si="92"/>
        <v>0</v>
      </c>
      <c r="G81" s="1096">
        <v>8</v>
      </c>
      <c r="H81" s="1097">
        <f t="shared" si="93"/>
        <v>1360</v>
      </c>
      <c r="I81" s="1096"/>
      <c r="J81" s="1097">
        <f t="shared" si="94"/>
        <v>0</v>
      </c>
      <c r="K81" s="1096"/>
      <c r="L81" s="1097">
        <f t="shared" si="95"/>
        <v>0</v>
      </c>
      <c r="M81" s="1096"/>
      <c r="N81" s="1096"/>
      <c r="O81" s="1098">
        <f t="shared" si="96"/>
        <v>0</v>
      </c>
      <c r="P81" s="1096">
        <f t="shared" si="97"/>
        <v>0</v>
      </c>
      <c r="Q81" s="1098">
        <f t="shared" si="98"/>
        <v>8</v>
      </c>
      <c r="R81" s="1096">
        <f t="shared" si="99"/>
        <v>1360</v>
      </c>
      <c r="S81" s="1107"/>
      <c r="T81" s="1099"/>
    </row>
    <row r="82" spans="1:28" s="1108" customFormat="1" ht="139.5">
      <c r="A82" s="1158"/>
      <c r="B82" s="1935" t="str">
        <f>'INS- Elec '!B75</f>
        <v>Supply and fixing of Three Phase Distribution Board with 4 way TPN double door MCB DB 40 Amps 4 Pole ELCB - 1, 6Amps to 32 amps SP MCB - 12 No's   with necessary cutting work etc., including cost of all materials and fixing charges all complete. CER NO.267/2018-19</v>
      </c>
      <c r="C82" s="1936">
        <v>11750</v>
      </c>
      <c r="D82" s="940" t="str">
        <f>D81</f>
        <v>Each</v>
      </c>
      <c r="F82" s="1097">
        <f t="shared" si="92"/>
        <v>0</v>
      </c>
      <c r="G82" s="1248">
        <f>'SI- Elec  '!H76</f>
        <v>8</v>
      </c>
      <c r="H82" s="1097">
        <f t="shared" si="93"/>
        <v>94000</v>
      </c>
      <c r="I82" s="1096"/>
      <c r="J82" s="1097">
        <f t="shared" si="94"/>
        <v>0</v>
      </c>
      <c r="K82" s="1096"/>
      <c r="L82" s="1097">
        <f t="shared" si="95"/>
        <v>0</v>
      </c>
      <c r="M82" s="1096"/>
      <c r="N82" s="1096"/>
      <c r="O82" s="1098">
        <f t="shared" si="96"/>
        <v>0</v>
      </c>
      <c r="P82" s="1096">
        <f t="shared" si="97"/>
        <v>0</v>
      </c>
      <c r="Q82" s="1098">
        <f t="shared" si="98"/>
        <v>8</v>
      </c>
      <c r="R82" s="1096">
        <f t="shared" si="99"/>
        <v>94000</v>
      </c>
      <c r="S82" s="1107"/>
      <c r="T82" s="1099"/>
    </row>
    <row r="83" spans="1:28" s="1108" customFormat="1" ht="46.5">
      <c r="A83" s="1158"/>
      <c r="B83" s="1316" t="s">
        <v>4395</v>
      </c>
      <c r="C83" s="1073"/>
      <c r="D83" s="941"/>
      <c r="E83" s="1248"/>
      <c r="F83" s="1097">
        <f t="shared" si="92"/>
        <v>0</v>
      </c>
      <c r="G83" s="1096"/>
      <c r="H83" s="1097">
        <f t="shared" si="93"/>
        <v>0</v>
      </c>
      <c r="I83" s="1096"/>
      <c r="J83" s="1097">
        <f t="shared" si="94"/>
        <v>0</v>
      </c>
      <c r="K83" s="1096"/>
      <c r="L83" s="1097">
        <f t="shared" si="95"/>
        <v>0</v>
      </c>
      <c r="M83" s="1096"/>
      <c r="N83" s="1096"/>
      <c r="O83" s="1098">
        <f t="shared" si="96"/>
        <v>0</v>
      </c>
      <c r="P83" s="1096">
        <f t="shared" si="97"/>
        <v>0</v>
      </c>
      <c r="Q83" s="1098">
        <f t="shared" si="98"/>
        <v>0</v>
      </c>
      <c r="R83" s="1096">
        <f t="shared" si="99"/>
        <v>0</v>
      </c>
      <c r="S83" s="1107"/>
      <c r="T83" s="1099"/>
    </row>
    <row r="84" spans="1:28" s="1108" customFormat="1" ht="46.5">
      <c r="A84" s="1158"/>
      <c r="B84" s="1316" t="s">
        <v>4397</v>
      </c>
      <c r="C84" s="1075">
        <v>500</v>
      </c>
      <c r="D84" s="941" t="s">
        <v>552</v>
      </c>
      <c r="E84" s="1248"/>
      <c r="F84" s="1097">
        <f>C84*E84</f>
        <v>0</v>
      </c>
      <c r="G84" s="1096"/>
      <c r="H84" s="1097">
        <f t="shared" si="93"/>
        <v>0</v>
      </c>
      <c r="I84" s="1096"/>
      <c r="J84" s="1097">
        <f>I84*C84</f>
        <v>0</v>
      </c>
      <c r="K84" s="1096"/>
      <c r="L84" s="1097">
        <f>K84*C84</f>
        <v>0</v>
      </c>
      <c r="M84" s="1096"/>
      <c r="N84" s="1096"/>
      <c r="O84" s="1098">
        <f t="shared" si="96"/>
        <v>0</v>
      </c>
      <c r="P84" s="1096">
        <f t="shared" si="97"/>
        <v>0</v>
      </c>
      <c r="Q84" s="1098">
        <f>E84+G84+O84</f>
        <v>0</v>
      </c>
      <c r="R84" s="1096">
        <f>Q84*C84</f>
        <v>0</v>
      </c>
      <c r="S84" s="1107"/>
      <c r="T84" s="1099"/>
    </row>
    <row r="85" spans="1:28" s="1108" customFormat="1" ht="46.5">
      <c r="A85" s="1158"/>
      <c r="B85" s="1319" t="s">
        <v>4426</v>
      </c>
      <c r="C85" s="1075"/>
      <c r="D85" s="940"/>
      <c r="E85" s="1097"/>
      <c r="F85" s="1097">
        <f t="shared" ref="F85:F86" si="100">C85*E85</f>
        <v>0</v>
      </c>
      <c r="G85" s="1096"/>
      <c r="H85" s="1097">
        <f t="shared" ref="H85:H89" si="101">C85*G85</f>
        <v>0</v>
      </c>
      <c r="I85" s="1096"/>
      <c r="J85" s="1097">
        <f t="shared" ref="J85:J86" si="102">I85*C85</f>
        <v>0</v>
      </c>
      <c r="K85" s="1096"/>
      <c r="L85" s="1097">
        <f t="shared" ref="L85:L86" si="103">K85*C85</f>
        <v>0</v>
      </c>
      <c r="M85" s="1096"/>
      <c r="N85" s="1096"/>
      <c r="O85" s="1098">
        <f t="shared" ref="O85:O87" si="104">K85+I85</f>
        <v>0</v>
      </c>
      <c r="P85" s="1096">
        <f t="shared" ref="P85:P89" si="105">J85+L85</f>
        <v>0</v>
      </c>
      <c r="Q85" s="1098">
        <f t="shared" ref="Q85:Q86" si="106">E85+G85+O85</f>
        <v>0</v>
      </c>
      <c r="R85" s="1096">
        <f t="shared" ref="R85:R86" si="107">Q85*C85</f>
        <v>0</v>
      </c>
      <c r="S85" s="1107"/>
      <c r="T85" s="1099"/>
    </row>
    <row r="86" spans="1:28" s="1108" customFormat="1">
      <c r="A86" s="1158"/>
      <c r="B86" s="1313" t="s">
        <v>4427</v>
      </c>
      <c r="C86" s="1080">
        <f>+'Ins Abs'!C83</f>
        <v>2701</v>
      </c>
      <c r="D86" s="940" t="s">
        <v>340</v>
      </c>
      <c r="E86" s="1097">
        <f>'SI- Detail  '!H293</f>
        <v>5</v>
      </c>
      <c r="F86" s="1097">
        <f t="shared" si="100"/>
        <v>13505</v>
      </c>
      <c r="G86" s="1096"/>
      <c r="H86" s="1097">
        <f t="shared" si="101"/>
        <v>0</v>
      </c>
      <c r="I86" s="1096"/>
      <c r="J86" s="1097">
        <f t="shared" si="102"/>
        <v>0</v>
      </c>
      <c r="K86" s="1096"/>
      <c r="L86" s="1097">
        <f t="shared" si="103"/>
        <v>0</v>
      </c>
      <c r="M86" s="1096"/>
      <c r="N86" s="1096"/>
      <c r="O86" s="1098">
        <f t="shared" si="104"/>
        <v>0</v>
      </c>
      <c r="P86" s="1096">
        <f t="shared" si="105"/>
        <v>0</v>
      </c>
      <c r="Q86" s="1098">
        <f t="shared" si="106"/>
        <v>5</v>
      </c>
      <c r="R86" s="1096">
        <f t="shared" si="107"/>
        <v>13505</v>
      </c>
      <c r="S86" s="1107"/>
      <c r="T86" s="1099"/>
    </row>
    <row r="87" spans="1:28" s="1108" customFormat="1" ht="46.5">
      <c r="A87" s="1158"/>
      <c r="B87" s="1313" t="s">
        <v>5304</v>
      </c>
      <c r="C87" s="1081">
        <f>+'Ins Abs'!C84</f>
        <v>340</v>
      </c>
      <c r="D87" s="940" t="s">
        <v>2757</v>
      </c>
      <c r="E87" s="1097">
        <f>'SI- Detail  '!H152</f>
        <v>50</v>
      </c>
      <c r="F87" s="1097">
        <f>C87*E87</f>
        <v>17000</v>
      </c>
      <c r="G87" s="1096"/>
      <c r="H87" s="1097">
        <f t="shared" si="101"/>
        <v>0</v>
      </c>
      <c r="I87" s="1096"/>
      <c r="J87" s="1097">
        <f>I87*C87</f>
        <v>0</v>
      </c>
      <c r="K87" s="1096"/>
      <c r="L87" s="1097">
        <f>K87*C87</f>
        <v>0</v>
      </c>
      <c r="M87" s="1096"/>
      <c r="N87" s="1096"/>
      <c r="O87" s="1098">
        <f t="shared" si="104"/>
        <v>0</v>
      </c>
      <c r="P87" s="1096">
        <f t="shared" si="105"/>
        <v>0</v>
      </c>
      <c r="Q87" s="1098">
        <f>E87+G87+O87</f>
        <v>50</v>
      </c>
      <c r="R87" s="1096">
        <f>Q87*C87</f>
        <v>17000</v>
      </c>
      <c r="S87" s="1107"/>
      <c r="T87" s="1099"/>
    </row>
    <row r="88" spans="1:28" s="1108" customFormat="1" ht="69.75">
      <c r="A88" s="1158"/>
      <c r="B88" s="1331" t="s">
        <v>5308</v>
      </c>
      <c r="C88" s="1075">
        <f>+'Ins Abs'!C85</f>
        <v>4646</v>
      </c>
      <c r="D88" s="940" t="s">
        <v>340</v>
      </c>
      <c r="E88" s="1097"/>
      <c r="F88" s="1097">
        <f t="shared" ref="F88:F89" si="108">C88*E88</f>
        <v>0</v>
      </c>
      <c r="G88" s="1096">
        <f>'SI- Elec  '!H79</f>
        <v>8</v>
      </c>
      <c r="H88" s="1097">
        <f t="shared" si="101"/>
        <v>37168</v>
      </c>
      <c r="I88" s="1096"/>
      <c r="J88" s="1097">
        <f t="shared" ref="J88:J89" si="109">I88*C88</f>
        <v>0</v>
      </c>
      <c r="K88" s="1096"/>
      <c r="L88" s="1097">
        <f>K88*C88</f>
        <v>0</v>
      </c>
      <c r="M88" s="1096"/>
      <c r="N88" s="1096"/>
      <c r="O88" s="1098">
        <f t="shared" ref="O88:O89" si="110">K88+I88</f>
        <v>0</v>
      </c>
      <c r="P88" s="1096">
        <f t="shared" si="105"/>
        <v>0</v>
      </c>
      <c r="Q88" s="1098">
        <f t="shared" ref="Q88:Q89" si="111">E88+G88+O88</f>
        <v>8</v>
      </c>
      <c r="R88" s="1096">
        <f t="shared" ref="R88:R90" si="112">Q88*C88</f>
        <v>37168</v>
      </c>
      <c r="S88" s="1107"/>
      <c r="T88" s="1099"/>
    </row>
    <row r="89" spans="1:28" s="1108" customFormat="1" ht="72.75" customHeight="1">
      <c r="A89" s="1158"/>
      <c r="B89" s="1313" t="str">
        <f>'SI- Elec  '!B84</f>
        <v xml:space="preserve">Supplying and fixing of GI Service pipe line including cost of materials and labours etc.., completed </v>
      </c>
      <c r="C89" s="1075">
        <f>+'Ins Abs'!C86</f>
        <v>130</v>
      </c>
      <c r="D89" s="940" t="s">
        <v>303</v>
      </c>
      <c r="E89" s="1097"/>
      <c r="F89" s="1097">
        <f t="shared" si="108"/>
        <v>0</v>
      </c>
      <c r="G89" s="1096">
        <f>'SI- Elec  '!H85</f>
        <v>24</v>
      </c>
      <c r="H89" s="1097">
        <f t="shared" si="101"/>
        <v>3120</v>
      </c>
      <c r="I89" s="1096"/>
      <c r="J89" s="1097">
        <f t="shared" si="109"/>
        <v>0</v>
      </c>
      <c r="K89" s="1096"/>
      <c r="L89" s="1096"/>
      <c r="M89" s="1096"/>
      <c r="N89" s="1096"/>
      <c r="O89" s="1098">
        <f t="shared" si="110"/>
        <v>0</v>
      </c>
      <c r="P89" s="1096">
        <f t="shared" si="105"/>
        <v>0</v>
      </c>
      <c r="Q89" s="1098">
        <f t="shared" si="111"/>
        <v>24</v>
      </c>
      <c r="R89" s="1096">
        <f t="shared" si="112"/>
        <v>3120</v>
      </c>
      <c r="S89" s="1107"/>
      <c r="T89" s="1099"/>
    </row>
    <row r="90" spans="1:28" s="1108" customFormat="1" ht="72.75" customHeight="1">
      <c r="A90" s="1158"/>
      <c r="B90" s="1940" t="s">
        <v>5805</v>
      </c>
      <c r="C90" s="1075">
        <v>3974.59</v>
      </c>
      <c r="D90" s="940" t="s">
        <v>533</v>
      </c>
      <c r="E90" s="1097">
        <v>20.16</v>
      </c>
      <c r="F90" s="1097">
        <f>E90*C90</f>
        <v>80127.734400000001</v>
      </c>
      <c r="G90" s="1096"/>
      <c r="H90" s="1097"/>
      <c r="I90" s="1096"/>
      <c r="J90" s="1097"/>
      <c r="K90" s="1096"/>
      <c r="L90" s="1096"/>
      <c r="M90" s="1096"/>
      <c r="N90" s="1096"/>
      <c r="O90" s="1098"/>
      <c r="P90" s="1096"/>
      <c r="Q90" s="1098">
        <f>E90</f>
        <v>20.16</v>
      </c>
      <c r="R90" s="1096">
        <f t="shared" si="112"/>
        <v>80127.734400000001</v>
      </c>
      <c r="S90" s="1107"/>
      <c r="T90" s="1099"/>
    </row>
    <row r="91" spans="1:28" ht="48" customHeight="1">
      <c r="A91" s="1138"/>
      <c r="B91" s="1262" t="s">
        <v>227</v>
      </c>
      <c r="C91" s="1106"/>
      <c r="D91" s="943"/>
      <c r="E91" s="1122"/>
      <c r="F91" s="1151">
        <f>SUM(F7:F90)</f>
        <v>2065806.0984897483</v>
      </c>
      <c r="G91" s="1249"/>
      <c r="H91" s="1151">
        <f>SUM(H7:H90)</f>
        <v>505471.39633333334</v>
      </c>
      <c r="I91" s="1096"/>
      <c r="J91" s="1151">
        <f>SUM(J7:J90)</f>
        <v>120252.95625507861</v>
      </c>
      <c r="K91" s="1151"/>
      <c r="L91" s="1151">
        <f>SUM(L7:L90)</f>
        <v>211927.97071879316</v>
      </c>
      <c r="M91" s="1249"/>
      <c r="N91" s="1151">
        <f>SUM(N7:N89)+0.01</f>
        <v>0.01</v>
      </c>
      <c r="O91" s="1098">
        <f t="shared" ref="O91:O154" si="113">I91+K91+M91</f>
        <v>0</v>
      </c>
      <c r="P91" s="1151">
        <f>SUM(P7:P90)</f>
        <v>332180.92697387177</v>
      </c>
      <c r="Q91" s="1095" t="s">
        <v>249</v>
      </c>
      <c r="R91" s="1151">
        <f>SUM(R7:R90)</f>
        <v>2903458.4217969542</v>
      </c>
      <c r="S91" s="1250"/>
      <c r="T91" s="1099"/>
      <c r="V91" s="1251"/>
      <c r="W91" s="1092"/>
      <c r="X91" s="1092"/>
      <c r="Y91" s="1252"/>
      <c r="Z91" s="940" t="e">
        <f>Y91*#REF!</f>
        <v>#REF!</v>
      </c>
      <c r="AA91" s="1094">
        <f>Y91+W91</f>
        <v>0</v>
      </c>
      <c r="AB91" s="1092" t="e">
        <f>AA91*#REF!</f>
        <v>#REF!</v>
      </c>
    </row>
    <row r="92" spans="1:28" s="1108" customFormat="1" hidden="1">
      <c r="A92" s="1085"/>
      <c r="B92" s="1321"/>
      <c r="C92" s="1085"/>
      <c r="E92" s="1240"/>
      <c r="F92" s="1097">
        <f t="shared" ref="F92:F155" si="114">E92*C92</f>
        <v>0</v>
      </c>
      <c r="G92" s="1160"/>
      <c r="H92" s="1096">
        <f t="shared" ref="H92:H155" si="115">G92*C92</f>
        <v>0</v>
      </c>
      <c r="I92" s="1160"/>
      <c r="J92" s="1096">
        <f t="shared" ref="J92:J155" si="116">I92*C92</f>
        <v>0</v>
      </c>
      <c r="K92" s="1161"/>
      <c r="L92" s="1096">
        <f t="shared" ref="L92:L155" si="117">K92*C92</f>
        <v>0</v>
      </c>
      <c r="M92" s="1160"/>
      <c r="N92" s="1096">
        <f t="shared" ref="N92:N155" si="118">M92*C92</f>
        <v>0</v>
      </c>
      <c r="O92" s="1098">
        <f t="shared" si="113"/>
        <v>0</v>
      </c>
      <c r="P92" s="1096">
        <f t="shared" ref="P92:P155" si="119">O92*C92</f>
        <v>0</v>
      </c>
      <c r="Q92" s="1098">
        <f t="shared" ref="Q92:Q153" si="120">O92+E92+G92</f>
        <v>0</v>
      </c>
      <c r="R92" s="1096">
        <f t="shared" ref="R92:R94" si="121">Q92*C92</f>
        <v>0</v>
      </c>
      <c r="S92" s="1107"/>
      <c r="T92" s="1104"/>
    </row>
    <row r="93" spans="1:28" s="1108" customFormat="1" hidden="1">
      <c r="A93" s="1085"/>
      <c r="B93" s="933" t="s">
        <v>4288</v>
      </c>
      <c r="C93" s="1138"/>
      <c r="D93" s="1165" t="s">
        <v>340</v>
      </c>
      <c r="E93" s="1253"/>
      <c r="F93" s="1097">
        <f t="shared" si="114"/>
        <v>0</v>
      </c>
      <c r="G93" s="1103"/>
      <c r="H93" s="1096">
        <f t="shared" si="115"/>
        <v>0</v>
      </c>
      <c r="I93" s="1103"/>
      <c r="J93" s="1096">
        <f t="shared" si="116"/>
        <v>0</v>
      </c>
      <c r="K93" s="1096"/>
      <c r="L93" s="1096">
        <f t="shared" si="117"/>
        <v>0</v>
      </c>
      <c r="M93" s="1103"/>
      <c r="N93" s="1096">
        <f t="shared" si="118"/>
        <v>0</v>
      </c>
      <c r="O93" s="1098">
        <f t="shared" si="113"/>
        <v>0</v>
      </c>
      <c r="P93" s="1096">
        <f t="shared" si="119"/>
        <v>0</v>
      </c>
      <c r="Q93" s="1098">
        <f t="shared" si="120"/>
        <v>0</v>
      </c>
      <c r="R93" s="1096">
        <f t="shared" si="121"/>
        <v>0</v>
      </c>
      <c r="S93" s="1107"/>
      <c r="T93" s="1104"/>
    </row>
    <row r="94" spans="1:28" s="1108" customFormat="1" hidden="1">
      <c r="A94" s="1085"/>
      <c r="B94" s="933" t="s">
        <v>4289</v>
      </c>
      <c r="C94" s="1138"/>
      <c r="D94" s="1165" t="s">
        <v>340</v>
      </c>
      <c r="E94" s="1253"/>
      <c r="F94" s="1097">
        <f t="shared" si="114"/>
        <v>0</v>
      </c>
      <c r="G94" s="1103"/>
      <c r="H94" s="1096">
        <f t="shared" si="115"/>
        <v>0</v>
      </c>
      <c r="I94" s="1103"/>
      <c r="J94" s="1096">
        <f t="shared" si="116"/>
        <v>0</v>
      </c>
      <c r="K94" s="1096"/>
      <c r="L94" s="1096">
        <f t="shared" si="117"/>
        <v>0</v>
      </c>
      <c r="M94" s="1103"/>
      <c r="N94" s="1096">
        <f t="shared" si="118"/>
        <v>0</v>
      </c>
      <c r="O94" s="1098">
        <f t="shared" si="113"/>
        <v>0</v>
      </c>
      <c r="P94" s="1096">
        <f>J91+L91+N91</f>
        <v>332180.93697387178</v>
      </c>
      <c r="Q94" s="1098">
        <f t="shared" si="120"/>
        <v>0</v>
      </c>
      <c r="R94" s="1096">
        <f t="shared" si="121"/>
        <v>0</v>
      </c>
      <c r="S94" s="1107"/>
      <c r="T94" s="1104"/>
    </row>
    <row r="95" spans="1:28" s="1108" customFormat="1">
      <c r="A95" s="1085"/>
      <c r="B95" s="933" t="s">
        <v>4295</v>
      </c>
      <c r="C95" s="1138" t="e">
        <f>#REF!</f>
        <v>#REF!</v>
      </c>
      <c r="D95" s="1108" t="s">
        <v>306</v>
      </c>
      <c r="E95" s="1240"/>
      <c r="F95" s="1097" t="e">
        <f t="shared" si="114"/>
        <v>#REF!</v>
      </c>
      <c r="G95" s="1103"/>
      <c r="H95" s="1096" t="e">
        <f t="shared" si="115"/>
        <v>#REF!</v>
      </c>
      <c r="I95" s="1103"/>
      <c r="J95" s="1096" t="e">
        <f t="shared" si="116"/>
        <v>#REF!</v>
      </c>
      <c r="K95" s="1096"/>
      <c r="L95" s="1096" t="e">
        <f t="shared" si="117"/>
        <v>#REF!</v>
      </c>
      <c r="M95" s="1103"/>
      <c r="N95" s="1096" t="e">
        <f t="shared" si="118"/>
        <v>#REF!</v>
      </c>
      <c r="O95" s="1098">
        <f t="shared" si="113"/>
        <v>0</v>
      </c>
      <c r="P95" s="1096">
        <f>P94-P91</f>
        <v>1.0000000009313226E-2</v>
      </c>
      <c r="Q95" s="1098">
        <f t="shared" si="120"/>
        <v>0</v>
      </c>
      <c r="R95" s="1096">
        <f>F91+H91+P91</f>
        <v>2903458.4217969533</v>
      </c>
      <c r="S95" s="1107"/>
      <c r="T95" s="1104"/>
    </row>
    <row r="96" spans="1:28" s="1108" customFormat="1" hidden="1">
      <c r="A96" s="1085"/>
      <c r="B96" s="933" t="s">
        <v>4296</v>
      </c>
      <c r="C96" s="1138" t="e">
        <f>#REF!</f>
        <v>#REF!</v>
      </c>
      <c r="D96" s="1108" t="s">
        <v>306</v>
      </c>
      <c r="E96" s="1240"/>
      <c r="F96" s="1097" t="e">
        <f t="shared" si="114"/>
        <v>#REF!</v>
      </c>
      <c r="G96" s="1103"/>
      <c r="H96" s="1096" t="e">
        <f t="shared" si="115"/>
        <v>#REF!</v>
      </c>
      <c r="I96" s="1103"/>
      <c r="J96" s="1096" t="e">
        <f t="shared" si="116"/>
        <v>#REF!</v>
      </c>
      <c r="K96" s="1096"/>
      <c r="L96" s="1096" t="e">
        <f t="shared" si="117"/>
        <v>#REF!</v>
      </c>
      <c r="M96" s="1103"/>
      <c r="N96" s="1096" t="e">
        <f t="shared" si="118"/>
        <v>#REF!</v>
      </c>
      <c r="O96" s="1098">
        <f t="shared" si="113"/>
        <v>0</v>
      </c>
      <c r="P96" s="1096" t="e">
        <f t="shared" si="119"/>
        <v>#REF!</v>
      </c>
      <c r="Q96" s="1098">
        <f t="shared" si="120"/>
        <v>0</v>
      </c>
      <c r="R96" s="1096">
        <f>R95-R91</f>
        <v>0</v>
      </c>
      <c r="S96" s="1107"/>
      <c r="T96" s="1104"/>
    </row>
    <row r="97" spans="1:20" s="1108" customFormat="1" hidden="1">
      <c r="A97" s="1085"/>
      <c r="B97" s="933" t="s">
        <v>4297</v>
      </c>
      <c r="C97" s="1138" t="e">
        <f>#REF!</f>
        <v>#REF!</v>
      </c>
      <c r="D97" s="1108" t="s">
        <v>306</v>
      </c>
      <c r="E97" s="1240"/>
      <c r="F97" s="1097" t="e">
        <f t="shared" si="114"/>
        <v>#REF!</v>
      </c>
      <c r="G97" s="1103"/>
      <c r="H97" s="1096" t="e">
        <f t="shared" si="115"/>
        <v>#REF!</v>
      </c>
      <c r="I97" s="1103"/>
      <c r="J97" s="1096" t="e">
        <f t="shared" si="116"/>
        <v>#REF!</v>
      </c>
      <c r="K97" s="1096"/>
      <c r="L97" s="1096" t="e">
        <f t="shared" si="117"/>
        <v>#REF!</v>
      </c>
      <c r="M97" s="1103"/>
      <c r="N97" s="1096" t="e">
        <f t="shared" si="118"/>
        <v>#REF!</v>
      </c>
      <c r="O97" s="1098">
        <f t="shared" si="113"/>
        <v>0</v>
      </c>
      <c r="P97" s="1096" t="e">
        <f t="shared" si="119"/>
        <v>#REF!</v>
      </c>
      <c r="Q97" s="1098">
        <f t="shared" si="120"/>
        <v>0</v>
      </c>
      <c r="R97" s="1096" t="e">
        <f t="shared" ref="R97:R160" si="122">Q97*C97</f>
        <v>#REF!</v>
      </c>
      <c r="S97" s="1107"/>
      <c r="T97" s="1104"/>
    </row>
    <row r="98" spans="1:20" s="1108" customFormat="1" hidden="1">
      <c r="A98" s="1085"/>
      <c r="B98" s="933" t="s">
        <v>4291</v>
      </c>
      <c r="C98" s="1138"/>
      <c r="D98" s="1108" t="s">
        <v>306</v>
      </c>
      <c r="E98" s="1240"/>
      <c r="F98" s="1097">
        <f t="shared" si="114"/>
        <v>0</v>
      </c>
      <c r="G98" s="1103"/>
      <c r="H98" s="1096">
        <f t="shared" si="115"/>
        <v>0</v>
      </c>
      <c r="I98" s="1103"/>
      <c r="J98" s="1096">
        <f t="shared" si="116"/>
        <v>0</v>
      </c>
      <c r="K98" s="1096"/>
      <c r="L98" s="1096">
        <f t="shared" si="117"/>
        <v>0</v>
      </c>
      <c r="M98" s="1103"/>
      <c r="N98" s="1096">
        <f t="shared" si="118"/>
        <v>0</v>
      </c>
      <c r="O98" s="1098">
        <f t="shared" si="113"/>
        <v>0</v>
      </c>
      <c r="P98" s="1096">
        <f t="shared" si="119"/>
        <v>0</v>
      </c>
      <c r="Q98" s="1098">
        <f t="shared" si="120"/>
        <v>0</v>
      </c>
      <c r="R98" s="1096">
        <f t="shared" si="122"/>
        <v>0</v>
      </c>
      <c r="S98" s="1107"/>
      <c r="T98" s="1104"/>
    </row>
    <row r="99" spans="1:20" s="1108" customFormat="1" ht="46.5" hidden="1">
      <c r="A99" s="1085"/>
      <c r="B99" s="933" t="s">
        <v>4468</v>
      </c>
      <c r="C99" s="1138"/>
      <c r="D99" s="1108" t="s">
        <v>306</v>
      </c>
      <c r="E99" s="1240"/>
      <c r="F99" s="1097">
        <f t="shared" si="114"/>
        <v>0</v>
      </c>
      <c r="G99" s="1103"/>
      <c r="H99" s="1096">
        <f t="shared" si="115"/>
        <v>0</v>
      </c>
      <c r="I99" s="1103"/>
      <c r="J99" s="1096">
        <f t="shared" si="116"/>
        <v>0</v>
      </c>
      <c r="K99" s="1096"/>
      <c r="L99" s="1096">
        <f t="shared" si="117"/>
        <v>0</v>
      </c>
      <c r="M99" s="1103"/>
      <c r="N99" s="1096">
        <f t="shared" si="118"/>
        <v>0</v>
      </c>
      <c r="O99" s="1098">
        <f t="shared" si="113"/>
        <v>0</v>
      </c>
      <c r="P99" s="1096">
        <f t="shared" si="119"/>
        <v>0</v>
      </c>
      <c r="Q99" s="1098">
        <f t="shared" si="120"/>
        <v>0</v>
      </c>
      <c r="R99" s="1096">
        <f t="shared" si="122"/>
        <v>0</v>
      </c>
      <c r="S99" s="1107"/>
      <c r="T99" s="1104"/>
    </row>
    <row r="100" spans="1:20" s="1108" customFormat="1" ht="46.5" hidden="1">
      <c r="A100" s="1085"/>
      <c r="B100" s="933" t="s">
        <v>4469</v>
      </c>
      <c r="C100" s="1138"/>
      <c r="D100" s="1108" t="s">
        <v>306</v>
      </c>
      <c r="E100" s="1240"/>
      <c r="F100" s="1097">
        <f t="shared" si="114"/>
        <v>0</v>
      </c>
      <c r="G100" s="1103"/>
      <c r="H100" s="1096">
        <f t="shared" si="115"/>
        <v>0</v>
      </c>
      <c r="I100" s="1103"/>
      <c r="J100" s="1096">
        <f t="shared" si="116"/>
        <v>0</v>
      </c>
      <c r="K100" s="1096"/>
      <c r="L100" s="1096">
        <f t="shared" si="117"/>
        <v>0</v>
      </c>
      <c r="M100" s="1103"/>
      <c r="N100" s="1096">
        <f t="shared" si="118"/>
        <v>0</v>
      </c>
      <c r="O100" s="1098">
        <f t="shared" si="113"/>
        <v>0</v>
      </c>
      <c r="P100" s="1096">
        <f t="shared" si="119"/>
        <v>0</v>
      </c>
      <c r="Q100" s="1098">
        <f t="shared" si="120"/>
        <v>0</v>
      </c>
      <c r="R100" s="1096">
        <f t="shared" si="122"/>
        <v>0</v>
      </c>
      <c r="S100" s="1107"/>
      <c r="T100" s="1104"/>
    </row>
    <row r="101" spans="1:20" s="1108" customFormat="1" ht="46.5" hidden="1">
      <c r="A101" s="1085"/>
      <c r="B101" s="933" t="s">
        <v>4470</v>
      </c>
      <c r="C101" s="1138"/>
      <c r="D101" s="1108" t="s">
        <v>306</v>
      </c>
      <c r="E101" s="1240"/>
      <c r="F101" s="1097">
        <f t="shared" si="114"/>
        <v>0</v>
      </c>
      <c r="G101" s="1103"/>
      <c r="H101" s="1096">
        <f t="shared" si="115"/>
        <v>0</v>
      </c>
      <c r="I101" s="1103"/>
      <c r="J101" s="1096">
        <f t="shared" si="116"/>
        <v>0</v>
      </c>
      <c r="K101" s="1096"/>
      <c r="L101" s="1096">
        <f t="shared" si="117"/>
        <v>0</v>
      </c>
      <c r="M101" s="1103"/>
      <c r="N101" s="1096">
        <f t="shared" si="118"/>
        <v>0</v>
      </c>
      <c r="O101" s="1098">
        <f t="shared" si="113"/>
        <v>0</v>
      </c>
      <c r="P101" s="1096">
        <f t="shared" si="119"/>
        <v>0</v>
      </c>
      <c r="Q101" s="1098">
        <f t="shared" si="120"/>
        <v>0</v>
      </c>
      <c r="R101" s="1096">
        <f t="shared" si="122"/>
        <v>0</v>
      </c>
      <c r="S101" s="1107"/>
      <c r="T101" s="1104"/>
    </row>
    <row r="102" spans="1:20" s="1108" customFormat="1" hidden="1">
      <c r="A102" s="1085"/>
      <c r="B102" s="933" t="s">
        <v>4471</v>
      </c>
      <c r="C102" s="1138">
        <f>8.2*1500</f>
        <v>12299.999999999998</v>
      </c>
      <c r="D102" s="1108" t="s">
        <v>340</v>
      </c>
      <c r="E102" s="1240"/>
      <c r="F102" s="1097">
        <f t="shared" si="114"/>
        <v>0</v>
      </c>
      <c r="G102" s="1103"/>
      <c r="H102" s="1096">
        <f t="shared" si="115"/>
        <v>0</v>
      </c>
      <c r="I102" s="1103"/>
      <c r="J102" s="1096">
        <f t="shared" si="116"/>
        <v>0</v>
      </c>
      <c r="K102" s="1096"/>
      <c r="L102" s="1096">
        <f t="shared" si="117"/>
        <v>0</v>
      </c>
      <c r="M102" s="1103"/>
      <c r="N102" s="1096">
        <f t="shared" si="118"/>
        <v>0</v>
      </c>
      <c r="O102" s="1098">
        <f t="shared" si="113"/>
        <v>0</v>
      </c>
      <c r="P102" s="1096">
        <f t="shared" si="119"/>
        <v>0</v>
      </c>
      <c r="Q102" s="1098">
        <f t="shared" si="120"/>
        <v>0</v>
      </c>
      <c r="R102" s="1096">
        <f t="shared" si="122"/>
        <v>0</v>
      </c>
      <c r="S102" s="1107"/>
      <c r="T102" s="1104"/>
    </row>
    <row r="103" spans="1:20" s="1108" customFormat="1" hidden="1">
      <c r="A103" s="1085"/>
      <c r="B103" s="933" t="s">
        <v>4472</v>
      </c>
      <c r="C103" s="1138" t="e">
        <f>#REF!</f>
        <v>#REF!</v>
      </c>
      <c r="D103" s="1108" t="s">
        <v>306</v>
      </c>
      <c r="E103" s="1240"/>
      <c r="F103" s="1097" t="e">
        <f t="shared" si="114"/>
        <v>#REF!</v>
      </c>
      <c r="G103" s="1103"/>
      <c r="H103" s="1096" t="e">
        <f t="shared" si="115"/>
        <v>#REF!</v>
      </c>
      <c r="I103" s="1103"/>
      <c r="J103" s="1096" t="e">
        <f t="shared" si="116"/>
        <v>#REF!</v>
      </c>
      <c r="K103" s="1096"/>
      <c r="L103" s="1096" t="e">
        <f t="shared" si="117"/>
        <v>#REF!</v>
      </c>
      <c r="M103" s="1103"/>
      <c r="N103" s="1096" t="e">
        <f t="shared" si="118"/>
        <v>#REF!</v>
      </c>
      <c r="O103" s="1098">
        <f t="shared" si="113"/>
        <v>0</v>
      </c>
      <c r="P103" s="1096" t="e">
        <f t="shared" si="119"/>
        <v>#REF!</v>
      </c>
      <c r="Q103" s="1098">
        <f t="shared" si="120"/>
        <v>0</v>
      </c>
      <c r="R103" s="1096" t="e">
        <f t="shared" si="122"/>
        <v>#REF!</v>
      </c>
      <c r="S103" s="1107"/>
      <c r="T103" s="1104"/>
    </row>
    <row r="104" spans="1:20" s="1108" customFormat="1" hidden="1">
      <c r="A104" s="1085"/>
      <c r="B104" s="933" t="s">
        <v>4473</v>
      </c>
      <c r="C104" s="1138" t="e">
        <f>#REF!</f>
        <v>#REF!</v>
      </c>
      <c r="D104" s="1108" t="s">
        <v>306</v>
      </c>
      <c r="E104" s="1240"/>
      <c r="F104" s="1097" t="e">
        <f t="shared" si="114"/>
        <v>#REF!</v>
      </c>
      <c r="G104" s="1103"/>
      <c r="H104" s="1096" t="e">
        <f t="shared" si="115"/>
        <v>#REF!</v>
      </c>
      <c r="I104" s="1103"/>
      <c r="J104" s="1096" t="e">
        <f t="shared" si="116"/>
        <v>#REF!</v>
      </c>
      <c r="K104" s="1096"/>
      <c r="L104" s="1096" t="e">
        <f t="shared" si="117"/>
        <v>#REF!</v>
      </c>
      <c r="M104" s="1103"/>
      <c r="N104" s="1096" t="e">
        <f t="shared" si="118"/>
        <v>#REF!</v>
      </c>
      <c r="O104" s="1098">
        <f t="shared" si="113"/>
        <v>0</v>
      </c>
      <c r="P104" s="1096" t="e">
        <f t="shared" si="119"/>
        <v>#REF!</v>
      </c>
      <c r="Q104" s="1098">
        <f t="shared" si="120"/>
        <v>0</v>
      </c>
      <c r="R104" s="1096" t="e">
        <f t="shared" si="122"/>
        <v>#REF!</v>
      </c>
      <c r="S104" s="1107"/>
      <c r="T104" s="1104"/>
    </row>
    <row r="105" spans="1:20" s="1108" customFormat="1" hidden="1">
      <c r="A105" s="1085"/>
      <c r="B105" s="933" t="s">
        <v>4474</v>
      </c>
      <c r="C105" s="1138" t="e">
        <f>#REF!</f>
        <v>#REF!</v>
      </c>
      <c r="D105" s="1108" t="s">
        <v>306</v>
      </c>
      <c r="E105" s="1240"/>
      <c r="F105" s="1097" t="e">
        <f t="shared" si="114"/>
        <v>#REF!</v>
      </c>
      <c r="G105" s="1103"/>
      <c r="H105" s="1096" t="e">
        <f t="shared" si="115"/>
        <v>#REF!</v>
      </c>
      <c r="I105" s="1103"/>
      <c r="J105" s="1096" t="e">
        <f t="shared" si="116"/>
        <v>#REF!</v>
      </c>
      <c r="K105" s="1096"/>
      <c r="L105" s="1096" t="e">
        <f t="shared" si="117"/>
        <v>#REF!</v>
      </c>
      <c r="M105" s="1103"/>
      <c r="N105" s="1096" t="e">
        <f t="shared" si="118"/>
        <v>#REF!</v>
      </c>
      <c r="O105" s="1098">
        <f t="shared" si="113"/>
        <v>0</v>
      </c>
      <c r="P105" s="1096" t="e">
        <f t="shared" si="119"/>
        <v>#REF!</v>
      </c>
      <c r="Q105" s="1098">
        <f t="shared" si="120"/>
        <v>0</v>
      </c>
      <c r="R105" s="1096" t="e">
        <f t="shared" si="122"/>
        <v>#REF!</v>
      </c>
      <c r="S105" s="1107"/>
      <c r="T105" s="1104"/>
    </row>
    <row r="106" spans="1:20" s="1108" customFormat="1" hidden="1">
      <c r="A106" s="1085"/>
      <c r="B106" s="933" t="s">
        <v>4475</v>
      </c>
      <c r="C106" s="1138" t="e">
        <f>#REF!</f>
        <v>#REF!</v>
      </c>
      <c r="D106" s="1108" t="s">
        <v>306</v>
      </c>
      <c r="E106" s="1240"/>
      <c r="F106" s="1097" t="e">
        <f t="shared" si="114"/>
        <v>#REF!</v>
      </c>
      <c r="G106" s="1103"/>
      <c r="H106" s="1096" t="e">
        <f t="shared" si="115"/>
        <v>#REF!</v>
      </c>
      <c r="I106" s="1103"/>
      <c r="J106" s="1096" t="e">
        <f t="shared" si="116"/>
        <v>#REF!</v>
      </c>
      <c r="K106" s="1096"/>
      <c r="L106" s="1096" t="e">
        <f t="shared" si="117"/>
        <v>#REF!</v>
      </c>
      <c r="M106" s="1103"/>
      <c r="N106" s="1096" t="e">
        <f t="shared" si="118"/>
        <v>#REF!</v>
      </c>
      <c r="O106" s="1098">
        <f t="shared" si="113"/>
        <v>0</v>
      </c>
      <c r="P106" s="1096" t="e">
        <f t="shared" si="119"/>
        <v>#REF!</v>
      </c>
      <c r="Q106" s="1098">
        <f t="shared" si="120"/>
        <v>0</v>
      </c>
      <c r="R106" s="1096" t="e">
        <f t="shared" si="122"/>
        <v>#REF!</v>
      </c>
      <c r="S106" s="1107"/>
      <c r="T106" s="1104"/>
    </row>
    <row r="107" spans="1:20" s="1108" customFormat="1" hidden="1">
      <c r="A107" s="1085"/>
      <c r="B107" s="933" t="s">
        <v>4476</v>
      </c>
      <c r="C107" s="1138" t="e">
        <f>#REF!</f>
        <v>#REF!</v>
      </c>
      <c r="D107" s="1108" t="s">
        <v>306</v>
      </c>
      <c r="E107" s="1240"/>
      <c r="F107" s="1097" t="e">
        <f t="shared" si="114"/>
        <v>#REF!</v>
      </c>
      <c r="G107" s="1103"/>
      <c r="H107" s="1096" t="e">
        <f t="shared" si="115"/>
        <v>#REF!</v>
      </c>
      <c r="I107" s="1103"/>
      <c r="J107" s="1096" t="e">
        <f t="shared" si="116"/>
        <v>#REF!</v>
      </c>
      <c r="K107" s="1096"/>
      <c r="L107" s="1096" t="e">
        <f t="shared" si="117"/>
        <v>#REF!</v>
      </c>
      <c r="M107" s="1103"/>
      <c r="N107" s="1096" t="e">
        <f t="shared" si="118"/>
        <v>#REF!</v>
      </c>
      <c r="O107" s="1098">
        <f t="shared" si="113"/>
        <v>0</v>
      </c>
      <c r="P107" s="1096" t="e">
        <f t="shared" si="119"/>
        <v>#REF!</v>
      </c>
      <c r="Q107" s="1098">
        <f t="shared" si="120"/>
        <v>0</v>
      </c>
      <c r="R107" s="1096" t="e">
        <f t="shared" si="122"/>
        <v>#REF!</v>
      </c>
      <c r="S107" s="1107"/>
      <c r="T107" s="1104"/>
    </row>
    <row r="108" spans="1:20" s="1108" customFormat="1" hidden="1">
      <c r="A108" s="1085"/>
      <c r="B108" s="1322" t="s">
        <v>4477</v>
      </c>
      <c r="C108" s="1085" t="e">
        <f>#REF!</f>
        <v>#REF!</v>
      </c>
      <c r="D108" s="1108" t="s">
        <v>306</v>
      </c>
      <c r="E108" s="1240"/>
      <c r="F108" s="1097" t="e">
        <f t="shared" si="114"/>
        <v>#REF!</v>
      </c>
      <c r="G108" s="1103"/>
      <c r="H108" s="1096" t="e">
        <f t="shared" si="115"/>
        <v>#REF!</v>
      </c>
      <c r="I108" s="1103"/>
      <c r="J108" s="1096" t="e">
        <f t="shared" si="116"/>
        <v>#REF!</v>
      </c>
      <c r="K108" s="1096"/>
      <c r="L108" s="1096" t="e">
        <f t="shared" si="117"/>
        <v>#REF!</v>
      </c>
      <c r="M108" s="1103"/>
      <c r="N108" s="1096" t="e">
        <f t="shared" si="118"/>
        <v>#REF!</v>
      </c>
      <c r="O108" s="1098">
        <f t="shared" si="113"/>
        <v>0</v>
      </c>
      <c r="P108" s="1096" t="e">
        <f t="shared" si="119"/>
        <v>#REF!</v>
      </c>
      <c r="Q108" s="1098">
        <f t="shared" si="120"/>
        <v>0</v>
      </c>
      <c r="R108" s="1096" t="e">
        <f t="shared" si="122"/>
        <v>#REF!</v>
      </c>
      <c r="S108" s="1107"/>
      <c r="T108" s="1104"/>
    </row>
    <row r="109" spans="1:20" s="1108" customFormat="1" hidden="1">
      <c r="A109" s="1085"/>
      <c r="B109" s="1322" t="s">
        <v>4478</v>
      </c>
      <c r="C109" s="1085">
        <f>5000*8.2</f>
        <v>41000</v>
      </c>
      <c r="D109" s="1108" t="s">
        <v>340</v>
      </c>
      <c r="E109" s="1240"/>
      <c r="F109" s="1097">
        <f t="shared" si="114"/>
        <v>0</v>
      </c>
      <c r="G109" s="1103"/>
      <c r="H109" s="1096">
        <f t="shared" si="115"/>
        <v>0</v>
      </c>
      <c r="I109" s="1103"/>
      <c r="J109" s="1096">
        <f t="shared" si="116"/>
        <v>0</v>
      </c>
      <c r="K109" s="1096"/>
      <c r="L109" s="1096">
        <f t="shared" si="117"/>
        <v>0</v>
      </c>
      <c r="M109" s="1103"/>
      <c r="N109" s="1096">
        <f t="shared" si="118"/>
        <v>0</v>
      </c>
      <c r="O109" s="1098">
        <f t="shared" si="113"/>
        <v>0</v>
      </c>
      <c r="P109" s="1096">
        <f t="shared" si="119"/>
        <v>0</v>
      </c>
      <c r="Q109" s="1098">
        <f t="shared" si="120"/>
        <v>0</v>
      </c>
      <c r="R109" s="1096">
        <f t="shared" si="122"/>
        <v>0</v>
      </c>
      <c r="S109" s="1107"/>
      <c r="T109" s="1104"/>
    </row>
    <row r="110" spans="1:20" s="1108" customFormat="1" hidden="1">
      <c r="A110" s="1085"/>
      <c r="B110" s="1322" t="e">
        <f>#REF!</f>
        <v>#REF!</v>
      </c>
      <c r="C110" s="1085" t="e">
        <f>#REF!</f>
        <v>#REF!</v>
      </c>
      <c r="D110" s="1108" t="s">
        <v>306</v>
      </c>
      <c r="E110" s="1240"/>
      <c r="F110" s="1097" t="e">
        <f t="shared" si="114"/>
        <v>#REF!</v>
      </c>
      <c r="G110" s="1103"/>
      <c r="H110" s="1096" t="e">
        <f t="shared" si="115"/>
        <v>#REF!</v>
      </c>
      <c r="I110" s="1103"/>
      <c r="J110" s="1096" t="e">
        <f t="shared" si="116"/>
        <v>#REF!</v>
      </c>
      <c r="K110" s="1096"/>
      <c r="L110" s="1096" t="e">
        <f t="shared" si="117"/>
        <v>#REF!</v>
      </c>
      <c r="M110" s="1103"/>
      <c r="N110" s="1096" t="e">
        <f t="shared" si="118"/>
        <v>#REF!</v>
      </c>
      <c r="O110" s="1098">
        <f t="shared" si="113"/>
        <v>0</v>
      </c>
      <c r="P110" s="1096" t="e">
        <f t="shared" si="119"/>
        <v>#REF!</v>
      </c>
      <c r="Q110" s="1098">
        <f t="shared" si="120"/>
        <v>0</v>
      </c>
      <c r="R110" s="1096" t="e">
        <f t="shared" si="122"/>
        <v>#REF!</v>
      </c>
      <c r="S110" s="1107"/>
      <c r="T110" s="1104"/>
    </row>
    <row r="111" spans="1:20" s="1108" customFormat="1" hidden="1">
      <c r="A111" s="1085"/>
      <c r="B111" s="1322" t="s">
        <v>1794</v>
      </c>
      <c r="C111" s="1085" t="e">
        <f>#REF!</f>
        <v>#REF!</v>
      </c>
      <c r="D111" s="1108" t="s">
        <v>306</v>
      </c>
      <c r="E111" s="1240"/>
      <c r="F111" s="1097" t="e">
        <f t="shared" si="114"/>
        <v>#REF!</v>
      </c>
      <c r="G111" s="1103"/>
      <c r="H111" s="1096" t="e">
        <f t="shared" si="115"/>
        <v>#REF!</v>
      </c>
      <c r="I111" s="1103"/>
      <c r="J111" s="1096" t="e">
        <f t="shared" si="116"/>
        <v>#REF!</v>
      </c>
      <c r="K111" s="1096"/>
      <c r="L111" s="1096" t="e">
        <f t="shared" si="117"/>
        <v>#REF!</v>
      </c>
      <c r="M111" s="1103"/>
      <c r="N111" s="1096" t="e">
        <f t="shared" si="118"/>
        <v>#REF!</v>
      </c>
      <c r="O111" s="1098">
        <f t="shared" si="113"/>
        <v>0</v>
      </c>
      <c r="P111" s="1096" t="e">
        <f t="shared" si="119"/>
        <v>#REF!</v>
      </c>
      <c r="Q111" s="1098">
        <f t="shared" si="120"/>
        <v>0</v>
      </c>
      <c r="R111" s="1096" t="e">
        <f t="shared" si="122"/>
        <v>#REF!</v>
      </c>
      <c r="S111" s="1107"/>
      <c r="T111" s="1104"/>
    </row>
    <row r="112" spans="1:20" s="1108" customFormat="1" hidden="1">
      <c r="A112" s="1085"/>
      <c r="B112" s="1322" t="s">
        <v>4479</v>
      </c>
      <c r="C112" s="1085" t="e">
        <f>#REF!</f>
        <v>#REF!</v>
      </c>
      <c r="D112" s="1108" t="s">
        <v>306</v>
      </c>
      <c r="E112" s="1240"/>
      <c r="F112" s="1097" t="e">
        <f t="shared" si="114"/>
        <v>#REF!</v>
      </c>
      <c r="G112" s="1103"/>
      <c r="H112" s="1096" t="e">
        <f t="shared" si="115"/>
        <v>#REF!</v>
      </c>
      <c r="I112" s="1103"/>
      <c r="J112" s="1096" t="e">
        <f t="shared" si="116"/>
        <v>#REF!</v>
      </c>
      <c r="K112" s="1096"/>
      <c r="L112" s="1096" t="e">
        <f t="shared" si="117"/>
        <v>#REF!</v>
      </c>
      <c r="M112" s="1103"/>
      <c r="N112" s="1096" t="e">
        <f t="shared" si="118"/>
        <v>#REF!</v>
      </c>
      <c r="O112" s="1098">
        <f t="shared" si="113"/>
        <v>0</v>
      </c>
      <c r="P112" s="1096" t="e">
        <f t="shared" si="119"/>
        <v>#REF!</v>
      </c>
      <c r="Q112" s="1098">
        <f t="shared" si="120"/>
        <v>0</v>
      </c>
      <c r="R112" s="1096" t="e">
        <f t="shared" si="122"/>
        <v>#REF!</v>
      </c>
      <c r="S112" s="1107"/>
      <c r="T112" s="1104"/>
    </row>
    <row r="113" spans="1:20" s="1108" customFormat="1" hidden="1">
      <c r="A113" s="1085"/>
      <c r="B113" s="1322" t="s">
        <v>4480</v>
      </c>
      <c r="C113" s="1085" t="e">
        <f>#REF!</f>
        <v>#REF!</v>
      </c>
      <c r="D113" s="1108" t="s">
        <v>306</v>
      </c>
      <c r="E113" s="1240"/>
      <c r="F113" s="1097" t="e">
        <f t="shared" si="114"/>
        <v>#REF!</v>
      </c>
      <c r="G113" s="1103"/>
      <c r="H113" s="1096" t="e">
        <f t="shared" si="115"/>
        <v>#REF!</v>
      </c>
      <c r="I113" s="1103"/>
      <c r="J113" s="1096" t="e">
        <f t="shared" si="116"/>
        <v>#REF!</v>
      </c>
      <c r="K113" s="1096"/>
      <c r="L113" s="1096" t="e">
        <f t="shared" si="117"/>
        <v>#REF!</v>
      </c>
      <c r="M113" s="1103"/>
      <c r="N113" s="1096" t="e">
        <f t="shared" si="118"/>
        <v>#REF!</v>
      </c>
      <c r="O113" s="1098">
        <f t="shared" si="113"/>
        <v>0</v>
      </c>
      <c r="P113" s="1096" t="e">
        <f t="shared" si="119"/>
        <v>#REF!</v>
      </c>
      <c r="Q113" s="1098">
        <f t="shared" si="120"/>
        <v>0</v>
      </c>
      <c r="R113" s="1096" t="e">
        <f t="shared" si="122"/>
        <v>#REF!</v>
      </c>
      <c r="S113" s="1107"/>
      <c r="T113" s="1104"/>
    </row>
    <row r="114" spans="1:20" s="1108" customFormat="1" hidden="1">
      <c r="A114" s="1085"/>
      <c r="B114" s="1322" t="s">
        <v>4481</v>
      </c>
      <c r="C114" s="1085" t="e">
        <f>#REF!</f>
        <v>#REF!</v>
      </c>
      <c r="D114" s="1108" t="s">
        <v>306</v>
      </c>
      <c r="E114" s="1240"/>
      <c r="F114" s="1097" t="e">
        <f t="shared" si="114"/>
        <v>#REF!</v>
      </c>
      <c r="G114" s="1103"/>
      <c r="H114" s="1096" t="e">
        <f t="shared" si="115"/>
        <v>#REF!</v>
      </c>
      <c r="I114" s="1103"/>
      <c r="J114" s="1096" t="e">
        <f t="shared" si="116"/>
        <v>#REF!</v>
      </c>
      <c r="K114" s="1096"/>
      <c r="L114" s="1096" t="e">
        <f t="shared" si="117"/>
        <v>#REF!</v>
      </c>
      <c r="M114" s="1103"/>
      <c r="N114" s="1096" t="e">
        <f t="shared" si="118"/>
        <v>#REF!</v>
      </c>
      <c r="O114" s="1098">
        <f t="shared" si="113"/>
        <v>0</v>
      </c>
      <c r="P114" s="1096" t="e">
        <f t="shared" si="119"/>
        <v>#REF!</v>
      </c>
      <c r="Q114" s="1098">
        <f t="shared" si="120"/>
        <v>0</v>
      </c>
      <c r="R114" s="1096" t="e">
        <f t="shared" si="122"/>
        <v>#REF!</v>
      </c>
      <c r="S114" s="1107"/>
      <c r="T114" s="1104"/>
    </row>
    <row r="115" spans="1:20" s="1108" customFormat="1" ht="69.75" hidden="1">
      <c r="A115" s="1085"/>
      <c r="B115" s="1262" t="s">
        <v>4482</v>
      </c>
      <c r="C115" s="1085" t="e">
        <f>#REF!</f>
        <v>#REF!</v>
      </c>
      <c r="D115" s="1108" t="s">
        <v>306</v>
      </c>
      <c r="E115" s="1240"/>
      <c r="F115" s="1097" t="e">
        <f t="shared" si="114"/>
        <v>#REF!</v>
      </c>
      <c r="G115" s="1103"/>
      <c r="H115" s="1096" t="e">
        <f t="shared" si="115"/>
        <v>#REF!</v>
      </c>
      <c r="I115" s="1103"/>
      <c r="J115" s="1096" t="e">
        <f t="shared" si="116"/>
        <v>#REF!</v>
      </c>
      <c r="K115" s="1096"/>
      <c r="L115" s="1096" t="e">
        <f t="shared" si="117"/>
        <v>#REF!</v>
      </c>
      <c r="M115" s="1103"/>
      <c r="N115" s="1096" t="e">
        <f t="shared" si="118"/>
        <v>#REF!</v>
      </c>
      <c r="O115" s="1098">
        <f t="shared" si="113"/>
        <v>0</v>
      </c>
      <c r="P115" s="1096" t="e">
        <f t="shared" si="119"/>
        <v>#REF!</v>
      </c>
      <c r="Q115" s="1098">
        <f t="shared" si="120"/>
        <v>0</v>
      </c>
      <c r="R115" s="1096" t="e">
        <f t="shared" si="122"/>
        <v>#REF!</v>
      </c>
      <c r="S115" s="1107"/>
      <c r="T115" s="1104"/>
    </row>
    <row r="116" spans="1:20" s="1108" customFormat="1" ht="69.75" hidden="1">
      <c r="A116" s="1085"/>
      <c r="B116" s="1262" t="s">
        <v>4483</v>
      </c>
      <c r="C116" s="1085" t="e">
        <f>#REF!</f>
        <v>#REF!</v>
      </c>
      <c r="D116" s="1108" t="s">
        <v>306</v>
      </c>
      <c r="E116" s="1240"/>
      <c r="F116" s="1097" t="e">
        <f t="shared" si="114"/>
        <v>#REF!</v>
      </c>
      <c r="G116" s="1103"/>
      <c r="H116" s="1096" t="e">
        <f t="shared" si="115"/>
        <v>#REF!</v>
      </c>
      <c r="I116" s="1103"/>
      <c r="J116" s="1096" t="e">
        <f t="shared" si="116"/>
        <v>#REF!</v>
      </c>
      <c r="K116" s="1096"/>
      <c r="L116" s="1096" t="e">
        <f t="shared" si="117"/>
        <v>#REF!</v>
      </c>
      <c r="M116" s="1103"/>
      <c r="N116" s="1096" t="e">
        <f t="shared" si="118"/>
        <v>#REF!</v>
      </c>
      <c r="O116" s="1098">
        <f t="shared" si="113"/>
        <v>0</v>
      </c>
      <c r="P116" s="1096" t="e">
        <f t="shared" si="119"/>
        <v>#REF!</v>
      </c>
      <c r="Q116" s="1098">
        <f t="shared" si="120"/>
        <v>0</v>
      </c>
      <c r="R116" s="1096" t="e">
        <f t="shared" si="122"/>
        <v>#REF!</v>
      </c>
      <c r="S116" s="1107"/>
      <c r="T116" s="1104"/>
    </row>
    <row r="117" spans="1:20" s="1108" customFormat="1" ht="46.5" hidden="1">
      <c r="A117" s="1085"/>
      <c r="B117" s="933" t="s">
        <v>2893</v>
      </c>
      <c r="C117" s="1085" t="e">
        <f>#REF!</f>
        <v>#REF!</v>
      </c>
      <c r="D117" s="1108" t="s">
        <v>306</v>
      </c>
      <c r="E117" s="1240"/>
      <c r="F117" s="1097" t="e">
        <f t="shared" si="114"/>
        <v>#REF!</v>
      </c>
      <c r="G117" s="1103"/>
      <c r="H117" s="1096" t="e">
        <f t="shared" si="115"/>
        <v>#REF!</v>
      </c>
      <c r="I117" s="1103"/>
      <c r="J117" s="1096" t="e">
        <f t="shared" si="116"/>
        <v>#REF!</v>
      </c>
      <c r="K117" s="1096"/>
      <c r="L117" s="1096" t="e">
        <f t="shared" si="117"/>
        <v>#REF!</v>
      </c>
      <c r="M117" s="1103"/>
      <c r="N117" s="1096" t="e">
        <f t="shared" si="118"/>
        <v>#REF!</v>
      </c>
      <c r="O117" s="1098">
        <f t="shared" si="113"/>
        <v>0</v>
      </c>
      <c r="P117" s="1096" t="e">
        <f t="shared" si="119"/>
        <v>#REF!</v>
      </c>
      <c r="Q117" s="1098">
        <f t="shared" si="120"/>
        <v>0</v>
      </c>
      <c r="R117" s="1096" t="e">
        <f t="shared" si="122"/>
        <v>#REF!</v>
      </c>
      <c r="S117" s="1107"/>
      <c r="T117" s="1104"/>
    </row>
    <row r="118" spans="1:20" s="1108" customFormat="1" hidden="1">
      <c r="A118" s="1085"/>
      <c r="B118" s="1322" t="s">
        <v>4484</v>
      </c>
      <c r="C118" s="1085" t="e">
        <f>#REF!</f>
        <v>#REF!</v>
      </c>
      <c r="D118" s="1108" t="s">
        <v>306</v>
      </c>
      <c r="E118" s="1240"/>
      <c r="F118" s="1097" t="e">
        <f t="shared" si="114"/>
        <v>#REF!</v>
      </c>
      <c r="G118" s="1103"/>
      <c r="H118" s="1096" t="e">
        <f t="shared" si="115"/>
        <v>#REF!</v>
      </c>
      <c r="I118" s="1103"/>
      <c r="J118" s="1096" t="e">
        <f t="shared" si="116"/>
        <v>#REF!</v>
      </c>
      <c r="K118" s="1096"/>
      <c r="L118" s="1096" t="e">
        <f t="shared" si="117"/>
        <v>#REF!</v>
      </c>
      <c r="M118" s="1103"/>
      <c r="N118" s="1096" t="e">
        <f t="shared" si="118"/>
        <v>#REF!</v>
      </c>
      <c r="O118" s="1098">
        <f t="shared" si="113"/>
        <v>0</v>
      </c>
      <c r="P118" s="1096" t="e">
        <f t="shared" si="119"/>
        <v>#REF!</v>
      </c>
      <c r="Q118" s="1098">
        <f t="shared" si="120"/>
        <v>0</v>
      </c>
      <c r="R118" s="1096" t="e">
        <f t="shared" si="122"/>
        <v>#REF!</v>
      </c>
      <c r="S118" s="1107"/>
      <c r="T118" s="1104"/>
    </row>
    <row r="119" spans="1:20" s="1108" customFormat="1" hidden="1">
      <c r="A119" s="1085"/>
      <c r="B119" s="1322" t="s">
        <v>4485</v>
      </c>
      <c r="C119" s="1085" t="e">
        <f>#REF!</f>
        <v>#REF!</v>
      </c>
      <c r="D119" s="1108" t="s">
        <v>306</v>
      </c>
      <c r="E119" s="1240"/>
      <c r="F119" s="1097" t="e">
        <f t="shared" si="114"/>
        <v>#REF!</v>
      </c>
      <c r="G119" s="1103"/>
      <c r="H119" s="1096" t="e">
        <f t="shared" si="115"/>
        <v>#REF!</v>
      </c>
      <c r="I119" s="1103"/>
      <c r="J119" s="1096" t="e">
        <f t="shared" si="116"/>
        <v>#REF!</v>
      </c>
      <c r="K119" s="1096"/>
      <c r="L119" s="1096" t="e">
        <f t="shared" si="117"/>
        <v>#REF!</v>
      </c>
      <c r="M119" s="1103"/>
      <c r="N119" s="1096" t="e">
        <f t="shared" si="118"/>
        <v>#REF!</v>
      </c>
      <c r="O119" s="1098">
        <f t="shared" si="113"/>
        <v>0</v>
      </c>
      <c r="P119" s="1096" t="e">
        <f t="shared" si="119"/>
        <v>#REF!</v>
      </c>
      <c r="Q119" s="1098">
        <f t="shared" si="120"/>
        <v>0</v>
      </c>
      <c r="R119" s="1096" t="e">
        <f t="shared" si="122"/>
        <v>#REF!</v>
      </c>
      <c r="S119" s="1107"/>
      <c r="T119" s="1104"/>
    </row>
    <row r="120" spans="1:20" s="1108" customFormat="1" hidden="1">
      <c r="A120" s="1085"/>
      <c r="B120" s="1322" t="s">
        <v>4486</v>
      </c>
      <c r="C120" s="1085" t="e">
        <f>#REF!</f>
        <v>#REF!</v>
      </c>
      <c r="D120" s="1108" t="s">
        <v>306</v>
      </c>
      <c r="E120" s="1240"/>
      <c r="F120" s="1097" t="e">
        <f t="shared" si="114"/>
        <v>#REF!</v>
      </c>
      <c r="G120" s="1103"/>
      <c r="H120" s="1096" t="e">
        <f t="shared" si="115"/>
        <v>#REF!</v>
      </c>
      <c r="I120" s="1103"/>
      <c r="J120" s="1096" t="e">
        <f t="shared" si="116"/>
        <v>#REF!</v>
      </c>
      <c r="K120" s="1096"/>
      <c r="L120" s="1096" t="e">
        <f t="shared" si="117"/>
        <v>#REF!</v>
      </c>
      <c r="M120" s="1103"/>
      <c r="N120" s="1096" t="e">
        <f t="shared" si="118"/>
        <v>#REF!</v>
      </c>
      <c r="O120" s="1098">
        <f t="shared" si="113"/>
        <v>0</v>
      </c>
      <c r="P120" s="1096" t="e">
        <f t="shared" si="119"/>
        <v>#REF!</v>
      </c>
      <c r="Q120" s="1098">
        <f t="shared" si="120"/>
        <v>0</v>
      </c>
      <c r="R120" s="1096" t="e">
        <f t="shared" si="122"/>
        <v>#REF!</v>
      </c>
      <c r="S120" s="1107"/>
      <c r="T120" s="1104"/>
    </row>
    <row r="121" spans="1:20" s="1108" customFormat="1" hidden="1">
      <c r="A121" s="1085"/>
      <c r="B121" s="1322" t="s">
        <v>4487</v>
      </c>
      <c r="C121" s="1085" t="e">
        <f>#REF!</f>
        <v>#REF!</v>
      </c>
      <c r="D121" s="1108" t="s">
        <v>306</v>
      </c>
      <c r="E121" s="1240"/>
      <c r="F121" s="1097" t="e">
        <f t="shared" si="114"/>
        <v>#REF!</v>
      </c>
      <c r="G121" s="1103"/>
      <c r="H121" s="1096" t="e">
        <f t="shared" si="115"/>
        <v>#REF!</v>
      </c>
      <c r="I121" s="1103"/>
      <c r="J121" s="1096" t="e">
        <f t="shared" si="116"/>
        <v>#REF!</v>
      </c>
      <c r="K121" s="1096"/>
      <c r="L121" s="1096" t="e">
        <f t="shared" si="117"/>
        <v>#REF!</v>
      </c>
      <c r="M121" s="1103"/>
      <c r="N121" s="1096" t="e">
        <f t="shared" si="118"/>
        <v>#REF!</v>
      </c>
      <c r="O121" s="1098">
        <f t="shared" si="113"/>
        <v>0</v>
      </c>
      <c r="P121" s="1096" t="e">
        <f t="shared" si="119"/>
        <v>#REF!</v>
      </c>
      <c r="Q121" s="1098">
        <f t="shared" si="120"/>
        <v>0</v>
      </c>
      <c r="R121" s="1096" t="e">
        <f t="shared" si="122"/>
        <v>#REF!</v>
      </c>
      <c r="S121" s="1107"/>
      <c r="T121" s="1104"/>
    </row>
    <row r="122" spans="1:20" s="1108" customFormat="1" hidden="1">
      <c r="A122" s="1085"/>
      <c r="B122" s="1322" t="s">
        <v>4488</v>
      </c>
      <c r="C122" s="1085" t="e">
        <f>#REF!</f>
        <v>#REF!</v>
      </c>
      <c r="D122" s="1108" t="s">
        <v>340</v>
      </c>
      <c r="E122" s="1240"/>
      <c r="F122" s="1097" t="e">
        <f t="shared" si="114"/>
        <v>#REF!</v>
      </c>
      <c r="G122" s="1103"/>
      <c r="H122" s="1096" t="e">
        <f t="shared" si="115"/>
        <v>#REF!</v>
      </c>
      <c r="I122" s="1103"/>
      <c r="J122" s="1096" t="e">
        <f t="shared" si="116"/>
        <v>#REF!</v>
      </c>
      <c r="K122" s="1096"/>
      <c r="L122" s="1096" t="e">
        <f t="shared" si="117"/>
        <v>#REF!</v>
      </c>
      <c r="M122" s="1103"/>
      <c r="N122" s="1096" t="e">
        <f t="shared" si="118"/>
        <v>#REF!</v>
      </c>
      <c r="O122" s="1098">
        <f t="shared" si="113"/>
        <v>0</v>
      </c>
      <c r="P122" s="1096" t="e">
        <f t="shared" si="119"/>
        <v>#REF!</v>
      </c>
      <c r="Q122" s="1098">
        <f t="shared" si="120"/>
        <v>0</v>
      </c>
      <c r="R122" s="1096" t="e">
        <f t="shared" si="122"/>
        <v>#REF!</v>
      </c>
      <c r="S122" s="1107"/>
      <c r="T122" s="1104"/>
    </row>
    <row r="123" spans="1:20" s="1108" customFormat="1" hidden="1">
      <c r="A123" s="1085"/>
      <c r="B123" s="1322" t="s">
        <v>4489</v>
      </c>
      <c r="C123" s="1085" t="e">
        <f>#REF!</f>
        <v>#REF!</v>
      </c>
      <c r="D123" s="1108" t="s">
        <v>303</v>
      </c>
      <c r="E123" s="1240"/>
      <c r="F123" s="1097" t="e">
        <f t="shared" si="114"/>
        <v>#REF!</v>
      </c>
      <c r="G123" s="1103"/>
      <c r="H123" s="1096" t="e">
        <f t="shared" si="115"/>
        <v>#REF!</v>
      </c>
      <c r="I123" s="1103"/>
      <c r="J123" s="1096" t="e">
        <f t="shared" si="116"/>
        <v>#REF!</v>
      </c>
      <c r="K123" s="1096"/>
      <c r="L123" s="1096" t="e">
        <f t="shared" si="117"/>
        <v>#REF!</v>
      </c>
      <c r="M123" s="1103"/>
      <c r="N123" s="1096" t="e">
        <f t="shared" si="118"/>
        <v>#REF!</v>
      </c>
      <c r="O123" s="1098">
        <f t="shared" si="113"/>
        <v>0</v>
      </c>
      <c r="P123" s="1096" t="e">
        <f t="shared" si="119"/>
        <v>#REF!</v>
      </c>
      <c r="Q123" s="1098">
        <f t="shared" si="120"/>
        <v>0</v>
      </c>
      <c r="R123" s="1096" t="e">
        <f t="shared" si="122"/>
        <v>#REF!</v>
      </c>
      <c r="S123" s="1107"/>
      <c r="T123" s="1104"/>
    </row>
    <row r="124" spans="1:20" s="1108" customFormat="1" hidden="1">
      <c r="A124" s="1085"/>
      <c r="B124" s="1323" t="s">
        <v>4490</v>
      </c>
      <c r="C124" s="1085" t="e">
        <f>#REF!</f>
        <v>#REF!</v>
      </c>
      <c r="D124" s="1108" t="s">
        <v>340</v>
      </c>
      <c r="E124" s="1240"/>
      <c r="F124" s="1097" t="e">
        <f t="shared" si="114"/>
        <v>#REF!</v>
      </c>
      <c r="G124" s="1103"/>
      <c r="H124" s="1096" t="e">
        <f t="shared" si="115"/>
        <v>#REF!</v>
      </c>
      <c r="I124" s="1103"/>
      <c r="J124" s="1096" t="e">
        <f t="shared" si="116"/>
        <v>#REF!</v>
      </c>
      <c r="K124" s="1096"/>
      <c r="L124" s="1096" t="e">
        <f t="shared" si="117"/>
        <v>#REF!</v>
      </c>
      <c r="M124" s="1103"/>
      <c r="N124" s="1096" t="e">
        <f t="shared" si="118"/>
        <v>#REF!</v>
      </c>
      <c r="O124" s="1098">
        <f t="shared" si="113"/>
        <v>0</v>
      </c>
      <c r="P124" s="1096" t="e">
        <f t="shared" si="119"/>
        <v>#REF!</v>
      </c>
      <c r="Q124" s="1098">
        <f t="shared" si="120"/>
        <v>0</v>
      </c>
      <c r="R124" s="1096" t="e">
        <f t="shared" si="122"/>
        <v>#REF!</v>
      </c>
      <c r="S124" s="1107"/>
      <c r="T124" s="1104"/>
    </row>
    <row r="125" spans="1:20" s="1108" customFormat="1" hidden="1">
      <c r="A125" s="1085"/>
      <c r="B125" s="1322" t="s">
        <v>4491</v>
      </c>
      <c r="C125" s="1085" t="e">
        <f>#REF!</f>
        <v>#REF!</v>
      </c>
      <c r="D125" s="1108" t="s">
        <v>306</v>
      </c>
      <c r="E125" s="1240"/>
      <c r="F125" s="1097" t="e">
        <f t="shared" si="114"/>
        <v>#REF!</v>
      </c>
      <c r="G125" s="1103"/>
      <c r="H125" s="1096" t="e">
        <f t="shared" si="115"/>
        <v>#REF!</v>
      </c>
      <c r="I125" s="1103"/>
      <c r="J125" s="1096" t="e">
        <f t="shared" si="116"/>
        <v>#REF!</v>
      </c>
      <c r="K125" s="1096"/>
      <c r="L125" s="1096" t="e">
        <f t="shared" si="117"/>
        <v>#REF!</v>
      </c>
      <c r="M125" s="1103"/>
      <c r="N125" s="1096" t="e">
        <f t="shared" si="118"/>
        <v>#REF!</v>
      </c>
      <c r="O125" s="1098">
        <f t="shared" si="113"/>
        <v>0</v>
      </c>
      <c r="P125" s="1096" t="e">
        <f t="shared" si="119"/>
        <v>#REF!</v>
      </c>
      <c r="Q125" s="1098">
        <f t="shared" si="120"/>
        <v>0</v>
      </c>
      <c r="R125" s="1096" t="e">
        <f t="shared" si="122"/>
        <v>#REF!</v>
      </c>
      <c r="S125" s="1107"/>
      <c r="T125" s="1104"/>
    </row>
    <row r="126" spans="1:20" s="1108" customFormat="1" hidden="1">
      <c r="A126" s="1085"/>
      <c r="B126" s="1322" t="s">
        <v>4492</v>
      </c>
      <c r="C126" s="1085" t="e">
        <f>#REF!</f>
        <v>#REF!</v>
      </c>
      <c r="D126" s="1108" t="s">
        <v>306</v>
      </c>
      <c r="E126" s="1240"/>
      <c r="F126" s="1097" t="e">
        <f t="shared" si="114"/>
        <v>#REF!</v>
      </c>
      <c r="G126" s="1103"/>
      <c r="H126" s="1096" t="e">
        <f t="shared" si="115"/>
        <v>#REF!</v>
      </c>
      <c r="I126" s="1103"/>
      <c r="J126" s="1096" t="e">
        <f t="shared" si="116"/>
        <v>#REF!</v>
      </c>
      <c r="K126" s="1096"/>
      <c r="L126" s="1096" t="e">
        <f t="shared" si="117"/>
        <v>#REF!</v>
      </c>
      <c r="M126" s="1103"/>
      <c r="N126" s="1096" t="e">
        <f t="shared" si="118"/>
        <v>#REF!</v>
      </c>
      <c r="O126" s="1098">
        <f t="shared" si="113"/>
        <v>0</v>
      </c>
      <c r="P126" s="1096" t="e">
        <f t="shared" si="119"/>
        <v>#REF!</v>
      </c>
      <c r="Q126" s="1098">
        <f t="shared" si="120"/>
        <v>0</v>
      </c>
      <c r="R126" s="1096" t="e">
        <f t="shared" si="122"/>
        <v>#REF!</v>
      </c>
      <c r="S126" s="1107"/>
      <c r="T126" s="1104"/>
    </row>
    <row r="127" spans="1:20" s="1108" customFormat="1" hidden="1">
      <c r="A127" s="1085"/>
      <c r="B127" s="1322" t="s">
        <v>4493</v>
      </c>
      <c r="C127" s="1085" t="e">
        <f>#REF!</f>
        <v>#REF!</v>
      </c>
      <c r="D127" s="1108" t="s">
        <v>306</v>
      </c>
      <c r="E127" s="1240"/>
      <c r="F127" s="1097" t="e">
        <f t="shared" si="114"/>
        <v>#REF!</v>
      </c>
      <c r="G127" s="1103"/>
      <c r="H127" s="1096" t="e">
        <f t="shared" si="115"/>
        <v>#REF!</v>
      </c>
      <c r="I127" s="1103"/>
      <c r="J127" s="1096" t="e">
        <f t="shared" si="116"/>
        <v>#REF!</v>
      </c>
      <c r="K127" s="1096"/>
      <c r="L127" s="1096" t="e">
        <f t="shared" si="117"/>
        <v>#REF!</v>
      </c>
      <c r="M127" s="1103"/>
      <c r="N127" s="1096" t="e">
        <f t="shared" si="118"/>
        <v>#REF!</v>
      </c>
      <c r="O127" s="1098">
        <f t="shared" si="113"/>
        <v>0</v>
      </c>
      <c r="P127" s="1096" t="e">
        <f t="shared" si="119"/>
        <v>#REF!</v>
      </c>
      <c r="Q127" s="1098">
        <f t="shared" si="120"/>
        <v>0</v>
      </c>
      <c r="R127" s="1096" t="e">
        <f t="shared" si="122"/>
        <v>#REF!</v>
      </c>
      <c r="S127" s="1107"/>
      <c r="T127" s="1104"/>
    </row>
    <row r="128" spans="1:20" s="1108" customFormat="1" hidden="1">
      <c r="A128" s="1085"/>
      <c r="B128" s="1322" t="s">
        <v>4494</v>
      </c>
      <c r="C128" s="1085" t="e">
        <f>#REF!</f>
        <v>#REF!</v>
      </c>
      <c r="D128" s="1108" t="s">
        <v>306</v>
      </c>
      <c r="E128" s="1240"/>
      <c r="F128" s="1097" t="e">
        <f t="shared" si="114"/>
        <v>#REF!</v>
      </c>
      <c r="G128" s="1103"/>
      <c r="H128" s="1096" t="e">
        <f t="shared" si="115"/>
        <v>#REF!</v>
      </c>
      <c r="I128" s="1103"/>
      <c r="J128" s="1096" t="e">
        <f t="shared" si="116"/>
        <v>#REF!</v>
      </c>
      <c r="K128" s="1096"/>
      <c r="L128" s="1096" t="e">
        <f t="shared" si="117"/>
        <v>#REF!</v>
      </c>
      <c r="M128" s="1103"/>
      <c r="N128" s="1096" t="e">
        <f t="shared" si="118"/>
        <v>#REF!</v>
      </c>
      <c r="O128" s="1098">
        <f t="shared" si="113"/>
        <v>0</v>
      </c>
      <c r="P128" s="1096" t="e">
        <f t="shared" si="119"/>
        <v>#REF!</v>
      </c>
      <c r="Q128" s="1098">
        <f t="shared" si="120"/>
        <v>0</v>
      </c>
      <c r="R128" s="1096" t="e">
        <f t="shared" si="122"/>
        <v>#REF!</v>
      </c>
      <c r="S128" s="1107"/>
      <c r="T128" s="1104"/>
    </row>
    <row r="129" spans="1:20" s="1108" customFormat="1" hidden="1">
      <c r="A129" s="1085"/>
      <c r="B129" s="1322" t="s">
        <v>4495</v>
      </c>
      <c r="C129" s="1085" t="e">
        <f>#REF!</f>
        <v>#REF!</v>
      </c>
      <c r="D129" s="1108" t="s">
        <v>306</v>
      </c>
      <c r="E129" s="1240"/>
      <c r="F129" s="1097" t="e">
        <f t="shared" si="114"/>
        <v>#REF!</v>
      </c>
      <c r="G129" s="1103"/>
      <c r="H129" s="1096" t="e">
        <f t="shared" si="115"/>
        <v>#REF!</v>
      </c>
      <c r="I129" s="1103"/>
      <c r="J129" s="1096" t="e">
        <f t="shared" si="116"/>
        <v>#REF!</v>
      </c>
      <c r="K129" s="1096"/>
      <c r="L129" s="1096" t="e">
        <f t="shared" si="117"/>
        <v>#REF!</v>
      </c>
      <c r="M129" s="1103"/>
      <c r="N129" s="1096" t="e">
        <f t="shared" si="118"/>
        <v>#REF!</v>
      </c>
      <c r="O129" s="1098">
        <f t="shared" si="113"/>
        <v>0</v>
      </c>
      <c r="P129" s="1096" t="e">
        <f t="shared" si="119"/>
        <v>#REF!</v>
      </c>
      <c r="Q129" s="1098">
        <f t="shared" si="120"/>
        <v>0</v>
      </c>
      <c r="R129" s="1096" t="e">
        <f t="shared" si="122"/>
        <v>#REF!</v>
      </c>
      <c r="S129" s="1107"/>
      <c r="T129" s="1104"/>
    </row>
    <row r="130" spans="1:20" s="1108" customFormat="1" hidden="1">
      <c r="A130" s="1085"/>
      <c r="B130" s="1322" t="s">
        <v>4496</v>
      </c>
      <c r="C130" s="1085" t="e">
        <f>#REF!</f>
        <v>#REF!</v>
      </c>
      <c r="D130" s="1108" t="s">
        <v>306</v>
      </c>
      <c r="E130" s="1240"/>
      <c r="F130" s="1097" t="e">
        <f t="shared" si="114"/>
        <v>#REF!</v>
      </c>
      <c r="G130" s="1103"/>
      <c r="H130" s="1096" t="e">
        <f t="shared" si="115"/>
        <v>#REF!</v>
      </c>
      <c r="I130" s="1103"/>
      <c r="J130" s="1096" t="e">
        <f t="shared" si="116"/>
        <v>#REF!</v>
      </c>
      <c r="K130" s="1096"/>
      <c r="L130" s="1096" t="e">
        <f t="shared" si="117"/>
        <v>#REF!</v>
      </c>
      <c r="M130" s="1103"/>
      <c r="N130" s="1096" t="e">
        <f t="shared" si="118"/>
        <v>#REF!</v>
      </c>
      <c r="O130" s="1098">
        <f t="shared" si="113"/>
        <v>0</v>
      </c>
      <c r="P130" s="1096" t="e">
        <f t="shared" si="119"/>
        <v>#REF!</v>
      </c>
      <c r="Q130" s="1098">
        <f t="shared" si="120"/>
        <v>0</v>
      </c>
      <c r="R130" s="1096" t="e">
        <f t="shared" si="122"/>
        <v>#REF!</v>
      </c>
      <c r="S130" s="1107"/>
      <c r="T130" s="1104"/>
    </row>
    <row r="131" spans="1:20" s="1108" customFormat="1" ht="46.5" hidden="1">
      <c r="A131" s="1085"/>
      <c r="B131" s="1270" t="s">
        <v>2659</v>
      </c>
      <c r="C131" s="1085" t="e">
        <f>#REF!</f>
        <v>#REF!</v>
      </c>
      <c r="D131" s="1108" t="s">
        <v>306</v>
      </c>
      <c r="E131" s="1240"/>
      <c r="F131" s="1097" t="e">
        <f t="shared" si="114"/>
        <v>#REF!</v>
      </c>
      <c r="G131" s="1103"/>
      <c r="H131" s="1096" t="e">
        <f t="shared" si="115"/>
        <v>#REF!</v>
      </c>
      <c r="I131" s="1103"/>
      <c r="J131" s="1096" t="e">
        <f t="shared" si="116"/>
        <v>#REF!</v>
      </c>
      <c r="K131" s="1096"/>
      <c r="L131" s="1096" t="e">
        <f t="shared" si="117"/>
        <v>#REF!</v>
      </c>
      <c r="M131" s="1103"/>
      <c r="N131" s="1096" t="e">
        <f t="shared" si="118"/>
        <v>#REF!</v>
      </c>
      <c r="O131" s="1098">
        <f t="shared" si="113"/>
        <v>0</v>
      </c>
      <c r="P131" s="1096" t="e">
        <f t="shared" si="119"/>
        <v>#REF!</v>
      </c>
      <c r="Q131" s="1098">
        <f t="shared" si="120"/>
        <v>0</v>
      </c>
      <c r="R131" s="1096" t="e">
        <f t="shared" si="122"/>
        <v>#REF!</v>
      </c>
      <c r="S131" s="1107"/>
      <c r="T131" s="1104"/>
    </row>
    <row r="132" spans="1:20" s="1108" customFormat="1" hidden="1">
      <c r="A132" s="1085"/>
      <c r="B132" s="1322" t="s">
        <v>4497</v>
      </c>
      <c r="C132" s="1085" t="e">
        <f>#REF!</f>
        <v>#REF!</v>
      </c>
      <c r="E132" s="1240"/>
      <c r="F132" s="1097" t="e">
        <f t="shared" si="114"/>
        <v>#REF!</v>
      </c>
      <c r="G132" s="1103"/>
      <c r="H132" s="1096" t="e">
        <f t="shared" si="115"/>
        <v>#REF!</v>
      </c>
      <c r="I132" s="1103"/>
      <c r="J132" s="1096" t="e">
        <f t="shared" si="116"/>
        <v>#REF!</v>
      </c>
      <c r="K132" s="1096"/>
      <c r="L132" s="1096" t="e">
        <f t="shared" si="117"/>
        <v>#REF!</v>
      </c>
      <c r="M132" s="1103"/>
      <c r="N132" s="1096" t="e">
        <f t="shared" si="118"/>
        <v>#REF!</v>
      </c>
      <c r="O132" s="1098">
        <f t="shared" si="113"/>
        <v>0</v>
      </c>
      <c r="P132" s="1096" t="e">
        <f t="shared" si="119"/>
        <v>#REF!</v>
      </c>
      <c r="Q132" s="1098">
        <f t="shared" si="120"/>
        <v>0</v>
      </c>
      <c r="R132" s="1096" t="e">
        <f t="shared" si="122"/>
        <v>#REF!</v>
      </c>
      <c r="S132" s="1107"/>
      <c r="T132" s="1104"/>
    </row>
    <row r="133" spans="1:20" s="1108" customFormat="1" hidden="1">
      <c r="A133" s="1085"/>
      <c r="B133" s="1322" t="s">
        <v>4498</v>
      </c>
      <c r="C133" s="1085" t="e">
        <f>#REF!</f>
        <v>#REF!</v>
      </c>
      <c r="E133" s="1240"/>
      <c r="F133" s="1097" t="e">
        <f t="shared" si="114"/>
        <v>#REF!</v>
      </c>
      <c r="G133" s="1103"/>
      <c r="H133" s="1096" t="e">
        <f t="shared" si="115"/>
        <v>#REF!</v>
      </c>
      <c r="I133" s="1103"/>
      <c r="J133" s="1096" t="e">
        <f t="shared" si="116"/>
        <v>#REF!</v>
      </c>
      <c r="K133" s="1096"/>
      <c r="L133" s="1096" t="e">
        <f t="shared" si="117"/>
        <v>#REF!</v>
      </c>
      <c r="M133" s="1103"/>
      <c r="N133" s="1096" t="e">
        <f t="shared" si="118"/>
        <v>#REF!</v>
      </c>
      <c r="O133" s="1098">
        <f t="shared" si="113"/>
        <v>0</v>
      </c>
      <c r="P133" s="1096" t="e">
        <f t="shared" si="119"/>
        <v>#REF!</v>
      </c>
      <c r="Q133" s="1098">
        <f t="shared" si="120"/>
        <v>0</v>
      </c>
      <c r="R133" s="1096" t="e">
        <f t="shared" si="122"/>
        <v>#REF!</v>
      </c>
      <c r="S133" s="1107"/>
      <c r="T133" s="1104"/>
    </row>
    <row r="134" spans="1:20" s="1108" customFormat="1" hidden="1">
      <c r="A134" s="1085"/>
      <c r="B134" s="1322" t="s">
        <v>4499</v>
      </c>
      <c r="C134" s="1085" t="e">
        <f>#REF!</f>
        <v>#REF!</v>
      </c>
      <c r="E134" s="1240"/>
      <c r="F134" s="1097" t="e">
        <f t="shared" si="114"/>
        <v>#REF!</v>
      </c>
      <c r="G134" s="1103"/>
      <c r="H134" s="1096" t="e">
        <f t="shared" si="115"/>
        <v>#REF!</v>
      </c>
      <c r="I134" s="1103"/>
      <c r="J134" s="1096" t="e">
        <f t="shared" si="116"/>
        <v>#REF!</v>
      </c>
      <c r="K134" s="1096"/>
      <c r="L134" s="1096" t="e">
        <f t="shared" si="117"/>
        <v>#REF!</v>
      </c>
      <c r="M134" s="1103"/>
      <c r="N134" s="1096" t="e">
        <f t="shared" si="118"/>
        <v>#REF!</v>
      </c>
      <c r="O134" s="1098">
        <f t="shared" si="113"/>
        <v>0</v>
      </c>
      <c r="P134" s="1096" t="e">
        <f t="shared" si="119"/>
        <v>#REF!</v>
      </c>
      <c r="Q134" s="1098">
        <f t="shared" si="120"/>
        <v>0</v>
      </c>
      <c r="R134" s="1096" t="e">
        <f t="shared" si="122"/>
        <v>#REF!</v>
      </c>
      <c r="S134" s="1107"/>
      <c r="T134" s="1104"/>
    </row>
    <row r="135" spans="1:20" s="1108" customFormat="1" hidden="1">
      <c r="A135" s="1085"/>
      <c r="B135" s="1322" t="s">
        <v>4500</v>
      </c>
      <c r="C135" s="1085" t="e">
        <f>#REF!</f>
        <v>#REF!</v>
      </c>
      <c r="E135" s="1240"/>
      <c r="F135" s="1097" t="e">
        <f t="shared" si="114"/>
        <v>#REF!</v>
      </c>
      <c r="G135" s="1103"/>
      <c r="H135" s="1096" t="e">
        <f t="shared" si="115"/>
        <v>#REF!</v>
      </c>
      <c r="I135" s="1103"/>
      <c r="J135" s="1096" t="e">
        <f t="shared" si="116"/>
        <v>#REF!</v>
      </c>
      <c r="K135" s="1096"/>
      <c r="L135" s="1096" t="e">
        <f t="shared" si="117"/>
        <v>#REF!</v>
      </c>
      <c r="M135" s="1103"/>
      <c r="N135" s="1096" t="e">
        <f t="shared" si="118"/>
        <v>#REF!</v>
      </c>
      <c r="O135" s="1098">
        <f t="shared" si="113"/>
        <v>0</v>
      </c>
      <c r="P135" s="1096" t="e">
        <f t="shared" si="119"/>
        <v>#REF!</v>
      </c>
      <c r="Q135" s="1098">
        <f t="shared" si="120"/>
        <v>0</v>
      </c>
      <c r="R135" s="1096" t="e">
        <f t="shared" si="122"/>
        <v>#REF!</v>
      </c>
      <c r="S135" s="1107"/>
      <c r="T135" s="1104"/>
    </row>
    <row r="136" spans="1:20" s="1108" customFormat="1" ht="69.75" hidden="1">
      <c r="A136" s="1085"/>
      <c r="B136" s="1270" t="s">
        <v>4501</v>
      </c>
      <c r="C136" s="1085" t="e">
        <f>#REF!</f>
        <v>#REF!</v>
      </c>
      <c r="E136" s="1240"/>
      <c r="F136" s="1097" t="e">
        <f t="shared" si="114"/>
        <v>#REF!</v>
      </c>
      <c r="G136" s="1103"/>
      <c r="H136" s="1096" t="e">
        <f t="shared" si="115"/>
        <v>#REF!</v>
      </c>
      <c r="I136" s="1103"/>
      <c r="J136" s="1096" t="e">
        <f t="shared" si="116"/>
        <v>#REF!</v>
      </c>
      <c r="K136" s="1096"/>
      <c r="L136" s="1096" t="e">
        <f t="shared" si="117"/>
        <v>#REF!</v>
      </c>
      <c r="M136" s="1103"/>
      <c r="N136" s="1096" t="e">
        <f t="shared" si="118"/>
        <v>#REF!</v>
      </c>
      <c r="O136" s="1098">
        <f t="shared" si="113"/>
        <v>0</v>
      </c>
      <c r="P136" s="1096" t="e">
        <f t="shared" si="119"/>
        <v>#REF!</v>
      </c>
      <c r="Q136" s="1098">
        <f t="shared" si="120"/>
        <v>0</v>
      </c>
      <c r="R136" s="1096" t="e">
        <f t="shared" si="122"/>
        <v>#REF!</v>
      </c>
      <c r="S136" s="1107"/>
      <c r="T136" s="1104"/>
    </row>
    <row r="137" spans="1:20" s="1108" customFormat="1" ht="69.75" hidden="1">
      <c r="A137" s="1085"/>
      <c r="B137" s="1270" t="s">
        <v>4502</v>
      </c>
      <c r="C137" s="1085" t="e">
        <f>#REF!</f>
        <v>#REF!</v>
      </c>
      <c r="E137" s="1240"/>
      <c r="F137" s="1097" t="e">
        <f t="shared" si="114"/>
        <v>#REF!</v>
      </c>
      <c r="G137" s="1103"/>
      <c r="H137" s="1096" t="e">
        <f t="shared" si="115"/>
        <v>#REF!</v>
      </c>
      <c r="I137" s="1103"/>
      <c r="J137" s="1096" t="e">
        <f t="shared" si="116"/>
        <v>#REF!</v>
      </c>
      <c r="K137" s="1096"/>
      <c r="L137" s="1096" t="e">
        <f t="shared" si="117"/>
        <v>#REF!</v>
      </c>
      <c r="M137" s="1103"/>
      <c r="N137" s="1096" t="e">
        <f t="shared" si="118"/>
        <v>#REF!</v>
      </c>
      <c r="O137" s="1098">
        <f t="shared" si="113"/>
        <v>0</v>
      </c>
      <c r="P137" s="1096" t="e">
        <f t="shared" si="119"/>
        <v>#REF!</v>
      </c>
      <c r="Q137" s="1098">
        <f t="shared" si="120"/>
        <v>0</v>
      </c>
      <c r="R137" s="1096" t="e">
        <f t="shared" si="122"/>
        <v>#REF!</v>
      </c>
      <c r="S137" s="1107"/>
      <c r="T137" s="1104"/>
    </row>
    <row r="138" spans="1:20" s="1108" customFormat="1" ht="46.5" hidden="1">
      <c r="A138" s="1085"/>
      <c r="B138" s="1270" t="s">
        <v>4503</v>
      </c>
      <c r="C138" s="1085" t="e">
        <f>#REF!</f>
        <v>#REF!</v>
      </c>
      <c r="E138" s="1240"/>
      <c r="F138" s="1097" t="e">
        <f t="shared" si="114"/>
        <v>#REF!</v>
      </c>
      <c r="G138" s="1103"/>
      <c r="H138" s="1096" t="e">
        <f t="shared" si="115"/>
        <v>#REF!</v>
      </c>
      <c r="I138" s="1103"/>
      <c r="J138" s="1096" t="e">
        <f t="shared" si="116"/>
        <v>#REF!</v>
      </c>
      <c r="K138" s="1096"/>
      <c r="L138" s="1096" t="e">
        <f t="shared" si="117"/>
        <v>#REF!</v>
      </c>
      <c r="M138" s="1103"/>
      <c r="N138" s="1096" t="e">
        <f t="shared" si="118"/>
        <v>#REF!</v>
      </c>
      <c r="O138" s="1098">
        <f t="shared" si="113"/>
        <v>0</v>
      </c>
      <c r="P138" s="1096" t="e">
        <f t="shared" si="119"/>
        <v>#REF!</v>
      </c>
      <c r="Q138" s="1098">
        <f t="shared" si="120"/>
        <v>0</v>
      </c>
      <c r="R138" s="1096" t="e">
        <f t="shared" si="122"/>
        <v>#REF!</v>
      </c>
      <c r="S138" s="1107"/>
      <c r="T138" s="1104"/>
    </row>
    <row r="139" spans="1:20" s="1108" customFormat="1" ht="69.75" hidden="1">
      <c r="A139" s="1085"/>
      <c r="B139" s="1270" t="s">
        <v>4504</v>
      </c>
      <c r="C139" s="1085" t="e">
        <f>#REF!</f>
        <v>#REF!</v>
      </c>
      <c r="E139" s="1240"/>
      <c r="F139" s="1097" t="e">
        <f t="shared" si="114"/>
        <v>#REF!</v>
      </c>
      <c r="G139" s="1103"/>
      <c r="H139" s="1096" t="e">
        <f t="shared" si="115"/>
        <v>#REF!</v>
      </c>
      <c r="I139" s="1103"/>
      <c r="J139" s="1096" t="e">
        <f t="shared" si="116"/>
        <v>#REF!</v>
      </c>
      <c r="K139" s="1096"/>
      <c r="L139" s="1096" t="e">
        <f t="shared" si="117"/>
        <v>#REF!</v>
      </c>
      <c r="M139" s="1103"/>
      <c r="N139" s="1096" t="e">
        <f t="shared" si="118"/>
        <v>#REF!</v>
      </c>
      <c r="O139" s="1098">
        <f t="shared" si="113"/>
        <v>0</v>
      </c>
      <c r="P139" s="1096" t="e">
        <f t="shared" si="119"/>
        <v>#REF!</v>
      </c>
      <c r="Q139" s="1098">
        <f t="shared" si="120"/>
        <v>0</v>
      </c>
      <c r="R139" s="1096" t="e">
        <f t="shared" si="122"/>
        <v>#REF!</v>
      </c>
      <c r="S139" s="1107"/>
      <c r="T139" s="1104"/>
    </row>
    <row r="140" spans="1:20" s="1108" customFormat="1" hidden="1">
      <c r="A140" s="1085"/>
      <c r="B140" s="1270" t="s">
        <v>4505</v>
      </c>
      <c r="C140" s="1085" t="e">
        <f>#REF!</f>
        <v>#REF!</v>
      </c>
      <c r="E140" s="1240"/>
      <c r="F140" s="1097" t="e">
        <f t="shared" si="114"/>
        <v>#REF!</v>
      </c>
      <c r="G140" s="1103"/>
      <c r="H140" s="1096" t="e">
        <f t="shared" si="115"/>
        <v>#REF!</v>
      </c>
      <c r="I140" s="1103"/>
      <c r="J140" s="1096" t="e">
        <f t="shared" si="116"/>
        <v>#REF!</v>
      </c>
      <c r="K140" s="1096"/>
      <c r="L140" s="1096" t="e">
        <f t="shared" si="117"/>
        <v>#REF!</v>
      </c>
      <c r="M140" s="1103"/>
      <c r="N140" s="1096" t="e">
        <f t="shared" si="118"/>
        <v>#REF!</v>
      </c>
      <c r="O140" s="1098">
        <f t="shared" si="113"/>
        <v>0</v>
      </c>
      <c r="P140" s="1096" t="e">
        <f t="shared" si="119"/>
        <v>#REF!</v>
      </c>
      <c r="Q140" s="1098">
        <f t="shared" si="120"/>
        <v>0</v>
      </c>
      <c r="R140" s="1096" t="e">
        <f t="shared" si="122"/>
        <v>#REF!</v>
      </c>
      <c r="S140" s="1107"/>
      <c r="T140" s="1104"/>
    </row>
    <row r="141" spans="1:20" s="1108" customFormat="1" hidden="1">
      <c r="A141" s="1085"/>
      <c r="B141" s="1270" t="s">
        <v>4506</v>
      </c>
      <c r="C141" s="1085" t="e">
        <f>#REF!</f>
        <v>#REF!</v>
      </c>
      <c r="E141" s="1240"/>
      <c r="F141" s="1097" t="e">
        <f t="shared" si="114"/>
        <v>#REF!</v>
      </c>
      <c r="G141" s="1103"/>
      <c r="H141" s="1096" t="e">
        <f t="shared" si="115"/>
        <v>#REF!</v>
      </c>
      <c r="I141" s="1103"/>
      <c r="J141" s="1096" t="e">
        <f t="shared" si="116"/>
        <v>#REF!</v>
      </c>
      <c r="K141" s="1096"/>
      <c r="L141" s="1096" t="e">
        <f t="shared" si="117"/>
        <v>#REF!</v>
      </c>
      <c r="M141" s="1103"/>
      <c r="N141" s="1096" t="e">
        <f t="shared" si="118"/>
        <v>#REF!</v>
      </c>
      <c r="O141" s="1098">
        <f t="shared" si="113"/>
        <v>0</v>
      </c>
      <c r="P141" s="1096" t="e">
        <f t="shared" si="119"/>
        <v>#REF!</v>
      </c>
      <c r="Q141" s="1098">
        <f t="shared" si="120"/>
        <v>0</v>
      </c>
      <c r="R141" s="1096" t="e">
        <f t="shared" si="122"/>
        <v>#REF!</v>
      </c>
      <c r="S141" s="1107"/>
      <c r="T141" s="1104"/>
    </row>
    <row r="142" spans="1:20" s="1108" customFormat="1" hidden="1">
      <c r="A142" s="1085"/>
      <c r="B142" s="1270" t="s">
        <v>4507</v>
      </c>
      <c r="C142" s="1085" t="e">
        <f>#REF!</f>
        <v>#REF!</v>
      </c>
      <c r="E142" s="1240"/>
      <c r="F142" s="1097" t="e">
        <f t="shared" si="114"/>
        <v>#REF!</v>
      </c>
      <c r="G142" s="1103"/>
      <c r="H142" s="1096" t="e">
        <f t="shared" si="115"/>
        <v>#REF!</v>
      </c>
      <c r="I142" s="1103"/>
      <c r="J142" s="1096" t="e">
        <f t="shared" si="116"/>
        <v>#REF!</v>
      </c>
      <c r="K142" s="1096"/>
      <c r="L142" s="1096" t="e">
        <f t="shared" si="117"/>
        <v>#REF!</v>
      </c>
      <c r="M142" s="1103"/>
      <c r="N142" s="1096" t="e">
        <f t="shared" si="118"/>
        <v>#REF!</v>
      </c>
      <c r="O142" s="1098">
        <f t="shared" si="113"/>
        <v>0</v>
      </c>
      <c r="P142" s="1096" t="e">
        <f t="shared" si="119"/>
        <v>#REF!</v>
      </c>
      <c r="Q142" s="1098">
        <f t="shared" si="120"/>
        <v>0</v>
      </c>
      <c r="R142" s="1096" t="e">
        <f t="shared" si="122"/>
        <v>#REF!</v>
      </c>
      <c r="S142" s="1107"/>
      <c r="T142" s="1104"/>
    </row>
    <row r="143" spans="1:20" s="1108" customFormat="1" ht="93" hidden="1">
      <c r="A143" s="1085"/>
      <c r="B143" s="1270" t="s">
        <v>4508</v>
      </c>
      <c r="C143" s="1085" t="e">
        <f>#REF!</f>
        <v>#REF!</v>
      </c>
      <c r="E143" s="1240"/>
      <c r="F143" s="1097" t="e">
        <f t="shared" si="114"/>
        <v>#REF!</v>
      </c>
      <c r="G143" s="1103"/>
      <c r="H143" s="1096" t="e">
        <f t="shared" si="115"/>
        <v>#REF!</v>
      </c>
      <c r="I143" s="1103"/>
      <c r="J143" s="1096" t="e">
        <f t="shared" si="116"/>
        <v>#REF!</v>
      </c>
      <c r="K143" s="1096"/>
      <c r="L143" s="1096" t="e">
        <f t="shared" si="117"/>
        <v>#REF!</v>
      </c>
      <c r="M143" s="1103"/>
      <c r="N143" s="1096" t="e">
        <f t="shared" si="118"/>
        <v>#REF!</v>
      </c>
      <c r="O143" s="1098">
        <f t="shared" si="113"/>
        <v>0</v>
      </c>
      <c r="P143" s="1096" t="e">
        <f t="shared" si="119"/>
        <v>#REF!</v>
      </c>
      <c r="Q143" s="1098">
        <f t="shared" si="120"/>
        <v>0</v>
      </c>
      <c r="R143" s="1096" t="e">
        <f t="shared" si="122"/>
        <v>#REF!</v>
      </c>
      <c r="S143" s="1107"/>
      <c r="T143" s="1104"/>
    </row>
    <row r="144" spans="1:20" s="1108" customFormat="1" ht="93" hidden="1">
      <c r="A144" s="1085"/>
      <c r="B144" s="1270" t="s">
        <v>4509</v>
      </c>
      <c r="C144" s="1085" t="e">
        <f>#REF!</f>
        <v>#REF!</v>
      </c>
      <c r="E144" s="1240"/>
      <c r="F144" s="1097" t="e">
        <f t="shared" si="114"/>
        <v>#REF!</v>
      </c>
      <c r="G144" s="1103"/>
      <c r="H144" s="1096" t="e">
        <f t="shared" si="115"/>
        <v>#REF!</v>
      </c>
      <c r="I144" s="1103"/>
      <c r="J144" s="1096" t="e">
        <f t="shared" si="116"/>
        <v>#REF!</v>
      </c>
      <c r="K144" s="1096"/>
      <c r="L144" s="1096" t="e">
        <f t="shared" si="117"/>
        <v>#REF!</v>
      </c>
      <c r="M144" s="1103"/>
      <c r="N144" s="1096" t="e">
        <f t="shared" si="118"/>
        <v>#REF!</v>
      </c>
      <c r="O144" s="1098">
        <f t="shared" si="113"/>
        <v>0</v>
      </c>
      <c r="P144" s="1096" t="e">
        <f t="shared" si="119"/>
        <v>#REF!</v>
      </c>
      <c r="Q144" s="1098">
        <f t="shared" si="120"/>
        <v>0</v>
      </c>
      <c r="R144" s="1096" t="e">
        <f t="shared" si="122"/>
        <v>#REF!</v>
      </c>
      <c r="S144" s="1107"/>
      <c r="T144" s="1104"/>
    </row>
    <row r="145" spans="1:20" s="1108" customFormat="1" ht="69.75" hidden="1">
      <c r="A145" s="1085"/>
      <c r="B145" s="1270" t="s">
        <v>4510</v>
      </c>
      <c r="C145" s="1085" t="e">
        <f>#REF!</f>
        <v>#REF!</v>
      </c>
      <c r="E145" s="1240"/>
      <c r="F145" s="1097" t="e">
        <f t="shared" si="114"/>
        <v>#REF!</v>
      </c>
      <c r="G145" s="1103"/>
      <c r="H145" s="1096" t="e">
        <f t="shared" si="115"/>
        <v>#REF!</v>
      </c>
      <c r="I145" s="1103"/>
      <c r="J145" s="1096" t="e">
        <f t="shared" si="116"/>
        <v>#REF!</v>
      </c>
      <c r="K145" s="1096"/>
      <c r="L145" s="1096" t="e">
        <f t="shared" si="117"/>
        <v>#REF!</v>
      </c>
      <c r="M145" s="1103"/>
      <c r="N145" s="1096" t="e">
        <f t="shared" si="118"/>
        <v>#REF!</v>
      </c>
      <c r="O145" s="1098">
        <f t="shared" si="113"/>
        <v>0</v>
      </c>
      <c r="P145" s="1096" t="e">
        <f t="shared" si="119"/>
        <v>#REF!</v>
      </c>
      <c r="Q145" s="1098">
        <f t="shared" si="120"/>
        <v>0</v>
      </c>
      <c r="R145" s="1096" t="e">
        <f t="shared" si="122"/>
        <v>#REF!</v>
      </c>
      <c r="S145" s="1107"/>
      <c r="T145" s="1104"/>
    </row>
    <row r="146" spans="1:20" s="1108" customFormat="1" ht="69.75" hidden="1">
      <c r="A146" s="1085"/>
      <c r="B146" s="1270" t="s">
        <v>4511</v>
      </c>
      <c r="C146" s="1085" t="e">
        <f>#REF!</f>
        <v>#REF!</v>
      </c>
      <c r="E146" s="1240"/>
      <c r="F146" s="1097" t="e">
        <f t="shared" si="114"/>
        <v>#REF!</v>
      </c>
      <c r="G146" s="1103"/>
      <c r="H146" s="1096" t="e">
        <f t="shared" si="115"/>
        <v>#REF!</v>
      </c>
      <c r="I146" s="1103"/>
      <c r="J146" s="1096" t="e">
        <f t="shared" si="116"/>
        <v>#REF!</v>
      </c>
      <c r="K146" s="1096"/>
      <c r="L146" s="1096" t="e">
        <f t="shared" si="117"/>
        <v>#REF!</v>
      </c>
      <c r="M146" s="1103"/>
      <c r="N146" s="1096" t="e">
        <f t="shared" si="118"/>
        <v>#REF!</v>
      </c>
      <c r="O146" s="1098">
        <f t="shared" si="113"/>
        <v>0</v>
      </c>
      <c r="P146" s="1096" t="e">
        <f t="shared" si="119"/>
        <v>#REF!</v>
      </c>
      <c r="Q146" s="1098">
        <f t="shared" si="120"/>
        <v>0</v>
      </c>
      <c r="R146" s="1096" t="e">
        <f t="shared" si="122"/>
        <v>#REF!</v>
      </c>
      <c r="S146" s="1107"/>
      <c r="T146" s="1104"/>
    </row>
    <row r="147" spans="1:20" s="1108" customFormat="1" ht="116.25" hidden="1">
      <c r="A147" s="1085"/>
      <c r="B147" s="1270" t="s">
        <v>4512</v>
      </c>
      <c r="C147" s="1085" t="e">
        <f>#REF!</f>
        <v>#REF!</v>
      </c>
      <c r="E147" s="1240"/>
      <c r="F147" s="1097" t="e">
        <f t="shared" si="114"/>
        <v>#REF!</v>
      </c>
      <c r="G147" s="1103"/>
      <c r="H147" s="1096" t="e">
        <f t="shared" si="115"/>
        <v>#REF!</v>
      </c>
      <c r="I147" s="1103"/>
      <c r="J147" s="1096" t="e">
        <f t="shared" si="116"/>
        <v>#REF!</v>
      </c>
      <c r="K147" s="1096"/>
      <c r="L147" s="1096" t="e">
        <f t="shared" si="117"/>
        <v>#REF!</v>
      </c>
      <c r="M147" s="1103"/>
      <c r="N147" s="1096" t="e">
        <f t="shared" si="118"/>
        <v>#REF!</v>
      </c>
      <c r="O147" s="1098">
        <f t="shared" si="113"/>
        <v>0</v>
      </c>
      <c r="P147" s="1096" t="e">
        <f t="shared" si="119"/>
        <v>#REF!</v>
      </c>
      <c r="Q147" s="1098">
        <f t="shared" si="120"/>
        <v>0</v>
      </c>
      <c r="R147" s="1096" t="e">
        <f t="shared" si="122"/>
        <v>#REF!</v>
      </c>
      <c r="S147" s="1107"/>
      <c r="T147" s="1104"/>
    </row>
    <row r="148" spans="1:20" s="1108" customFormat="1" ht="93" hidden="1">
      <c r="A148" s="1085"/>
      <c r="B148" s="1270" t="s">
        <v>4513</v>
      </c>
      <c r="C148" s="1085" t="e">
        <f>#REF!</f>
        <v>#REF!</v>
      </c>
      <c r="E148" s="1240"/>
      <c r="F148" s="1097" t="e">
        <f t="shared" si="114"/>
        <v>#REF!</v>
      </c>
      <c r="G148" s="1103"/>
      <c r="H148" s="1096" t="e">
        <f t="shared" si="115"/>
        <v>#REF!</v>
      </c>
      <c r="I148" s="1103"/>
      <c r="J148" s="1096" t="e">
        <f t="shared" si="116"/>
        <v>#REF!</v>
      </c>
      <c r="K148" s="1096"/>
      <c r="L148" s="1096" t="e">
        <f t="shared" si="117"/>
        <v>#REF!</v>
      </c>
      <c r="M148" s="1103"/>
      <c r="N148" s="1096" t="e">
        <f t="shared" si="118"/>
        <v>#REF!</v>
      </c>
      <c r="O148" s="1098">
        <f t="shared" si="113"/>
        <v>0</v>
      </c>
      <c r="P148" s="1096" t="e">
        <f t="shared" si="119"/>
        <v>#REF!</v>
      </c>
      <c r="Q148" s="1098">
        <f t="shared" si="120"/>
        <v>0</v>
      </c>
      <c r="R148" s="1096" t="e">
        <f t="shared" si="122"/>
        <v>#REF!</v>
      </c>
      <c r="S148" s="1107"/>
      <c r="T148" s="1104"/>
    </row>
    <row r="149" spans="1:20" s="1108" customFormat="1" ht="46.5" hidden="1">
      <c r="A149" s="1085"/>
      <c r="B149" s="1270" t="s">
        <v>4514</v>
      </c>
      <c r="C149" s="1085" t="e">
        <f>#REF!</f>
        <v>#REF!</v>
      </c>
      <c r="E149" s="1240"/>
      <c r="F149" s="1097" t="e">
        <f t="shared" si="114"/>
        <v>#REF!</v>
      </c>
      <c r="G149" s="1103"/>
      <c r="H149" s="1096" t="e">
        <f t="shared" si="115"/>
        <v>#REF!</v>
      </c>
      <c r="I149" s="1103"/>
      <c r="J149" s="1096" t="e">
        <f t="shared" si="116"/>
        <v>#REF!</v>
      </c>
      <c r="K149" s="1096"/>
      <c r="L149" s="1096" t="e">
        <f t="shared" si="117"/>
        <v>#REF!</v>
      </c>
      <c r="M149" s="1103"/>
      <c r="N149" s="1096" t="e">
        <f t="shared" si="118"/>
        <v>#REF!</v>
      </c>
      <c r="O149" s="1098">
        <f t="shared" si="113"/>
        <v>0</v>
      </c>
      <c r="P149" s="1096" t="e">
        <f t="shared" si="119"/>
        <v>#REF!</v>
      </c>
      <c r="Q149" s="1098">
        <f t="shared" si="120"/>
        <v>0</v>
      </c>
      <c r="R149" s="1096" t="e">
        <f t="shared" si="122"/>
        <v>#REF!</v>
      </c>
      <c r="S149" s="1107"/>
      <c r="T149" s="1104"/>
    </row>
    <row r="150" spans="1:20" s="1108" customFormat="1" ht="46.5" hidden="1">
      <c r="A150" s="1085"/>
      <c r="B150" s="1270" t="s">
        <v>4515</v>
      </c>
      <c r="C150" s="1085" t="e">
        <f>#REF!</f>
        <v>#REF!</v>
      </c>
      <c r="E150" s="1240"/>
      <c r="F150" s="1097" t="e">
        <f t="shared" si="114"/>
        <v>#REF!</v>
      </c>
      <c r="G150" s="1103"/>
      <c r="H150" s="1096" t="e">
        <f t="shared" si="115"/>
        <v>#REF!</v>
      </c>
      <c r="I150" s="1103"/>
      <c r="J150" s="1096" t="e">
        <f t="shared" si="116"/>
        <v>#REF!</v>
      </c>
      <c r="K150" s="1096"/>
      <c r="L150" s="1096" t="e">
        <f t="shared" si="117"/>
        <v>#REF!</v>
      </c>
      <c r="M150" s="1103"/>
      <c r="N150" s="1096" t="e">
        <f t="shared" si="118"/>
        <v>#REF!</v>
      </c>
      <c r="O150" s="1098">
        <f t="shared" si="113"/>
        <v>0</v>
      </c>
      <c r="P150" s="1096" t="e">
        <f t="shared" si="119"/>
        <v>#REF!</v>
      </c>
      <c r="Q150" s="1098">
        <f t="shared" si="120"/>
        <v>0</v>
      </c>
      <c r="R150" s="1096" t="e">
        <f t="shared" si="122"/>
        <v>#REF!</v>
      </c>
      <c r="S150" s="1107"/>
      <c r="T150" s="1104"/>
    </row>
    <row r="151" spans="1:20" s="1108" customFormat="1" ht="46.5" hidden="1">
      <c r="A151" s="1085"/>
      <c r="B151" s="1270" t="s">
        <v>4516</v>
      </c>
      <c r="C151" s="1085" t="e">
        <f>#REF!</f>
        <v>#REF!</v>
      </c>
      <c r="E151" s="1240"/>
      <c r="F151" s="1097" t="e">
        <f t="shared" si="114"/>
        <v>#REF!</v>
      </c>
      <c r="G151" s="1103"/>
      <c r="H151" s="1096" t="e">
        <f t="shared" si="115"/>
        <v>#REF!</v>
      </c>
      <c r="I151" s="1103"/>
      <c r="J151" s="1096" t="e">
        <f t="shared" si="116"/>
        <v>#REF!</v>
      </c>
      <c r="K151" s="1096"/>
      <c r="L151" s="1096" t="e">
        <f t="shared" si="117"/>
        <v>#REF!</v>
      </c>
      <c r="M151" s="1103"/>
      <c r="N151" s="1096" t="e">
        <f t="shared" si="118"/>
        <v>#REF!</v>
      </c>
      <c r="O151" s="1098">
        <f t="shared" si="113"/>
        <v>0</v>
      </c>
      <c r="P151" s="1096" t="e">
        <f t="shared" si="119"/>
        <v>#REF!</v>
      </c>
      <c r="Q151" s="1098">
        <f t="shared" si="120"/>
        <v>0</v>
      </c>
      <c r="R151" s="1096" t="e">
        <f t="shared" si="122"/>
        <v>#REF!</v>
      </c>
      <c r="S151" s="1107"/>
      <c r="T151" s="1104"/>
    </row>
    <row r="152" spans="1:20" s="1108" customFormat="1" ht="46.5" hidden="1">
      <c r="A152" s="1085"/>
      <c r="B152" s="1270" t="s">
        <v>4517</v>
      </c>
      <c r="C152" s="1085" t="e">
        <f>#REF!</f>
        <v>#REF!</v>
      </c>
      <c r="E152" s="1240"/>
      <c r="F152" s="1097" t="e">
        <f t="shared" si="114"/>
        <v>#REF!</v>
      </c>
      <c r="G152" s="1103"/>
      <c r="H152" s="1096" t="e">
        <f t="shared" si="115"/>
        <v>#REF!</v>
      </c>
      <c r="I152" s="1103"/>
      <c r="J152" s="1096" t="e">
        <f t="shared" si="116"/>
        <v>#REF!</v>
      </c>
      <c r="K152" s="1096"/>
      <c r="L152" s="1096" t="e">
        <f t="shared" si="117"/>
        <v>#REF!</v>
      </c>
      <c r="M152" s="1103"/>
      <c r="N152" s="1096" t="e">
        <f t="shared" si="118"/>
        <v>#REF!</v>
      </c>
      <c r="O152" s="1098">
        <f t="shared" si="113"/>
        <v>0</v>
      </c>
      <c r="P152" s="1096" t="e">
        <f t="shared" si="119"/>
        <v>#REF!</v>
      </c>
      <c r="Q152" s="1098">
        <f t="shared" si="120"/>
        <v>0</v>
      </c>
      <c r="R152" s="1096" t="e">
        <f t="shared" si="122"/>
        <v>#REF!</v>
      </c>
      <c r="S152" s="1107"/>
      <c r="T152" s="1104"/>
    </row>
    <row r="153" spans="1:20" s="1108" customFormat="1" ht="46.5" hidden="1">
      <c r="A153" s="1085"/>
      <c r="B153" s="1270" t="s">
        <v>4518</v>
      </c>
      <c r="C153" s="1085" t="e">
        <f>#REF!</f>
        <v>#REF!</v>
      </c>
      <c r="E153" s="1240"/>
      <c r="F153" s="1097" t="e">
        <f t="shared" si="114"/>
        <v>#REF!</v>
      </c>
      <c r="G153" s="1103"/>
      <c r="H153" s="1096" t="e">
        <f t="shared" si="115"/>
        <v>#REF!</v>
      </c>
      <c r="I153" s="1103"/>
      <c r="J153" s="1096" t="e">
        <f t="shared" si="116"/>
        <v>#REF!</v>
      </c>
      <c r="K153" s="1096"/>
      <c r="L153" s="1096" t="e">
        <f t="shared" si="117"/>
        <v>#REF!</v>
      </c>
      <c r="M153" s="1103"/>
      <c r="N153" s="1096" t="e">
        <f t="shared" si="118"/>
        <v>#REF!</v>
      </c>
      <c r="O153" s="1098">
        <f t="shared" si="113"/>
        <v>0</v>
      </c>
      <c r="P153" s="1096" t="e">
        <f t="shared" si="119"/>
        <v>#REF!</v>
      </c>
      <c r="Q153" s="1098">
        <f t="shared" si="120"/>
        <v>0</v>
      </c>
      <c r="R153" s="1096" t="e">
        <f t="shared" si="122"/>
        <v>#REF!</v>
      </c>
      <c r="S153" s="1107"/>
      <c r="T153" s="1104"/>
    </row>
    <row r="154" spans="1:20" s="1108" customFormat="1" ht="46.5" hidden="1">
      <c r="A154" s="1085"/>
      <c r="B154" s="1270" t="s">
        <v>4519</v>
      </c>
      <c r="C154" s="1085" t="e">
        <f>#REF!</f>
        <v>#REF!</v>
      </c>
      <c r="E154" s="1240"/>
      <c r="F154" s="1097" t="e">
        <f t="shared" si="114"/>
        <v>#REF!</v>
      </c>
      <c r="G154" s="1103"/>
      <c r="H154" s="1096" t="e">
        <f t="shared" si="115"/>
        <v>#REF!</v>
      </c>
      <c r="I154" s="1103"/>
      <c r="J154" s="1096" t="e">
        <f t="shared" si="116"/>
        <v>#REF!</v>
      </c>
      <c r="K154" s="1096"/>
      <c r="L154" s="1096" t="e">
        <f t="shared" si="117"/>
        <v>#REF!</v>
      </c>
      <c r="M154" s="1103"/>
      <c r="N154" s="1096" t="e">
        <f t="shared" si="118"/>
        <v>#REF!</v>
      </c>
      <c r="O154" s="1098">
        <f t="shared" si="113"/>
        <v>0</v>
      </c>
      <c r="P154" s="1096" t="e">
        <f t="shared" si="119"/>
        <v>#REF!</v>
      </c>
      <c r="Q154" s="1098">
        <f t="shared" ref="Q154:Q214" si="123">O154+E154+G154</f>
        <v>0</v>
      </c>
      <c r="R154" s="1096" t="e">
        <f t="shared" si="122"/>
        <v>#REF!</v>
      </c>
      <c r="S154" s="1107"/>
      <c r="T154" s="1104"/>
    </row>
    <row r="155" spans="1:20" s="1108" customFormat="1" ht="46.5" hidden="1">
      <c r="A155" s="1085"/>
      <c r="B155" s="1270" t="s">
        <v>4520</v>
      </c>
      <c r="C155" s="1085" t="e">
        <f>#REF!</f>
        <v>#REF!</v>
      </c>
      <c r="E155" s="1240"/>
      <c r="F155" s="1097" t="e">
        <f t="shared" si="114"/>
        <v>#REF!</v>
      </c>
      <c r="G155" s="1103"/>
      <c r="H155" s="1096" t="e">
        <f t="shared" si="115"/>
        <v>#REF!</v>
      </c>
      <c r="I155" s="1103"/>
      <c r="J155" s="1096" t="e">
        <f t="shared" si="116"/>
        <v>#REF!</v>
      </c>
      <c r="K155" s="1096"/>
      <c r="L155" s="1096" t="e">
        <f t="shared" si="117"/>
        <v>#REF!</v>
      </c>
      <c r="M155" s="1103"/>
      <c r="N155" s="1096" t="e">
        <f t="shared" si="118"/>
        <v>#REF!</v>
      </c>
      <c r="O155" s="1098">
        <f t="shared" ref="O155:O214" si="124">I155+K155+M155</f>
        <v>0</v>
      </c>
      <c r="P155" s="1096" t="e">
        <f t="shared" si="119"/>
        <v>#REF!</v>
      </c>
      <c r="Q155" s="1098">
        <f t="shared" si="123"/>
        <v>0</v>
      </c>
      <c r="R155" s="1096" t="e">
        <f t="shared" si="122"/>
        <v>#REF!</v>
      </c>
      <c r="S155" s="1107"/>
      <c r="T155" s="1104"/>
    </row>
    <row r="156" spans="1:20" s="1108" customFormat="1" ht="46.5" hidden="1">
      <c r="A156" s="1085"/>
      <c r="B156" s="1270" t="s">
        <v>4521</v>
      </c>
      <c r="C156" s="1085" t="e">
        <f>#REF!</f>
        <v>#REF!</v>
      </c>
      <c r="E156" s="1240"/>
      <c r="F156" s="1097" t="e">
        <f t="shared" ref="F156:F219" si="125">E156*C156</f>
        <v>#REF!</v>
      </c>
      <c r="G156" s="1103"/>
      <c r="H156" s="1096" t="e">
        <f t="shared" ref="H156:H212" si="126">G156*C156</f>
        <v>#REF!</v>
      </c>
      <c r="I156" s="1103"/>
      <c r="J156" s="1096" t="e">
        <f t="shared" ref="J156:J219" si="127">I156*C156</f>
        <v>#REF!</v>
      </c>
      <c r="K156" s="1096"/>
      <c r="L156" s="1096" t="e">
        <f t="shared" ref="L156:L216" si="128">K156*C156</f>
        <v>#REF!</v>
      </c>
      <c r="M156" s="1103"/>
      <c r="N156" s="1096" t="e">
        <f t="shared" ref="N156:N219" si="129">M156*C156</f>
        <v>#REF!</v>
      </c>
      <c r="O156" s="1098">
        <f t="shared" si="124"/>
        <v>0</v>
      </c>
      <c r="P156" s="1096" t="e">
        <f t="shared" ref="P156:P214" si="130">O156*C156</f>
        <v>#REF!</v>
      </c>
      <c r="Q156" s="1098">
        <f t="shared" si="123"/>
        <v>0</v>
      </c>
      <c r="R156" s="1096" t="e">
        <f t="shared" si="122"/>
        <v>#REF!</v>
      </c>
      <c r="S156" s="1107"/>
      <c r="T156" s="1104"/>
    </row>
    <row r="157" spans="1:20" s="1108" customFormat="1" ht="69.75" hidden="1">
      <c r="A157" s="1085"/>
      <c r="B157" s="1270" t="s">
        <v>4522</v>
      </c>
      <c r="C157" s="1085" t="e">
        <f>#REF!</f>
        <v>#REF!</v>
      </c>
      <c r="E157" s="1240"/>
      <c r="F157" s="1097" t="e">
        <f t="shared" si="125"/>
        <v>#REF!</v>
      </c>
      <c r="G157" s="1103"/>
      <c r="H157" s="1096" t="e">
        <f t="shared" si="126"/>
        <v>#REF!</v>
      </c>
      <c r="I157" s="1103"/>
      <c r="J157" s="1096" t="e">
        <f t="shared" si="127"/>
        <v>#REF!</v>
      </c>
      <c r="K157" s="1096"/>
      <c r="L157" s="1096" t="e">
        <f t="shared" si="128"/>
        <v>#REF!</v>
      </c>
      <c r="M157" s="1103"/>
      <c r="N157" s="1096" t="e">
        <f t="shared" si="129"/>
        <v>#REF!</v>
      </c>
      <c r="O157" s="1098">
        <f t="shared" si="124"/>
        <v>0</v>
      </c>
      <c r="P157" s="1096" t="e">
        <f t="shared" si="130"/>
        <v>#REF!</v>
      </c>
      <c r="Q157" s="1098">
        <f t="shared" si="123"/>
        <v>0</v>
      </c>
      <c r="R157" s="1096" t="e">
        <f t="shared" si="122"/>
        <v>#REF!</v>
      </c>
      <c r="S157" s="1107"/>
      <c r="T157" s="1104"/>
    </row>
    <row r="158" spans="1:20" s="1108" customFormat="1" ht="69.75" hidden="1">
      <c r="A158" s="1085"/>
      <c r="B158" s="1270" t="s">
        <v>4523</v>
      </c>
      <c r="C158" s="1085" t="e">
        <f>#REF!</f>
        <v>#REF!</v>
      </c>
      <c r="E158" s="1240"/>
      <c r="F158" s="1097" t="e">
        <f t="shared" si="125"/>
        <v>#REF!</v>
      </c>
      <c r="G158" s="1103"/>
      <c r="H158" s="1096" t="e">
        <f t="shared" si="126"/>
        <v>#REF!</v>
      </c>
      <c r="I158" s="1103"/>
      <c r="J158" s="1096" t="e">
        <f t="shared" si="127"/>
        <v>#REF!</v>
      </c>
      <c r="K158" s="1096"/>
      <c r="L158" s="1096" t="e">
        <f t="shared" si="128"/>
        <v>#REF!</v>
      </c>
      <c r="M158" s="1103"/>
      <c r="N158" s="1096" t="e">
        <f t="shared" si="129"/>
        <v>#REF!</v>
      </c>
      <c r="O158" s="1098">
        <f t="shared" si="124"/>
        <v>0</v>
      </c>
      <c r="P158" s="1096" t="e">
        <f t="shared" si="130"/>
        <v>#REF!</v>
      </c>
      <c r="Q158" s="1098">
        <f t="shared" si="123"/>
        <v>0</v>
      </c>
      <c r="R158" s="1096" t="e">
        <f t="shared" si="122"/>
        <v>#REF!</v>
      </c>
      <c r="S158" s="1107"/>
      <c r="T158" s="1104"/>
    </row>
    <row r="159" spans="1:20" s="1108" customFormat="1" hidden="1">
      <c r="A159" s="1085"/>
      <c r="B159" s="1270" t="s">
        <v>4524</v>
      </c>
      <c r="C159" s="1085" t="e">
        <f>#REF!</f>
        <v>#REF!</v>
      </c>
      <c r="E159" s="1240"/>
      <c r="F159" s="1097" t="e">
        <f t="shared" si="125"/>
        <v>#REF!</v>
      </c>
      <c r="G159" s="1103"/>
      <c r="H159" s="1096" t="e">
        <f t="shared" si="126"/>
        <v>#REF!</v>
      </c>
      <c r="I159" s="1103"/>
      <c r="J159" s="1096" t="e">
        <f t="shared" si="127"/>
        <v>#REF!</v>
      </c>
      <c r="K159" s="1096"/>
      <c r="L159" s="1096" t="e">
        <f t="shared" si="128"/>
        <v>#REF!</v>
      </c>
      <c r="M159" s="1103"/>
      <c r="N159" s="1096" t="e">
        <f t="shared" si="129"/>
        <v>#REF!</v>
      </c>
      <c r="O159" s="1098">
        <f t="shared" si="124"/>
        <v>0</v>
      </c>
      <c r="P159" s="1096" t="e">
        <f t="shared" si="130"/>
        <v>#REF!</v>
      </c>
      <c r="Q159" s="1098">
        <f t="shared" si="123"/>
        <v>0</v>
      </c>
      <c r="R159" s="1096" t="e">
        <f t="shared" si="122"/>
        <v>#REF!</v>
      </c>
      <c r="S159" s="1107"/>
      <c r="T159" s="1104"/>
    </row>
    <row r="160" spans="1:20" s="1108" customFormat="1" hidden="1">
      <c r="A160" s="1085"/>
      <c r="B160" s="1270" t="s">
        <v>4525</v>
      </c>
      <c r="C160" s="1085" t="e">
        <f>#REF!</f>
        <v>#REF!</v>
      </c>
      <c r="E160" s="1240"/>
      <c r="F160" s="1097" t="e">
        <f t="shared" si="125"/>
        <v>#REF!</v>
      </c>
      <c r="G160" s="1103"/>
      <c r="H160" s="1096" t="e">
        <f t="shared" si="126"/>
        <v>#REF!</v>
      </c>
      <c r="I160" s="1103"/>
      <c r="J160" s="1096" t="e">
        <f t="shared" si="127"/>
        <v>#REF!</v>
      </c>
      <c r="K160" s="1096"/>
      <c r="L160" s="1096" t="e">
        <f t="shared" si="128"/>
        <v>#REF!</v>
      </c>
      <c r="M160" s="1103"/>
      <c r="N160" s="1096" t="e">
        <f t="shared" si="129"/>
        <v>#REF!</v>
      </c>
      <c r="O160" s="1098">
        <f t="shared" si="124"/>
        <v>0</v>
      </c>
      <c r="P160" s="1096" t="e">
        <f t="shared" si="130"/>
        <v>#REF!</v>
      </c>
      <c r="Q160" s="1098">
        <f t="shared" si="123"/>
        <v>0</v>
      </c>
      <c r="R160" s="1096" t="e">
        <f t="shared" si="122"/>
        <v>#REF!</v>
      </c>
      <c r="S160" s="1107"/>
      <c r="T160" s="1104"/>
    </row>
    <row r="161" spans="1:20" s="1108" customFormat="1" hidden="1">
      <c r="A161" s="1085"/>
      <c r="B161" s="1270" t="s">
        <v>4526</v>
      </c>
      <c r="C161" s="1085" t="e">
        <f>#REF!</f>
        <v>#REF!</v>
      </c>
      <c r="E161" s="1240"/>
      <c r="F161" s="1097" t="e">
        <f t="shared" si="125"/>
        <v>#REF!</v>
      </c>
      <c r="G161" s="1103"/>
      <c r="H161" s="1096" t="e">
        <f t="shared" si="126"/>
        <v>#REF!</v>
      </c>
      <c r="I161" s="1103"/>
      <c r="J161" s="1096" t="e">
        <f t="shared" si="127"/>
        <v>#REF!</v>
      </c>
      <c r="K161" s="1096"/>
      <c r="L161" s="1096" t="e">
        <f t="shared" si="128"/>
        <v>#REF!</v>
      </c>
      <c r="M161" s="1103"/>
      <c r="N161" s="1096" t="e">
        <f t="shared" si="129"/>
        <v>#REF!</v>
      </c>
      <c r="O161" s="1098">
        <f t="shared" si="124"/>
        <v>0</v>
      </c>
      <c r="P161" s="1096" t="e">
        <f t="shared" si="130"/>
        <v>#REF!</v>
      </c>
      <c r="Q161" s="1098">
        <f t="shared" si="123"/>
        <v>0</v>
      </c>
      <c r="R161" s="1096" t="e">
        <f t="shared" ref="R161:R214" si="131">Q161*C161</f>
        <v>#REF!</v>
      </c>
      <c r="S161" s="1107"/>
      <c r="T161" s="1104"/>
    </row>
    <row r="162" spans="1:20" s="1108" customFormat="1" hidden="1">
      <c r="A162" s="1085"/>
      <c r="B162" s="1270" t="s">
        <v>4527</v>
      </c>
      <c r="C162" s="1085" t="e">
        <f>#REF!</f>
        <v>#REF!</v>
      </c>
      <c r="E162" s="1240"/>
      <c r="F162" s="1097" t="e">
        <f t="shared" si="125"/>
        <v>#REF!</v>
      </c>
      <c r="G162" s="1103"/>
      <c r="H162" s="1096" t="e">
        <f t="shared" si="126"/>
        <v>#REF!</v>
      </c>
      <c r="I162" s="1103"/>
      <c r="J162" s="1096" t="e">
        <f t="shared" si="127"/>
        <v>#REF!</v>
      </c>
      <c r="K162" s="1096"/>
      <c r="L162" s="1096" t="e">
        <f t="shared" si="128"/>
        <v>#REF!</v>
      </c>
      <c r="M162" s="1103"/>
      <c r="N162" s="1096" t="e">
        <f t="shared" si="129"/>
        <v>#REF!</v>
      </c>
      <c r="O162" s="1098">
        <f t="shared" si="124"/>
        <v>0</v>
      </c>
      <c r="P162" s="1096" t="e">
        <f t="shared" si="130"/>
        <v>#REF!</v>
      </c>
      <c r="Q162" s="1098">
        <f t="shared" si="123"/>
        <v>0</v>
      </c>
      <c r="R162" s="1096" t="e">
        <f t="shared" si="131"/>
        <v>#REF!</v>
      </c>
      <c r="S162" s="1107"/>
      <c r="T162" s="1104"/>
    </row>
    <row r="163" spans="1:20" s="1108" customFormat="1" ht="116.25" hidden="1">
      <c r="A163" s="1085"/>
      <c r="B163" s="1270" t="s">
        <v>4528</v>
      </c>
      <c r="C163" s="1085" t="e">
        <f>#REF!</f>
        <v>#REF!</v>
      </c>
      <c r="E163" s="1240"/>
      <c r="F163" s="1097" t="e">
        <f t="shared" si="125"/>
        <v>#REF!</v>
      </c>
      <c r="G163" s="1103"/>
      <c r="H163" s="1096" t="e">
        <f t="shared" si="126"/>
        <v>#REF!</v>
      </c>
      <c r="I163" s="1103"/>
      <c r="J163" s="1096" t="e">
        <f t="shared" si="127"/>
        <v>#REF!</v>
      </c>
      <c r="K163" s="1096"/>
      <c r="L163" s="1096" t="e">
        <f t="shared" si="128"/>
        <v>#REF!</v>
      </c>
      <c r="M163" s="1103"/>
      <c r="N163" s="1096" t="e">
        <f t="shared" si="129"/>
        <v>#REF!</v>
      </c>
      <c r="O163" s="1098">
        <f t="shared" si="124"/>
        <v>0</v>
      </c>
      <c r="P163" s="1096" t="e">
        <f t="shared" si="130"/>
        <v>#REF!</v>
      </c>
      <c r="Q163" s="1098">
        <f t="shared" si="123"/>
        <v>0</v>
      </c>
      <c r="R163" s="1096" t="e">
        <f t="shared" si="131"/>
        <v>#REF!</v>
      </c>
      <c r="S163" s="1107"/>
      <c r="T163" s="1104"/>
    </row>
    <row r="164" spans="1:20" s="1108" customFormat="1" ht="69.75" hidden="1">
      <c r="A164" s="1085"/>
      <c r="B164" s="1270" t="s">
        <v>4529</v>
      </c>
      <c r="C164" s="1085" t="e">
        <f>#REF!</f>
        <v>#REF!</v>
      </c>
      <c r="E164" s="1240"/>
      <c r="F164" s="1097" t="e">
        <f t="shared" si="125"/>
        <v>#REF!</v>
      </c>
      <c r="G164" s="1103"/>
      <c r="H164" s="1096" t="e">
        <f t="shared" si="126"/>
        <v>#REF!</v>
      </c>
      <c r="I164" s="1103"/>
      <c r="J164" s="1096" t="e">
        <f t="shared" si="127"/>
        <v>#REF!</v>
      </c>
      <c r="K164" s="1096"/>
      <c r="L164" s="1096" t="e">
        <f t="shared" si="128"/>
        <v>#REF!</v>
      </c>
      <c r="M164" s="1103"/>
      <c r="N164" s="1096" t="e">
        <f t="shared" si="129"/>
        <v>#REF!</v>
      </c>
      <c r="O164" s="1098">
        <f t="shared" si="124"/>
        <v>0</v>
      </c>
      <c r="P164" s="1096" t="e">
        <f t="shared" si="130"/>
        <v>#REF!</v>
      </c>
      <c r="Q164" s="1098">
        <f t="shared" si="123"/>
        <v>0</v>
      </c>
      <c r="R164" s="1096" t="e">
        <f t="shared" si="131"/>
        <v>#REF!</v>
      </c>
      <c r="S164" s="1107"/>
      <c r="T164" s="1104"/>
    </row>
    <row r="165" spans="1:20" s="1108" customFormat="1" ht="46.5" hidden="1">
      <c r="A165" s="1085"/>
      <c r="B165" s="1270" t="s">
        <v>4530</v>
      </c>
      <c r="C165" s="1085" t="e">
        <f>#REF!</f>
        <v>#REF!</v>
      </c>
      <c r="E165" s="1240"/>
      <c r="F165" s="1097" t="e">
        <f t="shared" si="125"/>
        <v>#REF!</v>
      </c>
      <c r="G165" s="1103"/>
      <c r="H165" s="1096" t="e">
        <f t="shared" si="126"/>
        <v>#REF!</v>
      </c>
      <c r="I165" s="1103"/>
      <c r="J165" s="1096" t="e">
        <f t="shared" si="127"/>
        <v>#REF!</v>
      </c>
      <c r="K165" s="1096"/>
      <c r="L165" s="1096" t="e">
        <f t="shared" si="128"/>
        <v>#REF!</v>
      </c>
      <c r="M165" s="1103"/>
      <c r="N165" s="1096" t="e">
        <f t="shared" si="129"/>
        <v>#REF!</v>
      </c>
      <c r="O165" s="1098">
        <f t="shared" si="124"/>
        <v>0</v>
      </c>
      <c r="P165" s="1096" t="e">
        <f t="shared" si="130"/>
        <v>#REF!</v>
      </c>
      <c r="Q165" s="1098">
        <f t="shared" si="123"/>
        <v>0</v>
      </c>
      <c r="R165" s="1096" t="e">
        <f t="shared" si="131"/>
        <v>#REF!</v>
      </c>
      <c r="S165" s="1107"/>
      <c r="T165" s="1104"/>
    </row>
    <row r="166" spans="1:20" s="1108" customFormat="1" hidden="1">
      <c r="A166" s="1085"/>
      <c r="B166" s="1270" t="s">
        <v>4531</v>
      </c>
      <c r="C166" s="1085" t="e">
        <f>#REF!</f>
        <v>#REF!</v>
      </c>
      <c r="E166" s="1240"/>
      <c r="F166" s="1097" t="e">
        <f t="shared" si="125"/>
        <v>#REF!</v>
      </c>
      <c r="G166" s="1103"/>
      <c r="H166" s="1096" t="e">
        <f t="shared" si="126"/>
        <v>#REF!</v>
      </c>
      <c r="I166" s="1103"/>
      <c r="J166" s="1096" t="e">
        <f t="shared" si="127"/>
        <v>#REF!</v>
      </c>
      <c r="K166" s="1096"/>
      <c r="L166" s="1096" t="e">
        <f t="shared" si="128"/>
        <v>#REF!</v>
      </c>
      <c r="M166" s="1103"/>
      <c r="N166" s="1096" t="e">
        <f t="shared" si="129"/>
        <v>#REF!</v>
      </c>
      <c r="O166" s="1098">
        <f t="shared" si="124"/>
        <v>0</v>
      </c>
      <c r="P166" s="1096" t="e">
        <f t="shared" si="130"/>
        <v>#REF!</v>
      </c>
      <c r="Q166" s="1098">
        <f t="shared" si="123"/>
        <v>0</v>
      </c>
      <c r="R166" s="1096" t="e">
        <f t="shared" si="131"/>
        <v>#REF!</v>
      </c>
      <c r="S166" s="1107"/>
      <c r="T166" s="1104"/>
    </row>
    <row r="167" spans="1:20" s="1108" customFormat="1" ht="93" hidden="1">
      <c r="A167" s="1085"/>
      <c r="B167" s="1270" t="s">
        <v>4532</v>
      </c>
      <c r="C167" s="1085" t="e">
        <f>#REF!</f>
        <v>#REF!</v>
      </c>
      <c r="E167" s="1240"/>
      <c r="F167" s="1097" t="e">
        <f t="shared" si="125"/>
        <v>#REF!</v>
      </c>
      <c r="G167" s="1103"/>
      <c r="H167" s="1096" t="e">
        <f t="shared" si="126"/>
        <v>#REF!</v>
      </c>
      <c r="I167" s="1103"/>
      <c r="J167" s="1096" t="e">
        <f t="shared" si="127"/>
        <v>#REF!</v>
      </c>
      <c r="K167" s="1096"/>
      <c r="L167" s="1096" t="e">
        <f t="shared" si="128"/>
        <v>#REF!</v>
      </c>
      <c r="M167" s="1103"/>
      <c r="N167" s="1096" t="e">
        <f t="shared" si="129"/>
        <v>#REF!</v>
      </c>
      <c r="O167" s="1098">
        <f t="shared" si="124"/>
        <v>0</v>
      </c>
      <c r="P167" s="1096" t="e">
        <f t="shared" si="130"/>
        <v>#REF!</v>
      </c>
      <c r="Q167" s="1098">
        <f t="shared" si="123"/>
        <v>0</v>
      </c>
      <c r="R167" s="1096" t="e">
        <f t="shared" si="131"/>
        <v>#REF!</v>
      </c>
      <c r="S167" s="1107"/>
      <c r="T167" s="1104"/>
    </row>
    <row r="168" spans="1:20" s="1108" customFormat="1" hidden="1">
      <c r="A168" s="1085"/>
      <c r="B168" s="1270" t="s">
        <v>4533</v>
      </c>
      <c r="C168" s="1085" t="e">
        <f>#REF!</f>
        <v>#REF!</v>
      </c>
      <c r="E168" s="1240"/>
      <c r="F168" s="1097" t="e">
        <f t="shared" si="125"/>
        <v>#REF!</v>
      </c>
      <c r="G168" s="1103"/>
      <c r="H168" s="1096" t="e">
        <f t="shared" si="126"/>
        <v>#REF!</v>
      </c>
      <c r="I168" s="1103"/>
      <c r="J168" s="1096" t="e">
        <f t="shared" si="127"/>
        <v>#REF!</v>
      </c>
      <c r="K168" s="1096"/>
      <c r="L168" s="1096" t="e">
        <f t="shared" si="128"/>
        <v>#REF!</v>
      </c>
      <c r="M168" s="1103"/>
      <c r="N168" s="1096" t="e">
        <f t="shared" si="129"/>
        <v>#REF!</v>
      </c>
      <c r="O168" s="1098">
        <f t="shared" si="124"/>
        <v>0</v>
      </c>
      <c r="P168" s="1096" t="e">
        <f t="shared" si="130"/>
        <v>#REF!</v>
      </c>
      <c r="Q168" s="1098">
        <f t="shared" si="123"/>
        <v>0</v>
      </c>
      <c r="R168" s="1096" t="e">
        <f t="shared" si="131"/>
        <v>#REF!</v>
      </c>
      <c r="S168" s="1107"/>
      <c r="T168" s="1104"/>
    </row>
    <row r="169" spans="1:20" s="1108" customFormat="1" ht="46.5" hidden="1">
      <c r="A169" s="1085"/>
      <c r="B169" s="1324" t="s">
        <v>4534</v>
      </c>
      <c r="C169" s="1085" t="e">
        <f>#REF!</f>
        <v>#REF!</v>
      </c>
      <c r="E169" s="1240"/>
      <c r="F169" s="1097" t="e">
        <f t="shared" si="125"/>
        <v>#REF!</v>
      </c>
      <c r="G169" s="1103"/>
      <c r="H169" s="1096" t="e">
        <f t="shared" si="126"/>
        <v>#REF!</v>
      </c>
      <c r="I169" s="1103"/>
      <c r="J169" s="1096" t="e">
        <f t="shared" si="127"/>
        <v>#REF!</v>
      </c>
      <c r="K169" s="1096"/>
      <c r="L169" s="1096" t="e">
        <f t="shared" si="128"/>
        <v>#REF!</v>
      </c>
      <c r="M169" s="1103"/>
      <c r="N169" s="1096" t="e">
        <f t="shared" si="129"/>
        <v>#REF!</v>
      </c>
      <c r="O169" s="1098">
        <f t="shared" si="124"/>
        <v>0</v>
      </c>
      <c r="P169" s="1096" t="e">
        <f t="shared" si="130"/>
        <v>#REF!</v>
      </c>
      <c r="Q169" s="1098">
        <f t="shared" si="123"/>
        <v>0</v>
      </c>
      <c r="R169" s="1096" t="e">
        <f t="shared" si="131"/>
        <v>#REF!</v>
      </c>
      <c r="S169" s="1107"/>
      <c r="T169" s="1104"/>
    </row>
    <row r="170" spans="1:20" s="1108" customFormat="1" ht="46.5" hidden="1">
      <c r="A170" s="1085"/>
      <c r="B170" s="1270" t="s">
        <v>4535</v>
      </c>
      <c r="C170" s="1085" t="e">
        <f>#REF!</f>
        <v>#REF!</v>
      </c>
      <c r="E170" s="1240"/>
      <c r="F170" s="1097" t="e">
        <f t="shared" si="125"/>
        <v>#REF!</v>
      </c>
      <c r="G170" s="1103"/>
      <c r="H170" s="1096" t="e">
        <f t="shared" si="126"/>
        <v>#REF!</v>
      </c>
      <c r="I170" s="1103"/>
      <c r="J170" s="1096" t="e">
        <f t="shared" si="127"/>
        <v>#REF!</v>
      </c>
      <c r="K170" s="1096"/>
      <c r="L170" s="1096" t="e">
        <f t="shared" si="128"/>
        <v>#REF!</v>
      </c>
      <c r="M170" s="1103"/>
      <c r="N170" s="1096" t="e">
        <f t="shared" si="129"/>
        <v>#REF!</v>
      </c>
      <c r="O170" s="1098">
        <f t="shared" si="124"/>
        <v>0</v>
      </c>
      <c r="P170" s="1096" t="e">
        <f t="shared" si="130"/>
        <v>#REF!</v>
      </c>
      <c r="Q170" s="1098">
        <f t="shared" si="123"/>
        <v>0</v>
      </c>
      <c r="R170" s="1096" t="e">
        <f t="shared" si="131"/>
        <v>#REF!</v>
      </c>
      <c r="S170" s="1107"/>
      <c r="T170" s="1104"/>
    </row>
    <row r="171" spans="1:20" s="1108" customFormat="1" ht="69.75" hidden="1">
      <c r="A171" s="1085"/>
      <c r="B171" s="1324" t="s">
        <v>4536</v>
      </c>
      <c r="C171" s="1085" t="e">
        <f>#REF!</f>
        <v>#REF!</v>
      </c>
      <c r="E171" s="1240"/>
      <c r="F171" s="1097" t="e">
        <f t="shared" si="125"/>
        <v>#REF!</v>
      </c>
      <c r="G171" s="1103"/>
      <c r="H171" s="1096" t="e">
        <f t="shared" si="126"/>
        <v>#REF!</v>
      </c>
      <c r="I171" s="1103"/>
      <c r="J171" s="1096" t="e">
        <f t="shared" si="127"/>
        <v>#REF!</v>
      </c>
      <c r="K171" s="1096"/>
      <c r="L171" s="1096" t="e">
        <f t="shared" si="128"/>
        <v>#REF!</v>
      </c>
      <c r="M171" s="1103"/>
      <c r="N171" s="1096" t="e">
        <f t="shared" si="129"/>
        <v>#REF!</v>
      </c>
      <c r="O171" s="1098">
        <f t="shared" si="124"/>
        <v>0</v>
      </c>
      <c r="P171" s="1096" t="e">
        <f t="shared" si="130"/>
        <v>#REF!</v>
      </c>
      <c r="Q171" s="1098">
        <f t="shared" si="123"/>
        <v>0</v>
      </c>
      <c r="R171" s="1096" t="e">
        <f t="shared" si="131"/>
        <v>#REF!</v>
      </c>
      <c r="S171" s="1107"/>
      <c r="T171" s="1104"/>
    </row>
    <row r="172" spans="1:20" s="1108" customFormat="1" ht="69.75" hidden="1">
      <c r="A172" s="1085"/>
      <c r="B172" s="1324" t="s">
        <v>4537</v>
      </c>
      <c r="C172" s="1085" t="e">
        <f>#REF!</f>
        <v>#REF!</v>
      </c>
      <c r="E172" s="1240"/>
      <c r="F172" s="1097" t="e">
        <f t="shared" si="125"/>
        <v>#REF!</v>
      </c>
      <c r="G172" s="1103"/>
      <c r="H172" s="1096" t="e">
        <f t="shared" si="126"/>
        <v>#REF!</v>
      </c>
      <c r="I172" s="1103"/>
      <c r="J172" s="1096" t="e">
        <f t="shared" si="127"/>
        <v>#REF!</v>
      </c>
      <c r="K172" s="1096"/>
      <c r="L172" s="1096" t="e">
        <f t="shared" si="128"/>
        <v>#REF!</v>
      </c>
      <c r="M172" s="1103"/>
      <c r="N172" s="1096" t="e">
        <f t="shared" si="129"/>
        <v>#REF!</v>
      </c>
      <c r="O172" s="1098">
        <f t="shared" si="124"/>
        <v>0</v>
      </c>
      <c r="P172" s="1096" t="e">
        <f t="shared" si="130"/>
        <v>#REF!</v>
      </c>
      <c r="Q172" s="1098">
        <f t="shared" si="123"/>
        <v>0</v>
      </c>
      <c r="R172" s="1096" t="e">
        <f t="shared" si="131"/>
        <v>#REF!</v>
      </c>
      <c r="S172" s="1107"/>
      <c r="T172" s="1104"/>
    </row>
    <row r="173" spans="1:20" s="1108" customFormat="1" ht="69.75" hidden="1">
      <c r="A173" s="1085"/>
      <c r="B173" s="1324" t="s">
        <v>4538</v>
      </c>
      <c r="C173" s="1085" t="e">
        <f>#REF!</f>
        <v>#REF!</v>
      </c>
      <c r="E173" s="1240"/>
      <c r="F173" s="1097" t="e">
        <f t="shared" si="125"/>
        <v>#REF!</v>
      </c>
      <c r="G173" s="1240"/>
      <c r="H173" s="1096" t="e">
        <f t="shared" si="126"/>
        <v>#REF!</v>
      </c>
      <c r="I173" s="1103"/>
      <c r="J173" s="1096" t="e">
        <f t="shared" si="127"/>
        <v>#REF!</v>
      </c>
      <c r="K173" s="1096"/>
      <c r="L173" s="1096" t="e">
        <f t="shared" si="128"/>
        <v>#REF!</v>
      </c>
      <c r="M173" s="1103"/>
      <c r="N173" s="1096" t="e">
        <f t="shared" si="129"/>
        <v>#REF!</v>
      </c>
      <c r="O173" s="1098">
        <f t="shared" si="124"/>
        <v>0</v>
      </c>
      <c r="P173" s="1096" t="e">
        <f t="shared" si="130"/>
        <v>#REF!</v>
      </c>
      <c r="Q173" s="1098">
        <f t="shared" si="123"/>
        <v>0</v>
      </c>
      <c r="R173" s="1096" t="e">
        <f t="shared" si="131"/>
        <v>#REF!</v>
      </c>
      <c r="S173" s="1107"/>
      <c r="T173" s="1104"/>
    </row>
    <row r="174" spans="1:20" s="1108" customFormat="1" ht="69.75" hidden="1">
      <c r="A174" s="1085"/>
      <c r="B174" s="1324" t="s">
        <v>4539</v>
      </c>
      <c r="C174" s="1085" t="e">
        <f>#REF!</f>
        <v>#REF!</v>
      </c>
      <c r="E174" s="1240"/>
      <c r="F174" s="1097" t="e">
        <f t="shared" si="125"/>
        <v>#REF!</v>
      </c>
      <c r="G174" s="1240"/>
      <c r="H174" s="1096" t="e">
        <f t="shared" si="126"/>
        <v>#REF!</v>
      </c>
      <c r="I174" s="1103"/>
      <c r="J174" s="1096" t="e">
        <f t="shared" si="127"/>
        <v>#REF!</v>
      </c>
      <c r="K174" s="1096"/>
      <c r="L174" s="1096" t="e">
        <f t="shared" si="128"/>
        <v>#REF!</v>
      </c>
      <c r="M174" s="1103"/>
      <c r="N174" s="1096" t="e">
        <f t="shared" si="129"/>
        <v>#REF!</v>
      </c>
      <c r="O174" s="1098">
        <f t="shared" si="124"/>
        <v>0</v>
      </c>
      <c r="P174" s="1096" t="e">
        <f t="shared" si="130"/>
        <v>#REF!</v>
      </c>
      <c r="Q174" s="1098">
        <f t="shared" si="123"/>
        <v>0</v>
      </c>
      <c r="R174" s="1096" t="e">
        <f t="shared" si="131"/>
        <v>#REF!</v>
      </c>
      <c r="S174" s="1107"/>
      <c r="T174" s="1104"/>
    </row>
    <row r="175" spans="1:20" s="1108" customFormat="1" ht="46.5" hidden="1">
      <c r="A175" s="1085"/>
      <c r="B175" s="1324" t="s">
        <v>4540</v>
      </c>
      <c r="C175" s="1085" t="e">
        <f>#REF!</f>
        <v>#REF!</v>
      </c>
      <c r="E175" s="1240"/>
      <c r="F175" s="1097" t="e">
        <f t="shared" si="125"/>
        <v>#REF!</v>
      </c>
      <c r="G175" s="1240"/>
      <c r="H175" s="1096" t="e">
        <f t="shared" si="126"/>
        <v>#REF!</v>
      </c>
      <c r="I175" s="1103"/>
      <c r="J175" s="1096" t="e">
        <f t="shared" si="127"/>
        <v>#REF!</v>
      </c>
      <c r="K175" s="1096"/>
      <c r="L175" s="1096" t="e">
        <f t="shared" si="128"/>
        <v>#REF!</v>
      </c>
      <c r="M175" s="1103"/>
      <c r="N175" s="1096" t="e">
        <f t="shared" si="129"/>
        <v>#REF!</v>
      </c>
      <c r="O175" s="1098">
        <f t="shared" si="124"/>
        <v>0</v>
      </c>
      <c r="P175" s="1096" t="e">
        <f t="shared" si="130"/>
        <v>#REF!</v>
      </c>
      <c r="Q175" s="1098">
        <f t="shared" si="123"/>
        <v>0</v>
      </c>
      <c r="R175" s="1096" t="e">
        <f t="shared" si="131"/>
        <v>#REF!</v>
      </c>
      <c r="S175" s="1107"/>
      <c r="T175" s="1104"/>
    </row>
    <row r="176" spans="1:20" s="1108" customFormat="1" ht="46.5" hidden="1">
      <c r="A176" s="1085"/>
      <c r="B176" s="1270" t="s">
        <v>4541</v>
      </c>
      <c r="C176" s="1085" t="e">
        <f>#REF!</f>
        <v>#REF!</v>
      </c>
      <c r="E176" s="1240"/>
      <c r="F176" s="1097" t="e">
        <f t="shared" si="125"/>
        <v>#REF!</v>
      </c>
      <c r="G176" s="1240"/>
      <c r="H176" s="1096" t="e">
        <f t="shared" si="126"/>
        <v>#REF!</v>
      </c>
      <c r="I176" s="1103"/>
      <c r="J176" s="1096" t="e">
        <f t="shared" si="127"/>
        <v>#REF!</v>
      </c>
      <c r="K176" s="1096"/>
      <c r="L176" s="1096" t="e">
        <f t="shared" si="128"/>
        <v>#REF!</v>
      </c>
      <c r="M176" s="1103"/>
      <c r="N176" s="1096" t="e">
        <f t="shared" si="129"/>
        <v>#REF!</v>
      </c>
      <c r="O176" s="1098">
        <f t="shared" si="124"/>
        <v>0</v>
      </c>
      <c r="P176" s="1096" t="e">
        <f t="shared" si="130"/>
        <v>#REF!</v>
      </c>
      <c r="Q176" s="1098">
        <f t="shared" si="123"/>
        <v>0</v>
      </c>
      <c r="R176" s="1096" t="e">
        <f t="shared" si="131"/>
        <v>#REF!</v>
      </c>
      <c r="S176" s="1107"/>
      <c r="T176" s="1104"/>
    </row>
    <row r="177" spans="1:20" s="1108" customFormat="1" hidden="1">
      <c r="A177" s="1085"/>
      <c r="B177" s="1270" t="s">
        <v>4542</v>
      </c>
      <c r="C177" s="1085" t="e">
        <f>#REF!</f>
        <v>#REF!</v>
      </c>
      <c r="E177" s="1240"/>
      <c r="F177" s="1097" t="e">
        <f t="shared" si="125"/>
        <v>#REF!</v>
      </c>
      <c r="G177" s="1240"/>
      <c r="H177" s="1096" t="e">
        <f t="shared" si="126"/>
        <v>#REF!</v>
      </c>
      <c r="I177" s="1103"/>
      <c r="J177" s="1096" t="e">
        <f t="shared" si="127"/>
        <v>#REF!</v>
      </c>
      <c r="K177" s="1096"/>
      <c r="L177" s="1096" t="e">
        <f t="shared" si="128"/>
        <v>#REF!</v>
      </c>
      <c r="M177" s="1103"/>
      <c r="N177" s="1096" t="e">
        <f t="shared" si="129"/>
        <v>#REF!</v>
      </c>
      <c r="O177" s="1098">
        <f t="shared" si="124"/>
        <v>0</v>
      </c>
      <c r="P177" s="1096" t="e">
        <f t="shared" si="130"/>
        <v>#REF!</v>
      </c>
      <c r="Q177" s="1098">
        <f t="shared" si="123"/>
        <v>0</v>
      </c>
      <c r="R177" s="1096" t="e">
        <f t="shared" si="131"/>
        <v>#REF!</v>
      </c>
      <c r="S177" s="1107"/>
      <c r="T177" s="1104"/>
    </row>
    <row r="178" spans="1:20" s="1108" customFormat="1" hidden="1">
      <c r="A178" s="1085"/>
      <c r="B178" s="1270" t="s">
        <v>4543</v>
      </c>
      <c r="C178" s="1085" t="e">
        <f>C177+C180</f>
        <v>#REF!</v>
      </c>
      <c r="E178" s="1240"/>
      <c r="F178" s="1097" t="e">
        <f t="shared" si="125"/>
        <v>#REF!</v>
      </c>
      <c r="G178" s="1240"/>
      <c r="H178" s="1096" t="e">
        <f t="shared" si="126"/>
        <v>#REF!</v>
      </c>
      <c r="I178" s="1103"/>
      <c r="J178" s="1096" t="e">
        <f t="shared" si="127"/>
        <v>#REF!</v>
      </c>
      <c r="K178" s="1096"/>
      <c r="L178" s="1096" t="e">
        <f t="shared" si="128"/>
        <v>#REF!</v>
      </c>
      <c r="M178" s="1103"/>
      <c r="N178" s="1096" t="e">
        <f t="shared" si="129"/>
        <v>#REF!</v>
      </c>
      <c r="O178" s="1098">
        <f t="shared" si="124"/>
        <v>0</v>
      </c>
      <c r="P178" s="1096" t="e">
        <f t="shared" si="130"/>
        <v>#REF!</v>
      </c>
      <c r="Q178" s="1098">
        <f t="shared" si="123"/>
        <v>0</v>
      </c>
      <c r="R178" s="1096" t="e">
        <f t="shared" si="131"/>
        <v>#REF!</v>
      </c>
      <c r="S178" s="1107"/>
      <c r="T178" s="1104"/>
    </row>
    <row r="179" spans="1:20" s="1108" customFormat="1" hidden="1">
      <c r="A179" s="1085"/>
      <c r="B179" s="1270" t="s">
        <v>4544</v>
      </c>
      <c r="C179" s="1085" t="e">
        <f>#REF!</f>
        <v>#REF!</v>
      </c>
      <c r="E179" s="1240"/>
      <c r="F179" s="1097" t="e">
        <f t="shared" si="125"/>
        <v>#REF!</v>
      </c>
      <c r="G179" s="1240"/>
      <c r="H179" s="1096" t="e">
        <f t="shared" si="126"/>
        <v>#REF!</v>
      </c>
      <c r="I179" s="1103"/>
      <c r="J179" s="1096" t="e">
        <f t="shared" si="127"/>
        <v>#REF!</v>
      </c>
      <c r="K179" s="1096"/>
      <c r="L179" s="1096" t="e">
        <f t="shared" si="128"/>
        <v>#REF!</v>
      </c>
      <c r="M179" s="1103"/>
      <c r="N179" s="1096" t="e">
        <f t="shared" si="129"/>
        <v>#REF!</v>
      </c>
      <c r="O179" s="1098">
        <f t="shared" si="124"/>
        <v>0</v>
      </c>
      <c r="P179" s="1096" t="e">
        <f t="shared" si="130"/>
        <v>#REF!</v>
      </c>
      <c r="Q179" s="1098">
        <f t="shared" si="123"/>
        <v>0</v>
      </c>
      <c r="R179" s="1096" t="e">
        <f t="shared" si="131"/>
        <v>#REF!</v>
      </c>
      <c r="S179" s="1107"/>
      <c r="T179" s="1104"/>
    </row>
    <row r="180" spans="1:20" s="1108" customFormat="1" hidden="1">
      <c r="A180" s="1085"/>
      <c r="B180" s="1270" t="s">
        <v>4545</v>
      </c>
      <c r="C180" s="1085" t="e">
        <f>#REF!</f>
        <v>#REF!</v>
      </c>
      <c r="E180" s="1240"/>
      <c r="F180" s="1097" t="e">
        <f t="shared" si="125"/>
        <v>#REF!</v>
      </c>
      <c r="G180" s="1240"/>
      <c r="H180" s="1096" t="e">
        <f t="shared" si="126"/>
        <v>#REF!</v>
      </c>
      <c r="I180" s="1103"/>
      <c r="J180" s="1096" t="e">
        <f t="shared" si="127"/>
        <v>#REF!</v>
      </c>
      <c r="K180" s="1096"/>
      <c r="L180" s="1096" t="e">
        <f t="shared" si="128"/>
        <v>#REF!</v>
      </c>
      <c r="M180" s="1103"/>
      <c r="N180" s="1096" t="e">
        <f t="shared" si="129"/>
        <v>#REF!</v>
      </c>
      <c r="O180" s="1098">
        <f t="shared" si="124"/>
        <v>0</v>
      </c>
      <c r="P180" s="1096" t="e">
        <f t="shared" si="130"/>
        <v>#REF!</v>
      </c>
      <c r="Q180" s="1098">
        <f t="shared" si="123"/>
        <v>0</v>
      </c>
      <c r="R180" s="1096" t="e">
        <f t="shared" si="131"/>
        <v>#REF!</v>
      </c>
      <c r="S180" s="1107"/>
      <c r="T180" s="1104"/>
    </row>
    <row r="181" spans="1:20" s="1108" customFormat="1" hidden="1">
      <c r="A181" s="1085"/>
      <c r="B181" s="1270" t="s">
        <v>4546</v>
      </c>
      <c r="C181" s="1085" t="e">
        <f>#REF!</f>
        <v>#REF!</v>
      </c>
      <c r="E181" s="1240"/>
      <c r="F181" s="1097" t="e">
        <f t="shared" si="125"/>
        <v>#REF!</v>
      </c>
      <c r="G181" s="1240"/>
      <c r="H181" s="1096" t="e">
        <f t="shared" si="126"/>
        <v>#REF!</v>
      </c>
      <c r="I181" s="1103"/>
      <c r="J181" s="1096" t="e">
        <f t="shared" si="127"/>
        <v>#REF!</v>
      </c>
      <c r="K181" s="1096"/>
      <c r="L181" s="1096" t="e">
        <f t="shared" si="128"/>
        <v>#REF!</v>
      </c>
      <c r="M181" s="1103"/>
      <c r="N181" s="1096" t="e">
        <f t="shared" si="129"/>
        <v>#REF!</v>
      </c>
      <c r="O181" s="1098">
        <f t="shared" si="124"/>
        <v>0</v>
      </c>
      <c r="P181" s="1096" t="e">
        <f t="shared" si="130"/>
        <v>#REF!</v>
      </c>
      <c r="Q181" s="1098">
        <f t="shared" si="123"/>
        <v>0</v>
      </c>
      <c r="R181" s="1096" t="e">
        <f t="shared" si="131"/>
        <v>#REF!</v>
      </c>
      <c r="S181" s="1107"/>
      <c r="T181" s="1104"/>
    </row>
    <row r="182" spans="1:20" s="1108" customFormat="1" hidden="1">
      <c r="A182" s="1085"/>
      <c r="B182" s="1270" t="s">
        <v>4547</v>
      </c>
      <c r="C182" s="1085" t="e">
        <f>#REF!</f>
        <v>#REF!</v>
      </c>
      <c r="E182" s="1240"/>
      <c r="F182" s="1097" t="e">
        <f t="shared" si="125"/>
        <v>#REF!</v>
      </c>
      <c r="G182" s="1240"/>
      <c r="H182" s="1096" t="e">
        <f t="shared" si="126"/>
        <v>#REF!</v>
      </c>
      <c r="I182" s="1103"/>
      <c r="J182" s="1096" t="e">
        <f t="shared" si="127"/>
        <v>#REF!</v>
      </c>
      <c r="K182" s="1096"/>
      <c r="L182" s="1096" t="e">
        <f t="shared" si="128"/>
        <v>#REF!</v>
      </c>
      <c r="M182" s="1103"/>
      <c r="N182" s="1096" t="e">
        <f t="shared" si="129"/>
        <v>#REF!</v>
      </c>
      <c r="O182" s="1098">
        <f t="shared" si="124"/>
        <v>0</v>
      </c>
      <c r="P182" s="1096" t="e">
        <f t="shared" si="130"/>
        <v>#REF!</v>
      </c>
      <c r="Q182" s="1098">
        <f t="shared" si="123"/>
        <v>0</v>
      </c>
      <c r="R182" s="1096" t="e">
        <f t="shared" si="131"/>
        <v>#REF!</v>
      </c>
      <c r="S182" s="1107"/>
      <c r="T182" s="1104"/>
    </row>
    <row r="183" spans="1:20" s="1108" customFormat="1" hidden="1">
      <c r="A183" s="1085"/>
      <c r="B183" s="1270" t="s">
        <v>4548</v>
      </c>
      <c r="C183" s="1085" t="e">
        <f>#REF!</f>
        <v>#REF!</v>
      </c>
      <c r="E183" s="1240"/>
      <c r="F183" s="1097" t="e">
        <f t="shared" si="125"/>
        <v>#REF!</v>
      </c>
      <c r="G183" s="1240"/>
      <c r="H183" s="1096" t="e">
        <f t="shared" si="126"/>
        <v>#REF!</v>
      </c>
      <c r="I183" s="1103"/>
      <c r="J183" s="1096" t="e">
        <f t="shared" si="127"/>
        <v>#REF!</v>
      </c>
      <c r="K183" s="1096"/>
      <c r="L183" s="1096" t="e">
        <f t="shared" si="128"/>
        <v>#REF!</v>
      </c>
      <c r="M183" s="1103"/>
      <c r="N183" s="1096" t="e">
        <f t="shared" si="129"/>
        <v>#REF!</v>
      </c>
      <c r="O183" s="1098">
        <f t="shared" si="124"/>
        <v>0</v>
      </c>
      <c r="P183" s="1096" t="e">
        <f t="shared" si="130"/>
        <v>#REF!</v>
      </c>
      <c r="Q183" s="1098">
        <f t="shared" si="123"/>
        <v>0</v>
      </c>
      <c r="R183" s="1096" t="e">
        <f t="shared" si="131"/>
        <v>#REF!</v>
      </c>
      <c r="S183" s="1107"/>
      <c r="T183" s="1104"/>
    </row>
    <row r="184" spans="1:20" s="1108" customFormat="1" hidden="1">
      <c r="A184" s="1085"/>
      <c r="B184" s="1270" t="s">
        <v>4549</v>
      </c>
      <c r="C184" s="1085" t="e">
        <f>#REF!</f>
        <v>#REF!</v>
      </c>
      <c r="E184" s="1240"/>
      <c r="F184" s="1097" t="e">
        <f t="shared" si="125"/>
        <v>#REF!</v>
      </c>
      <c r="G184" s="1240"/>
      <c r="H184" s="1096" t="e">
        <f t="shared" si="126"/>
        <v>#REF!</v>
      </c>
      <c r="I184" s="1103"/>
      <c r="J184" s="1096" t="e">
        <f t="shared" si="127"/>
        <v>#REF!</v>
      </c>
      <c r="K184" s="1096"/>
      <c r="L184" s="1096" t="e">
        <f t="shared" si="128"/>
        <v>#REF!</v>
      </c>
      <c r="M184" s="1103"/>
      <c r="N184" s="1096" t="e">
        <f t="shared" si="129"/>
        <v>#REF!</v>
      </c>
      <c r="O184" s="1098">
        <f t="shared" si="124"/>
        <v>0</v>
      </c>
      <c r="P184" s="1096" t="e">
        <f t="shared" si="130"/>
        <v>#REF!</v>
      </c>
      <c r="Q184" s="1098">
        <f t="shared" si="123"/>
        <v>0</v>
      </c>
      <c r="R184" s="1096" t="e">
        <f t="shared" si="131"/>
        <v>#REF!</v>
      </c>
      <c r="S184" s="1107"/>
      <c r="T184" s="1104"/>
    </row>
    <row r="185" spans="1:20" s="1108" customFormat="1" hidden="1">
      <c r="A185" s="1085"/>
      <c r="B185" s="1322" t="s">
        <v>4550</v>
      </c>
      <c r="C185" s="1085" t="e">
        <f>#REF!</f>
        <v>#REF!</v>
      </c>
      <c r="E185" s="1240"/>
      <c r="F185" s="1097" t="e">
        <f t="shared" si="125"/>
        <v>#REF!</v>
      </c>
      <c r="G185" s="1240"/>
      <c r="H185" s="1096" t="e">
        <f t="shared" si="126"/>
        <v>#REF!</v>
      </c>
      <c r="I185" s="1103"/>
      <c r="J185" s="1096" t="e">
        <f t="shared" si="127"/>
        <v>#REF!</v>
      </c>
      <c r="K185" s="1096"/>
      <c r="L185" s="1096" t="e">
        <f t="shared" si="128"/>
        <v>#REF!</v>
      </c>
      <c r="M185" s="1103"/>
      <c r="N185" s="1096" t="e">
        <f t="shared" si="129"/>
        <v>#REF!</v>
      </c>
      <c r="O185" s="1098">
        <f t="shared" si="124"/>
        <v>0</v>
      </c>
      <c r="P185" s="1096" t="e">
        <f t="shared" si="130"/>
        <v>#REF!</v>
      </c>
      <c r="Q185" s="1098">
        <f t="shared" si="123"/>
        <v>0</v>
      </c>
      <c r="R185" s="1096" t="e">
        <f t="shared" si="131"/>
        <v>#REF!</v>
      </c>
      <c r="S185" s="1107"/>
      <c r="T185" s="1104"/>
    </row>
    <row r="186" spans="1:20" s="1108" customFormat="1" hidden="1">
      <c r="B186" s="1325" t="s">
        <v>4551</v>
      </c>
      <c r="C186" s="1108" t="e">
        <f>#REF!</f>
        <v>#REF!</v>
      </c>
      <c r="E186" s="1240"/>
      <c r="F186" s="1097" t="e">
        <f t="shared" si="125"/>
        <v>#REF!</v>
      </c>
      <c r="G186" s="1240"/>
      <c r="H186" s="1096" t="e">
        <f t="shared" si="126"/>
        <v>#REF!</v>
      </c>
      <c r="I186" s="1103"/>
      <c r="J186" s="1096" t="e">
        <f t="shared" si="127"/>
        <v>#REF!</v>
      </c>
      <c r="K186" s="1096"/>
      <c r="L186" s="1096" t="e">
        <f t="shared" si="128"/>
        <v>#REF!</v>
      </c>
      <c r="M186" s="1103"/>
      <c r="N186" s="1096" t="e">
        <f t="shared" si="129"/>
        <v>#REF!</v>
      </c>
      <c r="O186" s="1098">
        <f t="shared" si="124"/>
        <v>0</v>
      </c>
      <c r="P186" s="1096" t="e">
        <f t="shared" si="130"/>
        <v>#REF!</v>
      </c>
      <c r="Q186" s="1098">
        <f t="shared" si="123"/>
        <v>0</v>
      </c>
      <c r="R186" s="1096" t="e">
        <f t="shared" si="131"/>
        <v>#REF!</v>
      </c>
      <c r="S186" s="1107"/>
      <c r="T186" s="1104"/>
    </row>
    <row r="187" spans="1:20" s="1108" customFormat="1" hidden="1">
      <c r="B187" s="1325" t="s">
        <v>4552</v>
      </c>
      <c r="C187" s="1108" t="e">
        <f>#REF!</f>
        <v>#REF!</v>
      </c>
      <c r="E187" s="1240"/>
      <c r="F187" s="1097" t="e">
        <f t="shared" si="125"/>
        <v>#REF!</v>
      </c>
      <c r="G187" s="1240"/>
      <c r="H187" s="1096" t="e">
        <f t="shared" si="126"/>
        <v>#REF!</v>
      </c>
      <c r="I187" s="1103"/>
      <c r="J187" s="1096" t="e">
        <f t="shared" si="127"/>
        <v>#REF!</v>
      </c>
      <c r="K187" s="1096"/>
      <c r="L187" s="1096" t="e">
        <f t="shared" si="128"/>
        <v>#REF!</v>
      </c>
      <c r="M187" s="1103"/>
      <c r="N187" s="1096" t="e">
        <f t="shared" si="129"/>
        <v>#REF!</v>
      </c>
      <c r="O187" s="1098">
        <f t="shared" si="124"/>
        <v>0</v>
      </c>
      <c r="P187" s="1096" t="e">
        <f t="shared" si="130"/>
        <v>#REF!</v>
      </c>
      <c r="Q187" s="1098">
        <f t="shared" si="123"/>
        <v>0</v>
      </c>
      <c r="R187" s="1096" t="e">
        <f t="shared" si="131"/>
        <v>#REF!</v>
      </c>
      <c r="S187" s="1107"/>
      <c r="T187" s="1104"/>
    </row>
    <row r="188" spans="1:20" s="1108" customFormat="1" hidden="1">
      <c r="B188" s="1325" t="s">
        <v>4553</v>
      </c>
      <c r="C188" s="1108" t="e">
        <f>#REF!</f>
        <v>#REF!</v>
      </c>
      <c r="E188" s="1240"/>
      <c r="F188" s="1097" t="e">
        <f t="shared" si="125"/>
        <v>#REF!</v>
      </c>
      <c r="G188" s="1240"/>
      <c r="H188" s="1096" t="e">
        <f t="shared" si="126"/>
        <v>#REF!</v>
      </c>
      <c r="I188" s="1103"/>
      <c r="J188" s="1096" t="e">
        <f t="shared" si="127"/>
        <v>#REF!</v>
      </c>
      <c r="K188" s="1096"/>
      <c r="L188" s="1096" t="e">
        <f t="shared" si="128"/>
        <v>#REF!</v>
      </c>
      <c r="M188" s="1103"/>
      <c r="N188" s="1096" t="e">
        <f t="shared" si="129"/>
        <v>#REF!</v>
      </c>
      <c r="O188" s="1098">
        <f t="shared" si="124"/>
        <v>0</v>
      </c>
      <c r="P188" s="1096" t="e">
        <f t="shared" si="130"/>
        <v>#REF!</v>
      </c>
      <c r="Q188" s="1098">
        <f t="shared" si="123"/>
        <v>0</v>
      </c>
      <c r="R188" s="1096" t="e">
        <f t="shared" si="131"/>
        <v>#REF!</v>
      </c>
      <c r="S188" s="1107"/>
      <c r="T188" s="1104"/>
    </row>
    <row r="189" spans="1:20" s="1108" customFormat="1" hidden="1">
      <c r="B189" s="1325" t="s">
        <v>4554</v>
      </c>
      <c r="C189" s="1108" t="e">
        <f>#REF!</f>
        <v>#REF!</v>
      </c>
      <c r="E189" s="1240"/>
      <c r="F189" s="1097" t="e">
        <f t="shared" si="125"/>
        <v>#REF!</v>
      </c>
      <c r="G189" s="1240"/>
      <c r="H189" s="1096" t="e">
        <f t="shared" si="126"/>
        <v>#REF!</v>
      </c>
      <c r="I189" s="1103"/>
      <c r="J189" s="1096" t="e">
        <f t="shared" si="127"/>
        <v>#REF!</v>
      </c>
      <c r="K189" s="1096"/>
      <c r="L189" s="1096" t="e">
        <f t="shared" si="128"/>
        <v>#REF!</v>
      </c>
      <c r="M189" s="1103"/>
      <c r="N189" s="1096" t="e">
        <f t="shared" si="129"/>
        <v>#REF!</v>
      </c>
      <c r="O189" s="1098">
        <f t="shared" si="124"/>
        <v>0</v>
      </c>
      <c r="P189" s="1096" t="e">
        <f t="shared" si="130"/>
        <v>#REF!</v>
      </c>
      <c r="Q189" s="1098">
        <f t="shared" si="123"/>
        <v>0</v>
      </c>
      <c r="R189" s="1096" t="e">
        <f t="shared" si="131"/>
        <v>#REF!</v>
      </c>
      <c r="S189" s="1107"/>
      <c r="T189" s="1104"/>
    </row>
    <row r="190" spans="1:20" s="1108" customFormat="1" hidden="1">
      <c r="B190" s="1325" t="e">
        <f>#REF!</f>
        <v>#REF!</v>
      </c>
      <c r="C190" s="1108" t="e">
        <f>#REF!</f>
        <v>#REF!</v>
      </c>
      <c r="E190" s="1240"/>
      <c r="F190" s="1097" t="e">
        <f t="shared" si="125"/>
        <v>#REF!</v>
      </c>
      <c r="G190" s="1240"/>
      <c r="H190" s="1096" t="e">
        <f t="shared" si="126"/>
        <v>#REF!</v>
      </c>
      <c r="I190" s="1103"/>
      <c r="J190" s="1096" t="e">
        <f t="shared" si="127"/>
        <v>#REF!</v>
      </c>
      <c r="K190" s="1096"/>
      <c r="L190" s="1096" t="e">
        <f t="shared" si="128"/>
        <v>#REF!</v>
      </c>
      <c r="M190" s="1103"/>
      <c r="N190" s="1096" t="e">
        <f t="shared" si="129"/>
        <v>#REF!</v>
      </c>
      <c r="O190" s="1098">
        <f t="shared" si="124"/>
        <v>0</v>
      </c>
      <c r="P190" s="1096" t="e">
        <f t="shared" si="130"/>
        <v>#REF!</v>
      </c>
      <c r="Q190" s="1098">
        <f t="shared" si="123"/>
        <v>0</v>
      </c>
      <c r="R190" s="1096" t="e">
        <f t="shared" si="131"/>
        <v>#REF!</v>
      </c>
      <c r="S190" s="1107"/>
      <c r="T190" s="1104"/>
    </row>
    <row r="191" spans="1:20" s="1108" customFormat="1" hidden="1">
      <c r="B191" s="1325" t="e">
        <f>#REF!</f>
        <v>#REF!</v>
      </c>
      <c r="C191" s="1108" t="e">
        <f>#REF!</f>
        <v>#REF!</v>
      </c>
      <c r="E191" s="1240"/>
      <c r="F191" s="1097" t="e">
        <f t="shared" si="125"/>
        <v>#REF!</v>
      </c>
      <c r="G191" s="1240"/>
      <c r="H191" s="1096" t="e">
        <f t="shared" si="126"/>
        <v>#REF!</v>
      </c>
      <c r="I191" s="1103"/>
      <c r="J191" s="1096" t="e">
        <f t="shared" si="127"/>
        <v>#REF!</v>
      </c>
      <c r="K191" s="1096"/>
      <c r="L191" s="1096" t="e">
        <f t="shared" si="128"/>
        <v>#REF!</v>
      </c>
      <c r="M191" s="1103"/>
      <c r="N191" s="1096" t="e">
        <f t="shared" si="129"/>
        <v>#REF!</v>
      </c>
      <c r="O191" s="1098">
        <f t="shared" si="124"/>
        <v>0</v>
      </c>
      <c r="P191" s="1096" t="e">
        <f t="shared" si="130"/>
        <v>#REF!</v>
      </c>
      <c r="Q191" s="1098">
        <f t="shared" si="123"/>
        <v>0</v>
      </c>
      <c r="R191" s="1096" t="e">
        <f t="shared" si="131"/>
        <v>#REF!</v>
      </c>
      <c r="S191" s="1107"/>
      <c r="T191" s="1104"/>
    </row>
    <row r="192" spans="1:20" s="1108" customFormat="1" hidden="1">
      <c r="B192" s="1325"/>
      <c r="E192" s="1240"/>
      <c r="F192" s="1097">
        <f t="shared" si="125"/>
        <v>0</v>
      </c>
      <c r="G192" s="1240"/>
      <c r="H192" s="1096">
        <f t="shared" si="126"/>
        <v>0</v>
      </c>
      <c r="I192" s="1103"/>
      <c r="J192" s="1096">
        <f t="shared" si="127"/>
        <v>0</v>
      </c>
      <c r="K192" s="1096"/>
      <c r="L192" s="1096">
        <f t="shared" si="128"/>
        <v>0</v>
      </c>
      <c r="M192" s="1103"/>
      <c r="N192" s="1096">
        <f t="shared" si="129"/>
        <v>0</v>
      </c>
      <c r="O192" s="1098">
        <f t="shared" si="124"/>
        <v>0</v>
      </c>
      <c r="P192" s="1096">
        <f t="shared" si="130"/>
        <v>0</v>
      </c>
      <c r="Q192" s="1098">
        <f t="shared" si="123"/>
        <v>0</v>
      </c>
      <c r="R192" s="1096">
        <f t="shared" si="131"/>
        <v>0</v>
      </c>
      <c r="S192" s="1107"/>
      <c r="T192" s="1104"/>
    </row>
    <row r="193" spans="2:20" s="1108" customFormat="1" hidden="1">
      <c r="B193" s="1325"/>
      <c r="E193" s="1240"/>
      <c r="F193" s="1097">
        <f t="shared" si="125"/>
        <v>0</v>
      </c>
      <c r="G193" s="1240"/>
      <c r="H193" s="1096">
        <f t="shared" si="126"/>
        <v>0</v>
      </c>
      <c r="I193" s="1103"/>
      <c r="J193" s="1096">
        <f t="shared" si="127"/>
        <v>0</v>
      </c>
      <c r="K193" s="1096"/>
      <c r="L193" s="1096">
        <f t="shared" si="128"/>
        <v>0</v>
      </c>
      <c r="M193" s="1103"/>
      <c r="N193" s="1096">
        <f t="shared" si="129"/>
        <v>0</v>
      </c>
      <c r="O193" s="1098">
        <f t="shared" si="124"/>
        <v>0</v>
      </c>
      <c r="P193" s="1096">
        <f t="shared" si="130"/>
        <v>0</v>
      </c>
      <c r="Q193" s="1098">
        <f t="shared" si="123"/>
        <v>0</v>
      </c>
      <c r="R193" s="1096">
        <f t="shared" si="131"/>
        <v>0</v>
      </c>
      <c r="S193" s="1107"/>
      <c r="T193" s="1104"/>
    </row>
    <row r="194" spans="2:20" s="1108" customFormat="1" hidden="1">
      <c r="B194" s="1325"/>
      <c r="E194" s="1240"/>
      <c r="F194" s="1097">
        <f t="shared" si="125"/>
        <v>0</v>
      </c>
      <c r="G194" s="1240"/>
      <c r="H194" s="1096">
        <f t="shared" si="126"/>
        <v>0</v>
      </c>
      <c r="I194" s="1103"/>
      <c r="J194" s="1096">
        <f t="shared" si="127"/>
        <v>0</v>
      </c>
      <c r="K194" s="1096"/>
      <c r="L194" s="1096">
        <f t="shared" si="128"/>
        <v>0</v>
      </c>
      <c r="M194" s="1103"/>
      <c r="N194" s="1096">
        <f t="shared" si="129"/>
        <v>0</v>
      </c>
      <c r="O194" s="1098">
        <f t="shared" si="124"/>
        <v>0</v>
      </c>
      <c r="P194" s="1096">
        <f t="shared" si="130"/>
        <v>0</v>
      </c>
      <c r="Q194" s="1098">
        <f t="shared" si="123"/>
        <v>0</v>
      </c>
      <c r="R194" s="1096">
        <f t="shared" si="131"/>
        <v>0</v>
      </c>
      <c r="S194" s="1107"/>
      <c r="T194" s="1104"/>
    </row>
    <row r="195" spans="2:20" s="1108" customFormat="1" hidden="1">
      <c r="B195" s="1325"/>
      <c r="E195" s="1240"/>
      <c r="F195" s="1097">
        <f t="shared" si="125"/>
        <v>0</v>
      </c>
      <c r="G195" s="1240"/>
      <c r="H195" s="1096">
        <f t="shared" si="126"/>
        <v>0</v>
      </c>
      <c r="I195" s="1103"/>
      <c r="J195" s="1096">
        <f t="shared" si="127"/>
        <v>0</v>
      </c>
      <c r="K195" s="1096"/>
      <c r="L195" s="1096">
        <f t="shared" si="128"/>
        <v>0</v>
      </c>
      <c r="M195" s="1103"/>
      <c r="N195" s="1096">
        <f t="shared" si="129"/>
        <v>0</v>
      </c>
      <c r="O195" s="1098">
        <f t="shared" si="124"/>
        <v>0</v>
      </c>
      <c r="P195" s="1096">
        <f t="shared" si="130"/>
        <v>0</v>
      </c>
      <c r="Q195" s="1098">
        <f t="shared" si="123"/>
        <v>0</v>
      </c>
      <c r="R195" s="1096">
        <f t="shared" si="131"/>
        <v>0</v>
      </c>
      <c r="S195" s="1107"/>
      <c r="T195" s="1104"/>
    </row>
    <row r="196" spans="2:20" s="1108" customFormat="1" hidden="1">
      <c r="B196" s="1325"/>
      <c r="E196" s="1240"/>
      <c r="F196" s="1097">
        <f t="shared" si="125"/>
        <v>0</v>
      </c>
      <c r="G196" s="1240"/>
      <c r="H196" s="1096">
        <f t="shared" si="126"/>
        <v>0</v>
      </c>
      <c r="I196" s="1103"/>
      <c r="J196" s="1096">
        <f t="shared" si="127"/>
        <v>0</v>
      </c>
      <c r="K196" s="1096"/>
      <c r="L196" s="1096">
        <f t="shared" si="128"/>
        <v>0</v>
      </c>
      <c r="M196" s="1103"/>
      <c r="N196" s="1096">
        <f t="shared" si="129"/>
        <v>0</v>
      </c>
      <c r="O196" s="1098">
        <f t="shared" si="124"/>
        <v>0</v>
      </c>
      <c r="P196" s="1096">
        <f t="shared" si="130"/>
        <v>0</v>
      </c>
      <c r="Q196" s="1098">
        <f t="shared" si="123"/>
        <v>0</v>
      </c>
      <c r="R196" s="1096">
        <f t="shared" si="131"/>
        <v>0</v>
      </c>
      <c r="S196" s="1107"/>
      <c r="T196" s="1104"/>
    </row>
    <row r="197" spans="2:20" s="1108" customFormat="1" hidden="1">
      <c r="B197" s="1325"/>
      <c r="E197" s="1240"/>
      <c r="F197" s="1097">
        <f t="shared" si="125"/>
        <v>0</v>
      </c>
      <c r="G197" s="1240"/>
      <c r="H197" s="1096">
        <f t="shared" si="126"/>
        <v>0</v>
      </c>
      <c r="I197" s="1103"/>
      <c r="J197" s="1096">
        <f t="shared" si="127"/>
        <v>0</v>
      </c>
      <c r="K197" s="1096"/>
      <c r="L197" s="1096">
        <f t="shared" si="128"/>
        <v>0</v>
      </c>
      <c r="M197" s="1103"/>
      <c r="N197" s="1096">
        <f t="shared" si="129"/>
        <v>0</v>
      </c>
      <c r="O197" s="1098">
        <f t="shared" si="124"/>
        <v>0</v>
      </c>
      <c r="P197" s="1096">
        <f t="shared" si="130"/>
        <v>0</v>
      </c>
      <c r="Q197" s="1098">
        <f t="shared" si="123"/>
        <v>0</v>
      </c>
      <c r="R197" s="1096">
        <f t="shared" si="131"/>
        <v>0</v>
      </c>
      <c r="S197" s="1107"/>
      <c r="T197" s="1104"/>
    </row>
    <row r="198" spans="2:20" s="1108" customFormat="1" hidden="1">
      <c r="B198" s="1325"/>
      <c r="E198" s="1240"/>
      <c r="F198" s="1097">
        <f t="shared" si="125"/>
        <v>0</v>
      </c>
      <c r="G198" s="1240"/>
      <c r="H198" s="1096">
        <f t="shared" si="126"/>
        <v>0</v>
      </c>
      <c r="I198" s="1103"/>
      <c r="J198" s="1096">
        <f t="shared" si="127"/>
        <v>0</v>
      </c>
      <c r="K198" s="1096"/>
      <c r="L198" s="1096">
        <f t="shared" si="128"/>
        <v>0</v>
      </c>
      <c r="M198" s="1103"/>
      <c r="N198" s="1096">
        <f t="shared" si="129"/>
        <v>0</v>
      </c>
      <c r="O198" s="1098">
        <f t="shared" si="124"/>
        <v>0</v>
      </c>
      <c r="P198" s="1096">
        <f t="shared" si="130"/>
        <v>0</v>
      </c>
      <c r="Q198" s="1098">
        <f t="shared" si="123"/>
        <v>0</v>
      </c>
      <c r="R198" s="1096">
        <f t="shared" si="131"/>
        <v>0</v>
      </c>
      <c r="S198" s="1107"/>
      <c r="T198" s="1104"/>
    </row>
    <row r="199" spans="2:20" s="1108" customFormat="1" hidden="1">
      <c r="B199" s="1325"/>
      <c r="E199" s="1240"/>
      <c r="F199" s="1097">
        <f t="shared" si="125"/>
        <v>0</v>
      </c>
      <c r="G199" s="1240"/>
      <c r="H199" s="1096">
        <f t="shared" si="126"/>
        <v>0</v>
      </c>
      <c r="I199" s="1103"/>
      <c r="J199" s="1096">
        <f t="shared" si="127"/>
        <v>0</v>
      </c>
      <c r="K199" s="1096"/>
      <c r="L199" s="1096">
        <f t="shared" si="128"/>
        <v>0</v>
      </c>
      <c r="M199" s="1103"/>
      <c r="N199" s="1096">
        <f t="shared" si="129"/>
        <v>0</v>
      </c>
      <c r="O199" s="1098">
        <f t="shared" si="124"/>
        <v>0</v>
      </c>
      <c r="P199" s="1096">
        <f t="shared" si="130"/>
        <v>0</v>
      </c>
      <c r="Q199" s="1098">
        <f t="shared" si="123"/>
        <v>0</v>
      </c>
      <c r="R199" s="1096">
        <f t="shared" si="131"/>
        <v>0</v>
      </c>
      <c r="S199" s="1107"/>
      <c r="T199" s="1104"/>
    </row>
    <row r="200" spans="2:20">
      <c r="B200" s="1326"/>
      <c r="E200" s="1250"/>
      <c r="F200" s="1097">
        <f t="shared" si="125"/>
        <v>0</v>
      </c>
      <c r="G200" s="1250"/>
      <c r="H200" s="1096">
        <f t="shared" si="126"/>
        <v>0</v>
      </c>
      <c r="I200" s="1096"/>
      <c r="J200" s="1096">
        <f t="shared" si="127"/>
        <v>0</v>
      </c>
      <c r="K200" s="1096"/>
      <c r="L200" s="1096">
        <f t="shared" si="128"/>
        <v>0</v>
      </c>
      <c r="M200" s="1096"/>
      <c r="N200" s="1096">
        <f t="shared" si="129"/>
        <v>0</v>
      </c>
      <c r="O200" s="1098">
        <f t="shared" si="124"/>
        <v>0</v>
      </c>
      <c r="P200" s="1096">
        <f t="shared" si="130"/>
        <v>0</v>
      </c>
      <c r="Q200" s="1098">
        <f t="shared" si="123"/>
        <v>0</v>
      </c>
      <c r="R200" s="1096">
        <f t="shared" si="131"/>
        <v>0</v>
      </c>
      <c r="S200" s="1099"/>
      <c r="T200" s="1099"/>
    </row>
    <row r="201" spans="2:20">
      <c r="B201" s="1326"/>
      <c r="E201" s="1250"/>
      <c r="F201" s="1097">
        <f t="shared" si="125"/>
        <v>0</v>
      </c>
      <c r="G201" s="1250"/>
      <c r="H201" s="1096">
        <f t="shared" si="126"/>
        <v>0</v>
      </c>
      <c r="I201" s="1096"/>
      <c r="J201" s="1096">
        <f t="shared" si="127"/>
        <v>0</v>
      </c>
      <c r="K201" s="1096"/>
      <c r="L201" s="1096">
        <f t="shared" si="128"/>
        <v>0</v>
      </c>
      <c r="M201" s="1096"/>
      <c r="N201" s="1096">
        <f t="shared" si="129"/>
        <v>0</v>
      </c>
      <c r="O201" s="1098">
        <f t="shared" si="124"/>
        <v>0</v>
      </c>
      <c r="P201" s="1096"/>
      <c r="Q201" s="1098">
        <f t="shared" si="123"/>
        <v>0</v>
      </c>
      <c r="R201" s="1096">
        <f t="shared" si="131"/>
        <v>0</v>
      </c>
      <c r="S201" s="1099"/>
      <c r="T201" s="1099"/>
    </row>
    <row r="202" spans="2:20">
      <c r="B202" s="1326"/>
      <c r="E202" s="1250"/>
      <c r="F202" s="1097">
        <f t="shared" si="125"/>
        <v>0</v>
      </c>
      <c r="G202" s="1250"/>
      <c r="H202" s="1096">
        <f t="shared" si="126"/>
        <v>0</v>
      </c>
      <c r="I202" s="1096"/>
      <c r="J202" s="1096">
        <f t="shared" si="127"/>
        <v>0</v>
      </c>
      <c r="K202" s="1096"/>
      <c r="L202" s="1096">
        <f t="shared" si="128"/>
        <v>0</v>
      </c>
      <c r="M202" s="1096"/>
      <c r="N202" s="1096">
        <f t="shared" si="129"/>
        <v>0</v>
      </c>
      <c r="O202" s="1098">
        <f t="shared" si="124"/>
        <v>0</v>
      </c>
      <c r="P202" s="1096">
        <f>N91+L91+J91</f>
        <v>332180.93697387178</v>
      </c>
      <c r="Q202" s="1098">
        <f t="shared" si="123"/>
        <v>0</v>
      </c>
      <c r="R202" s="1096">
        <f>P91+H91+F91</f>
        <v>2903458.4217969533</v>
      </c>
      <c r="S202" s="1099"/>
      <c r="T202" s="1099"/>
    </row>
    <row r="203" spans="2:20">
      <c r="B203" s="1326"/>
      <c r="E203" s="1250"/>
      <c r="F203" s="1097">
        <f t="shared" si="125"/>
        <v>0</v>
      </c>
      <c r="G203" s="1250"/>
      <c r="H203" s="1096">
        <f t="shared" si="126"/>
        <v>0</v>
      </c>
      <c r="I203" s="1096"/>
      <c r="J203" s="1096">
        <f t="shared" si="127"/>
        <v>0</v>
      </c>
      <c r="K203" s="1096"/>
      <c r="L203" s="1096">
        <f t="shared" si="128"/>
        <v>0</v>
      </c>
      <c r="M203" s="1096"/>
      <c r="N203" s="1096">
        <f t="shared" si="129"/>
        <v>0</v>
      </c>
      <c r="O203" s="1098">
        <f t="shared" si="124"/>
        <v>0</v>
      </c>
      <c r="P203" s="1096">
        <f>P91-P202</f>
        <v>-1.0000000009313226E-2</v>
      </c>
      <c r="Q203" s="1098">
        <f t="shared" si="123"/>
        <v>0</v>
      </c>
      <c r="R203" s="1096">
        <f>R91-R202</f>
        <v>0</v>
      </c>
      <c r="S203" s="1099"/>
      <c r="T203" s="1099"/>
    </row>
    <row r="204" spans="2:20">
      <c r="B204" s="1326"/>
      <c r="E204" s="1250"/>
      <c r="F204" s="1097">
        <f t="shared" si="125"/>
        <v>0</v>
      </c>
      <c r="G204" s="1250"/>
      <c r="H204" s="1096">
        <f t="shared" si="126"/>
        <v>0</v>
      </c>
      <c r="I204" s="1096"/>
      <c r="J204" s="1096">
        <f t="shared" si="127"/>
        <v>0</v>
      </c>
      <c r="K204" s="1096"/>
      <c r="L204" s="1096">
        <f t="shared" si="128"/>
        <v>0</v>
      </c>
      <c r="M204" s="1096"/>
      <c r="N204" s="1096">
        <f t="shared" si="129"/>
        <v>0</v>
      </c>
      <c r="O204" s="1098">
        <f t="shared" si="124"/>
        <v>0</v>
      </c>
      <c r="P204" s="1096">
        <f t="shared" si="130"/>
        <v>0</v>
      </c>
      <c r="Q204" s="1098">
        <f t="shared" si="123"/>
        <v>0</v>
      </c>
      <c r="R204" s="1096">
        <f t="shared" si="131"/>
        <v>0</v>
      </c>
      <c r="S204" s="1099"/>
      <c r="T204" s="1099"/>
    </row>
    <row r="205" spans="2:20">
      <c r="B205" s="1326"/>
      <c r="E205" s="1250"/>
      <c r="F205" s="1097">
        <f t="shared" si="125"/>
        <v>0</v>
      </c>
      <c r="G205" s="1250"/>
      <c r="H205" s="1096">
        <f t="shared" si="126"/>
        <v>0</v>
      </c>
      <c r="I205" s="1096"/>
      <c r="J205" s="1096">
        <f t="shared" si="127"/>
        <v>0</v>
      </c>
      <c r="K205" s="1096"/>
      <c r="L205" s="1096">
        <f t="shared" si="128"/>
        <v>0</v>
      </c>
      <c r="M205" s="1096"/>
      <c r="N205" s="1096">
        <f t="shared" si="129"/>
        <v>0</v>
      </c>
      <c r="O205" s="1098">
        <f t="shared" si="124"/>
        <v>0</v>
      </c>
      <c r="P205" s="1096">
        <f t="shared" si="130"/>
        <v>0</v>
      </c>
      <c r="Q205" s="1098">
        <f t="shared" si="123"/>
        <v>0</v>
      </c>
      <c r="R205" s="1096">
        <f t="shared" si="131"/>
        <v>0</v>
      </c>
      <c r="S205" s="1099"/>
      <c r="T205" s="1099"/>
    </row>
    <row r="206" spans="2:20">
      <c r="B206" s="1326"/>
      <c r="E206" s="1250"/>
      <c r="F206" s="1097">
        <f t="shared" si="125"/>
        <v>0</v>
      </c>
      <c r="G206" s="1250"/>
      <c r="H206" s="1096">
        <f t="shared" si="126"/>
        <v>0</v>
      </c>
      <c r="I206" s="1096"/>
      <c r="J206" s="1096">
        <f t="shared" si="127"/>
        <v>0</v>
      </c>
      <c r="K206" s="1096"/>
      <c r="L206" s="1096">
        <f t="shared" si="128"/>
        <v>0</v>
      </c>
      <c r="M206" s="1096"/>
      <c r="N206" s="1096">
        <f t="shared" si="129"/>
        <v>0</v>
      </c>
      <c r="O206" s="1098">
        <f t="shared" si="124"/>
        <v>0</v>
      </c>
      <c r="P206" s="1096">
        <f t="shared" si="130"/>
        <v>0</v>
      </c>
      <c r="Q206" s="1098">
        <f t="shared" si="123"/>
        <v>0</v>
      </c>
      <c r="R206" s="1096">
        <f t="shared" si="131"/>
        <v>0</v>
      </c>
      <c r="S206" s="1099"/>
      <c r="T206" s="1099"/>
    </row>
    <row r="207" spans="2:20">
      <c r="B207" s="1326"/>
      <c r="E207" s="1250"/>
      <c r="F207" s="1097">
        <f t="shared" si="125"/>
        <v>0</v>
      </c>
      <c r="G207" s="1250"/>
      <c r="H207" s="1096">
        <f t="shared" si="126"/>
        <v>0</v>
      </c>
      <c r="I207" s="1096"/>
      <c r="J207" s="1096">
        <f t="shared" si="127"/>
        <v>0</v>
      </c>
      <c r="K207" s="1096"/>
      <c r="L207" s="1096">
        <f t="shared" si="128"/>
        <v>0</v>
      </c>
      <c r="M207" s="1096"/>
      <c r="N207" s="1096">
        <f t="shared" si="129"/>
        <v>0</v>
      </c>
      <c r="O207" s="1098">
        <f t="shared" si="124"/>
        <v>0</v>
      </c>
      <c r="P207" s="1096">
        <f t="shared" si="130"/>
        <v>0</v>
      </c>
      <c r="Q207" s="1098">
        <f t="shared" si="123"/>
        <v>0</v>
      </c>
      <c r="R207" s="1096">
        <f t="shared" si="131"/>
        <v>0</v>
      </c>
      <c r="S207" s="1099"/>
      <c r="T207" s="1099"/>
    </row>
    <row r="208" spans="2:20">
      <c r="B208" s="1326"/>
      <c r="E208" s="1250"/>
      <c r="F208" s="1097">
        <f t="shared" si="125"/>
        <v>0</v>
      </c>
      <c r="G208" s="1250"/>
      <c r="H208" s="1096">
        <f t="shared" si="126"/>
        <v>0</v>
      </c>
      <c r="I208" s="1096"/>
      <c r="J208" s="1096">
        <f t="shared" si="127"/>
        <v>0</v>
      </c>
      <c r="K208" s="1096"/>
      <c r="L208" s="1096">
        <f t="shared" si="128"/>
        <v>0</v>
      </c>
      <c r="M208" s="1096"/>
      <c r="N208" s="1096">
        <f t="shared" si="129"/>
        <v>0</v>
      </c>
      <c r="O208" s="1098">
        <f t="shared" si="124"/>
        <v>0</v>
      </c>
      <c r="P208" s="1096">
        <f t="shared" si="130"/>
        <v>0</v>
      </c>
      <c r="Q208" s="1098">
        <f t="shared" si="123"/>
        <v>0</v>
      </c>
      <c r="R208" s="1096">
        <f t="shared" si="131"/>
        <v>0</v>
      </c>
      <c r="S208" s="1099"/>
      <c r="T208" s="1099"/>
    </row>
    <row r="209" spans="2:20">
      <c r="B209" s="1326"/>
      <c r="E209" s="1250"/>
      <c r="F209" s="1097">
        <f t="shared" si="125"/>
        <v>0</v>
      </c>
      <c r="G209" s="1250"/>
      <c r="H209" s="1096">
        <f t="shared" si="126"/>
        <v>0</v>
      </c>
      <c r="I209" s="1096"/>
      <c r="J209" s="1096">
        <f t="shared" si="127"/>
        <v>0</v>
      </c>
      <c r="K209" s="1096"/>
      <c r="L209" s="1096">
        <f t="shared" si="128"/>
        <v>0</v>
      </c>
      <c r="M209" s="1096"/>
      <c r="N209" s="1096">
        <f t="shared" si="129"/>
        <v>0</v>
      </c>
      <c r="O209" s="1098">
        <f t="shared" si="124"/>
        <v>0</v>
      </c>
      <c r="P209" s="1096">
        <f t="shared" si="130"/>
        <v>0</v>
      </c>
      <c r="Q209" s="1098">
        <f t="shared" si="123"/>
        <v>0</v>
      </c>
      <c r="R209" s="1096">
        <f t="shared" si="131"/>
        <v>0</v>
      </c>
      <c r="S209" s="1099"/>
      <c r="T209" s="1099"/>
    </row>
    <row r="210" spans="2:20">
      <c r="B210" s="1326"/>
      <c r="E210" s="1250"/>
      <c r="F210" s="1097">
        <f t="shared" si="125"/>
        <v>0</v>
      </c>
      <c r="G210" s="1250"/>
      <c r="H210" s="1096">
        <f t="shared" si="126"/>
        <v>0</v>
      </c>
      <c r="I210" s="1096"/>
      <c r="J210" s="1096">
        <f t="shared" si="127"/>
        <v>0</v>
      </c>
      <c r="K210" s="1096"/>
      <c r="L210" s="1096">
        <f t="shared" si="128"/>
        <v>0</v>
      </c>
      <c r="M210" s="1096"/>
      <c r="N210" s="1096">
        <f t="shared" si="129"/>
        <v>0</v>
      </c>
      <c r="O210" s="1098">
        <f t="shared" si="124"/>
        <v>0</v>
      </c>
      <c r="P210" s="1096">
        <f t="shared" si="130"/>
        <v>0</v>
      </c>
      <c r="Q210" s="1098">
        <f t="shared" si="123"/>
        <v>0</v>
      </c>
      <c r="R210" s="1096">
        <f t="shared" si="131"/>
        <v>0</v>
      </c>
      <c r="S210" s="1099"/>
      <c r="T210" s="1099"/>
    </row>
    <row r="211" spans="2:20">
      <c r="B211" s="1326"/>
      <c r="E211" s="1250"/>
      <c r="F211" s="1097">
        <f t="shared" si="125"/>
        <v>0</v>
      </c>
      <c r="G211" s="1250"/>
      <c r="H211" s="1096">
        <f t="shared" si="126"/>
        <v>0</v>
      </c>
      <c r="I211" s="1096"/>
      <c r="J211" s="1096">
        <f t="shared" si="127"/>
        <v>0</v>
      </c>
      <c r="K211" s="1096"/>
      <c r="L211" s="1096">
        <f t="shared" si="128"/>
        <v>0</v>
      </c>
      <c r="M211" s="1096"/>
      <c r="N211" s="1096">
        <f t="shared" si="129"/>
        <v>0</v>
      </c>
      <c r="O211" s="1098">
        <f t="shared" si="124"/>
        <v>0</v>
      </c>
      <c r="P211" s="1096">
        <f t="shared" si="130"/>
        <v>0</v>
      </c>
      <c r="Q211" s="1098">
        <f t="shared" si="123"/>
        <v>0</v>
      </c>
      <c r="R211" s="1096">
        <f t="shared" si="131"/>
        <v>0</v>
      </c>
      <c r="S211" s="1099"/>
      <c r="T211" s="1099"/>
    </row>
    <row r="212" spans="2:20">
      <c r="B212" s="1326"/>
      <c r="E212" s="1250"/>
      <c r="F212" s="1097">
        <f t="shared" si="125"/>
        <v>0</v>
      </c>
      <c r="G212" s="1250"/>
      <c r="H212" s="1096">
        <f t="shared" si="126"/>
        <v>0</v>
      </c>
      <c r="I212" s="1096"/>
      <c r="J212" s="1096">
        <f t="shared" si="127"/>
        <v>0</v>
      </c>
      <c r="K212" s="1096"/>
      <c r="L212" s="1096">
        <f t="shared" si="128"/>
        <v>0</v>
      </c>
      <c r="M212" s="1096"/>
      <c r="N212" s="1096">
        <f t="shared" si="129"/>
        <v>0</v>
      </c>
      <c r="O212" s="1098">
        <f t="shared" si="124"/>
        <v>0</v>
      </c>
      <c r="P212" s="1096">
        <f t="shared" si="130"/>
        <v>0</v>
      </c>
      <c r="Q212" s="1098">
        <f t="shared" si="123"/>
        <v>0</v>
      </c>
      <c r="R212" s="1096">
        <f t="shared" si="131"/>
        <v>0</v>
      </c>
      <c r="S212" s="1250"/>
      <c r="T212" s="1099"/>
    </row>
    <row r="213" spans="2:20">
      <c r="B213" s="1326"/>
      <c r="E213" s="1250"/>
      <c r="F213" s="1097">
        <f t="shared" si="125"/>
        <v>0</v>
      </c>
      <c r="G213" s="1250"/>
      <c r="H213" s="1096"/>
      <c r="I213" s="1096"/>
      <c r="J213" s="1096">
        <f t="shared" si="127"/>
        <v>0</v>
      </c>
      <c r="K213" s="1096"/>
      <c r="L213" s="1096">
        <f t="shared" si="128"/>
        <v>0</v>
      </c>
      <c r="M213" s="1096"/>
      <c r="N213" s="1096">
        <f t="shared" si="129"/>
        <v>0</v>
      </c>
      <c r="O213" s="1098">
        <f t="shared" si="124"/>
        <v>0</v>
      </c>
      <c r="P213" s="1096">
        <f t="shared" si="130"/>
        <v>0</v>
      </c>
      <c r="Q213" s="1098">
        <f t="shared" si="123"/>
        <v>0</v>
      </c>
      <c r="R213" s="1096">
        <f t="shared" si="131"/>
        <v>0</v>
      </c>
      <c r="S213" s="1250"/>
      <c r="T213" s="1099"/>
    </row>
    <row r="214" spans="2:20">
      <c r="B214" s="1326"/>
      <c r="E214" s="1250"/>
      <c r="F214" s="1097">
        <f t="shared" si="125"/>
        <v>0</v>
      </c>
      <c r="G214" s="1250"/>
      <c r="H214" s="1096"/>
      <c r="I214" s="1096"/>
      <c r="J214" s="1096">
        <f t="shared" si="127"/>
        <v>0</v>
      </c>
      <c r="K214" s="1096"/>
      <c r="L214" s="1096">
        <f t="shared" si="128"/>
        <v>0</v>
      </c>
      <c r="M214" s="1096"/>
      <c r="N214" s="1096">
        <f t="shared" si="129"/>
        <v>0</v>
      </c>
      <c r="O214" s="1098">
        <f t="shared" si="124"/>
        <v>0</v>
      </c>
      <c r="P214" s="1096">
        <f t="shared" si="130"/>
        <v>0</v>
      </c>
      <c r="Q214" s="1098">
        <f t="shared" si="123"/>
        <v>0</v>
      </c>
      <c r="R214" s="1096">
        <f t="shared" si="131"/>
        <v>0</v>
      </c>
      <c r="S214" s="1250"/>
      <c r="T214" s="1099"/>
    </row>
    <row r="215" spans="2:20">
      <c r="B215" s="1326"/>
      <c r="E215" s="1250"/>
      <c r="F215" s="1097">
        <f t="shared" si="125"/>
        <v>0</v>
      </c>
      <c r="G215" s="1250"/>
      <c r="H215" s="1096"/>
      <c r="I215" s="1096"/>
      <c r="J215" s="1096">
        <f t="shared" si="127"/>
        <v>0</v>
      </c>
      <c r="K215" s="1096"/>
      <c r="L215" s="1096">
        <f t="shared" si="128"/>
        <v>0</v>
      </c>
      <c r="M215" s="1096"/>
      <c r="N215" s="1096">
        <f t="shared" si="129"/>
        <v>0</v>
      </c>
      <c r="O215" s="1098"/>
      <c r="P215" s="1096"/>
      <c r="Q215" s="1098"/>
      <c r="R215" s="1096"/>
      <c r="S215" s="1250"/>
      <c r="T215" s="1099"/>
    </row>
    <row r="216" spans="2:20">
      <c r="B216" s="1326"/>
      <c r="E216" s="1250"/>
      <c r="F216" s="1097">
        <f t="shared" si="125"/>
        <v>0</v>
      </c>
      <c r="G216" s="1250"/>
      <c r="H216" s="1096"/>
      <c r="I216" s="1096"/>
      <c r="J216" s="1096">
        <f t="shared" si="127"/>
        <v>0</v>
      </c>
      <c r="K216" s="1096"/>
      <c r="L216" s="1096">
        <f t="shared" si="128"/>
        <v>0</v>
      </c>
      <c r="M216" s="1096"/>
      <c r="N216" s="1096">
        <f t="shared" si="129"/>
        <v>0</v>
      </c>
      <c r="O216" s="1098"/>
      <c r="P216" s="1096"/>
      <c r="Q216" s="1098"/>
      <c r="R216" s="1096"/>
      <c r="S216" s="1250"/>
      <c r="T216" s="1099"/>
    </row>
    <row r="217" spans="2:20">
      <c r="E217" s="1250"/>
      <c r="F217" s="1097">
        <f t="shared" si="125"/>
        <v>0</v>
      </c>
      <c r="G217" s="1250"/>
      <c r="H217" s="1096"/>
      <c r="I217" s="1096"/>
      <c r="J217" s="1096">
        <f t="shared" si="127"/>
        <v>0</v>
      </c>
      <c r="K217" s="1096"/>
      <c r="L217" s="1096"/>
      <c r="M217" s="1096"/>
      <c r="N217" s="1096">
        <f t="shared" si="129"/>
        <v>0</v>
      </c>
      <c r="O217" s="1098"/>
      <c r="P217" s="1096"/>
      <c r="Q217" s="1096"/>
      <c r="R217" s="1096"/>
      <c r="S217" s="1250"/>
      <c r="T217" s="1099"/>
    </row>
    <row r="218" spans="2:20">
      <c r="E218" s="1250"/>
      <c r="F218" s="1097">
        <f t="shared" si="125"/>
        <v>0</v>
      </c>
      <c r="G218" s="1250"/>
      <c r="H218" s="1096"/>
      <c r="I218" s="1096"/>
      <c r="J218" s="1096">
        <f t="shared" si="127"/>
        <v>0</v>
      </c>
      <c r="K218" s="1096"/>
      <c r="L218" s="1096"/>
      <c r="M218" s="1096"/>
      <c r="N218" s="1096">
        <f t="shared" si="129"/>
        <v>0</v>
      </c>
      <c r="O218" s="1098"/>
      <c r="P218" s="1096"/>
      <c r="Q218" s="1096"/>
      <c r="R218" s="1096"/>
      <c r="S218" s="1250"/>
      <c r="T218" s="1099"/>
    </row>
    <row r="219" spans="2:20">
      <c r="E219" s="1250"/>
      <c r="F219" s="1097">
        <f t="shared" si="125"/>
        <v>0</v>
      </c>
      <c r="G219" s="1250"/>
      <c r="H219" s="1096"/>
      <c r="I219" s="1096"/>
      <c r="J219" s="1096">
        <f t="shared" si="127"/>
        <v>0</v>
      </c>
      <c r="K219" s="1096"/>
      <c r="L219" s="1096"/>
      <c r="M219" s="1096"/>
      <c r="N219" s="1096">
        <f t="shared" si="129"/>
        <v>0</v>
      </c>
      <c r="O219" s="1098"/>
      <c r="P219" s="1096"/>
      <c r="Q219" s="1096"/>
      <c r="R219" s="1096"/>
      <c r="S219" s="1250"/>
      <c r="T219" s="1099"/>
    </row>
    <row r="220" spans="2:20">
      <c r="E220" s="1250"/>
      <c r="F220" s="1097">
        <f t="shared" ref="F220" si="132">E220*C220</f>
        <v>0</v>
      </c>
      <c r="G220" s="1250"/>
      <c r="H220" s="1096"/>
      <c r="I220" s="1096"/>
      <c r="J220" s="1096">
        <f t="shared" ref="J220" si="133">I220*C220</f>
        <v>0</v>
      </c>
      <c r="K220" s="1096"/>
      <c r="L220" s="1096"/>
      <c r="M220" s="1096"/>
      <c r="N220" s="1096">
        <f t="shared" ref="N220:N222" si="134">M220*C220</f>
        <v>0</v>
      </c>
      <c r="O220" s="1098"/>
      <c r="P220" s="1096"/>
      <c r="Q220" s="1096"/>
      <c r="R220" s="1096"/>
      <c r="S220" s="1250"/>
      <c r="T220" s="1099"/>
    </row>
    <row r="221" spans="2:20">
      <c r="F221" s="1097"/>
      <c r="H221" s="1096"/>
      <c r="I221" s="1096"/>
      <c r="J221" s="1092"/>
      <c r="K221" s="1092"/>
      <c r="L221" s="1092"/>
      <c r="M221" s="1092"/>
      <c r="N221" s="1096">
        <f t="shared" si="134"/>
        <v>0</v>
      </c>
      <c r="O221" s="1094"/>
      <c r="P221" s="1092"/>
      <c r="Q221" s="1096"/>
      <c r="R221" s="1096"/>
      <c r="S221" s="1084"/>
    </row>
    <row r="222" spans="2:20">
      <c r="F222" s="1097"/>
      <c r="H222" s="1096"/>
      <c r="I222" s="1096"/>
      <c r="J222" s="1092"/>
      <c r="K222" s="1092"/>
      <c r="L222" s="1092"/>
      <c r="M222" s="1092"/>
      <c r="N222" s="1096">
        <f t="shared" si="134"/>
        <v>0</v>
      </c>
      <c r="O222" s="1094"/>
      <c r="P222" s="1092"/>
      <c r="Q222" s="1096"/>
      <c r="R222" s="1096"/>
      <c r="S222" s="1084"/>
    </row>
    <row r="223" spans="2:20">
      <c r="H223" s="1096"/>
      <c r="J223" s="1092"/>
      <c r="K223" s="1254"/>
      <c r="L223" s="1254"/>
      <c r="M223" s="1254"/>
      <c r="N223" s="1254"/>
      <c r="O223" s="1255"/>
      <c r="P223" s="1254"/>
      <c r="Q223" s="1084"/>
      <c r="R223" s="1084"/>
      <c r="S223" s="1084"/>
    </row>
    <row r="224" spans="2:20">
      <c r="H224" s="1096"/>
      <c r="J224" s="1092"/>
      <c r="K224" s="1254"/>
      <c r="L224" s="1254"/>
      <c r="M224" s="1254"/>
      <c r="N224" s="1254"/>
      <c r="O224" s="1255"/>
      <c r="P224" s="1254"/>
      <c r="Q224" s="1084"/>
      <c r="R224" s="1084"/>
      <c r="S224" s="1084"/>
      <c r="T224" s="1084"/>
    </row>
    <row r="225" spans="17:20">
      <c r="Q225" s="1084"/>
      <c r="R225" s="1084"/>
      <c r="S225" s="1084"/>
      <c r="T225" s="1084"/>
    </row>
    <row r="226" spans="17:20">
      <c r="Q226" s="1084"/>
      <c r="R226" s="1084"/>
      <c r="S226" s="1084"/>
      <c r="T226" s="1084"/>
    </row>
    <row r="227" spans="17:20">
      <c r="Q227" s="1084"/>
      <c r="R227" s="1084"/>
      <c r="S227" s="1084"/>
      <c r="T227" s="1084"/>
    </row>
    <row r="228" spans="17:20">
      <c r="Q228" s="1084"/>
      <c r="R228" s="1084"/>
      <c r="S228" s="1084"/>
      <c r="T228" s="1084"/>
    </row>
    <row r="229" spans="17:20">
      <c r="Q229" s="1084"/>
      <c r="R229" s="1084"/>
      <c r="S229" s="1084"/>
      <c r="T229" s="1084"/>
    </row>
    <row r="230" spans="17:20">
      <c r="Q230" s="1084"/>
      <c r="R230" s="1084"/>
      <c r="S230" s="1084"/>
      <c r="T230" s="1084"/>
    </row>
  </sheetData>
  <autoFilter ref="A5:AB199">
    <filterColumn colId="17">
      <customFilters>
        <customFilter operator="notEqual" val=" "/>
      </customFilters>
    </filterColumn>
  </autoFilter>
  <mergeCells count="13">
    <mergeCell ref="M3:N3"/>
    <mergeCell ref="O3:P3"/>
    <mergeCell ref="Q3:R3"/>
    <mergeCell ref="A1:R1"/>
    <mergeCell ref="A2:R2"/>
    <mergeCell ref="A3:A4"/>
    <mergeCell ref="B3:B4"/>
    <mergeCell ref="C3:C4"/>
    <mergeCell ref="D3:D4"/>
    <mergeCell ref="E3:F3"/>
    <mergeCell ref="G3:H3"/>
    <mergeCell ref="I3:J3"/>
    <mergeCell ref="K3:L3"/>
  </mergeCells>
  <printOptions horizontalCentered="1"/>
  <pageMargins left="0.23622047244094491" right="0.19685039370078741" top="0.6692913385826772" bottom="0.55118110236220474" header="0.27559055118110237" footer="0.27559055118110237"/>
  <pageSetup paperSize="8" scale="35" orientation="landscape" r:id="rId1"/>
  <headerFooter alignWithMargins="0">
    <oddHeader>&amp;R&amp;P</oddHeader>
  </headerFooter>
  <drawing r:id="rId2"/>
</worksheet>
</file>

<file path=xl/worksheets/sheet16.xml><?xml version="1.0" encoding="utf-8"?>
<worksheet xmlns="http://schemas.openxmlformats.org/spreadsheetml/2006/main" xmlns:r="http://schemas.openxmlformats.org/officeDocument/2006/relationships">
  <sheetPr filterMode="1">
    <tabColor rgb="FF00B050"/>
  </sheetPr>
  <dimension ref="A1:AB238"/>
  <sheetViews>
    <sheetView showZeros="0" view="pageBreakPreview" zoomScale="55" zoomScaleNormal="40" zoomScaleSheetLayoutView="55" workbookViewId="0">
      <pane xSplit="4" ySplit="5" topLeftCell="AM239" activePane="bottomRight" state="frozen"/>
      <selection activeCell="L6" sqref="L6"/>
      <selection pane="topRight" activeCell="L6" sqref="L6"/>
      <selection pane="bottomLeft" activeCell="L6" sqref="L6"/>
      <selection pane="bottomRight" sqref="A1:R1"/>
    </sheetView>
  </sheetViews>
  <sheetFormatPr defaultColWidth="10.85546875" defaultRowHeight="25.5"/>
  <cols>
    <col min="1" max="1" width="12.28515625" style="1084" customWidth="1"/>
    <col min="2" max="2" width="78.7109375" style="1084" customWidth="1"/>
    <col min="3" max="3" width="20.28515625" style="1084" customWidth="1"/>
    <col min="4" max="4" width="13.42578125" style="1084" customWidth="1"/>
    <col min="5" max="5" width="17.140625" style="1084" customWidth="1"/>
    <col min="6" max="6" width="22" style="1084" customWidth="1"/>
    <col min="7" max="7" width="17.85546875" style="1084" customWidth="1"/>
    <col min="8" max="8" width="21.28515625" style="1084" customWidth="1"/>
    <col min="9" max="9" width="16.5703125" style="1179" customWidth="1"/>
    <col min="10" max="10" width="20.28515625" style="1084" customWidth="1"/>
    <col min="11" max="11" width="17.28515625" style="1084" customWidth="1"/>
    <col min="12" max="12" width="19.42578125" style="1084" customWidth="1"/>
    <col min="13" max="13" width="18.5703125" style="1084" customWidth="1"/>
    <col min="14" max="14" width="19.7109375" style="1084" customWidth="1"/>
    <col min="15" max="15" width="16" style="1256" hidden="1" customWidth="1"/>
    <col min="16" max="16" width="20.5703125" style="1084" hidden="1" customWidth="1"/>
    <col min="17" max="17" width="16.85546875" style="1083" customWidth="1"/>
    <col min="18" max="18" width="23.7109375" style="1083" customWidth="1"/>
    <col min="19" max="19" width="27.140625" style="1083" bestFit="1" customWidth="1"/>
    <col min="20" max="20" width="25.7109375" style="1083" bestFit="1" customWidth="1"/>
    <col min="21" max="21" width="19.42578125" style="1084" bestFit="1" customWidth="1"/>
    <col min="22" max="22" width="10.85546875" style="1084"/>
    <col min="23" max="23" width="16.42578125" style="1084" bestFit="1" customWidth="1"/>
    <col min="24" max="24" width="10.85546875" style="1084"/>
    <col min="25" max="25" width="14.42578125" style="1084" bestFit="1" customWidth="1"/>
    <col min="26" max="27" width="10.85546875" style="1084"/>
    <col min="28" max="28" width="14.28515625" style="1084" bestFit="1" customWidth="1"/>
    <col min="29" max="256" width="10.85546875" style="1084"/>
    <col min="257" max="257" width="12.28515625" style="1084" customWidth="1"/>
    <col min="258" max="258" width="78.7109375" style="1084" customWidth="1"/>
    <col min="259" max="259" width="20.28515625" style="1084" customWidth="1"/>
    <col min="260" max="260" width="13.42578125" style="1084" customWidth="1"/>
    <col min="261" max="261" width="17.140625" style="1084" customWidth="1"/>
    <col min="262" max="262" width="22" style="1084" customWidth="1"/>
    <col min="263" max="263" width="17.85546875" style="1084" customWidth="1"/>
    <col min="264" max="264" width="21.28515625" style="1084" customWidth="1"/>
    <col min="265" max="265" width="16.5703125" style="1084" customWidth="1"/>
    <col min="266" max="266" width="20.28515625" style="1084" customWidth="1"/>
    <col min="267" max="267" width="17.28515625" style="1084" customWidth="1"/>
    <col min="268" max="268" width="19.42578125" style="1084" customWidth="1"/>
    <col min="269" max="269" width="18.5703125" style="1084" customWidth="1"/>
    <col min="270" max="270" width="19.7109375" style="1084" customWidth="1"/>
    <col min="271" max="271" width="16" style="1084" customWidth="1"/>
    <col min="272" max="272" width="20.5703125" style="1084" customWidth="1"/>
    <col min="273" max="273" width="16.85546875" style="1084" customWidth="1"/>
    <col min="274" max="274" width="23.7109375" style="1084" customWidth="1"/>
    <col min="275" max="275" width="27.140625" style="1084" bestFit="1" customWidth="1"/>
    <col min="276" max="276" width="25.7109375" style="1084" bestFit="1" customWidth="1"/>
    <col min="277" max="277" width="19.42578125" style="1084" bestFit="1" customWidth="1"/>
    <col min="278" max="278" width="10.85546875" style="1084"/>
    <col min="279" max="279" width="16.42578125" style="1084" bestFit="1" customWidth="1"/>
    <col min="280" max="280" width="10.85546875" style="1084"/>
    <col min="281" max="281" width="14.42578125" style="1084" bestFit="1" customWidth="1"/>
    <col min="282" max="283" width="10.85546875" style="1084"/>
    <col min="284" max="284" width="14.28515625" style="1084" bestFit="1" customWidth="1"/>
    <col min="285" max="512" width="10.85546875" style="1084"/>
    <col min="513" max="513" width="12.28515625" style="1084" customWidth="1"/>
    <col min="514" max="514" width="78.7109375" style="1084" customWidth="1"/>
    <col min="515" max="515" width="20.28515625" style="1084" customWidth="1"/>
    <col min="516" max="516" width="13.42578125" style="1084" customWidth="1"/>
    <col min="517" max="517" width="17.140625" style="1084" customWidth="1"/>
    <col min="518" max="518" width="22" style="1084" customWidth="1"/>
    <col min="519" max="519" width="17.85546875" style="1084" customWidth="1"/>
    <col min="520" max="520" width="21.28515625" style="1084" customWidth="1"/>
    <col min="521" max="521" width="16.5703125" style="1084" customWidth="1"/>
    <col min="522" max="522" width="20.28515625" style="1084" customWidth="1"/>
    <col min="523" max="523" width="17.28515625" style="1084" customWidth="1"/>
    <col min="524" max="524" width="19.42578125" style="1084" customWidth="1"/>
    <col min="525" max="525" width="18.5703125" style="1084" customWidth="1"/>
    <col min="526" max="526" width="19.7109375" style="1084" customWidth="1"/>
    <col min="527" max="527" width="16" style="1084" customWidth="1"/>
    <col min="528" max="528" width="20.5703125" style="1084" customWidth="1"/>
    <col min="529" max="529" width="16.85546875" style="1084" customWidth="1"/>
    <col min="530" max="530" width="23.7109375" style="1084" customWidth="1"/>
    <col min="531" max="531" width="27.140625" style="1084" bestFit="1" customWidth="1"/>
    <col min="532" max="532" width="25.7109375" style="1084" bestFit="1" customWidth="1"/>
    <col min="533" max="533" width="19.42578125" style="1084" bestFit="1" customWidth="1"/>
    <col min="534" max="534" width="10.85546875" style="1084"/>
    <col min="535" max="535" width="16.42578125" style="1084" bestFit="1" customWidth="1"/>
    <col min="536" max="536" width="10.85546875" style="1084"/>
    <col min="537" max="537" width="14.42578125" style="1084" bestFit="1" customWidth="1"/>
    <col min="538" max="539" width="10.85546875" style="1084"/>
    <col min="540" max="540" width="14.28515625" style="1084" bestFit="1" customWidth="1"/>
    <col min="541" max="768" width="10.85546875" style="1084"/>
    <col min="769" max="769" width="12.28515625" style="1084" customWidth="1"/>
    <col min="770" max="770" width="78.7109375" style="1084" customWidth="1"/>
    <col min="771" max="771" width="20.28515625" style="1084" customWidth="1"/>
    <col min="772" max="772" width="13.42578125" style="1084" customWidth="1"/>
    <col min="773" max="773" width="17.140625" style="1084" customWidth="1"/>
    <col min="774" max="774" width="22" style="1084" customWidth="1"/>
    <col min="775" max="775" width="17.85546875" style="1084" customWidth="1"/>
    <col min="776" max="776" width="21.28515625" style="1084" customWidth="1"/>
    <col min="777" max="777" width="16.5703125" style="1084" customWidth="1"/>
    <col min="778" max="778" width="20.28515625" style="1084" customWidth="1"/>
    <col min="779" max="779" width="17.28515625" style="1084" customWidth="1"/>
    <col min="780" max="780" width="19.42578125" style="1084" customWidth="1"/>
    <col min="781" max="781" width="18.5703125" style="1084" customWidth="1"/>
    <col min="782" max="782" width="19.7109375" style="1084" customWidth="1"/>
    <col min="783" max="783" width="16" style="1084" customWidth="1"/>
    <col min="784" max="784" width="20.5703125" style="1084" customWidth="1"/>
    <col min="785" max="785" width="16.85546875" style="1084" customWidth="1"/>
    <col min="786" max="786" width="23.7109375" style="1084" customWidth="1"/>
    <col min="787" max="787" width="27.140625" style="1084" bestFit="1" customWidth="1"/>
    <col min="788" max="788" width="25.7109375" style="1084" bestFit="1" customWidth="1"/>
    <col min="789" max="789" width="19.42578125" style="1084" bestFit="1" customWidth="1"/>
    <col min="790" max="790" width="10.85546875" style="1084"/>
    <col min="791" max="791" width="16.42578125" style="1084" bestFit="1" customWidth="1"/>
    <col min="792" max="792" width="10.85546875" style="1084"/>
    <col min="793" max="793" width="14.42578125" style="1084" bestFit="1" customWidth="1"/>
    <col min="794" max="795" width="10.85546875" style="1084"/>
    <col min="796" max="796" width="14.28515625" style="1084" bestFit="1" customWidth="1"/>
    <col min="797" max="1024" width="10.85546875" style="1084"/>
    <col min="1025" max="1025" width="12.28515625" style="1084" customWidth="1"/>
    <col min="1026" max="1026" width="78.7109375" style="1084" customWidth="1"/>
    <col min="1027" max="1027" width="20.28515625" style="1084" customWidth="1"/>
    <col min="1028" max="1028" width="13.42578125" style="1084" customWidth="1"/>
    <col min="1029" max="1029" width="17.140625" style="1084" customWidth="1"/>
    <col min="1030" max="1030" width="22" style="1084" customWidth="1"/>
    <col min="1031" max="1031" width="17.85546875" style="1084" customWidth="1"/>
    <col min="1032" max="1032" width="21.28515625" style="1084" customWidth="1"/>
    <col min="1033" max="1033" width="16.5703125" style="1084" customWidth="1"/>
    <col min="1034" max="1034" width="20.28515625" style="1084" customWidth="1"/>
    <col min="1035" max="1035" width="17.28515625" style="1084" customWidth="1"/>
    <col min="1036" max="1036" width="19.42578125" style="1084" customWidth="1"/>
    <col min="1037" max="1037" width="18.5703125" style="1084" customWidth="1"/>
    <col min="1038" max="1038" width="19.7109375" style="1084" customWidth="1"/>
    <col min="1039" max="1039" width="16" style="1084" customWidth="1"/>
    <col min="1040" max="1040" width="20.5703125" style="1084" customWidth="1"/>
    <col min="1041" max="1041" width="16.85546875" style="1084" customWidth="1"/>
    <col min="1042" max="1042" width="23.7109375" style="1084" customWidth="1"/>
    <col min="1043" max="1043" width="27.140625" style="1084" bestFit="1" customWidth="1"/>
    <col min="1044" max="1044" width="25.7109375" style="1084" bestFit="1" customWidth="1"/>
    <col min="1045" max="1045" width="19.42578125" style="1084" bestFit="1" customWidth="1"/>
    <col min="1046" max="1046" width="10.85546875" style="1084"/>
    <col min="1047" max="1047" width="16.42578125" style="1084" bestFit="1" customWidth="1"/>
    <col min="1048" max="1048" width="10.85546875" style="1084"/>
    <col min="1049" max="1049" width="14.42578125" style="1084" bestFit="1" customWidth="1"/>
    <col min="1050" max="1051" width="10.85546875" style="1084"/>
    <col min="1052" max="1052" width="14.28515625" style="1084" bestFit="1" customWidth="1"/>
    <col min="1053" max="1280" width="10.85546875" style="1084"/>
    <col min="1281" max="1281" width="12.28515625" style="1084" customWidth="1"/>
    <col min="1282" max="1282" width="78.7109375" style="1084" customWidth="1"/>
    <col min="1283" max="1283" width="20.28515625" style="1084" customWidth="1"/>
    <col min="1284" max="1284" width="13.42578125" style="1084" customWidth="1"/>
    <col min="1285" max="1285" width="17.140625" style="1084" customWidth="1"/>
    <col min="1286" max="1286" width="22" style="1084" customWidth="1"/>
    <col min="1287" max="1287" width="17.85546875" style="1084" customWidth="1"/>
    <col min="1288" max="1288" width="21.28515625" style="1084" customWidth="1"/>
    <col min="1289" max="1289" width="16.5703125" style="1084" customWidth="1"/>
    <col min="1290" max="1290" width="20.28515625" style="1084" customWidth="1"/>
    <col min="1291" max="1291" width="17.28515625" style="1084" customWidth="1"/>
    <col min="1292" max="1292" width="19.42578125" style="1084" customWidth="1"/>
    <col min="1293" max="1293" width="18.5703125" style="1084" customWidth="1"/>
    <col min="1294" max="1294" width="19.7109375" style="1084" customWidth="1"/>
    <col min="1295" max="1295" width="16" style="1084" customWidth="1"/>
    <col min="1296" max="1296" width="20.5703125" style="1084" customWidth="1"/>
    <col min="1297" max="1297" width="16.85546875" style="1084" customWidth="1"/>
    <col min="1298" max="1298" width="23.7109375" style="1084" customWidth="1"/>
    <col min="1299" max="1299" width="27.140625" style="1084" bestFit="1" customWidth="1"/>
    <col min="1300" max="1300" width="25.7109375" style="1084" bestFit="1" customWidth="1"/>
    <col min="1301" max="1301" width="19.42578125" style="1084" bestFit="1" customWidth="1"/>
    <col min="1302" max="1302" width="10.85546875" style="1084"/>
    <col min="1303" max="1303" width="16.42578125" style="1084" bestFit="1" customWidth="1"/>
    <col min="1304" max="1304" width="10.85546875" style="1084"/>
    <col min="1305" max="1305" width="14.42578125" style="1084" bestFit="1" customWidth="1"/>
    <col min="1306" max="1307" width="10.85546875" style="1084"/>
    <col min="1308" max="1308" width="14.28515625" style="1084" bestFit="1" customWidth="1"/>
    <col min="1309" max="1536" width="10.85546875" style="1084"/>
    <col min="1537" max="1537" width="12.28515625" style="1084" customWidth="1"/>
    <col min="1538" max="1538" width="78.7109375" style="1084" customWidth="1"/>
    <col min="1539" max="1539" width="20.28515625" style="1084" customWidth="1"/>
    <col min="1540" max="1540" width="13.42578125" style="1084" customWidth="1"/>
    <col min="1541" max="1541" width="17.140625" style="1084" customWidth="1"/>
    <col min="1542" max="1542" width="22" style="1084" customWidth="1"/>
    <col min="1543" max="1543" width="17.85546875" style="1084" customWidth="1"/>
    <col min="1544" max="1544" width="21.28515625" style="1084" customWidth="1"/>
    <col min="1545" max="1545" width="16.5703125" style="1084" customWidth="1"/>
    <col min="1546" max="1546" width="20.28515625" style="1084" customWidth="1"/>
    <col min="1547" max="1547" width="17.28515625" style="1084" customWidth="1"/>
    <col min="1548" max="1548" width="19.42578125" style="1084" customWidth="1"/>
    <col min="1549" max="1549" width="18.5703125" style="1084" customWidth="1"/>
    <col min="1550" max="1550" width="19.7109375" style="1084" customWidth="1"/>
    <col min="1551" max="1551" width="16" style="1084" customWidth="1"/>
    <col min="1552" max="1552" width="20.5703125" style="1084" customWidth="1"/>
    <col min="1553" max="1553" width="16.85546875" style="1084" customWidth="1"/>
    <col min="1554" max="1554" width="23.7109375" style="1084" customWidth="1"/>
    <col min="1555" max="1555" width="27.140625" style="1084" bestFit="1" customWidth="1"/>
    <col min="1556" max="1556" width="25.7109375" style="1084" bestFit="1" customWidth="1"/>
    <col min="1557" max="1557" width="19.42578125" style="1084" bestFit="1" customWidth="1"/>
    <col min="1558" max="1558" width="10.85546875" style="1084"/>
    <col min="1559" max="1559" width="16.42578125" style="1084" bestFit="1" customWidth="1"/>
    <col min="1560" max="1560" width="10.85546875" style="1084"/>
    <col min="1561" max="1561" width="14.42578125" style="1084" bestFit="1" customWidth="1"/>
    <col min="1562" max="1563" width="10.85546875" style="1084"/>
    <col min="1564" max="1564" width="14.28515625" style="1084" bestFit="1" customWidth="1"/>
    <col min="1565" max="1792" width="10.85546875" style="1084"/>
    <col min="1793" max="1793" width="12.28515625" style="1084" customWidth="1"/>
    <col min="1794" max="1794" width="78.7109375" style="1084" customWidth="1"/>
    <col min="1795" max="1795" width="20.28515625" style="1084" customWidth="1"/>
    <col min="1796" max="1796" width="13.42578125" style="1084" customWidth="1"/>
    <col min="1797" max="1797" width="17.140625" style="1084" customWidth="1"/>
    <col min="1798" max="1798" width="22" style="1084" customWidth="1"/>
    <col min="1799" max="1799" width="17.85546875" style="1084" customWidth="1"/>
    <col min="1800" max="1800" width="21.28515625" style="1084" customWidth="1"/>
    <col min="1801" max="1801" width="16.5703125" style="1084" customWidth="1"/>
    <col min="1802" max="1802" width="20.28515625" style="1084" customWidth="1"/>
    <col min="1803" max="1803" width="17.28515625" style="1084" customWidth="1"/>
    <col min="1804" max="1804" width="19.42578125" style="1084" customWidth="1"/>
    <col min="1805" max="1805" width="18.5703125" style="1084" customWidth="1"/>
    <col min="1806" max="1806" width="19.7109375" style="1084" customWidth="1"/>
    <col min="1807" max="1807" width="16" style="1084" customWidth="1"/>
    <col min="1808" max="1808" width="20.5703125" style="1084" customWidth="1"/>
    <col min="1809" max="1809" width="16.85546875" style="1084" customWidth="1"/>
    <col min="1810" max="1810" width="23.7109375" style="1084" customWidth="1"/>
    <col min="1811" max="1811" width="27.140625" style="1084" bestFit="1" customWidth="1"/>
    <col min="1812" max="1812" width="25.7109375" style="1084" bestFit="1" customWidth="1"/>
    <col min="1813" max="1813" width="19.42578125" style="1084" bestFit="1" customWidth="1"/>
    <col min="1814" max="1814" width="10.85546875" style="1084"/>
    <col min="1815" max="1815" width="16.42578125" style="1084" bestFit="1" customWidth="1"/>
    <col min="1816" max="1816" width="10.85546875" style="1084"/>
    <col min="1817" max="1817" width="14.42578125" style="1084" bestFit="1" customWidth="1"/>
    <col min="1818" max="1819" width="10.85546875" style="1084"/>
    <col min="1820" max="1820" width="14.28515625" style="1084" bestFit="1" customWidth="1"/>
    <col min="1821" max="2048" width="10.85546875" style="1084"/>
    <col min="2049" max="2049" width="12.28515625" style="1084" customWidth="1"/>
    <col min="2050" max="2050" width="78.7109375" style="1084" customWidth="1"/>
    <col min="2051" max="2051" width="20.28515625" style="1084" customWidth="1"/>
    <col min="2052" max="2052" width="13.42578125" style="1084" customWidth="1"/>
    <col min="2053" max="2053" width="17.140625" style="1084" customWidth="1"/>
    <col min="2054" max="2054" width="22" style="1084" customWidth="1"/>
    <col min="2055" max="2055" width="17.85546875" style="1084" customWidth="1"/>
    <col min="2056" max="2056" width="21.28515625" style="1084" customWidth="1"/>
    <col min="2057" max="2057" width="16.5703125" style="1084" customWidth="1"/>
    <col min="2058" max="2058" width="20.28515625" style="1084" customWidth="1"/>
    <col min="2059" max="2059" width="17.28515625" style="1084" customWidth="1"/>
    <col min="2060" max="2060" width="19.42578125" style="1084" customWidth="1"/>
    <col min="2061" max="2061" width="18.5703125" style="1084" customWidth="1"/>
    <col min="2062" max="2062" width="19.7109375" style="1084" customWidth="1"/>
    <col min="2063" max="2063" width="16" style="1084" customWidth="1"/>
    <col min="2064" max="2064" width="20.5703125" style="1084" customWidth="1"/>
    <col min="2065" max="2065" width="16.85546875" style="1084" customWidth="1"/>
    <col min="2066" max="2066" width="23.7109375" style="1084" customWidth="1"/>
    <col min="2067" max="2067" width="27.140625" style="1084" bestFit="1" customWidth="1"/>
    <col min="2068" max="2068" width="25.7109375" style="1084" bestFit="1" customWidth="1"/>
    <col min="2069" max="2069" width="19.42578125" style="1084" bestFit="1" customWidth="1"/>
    <col min="2070" max="2070" width="10.85546875" style="1084"/>
    <col min="2071" max="2071" width="16.42578125" style="1084" bestFit="1" customWidth="1"/>
    <col min="2072" max="2072" width="10.85546875" style="1084"/>
    <col min="2073" max="2073" width="14.42578125" style="1084" bestFit="1" customWidth="1"/>
    <col min="2074" max="2075" width="10.85546875" style="1084"/>
    <col min="2076" max="2076" width="14.28515625" style="1084" bestFit="1" customWidth="1"/>
    <col min="2077" max="2304" width="10.85546875" style="1084"/>
    <col min="2305" max="2305" width="12.28515625" style="1084" customWidth="1"/>
    <col min="2306" max="2306" width="78.7109375" style="1084" customWidth="1"/>
    <col min="2307" max="2307" width="20.28515625" style="1084" customWidth="1"/>
    <col min="2308" max="2308" width="13.42578125" style="1084" customWidth="1"/>
    <col min="2309" max="2309" width="17.140625" style="1084" customWidth="1"/>
    <col min="2310" max="2310" width="22" style="1084" customWidth="1"/>
    <col min="2311" max="2311" width="17.85546875" style="1084" customWidth="1"/>
    <col min="2312" max="2312" width="21.28515625" style="1084" customWidth="1"/>
    <col min="2313" max="2313" width="16.5703125" style="1084" customWidth="1"/>
    <col min="2314" max="2314" width="20.28515625" style="1084" customWidth="1"/>
    <col min="2315" max="2315" width="17.28515625" style="1084" customWidth="1"/>
    <col min="2316" max="2316" width="19.42578125" style="1084" customWidth="1"/>
    <col min="2317" max="2317" width="18.5703125" style="1084" customWidth="1"/>
    <col min="2318" max="2318" width="19.7109375" style="1084" customWidth="1"/>
    <col min="2319" max="2319" width="16" style="1084" customWidth="1"/>
    <col min="2320" max="2320" width="20.5703125" style="1084" customWidth="1"/>
    <col min="2321" max="2321" width="16.85546875" style="1084" customWidth="1"/>
    <col min="2322" max="2322" width="23.7109375" style="1084" customWidth="1"/>
    <col min="2323" max="2323" width="27.140625" style="1084" bestFit="1" customWidth="1"/>
    <col min="2324" max="2324" width="25.7109375" style="1084" bestFit="1" customWidth="1"/>
    <col min="2325" max="2325" width="19.42578125" style="1084" bestFit="1" customWidth="1"/>
    <col min="2326" max="2326" width="10.85546875" style="1084"/>
    <col min="2327" max="2327" width="16.42578125" style="1084" bestFit="1" customWidth="1"/>
    <col min="2328" max="2328" width="10.85546875" style="1084"/>
    <col min="2329" max="2329" width="14.42578125" style="1084" bestFit="1" customWidth="1"/>
    <col min="2330" max="2331" width="10.85546875" style="1084"/>
    <col min="2332" max="2332" width="14.28515625" style="1084" bestFit="1" customWidth="1"/>
    <col min="2333" max="2560" width="10.85546875" style="1084"/>
    <col min="2561" max="2561" width="12.28515625" style="1084" customWidth="1"/>
    <col min="2562" max="2562" width="78.7109375" style="1084" customWidth="1"/>
    <col min="2563" max="2563" width="20.28515625" style="1084" customWidth="1"/>
    <col min="2564" max="2564" width="13.42578125" style="1084" customWidth="1"/>
    <col min="2565" max="2565" width="17.140625" style="1084" customWidth="1"/>
    <col min="2566" max="2566" width="22" style="1084" customWidth="1"/>
    <col min="2567" max="2567" width="17.85546875" style="1084" customWidth="1"/>
    <col min="2568" max="2568" width="21.28515625" style="1084" customWidth="1"/>
    <col min="2569" max="2569" width="16.5703125" style="1084" customWidth="1"/>
    <col min="2570" max="2570" width="20.28515625" style="1084" customWidth="1"/>
    <col min="2571" max="2571" width="17.28515625" style="1084" customWidth="1"/>
    <col min="2572" max="2572" width="19.42578125" style="1084" customWidth="1"/>
    <col min="2573" max="2573" width="18.5703125" style="1084" customWidth="1"/>
    <col min="2574" max="2574" width="19.7109375" style="1084" customWidth="1"/>
    <col min="2575" max="2575" width="16" style="1084" customWidth="1"/>
    <col min="2576" max="2576" width="20.5703125" style="1084" customWidth="1"/>
    <col min="2577" max="2577" width="16.85546875" style="1084" customWidth="1"/>
    <col min="2578" max="2578" width="23.7109375" style="1084" customWidth="1"/>
    <col min="2579" max="2579" width="27.140625" style="1084" bestFit="1" customWidth="1"/>
    <col min="2580" max="2580" width="25.7109375" style="1084" bestFit="1" customWidth="1"/>
    <col min="2581" max="2581" width="19.42578125" style="1084" bestFit="1" customWidth="1"/>
    <col min="2582" max="2582" width="10.85546875" style="1084"/>
    <col min="2583" max="2583" width="16.42578125" style="1084" bestFit="1" customWidth="1"/>
    <col min="2584" max="2584" width="10.85546875" style="1084"/>
    <col min="2585" max="2585" width="14.42578125" style="1084" bestFit="1" customWidth="1"/>
    <col min="2586" max="2587" width="10.85546875" style="1084"/>
    <col min="2588" max="2588" width="14.28515625" style="1084" bestFit="1" customWidth="1"/>
    <col min="2589" max="2816" width="10.85546875" style="1084"/>
    <col min="2817" max="2817" width="12.28515625" style="1084" customWidth="1"/>
    <col min="2818" max="2818" width="78.7109375" style="1084" customWidth="1"/>
    <col min="2819" max="2819" width="20.28515625" style="1084" customWidth="1"/>
    <col min="2820" max="2820" width="13.42578125" style="1084" customWidth="1"/>
    <col min="2821" max="2821" width="17.140625" style="1084" customWidth="1"/>
    <col min="2822" max="2822" width="22" style="1084" customWidth="1"/>
    <col min="2823" max="2823" width="17.85546875" style="1084" customWidth="1"/>
    <col min="2824" max="2824" width="21.28515625" style="1084" customWidth="1"/>
    <col min="2825" max="2825" width="16.5703125" style="1084" customWidth="1"/>
    <col min="2826" max="2826" width="20.28515625" style="1084" customWidth="1"/>
    <col min="2827" max="2827" width="17.28515625" style="1084" customWidth="1"/>
    <col min="2828" max="2828" width="19.42578125" style="1084" customWidth="1"/>
    <col min="2829" max="2829" width="18.5703125" style="1084" customWidth="1"/>
    <col min="2830" max="2830" width="19.7109375" style="1084" customWidth="1"/>
    <col min="2831" max="2831" width="16" style="1084" customWidth="1"/>
    <col min="2832" max="2832" width="20.5703125" style="1084" customWidth="1"/>
    <col min="2833" max="2833" width="16.85546875" style="1084" customWidth="1"/>
    <col min="2834" max="2834" width="23.7109375" style="1084" customWidth="1"/>
    <col min="2835" max="2835" width="27.140625" style="1084" bestFit="1" customWidth="1"/>
    <col min="2836" max="2836" width="25.7109375" style="1084" bestFit="1" customWidth="1"/>
    <col min="2837" max="2837" width="19.42578125" style="1084" bestFit="1" customWidth="1"/>
    <col min="2838" max="2838" width="10.85546875" style="1084"/>
    <col min="2839" max="2839" width="16.42578125" style="1084" bestFit="1" customWidth="1"/>
    <col min="2840" max="2840" width="10.85546875" style="1084"/>
    <col min="2841" max="2841" width="14.42578125" style="1084" bestFit="1" customWidth="1"/>
    <col min="2842" max="2843" width="10.85546875" style="1084"/>
    <col min="2844" max="2844" width="14.28515625" style="1084" bestFit="1" customWidth="1"/>
    <col min="2845" max="3072" width="10.85546875" style="1084"/>
    <col min="3073" max="3073" width="12.28515625" style="1084" customWidth="1"/>
    <col min="3074" max="3074" width="78.7109375" style="1084" customWidth="1"/>
    <col min="3075" max="3075" width="20.28515625" style="1084" customWidth="1"/>
    <col min="3076" max="3076" width="13.42578125" style="1084" customWidth="1"/>
    <col min="3077" max="3077" width="17.140625" style="1084" customWidth="1"/>
    <col min="3078" max="3078" width="22" style="1084" customWidth="1"/>
    <col min="3079" max="3079" width="17.85546875" style="1084" customWidth="1"/>
    <col min="3080" max="3080" width="21.28515625" style="1084" customWidth="1"/>
    <col min="3081" max="3081" width="16.5703125" style="1084" customWidth="1"/>
    <col min="3082" max="3082" width="20.28515625" style="1084" customWidth="1"/>
    <col min="3083" max="3083" width="17.28515625" style="1084" customWidth="1"/>
    <col min="3084" max="3084" width="19.42578125" style="1084" customWidth="1"/>
    <col min="3085" max="3085" width="18.5703125" style="1084" customWidth="1"/>
    <col min="3086" max="3086" width="19.7109375" style="1084" customWidth="1"/>
    <col min="3087" max="3087" width="16" style="1084" customWidth="1"/>
    <col min="3088" max="3088" width="20.5703125" style="1084" customWidth="1"/>
    <col min="3089" max="3089" width="16.85546875" style="1084" customWidth="1"/>
    <col min="3090" max="3090" width="23.7109375" style="1084" customWidth="1"/>
    <col min="3091" max="3091" width="27.140625" style="1084" bestFit="1" customWidth="1"/>
    <col min="3092" max="3092" width="25.7109375" style="1084" bestFit="1" customWidth="1"/>
    <col min="3093" max="3093" width="19.42578125" style="1084" bestFit="1" customWidth="1"/>
    <col min="3094" max="3094" width="10.85546875" style="1084"/>
    <col min="3095" max="3095" width="16.42578125" style="1084" bestFit="1" customWidth="1"/>
    <col min="3096" max="3096" width="10.85546875" style="1084"/>
    <col min="3097" max="3097" width="14.42578125" style="1084" bestFit="1" customWidth="1"/>
    <col min="3098" max="3099" width="10.85546875" style="1084"/>
    <col min="3100" max="3100" width="14.28515625" style="1084" bestFit="1" customWidth="1"/>
    <col min="3101" max="3328" width="10.85546875" style="1084"/>
    <col min="3329" max="3329" width="12.28515625" style="1084" customWidth="1"/>
    <col min="3330" max="3330" width="78.7109375" style="1084" customWidth="1"/>
    <col min="3331" max="3331" width="20.28515625" style="1084" customWidth="1"/>
    <col min="3332" max="3332" width="13.42578125" style="1084" customWidth="1"/>
    <col min="3333" max="3333" width="17.140625" style="1084" customWidth="1"/>
    <col min="3334" max="3334" width="22" style="1084" customWidth="1"/>
    <col min="3335" max="3335" width="17.85546875" style="1084" customWidth="1"/>
    <col min="3336" max="3336" width="21.28515625" style="1084" customWidth="1"/>
    <col min="3337" max="3337" width="16.5703125" style="1084" customWidth="1"/>
    <col min="3338" max="3338" width="20.28515625" style="1084" customWidth="1"/>
    <col min="3339" max="3339" width="17.28515625" style="1084" customWidth="1"/>
    <col min="3340" max="3340" width="19.42578125" style="1084" customWidth="1"/>
    <col min="3341" max="3341" width="18.5703125" style="1084" customWidth="1"/>
    <col min="3342" max="3342" width="19.7109375" style="1084" customWidth="1"/>
    <col min="3343" max="3343" width="16" style="1084" customWidth="1"/>
    <col min="3344" max="3344" width="20.5703125" style="1084" customWidth="1"/>
    <col min="3345" max="3345" width="16.85546875" style="1084" customWidth="1"/>
    <col min="3346" max="3346" width="23.7109375" style="1084" customWidth="1"/>
    <col min="3347" max="3347" width="27.140625" style="1084" bestFit="1" customWidth="1"/>
    <col min="3348" max="3348" width="25.7109375" style="1084" bestFit="1" customWidth="1"/>
    <col min="3349" max="3349" width="19.42578125" style="1084" bestFit="1" customWidth="1"/>
    <col min="3350" max="3350" width="10.85546875" style="1084"/>
    <col min="3351" max="3351" width="16.42578125" style="1084" bestFit="1" customWidth="1"/>
    <col min="3352" max="3352" width="10.85546875" style="1084"/>
    <col min="3353" max="3353" width="14.42578125" style="1084" bestFit="1" customWidth="1"/>
    <col min="3354" max="3355" width="10.85546875" style="1084"/>
    <col min="3356" max="3356" width="14.28515625" style="1084" bestFit="1" customWidth="1"/>
    <col min="3357" max="3584" width="10.85546875" style="1084"/>
    <col min="3585" max="3585" width="12.28515625" style="1084" customWidth="1"/>
    <col min="3586" max="3586" width="78.7109375" style="1084" customWidth="1"/>
    <col min="3587" max="3587" width="20.28515625" style="1084" customWidth="1"/>
    <col min="3588" max="3588" width="13.42578125" style="1084" customWidth="1"/>
    <col min="3589" max="3589" width="17.140625" style="1084" customWidth="1"/>
    <col min="3590" max="3590" width="22" style="1084" customWidth="1"/>
    <col min="3591" max="3591" width="17.85546875" style="1084" customWidth="1"/>
    <col min="3592" max="3592" width="21.28515625" style="1084" customWidth="1"/>
    <col min="3593" max="3593" width="16.5703125" style="1084" customWidth="1"/>
    <col min="3594" max="3594" width="20.28515625" style="1084" customWidth="1"/>
    <col min="3595" max="3595" width="17.28515625" style="1084" customWidth="1"/>
    <col min="3596" max="3596" width="19.42578125" style="1084" customWidth="1"/>
    <col min="3597" max="3597" width="18.5703125" style="1084" customWidth="1"/>
    <col min="3598" max="3598" width="19.7109375" style="1084" customWidth="1"/>
    <col min="3599" max="3599" width="16" style="1084" customWidth="1"/>
    <col min="3600" max="3600" width="20.5703125" style="1084" customWidth="1"/>
    <col min="3601" max="3601" width="16.85546875" style="1084" customWidth="1"/>
    <col min="3602" max="3602" width="23.7109375" style="1084" customWidth="1"/>
    <col min="3603" max="3603" width="27.140625" style="1084" bestFit="1" customWidth="1"/>
    <col min="3604" max="3604" width="25.7109375" style="1084" bestFit="1" customWidth="1"/>
    <col min="3605" max="3605" width="19.42578125" style="1084" bestFit="1" customWidth="1"/>
    <col min="3606" max="3606" width="10.85546875" style="1084"/>
    <col min="3607" max="3607" width="16.42578125" style="1084" bestFit="1" customWidth="1"/>
    <col min="3608" max="3608" width="10.85546875" style="1084"/>
    <col min="3609" max="3609" width="14.42578125" style="1084" bestFit="1" customWidth="1"/>
    <col min="3610" max="3611" width="10.85546875" style="1084"/>
    <col min="3612" max="3612" width="14.28515625" style="1084" bestFit="1" customWidth="1"/>
    <col min="3613" max="3840" width="10.85546875" style="1084"/>
    <col min="3841" max="3841" width="12.28515625" style="1084" customWidth="1"/>
    <col min="3842" max="3842" width="78.7109375" style="1084" customWidth="1"/>
    <col min="3843" max="3843" width="20.28515625" style="1084" customWidth="1"/>
    <col min="3844" max="3844" width="13.42578125" style="1084" customWidth="1"/>
    <col min="3845" max="3845" width="17.140625" style="1084" customWidth="1"/>
    <col min="3846" max="3846" width="22" style="1084" customWidth="1"/>
    <col min="3847" max="3847" width="17.85546875" style="1084" customWidth="1"/>
    <col min="3848" max="3848" width="21.28515625" style="1084" customWidth="1"/>
    <col min="3849" max="3849" width="16.5703125" style="1084" customWidth="1"/>
    <col min="3850" max="3850" width="20.28515625" style="1084" customWidth="1"/>
    <col min="3851" max="3851" width="17.28515625" style="1084" customWidth="1"/>
    <col min="3852" max="3852" width="19.42578125" style="1084" customWidth="1"/>
    <col min="3853" max="3853" width="18.5703125" style="1084" customWidth="1"/>
    <col min="3854" max="3854" width="19.7109375" style="1084" customWidth="1"/>
    <col min="3855" max="3855" width="16" style="1084" customWidth="1"/>
    <col min="3856" max="3856" width="20.5703125" style="1084" customWidth="1"/>
    <col min="3857" max="3857" width="16.85546875" style="1084" customWidth="1"/>
    <col min="3858" max="3858" width="23.7109375" style="1084" customWidth="1"/>
    <col min="3859" max="3859" width="27.140625" style="1084" bestFit="1" customWidth="1"/>
    <col min="3860" max="3860" width="25.7109375" style="1084" bestFit="1" customWidth="1"/>
    <col min="3861" max="3861" width="19.42578125" style="1084" bestFit="1" customWidth="1"/>
    <col min="3862" max="3862" width="10.85546875" style="1084"/>
    <col min="3863" max="3863" width="16.42578125" style="1084" bestFit="1" customWidth="1"/>
    <col min="3864" max="3864" width="10.85546875" style="1084"/>
    <col min="3865" max="3865" width="14.42578125" style="1084" bestFit="1" customWidth="1"/>
    <col min="3866" max="3867" width="10.85546875" style="1084"/>
    <col min="3868" max="3868" width="14.28515625" style="1084" bestFit="1" customWidth="1"/>
    <col min="3869" max="4096" width="10.85546875" style="1084"/>
    <col min="4097" max="4097" width="12.28515625" style="1084" customWidth="1"/>
    <col min="4098" max="4098" width="78.7109375" style="1084" customWidth="1"/>
    <col min="4099" max="4099" width="20.28515625" style="1084" customWidth="1"/>
    <col min="4100" max="4100" width="13.42578125" style="1084" customWidth="1"/>
    <col min="4101" max="4101" width="17.140625" style="1084" customWidth="1"/>
    <col min="4102" max="4102" width="22" style="1084" customWidth="1"/>
    <col min="4103" max="4103" width="17.85546875" style="1084" customWidth="1"/>
    <col min="4104" max="4104" width="21.28515625" style="1084" customWidth="1"/>
    <col min="4105" max="4105" width="16.5703125" style="1084" customWidth="1"/>
    <col min="4106" max="4106" width="20.28515625" style="1084" customWidth="1"/>
    <col min="4107" max="4107" width="17.28515625" style="1084" customWidth="1"/>
    <col min="4108" max="4108" width="19.42578125" style="1084" customWidth="1"/>
    <col min="4109" max="4109" width="18.5703125" style="1084" customWidth="1"/>
    <col min="4110" max="4110" width="19.7109375" style="1084" customWidth="1"/>
    <col min="4111" max="4111" width="16" style="1084" customWidth="1"/>
    <col min="4112" max="4112" width="20.5703125" style="1084" customWidth="1"/>
    <col min="4113" max="4113" width="16.85546875" style="1084" customWidth="1"/>
    <col min="4114" max="4114" width="23.7109375" style="1084" customWidth="1"/>
    <col min="4115" max="4115" width="27.140625" style="1084" bestFit="1" customWidth="1"/>
    <col min="4116" max="4116" width="25.7109375" style="1084" bestFit="1" customWidth="1"/>
    <col min="4117" max="4117" width="19.42578125" style="1084" bestFit="1" customWidth="1"/>
    <col min="4118" max="4118" width="10.85546875" style="1084"/>
    <col min="4119" max="4119" width="16.42578125" style="1084" bestFit="1" customWidth="1"/>
    <col min="4120" max="4120" width="10.85546875" style="1084"/>
    <col min="4121" max="4121" width="14.42578125" style="1084" bestFit="1" customWidth="1"/>
    <col min="4122" max="4123" width="10.85546875" style="1084"/>
    <col min="4124" max="4124" width="14.28515625" style="1084" bestFit="1" customWidth="1"/>
    <col min="4125" max="4352" width="10.85546875" style="1084"/>
    <col min="4353" max="4353" width="12.28515625" style="1084" customWidth="1"/>
    <col min="4354" max="4354" width="78.7109375" style="1084" customWidth="1"/>
    <col min="4355" max="4355" width="20.28515625" style="1084" customWidth="1"/>
    <col min="4356" max="4356" width="13.42578125" style="1084" customWidth="1"/>
    <col min="4357" max="4357" width="17.140625" style="1084" customWidth="1"/>
    <col min="4358" max="4358" width="22" style="1084" customWidth="1"/>
    <col min="4359" max="4359" width="17.85546875" style="1084" customWidth="1"/>
    <col min="4360" max="4360" width="21.28515625" style="1084" customWidth="1"/>
    <col min="4361" max="4361" width="16.5703125" style="1084" customWidth="1"/>
    <col min="4362" max="4362" width="20.28515625" style="1084" customWidth="1"/>
    <col min="4363" max="4363" width="17.28515625" style="1084" customWidth="1"/>
    <col min="4364" max="4364" width="19.42578125" style="1084" customWidth="1"/>
    <col min="4365" max="4365" width="18.5703125" style="1084" customWidth="1"/>
    <col min="4366" max="4366" width="19.7109375" style="1084" customWidth="1"/>
    <col min="4367" max="4367" width="16" style="1084" customWidth="1"/>
    <col min="4368" max="4368" width="20.5703125" style="1084" customWidth="1"/>
    <col min="4369" max="4369" width="16.85546875" style="1084" customWidth="1"/>
    <col min="4370" max="4370" width="23.7109375" style="1084" customWidth="1"/>
    <col min="4371" max="4371" width="27.140625" style="1084" bestFit="1" customWidth="1"/>
    <col min="4372" max="4372" width="25.7109375" style="1084" bestFit="1" customWidth="1"/>
    <col min="4373" max="4373" width="19.42578125" style="1084" bestFit="1" customWidth="1"/>
    <col min="4374" max="4374" width="10.85546875" style="1084"/>
    <col min="4375" max="4375" width="16.42578125" style="1084" bestFit="1" customWidth="1"/>
    <col min="4376" max="4376" width="10.85546875" style="1084"/>
    <col min="4377" max="4377" width="14.42578125" style="1084" bestFit="1" customWidth="1"/>
    <col min="4378" max="4379" width="10.85546875" style="1084"/>
    <col min="4380" max="4380" width="14.28515625" style="1084" bestFit="1" customWidth="1"/>
    <col min="4381" max="4608" width="10.85546875" style="1084"/>
    <col min="4609" max="4609" width="12.28515625" style="1084" customWidth="1"/>
    <col min="4610" max="4610" width="78.7109375" style="1084" customWidth="1"/>
    <col min="4611" max="4611" width="20.28515625" style="1084" customWidth="1"/>
    <col min="4612" max="4612" width="13.42578125" style="1084" customWidth="1"/>
    <col min="4613" max="4613" width="17.140625" style="1084" customWidth="1"/>
    <col min="4614" max="4614" width="22" style="1084" customWidth="1"/>
    <col min="4615" max="4615" width="17.85546875" style="1084" customWidth="1"/>
    <col min="4616" max="4616" width="21.28515625" style="1084" customWidth="1"/>
    <col min="4617" max="4617" width="16.5703125" style="1084" customWidth="1"/>
    <col min="4618" max="4618" width="20.28515625" style="1084" customWidth="1"/>
    <col min="4619" max="4619" width="17.28515625" style="1084" customWidth="1"/>
    <col min="4620" max="4620" width="19.42578125" style="1084" customWidth="1"/>
    <col min="4621" max="4621" width="18.5703125" style="1084" customWidth="1"/>
    <col min="4622" max="4622" width="19.7109375" style="1084" customWidth="1"/>
    <col min="4623" max="4623" width="16" style="1084" customWidth="1"/>
    <col min="4624" max="4624" width="20.5703125" style="1084" customWidth="1"/>
    <col min="4625" max="4625" width="16.85546875" style="1084" customWidth="1"/>
    <col min="4626" max="4626" width="23.7109375" style="1084" customWidth="1"/>
    <col min="4627" max="4627" width="27.140625" style="1084" bestFit="1" customWidth="1"/>
    <col min="4628" max="4628" width="25.7109375" style="1084" bestFit="1" customWidth="1"/>
    <col min="4629" max="4629" width="19.42578125" style="1084" bestFit="1" customWidth="1"/>
    <col min="4630" max="4630" width="10.85546875" style="1084"/>
    <col min="4631" max="4631" width="16.42578125" style="1084" bestFit="1" customWidth="1"/>
    <col min="4632" max="4632" width="10.85546875" style="1084"/>
    <col min="4633" max="4633" width="14.42578125" style="1084" bestFit="1" customWidth="1"/>
    <col min="4634" max="4635" width="10.85546875" style="1084"/>
    <col min="4636" max="4636" width="14.28515625" style="1084" bestFit="1" customWidth="1"/>
    <col min="4637" max="4864" width="10.85546875" style="1084"/>
    <col min="4865" max="4865" width="12.28515625" style="1084" customWidth="1"/>
    <col min="4866" max="4866" width="78.7109375" style="1084" customWidth="1"/>
    <col min="4867" max="4867" width="20.28515625" style="1084" customWidth="1"/>
    <col min="4868" max="4868" width="13.42578125" style="1084" customWidth="1"/>
    <col min="4869" max="4869" width="17.140625" style="1084" customWidth="1"/>
    <col min="4870" max="4870" width="22" style="1084" customWidth="1"/>
    <col min="4871" max="4871" width="17.85546875" style="1084" customWidth="1"/>
    <col min="4872" max="4872" width="21.28515625" style="1084" customWidth="1"/>
    <col min="4873" max="4873" width="16.5703125" style="1084" customWidth="1"/>
    <col min="4874" max="4874" width="20.28515625" style="1084" customWidth="1"/>
    <col min="4875" max="4875" width="17.28515625" style="1084" customWidth="1"/>
    <col min="4876" max="4876" width="19.42578125" style="1084" customWidth="1"/>
    <col min="4877" max="4877" width="18.5703125" style="1084" customWidth="1"/>
    <col min="4878" max="4878" width="19.7109375" style="1084" customWidth="1"/>
    <col min="4879" max="4879" width="16" style="1084" customWidth="1"/>
    <col min="4880" max="4880" width="20.5703125" style="1084" customWidth="1"/>
    <col min="4881" max="4881" width="16.85546875" style="1084" customWidth="1"/>
    <col min="4882" max="4882" width="23.7109375" style="1084" customWidth="1"/>
    <col min="4883" max="4883" width="27.140625" style="1084" bestFit="1" customWidth="1"/>
    <col min="4884" max="4884" width="25.7109375" style="1084" bestFit="1" customWidth="1"/>
    <col min="4885" max="4885" width="19.42578125" style="1084" bestFit="1" customWidth="1"/>
    <col min="4886" max="4886" width="10.85546875" style="1084"/>
    <col min="4887" max="4887" width="16.42578125" style="1084" bestFit="1" customWidth="1"/>
    <col min="4888" max="4888" width="10.85546875" style="1084"/>
    <col min="4889" max="4889" width="14.42578125" style="1084" bestFit="1" customWidth="1"/>
    <col min="4890" max="4891" width="10.85546875" style="1084"/>
    <col min="4892" max="4892" width="14.28515625" style="1084" bestFit="1" customWidth="1"/>
    <col min="4893" max="5120" width="10.85546875" style="1084"/>
    <col min="5121" max="5121" width="12.28515625" style="1084" customWidth="1"/>
    <col min="5122" max="5122" width="78.7109375" style="1084" customWidth="1"/>
    <col min="5123" max="5123" width="20.28515625" style="1084" customWidth="1"/>
    <col min="5124" max="5124" width="13.42578125" style="1084" customWidth="1"/>
    <col min="5125" max="5125" width="17.140625" style="1084" customWidth="1"/>
    <col min="5126" max="5126" width="22" style="1084" customWidth="1"/>
    <col min="5127" max="5127" width="17.85546875" style="1084" customWidth="1"/>
    <col min="5128" max="5128" width="21.28515625" style="1084" customWidth="1"/>
    <col min="5129" max="5129" width="16.5703125" style="1084" customWidth="1"/>
    <col min="5130" max="5130" width="20.28515625" style="1084" customWidth="1"/>
    <col min="5131" max="5131" width="17.28515625" style="1084" customWidth="1"/>
    <col min="5132" max="5132" width="19.42578125" style="1084" customWidth="1"/>
    <col min="5133" max="5133" width="18.5703125" style="1084" customWidth="1"/>
    <col min="5134" max="5134" width="19.7109375" style="1084" customWidth="1"/>
    <col min="5135" max="5135" width="16" style="1084" customWidth="1"/>
    <col min="5136" max="5136" width="20.5703125" style="1084" customWidth="1"/>
    <col min="5137" max="5137" width="16.85546875" style="1084" customWidth="1"/>
    <col min="5138" max="5138" width="23.7109375" style="1084" customWidth="1"/>
    <col min="5139" max="5139" width="27.140625" style="1084" bestFit="1" customWidth="1"/>
    <col min="5140" max="5140" width="25.7109375" style="1084" bestFit="1" customWidth="1"/>
    <col min="5141" max="5141" width="19.42578125" style="1084" bestFit="1" customWidth="1"/>
    <col min="5142" max="5142" width="10.85546875" style="1084"/>
    <col min="5143" max="5143" width="16.42578125" style="1084" bestFit="1" customWidth="1"/>
    <col min="5144" max="5144" width="10.85546875" style="1084"/>
    <col min="5145" max="5145" width="14.42578125" style="1084" bestFit="1" customWidth="1"/>
    <col min="5146" max="5147" width="10.85546875" style="1084"/>
    <col min="5148" max="5148" width="14.28515625" style="1084" bestFit="1" customWidth="1"/>
    <col min="5149" max="5376" width="10.85546875" style="1084"/>
    <col min="5377" max="5377" width="12.28515625" style="1084" customWidth="1"/>
    <col min="5378" max="5378" width="78.7109375" style="1084" customWidth="1"/>
    <col min="5379" max="5379" width="20.28515625" style="1084" customWidth="1"/>
    <col min="5380" max="5380" width="13.42578125" style="1084" customWidth="1"/>
    <col min="5381" max="5381" width="17.140625" style="1084" customWidth="1"/>
    <col min="5382" max="5382" width="22" style="1084" customWidth="1"/>
    <col min="5383" max="5383" width="17.85546875" style="1084" customWidth="1"/>
    <col min="5384" max="5384" width="21.28515625" style="1084" customWidth="1"/>
    <col min="5385" max="5385" width="16.5703125" style="1084" customWidth="1"/>
    <col min="5386" max="5386" width="20.28515625" style="1084" customWidth="1"/>
    <col min="5387" max="5387" width="17.28515625" style="1084" customWidth="1"/>
    <col min="5388" max="5388" width="19.42578125" style="1084" customWidth="1"/>
    <col min="5389" max="5389" width="18.5703125" style="1084" customWidth="1"/>
    <col min="5390" max="5390" width="19.7109375" style="1084" customWidth="1"/>
    <col min="5391" max="5391" width="16" style="1084" customWidth="1"/>
    <col min="5392" max="5392" width="20.5703125" style="1084" customWidth="1"/>
    <col min="5393" max="5393" width="16.85546875" style="1084" customWidth="1"/>
    <col min="5394" max="5394" width="23.7109375" style="1084" customWidth="1"/>
    <col min="5395" max="5395" width="27.140625" style="1084" bestFit="1" customWidth="1"/>
    <col min="5396" max="5396" width="25.7109375" style="1084" bestFit="1" customWidth="1"/>
    <col min="5397" max="5397" width="19.42578125" style="1084" bestFit="1" customWidth="1"/>
    <col min="5398" max="5398" width="10.85546875" style="1084"/>
    <col min="5399" max="5399" width="16.42578125" style="1084" bestFit="1" customWidth="1"/>
    <col min="5400" max="5400" width="10.85546875" style="1084"/>
    <col min="5401" max="5401" width="14.42578125" style="1084" bestFit="1" customWidth="1"/>
    <col min="5402" max="5403" width="10.85546875" style="1084"/>
    <col min="5404" max="5404" width="14.28515625" style="1084" bestFit="1" customWidth="1"/>
    <col min="5405" max="5632" width="10.85546875" style="1084"/>
    <col min="5633" max="5633" width="12.28515625" style="1084" customWidth="1"/>
    <col min="5634" max="5634" width="78.7109375" style="1084" customWidth="1"/>
    <col min="5635" max="5635" width="20.28515625" style="1084" customWidth="1"/>
    <col min="5636" max="5636" width="13.42578125" style="1084" customWidth="1"/>
    <col min="5637" max="5637" width="17.140625" style="1084" customWidth="1"/>
    <col min="5638" max="5638" width="22" style="1084" customWidth="1"/>
    <col min="5639" max="5639" width="17.85546875" style="1084" customWidth="1"/>
    <col min="5640" max="5640" width="21.28515625" style="1084" customWidth="1"/>
    <col min="5641" max="5641" width="16.5703125" style="1084" customWidth="1"/>
    <col min="5642" max="5642" width="20.28515625" style="1084" customWidth="1"/>
    <col min="5643" max="5643" width="17.28515625" style="1084" customWidth="1"/>
    <col min="5644" max="5644" width="19.42578125" style="1084" customWidth="1"/>
    <col min="5645" max="5645" width="18.5703125" style="1084" customWidth="1"/>
    <col min="5646" max="5646" width="19.7109375" style="1084" customWidth="1"/>
    <col min="5647" max="5647" width="16" style="1084" customWidth="1"/>
    <col min="5648" max="5648" width="20.5703125" style="1084" customWidth="1"/>
    <col min="5649" max="5649" width="16.85546875" style="1084" customWidth="1"/>
    <col min="5650" max="5650" width="23.7109375" style="1084" customWidth="1"/>
    <col min="5651" max="5651" width="27.140625" style="1084" bestFit="1" customWidth="1"/>
    <col min="5652" max="5652" width="25.7109375" style="1084" bestFit="1" customWidth="1"/>
    <col min="5653" max="5653" width="19.42578125" style="1084" bestFit="1" customWidth="1"/>
    <col min="5654" max="5654" width="10.85546875" style="1084"/>
    <col min="5655" max="5655" width="16.42578125" style="1084" bestFit="1" customWidth="1"/>
    <col min="5656" max="5656" width="10.85546875" style="1084"/>
    <col min="5657" max="5657" width="14.42578125" style="1084" bestFit="1" customWidth="1"/>
    <col min="5658" max="5659" width="10.85546875" style="1084"/>
    <col min="5660" max="5660" width="14.28515625" style="1084" bestFit="1" customWidth="1"/>
    <col min="5661" max="5888" width="10.85546875" style="1084"/>
    <col min="5889" max="5889" width="12.28515625" style="1084" customWidth="1"/>
    <col min="5890" max="5890" width="78.7109375" style="1084" customWidth="1"/>
    <col min="5891" max="5891" width="20.28515625" style="1084" customWidth="1"/>
    <col min="5892" max="5892" width="13.42578125" style="1084" customWidth="1"/>
    <col min="5893" max="5893" width="17.140625" style="1084" customWidth="1"/>
    <col min="5894" max="5894" width="22" style="1084" customWidth="1"/>
    <col min="5895" max="5895" width="17.85546875" style="1084" customWidth="1"/>
    <col min="5896" max="5896" width="21.28515625" style="1084" customWidth="1"/>
    <col min="5897" max="5897" width="16.5703125" style="1084" customWidth="1"/>
    <col min="5898" max="5898" width="20.28515625" style="1084" customWidth="1"/>
    <col min="5899" max="5899" width="17.28515625" style="1084" customWidth="1"/>
    <col min="5900" max="5900" width="19.42578125" style="1084" customWidth="1"/>
    <col min="5901" max="5901" width="18.5703125" style="1084" customWidth="1"/>
    <col min="5902" max="5902" width="19.7109375" style="1084" customWidth="1"/>
    <col min="5903" max="5903" width="16" style="1084" customWidth="1"/>
    <col min="5904" max="5904" width="20.5703125" style="1084" customWidth="1"/>
    <col min="5905" max="5905" width="16.85546875" style="1084" customWidth="1"/>
    <col min="5906" max="5906" width="23.7109375" style="1084" customWidth="1"/>
    <col min="5907" max="5907" width="27.140625" style="1084" bestFit="1" customWidth="1"/>
    <col min="5908" max="5908" width="25.7109375" style="1084" bestFit="1" customWidth="1"/>
    <col min="5909" max="5909" width="19.42578125" style="1084" bestFit="1" customWidth="1"/>
    <col min="5910" max="5910" width="10.85546875" style="1084"/>
    <col min="5911" max="5911" width="16.42578125" style="1084" bestFit="1" customWidth="1"/>
    <col min="5912" max="5912" width="10.85546875" style="1084"/>
    <col min="5913" max="5913" width="14.42578125" style="1084" bestFit="1" customWidth="1"/>
    <col min="5914" max="5915" width="10.85546875" style="1084"/>
    <col min="5916" max="5916" width="14.28515625" style="1084" bestFit="1" customWidth="1"/>
    <col min="5917" max="6144" width="10.85546875" style="1084"/>
    <col min="6145" max="6145" width="12.28515625" style="1084" customWidth="1"/>
    <col min="6146" max="6146" width="78.7109375" style="1084" customWidth="1"/>
    <col min="6147" max="6147" width="20.28515625" style="1084" customWidth="1"/>
    <col min="6148" max="6148" width="13.42578125" style="1084" customWidth="1"/>
    <col min="6149" max="6149" width="17.140625" style="1084" customWidth="1"/>
    <col min="6150" max="6150" width="22" style="1084" customWidth="1"/>
    <col min="6151" max="6151" width="17.85546875" style="1084" customWidth="1"/>
    <col min="6152" max="6152" width="21.28515625" style="1084" customWidth="1"/>
    <col min="6153" max="6153" width="16.5703125" style="1084" customWidth="1"/>
    <col min="6154" max="6154" width="20.28515625" style="1084" customWidth="1"/>
    <col min="6155" max="6155" width="17.28515625" style="1084" customWidth="1"/>
    <col min="6156" max="6156" width="19.42578125" style="1084" customWidth="1"/>
    <col min="6157" max="6157" width="18.5703125" style="1084" customWidth="1"/>
    <col min="6158" max="6158" width="19.7109375" style="1084" customWidth="1"/>
    <col min="6159" max="6159" width="16" style="1084" customWidth="1"/>
    <col min="6160" max="6160" width="20.5703125" style="1084" customWidth="1"/>
    <col min="6161" max="6161" width="16.85546875" style="1084" customWidth="1"/>
    <col min="6162" max="6162" width="23.7109375" style="1084" customWidth="1"/>
    <col min="6163" max="6163" width="27.140625" style="1084" bestFit="1" customWidth="1"/>
    <col min="6164" max="6164" width="25.7109375" style="1084" bestFit="1" customWidth="1"/>
    <col min="6165" max="6165" width="19.42578125" style="1084" bestFit="1" customWidth="1"/>
    <col min="6166" max="6166" width="10.85546875" style="1084"/>
    <col min="6167" max="6167" width="16.42578125" style="1084" bestFit="1" customWidth="1"/>
    <col min="6168" max="6168" width="10.85546875" style="1084"/>
    <col min="6169" max="6169" width="14.42578125" style="1084" bestFit="1" customWidth="1"/>
    <col min="6170" max="6171" width="10.85546875" style="1084"/>
    <col min="6172" max="6172" width="14.28515625" style="1084" bestFit="1" customWidth="1"/>
    <col min="6173" max="6400" width="10.85546875" style="1084"/>
    <col min="6401" max="6401" width="12.28515625" style="1084" customWidth="1"/>
    <col min="6402" max="6402" width="78.7109375" style="1084" customWidth="1"/>
    <col min="6403" max="6403" width="20.28515625" style="1084" customWidth="1"/>
    <col min="6404" max="6404" width="13.42578125" style="1084" customWidth="1"/>
    <col min="6405" max="6405" width="17.140625" style="1084" customWidth="1"/>
    <col min="6406" max="6406" width="22" style="1084" customWidth="1"/>
    <col min="6407" max="6407" width="17.85546875" style="1084" customWidth="1"/>
    <col min="6408" max="6408" width="21.28515625" style="1084" customWidth="1"/>
    <col min="6409" max="6409" width="16.5703125" style="1084" customWidth="1"/>
    <col min="6410" max="6410" width="20.28515625" style="1084" customWidth="1"/>
    <col min="6411" max="6411" width="17.28515625" style="1084" customWidth="1"/>
    <col min="6412" max="6412" width="19.42578125" style="1084" customWidth="1"/>
    <col min="6413" max="6413" width="18.5703125" style="1084" customWidth="1"/>
    <col min="6414" max="6414" width="19.7109375" style="1084" customWidth="1"/>
    <col min="6415" max="6415" width="16" style="1084" customWidth="1"/>
    <col min="6416" max="6416" width="20.5703125" style="1084" customWidth="1"/>
    <col min="6417" max="6417" width="16.85546875" style="1084" customWidth="1"/>
    <col min="6418" max="6418" width="23.7109375" style="1084" customWidth="1"/>
    <col min="6419" max="6419" width="27.140625" style="1084" bestFit="1" customWidth="1"/>
    <col min="6420" max="6420" width="25.7109375" style="1084" bestFit="1" customWidth="1"/>
    <col min="6421" max="6421" width="19.42578125" style="1084" bestFit="1" customWidth="1"/>
    <col min="6422" max="6422" width="10.85546875" style="1084"/>
    <col min="6423" max="6423" width="16.42578125" style="1084" bestFit="1" customWidth="1"/>
    <col min="6424" max="6424" width="10.85546875" style="1084"/>
    <col min="6425" max="6425" width="14.42578125" style="1084" bestFit="1" customWidth="1"/>
    <col min="6426" max="6427" width="10.85546875" style="1084"/>
    <col min="6428" max="6428" width="14.28515625" style="1084" bestFit="1" customWidth="1"/>
    <col min="6429" max="6656" width="10.85546875" style="1084"/>
    <col min="6657" max="6657" width="12.28515625" style="1084" customWidth="1"/>
    <col min="6658" max="6658" width="78.7109375" style="1084" customWidth="1"/>
    <col min="6659" max="6659" width="20.28515625" style="1084" customWidth="1"/>
    <col min="6660" max="6660" width="13.42578125" style="1084" customWidth="1"/>
    <col min="6661" max="6661" width="17.140625" style="1084" customWidth="1"/>
    <col min="6662" max="6662" width="22" style="1084" customWidth="1"/>
    <col min="6663" max="6663" width="17.85546875" style="1084" customWidth="1"/>
    <col min="6664" max="6664" width="21.28515625" style="1084" customWidth="1"/>
    <col min="6665" max="6665" width="16.5703125" style="1084" customWidth="1"/>
    <col min="6666" max="6666" width="20.28515625" style="1084" customWidth="1"/>
    <col min="6667" max="6667" width="17.28515625" style="1084" customWidth="1"/>
    <col min="6668" max="6668" width="19.42578125" style="1084" customWidth="1"/>
    <col min="6669" max="6669" width="18.5703125" style="1084" customWidth="1"/>
    <col min="6670" max="6670" width="19.7109375" style="1084" customWidth="1"/>
    <col min="6671" max="6671" width="16" style="1084" customWidth="1"/>
    <col min="6672" max="6672" width="20.5703125" style="1084" customWidth="1"/>
    <col min="6673" max="6673" width="16.85546875" style="1084" customWidth="1"/>
    <col min="6674" max="6674" width="23.7109375" style="1084" customWidth="1"/>
    <col min="6675" max="6675" width="27.140625" style="1084" bestFit="1" customWidth="1"/>
    <col min="6676" max="6676" width="25.7109375" style="1084" bestFit="1" customWidth="1"/>
    <col min="6677" max="6677" width="19.42578125" style="1084" bestFit="1" customWidth="1"/>
    <col min="6678" max="6678" width="10.85546875" style="1084"/>
    <col min="6679" max="6679" width="16.42578125" style="1084" bestFit="1" customWidth="1"/>
    <col min="6680" max="6680" width="10.85546875" style="1084"/>
    <col min="6681" max="6681" width="14.42578125" style="1084" bestFit="1" customWidth="1"/>
    <col min="6682" max="6683" width="10.85546875" style="1084"/>
    <col min="6684" max="6684" width="14.28515625" style="1084" bestFit="1" customWidth="1"/>
    <col min="6685" max="6912" width="10.85546875" style="1084"/>
    <col min="6913" max="6913" width="12.28515625" style="1084" customWidth="1"/>
    <col min="6914" max="6914" width="78.7109375" style="1084" customWidth="1"/>
    <col min="6915" max="6915" width="20.28515625" style="1084" customWidth="1"/>
    <col min="6916" max="6916" width="13.42578125" style="1084" customWidth="1"/>
    <col min="6917" max="6917" width="17.140625" style="1084" customWidth="1"/>
    <col min="6918" max="6918" width="22" style="1084" customWidth="1"/>
    <col min="6919" max="6919" width="17.85546875" style="1084" customWidth="1"/>
    <col min="6920" max="6920" width="21.28515625" style="1084" customWidth="1"/>
    <col min="6921" max="6921" width="16.5703125" style="1084" customWidth="1"/>
    <col min="6922" max="6922" width="20.28515625" style="1084" customWidth="1"/>
    <col min="6923" max="6923" width="17.28515625" style="1084" customWidth="1"/>
    <col min="6924" max="6924" width="19.42578125" style="1084" customWidth="1"/>
    <col min="6925" max="6925" width="18.5703125" style="1084" customWidth="1"/>
    <col min="6926" max="6926" width="19.7109375" style="1084" customWidth="1"/>
    <col min="6927" max="6927" width="16" style="1084" customWidth="1"/>
    <col min="6928" max="6928" width="20.5703125" style="1084" customWidth="1"/>
    <col min="6929" max="6929" width="16.85546875" style="1084" customWidth="1"/>
    <col min="6930" max="6930" width="23.7109375" style="1084" customWidth="1"/>
    <col min="6931" max="6931" width="27.140625" style="1084" bestFit="1" customWidth="1"/>
    <col min="6932" max="6932" width="25.7109375" style="1084" bestFit="1" customWidth="1"/>
    <col min="6933" max="6933" width="19.42578125" style="1084" bestFit="1" customWidth="1"/>
    <col min="6934" max="6934" width="10.85546875" style="1084"/>
    <col min="6935" max="6935" width="16.42578125" style="1084" bestFit="1" customWidth="1"/>
    <col min="6936" max="6936" width="10.85546875" style="1084"/>
    <col min="6937" max="6937" width="14.42578125" style="1084" bestFit="1" customWidth="1"/>
    <col min="6938" max="6939" width="10.85546875" style="1084"/>
    <col min="6940" max="6940" width="14.28515625" style="1084" bestFit="1" customWidth="1"/>
    <col min="6941" max="7168" width="10.85546875" style="1084"/>
    <col min="7169" max="7169" width="12.28515625" style="1084" customWidth="1"/>
    <col min="7170" max="7170" width="78.7109375" style="1084" customWidth="1"/>
    <col min="7171" max="7171" width="20.28515625" style="1084" customWidth="1"/>
    <col min="7172" max="7172" width="13.42578125" style="1084" customWidth="1"/>
    <col min="7173" max="7173" width="17.140625" style="1084" customWidth="1"/>
    <col min="7174" max="7174" width="22" style="1084" customWidth="1"/>
    <col min="7175" max="7175" width="17.85546875" style="1084" customWidth="1"/>
    <col min="7176" max="7176" width="21.28515625" style="1084" customWidth="1"/>
    <col min="7177" max="7177" width="16.5703125" style="1084" customWidth="1"/>
    <col min="7178" max="7178" width="20.28515625" style="1084" customWidth="1"/>
    <col min="7179" max="7179" width="17.28515625" style="1084" customWidth="1"/>
    <col min="7180" max="7180" width="19.42578125" style="1084" customWidth="1"/>
    <col min="7181" max="7181" width="18.5703125" style="1084" customWidth="1"/>
    <col min="7182" max="7182" width="19.7109375" style="1084" customWidth="1"/>
    <col min="7183" max="7183" width="16" style="1084" customWidth="1"/>
    <col min="7184" max="7184" width="20.5703125" style="1084" customWidth="1"/>
    <col min="7185" max="7185" width="16.85546875" style="1084" customWidth="1"/>
    <col min="7186" max="7186" width="23.7109375" style="1084" customWidth="1"/>
    <col min="7187" max="7187" width="27.140625" style="1084" bestFit="1" customWidth="1"/>
    <col min="7188" max="7188" width="25.7109375" style="1084" bestFit="1" customWidth="1"/>
    <col min="7189" max="7189" width="19.42578125" style="1084" bestFit="1" customWidth="1"/>
    <col min="7190" max="7190" width="10.85546875" style="1084"/>
    <col min="7191" max="7191" width="16.42578125" style="1084" bestFit="1" customWidth="1"/>
    <col min="7192" max="7192" width="10.85546875" style="1084"/>
    <col min="7193" max="7193" width="14.42578125" style="1084" bestFit="1" customWidth="1"/>
    <col min="7194" max="7195" width="10.85546875" style="1084"/>
    <col min="7196" max="7196" width="14.28515625" style="1084" bestFit="1" customWidth="1"/>
    <col min="7197" max="7424" width="10.85546875" style="1084"/>
    <col min="7425" max="7425" width="12.28515625" style="1084" customWidth="1"/>
    <col min="7426" max="7426" width="78.7109375" style="1084" customWidth="1"/>
    <col min="7427" max="7427" width="20.28515625" style="1084" customWidth="1"/>
    <col min="7428" max="7428" width="13.42578125" style="1084" customWidth="1"/>
    <col min="7429" max="7429" width="17.140625" style="1084" customWidth="1"/>
    <col min="7430" max="7430" width="22" style="1084" customWidth="1"/>
    <col min="7431" max="7431" width="17.85546875" style="1084" customWidth="1"/>
    <col min="7432" max="7432" width="21.28515625" style="1084" customWidth="1"/>
    <col min="7433" max="7433" width="16.5703125" style="1084" customWidth="1"/>
    <col min="7434" max="7434" width="20.28515625" style="1084" customWidth="1"/>
    <col min="7435" max="7435" width="17.28515625" style="1084" customWidth="1"/>
    <col min="7436" max="7436" width="19.42578125" style="1084" customWidth="1"/>
    <col min="7437" max="7437" width="18.5703125" style="1084" customWidth="1"/>
    <col min="7438" max="7438" width="19.7109375" style="1084" customWidth="1"/>
    <col min="7439" max="7439" width="16" style="1084" customWidth="1"/>
    <col min="7440" max="7440" width="20.5703125" style="1084" customWidth="1"/>
    <col min="7441" max="7441" width="16.85546875" style="1084" customWidth="1"/>
    <col min="7442" max="7442" width="23.7109375" style="1084" customWidth="1"/>
    <col min="7443" max="7443" width="27.140625" style="1084" bestFit="1" customWidth="1"/>
    <col min="7444" max="7444" width="25.7109375" style="1084" bestFit="1" customWidth="1"/>
    <col min="7445" max="7445" width="19.42578125" style="1084" bestFit="1" customWidth="1"/>
    <col min="7446" max="7446" width="10.85546875" style="1084"/>
    <col min="7447" max="7447" width="16.42578125" style="1084" bestFit="1" customWidth="1"/>
    <col min="7448" max="7448" width="10.85546875" style="1084"/>
    <col min="7449" max="7449" width="14.42578125" style="1084" bestFit="1" customWidth="1"/>
    <col min="7450" max="7451" width="10.85546875" style="1084"/>
    <col min="7452" max="7452" width="14.28515625" style="1084" bestFit="1" customWidth="1"/>
    <col min="7453" max="7680" width="10.85546875" style="1084"/>
    <col min="7681" max="7681" width="12.28515625" style="1084" customWidth="1"/>
    <col min="7682" max="7682" width="78.7109375" style="1084" customWidth="1"/>
    <col min="7683" max="7683" width="20.28515625" style="1084" customWidth="1"/>
    <col min="7684" max="7684" width="13.42578125" style="1084" customWidth="1"/>
    <col min="7685" max="7685" width="17.140625" style="1084" customWidth="1"/>
    <col min="7686" max="7686" width="22" style="1084" customWidth="1"/>
    <col min="7687" max="7687" width="17.85546875" style="1084" customWidth="1"/>
    <col min="7688" max="7688" width="21.28515625" style="1084" customWidth="1"/>
    <col min="7689" max="7689" width="16.5703125" style="1084" customWidth="1"/>
    <col min="7690" max="7690" width="20.28515625" style="1084" customWidth="1"/>
    <col min="7691" max="7691" width="17.28515625" style="1084" customWidth="1"/>
    <col min="7692" max="7692" width="19.42578125" style="1084" customWidth="1"/>
    <col min="7693" max="7693" width="18.5703125" style="1084" customWidth="1"/>
    <col min="7694" max="7694" width="19.7109375" style="1084" customWidth="1"/>
    <col min="7695" max="7695" width="16" style="1084" customWidth="1"/>
    <col min="7696" max="7696" width="20.5703125" style="1084" customWidth="1"/>
    <col min="7697" max="7697" width="16.85546875" style="1084" customWidth="1"/>
    <col min="7698" max="7698" width="23.7109375" style="1084" customWidth="1"/>
    <col min="7699" max="7699" width="27.140625" style="1084" bestFit="1" customWidth="1"/>
    <col min="7700" max="7700" width="25.7109375" style="1084" bestFit="1" customWidth="1"/>
    <col min="7701" max="7701" width="19.42578125" style="1084" bestFit="1" customWidth="1"/>
    <col min="7702" max="7702" width="10.85546875" style="1084"/>
    <col min="7703" max="7703" width="16.42578125" style="1084" bestFit="1" customWidth="1"/>
    <col min="7704" max="7704" width="10.85546875" style="1084"/>
    <col min="7705" max="7705" width="14.42578125" style="1084" bestFit="1" customWidth="1"/>
    <col min="7706" max="7707" width="10.85546875" style="1084"/>
    <col min="7708" max="7708" width="14.28515625" style="1084" bestFit="1" customWidth="1"/>
    <col min="7709" max="7936" width="10.85546875" style="1084"/>
    <col min="7937" max="7937" width="12.28515625" style="1084" customWidth="1"/>
    <col min="7938" max="7938" width="78.7109375" style="1084" customWidth="1"/>
    <col min="7939" max="7939" width="20.28515625" style="1084" customWidth="1"/>
    <col min="7940" max="7940" width="13.42578125" style="1084" customWidth="1"/>
    <col min="7941" max="7941" width="17.140625" style="1084" customWidth="1"/>
    <col min="7942" max="7942" width="22" style="1084" customWidth="1"/>
    <col min="7943" max="7943" width="17.85546875" style="1084" customWidth="1"/>
    <col min="7944" max="7944" width="21.28515625" style="1084" customWidth="1"/>
    <col min="7945" max="7945" width="16.5703125" style="1084" customWidth="1"/>
    <col min="7946" max="7946" width="20.28515625" style="1084" customWidth="1"/>
    <col min="7947" max="7947" width="17.28515625" style="1084" customWidth="1"/>
    <col min="7948" max="7948" width="19.42578125" style="1084" customWidth="1"/>
    <col min="7949" max="7949" width="18.5703125" style="1084" customWidth="1"/>
    <col min="7950" max="7950" width="19.7109375" style="1084" customWidth="1"/>
    <col min="7951" max="7951" width="16" style="1084" customWidth="1"/>
    <col min="7952" max="7952" width="20.5703125" style="1084" customWidth="1"/>
    <col min="7953" max="7953" width="16.85546875" style="1084" customWidth="1"/>
    <col min="7954" max="7954" width="23.7109375" style="1084" customWidth="1"/>
    <col min="7955" max="7955" width="27.140625" style="1084" bestFit="1" customWidth="1"/>
    <col min="7956" max="7956" width="25.7109375" style="1084" bestFit="1" customWidth="1"/>
    <col min="7957" max="7957" width="19.42578125" style="1084" bestFit="1" customWidth="1"/>
    <col min="7958" max="7958" width="10.85546875" style="1084"/>
    <col min="7959" max="7959" width="16.42578125" style="1084" bestFit="1" customWidth="1"/>
    <col min="7960" max="7960" width="10.85546875" style="1084"/>
    <col min="7961" max="7961" width="14.42578125" style="1084" bestFit="1" customWidth="1"/>
    <col min="7962" max="7963" width="10.85546875" style="1084"/>
    <col min="7964" max="7964" width="14.28515625" style="1084" bestFit="1" customWidth="1"/>
    <col min="7965" max="8192" width="10.85546875" style="1084"/>
    <col min="8193" max="8193" width="12.28515625" style="1084" customWidth="1"/>
    <col min="8194" max="8194" width="78.7109375" style="1084" customWidth="1"/>
    <col min="8195" max="8195" width="20.28515625" style="1084" customWidth="1"/>
    <col min="8196" max="8196" width="13.42578125" style="1084" customWidth="1"/>
    <col min="8197" max="8197" width="17.140625" style="1084" customWidth="1"/>
    <col min="8198" max="8198" width="22" style="1084" customWidth="1"/>
    <col min="8199" max="8199" width="17.85546875" style="1084" customWidth="1"/>
    <col min="8200" max="8200" width="21.28515625" style="1084" customWidth="1"/>
    <col min="8201" max="8201" width="16.5703125" style="1084" customWidth="1"/>
    <col min="8202" max="8202" width="20.28515625" style="1084" customWidth="1"/>
    <col min="8203" max="8203" width="17.28515625" style="1084" customWidth="1"/>
    <col min="8204" max="8204" width="19.42578125" style="1084" customWidth="1"/>
    <col min="8205" max="8205" width="18.5703125" style="1084" customWidth="1"/>
    <col min="8206" max="8206" width="19.7109375" style="1084" customWidth="1"/>
    <col min="8207" max="8207" width="16" style="1084" customWidth="1"/>
    <col min="8208" max="8208" width="20.5703125" style="1084" customWidth="1"/>
    <col min="8209" max="8209" width="16.85546875" style="1084" customWidth="1"/>
    <col min="8210" max="8210" width="23.7109375" style="1084" customWidth="1"/>
    <col min="8211" max="8211" width="27.140625" style="1084" bestFit="1" customWidth="1"/>
    <col min="8212" max="8212" width="25.7109375" style="1084" bestFit="1" customWidth="1"/>
    <col min="8213" max="8213" width="19.42578125" style="1084" bestFit="1" customWidth="1"/>
    <col min="8214" max="8214" width="10.85546875" style="1084"/>
    <col min="8215" max="8215" width="16.42578125" style="1084" bestFit="1" customWidth="1"/>
    <col min="8216" max="8216" width="10.85546875" style="1084"/>
    <col min="8217" max="8217" width="14.42578125" style="1084" bestFit="1" customWidth="1"/>
    <col min="8218" max="8219" width="10.85546875" style="1084"/>
    <col min="8220" max="8220" width="14.28515625" style="1084" bestFit="1" customWidth="1"/>
    <col min="8221" max="8448" width="10.85546875" style="1084"/>
    <col min="8449" max="8449" width="12.28515625" style="1084" customWidth="1"/>
    <col min="8450" max="8450" width="78.7109375" style="1084" customWidth="1"/>
    <col min="8451" max="8451" width="20.28515625" style="1084" customWidth="1"/>
    <col min="8452" max="8452" width="13.42578125" style="1084" customWidth="1"/>
    <col min="8453" max="8453" width="17.140625" style="1084" customWidth="1"/>
    <col min="8454" max="8454" width="22" style="1084" customWidth="1"/>
    <col min="8455" max="8455" width="17.85546875" style="1084" customWidth="1"/>
    <col min="8456" max="8456" width="21.28515625" style="1084" customWidth="1"/>
    <col min="8457" max="8457" width="16.5703125" style="1084" customWidth="1"/>
    <col min="8458" max="8458" width="20.28515625" style="1084" customWidth="1"/>
    <col min="8459" max="8459" width="17.28515625" style="1084" customWidth="1"/>
    <col min="8460" max="8460" width="19.42578125" style="1084" customWidth="1"/>
    <col min="8461" max="8461" width="18.5703125" style="1084" customWidth="1"/>
    <col min="8462" max="8462" width="19.7109375" style="1084" customWidth="1"/>
    <col min="8463" max="8463" width="16" style="1084" customWidth="1"/>
    <col min="8464" max="8464" width="20.5703125" style="1084" customWidth="1"/>
    <col min="8465" max="8465" width="16.85546875" style="1084" customWidth="1"/>
    <col min="8466" max="8466" width="23.7109375" style="1084" customWidth="1"/>
    <col min="8467" max="8467" width="27.140625" style="1084" bestFit="1" customWidth="1"/>
    <col min="8468" max="8468" width="25.7109375" style="1084" bestFit="1" customWidth="1"/>
    <col min="8469" max="8469" width="19.42578125" style="1084" bestFit="1" customWidth="1"/>
    <col min="8470" max="8470" width="10.85546875" style="1084"/>
    <col min="8471" max="8471" width="16.42578125" style="1084" bestFit="1" customWidth="1"/>
    <col min="8472" max="8472" width="10.85546875" style="1084"/>
    <col min="8473" max="8473" width="14.42578125" style="1084" bestFit="1" customWidth="1"/>
    <col min="8474" max="8475" width="10.85546875" style="1084"/>
    <col min="8476" max="8476" width="14.28515625" style="1084" bestFit="1" customWidth="1"/>
    <col min="8477" max="8704" width="10.85546875" style="1084"/>
    <col min="8705" max="8705" width="12.28515625" style="1084" customWidth="1"/>
    <col min="8706" max="8706" width="78.7109375" style="1084" customWidth="1"/>
    <col min="8707" max="8707" width="20.28515625" style="1084" customWidth="1"/>
    <col min="8708" max="8708" width="13.42578125" style="1084" customWidth="1"/>
    <col min="8709" max="8709" width="17.140625" style="1084" customWidth="1"/>
    <col min="8710" max="8710" width="22" style="1084" customWidth="1"/>
    <col min="8711" max="8711" width="17.85546875" style="1084" customWidth="1"/>
    <col min="8712" max="8712" width="21.28515625" style="1084" customWidth="1"/>
    <col min="8713" max="8713" width="16.5703125" style="1084" customWidth="1"/>
    <col min="8714" max="8714" width="20.28515625" style="1084" customWidth="1"/>
    <col min="8715" max="8715" width="17.28515625" style="1084" customWidth="1"/>
    <col min="8716" max="8716" width="19.42578125" style="1084" customWidth="1"/>
    <col min="8717" max="8717" width="18.5703125" style="1084" customWidth="1"/>
    <col min="8718" max="8718" width="19.7109375" style="1084" customWidth="1"/>
    <col min="8719" max="8719" width="16" style="1084" customWidth="1"/>
    <col min="8720" max="8720" width="20.5703125" style="1084" customWidth="1"/>
    <col min="8721" max="8721" width="16.85546875" style="1084" customWidth="1"/>
    <col min="8722" max="8722" width="23.7109375" style="1084" customWidth="1"/>
    <col min="8723" max="8723" width="27.140625" style="1084" bestFit="1" customWidth="1"/>
    <col min="8724" max="8724" width="25.7109375" style="1084" bestFit="1" customWidth="1"/>
    <col min="8725" max="8725" width="19.42578125" style="1084" bestFit="1" customWidth="1"/>
    <col min="8726" max="8726" width="10.85546875" style="1084"/>
    <col min="8727" max="8727" width="16.42578125" style="1084" bestFit="1" customWidth="1"/>
    <col min="8728" max="8728" width="10.85546875" style="1084"/>
    <col min="8729" max="8729" width="14.42578125" style="1084" bestFit="1" customWidth="1"/>
    <col min="8730" max="8731" width="10.85546875" style="1084"/>
    <col min="8732" max="8732" width="14.28515625" style="1084" bestFit="1" customWidth="1"/>
    <col min="8733" max="8960" width="10.85546875" style="1084"/>
    <col min="8961" max="8961" width="12.28515625" style="1084" customWidth="1"/>
    <col min="8962" max="8962" width="78.7109375" style="1084" customWidth="1"/>
    <col min="8963" max="8963" width="20.28515625" style="1084" customWidth="1"/>
    <col min="8964" max="8964" width="13.42578125" style="1084" customWidth="1"/>
    <col min="8965" max="8965" width="17.140625" style="1084" customWidth="1"/>
    <col min="8966" max="8966" width="22" style="1084" customWidth="1"/>
    <col min="8967" max="8967" width="17.85546875" style="1084" customWidth="1"/>
    <col min="8968" max="8968" width="21.28515625" style="1084" customWidth="1"/>
    <col min="8969" max="8969" width="16.5703125" style="1084" customWidth="1"/>
    <col min="8970" max="8970" width="20.28515625" style="1084" customWidth="1"/>
    <col min="8971" max="8971" width="17.28515625" style="1084" customWidth="1"/>
    <col min="8972" max="8972" width="19.42578125" style="1084" customWidth="1"/>
    <col min="8973" max="8973" width="18.5703125" style="1084" customWidth="1"/>
    <col min="8974" max="8974" width="19.7109375" style="1084" customWidth="1"/>
    <col min="8975" max="8975" width="16" style="1084" customWidth="1"/>
    <col min="8976" max="8976" width="20.5703125" style="1084" customWidth="1"/>
    <col min="8977" max="8977" width="16.85546875" style="1084" customWidth="1"/>
    <col min="8978" max="8978" width="23.7109375" style="1084" customWidth="1"/>
    <col min="8979" max="8979" width="27.140625" style="1084" bestFit="1" customWidth="1"/>
    <col min="8980" max="8980" width="25.7109375" style="1084" bestFit="1" customWidth="1"/>
    <col min="8981" max="8981" width="19.42578125" style="1084" bestFit="1" customWidth="1"/>
    <col min="8982" max="8982" width="10.85546875" style="1084"/>
    <col min="8983" max="8983" width="16.42578125" style="1084" bestFit="1" customWidth="1"/>
    <col min="8984" max="8984" width="10.85546875" style="1084"/>
    <col min="8985" max="8985" width="14.42578125" style="1084" bestFit="1" customWidth="1"/>
    <col min="8986" max="8987" width="10.85546875" style="1084"/>
    <col min="8988" max="8988" width="14.28515625" style="1084" bestFit="1" customWidth="1"/>
    <col min="8989" max="9216" width="10.85546875" style="1084"/>
    <col min="9217" max="9217" width="12.28515625" style="1084" customWidth="1"/>
    <col min="9218" max="9218" width="78.7109375" style="1084" customWidth="1"/>
    <col min="9219" max="9219" width="20.28515625" style="1084" customWidth="1"/>
    <col min="9220" max="9220" width="13.42578125" style="1084" customWidth="1"/>
    <col min="9221" max="9221" width="17.140625" style="1084" customWidth="1"/>
    <col min="9222" max="9222" width="22" style="1084" customWidth="1"/>
    <col min="9223" max="9223" width="17.85546875" style="1084" customWidth="1"/>
    <col min="9224" max="9224" width="21.28515625" style="1084" customWidth="1"/>
    <col min="9225" max="9225" width="16.5703125" style="1084" customWidth="1"/>
    <col min="9226" max="9226" width="20.28515625" style="1084" customWidth="1"/>
    <col min="9227" max="9227" width="17.28515625" style="1084" customWidth="1"/>
    <col min="9228" max="9228" width="19.42578125" style="1084" customWidth="1"/>
    <col min="9229" max="9229" width="18.5703125" style="1084" customWidth="1"/>
    <col min="9230" max="9230" width="19.7109375" style="1084" customWidth="1"/>
    <col min="9231" max="9231" width="16" style="1084" customWidth="1"/>
    <col min="9232" max="9232" width="20.5703125" style="1084" customWidth="1"/>
    <col min="9233" max="9233" width="16.85546875" style="1084" customWidth="1"/>
    <col min="9234" max="9234" width="23.7109375" style="1084" customWidth="1"/>
    <col min="9235" max="9235" width="27.140625" style="1084" bestFit="1" customWidth="1"/>
    <col min="9236" max="9236" width="25.7109375" style="1084" bestFit="1" customWidth="1"/>
    <col min="9237" max="9237" width="19.42578125" style="1084" bestFit="1" customWidth="1"/>
    <col min="9238" max="9238" width="10.85546875" style="1084"/>
    <col min="9239" max="9239" width="16.42578125" style="1084" bestFit="1" customWidth="1"/>
    <col min="9240" max="9240" width="10.85546875" style="1084"/>
    <col min="9241" max="9241" width="14.42578125" style="1084" bestFit="1" customWidth="1"/>
    <col min="9242" max="9243" width="10.85546875" style="1084"/>
    <col min="9244" max="9244" width="14.28515625" style="1084" bestFit="1" customWidth="1"/>
    <col min="9245" max="9472" width="10.85546875" style="1084"/>
    <col min="9473" max="9473" width="12.28515625" style="1084" customWidth="1"/>
    <col min="9474" max="9474" width="78.7109375" style="1084" customWidth="1"/>
    <col min="9475" max="9475" width="20.28515625" style="1084" customWidth="1"/>
    <col min="9476" max="9476" width="13.42578125" style="1084" customWidth="1"/>
    <col min="9477" max="9477" width="17.140625" style="1084" customWidth="1"/>
    <col min="9478" max="9478" width="22" style="1084" customWidth="1"/>
    <col min="9479" max="9479" width="17.85546875" style="1084" customWidth="1"/>
    <col min="9480" max="9480" width="21.28515625" style="1084" customWidth="1"/>
    <col min="9481" max="9481" width="16.5703125" style="1084" customWidth="1"/>
    <col min="9482" max="9482" width="20.28515625" style="1084" customWidth="1"/>
    <col min="9483" max="9483" width="17.28515625" style="1084" customWidth="1"/>
    <col min="9484" max="9484" width="19.42578125" style="1084" customWidth="1"/>
    <col min="9485" max="9485" width="18.5703125" style="1084" customWidth="1"/>
    <col min="9486" max="9486" width="19.7109375" style="1084" customWidth="1"/>
    <col min="9487" max="9487" width="16" style="1084" customWidth="1"/>
    <col min="9488" max="9488" width="20.5703125" style="1084" customWidth="1"/>
    <col min="9489" max="9489" width="16.85546875" style="1084" customWidth="1"/>
    <col min="9490" max="9490" width="23.7109375" style="1084" customWidth="1"/>
    <col min="9491" max="9491" width="27.140625" style="1084" bestFit="1" customWidth="1"/>
    <col min="9492" max="9492" width="25.7109375" style="1084" bestFit="1" customWidth="1"/>
    <col min="9493" max="9493" width="19.42578125" style="1084" bestFit="1" customWidth="1"/>
    <col min="9494" max="9494" width="10.85546875" style="1084"/>
    <col min="9495" max="9495" width="16.42578125" style="1084" bestFit="1" customWidth="1"/>
    <col min="9496" max="9496" width="10.85546875" style="1084"/>
    <col min="9497" max="9497" width="14.42578125" style="1084" bestFit="1" customWidth="1"/>
    <col min="9498" max="9499" width="10.85546875" style="1084"/>
    <col min="9500" max="9500" width="14.28515625" style="1084" bestFit="1" customWidth="1"/>
    <col min="9501" max="9728" width="10.85546875" style="1084"/>
    <col min="9729" max="9729" width="12.28515625" style="1084" customWidth="1"/>
    <col min="9730" max="9730" width="78.7109375" style="1084" customWidth="1"/>
    <col min="9731" max="9731" width="20.28515625" style="1084" customWidth="1"/>
    <col min="9732" max="9732" width="13.42578125" style="1084" customWidth="1"/>
    <col min="9733" max="9733" width="17.140625" style="1084" customWidth="1"/>
    <col min="9734" max="9734" width="22" style="1084" customWidth="1"/>
    <col min="9735" max="9735" width="17.85546875" style="1084" customWidth="1"/>
    <col min="9736" max="9736" width="21.28515625" style="1084" customWidth="1"/>
    <col min="9737" max="9737" width="16.5703125" style="1084" customWidth="1"/>
    <col min="9738" max="9738" width="20.28515625" style="1084" customWidth="1"/>
    <col min="9739" max="9739" width="17.28515625" style="1084" customWidth="1"/>
    <col min="9740" max="9740" width="19.42578125" style="1084" customWidth="1"/>
    <col min="9741" max="9741" width="18.5703125" style="1084" customWidth="1"/>
    <col min="9742" max="9742" width="19.7109375" style="1084" customWidth="1"/>
    <col min="9743" max="9743" width="16" style="1084" customWidth="1"/>
    <col min="9744" max="9744" width="20.5703125" style="1084" customWidth="1"/>
    <col min="9745" max="9745" width="16.85546875" style="1084" customWidth="1"/>
    <col min="9746" max="9746" width="23.7109375" style="1084" customWidth="1"/>
    <col min="9747" max="9747" width="27.140625" style="1084" bestFit="1" customWidth="1"/>
    <col min="9748" max="9748" width="25.7109375" style="1084" bestFit="1" customWidth="1"/>
    <col min="9749" max="9749" width="19.42578125" style="1084" bestFit="1" customWidth="1"/>
    <col min="9750" max="9750" width="10.85546875" style="1084"/>
    <col min="9751" max="9751" width="16.42578125" style="1084" bestFit="1" customWidth="1"/>
    <col min="9752" max="9752" width="10.85546875" style="1084"/>
    <col min="9753" max="9753" width="14.42578125" style="1084" bestFit="1" customWidth="1"/>
    <col min="9754" max="9755" width="10.85546875" style="1084"/>
    <col min="9756" max="9756" width="14.28515625" style="1084" bestFit="1" customWidth="1"/>
    <col min="9757" max="9984" width="10.85546875" style="1084"/>
    <col min="9985" max="9985" width="12.28515625" style="1084" customWidth="1"/>
    <col min="9986" max="9986" width="78.7109375" style="1084" customWidth="1"/>
    <col min="9987" max="9987" width="20.28515625" style="1084" customWidth="1"/>
    <col min="9988" max="9988" width="13.42578125" style="1084" customWidth="1"/>
    <col min="9989" max="9989" width="17.140625" style="1084" customWidth="1"/>
    <col min="9990" max="9990" width="22" style="1084" customWidth="1"/>
    <col min="9991" max="9991" width="17.85546875" style="1084" customWidth="1"/>
    <col min="9992" max="9992" width="21.28515625" style="1084" customWidth="1"/>
    <col min="9993" max="9993" width="16.5703125" style="1084" customWidth="1"/>
    <col min="9994" max="9994" width="20.28515625" style="1084" customWidth="1"/>
    <col min="9995" max="9995" width="17.28515625" style="1084" customWidth="1"/>
    <col min="9996" max="9996" width="19.42578125" style="1084" customWidth="1"/>
    <col min="9997" max="9997" width="18.5703125" style="1084" customWidth="1"/>
    <col min="9998" max="9998" width="19.7109375" style="1084" customWidth="1"/>
    <col min="9999" max="9999" width="16" style="1084" customWidth="1"/>
    <col min="10000" max="10000" width="20.5703125" style="1084" customWidth="1"/>
    <col min="10001" max="10001" width="16.85546875" style="1084" customWidth="1"/>
    <col min="10002" max="10002" width="23.7109375" style="1084" customWidth="1"/>
    <col min="10003" max="10003" width="27.140625" style="1084" bestFit="1" customWidth="1"/>
    <col min="10004" max="10004" width="25.7109375" style="1084" bestFit="1" customWidth="1"/>
    <col min="10005" max="10005" width="19.42578125" style="1084" bestFit="1" customWidth="1"/>
    <col min="10006" max="10006" width="10.85546875" style="1084"/>
    <col min="10007" max="10007" width="16.42578125" style="1084" bestFit="1" customWidth="1"/>
    <col min="10008" max="10008" width="10.85546875" style="1084"/>
    <col min="10009" max="10009" width="14.42578125" style="1084" bestFit="1" customWidth="1"/>
    <col min="10010" max="10011" width="10.85546875" style="1084"/>
    <col min="10012" max="10012" width="14.28515625" style="1084" bestFit="1" customWidth="1"/>
    <col min="10013" max="10240" width="10.85546875" style="1084"/>
    <col min="10241" max="10241" width="12.28515625" style="1084" customWidth="1"/>
    <col min="10242" max="10242" width="78.7109375" style="1084" customWidth="1"/>
    <col min="10243" max="10243" width="20.28515625" style="1084" customWidth="1"/>
    <col min="10244" max="10244" width="13.42578125" style="1084" customWidth="1"/>
    <col min="10245" max="10245" width="17.140625" style="1084" customWidth="1"/>
    <col min="10246" max="10246" width="22" style="1084" customWidth="1"/>
    <col min="10247" max="10247" width="17.85546875" style="1084" customWidth="1"/>
    <col min="10248" max="10248" width="21.28515625" style="1084" customWidth="1"/>
    <col min="10249" max="10249" width="16.5703125" style="1084" customWidth="1"/>
    <col min="10250" max="10250" width="20.28515625" style="1084" customWidth="1"/>
    <col min="10251" max="10251" width="17.28515625" style="1084" customWidth="1"/>
    <col min="10252" max="10252" width="19.42578125" style="1084" customWidth="1"/>
    <col min="10253" max="10253" width="18.5703125" style="1084" customWidth="1"/>
    <col min="10254" max="10254" width="19.7109375" style="1084" customWidth="1"/>
    <col min="10255" max="10255" width="16" style="1084" customWidth="1"/>
    <col min="10256" max="10256" width="20.5703125" style="1084" customWidth="1"/>
    <col min="10257" max="10257" width="16.85546875" style="1084" customWidth="1"/>
    <col min="10258" max="10258" width="23.7109375" style="1084" customWidth="1"/>
    <col min="10259" max="10259" width="27.140625" style="1084" bestFit="1" customWidth="1"/>
    <col min="10260" max="10260" width="25.7109375" style="1084" bestFit="1" customWidth="1"/>
    <col min="10261" max="10261" width="19.42578125" style="1084" bestFit="1" customWidth="1"/>
    <col min="10262" max="10262" width="10.85546875" style="1084"/>
    <col min="10263" max="10263" width="16.42578125" style="1084" bestFit="1" customWidth="1"/>
    <col min="10264" max="10264" width="10.85546875" style="1084"/>
    <col min="10265" max="10265" width="14.42578125" style="1084" bestFit="1" customWidth="1"/>
    <col min="10266" max="10267" width="10.85546875" style="1084"/>
    <col min="10268" max="10268" width="14.28515625" style="1084" bestFit="1" customWidth="1"/>
    <col min="10269" max="10496" width="10.85546875" style="1084"/>
    <col min="10497" max="10497" width="12.28515625" style="1084" customWidth="1"/>
    <col min="10498" max="10498" width="78.7109375" style="1084" customWidth="1"/>
    <col min="10499" max="10499" width="20.28515625" style="1084" customWidth="1"/>
    <col min="10500" max="10500" width="13.42578125" style="1084" customWidth="1"/>
    <col min="10501" max="10501" width="17.140625" style="1084" customWidth="1"/>
    <col min="10502" max="10502" width="22" style="1084" customWidth="1"/>
    <col min="10503" max="10503" width="17.85546875" style="1084" customWidth="1"/>
    <col min="10504" max="10504" width="21.28515625" style="1084" customWidth="1"/>
    <col min="10505" max="10505" width="16.5703125" style="1084" customWidth="1"/>
    <col min="10506" max="10506" width="20.28515625" style="1084" customWidth="1"/>
    <col min="10507" max="10507" width="17.28515625" style="1084" customWidth="1"/>
    <col min="10508" max="10508" width="19.42578125" style="1084" customWidth="1"/>
    <col min="10509" max="10509" width="18.5703125" style="1084" customWidth="1"/>
    <col min="10510" max="10510" width="19.7109375" style="1084" customWidth="1"/>
    <col min="10511" max="10511" width="16" style="1084" customWidth="1"/>
    <col min="10512" max="10512" width="20.5703125" style="1084" customWidth="1"/>
    <col min="10513" max="10513" width="16.85546875" style="1084" customWidth="1"/>
    <col min="10514" max="10514" width="23.7109375" style="1084" customWidth="1"/>
    <col min="10515" max="10515" width="27.140625" style="1084" bestFit="1" customWidth="1"/>
    <col min="10516" max="10516" width="25.7109375" style="1084" bestFit="1" customWidth="1"/>
    <col min="10517" max="10517" width="19.42578125" style="1084" bestFit="1" customWidth="1"/>
    <col min="10518" max="10518" width="10.85546875" style="1084"/>
    <col min="10519" max="10519" width="16.42578125" style="1084" bestFit="1" customWidth="1"/>
    <col min="10520" max="10520" width="10.85546875" style="1084"/>
    <col min="10521" max="10521" width="14.42578125" style="1084" bestFit="1" customWidth="1"/>
    <col min="10522" max="10523" width="10.85546875" style="1084"/>
    <col min="10524" max="10524" width="14.28515625" style="1084" bestFit="1" customWidth="1"/>
    <col min="10525" max="10752" width="10.85546875" style="1084"/>
    <col min="10753" max="10753" width="12.28515625" style="1084" customWidth="1"/>
    <col min="10754" max="10754" width="78.7109375" style="1084" customWidth="1"/>
    <col min="10755" max="10755" width="20.28515625" style="1084" customWidth="1"/>
    <col min="10756" max="10756" width="13.42578125" style="1084" customWidth="1"/>
    <col min="10757" max="10757" width="17.140625" style="1084" customWidth="1"/>
    <col min="10758" max="10758" width="22" style="1084" customWidth="1"/>
    <col min="10759" max="10759" width="17.85546875" style="1084" customWidth="1"/>
    <col min="10760" max="10760" width="21.28515625" style="1084" customWidth="1"/>
    <col min="10761" max="10761" width="16.5703125" style="1084" customWidth="1"/>
    <col min="10762" max="10762" width="20.28515625" style="1084" customWidth="1"/>
    <col min="10763" max="10763" width="17.28515625" style="1084" customWidth="1"/>
    <col min="10764" max="10764" width="19.42578125" style="1084" customWidth="1"/>
    <col min="10765" max="10765" width="18.5703125" style="1084" customWidth="1"/>
    <col min="10766" max="10766" width="19.7109375" style="1084" customWidth="1"/>
    <col min="10767" max="10767" width="16" style="1084" customWidth="1"/>
    <col min="10768" max="10768" width="20.5703125" style="1084" customWidth="1"/>
    <col min="10769" max="10769" width="16.85546875" style="1084" customWidth="1"/>
    <col min="10770" max="10770" width="23.7109375" style="1084" customWidth="1"/>
    <col min="10771" max="10771" width="27.140625" style="1084" bestFit="1" customWidth="1"/>
    <col min="10772" max="10772" width="25.7109375" style="1084" bestFit="1" customWidth="1"/>
    <col min="10773" max="10773" width="19.42578125" style="1084" bestFit="1" customWidth="1"/>
    <col min="10774" max="10774" width="10.85546875" style="1084"/>
    <col min="10775" max="10775" width="16.42578125" style="1084" bestFit="1" customWidth="1"/>
    <col min="10776" max="10776" width="10.85546875" style="1084"/>
    <col min="10777" max="10777" width="14.42578125" style="1084" bestFit="1" customWidth="1"/>
    <col min="10778" max="10779" width="10.85546875" style="1084"/>
    <col min="10780" max="10780" width="14.28515625" style="1084" bestFit="1" customWidth="1"/>
    <col min="10781" max="11008" width="10.85546875" style="1084"/>
    <col min="11009" max="11009" width="12.28515625" style="1084" customWidth="1"/>
    <col min="11010" max="11010" width="78.7109375" style="1084" customWidth="1"/>
    <col min="11011" max="11011" width="20.28515625" style="1084" customWidth="1"/>
    <col min="11012" max="11012" width="13.42578125" style="1084" customWidth="1"/>
    <col min="11013" max="11013" width="17.140625" style="1084" customWidth="1"/>
    <col min="11014" max="11014" width="22" style="1084" customWidth="1"/>
    <col min="11015" max="11015" width="17.85546875" style="1084" customWidth="1"/>
    <col min="11016" max="11016" width="21.28515625" style="1084" customWidth="1"/>
    <col min="11017" max="11017" width="16.5703125" style="1084" customWidth="1"/>
    <col min="11018" max="11018" width="20.28515625" style="1084" customWidth="1"/>
    <col min="11019" max="11019" width="17.28515625" style="1084" customWidth="1"/>
    <col min="11020" max="11020" width="19.42578125" style="1084" customWidth="1"/>
    <col min="11021" max="11021" width="18.5703125" style="1084" customWidth="1"/>
    <col min="11022" max="11022" width="19.7109375" style="1084" customWidth="1"/>
    <col min="11023" max="11023" width="16" style="1084" customWidth="1"/>
    <col min="11024" max="11024" width="20.5703125" style="1084" customWidth="1"/>
    <col min="11025" max="11025" width="16.85546875" style="1084" customWidth="1"/>
    <col min="11026" max="11026" width="23.7109375" style="1084" customWidth="1"/>
    <col min="11027" max="11027" width="27.140625" style="1084" bestFit="1" customWidth="1"/>
    <col min="11028" max="11028" width="25.7109375" style="1084" bestFit="1" customWidth="1"/>
    <col min="11029" max="11029" width="19.42578125" style="1084" bestFit="1" customWidth="1"/>
    <col min="11030" max="11030" width="10.85546875" style="1084"/>
    <col min="11031" max="11031" width="16.42578125" style="1084" bestFit="1" customWidth="1"/>
    <col min="11032" max="11032" width="10.85546875" style="1084"/>
    <col min="11033" max="11033" width="14.42578125" style="1084" bestFit="1" customWidth="1"/>
    <col min="11034" max="11035" width="10.85546875" style="1084"/>
    <col min="11036" max="11036" width="14.28515625" style="1084" bestFit="1" customWidth="1"/>
    <col min="11037" max="11264" width="10.85546875" style="1084"/>
    <col min="11265" max="11265" width="12.28515625" style="1084" customWidth="1"/>
    <col min="11266" max="11266" width="78.7109375" style="1084" customWidth="1"/>
    <col min="11267" max="11267" width="20.28515625" style="1084" customWidth="1"/>
    <col min="11268" max="11268" width="13.42578125" style="1084" customWidth="1"/>
    <col min="11269" max="11269" width="17.140625" style="1084" customWidth="1"/>
    <col min="11270" max="11270" width="22" style="1084" customWidth="1"/>
    <col min="11271" max="11271" width="17.85546875" style="1084" customWidth="1"/>
    <col min="11272" max="11272" width="21.28515625" style="1084" customWidth="1"/>
    <col min="11273" max="11273" width="16.5703125" style="1084" customWidth="1"/>
    <col min="11274" max="11274" width="20.28515625" style="1084" customWidth="1"/>
    <col min="11275" max="11275" width="17.28515625" style="1084" customWidth="1"/>
    <col min="11276" max="11276" width="19.42578125" style="1084" customWidth="1"/>
    <col min="11277" max="11277" width="18.5703125" style="1084" customWidth="1"/>
    <col min="11278" max="11278" width="19.7109375" style="1084" customWidth="1"/>
    <col min="11279" max="11279" width="16" style="1084" customWidth="1"/>
    <col min="11280" max="11280" width="20.5703125" style="1084" customWidth="1"/>
    <col min="11281" max="11281" width="16.85546875" style="1084" customWidth="1"/>
    <col min="11282" max="11282" width="23.7109375" style="1084" customWidth="1"/>
    <col min="11283" max="11283" width="27.140625" style="1084" bestFit="1" customWidth="1"/>
    <col min="11284" max="11284" width="25.7109375" style="1084" bestFit="1" customWidth="1"/>
    <col min="11285" max="11285" width="19.42578125" style="1084" bestFit="1" customWidth="1"/>
    <col min="11286" max="11286" width="10.85546875" style="1084"/>
    <col min="11287" max="11287" width="16.42578125" style="1084" bestFit="1" customWidth="1"/>
    <col min="11288" max="11288" width="10.85546875" style="1084"/>
    <col min="11289" max="11289" width="14.42578125" style="1084" bestFit="1" customWidth="1"/>
    <col min="11290" max="11291" width="10.85546875" style="1084"/>
    <col min="11292" max="11292" width="14.28515625" style="1084" bestFit="1" customWidth="1"/>
    <col min="11293" max="11520" width="10.85546875" style="1084"/>
    <col min="11521" max="11521" width="12.28515625" style="1084" customWidth="1"/>
    <col min="11522" max="11522" width="78.7109375" style="1084" customWidth="1"/>
    <col min="11523" max="11523" width="20.28515625" style="1084" customWidth="1"/>
    <col min="11524" max="11524" width="13.42578125" style="1084" customWidth="1"/>
    <col min="11525" max="11525" width="17.140625" style="1084" customWidth="1"/>
    <col min="11526" max="11526" width="22" style="1084" customWidth="1"/>
    <col min="11527" max="11527" width="17.85546875" style="1084" customWidth="1"/>
    <col min="11528" max="11528" width="21.28515625" style="1084" customWidth="1"/>
    <col min="11529" max="11529" width="16.5703125" style="1084" customWidth="1"/>
    <col min="11530" max="11530" width="20.28515625" style="1084" customWidth="1"/>
    <col min="11531" max="11531" width="17.28515625" style="1084" customWidth="1"/>
    <col min="11532" max="11532" width="19.42578125" style="1084" customWidth="1"/>
    <col min="11533" max="11533" width="18.5703125" style="1084" customWidth="1"/>
    <col min="11534" max="11534" width="19.7109375" style="1084" customWidth="1"/>
    <col min="11535" max="11535" width="16" style="1084" customWidth="1"/>
    <col min="11536" max="11536" width="20.5703125" style="1084" customWidth="1"/>
    <col min="11537" max="11537" width="16.85546875" style="1084" customWidth="1"/>
    <col min="11538" max="11538" width="23.7109375" style="1084" customWidth="1"/>
    <col min="11539" max="11539" width="27.140625" style="1084" bestFit="1" customWidth="1"/>
    <col min="11540" max="11540" width="25.7109375" style="1084" bestFit="1" customWidth="1"/>
    <col min="11541" max="11541" width="19.42578125" style="1084" bestFit="1" customWidth="1"/>
    <col min="11542" max="11542" width="10.85546875" style="1084"/>
    <col min="11543" max="11543" width="16.42578125" style="1084" bestFit="1" customWidth="1"/>
    <col min="11544" max="11544" width="10.85546875" style="1084"/>
    <col min="11545" max="11545" width="14.42578125" style="1084" bestFit="1" customWidth="1"/>
    <col min="11546" max="11547" width="10.85546875" style="1084"/>
    <col min="11548" max="11548" width="14.28515625" style="1084" bestFit="1" customWidth="1"/>
    <col min="11549" max="11776" width="10.85546875" style="1084"/>
    <col min="11777" max="11777" width="12.28515625" style="1084" customWidth="1"/>
    <col min="11778" max="11778" width="78.7109375" style="1084" customWidth="1"/>
    <col min="11779" max="11779" width="20.28515625" style="1084" customWidth="1"/>
    <col min="11780" max="11780" width="13.42578125" style="1084" customWidth="1"/>
    <col min="11781" max="11781" width="17.140625" style="1084" customWidth="1"/>
    <col min="11782" max="11782" width="22" style="1084" customWidth="1"/>
    <col min="11783" max="11783" width="17.85546875" style="1084" customWidth="1"/>
    <col min="11784" max="11784" width="21.28515625" style="1084" customWidth="1"/>
    <col min="11785" max="11785" width="16.5703125" style="1084" customWidth="1"/>
    <col min="11786" max="11786" width="20.28515625" style="1084" customWidth="1"/>
    <col min="11787" max="11787" width="17.28515625" style="1084" customWidth="1"/>
    <col min="11788" max="11788" width="19.42578125" style="1084" customWidth="1"/>
    <col min="11789" max="11789" width="18.5703125" style="1084" customWidth="1"/>
    <col min="11790" max="11790" width="19.7109375" style="1084" customWidth="1"/>
    <col min="11791" max="11791" width="16" style="1084" customWidth="1"/>
    <col min="11792" max="11792" width="20.5703125" style="1084" customWidth="1"/>
    <col min="11793" max="11793" width="16.85546875" style="1084" customWidth="1"/>
    <col min="11794" max="11794" width="23.7109375" style="1084" customWidth="1"/>
    <col min="11795" max="11795" width="27.140625" style="1084" bestFit="1" customWidth="1"/>
    <col min="11796" max="11796" width="25.7109375" style="1084" bestFit="1" customWidth="1"/>
    <col min="11797" max="11797" width="19.42578125" style="1084" bestFit="1" customWidth="1"/>
    <col min="11798" max="11798" width="10.85546875" style="1084"/>
    <col min="11799" max="11799" width="16.42578125" style="1084" bestFit="1" customWidth="1"/>
    <col min="11800" max="11800" width="10.85546875" style="1084"/>
    <col min="11801" max="11801" width="14.42578125" style="1084" bestFit="1" customWidth="1"/>
    <col min="11802" max="11803" width="10.85546875" style="1084"/>
    <col min="11804" max="11804" width="14.28515625" style="1084" bestFit="1" customWidth="1"/>
    <col min="11805" max="12032" width="10.85546875" style="1084"/>
    <col min="12033" max="12033" width="12.28515625" style="1084" customWidth="1"/>
    <col min="12034" max="12034" width="78.7109375" style="1084" customWidth="1"/>
    <col min="12035" max="12035" width="20.28515625" style="1084" customWidth="1"/>
    <col min="12036" max="12036" width="13.42578125" style="1084" customWidth="1"/>
    <col min="12037" max="12037" width="17.140625" style="1084" customWidth="1"/>
    <col min="12038" max="12038" width="22" style="1084" customWidth="1"/>
    <col min="12039" max="12039" width="17.85546875" style="1084" customWidth="1"/>
    <col min="12040" max="12040" width="21.28515625" style="1084" customWidth="1"/>
    <col min="12041" max="12041" width="16.5703125" style="1084" customWidth="1"/>
    <col min="12042" max="12042" width="20.28515625" style="1084" customWidth="1"/>
    <col min="12043" max="12043" width="17.28515625" style="1084" customWidth="1"/>
    <col min="12044" max="12044" width="19.42578125" style="1084" customWidth="1"/>
    <col min="12045" max="12045" width="18.5703125" style="1084" customWidth="1"/>
    <col min="12046" max="12046" width="19.7109375" style="1084" customWidth="1"/>
    <col min="12047" max="12047" width="16" style="1084" customWidth="1"/>
    <col min="12048" max="12048" width="20.5703125" style="1084" customWidth="1"/>
    <col min="12049" max="12049" width="16.85546875" style="1084" customWidth="1"/>
    <col min="12050" max="12050" width="23.7109375" style="1084" customWidth="1"/>
    <col min="12051" max="12051" width="27.140625" style="1084" bestFit="1" customWidth="1"/>
    <col min="12052" max="12052" width="25.7109375" style="1084" bestFit="1" customWidth="1"/>
    <col min="12053" max="12053" width="19.42578125" style="1084" bestFit="1" customWidth="1"/>
    <col min="12054" max="12054" width="10.85546875" style="1084"/>
    <col min="12055" max="12055" width="16.42578125" style="1084" bestFit="1" customWidth="1"/>
    <col min="12056" max="12056" width="10.85546875" style="1084"/>
    <col min="12057" max="12057" width="14.42578125" style="1084" bestFit="1" customWidth="1"/>
    <col min="12058" max="12059" width="10.85546875" style="1084"/>
    <col min="12060" max="12060" width="14.28515625" style="1084" bestFit="1" customWidth="1"/>
    <col min="12061" max="12288" width="10.85546875" style="1084"/>
    <col min="12289" max="12289" width="12.28515625" style="1084" customWidth="1"/>
    <col min="12290" max="12290" width="78.7109375" style="1084" customWidth="1"/>
    <col min="12291" max="12291" width="20.28515625" style="1084" customWidth="1"/>
    <col min="12292" max="12292" width="13.42578125" style="1084" customWidth="1"/>
    <col min="12293" max="12293" width="17.140625" style="1084" customWidth="1"/>
    <col min="12294" max="12294" width="22" style="1084" customWidth="1"/>
    <col min="12295" max="12295" width="17.85546875" style="1084" customWidth="1"/>
    <col min="12296" max="12296" width="21.28515625" style="1084" customWidth="1"/>
    <col min="12297" max="12297" width="16.5703125" style="1084" customWidth="1"/>
    <col min="12298" max="12298" width="20.28515625" style="1084" customWidth="1"/>
    <col min="12299" max="12299" width="17.28515625" style="1084" customWidth="1"/>
    <col min="12300" max="12300" width="19.42578125" style="1084" customWidth="1"/>
    <col min="12301" max="12301" width="18.5703125" style="1084" customWidth="1"/>
    <col min="12302" max="12302" width="19.7109375" style="1084" customWidth="1"/>
    <col min="12303" max="12303" width="16" style="1084" customWidth="1"/>
    <col min="12304" max="12304" width="20.5703125" style="1084" customWidth="1"/>
    <col min="12305" max="12305" width="16.85546875" style="1084" customWidth="1"/>
    <col min="12306" max="12306" width="23.7109375" style="1084" customWidth="1"/>
    <col min="12307" max="12307" width="27.140625" style="1084" bestFit="1" customWidth="1"/>
    <col min="12308" max="12308" width="25.7109375" style="1084" bestFit="1" customWidth="1"/>
    <col min="12309" max="12309" width="19.42578125" style="1084" bestFit="1" customWidth="1"/>
    <col min="12310" max="12310" width="10.85546875" style="1084"/>
    <col min="12311" max="12311" width="16.42578125" style="1084" bestFit="1" customWidth="1"/>
    <col min="12312" max="12312" width="10.85546875" style="1084"/>
    <col min="12313" max="12313" width="14.42578125" style="1084" bestFit="1" customWidth="1"/>
    <col min="12314" max="12315" width="10.85546875" style="1084"/>
    <col min="12316" max="12316" width="14.28515625" style="1084" bestFit="1" customWidth="1"/>
    <col min="12317" max="12544" width="10.85546875" style="1084"/>
    <col min="12545" max="12545" width="12.28515625" style="1084" customWidth="1"/>
    <col min="12546" max="12546" width="78.7109375" style="1084" customWidth="1"/>
    <col min="12547" max="12547" width="20.28515625" style="1084" customWidth="1"/>
    <col min="12548" max="12548" width="13.42578125" style="1084" customWidth="1"/>
    <col min="12549" max="12549" width="17.140625" style="1084" customWidth="1"/>
    <col min="12550" max="12550" width="22" style="1084" customWidth="1"/>
    <col min="12551" max="12551" width="17.85546875" style="1084" customWidth="1"/>
    <col min="12552" max="12552" width="21.28515625" style="1084" customWidth="1"/>
    <col min="12553" max="12553" width="16.5703125" style="1084" customWidth="1"/>
    <col min="12554" max="12554" width="20.28515625" style="1084" customWidth="1"/>
    <col min="12555" max="12555" width="17.28515625" style="1084" customWidth="1"/>
    <col min="12556" max="12556" width="19.42578125" style="1084" customWidth="1"/>
    <col min="12557" max="12557" width="18.5703125" style="1084" customWidth="1"/>
    <col min="12558" max="12558" width="19.7109375" style="1084" customWidth="1"/>
    <col min="12559" max="12559" width="16" style="1084" customWidth="1"/>
    <col min="12560" max="12560" width="20.5703125" style="1084" customWidth="1"/>
    <col min="12561" max="12561" width="16.85546875" style="1084" customWidth="1"/>
    <col min="12562" max="12562" width="23.7109375" style="1084" customWidth="1"/>
    <col min="12563" max="12563" width="27.140625" style="1084" bestFit="1" customWidth="1"/>
    <col min="12564" max="12564" width="25.7109375" style="1084" bestFit="1" customWidth="1"/>
    <col min="12565" max="12565" width="19.42578125" style="1084" bestFit="1" customWidth="1"/>
    <col min="12566" max="12566" width="10.85546875" style="1084"/>
    <col min="12567" max="12567" width="16.42578125" style="1084" bestFit="1" customWidth="1"/>
    <col min="12568" max="12568" width="10.85546875" style="1084"/>
    <col min="12569" max="12569" width="14.42578125" style="1084" bestFit="1" customWidth="1"/>
    <col min="12570" max="12571" width="10.85546875" style="1084"/>
    <col min="12572" max="12572" width="14.28515625" style="1084" bestFit="1" customWidth="1"/>
    <col min="12573" max="12800" width="10.85546875" style="1084"/>
    <col min="12801" max="12801" width="12.28515625" style="1084" customWidth="1"/>
    <col min="12802" max="12802" width="78.7109375" style="1084" customWidth="1"/>
    <col min="12803" max="12803" width="20.28515625" style="1084" customWidth="1"/>
    <col min="12804" max="12804" width="13.42578125" style="1084" customWidth="1"/>
    <col min="12805" max="12805" width="17.140625" style="1084" customWidth="1"/>
    <col min="12806" max="12806" width="22" style="1084" customWidth="1"/>
    <col min="12807" max="12807" width="17.85546875" style="1084" customWidth="1"/>
    <col min="12808" max="12808" width="21.28515625" style="1084" customWidth="1"/>
    <col min="12809" max="12809" width="16.5703125" style="1084" customWidth="1"/>
    <col min="12810" max="12810" width="20.28515625" style="1084" customWidth="1"/>
    <col min="12811" max="12811" width="17.28515625" style="1084" customWidth="1"/>
    <col min="12812" max="12812" width="19.42578125" style="1084" customWidth="1"/>
    <col min="12813" max="12813" width="18.5703125" style="1084" customWidth="1"/>
    <col min="12814" max="12814" width="19.7109375" style="1084" customWidth="1"/>
    <col min="12815" max="12815" width="16" style="1084" customWidth="1"/>
    <col min="12816" max="12816" width="20.5703125" style="1084" customWidth="1"/>
    <col min="12817" max="12817" width="16.85546875" style="1084" customWidth="1"/>
    <col min="12818" max="12818" width="23.7109375" style="1084" customWidth="1"/>
    <col min="12819" max="12819" width="27.140625" style="1084" bestFit="1" customWidth="1"/>
    <col min="12820" max="12820" width="25.7109375" style="1084" bestFit="1" customWidth="1"/>
    <col min="12821" max="12821" width="19.42578125" style="1084" bestFit="1" customWidth="1"/>
    <col min="12822" max="12822" width="10.85546875" style="1084"/>
    <col min="12823" max="12823" width="16.42578125" style="1084" bestFit="1" customWidth="1"/>
    <col min="12824" max="12824" width="10.85546875" style="1084"/>
    <col min="12825" max="12825" width="14.42578125" style="1084" bestFit="1" customWidth="1"/>
    <col min="12826" max="12827" width="10.85546875" style="1084"/>
    <col min="12828" max="12828" width="14.28515625" style="1084" bestFit="1" customWidth="1"/>
    <col min="12829" max="13056" width="10.85546875" style="1084"/>
    <col min="13057" max="13057" width="12.28515625" style="1084" customWidth="1"/>
    <col min="13058" max="13058" width="78.7109375" style="1084" customWidth="1"/>
    <col min="13059" max="13059" width="20.28515625" style="1084" customWidth="1"/>
    <col min="13060" max="13060" width="13.42578125" style="1084" customWidth="1"/>
    <col min="13061" max="13061" width="17.140625" style="1084" customWidth="1"/>
    <col min="13062" max="13062" width="22" style="1084" customWidth="1"/>
    <col min="13063" max="13063" width="17.85546875" style="1084" customWidth="1"/>
    <col min="13064" max="13064" width="21.28515625" style="1084" customWidth="1"/>
    <col min="13065" max="13065" width="16.5703125" style="1084" customWidth="1"/>
    <col min="13066" max="13066" width="20.28515625" style="1084" customWidth="1"/>
    <col min="13067" max="13067" width="17.28515625" style="1084" customWidth="1"/>
    <col min="13068" max="13068" width="19.42578125" style="1084" customWidth="1"/>
    <col min="13069" max="13069" width="18.5703125" style="1084" customWidth="1"/>
    <col min="13070" max="13070" width="19.7109375" style="1084" customWidth="1"/>
    <col min="13071" max="13071" width="16" style="1084" customWidth="1"/>
    <col min="13072" max="13072" width="20.5703125" style="1084" customWidth="1"/>
    <col min="13073" max="13073" width="16.85546875" style="1084" customWidth="1"/>
    <col min="13074" max="13074" width="23.7109375" style="1084" customWidth="1"/>
    <col min="13075" max="13075" width="27.140625" style="1084" bestFit="1" customWidth="1"/>
    <col min="13076" max="13076" width="25.7109375" style="1084" bestFit="1" customWidth="1"/>
    <col min="13077" max="13077" width="19.42578125" style="1084" bestFit="1" customWidth="1"/>
    <col min="13078" max="13078" width="10.85546875" style="1084"/>
    <col min="13079" max="13079" width="16.42578125" style="1084" bestFit="1" customWidth="1"/>
    <col min="13080" max="13080" width="10.85546875" style="1084"/>
    <col min="13081" max="13081" width="14.42578125" style="1084" bestFit="1" customWidth="1"/>
    <col min="13082" max="13083" width="10.85546875" style="1084"/>
    <col min="13084" max="13084" width="14.28515625" style="1084" bestFit="1" customWidth="1"/>
    <col min="13085" max="13312" width="10.85546875" style="1084"/>
    <col min="13313" max="13313" width="12.28515625" style="1084" customWidth="1"/>
    <col min="13314" max="13314" width="78.7109375" style="1084" customWidth="1"/>
    <col min="13315" max="13315" width="20.28515625" style="1084" customWidth="1"/>
    <col min="13316" max="13316" width="13.42578125" style="1084" customWidth="1"/>
    <col min="13317" max="13317" width="17.140625" style="1084" customWidth="1"/>
    <col min="13318" max="13318" width="22" style="1084" customWidth="1"/>
    <col min="13319" max="13319" width="17.85546875" style="1084" customWidth="1"/>
    <col min="13320" max="13320" width="21.28515625" style="1084" customWidth="1"/>
    <col min="13321" max="13321" width="16.5703125" style="1084" customWidth="1"/>
    <col min="13322" max="13322" width="20.28515625" style="1084" customWidth="1"/>
    <col min="13323" max="13323" width="17.28515625" style="1084" customWidth="1"/>
    <col min="13324" max="13324" width="19.42578125" style="1084" customWidth="1"/>
    <col min="13325" max="13325" width="18.5703125" style="1084" customWidth="1"/>
    <col min="13326" max="13326" width="19.7109375" style="1084" customWidth="1"/>
    <col min="13327" max="13327" width="16" style="1084" customWidth="1"/>
    <col min="13328" max="13328" width="20.5703125" style="1084" customWidth="1"/>
    <col min="13329" max="13329" width="16.85546875" style="1084" customWidth="1"/>
    <col min="13330" max="13330" width="23.7109375" style="1084" customWidth="1"/>
    <col min="13331" max="13331" width="27.140625" style="1084" bestFit="1" customWidth="1"/>
    <col min="13332" max="13332" width="25.7109375" style="1084" bestFit="1" customWidth="1"/>
    <col min="13333" max="13333" width="19.42578125" style="1084" bestFit="1" customWidth="1"/>
    <col min="13334" max="13334" width="10.85546875" style="1084"/>
    <col min="13335" max="13335" width="16.42578125" style="1084" bestFit="1" customWidth="1"/>
    <col min="13336" max="13336" width="10.85546875" style="1084"/>
    <col min="13337" max="13337" width="14.42578125" style="1084" bestFit="1" customWidth="1"/>
    <col min="13338" max="13339" width="10.85546875" style="1084"/>
    <col min="13340" max="13340" width="14.28515625" style="1084" bestFit="1" customWidth="1"/>
    <col min="13341" max="13568" width="10.85546875" style="1084"/>
    <col min="13569" max="13569" width="12.28515625" style="1084" customWidth="1"/>
    <col min="13570" max="13570" width="78.7109375" style="1084" customWidth="1"/>
    <col min="13571" max="13571" width="20.28515625" style="1084" customWidth="1"/>
    <col min="13572" max="13572" width="13.42578125" style="1084" customWidth="1"/>
    <col min="13573" max="13573" width="17.140625" style="1084" customWidth="1"/>
    <col min="13574" max="13574" width="22" style="1084" customWidth="1"/>
    <col min="13575" max="13575" width="17.85546875" style="1084" customWidth="1"/>
    <col min="13576" max="13576" width="21.28515625" style="1084" customWidth="1"/>
    <col min="13577" max="13577" width="16.5703125" style="1084" customWidth="1"/>
    <col min="13578" max="13578" width="20.28515625" style="1084" customWidth="1"/>
    <col min="13579" max="13579" width="17.28515625" style="1084" customWidth="1"/>
    <col min="13580" max="13580" width="19.42578125" style="1084" customWidth="1"/>
    <col min="13581" max="13581" width="18.5703125" style="1084" customWidth="1"/>
    <col min="13582" max="13582" width="19.7109375" style="1084" customWidth="1"/>
    <col min="13583" max="13583" width="16" style="1084" customWidth="1"/>
    <col min="13584" max="13584" width="20.5703125" style="1084" customWidth="1"/>
    <col min="13585" max="13585" width="16.85546875" style="1084" customWidth="1"/>
    <col min="13586" max="13586" width="23.7109375" style="1084" customWidth="1"/>
    <col min="13587" max="13587" width="27.140625" style="1084" bestFit="1" customWidth="1"/>
    <col min="13588" max="13588" width="25.7109375" style="1084" bestFit="1" customWidth="1"/>
    <col min="13589" max="13589" width="19.42578125" style="1084" bestFit="1" customWidth="1"/>
    <col min="13590" max="13590" width="10.85546875" style="1084"/>
    <col min="13591" max="13591" width="16.42578125" style="1084" bestFit="1" customWidth="1"/>
    <col min="13592" max="13592" width="10.85546875" style="1084"/>
    <col min="13593" max="13593" width="14.42578125" style="1084" bestFit="1" customWidth="1"/>
    <col min="13594" max="13595" width="10.85546875" style="1084"/>
    <col min="13596" max="13596" width="14.28515625" style="1084" bestFit="1" customWidth="1"/>
    <col min="13597" max="13824" width="10.85546875" style="1084"/>
    <col min="13825" max="13825" width="12.28515625" style="1084" customWidth="1"/>
    <col min="13826" max="13826" width="78.7109375" style="1084" customWidth="1"/>
    <col min="13827" max="13827" width="20.28515625" style="1084" customWidth="1"/>
    <col min="13828" max="13828" width="13.42578125" style="1084" customWidth="1"/>
    <col min="13829" max="13829" width="17.140625" style="1084" customWidth="1"/>
    <col min="13830" max="13830" width="22" style="1084" customWidth="1"/>
    <col min="13831" max="13831" width="17.85546875" style="1084" customWidth="1"/>
    <col min="13832" max="13832" width="21.28515625" style="1084" customWidth="1"/>
    <col min="13833" max="13833" width="16.5703125" style="1084" customWidth="1"/>
    <col min="13834" max="13834" width="20.28515625" style="1084" customWidth="1"/>
    <col min="13835" max="13835" width="17.28515625" style="1084" customWidth="1"/>
    <col min="13836" max="13836" width="19.42578125" style="1084" customWidth="1"/>
    <col min="13837" max="13837" width="18.5703125" style="1084" customWidth="1"/>
    <col min="13838" max="13838" width="19.7109375" style="1084" customWidth="1"/>
    <col min="13839" max="13839" width="16" style="1084" customWidth="1"/>
    <col min="13840" max="13840" width="20.5703125" style="1084" customWidth="1"/>
    <col min="13841" max="13841" width="16.85546875" style="1084" customWidth="1"/>
    <col min="13842" max="13842" width="23.7109375" style="1084" customWidth="1"/>
    <col min="13843" max="13843" width="27.140625" style="1084" bestFit="1" customWidth="1"/>
    <col min="13844" max="13844" width="25.7109375" style="1084" bestFit="1" customWidth="1"/>
    <col min="13845" max="13845" width="19.42578125" style="1084" bestFit="1" customWidth="1"/>
    <col min="13846" max="13846" width="10.85546875" style="1084"/>
    <col min="13847" max="13847" width="16.42578125" style="1084" bestFit="1" customWidth="1"/>
    <col min="13848" max="13848" width="10.85546875" style="1084"/>
    <col min="13849" max="13849" width="14.42578125" style="1084" bestFit="1" customWidth="1"/>
    <col min="13850" max="13851" width="10.85546875" style="1084"/>
    <col min="13852" max="13852" width="14.28515625" style="1084" bestFit="1" customWidth="1"/>
    <col min="13853" max="14080" width="10.85546875" style="1084"/>
    <col min="14081" max="14081" width="12.28515625" style="1084" customWidth="1"/>
    <col min="14082" max="14082" width="78.7109375" style="1084" customWidth="1"/>
    <col min="14083" max="14083" width="20.28515625" style="1084" customWidth="1"/>
    <col min="14084" max="14084" width="13.42578125" style="1084" customWidth="1"/>
    <col min="14085" max="14085" width="17.140625" style="1084" customWidth="1"/>
    <col min="14086" max="14086" width="22" style="1084" customWidth="1"/>
    <col min="14087" max="14087" width="17.85546875" style="1084" customWidth="1"/>
    <col min="14088" max="14088" width="21.28515625" style="1084" customWidth="1"/>
    <col min="14089" max="14089" width="16.5703125" style="1084" customWidth="1"/>
    <col min="14090" max="14090" width="20.28515625" style="1084" customWidth="1"/>
    <col min="14091" max="14091" width="17.28515625" style="1084" customWidth="1"/>
    <col min="14092" max="14092" width="19.42578125" style="1084" customWidth="1"/>
    <col min="14093" max="14093" width="18.5703125" style="1084" customWidth="1"/>
    <col min="14094" max="14094" width="19.7109375" style="1084" customWidth="1"/>
    <col min="14095" max="14095" width="16" style="1084" customWidth="1"/>
    <col min="14096" max="14096" width="20.5703125" style="1084" customWidth="1"/>
    <col min="14097" max="14097" width="16.85546875" style="1084" customWidth="1"/>
    <col min="14098" max="14098" width="23.7109375" style="1084" customWidth="1"/>
    <col min="14099" max="14099" width="27.140625" style="1084" bestFit="1" customWidth="1"/>
    <col min="14100" max="14100" width="25.7109375" style="1084" bestFit="1" customWidth="1"/>
    <col min="14101" max="14101" width="19.42578125" style="1084" bestFit="1" customWidth="1"/>
    <col min="14102" max="14102" width="10.85546875" style="1084"/>
    <col min="14103" max="14103" width="16.42578125" style="1084" bestFit="1" customWidth="1"/>
    <col min="14104" max="14104" width="10.85546875" style="1084"/>
    <col min="14105" max="14105" width="14.42578125" style="1084" bestFit="1" customWidth="1"/>
    <col min="14106" max="14107" width="10.85546875" style="1084"/>
    <col min="14108" max="14108" width="14.28515625" style="1084" bestFit="1" customWidth="1"/>
    <col min="14109" max="14336" width="10.85546875" style="1084"/>
    <col min="14337" max="14337" width="12.28515625" style="1084" customWidth="1"/>
    <col min="14338" max="14338" width="78.7109375" style="1084" customWidth="1"/>
    <col min="14339" max="14339" width="20.28515625" style="1084" customWidth="1"/>
    <col min="14340" max="14340" width="13.42578125" style="1084" customWidth="1"/>
    <col min="14341" max="14341" width="17.140625" style="1084" customWidth="1"/>
    <col min="14342" max="14342" width="22" style="1084" customWidth="1"/>
    <col min="14343" max="14343" width="17.85546875" style="1084" customWidth="1"/>
    <col min="14344" max="14344" width="21.28515625" style="1084" customWidth="1"/>
    <col min="14345" max="14345" width="16.5703125" style="1084" customWidth="1"/>
    <col min="14346" max="14346" width="20.28515625" style="1084" customWidth="1"/>
    <col min="14347" max="14347" width="17.28515625" style="1084" customWidth="1"/>
    <col min="14348" max="14348" width="19.42578125" style="1084" customWidth="1"/>
    <col min="14349" max="14349" width="18.5703125" style="1084" customWidth="1"/>
    <col min="14350" max="14350" width="19.7109375" style="1084" customWidth="1"/>
    <col min="14351" max="14351" width="16" style="1084" customWidth="1"/>
    <col min="14352" max="14352" width="20.5703125" style="1084" customWidth="1"/>
    <col min="14353" max="14353" width="16.85546875" style="1084" customWidth="1"/>
    <col min="14354" max="14354" width="23.7109375" style="1084" customWidth="1"/>
    <col min="14355" max="14355" width="27.140625" style="1084" bestFit="1" customWidth="1"/>
    <col min="14356" max="14356" width="25.7109375" style="1084" bestFit="1" customWidth="1"/>
    <col min="14357" max="14357" width="19.42578125" style="1084" bestFit="1" customWidth="1"/>
    <col min="14358" max="14358" width="10.85546875" style="1084"/>
    <col min="14359" max="14359" width="16.42578125" style="1084" bestFit="1" customWidth="1"/>
    <col min="14360" max="14360" width="10.85546875" style="1084"/>
    <col min="14361" max="14361" width="14.42578125" style="1084" bestFit="1" customWidth="1"/>
    <col min="14362" max="14363" width="10.85546875" style="1084"/>
    <col min="14364" max="14364" width="14.28515625" style="1084" bestFit="1" customWidth="1"/>
    <col min="14365" max="14592" width="10.85546875" style="1084"/>
    <col min="14593" max="14593" width="12.28515625" style="1084" customWidth="1"/>
    <col min="14594" max="14594" width="78.7109375" style="1084" customWidth="1"/>
    <col min="14595" max="14595" width="20.28515625" style="1084" customWidth="1"/>
    <col min="14596" max="14596" width="13.42578125" style="1084" customWidth="1"/>
    <col min="14597" max="14597" width="17.140625" style="1084" customWidth="1"/>
    <col min="14598" max="14598" width="22" style="1084" customWidth="1"/>
    <col min="14599" max="14599" width="17.85546875" style="1084" customWidth="1"/>
    <col min="14600" max="14600" width="21.28515625" style="1084" customWidth="1"/>
    <col min="14601" max="14601" width="16.5703125" style="1084" customWidth="1"/>
    <col min="14602" max="14602" width="20.28515625" style="1084" customWidth="1"/>
    <col min="14603" max="14603" width="17.28515625" style="1084" customWidth="1"/>
    <col min="14604" max="14604" width="19.42578125" style="1084" customWidth="1"/>
    <col min="14605" max="14605" width="18.5703125" style="1084" customWidth="1"/>
    <col min="14606" max="14606" width="19.7109375" style="1084" customWidth="1"/>
    <col min="14607" max="14607" width="16" style="1084" customWidth="1"/>
    <col min="14608" max="14608" width="20.5703125" style="1084" customWidth="1"/>
    <col min="14609" max="14609" width="16.85546875" style="1084" customWidth="1"/>
    <col min="14610" max="14610" width="23.7109375" style="1084" customWidth="1"/>
    <col min="14611" max="14611" width="27.140625" style="1084" bestFit="1" customWidth="1"/>
    <col min="14612" max="14612" width="25.7109375" style="1084" bestFit="1" customWidth="1"/>
    <col min="14613" max="14613" width="19.42578125" style="1084" bestFit="1" customWidth="1"/>
    <col min="14614" max="14614" width="10.85546875" style="1084"/>
    <col min="14615" max="14615" width="16.42578125" style="1084" bestFit="1" customWidth="1"/>
    <col min="14616" max="14616" width="10.85546875" style="1084"/>
    <col min="14617" max="14617" width="14.42578125" style="1084" bestFit="1" customWidth="1"/>
    <col min="14618" max="14619" width="10.85546875" style="1084"/>
    <col min="14620" max="14620" width="14.28515625" style="1084" bestFit="1" customWidth="1"/>
    <col min="14621" max="14848" width="10.85546875" style="1084"/>
    <col min="14849" max="14849" width="12.28515625" style="1084" customWidth="1"/>
    <col min="14850" max="14850" width="78.7109375" style="1084" customWidth="1"/>
    <col min="14851" max="14851" width="20.28515625" style="1084" customWidth="1"/>
    <col min="14852" max="14852" width="13.42578125" style="1084" customWidth="1"/>
    <col min="14853" max="14853" width="17.140625" style="1084" customWidth="1"/>
    <col min="14854" max="14854" width="22" style="1084" customWidth="1"/>
    <col min="14855" max="14855" width="17.85546875" style="1084" customWidth="1"/>
    <col min="14856" max="14856" width="21.28515625" style="1084" customWidth="1"/>
    <col min="14857" max="14857" width="16.5703125" style="1084" customWidth="1"/>
    <col min="14858" max="14858" width="20.28515625" style="1084" customWidth="1"/>
    <col min="14859" max="14859" width="17.28515625" style="1084" customWidth="1"/>
    <col min="14860" max="14860" width="19.42578125" style="1084" customWidth="1"/>
    <col min="14861" max="14861" width="18.5703125" style="1084" customWidth="1"/>
    <col min="14862" max="14862" width="19.7109375" style="1084" customWidth="1"/>
    <col min="14863" max="14863" width="16" style="1084" customWidth="1"/>
    <col min="14864" max="14864" width="20.5703125" style="1084" customWidth="1"/>
    <col min="14865" max="14865" width="16.85546875" style="1084" customWidth="1"/>
    <col min="14866" max="14866" width="23.7109375" style="1084" customWidth="1"/>
    <col min="14867" max="14867" width="27.140625" style="1084" bestFit="1" customWidth="1"/>
    <col min="14868" max="14868" width="25.7109375" style="1084" bestFit="1" customWidth="1"/>
    <col min="14869" max="14869" width="19.42578125" style="1084" bestFit="1" customWidth="1"/>
    <col min="14870" max="14870" width="10.85546875" style="1084"/>
    <col min="14871" max="14871" width="16.42578125" style="1084" bestFit="1" customWidth="1"/>
    <col min="14872" max="14872" width="10.85546875" style="1084"/>
    <col min="14873" max="14873" width="14.42578125" style="1084" bestFit="1" customWidth="1"/>
    <col min="14874" max="14875" width="10.85546875" style="1084"/>
    <col min="14876" max="14876" width="14.28515625" style="1084" bestFit="1" customWidth="1"/>
    <col min="14877" max="15104" width="10.85546875" style="1084"/>
    <col min="15105" max="15105" width="12.28515625" style="1084" customWidth="1"/>
    <col min="15106" max="15106" width="78.7109375" style="1084" customWidth="1"/>
    <col min="15107" max="15107" width="20.28515625" style="1084" customWidth="1"/>
    <col min="15108" max="15108" width="13.42578125" style="1084" customWidth="1"/>
    <col min="15109" max="15109" width="17.140625" style="1084" customWidth="1"/>
    <col min="15110" max="15110" width="22" style="1084" customWidth="1"/>
    <col min="15111" max="15111" width="17.85546875" style="1084" customWidth="1"/>
    <col min="15112" max="15112" width="21.28515625" style="1084" customWidth="1"/>
    <col min="15113" max="15113" width="16.5703125" style="1084" customWidth="1"/>
    <col min="15114" max="15114" width="20.28515625" style="1084" customWidth="1"/>
    <col min="15115" max="15115" width="17.28515625" style="1084" customWidth="1"/>
    <col min="15116" max="15116" width="19.42578125" style="1084" customWidth="1"/>
    <col min="15117" max="15117" width="18.5703125" style="1084" customWidth="1"/>
    <col min="15118" max="15118" width="19.7109375" style="1084" customWidth="1"/>
    <col min="15119" max="15119" width="16" style="1084" customWidth="1"/>
    <col min="15120" max="15120" width="20.5703125" style="1084" customWidth="1"/>
    <col min="15121" max="15121" width="16.85546875" style="1084" customWidth="1"/>
    <col min="15122" max="15122" width="23.7109375" style="1084" customWidth="1"/>
    <col min="15123" max="15123" width="27.140625" style="1084" bestFit="1" customWidth="1"/>
    <col min="15124" max="15124" width="25.7109375" style="1084" bestFit="1" customWidth="1"/>
    <col min="15125" max="15125" width="19.42578125" style="1084" bestFit="1" customWidth="1"/>
    <col min="15126" max="15126" width="10.85546875" style="1084"/>
    <col min="15127" max="15127" width="16.42578125" style="1084" bestFit="1" customWidth="1"/>
    <col min="15128" max="15128" width="10.85546875" style="1084"/>
    <col min="15129" max="15129" width="14.42578125" style="1084" bestFit="1" customWidth="1"/>
    <col min="15130" max="15131" width="10.85546875" style="1084"/>
    <col min="15132" max="15132" width="14.28515625" style="1084" bestFit="1" customWidth="1"/>
    <col min="15133" max="15360" width="10.85546875" style="1084"/>
    <col min="15361" max="15361" width="12.28515625" style="1084" customWidth="1"/>
    <col min="15362" max="15362" width="78.7109375" style="1084" customWidth="1"/>
    <col min="15363" max="15363" width="20.28515625" style="1084" customWidth="1"/>
    <col min="15364" max="15364" width="13.42578125" style="1084" customWidth="1"/>
    <col min="15365" max="15365" width="17.140625" style="1084" customWidth="1"/>
    <col min="15366" max="15366" width="22" style="1084" customWidth="1"/>
    <col min="15367" max="15367" width="17.85546875" style="1084" customWidth="1"/>
    <col min="15368" max="15368" width="21.28515625" style="1084" customWidth="1"/>
    <col min="15369" max="15369" width="16.5703125" style="1084" customWidth="1"/>
    <col min="15370" max="15370" width="20.28515625" style="1084" customWidth="1"/>
    <col min="15371" max="15371" width="17.28515625" style="1084" customWidth="1"/>
    <col min="15372" max="15372" width="19.42578125" style="1084" customWidth="1"/>
    <col min="15373" max="15373" width="18.5703125" style="1084" customWidth="1"/>
    <col min="15374" max="15374" width="19.7109375" style="1084" customWidth="1"/>
    <col min="15375" max="15375" width="16" style="1084" customWidth="1"/>
    <col min="15376" max="15376" width="20.5703125" style="1084" customWidth="1"/>
    <col min="15377" max="15377" width="16.85546875" style="1084" customWidth="1"/>
    <col min="15378" max="15378" width="23.7109375" style="1084" customWidth="1"/>
    <col min="15379" max="15379" width="27.140625" style="1084" bestFit="1" customWidth="1"/>
    <col min="15380" max="15380" width="25.7109375" style="1084" bestFit="1" customWidth="1"/>
    <col min="15381" max="15381" width="19.42578125" style="1084" bestFit="1" customWidth="1"/>
    <col min="15382" max="15382" width="10.85546875" style="1084"/>
    <col min="15383" max="15383" width="16.42578125" style="1084" bestFit="1" customWidth="1"/>
    <col min="15384" max="15384" width="10.85546875" style="1084"/>
    <col min="15385" max="15385" width="14.42578125" style="1084" bestFit="1" customWidth="1"/>
    <col min="15386" max="15387" width="10.85546875" style="1084"/>
    <col min="15388" max="15388" width="14.28515625" style="1084" bestFit="1" customWidth="1"/>
    <col min="15389" max="15616" width="10.85546875" style="1084"/>
    <col min="15617" max="15617" width="12.28515625" style="1084" customWidth="1"/>
    <col min="15618" max="15618" width="78.7109375" style="1084" customWidth="1"/>
    <col min="15619" max="15619" width="20.28515625" style="1084" customWidth="1"/>
    <col min="15620" max="15620" width="13.42578125" style="1084" customWidth="1"/>
    <col min="15621" max="15621" width="17.140625" style="1084" customWidth="1"/>
    <col min="15622" max="15622" width="22" style="1084" customWidth="1"/>
    <col min="15623" max="15623" width="17.85546875" style="1084" customWidth="1"/>
    <col min="15624" max="15624" width="21.28515625" style="1084" customWidth="1"/>
    <col min="15625" max="15625" width="16.5703125" style="1084" customWidth="1"/>
    <col min="15626" max="15626" width="20.28515625" style="1084" customWidth="1"/>
    <col min="15627" max="15627" width="17.28515625" style="1084" customWidth="1"/>
    <col min="15628" max="15628" width="19.42578125" style="1084" customWidth="1"/>
    <col min="15629" max="15629" width="18.5703125" style="1084" customWidth="1"/>
    <col min="15630" max="15630" width="19.7109375" style="1084" customWidth="1"/>
    <col min="15631" max="15631" width="16" style="1084" customWidth="1"/>
    <col min="15632" max="15632" width="20.5703125" style="1084" customWidth="1"/>
    <col min="15633" max="15633" width="16.85546875" style="1084" customWidth="1"/>
    <col min="15634" max="15634" width="23.7109375" style="1084" customWidth="1"/>
    <col min="15635" max="15635" width="27.140625" style="1084" bestFit="1" customWidth="1"/>
    <col min="15636" max="15636" width="25.7109375" style="1084" bestFit="1" customWidth="1"/>
    <col min="15637" max="15637" width="19.42578125" style="1084" bestFit="1" customWidth="1"/>
    <col min="15638" max="15638" width="10.85546875" style="1084"/>
    <col min="15639" max="15639" width="16.42578125" style="1084" bestFit="1" customWidth="1"/>
    <col min="15640" max="15640" width="10.85546875" style="1084"/>
    <col min="15641" max="15641" width="14.42578125" style="1084" bestFit="1" customWidth="1"/>
    <col min="15642" max="15643" width="10.85546875" style="1084"/>
    <col min="15644" max="15644" width="14.28515625" style="1084" bestFit="1" customWidth="1"/>
    <col min="15645" max="15872" width="10.85546875" style="1084"/>
    <col min="15873" max="15873" width="12.28515625" style="1084" customWidth="1"/>
    <col min="15874" max="15874" width="78.7109375" style="1084" customWidth="1"/>
    <col min="15875" max="15875" width="20.28515625" style="1084" customWidth="1"/>
    <col min="15876" max="15876" width="13.42578125" style="1084" customWidth="1"/>
    <col min="15877" max="15877" width="17.140625" style="1084" customWidth="1"/>
    <col min="15878" max="15878" width="22" style="1084" customWidth="1"/>
    <col min="15879" max="15879" width="17.85546875" style="1084" customWidth="1"/>
    <col min="15880" max="15880" width="21.28515625" style="1084" customWidth="1"/>
    <col min="15881" max="15881" width="16.5703125" style="1084" customWidth="1"/>
    <col min="15882" max="15882" width="20.28515625" style="1084" customWidth="1"/>
    <col min="15883" max="15883" width="17.28515625" style="1084" customWidth="1"/>
    <col min="15884" max="15884" width="19.42578125" style="1084" customWidth="1"/>
    <col min="15885" max="15885" width="18.5703125" style="1084" customWidth="1"/>
    <col min="15886" max="15886" width="19.7109375" style="1084" customWidth="1"/>
    <col min="15887" max="15887" width="16" style="1084" customWidth="1"/>
    <col min="15888" max="15888" width="20.5703125" style="1084" customWidth="1"/>
    <col min="15889" max="15889" width="16.85546875" style="1084" customWidth="1"/>
    <col min="15890" max="15890" width="23.7109375" style="1084" customWidth="1"/>
    <col min="15891" max="15891" width="27.140625" style="1084" bestFit="1" customWidth="1"/>
    <col min="15892" max="15892" width="25.7109375" style="1084" bestFit="1" customWidth="1"/>
    <col min="15893" max="15893" width="19.42578125" style="1084" bestFit="1" customWidth="1"/>
    <col min="15894" max="15894" width="10.85546875" style="1084"/>
    <col min="15895" max="15895" width="16.42578125" style="1084" bestFit="1" customWidth="1"/>
    <col min="15896" max="15896" width="10.85546875" style="1084"/>
    <col min="15897" max="15897" width="14.42578125" style="1084" bestFit="1" customWidth="1"/>
    <col min="15898" max="15899" width="10.85546875" style="1084"/>
    <col min="15900" max="15900" width="14.28515625" style="1084" bestFit="1" customWidth="1"/>
    <col min="15901" max="16128" width="10.85546875" style="1084"/>
    <col min="16129" max="16129" width="12.28515625" style="1084" customWidth="1"/>
    <col min="16130" max="16130" width="78.7109375" style="1084" customWidth="1"/>
    <col min="16131" max="16131" width="20.28515625" style="1084" customWidth="1"/>
    <col min="16132" max="16132" width="13.42578125" style="1084" customWidth="1"/>
    <col min="16133" max="16133" width="17.140625" style="1084" customWidth="1"/>
    <col min="16134" max="16134" width="22" style="1084" customWidth="1"/>
    <col min="16135" max="16135" width="17.85546875" style="1084" customWidth="1"/>
    <col min="16136" max="16136" width="21.28515625" style="1084" customWidth="1"/>
    <col min="16137" max="16137" width="16.5703125" style="1084" customWidth="1"/>
    <col min="16138" max="16138" width="20.28515625" style="1084" customWidth="1"/>
    <col min="16139" max="16139" width="17.28515625" style="1084" customWidth="1"/>
    <col min="16140" max="16140" width="19.42578125" style="1084" customWidth="1"/>
    <col min="16141" max="16141" width="18.5703125" style="1084" customWidth="1"/>
    <col min="16142" max="16142" width="19.7109375" style="1084" customWidth="1"/>
    <col min="16143" max="16143" width="16" style="1084" customWidth="1"/>
    <col min="16144" max="16144" width="20.5703125" style="1084" customWidth="1"/>
    <col min="16145" max="16145" width="16.85546875" style="1084" customWidth="1"/>
    <col min="16146" max="16146" width="23.7109375" style="1084" customWidth="1"/>
    <col min="16147" max="16147" width="27.140625" style="1084" bestFit="1" customWidth="1"/>
    <col min="16148" max="16148" width="25.7109375" style="1084" bestFit="1" customWidth="1"/>
    <col min="16149" max="16149" width="19.42578125" style="1084" bestFit="1" customWidth="1"/>
    <col min="16150" max="16150" width="10.85546875" style="1084"/>
    <col min="16151" max="16151" width="16.42578125" style="1084" bestFit="1" customWidth="1"/>
    <col min="16152" max="16152" width="10.85546875" style="1084"/>
    <col min="16153" max="16153" width="14.42578125" style="1084" bestFit="1" customWidth="1"/>
    <col min="16154" max="16155" width="10.85546875" style="1084"/>
    <col min="16156" max="16156" width="14.28515625" style="1084" bestFit="1" customWidth="1"/>
    <col min="16157" max="16384" width="10.85546875" style="1084"/>
  </cols>
  <sheetData>
    <row r="1" spans="1:20" ht="72.75" customHeight="1">
      <c r="A1" s="1974" t="str">
        <f>'INS- Detail '!A2:I2</f>
        <v>Name of work: Providing Special Repair works for 5 Nos INS, 8 Nos SI, 24 Nos PC/HC Quarters  at Church Hill Ooty in the Nilgiri District</v>
      </c>
      <c r="B1" s="1975"/>
      <c r="C1" s="1975"/>
      <c r="D1" s="1975"/>
      <c r="E1" s="1975"/>
      <c r="F1" s="1975"/>
      <c r="G1" s="1975"/>
      <c r="H1" s="1975"/>
      <c r="I1" s="1975"/>
      <c r="J1" s="1975"/>
      <c r="K1" s="1975"/>
      <c r="L1" s="1975"/>
      <c r="M1" s="1975"/>
      <c r="N1" s="1975"/>
      <c r="O1" s="1975"/>
      <c r="P1" s="1975"/>
      <c r="Q1" s="1975"/>
      <c r="R1" s="1976"/>
    </row>
    <row r="2" spans="1:20" ht="72.75" customHeight="1">
      <c r="A2" s="1974" t="s">
        <v>5422</v>
      </c>
      <c r="B2" s="1975"/>
      <c r="C2" s="1975"/>
      <c r="D2" s="1975"/>
      <c r="E2" s="1975"/>
      <c r="F2" s="1975"/>
      <c r="G2" s="1975"/>
      <c r="H2" s="1975"/>
      <c r="I2" s="1975"/>
      <c r="J2" s="1975"/>
      <c r="K2" s="1975"/>
      <c r="L2" s="1975"/>
      <c r="M2" s="1975"/>
      <c r="N2" s="1975"/>
      <c r="O2" s="1975"/>
      <c r="P2" s="1975"/>
      <c r="Q2" s="1975"/>
      <c r="R2" s="1976"/>
    </row>
    <row r="3" spans="1:20" s="1085" customFormat="1" ht="55.9" customHeight="1">
      <c r="A3" s="1973" t="s">
        <v>3613</v>
      </c>
      <c r="B3" s="1973" t="s">
        <v>3546</v>
      </c>
      <c r="C3" s="1973" t="s">
        <v>217</v>
      </c>
      <c r="D3" s="1973" t="s">
        <v>10</v>
      </c>
      <c r="E3" s="1973" t="s">
        <v>3181</v>
      </c>
      <c r="F3" s="1973"/>
      <c r="G3" s="1973" t="s">
        <v>3197</v>
      </c>
      <c r="H3" s="1973"/>
      <c r="I3" s="1973" t="s">
        <v>3196</v>
      </c>
      <c r="J3" s="1973"/>
      <c r="K3" s="1973" t="s">
        <v>3634</v>
      </c>
      <c r="L3" s="1973"/>
      <c r="M3" s="1973" t="s">
        <v>5419</v>
      </c>
      <c r="N3" s="1973"/>
      <c r="O3" s="1973" t="s">
        <v>3614</v>
      </c>
      <c r="P3" s="1973"/>
      <c r="Q3" s="1973" t="s">
        <v>5327</v>
      </c>
      <c r="R3" s="1973"/>
      <c r="T3" s="1086"/>
    </row>
    <row r="4" spans="1:20" s="1085" customFormat="1" ht="31.9" customHeight="1">
      <c r="A4" s="1973"/>
      <c r="B4" s="1973"/>
      <c r="C4" s="1973"/>
      <c r="D4" s="1973"/>
      <c r="E4" s="1087" t="s">
        <v>3</v>
      </c>
      <c r="F4" s="1332" t="s">
        <v>218</v>
      </c>
      <c r="G4" s="1087" t="s">
        <v>3</v>
      </c>
      <c r="H4" s="1332" t="s">
        <v>218</v>
      </c>
      <c r="I4" s="1087" t="s">
        <v>3</v>
      </c>
      <c r="J4" s="1332" t="s">
        <v>218</v>
      </c>
      <c r="K4" s="1087" t="s">
        <v>3</v>
      </c>
      <c r="L4" s="1332" t="s">
        <v>218</v>
      </c>
      <c r="M4" s="1087" t="s">
        <v>3</v>
      </c>
      <c r="N4" s="1332" t="s">
        <v>218</v>
      </c>
      <c r="O4" s="1087" t="s">
        <v>3</v>
      </c>
      <c r="P4" s="1332" t="s">
        <v>218</v>
      </c>
      <c r="Q4" s="1332" t="s">
        <v>3</v>
      </c>
      <c r="R4" s="1332" t="s">
        <v>218</v>
      </c>
      <c r="S4" s="1086"/>
      <c r="T4" s="1086"/>
    </row>
    <row r="5" spans="1:20" s="1085" customFormat="1" ht="39.75" customHeight="1">
      <c r="A5" s="1332"/>
      <c r="B5" s="1257"/>
      <c r="C5" s="1332"/>
      <c r="D5" s="1332"/>
      <c r="E5" s="1332"/>
      <c r="F5" s="1332"/>
      <c r="G5" s="1332"/>
      <c r="H5" s="1332"/>
      <c r="I5" s="1089"/>
      <c r="J5" s="1332"/>
      <c r="K5" s="1332"/>
      <c r="L5" s="1332"/>
      <c r="M5" s="1332"/>
      <c r="N5" s="1332"/>
      <c r="O5" s="1087"/>
      <c r="P5" s="1332"/>
      <c r="Q5" s="1332"/>
      <c r="R5" s="1332"/>
      <c r="S5" s="1086"/>
      <c r="T5" s="1086"/>
    </row>
    <row r="6" spans="1:20" ht="50.25" customHeight="1">
      <c r="A6" s="1090">
        <v>1.1000000000000001</v>
      </c>
      <c r="B6" s="933" t="s">
        <v>3768</v>
      </c>
      <c r="C6" s="1091"/>
      <c r="D6" s="940" t="s">
        <v>150</v>
      </c>
      <c r="E6" s="940"/>
      <c r="F6" s="940"/>
      <c r="G6" s="1092"/>
      <c r="H6" s="1092"/>
      <c r="I6" s="1093"/>
      <c r="J6" s="1092"/>
      <c r="K6" s="1092"/>
      <c r="L6" s="1092"/>
      <c r="M6" s="1092"/>
      <c r="N6" s="1092"/>
      <c r="O6" s="1094"/>
      <c r="P6" s="1092"/>
      <c r="Q6" s="1095" t="s">
        <v>249</v>
      </c>
      <c r="R6" s="1095" t="s">
        <v>2400</v>
      </c>
    </row>
    <row r="7" spans="1:20">
      <c r="A7" s="1090"/>
      <c r="B7" s="933" t="s">
        <v>3769</v>
      </c>
      <c r="C7" s="1092">
        <f>+'Ins Abs'!C7</f>
        <v>314.74333333333334</v>
      </c>
      <c r="D7" s="940" t="s">
        <v>3770</v>
      </c>
      <c r="E7" s="1096">
        <f>'Ins Abs'!Q7</f>
        <v>13.95</v>
      </c>
      <c r="F7" s="1097">
        <f>C7*E7</f>
        <v>4390.6695</v>
      </c>
      <c r="G7" s="1096">
        <f>'SI Abs '!Q7</f>
        <v>18</v>
      </c>
      <c r="H7" s="1097">
        <f>C7*G7</f>
        <v>5665.38</v>
      </c>
      <c r="I7" s="1096">
        <f>'PC Abs'!Q7</f>
        <v>19.549999999999997</v>
      </c>
      <c r="J7" s="1097">
        <f>C7*I7</f>
        <v>6153.2321666666658</v>
      </c>
      <c r="K7" s="1096"/>
      <c r="L7" s="1097">
        <f>K7*C7</f>
        <v>0</v>
      </c>
      <c r="M7" s="1096">
        <f>'Abs (2)'!B4</f>
        <v>47.25</v>
      </c>
      <c r="N7" s="1097">
        <f>C7*M7</f>
        <v>14871.622499999999</v>
      </c>
      <c r="O7" s="1098"/>
      <c r="P7" s="1096"/>
      <c r="Q7" s="1098">
        <f>E7+G7+I7+K7+M7</f>
        <v>98.75</v>
      </c>
      <c r="R7" s="1096">
        <f>Q7*C7</f>
        <v>31080.904166666667</v>
      </c>
      <c r="S7" s="1099"/>
      <c r="T7" s="1099"/>
    </row>
    <row r="8" spans="1:20" s="1108" customFormat="1" ht="46.5">
      <c r="A8" s="1109">
        <v>1.5</v>
      </c>
      <c r="B8" s="933" t="s">
        <v>5814</v>
      </c>
      <c r="C8" s="1540"/>
      <c r="D8" s="940"/>
      <c r="E8" s="1113"/>
      <c r="F8" s="1097">
        <f t="shared" ref="F8:F16" si="0">C8*E8</f>
        <v>0</v>
      </c>
      <c r="G8" s="1113"/>
      <c r="H8" s="1097"/>
      <c r="I8" s="1113"/>
      <c r="J8" s="1097">
        <f t="shared" ref="J8:J11" si="1">C8*I8</f>
        <v>0</v>
      </c>
      <c r="K8" s="1114"/>
      <c r="L8" s="1097">
        <f t="shared" ref="L8:L70" si="2">K8*C8</f>
        <v>0</v>
      </c>
      <c r="M8" s="1113"/>
      <c r="N8" s="1097">
        <f t="shared" ref="N8:N70" si="3">C8*M8</f>
        <v>0</v>
      </c>
      <c r="O8" s="1098"/>
      <c r="P8" s="1096"/>
      <c r="Q8" s="1098">
        <f t="shared" ref="Q8:Q70" si="4">E8+G8+I8+K8+M8</f>
        <v>0</v>
      </c>
      <c r="R8" s="1096">
        <f t="shared" ref="R8:R70" si="5">Q8*C8</f>
        <v>0</v>
      </c>
      <c r="S8" s="1107"/>
      <c r="T8" s="1104"/>
    </row>
    <row r="9" spans="1:20" s="1108" customFormat="1" ht="25.5" customHeight="1">
      <c r="A9" s="1109"/>
      <c r="B9" s="1259" t="str">
        <f>'Ins Abs'!B9</f>
        <v>a. 0 to 2 mt.</v>
      </c>
      <c r="C9" s="1540">
        <f>+'Ins Abs'!C9</f>
        <v>148.75</v>
      </c>
      <c r="D9" s="940" t="s">
        <v>3770</v>
      </c>
      <c r="E9" s="1113">
        <f>'Ins Abs'!E9</f>
        <v>24</v>
      </c>
      <c r="F9" s="1097">
        <f t="shared" si="0"/>
        <v>3570</v>
      </c>
      <c r="G9" s="1113">
        <f>'SI Abs '!E9</f>
        <v>45.03</v>
      </c>
      <c r="H9" s="1097">
        <f t="shared" ref="H9:H16" si="6">C9*G9</f>
        <v>6698.2125000000005</v>
      </c>
      <c r="I9" s="1113">
        <f>'PC Abs'!E8</f>
        <v>44.201999999999998</v>
      </c>
      <c r="J9" s="1097">
        <f t="shared" si="1"/>
        <v>6575.0474999999997</v>
      </c>
      <c r="K9" s="1114">
        <f>sump!H11</f>
        <v>41.5</v>
      </c>
      <c r="L9" s="1097">
        <f t="shared" si="2"/>
        <v>6173.125</v>
      </c>
      <c r="M9" s="1113">
        <f>'Abs (2)'!B5</f>
        <v>67.5</v>
      </c>
      <c r="N9" s="1097">
        <f t="shared" si="3"/>
        <v>10040.625</v>
      </c>
      <c r="O9" s="1098"/>
      <c r="P9" s="1096"/>
      <c r="Q9" s="1098">
        <f t="shared" si="4"/>
        <v>222.232</v>
      </c>
      <c r="R9" s="1096">
        <f t="shared" si="5"/>
        <v>33057.01</v>
      </c>
      <c r="S9" s="1107"/>
      <c r="T9" s="1104"/>
    </row>
    <row r="10" spans="1:20" s="1108" customFormat="1" ht="51" customHeight="1">
      <c r="A10" s="1090">
        <v>1.6</v>
      </c>
      <c r="B10" s="933" t="s">
        <v>3778</v>
      </c>
      <c r="C10" s="1092"/>
      <c r="D10" s="940"/>
      <c r="E10" s="1096">
        <f>'Ins Abs'!Q10</f>
        <v>0</v>
      </c>
      <c r="F10" s="1097">
        <f t="shared" si="0"/>
        <v>0</v>
      </c>
      <c r="G10" s="1096">
        <f>'SI Abs '!Q10</f>
        <v>0</v>
      </c>
      <c r="H10" s="1097">
        <f t="shared" si="6"/>
        <v>0</v>
      </c>
      <c r="I10" s="1096">
        <f>'PC Abs'!Q10</f>
        <v>0</v>
      </c>
      <c r="J10" s="1097">
        <f t="shared" si="1"/>
        <v>0</v>
      </c>
      <c r="K10" s="1096"/>
      <c r="L10" s="1097">
        <f t="shared" si="2"/>
        <v>0</v>
      </c>
      <c r="M10" s="1103"/>
      <c r="N10" s="1097">
        <f t="shared" si="3"/>
        <v>0</v>
      </c>
      <c r="O10" s="1098"/>
      <c r="P10" s="1096"/>
      <c r="Q10" s="1098">
        <f t="shared" si="4"/>
        <v>0</v>
      </c>
      <c r="R10" s="1096">
        <f t="shared" si="5"/>
        <v>0</v>
      </c>
      <c r="S10" s="1107"/>
      <c r="T10" s="1104"/>
    </row>
    <row r="11" spans="1:20" s="1108" customFormat="1">
      <c r="A11" s="1090"/>
      <c r="B11" s="933" t="s">
        <v>3769</v>
      </c>
      <c r="C11" s="1092">
        <f>+'Ins Abs'!C11</f>
        <v>223.125</v>
      </c>
      <c r="D11" s="940" t="s">
        <v>3770</v>
      </c>
      <c r="E11" s="1096">
        <f>'Ins Abs'!Q11</f>
        <v>9.6</v>
      </c>
      <c r="F11" s="1097">
        <f t="shared" si="0"/>
        <v>2142</v>
      </c>
      <c r="G11" s="1096">
        <f>'SI Abs '!Q11</f>
        <v>10.8</v>
      </c>
      <c r="H11" s="1097">
        <f t="shared" si="6"/>
        <v>2409.75</v>
      </c>
      <c r="I11" s="1096">
        <f>'PC Abs'!Q11</f>
        <v>13.7</v>
      </c>
      <c r="J11" s="1097">
        <f t="shared" si="1"/>
        <v>3056.8125</v>
      </c>
      <c r="K11" s="1096"/>
      <c r="L11" s="1097">
        <f t="shared" si="2"/>
        <v>0</v>
      </c>
      <c r="M11" s="1103"/>
      <c r="N11" s="1097">
        <f t="shared" si="3"/>
        <v>0</v>
      </c>
      <c r="O11" s="1098"/>
      <c r="P11" s="1096"/>
      <c r="Q11" s="1098">
        <f t="shared" si="4"/>
        <v>34.099999999999994</v>
      </c>
      <c r="R11" s="1096">
        <f t="shared" si="5"/>
        <v>7608.5624999999991</v>
      </c>
      <c r="S11" s="1107"/>
      <c r="T11" s="1104"/>
    </row>
    <row r="12" spans="1:20" s="1127" customFormat="1">
      <c r="A12" s="1090">
        <v>2.1</v>
      </c>
      <c r="B12" s="933" t="s">
        <v>908</v>
      </c>
      <c r="C12" s="1092">
        <f>+'Ins Abs'!C12</f>
        <v>2310.9299999999998</v>
      </c>
      <c r="D12" s="940" t="s">
        <v>3770</v>
      </c>
      <c r="E12" s="1096">
        <f>'Ins Abs'!Q12</f>
        <v>5.1581250000000001</v>
      </c>
      <c r="F12" s="1097">
        <f t="shared" si="0"/>
        <v>11920.065806249999</v>
      </c>
      <c r="G12" s="1096">
        <f>'SI Abs '!Q13</f>
        <v>7.0950000000000006</v>
      </c>
      <c r="H12" s="1097">
        <f t="shared" si="6"/>
        <v>16396.048350000001</v>
      </c>
      <c r="I12" s="1096">
        <f>'PC Abs'!Q12</f>
        <v>5.5533749999999991</v>
      </c>
      <c r="J12" s="1097">
        <f t="shared" ref="J12" si="7">C12*I12</f>
        <v>12833.460888749996</v>
      </c>
      <c r="K12" s="1096"/>
      <c r="L12" s="1097">
        <f t="shared" si="2"/>
        <v>0</v>
      </c>
      <c r="M12" s="1096"/>
      <c r="N12" s="1097">
        <f t="shared" si="3"/>
        <v>0</v>
      </c>
      <c r="O12" s="1098"/>
      <c r="P12" s="1096"/>
      <c r="Q12" s="1098">
        <f t="shared" si="4"/>
        <v>17.8065</v>
      </c>
      <c r="R12" s="1096">
        <f t="shared" si="5"/>
        <v>41149.575044999998</v>
      </c>
      <c r="S12" s="1099"/>
      <c r="T12" s="1099"/>
    </row>
    <row r="13" spans="1:20" s="1127" customFormat="1">
      <c r="A13" s="1090">
        <v>3.1</v>
      </c>
      <c r="B13" s="933" t="s">
        <v>3794</v>
      </c>
      <c r="C13" s="1092">
        <f>+'Ins Abs'!C13</f>
        <v>6456.8970000000008</v>
      </c>
      <c r="D13" s="940" t="s">
        <v>3770</v>
      </c>
      <c r="E13" s="1096">
        <f>'Ins Abs'!Q13</f>
        <v>14.925000000000001</v>
      </c>
      <c r="F13" s="1097">
        <f t="shared" si="0"/>
        <v>96369.187725000011</v>
      </c>
      <c r="G13" s="1096">
        <f>'SI Abs '!Q14</f>
        <v>31.1</v>
      </c>
      <c r="H13" s="1097">
        <f t="shared" si="6"/>
        <v>200809.49670000005</v>
      </c>
      <c r="I13" s="1096">
        <f>'PC Abs'!Q13</f>
        <v>21.744999999999997</v>
      </c>
      <c r="J13" s="1097">
        <f t="shared" ref="J13:J14" si="8">C13*I13</f>
        <v>140405.22526500002</v>
      </c>
      <c r="K13" s="1096">
        <f>sump!H15</f>
        <v>2.1</v>
      </c>
      <c r="L13" s="1097">
        <f t="shared" si="2"/>
        <v>13559.483700000003</v>
      </c>
      <c r="M13" s="1096">
        <f>'Abs (2)'!B6</f>
        <v>6.2</v>
      </c>
      <c r="N13" s="1097">
        <f t="shared" si="3"/>
        <v>40032.761400000003</v>
      </c>
      <c r="O13" s="1098"/>
      <c r="P13" s="1096"/>
      <c r="Q13" s="1098">
        <f t="shared" si="4"/>
        <v>76.070000000000007</v>
      </c>
      <c r="R13" s="1096">
        <f t="shared" si="5"/>
        <v>491176.15479000012</v>
      </c>
      <c r="S13" s="1099"/>
      <c r="T13" s="1099"/>
    </row>
    <row r="14" spans="1:20" ht="46.5">
      <c r="A14" s="1090">
        <v>3.2</v>
      </c>
      <c r="B14" s="933" t="s">
        <v>3795</v>
      </c>
      <c r="C14" s="1092">
        <f>+'Ins Abs'!C14</f>
        <v>8002.7729999999992</v>
      </c>
      <c r="D14" s="940" t="s">
        <v>3770</v>
      </c>
      <c r="E14" s="1096">
        <f>'Ins Abs'!Q14</f>
        <v>6.48</v>
      </c>
      <c r="F14" s="1097">
        <f t="shared" si="0"/>
        <v>51857.969039999996</v>
      </c>
      <c r="G14" s="1096">
        <f>'SI Abs '!Q15</f>
        <v>22.54</v>
      </c>
      <c r="H14" s="1097">
        <f t="shared" si="6"/>
        <v>180382.50341999996</v>
      </c>
      <c r="I14" s="1096">
        <f>'PC Abs'!Q14</f>
        <v>11.052999999999999</v>
      </c>
      <c r="J14" s="1097">
        <f t="shared" si="8"/>
        <v>88454.649968999991</v>
      </c>
      <c r="K14" s="1096"/>
      <c r="L14" s="1097">
        <f t="shared" si="2"/>
        <v>0</v>
      </c>
      <c r="M14" s="1096"/>
      <c r="N14" s="1097">
        <f t="shared" si="3"/>
        <v>0</v>
      </c>
      <c r="O14" s="1098"/>
      <c r="P14" s="1096"/>
      <c r="Q14" s="1098">
        <f t="shared" si="4"/>
        <v>40.073</v>
      </c>
      <c r="R14" s="1096">
        <f t="shared" si="5"/>
        <v>320695.12242899998</v>
      </c>
      <c r="S14" s="1099"/>
      <c r="T14" s="1099"/>
    </row>
    <row r="15" spans="1:20" s="1108" customFormat="1" ht="46.5">
      <c r="A15" s="1090">
        <v>3.1</v>
      </c>
      <c r="B15" s="933" t="str">
        <f>'Abs (2)'!C10</f>
        <v>P.C.C 1:3:6 using 20mm gauge HBS Jelly for Foundation etc., complete</v>
      </c>
      <c r="C15" s="1092">
        <f>+'Data 2022-23'!R204</f>
        <v>7350.4529999999995</v>
      </c>
      <c r="D15" s="940" t="s">
        <v>3770</v>
      </c>
      <c r="E15" s="1103"/>
      <c r="F15" s="1097"/>
      <c r="G15" s="1103"/>
      <c r="H15" s="1097"/>
      <c r="I15" s="1103"/>
      <c r="J15" s="1097">
        <f t="shared" ref="J15:J16" si="9">C15*I15</f>
        <v>0</v>
      </c>
      <c r="K15" s="1096"/>
      <c r="L15" s="1097">
        <f t="shared" si="2"/>
        <v>0</v>
      </c>
      <c r="M15" s="1103">
        <f>'Abs (2)'!B10</f>
        <v>121.7</v>
      </c>
      <c r="N15" s="1097">
        <f t="shared" si="3"/>
        <v>894550.13009999995</v>
      </c>
      <c r="O15" s="1098"/>
      <c r="P15" s="1096"/>
      <c r="Q15" s="1098">
        <f t="shared" si="4"/>
        <v>121.7</v>
      </c>
      <c r="R15" s="1096">
        <f t="shared" si="5"/>
        <v>894550.13009999995</v>
      </c>
      <c r="S15" s="1107"/>
      <c r="T15" s="1104"/>
    </row>
    <row r="16" spans="1:20" s="1108" customFormat="1" ht="46.5">
      <c r="A16" s="1090">
        <v>6.2</v>
      </c>
      <c r="B16" s="1262" t="s">
        <v>5808</v>
      </c>
      <c r="C16" s="1092">
        <f>'Data 2022-23'!AU73</f>
        <v>8664.0401316532934</v>
      </c>
      <c r="D16" s="940" t="s">
        <v>3770</v>
      </c>
      <c r="E16" s="1096">
        <f>'Ins Abs'!Q15</f>
        <v>4.9494999999999996</v>
      </c>
      <c r="F16" s="1097">
        <f t="shared" si="0"/>
        <v>42882.666631617969</v>
      </c>
      <c r="G16" s="1096">
        <f>'SI Abs '!Q16</f>
        <v>4.3499999999999996</v>
      </c>
      <c r="H16" s="1097">
        <f t="shared" si="6"/>
        <v>37688.574572691825</v>
      </c>
      <c r="I16" s="1096">
        <f>'PC Abs'!Q15</f>
        <v>8.0500000000000007</v>
      </c>
      <c r="J16" s="1097">
        <f t="shared" si="9"/>
        <v>69745.523059809013</v>
      </c>
      <c r="K16" s="1096"/>
      <c r="L16" s="1097">
        <f t="shared" si="2"/>
        <v>0</v>
      </c>
      <c r="M16" s="1096"/>
      <c r="N16" s="1097">
        <f t="shared" si="3"/>
        <v>0</v>
      </c>
      <c r="O16" s="1098"/>
      <c r="P16" s="1096"/>
      <c r="Q16" s="1098">
        <f t="shared" si="4"/>
        <v>17.349499999999999</v>
      </c>
      <c r="R16" s="1096">
        <f t="shared" si="5"/>
        <v>150316.7642641188</v>
      </c>
      <c r="S16" s="1107"/>
      <c r="T16" s="1099"/>
    </row>
    <row r="17" spans="1:20" s="1108" customFormat="1" ht="46.5">
      <c r="A17" s="1090">
        <v>9.1999999999999993</v>
      </c>
      <c r="B17" s="1262" t="s">
        <v>5809</v>
      </c>
      <c r="C17" s="1092"/>
      <c r="D17" s="940"/>
      <c r="E17" s="1096">
        <f>'Ins Abs'!Q16</f>
        <v>0</v>
      </c>
      <c r="F17" s="1097">
        <f t="shared" ref="F17:F18" si="10">C17*E17</f>
        <v>0</v>
      </c>
      <c r="G17" s="1096">
        <f>'SI Abs '!Q17</f>
        <v>0</v>
      </c>
      <c r="H17" s="1097">
        <f t="shared" ref="H17:H18" si="11">C17*G17</f>
        <v>0</v>
      </c>
      <c r="I17" s="1096">
        <f>'PC Abs'!Q16</f>
        <v>0</v>
      </c>
      <c r="J17" s="1097">
        <f t="shared" ref="J17:J18" si="12">C17*I17</f>
        <v>0</v>
      </c>
      <c r="K17" s="1096"/>
      <c r="L17" s="1097">
        <f t="shared" si="2"/>
        <v>0</v>
      </c>
      <c r="M17" s="1096"/>
      <c r="N17" s="1097">
        <f t="shared" si="3"/>
        <v>0</v>
      </c>
      <c r="O17" s="1098"/>
      <c r="P17" s="1096"/>
      <c r="Q17" s="1098">
        <f t="shared" si="4"/>
        <v>0</v>
      </c>
      <c r="R17" s="1096">
        <f t="shared" si="5"/>
        <v>0</v>
      </c>
      <c r="S17" s="1107"/>
      <c r="T17" s="1099"/>
    </row>
    <row r="18" spans="1:20" s="1108" customFormat="1">
      <c r="A18" s="1090"/>
      <c r="B18" s="933" t="s">
        <v>3834</v>
      </c>
      <c r="C18" s="1092">
        <f>'Data 2022-23'!AU99</f>
        <v>8696.2719408972753</v>
      </c>
      <c r="D18" s="940" t="s">
        <v>3770</v>
      </c>
      <c r="E18" s="1096">
        <f>'Ins Abs'!Q17</f>
        <v>1.0827232142857144</v>
      </c>
      <c r="F18" s="1097">
        <f t="shared" si="10"/>
        <v>9415.655508150965</v>
      </c>
      <c r="G18" s="1096">
        <f>'SI Abs '!Q18</f>
        <v>1.7</v>
      </c>
      <c r="H18" s="1097">
        <f t="shared" si="11"/>
        <v>14783.662299525367</v>
      </c>
      <c r="I18" s="1096">
        <f>'PC Abs'!Q17</f>
        <v>0.84766964285714308</v>
      </c>
      <c r="J18" s="1097">
        <f t="shared" si="12"/>
        <v>7371.5657303289881</v>
      </c>
      <c r="K18" s="1096"/>
      <c r="L18" s="1097">
        <f t="shared" si="2"/>
        <v>0</v>
      </c>
      <c r="M18" s="1096"/>
      <c r="N18" s="1097">
        <f t="shared" si="3"/>
        <v>0</v>
      </c>
      <c r="O18" s="1098"/>
      <c r="P18" s="1096"/>
      <c r="Q18" s="1098">
        <f t="shared" si="4"/>
        <v>3.6303928571428576</v>
      </c>
      <c r="R18" s="1096">
        <f t="shared" si="5"/>
        <v>31570.883538005324</v>
      </c>
      <c r="S18" s="1107"/>
      <c r="T18" s="1099"/>
    </row>
    <row r="19" spans="1:20" s="1108" customFormat="1" ht="69.75">
      <c r="A19" s="1090">
        <v>10.199999999999999</v>
      </c>
      <c r="B19" s="1262" t="s">
        <v>5810</v>
      </c>
      <c r="C19" s="1092"/>
      <c r="D19" s="940"/>
      <c r="E19" s="1096">
        <f>'Ins Abs'!Q18</f>
        <v>0</v>
      </c>
      <c r="F19" s="1097">
        <f t="shared" ref="F19:F20" si="13">C19*E19</f>
        <v>0</v>
      </c>
      <c r="G19" s="1096">
        <f>'SI Abs '!Q19</f>
        <v>0</v>
      </c>
      <c r="H19" s="1097">
        <f t="shared" ref="H19:H20" si="14">C19*G19</f>
        <v>0</v>
      </c>
      <c r="I19" s="1096">
        <f>'PC Abs'!Q18</f>
        <v>0</v>
      </c>
      <c r="J19" s="1097">
        <f t="shared" ref="J19:J20" si="15">C19*I19</f>
        <v>0</v>
      </c>
      <c r="K19" s="1096"/>
      <c r="L19" s="1097">
        <f t="shared" si="2"/>
        <v>0</v>
      </c>
      <c r="M19" s="1096"/>
      <c r="N19" s="1097">
        <f t="shared" si="3"/>
        <v>0</v>
      </c>
      <c r="O19" s="1098"/>
      <c r="P19" s="1096"/>
      <c r="Q19" s="1098">
        <f t="shared" si="4"/>
        <v>0</v>
      </c>
      <c r="R19" s="1096">
        <f t="shared" si="5"/>
        <v>0</v>
      </c>
      <c r="S19" s="1107"/>
      <c r="T19" s="1099"/>
    </row>
    <row r="20" spans="1:20" s="1108" customFormat="1">
      <c r="A20" s="1090"/>
      <c r="B20" s="933" t="s">
        <v>3841</v>
      </c>
      <c r="C20" s="1092">
        <f>'Data 2022-23'!AU153</f>
        <v>1097.5849659566052</v>
      </c>
      <c r="D20" s="940" t="s">
        <v>3798</v>
      </c>
      <c r="E20" s="1096">
        <f>'Ins Abs'!Q19</f>
        <v>76.119464285714287</v>
      </c>
      <c r="F20" s="1097">
        <f t="shared" si="13"/>
        <v>83547.579616670744</v>
      </c>
      <c r="G20" s="1096">
        <f>'SI Abs '!Q20</f>
        <v>107.99714285714288</v>
      </c>
      <c r="H20" s="1097">
        <f t="shared" si="14"/>
        <v>118536.04036626779</v>
      </c>
      <c r="I20" s="1096">
        <f>'PC Abs'!Q19</f>
        <v>71.798392857142858</v>
      </c>
      <c r="J20" s="1097">
        <f t="shared" si="15"/>
        <v>78804.836579846102</v>
      </c>
      <c r="K20" s="1096"/>
      <c r="L20" s="1097">
        <f t="shared" si="2"/>
        <v>0</v>
      </c>
      <c r="M20" s="1096"/>
      <c r="N20" s="1097">
        <f t="shared" si="3"/>
        <v>0</v>
      </c>
      <c r="O20" s="1098"/>
      <c r="P20" s="1096"/>
      <c r="Q20" s="1098">
        <f t="shared" si="4"/>
        <v>255.91500000000002</v>
      </c>
      <c r="R20" s="1096">
        <f t="shared" si="5"/>
        <v>280888.45656278462</v>
      </c>
      <c r="S20" s="1107"/>
      <c r="T20" s="1099"/>
    </row>
    <row r="21" spans="1:20" s="1147" customFormat="1">
      <c r="A21" s="1146">
        <v>13.1</v>
      </c>
      <c r="B21" s="1267" t="s">
        <v>3861</v>
      </c>
      <c r="C21" s="1096">
        <f>+'Ins Abs'!C20</f>
        <v>51.730000000000004</v>
      </c>
      <c r="D21" s="1097" t="s">
        <v>3770</v>
      </c>
      <c r="E21" s="1096">
        <f>'Ins Abs'!Q20</f>
        <v>17.298125000000002</v>
      </c>
      <c r="F21" s="1097">
        <f t="shared" ref="F21" si="16">C21*E21</f>
        <v>894.83200625000018</v>
      </c>
      <c r="G21" s="1096">
        <f>'SI Abs '!Q21</f>
        <v>27.645</v>
      </c>
      <c r="H21" s="1097">
        <f t="shared" ref="H21" si="17">C21*G21</f>
        <v>1430.0758500000002</v>
      </c>
      <c r="I21" s="1096">
        <f>'PC Abs'!Q20</f>
        <v>13.151374999999998</v>
      </c>
      <c r="J21" s="1097">
        <f>C21*I21</f>
        <v>680.32062874999997</v>
      </c>
      <c r="K21" s="1096">
        <f>sump!H28</f>
        <v>16.149999999999999</v>
      </c>
      <c r="L21" s="1097">
        <f t="shared" si="2"/>
        <v>835.43949999999995</v>
      </c>
      <c r="M21" s="1096"/>
      <c r="N21" s="1097">
        <f t="shared" si="3"/>
        <v>0</v>
      </c>
      <c r="O21" s="1098"/>
      <c r="P21" s="1096"/>
      <c r="Q21" s="1098">
        <f t="shared" si="4"/>
        <v>74.244499999999988</v>
      </c>
      <c r="R21" s="1096">
        <f t="shared" si="5"/>
        <v>3840.6679849999996</v>
      </c>
      <c r="S21" s="1099"/>
      <c r="T21" s="1099"/>
    </row>
    <row r="22" spans="1:20" s="1108" customFormat="1">
      <c r="A22" s="1090">
        <v>22.2</v>
      </c>
      <c r="B22" s="1262" t="s">
        <v>3893</v>
      </c>
      <c r="C22" s="1092"/>
      <c r="D22" s="940"/>
      <c r="E22" s="1096">
        <f>'Ins Abs'!Q21</f>
        <v>0</v>
      </c>
      <c r="F22" s="1097">
        <f t="shared" ref="F22:F23" si="18">C22*E22</f>
        <v>0</v>
      </c>
      <c r="G22" s="1096">
        <f>'SI Abs '!Q22</f>
        <v>0</v>
      </c>
      <c r="H22" s="1097">
        <f t="shared" ref="H22:H23" si="19">C22*G22</f>
        <v>0</v>
      </c>
      <c r="I22" s="1096">
        <f>'PC Abs'!Q21</f>
        <v>0</v>
      </c>
      <c r="J22" s="1097">
        <f t="shared" ref="J22:J23" si="20">C22*I22</f>
        <v>0</v>
      </c>
      <c r="K22" s="1096"/>
      <c r="L22" s="1097">
        <f t="shared" si="2"/>
        <v>0</v>
      </c>
      <c r="M22" s="1103"/>
      <c r="N22" s="1097">
        <f t="shared" si="3"/>
        <v>0</v>
      </c>
      <c r="O22" s="1098"/>
      <c r="P22" s="1096"/>
      <c r="Q22" s="1098">
        <f t="shared" si="4"/>
        <v>0</v>
      </c>
      <c r="R22" s="1096">
        <f t="shared" si="5"/>
        <v>0</v>
      </c>
      <c r="S22" s="1107"/>
      <c r="T22" s="1104"/>
    </row>
    <row r="23" spans="1:20" s="1108" customFormat="1">
      <c r="A23" s="940"/>
      <c r="B23" s="933" t="s">
        <v>3894</v>
      </c>
      <c r="C23" s="1092">
        <f>+'Ins Abs'!C22</f>
        <v>4068.0220898027696</v>
      </c>
      <c r="D23" s="940" t="s">
        <v>3798</v>
      </c>
      <c r="E23" s="1096">
        <f>'Ins Abs'!Q22</f>
        <v>11.2</v>
      </c>
      <c r="F23" s="1097">
        <f t="shared" si="18"/>
        <v>45561.847405791021</v>
      </c>
      <c r="G23" s="1096">
        <f>'SI Abs '!Q23</f>
        <v>7.6</v>
      </c>
      <c r="H23" s="1097">
        <f t="shared" si="19"/>
        <v>30916.967882501049</v>
      </c>
      <c r="I23" s="1096">
        <f>'PC Abs'!Q22</f>
        <v>18</v>
      </c>
      <c r="J23" s="1097">
        <f t="shared" si="20"/>
        <v>73224.39761644986</v>
      </c>
      <c r="K23" s="1096"/>
      <c r="L23" s="1097">
        <f t="shared" si="2"/>
        <v>0</v>
      </c>
      <c r="M23" s="1103"/>
      <c r="N23" s="1097">
        <f t="shared" si="3"/>
        <v>0</v>
      </c>
      <c r="O23" s="1098"/>
      <c r="P23" s="1096"/>
      <c r="Q23" s="1098">
        <f t="shared" si="4"/>
        <v>36.799999999999997</v>
      </c>
      <c r="R23" s="1096">
        <f t="shared" si="5"/>
        <v>149703.2129047419</v>
      </c>
      <c r="S23" s="1107"/>
      <c r="T23" s="1104"/>
    </row>
    <row r="24" spans="1:20" s="1108" customFormat="1">
      <c r="A24" s="1090"/>
      <c r="B24" s="933" t="str">
        <f>'Ins Abs'!B23</f>
        <v xml:space="preserve">Supplying and fixing of TW Swing type ventilater </v>
      </c>
      <c r="C24" s="1092">
        <f>+'Ins Abs'!C23</f>
        <v>3196.838999999999</v>
      </c>
      <c r="D24" s="940" t="s">
        <v>3798</v>
      </c>
      <c r="E24" s="1103">
        <f>'Ins Abs'!Q23</f>
        <v>2.2000000000000002</v>
      </c>
      <c r="F24" s="1097">
        <f t="shared" ref="F24:F43" si="21">C24*E24</f>
        <v>7033.0457999999981</v>
      </c>
      <c r="G24" s="1103">
        <f>'SI Abs '!E24</f>
        <v>1.35</v>
      </c>
      <c r="H24" s="1097">
        <f t="shared" ref="H24:H43" si="22">C24*G24</f>
        <v>4315.732649999999</v>
      </c>
      <c r="I24" s="1103">
        <f>'PC Abs'!Q23</f>
        <v>2.4500000000000002</v>
      </c>
      <c r="J24" s="1097">
        <f t="shared" ref="J24:J26" si="23">C24*I24</f>
        <v>7832.255549999998</v>
      </c>
      <c r="K24" s="1096"/>
      <c r="L24" s="1097">
        <f t="shared" si="2"/>
        <v>0</v>
      </c>
      <c r="M24" s="1103"/>
      <c r="N24" s="1097">
        <f t="shared" si="3"/>
        <v>0</v>
      </c>
      <c r="O24" s="1098"/>
      <c r="P24" s="1096"/>
      <c r="Q24" s="1098">
        <f t="shared" si="4"/>
        <v>6</v>
      </c>
      <c r="R24" s="1096">
        <f t="shared" si="5"/>
        <v>19181.033999999992</v>
      </c>
      <c r="S24" s="1107"/>
      <c r="T24" s="1104"/>
    </row>
    <row r="25" spans="1:20" s="1108" customFormat="1" ht="67.900000000000006" customHeight="1">
      <c r="A25" s="1090"/>
      <c r="B25" s="933" t="str">
        <f>'INS- Detail '!B145</f>
        <v>Chipping of concrete and rougheing of surface including cost of materials and labours etc.., completed                                   PWD SOR 2021-22 p-22 item No.38A</v>
      </c>
      <c r="C25" s="1092">
        <f>+'Ins Abs'!C24</f>
        <v>48.79</v>
      </c>
      <c r="D25" s="940" t="s">
        <v>3798</v>
      </c>
      <c r="E25" s="1096">
        <f>'Ins Abs'!Q24</f>
        <v>84.3</v>
      </c>
      <c r="F25" s="1097">
        <f t="shared" si="21"/>
        <v>4112.9969999999994</v>
      </c>
      <c r="G25" s="1096">
        <f>'SI Abs '!Q25</f>
        <v>196.45</v>
      </c>
      <c r="H25" s="1097">
        <f t="shared" si="22"/>
        <v>9584.7955000000002</v>
      </c>
      <c r="I25" s="1096">
        <f>'PC Abs'!Q24</f>
        <v>160.5</v>
      </c>
      <c r="J25" s="1097">
        <f t="shared" si="23"/>
        <v>7830.7950000000001</v>
      </c>
      <c r="K25" s="1096"/>
      <c r="L25" s="1097">
        <f t="shared" si="2"/>
        <v>0</v>
      </c>
      <c r="M25" s="1103"/>
      <c r="N25" s="1097">
        <f t="shared" si="3"/>
        <v>0</v>
      </c>
      <c r="O25" s="1098"/>
      <c r="P25" s="1096"/>
      <c r="Q25" s="1098">
        <f t="shared" si="4"/>
        <v>441.25</v>
      </c>
      <c r="R25" s="1096">
        <f t="shared" si="5"/>
        <v>21528.587499999998</v>
      </c>
      <c r="S25" s="1107"/>
      <c r="T25" s="1104"/>
    </row>
    <row r="26" spans="1:20">
      <c r="A26" s="1090">
        <v>28</v>
      </c>
      <c r="B26" s="1262" t="s">
        <v>3924</v>
      </c>
      <c r="C26" s="1092">
        <f>+'Ins Abs'!C25</f>
        <v>663.63780000000008</v>
      </c>
      <c r="D26" s="940" t="s">
        <v>3798</v>
      </c>
      <c r="E26" s="1096">
        <f>'Ins Abs'!Q25</f>
        <v>95.800000000000011</v>
      </c>
      <c r="F26" s="1097">
        <f t="shared" si="21"/>
        <v>63576.501240000012</v>
      </c>
      <c r="G26" s="1096">
        <f>'SI Abs '!Q26</f>
        <v>188.4</v>
      </c>
      <c r="H26" s="1097">
        <f t="shared" si="22"/>
        <v>125029.36152000002</v>
      </c>
      <c r="I26" s="1096">
        <f>'PC Abs'!Q25</f>
        <v>139.70000000000002</v>
      </c>
      <c r="J26" s="1097">
        <f t="shared" si="23"/>
        <v>92710.200660000017</v>
      </c>
      <c r="K26" s="1096"/>
      <c r="L26" s="1097">
        <f t="shared" si="2"/>
        <v>0</v>
      </c>
      <c r="M26" s="1096"/>
      <c r="N26" s="1097">
        <f t="shared" si="3"/>
        <v>0</v>
      </c>
      <c r="O26" s="1098"/>
      <c r="P26" s="1096"/>
      <c r="Q26" s="1098">
        <f t="shared" si="4"/>
        <v>423.90000000000009</v>
      </c>
      <c r="R26" s="1096">
        <f t="shared" si="5"/>
        <v>281316.06342000008</v>
      </c>
      <c r="S26" s="1099"/>
      <c r="T26" s="1099"/>
    </row>
    <row r="27" spans="1:20" ht="46.5">
      <c r="A27" s="1119"/>
      <c r="B27" s="935" t="str">
        <f>'INS- Detail '!B85</f>
        <v>Dismantling and clearing away the Pressed tiles etc.,</v>
      </c>
      <c r="C27" s="1153">
        <f>+'Ins Abs'!C26</f>
        <v>30.8</v>
      </c>
      <c r="D27" s="1069" t="s">
        <v>3798</v>
      </c>
      <c r="E27" s="1096">
        <f>'Ins Abs'!Q26</f>
        <v>87.25</v>
      </c>
      <c r="F27" s="1097">
        <f t="shared" si="21"/>
        <v>2687.3</v>
      </c>
      <c r="G27" s="1096">
        <f>'SI Abs '!Q27</f>
        <v>110.8</v>
      </c>
      <c r="H27" s="1097">
        <f t="shared" si="22"/>
        <v>3412.64</v>
      </c>
      <c r="I27" s="1096">
        <f>'PC Abs'!Q26</f>
        <v>171.3</v>
      </c>
      <c r="J27" s="1097">
        <f>C27*I27</f>
        <v>5276.0400000000009</v>
      </c>
      <c r="K27" s="1096"/>
      <c r="L27" s="1097">
        <f t="shared" si="2"/>
        <v>0</v>
      </c>
      <c r="M27" s="1096"/>
      <c r="N27" s="1097">
        <f t="shared" si="3"/>
        <v>0</v>
      </c>
      <c r="O27" s="1098"/>
      <c r="P27" s="1096"/>
      <c r="Q27" s="1098">
        <f t="shared" si="4"/>
        <v>369.35</v>
      </c>
      <c r="R27" s="1096">
        <f t="shared" si="5"/>
        <v>11375.980000000001</v>
      </c>
      <c r="S27" s="1099"/>
      <c r="T27" s="1099"/>
    </row>
    <row r="28" spans="1:20" s="1108" customFormat="1" ht="46.5">
      <c r="A28" s="1090">
        <v>32.1</v>
      </c>
      <c r="B28" s="933" t="s">
        <v>3933</v>
      </c>
      <c r="C28" s="1092">
        <f>+'Ins Abs'!C27</f>
        <v>1465.4549999999999</v>
      </c>
      <c r="D28" s="940" t="s">
        <v>3798</v>
      </c>
      <c r="E28" s="1096">
        <f>'Ins Abs'!Q27</f>
        <v>87.25</v>
      </c>
      <c r="F28" s="1097">
        <f t="shared" si="21"/>
        <v>127860.94875</v>
      </c>
      <c r="G28" s="1096">
        <f>'SI Abs '!Q28</f>
        <v>110.8</v>
      </c>
      <c r="H28" s="1097">
        <f t="shared" si="22"/>
        <v>162372.41399999999</v>
      </c>
      <c r="I28" s="1096">
        <f>'PC Abs'!Q27</f>
        <v>171.3</v>
      </c>
      <c r="J28" s="1097">
        <f t="shared" ref="J28:J29" si="24">C28*I28</f>
        <v>251032.44150000002</v>
      </c>
      <c r="K28" s="1096"/>
      <c r="L28" s="1097">
        <f t="shared" si="2"/>
        <v>0</v>
      </c>
      <c r="M28" s="1103"/>
      <c r="N28" s="1097">
        <f t="shared" si="3"/>
        <v>0</v>
      </c>
      <c r="O28" s="1098"/>
      <c r="P28" s="1096"/>
      <c r="Q28" s="1098">
        <f t="shared" si="4"/>
        <v>369.35</v>
      </c>
      <c r="R28" s="1096">
        <f t="shared" si="5"/>
        <v>541265.80425000004</v>
      </c>
      <c r="S28" s="1107"/>
      <c r="T28" s="1104"/>
    </row>
    <row r="29" spans="1:20" s="1108" customFormat="1" ht="46.5">
      <c r="A29" s="1090"/>
      <c r="B29" s="933" t="str">
        <f>'INS- Detail '!B103</f>
        <v>Providing Polymer Coating (Water Proof Coating ) for over roof pressed tiles  area.</v>
      </c>
      <c r="C29" s="1092">
        <f>+'Ins Abs'!C28</f>
        <v>460.6</v>
      </c>
      <c r="D29" s="940" t="s">
        <v>3798</v>
      </c>
      <c r="E29" s="1096">
        <f>'Ins Abs'!Q28</f>
        <v>174.5</v>
      </c>
      <c r="F29" s="1097">
        <f t="shared" si="21"/>
        <v>80374.7</v>
      </c>
      <c r="G29" s="1096">
        <f>'SI Abs '!Q29</f>
        <v>181.25</v>
      </c>
      <c r="H29" s="1097">
        <f t="shared" si="22"/>
        <v>83483.75</v>
      </c>
      <c r="I29" s="1096">
        <f>'PC Abs'!Q28</f>
        <v>342.6</v>
      </c>
      <c r="J29" s="1097">
        <f t="shared" si="24"/>
        <v>157801.56000000003</v>
      </c>
      <c r="K29" s="1096"/>
      <c r="L29" s="1097">
        <f t="shared" si="2"/>
        <v>0</v>
      </c>
      <c r="M29" s="1103"/>
      <c r="N29" s="1097">
        <f t="shared" si="3"/>
        <v>0</v>
      </c>
      <c r="O29" s="1098"/>
      <c r="P29" s="1096"/>
      <c r="Q29" s="1098">
        <f t="shared" si="4"/>
        <v>698.35</v>
      </c>
      <c r="R29" s="1096">
        <f t="shared" si="5"/>
        <v>321660.01</v>
      </c>
      <c r="S29" s="1107"/>
      <c r="T29" s="1104"/>
    </row>
    <row r="30" spans="1:20" s="1108" customFormat="1" ht="116.25">
      <c r="A30" s="1090"/>
      <c r="B30" s="933" t="str">
        <f>'INS- Detail '!B25</f>
        <v>Clean removel of the old cement plastering both inside and outside from the existing walls of brick masonry without damageing the existing structure and surroundings and clearing the debries away from the site including all cost etc.,</v>
      </c>
      <c r="C30" s="1092">
        <f>+'Ins Abs'!C29</f>
        <v>13.58</v>
      </c>
      <c r="D30" s="940" t="s">
        <v>3798</v>
      </c>
      <c r="E30" s="1096">
        <f>'Ins Abs'!Q29</f>
        <v>75.349999999999994</v>
      </c>
      <c r="F30" s="1097">
        <f t="shared" si="21"/>
        <v>1023.2529999999999</v>
      </c>
      <c r="G30" s="1096">
        <f>'SI Abs '!Q30</f>
        <v>32.200000000000003</v>
      </c>
      <c r="H30" s="1097">
        <f t="shared" si="22"/>
        <v>437.27600000000007</v>
      </c>
      <c r="I30" s="1096">
        <f>'PC Abs'!Q29</f>
        <v>45.1</v>
      </c>
      <c r="J30" s="1097">
        <f t="shared" ref="J30:J34" si="25">C30*I30</f>
        <v>612.45799999999997</v>
      </c>
      <c r="K30" s="1096"/>
      <c r="L30" s="1097">
        <f t="shared" si="2"/>
        <v>0</v>
      </c>
      <c r="M30" s="1103"/>
      <c r="N30" s="1097">
        <f t="shared" si="3"/>
        <v>0</v>
      </c>
      <c r="O30" s="1098"/>
      <c r="P30" s="1096"/>
      <c r="Q30" s="1098">
        <f t="shared" si="4"/>
        <v>152.65</v>
      </c>
      <c r="R30" s="1096">
        <f t="shared" si="5"/>
        <v>2072.9870000000001</v>
      </c>
      <c r="S30" s="1107"/>
      <c r="T30" s="1104"/>
    </row>
    <row r="31" spans="1:20" ht="45.75" customHeight="1">
      <c r="A31" s="1090">
        <v>33</v>
      </c>
      <c r="B31" s="933" t="s">
        <v>3935</v>
      </c>
      <c r="C31" s="1092">
        <f>+'Ins Abs'!C30</f>
        <v>325.90227999999996</v>
      </c>
      <c r="D31" s="940" t="s">
        <v>3798</v>
      </c>
      <c r="E31" s="1096">
        <f>'Ins Abs'!Q30</f>
        <v>125.25</v>
      </c>
      <c r="F31" s="1097">
        <f t="shared" si="21"/>
        <v>40819.260569999999</v>
      </c>
      <c r="G31" s="1096">
        <f>'SI Abs '!Q31</f>
        <v>147.94999999999999</v>
      </c>
      <c r="H31" s="1097">
        <f t="shared" si="22"/>
        <v>48217.242325999992</v>
      </c>
      <c r="I31" s="1096">
        <f>'PC Abs'!Q30</f>
        <v>152.35000000000002</v>
      </c>
      <c r="J31" s="1097">
        <f t="shared" si="25"/>
        <v>49651.212358000004</v>
      </c>
      <c r="K31" s="1096"/>
      <c r="L31" s="1097">
        <f t="shared" si="2"/>
        <v>0</v>
      </c>
      <c r="M31" s="1096"/>
      <c r="N31" s="1097">
        <f t="shared" si="3"/>
        <v>0</v>
      </c>
      <c r="O31" s="1098"/>
      <c r="P31" s="1096"/>
      <c r="Q31" s="1098">
        <f t="shared" si="4"/>
        <v>425.55</v>
      </c>
      <c r="R31" s="1096">
        <f t="shared" si="5"/>
        <v>138687.71525399998</v>
      </c>
      <c r="S31" s="1099"/>
      <c r="T31" s="1099"/>
    </row>
    <row r="32" spans="1:20" ht="47.25" customHeight="1">
      <c r="A32" s="1090">
        <v>34</v>
      </c>
      <c r="B32" s="933" t="s">
        <v>3936</v>
      </c>
      <c r="C32" s="1092">
        <f>+'Ins Abs'!C31</f>
        <v>331.99059999999997</v>
      </c>
      <c r="D32" s="940" t="s">
        <v>3798</v>
      </c>
      <c r="E32" s="1096">
        <f>'Ins Abs'!Q31</f>
        <v>60</v>
      </c>
      <c r="F32" s="1097">
        <f t="shared" si="21"/>
        <v>19919.435999999998</v>
      </c>
      <c r="G32" s="1096">
        <f>'SI Abs '!Q32</f>
        <v>120</v>
      </c>
      <c r="H32" s="1097">
        <f t="shared" si="22"/>
        <v>39838.871999999996</v>
      </c>
      <c r="I32" s="1096">
        <f>'PC Abs'!Q31</f>
        <v>160.80000000000001</v>
      </c>
      <c r="J32" s="1097">
        <f t="shared" si="25"/>
        <v>53384.088479999999</v>
      </c>
      <c r="K32" s="1096"/>
      <c r="L32" s="1097">
        <f t="shared" si="2"/>
        <v>0</v>
      </c>
      <c r="M32" s="1096"/>
      <c r="N32" s="1097">
        <f t="shared" si="3"/>
        <v>0</v>
      </c>
      <c r="O32" s="1098"/>
      <c r="P32" s="1096"/>
      <c r="Q32" s="1098">
        <f t="shared" si="4"/>
        <v>340.8</v>
      </c>
      <c r="R32" s="1096">
        <f t="shared" si="5"/>
        <v>113142.39648</v>
      </c>
      <c r="S32" s="1099"/>
      <c r="T32" s="1099"/>
    </row>
    <row r="33" spans="1:21" ht="57.75" customHeight="1">
      <c r="A33" s="1090">
        <v>35</v>
      </c>
      <c r="B33" s="933" t="s">
        <v>3937</v>
      </c>
      <c r="C33" s="1092">
        <f>+'Ins Abs'!C32</f>
        <v>372.77499999999998</v>
      </c>
      <c r="D33" s="940" t="s">
        <v>3798</v>
      </c>
      <c r="E33" s="1096">
        <f>'Ins Abs'!Q32</f>
        <v>75.349999999999994</v>
      </c>
      <c r="F33" s="1097">
        <f t="shared" si="21"/>
        <v>28088.596249999995</v>
      </c>
      <c r="G33" s="1096">
        <f>'SI Abs '!Q33</f>
        <v>32.200000000000003</v>
      </c>
      <c r="H33" s="1097">
        <f t="shared" si="22"/>
        <v>12003.355</v>
      </c>
      <c r="I33" s="1096">
        <f>'PC Abs'!Q32</f>
        <v>45.1</v>
      </c>
      <c r="J33" s="1097">
        <f t="shared" si="25"/>
        <v>16812.1525</v>
      </c>
      <c r="K33" s="1096"/>
      <c r="L33" s="1097">
        <f t="shared" si="2"/>
        <v>0</v>
      </c>
      <c r="M33" s="1096"/>
      <c r="N33" s="1097">
        <f t="shared" si="3"/>
        <v>0</v>
      </c>
      <c r="O33" s="1098"/>
      <c r="P33" s="1096"/>
      <c r="Q33" s="1098">
        <f t="shared" si="4"/>
        <v>152.65</v>
      </c>
      <c r="R33" s="1096">
        <f t="shared" si="5"/>
        <v>56904.103750000002</v>
      </c>
      <c r="S33" s="1099"/>
      <c r="T33" s="1099"/>
    </row>
    <row r="34" spans="1:21">
      <c r="A34" s="1090"/>
      <c r="B34" s="1270" t="s">
        <v>4544</v>
      </c>
      <c r="C34" s="1085">
        <f>+'Ins Abs'!C33</f>
        <v>44.256700000000002</v>
      </c>
      <c r="D34" s="940" t="s">
        <v>3798</v>
      </c>
      <c r="E34" s="1096">
        <f>'Ins Abs'!Q33</f>
        <v>288</v>
      </c>
      <c r="F34" s="1097">
        <f t="shared" si="21"/>
        <v>12745.929600000001</v>
      </c>
      <c r="G34" s="1096">
        <f>'SI Abs '!Q34</f>
        <v>246</v>
      </c>
      <c r="H34" s="1097">
        <f t="shared" si="22"/>
        <v>10887.1482</v>
      </c>
      <c r="I34" s="1096">
        <f>'PC Abs'!Q33</f>
        <v>756</v>
      </c>
      <c r="J34" s="1097">
        <f t="shared" si="25"/>
        <v>33458.065200000005</v>
      </c>
      <c r="K34" s="1096"/>
      <c r="L34" s="1097">
        <f t="shared" si="2"/>
        <v>0</v>
      </c>
      <c r="M34" s="1096"/>
      <c r="N34" s="1097">
        <f t="shared" si="3"/>
        <v>0</v>
      </c>
      <c r="O34" s="1098"/>
      <c r="P34" s="1096"/>
      <c r="Q34" s="1098">
        <f t="shared" si="4"/>
        <v>1290</v>
      </c>
      <c r="R34" s="1096">
        <f t="shared" si="5"/>
        <v>57091.143000000004</v>
      </c>
      <c r="S34" s="1099"/>
      <c r="T34" s="1099"/>
    </row>
    <row r="35" spans="1:21">
      <c r="A35" s="1090">
        <v>40</v>
      </c>
      <c r="B35" s="933" t="s">
        <v>3944</v>
      </c>
      <c r="C35" s="1092">
        <f>+'Ins Abs'!C34</f>
        <v>283.40549999999996</v>
      </c>
      <c r="D35" s="940" t="s">
        <v>3798</v>
      </c>
      <c r="E35" s="1096">
        <f>'Ins Abs'!Q34</f>
        <v>17.650000000000006</v>
      </c>
      <c r="F35" s="1097">
        <f t="shared" si="21"/>
        <v>5002.1070750000008</v>
      </c>
      <c r="G35" s="1096">
        <f>'SI Abs '!Q35</f>
        <v>6.1500000000000012</v>
      </c>
      <c r="H35" s="1097">
        <f t="shared" si="22"/>
        <v>1742.9438250000001</v>
      </c>
      <c r="I35" s="1096">
        <f>'PC Abs'!Q34</f>
        <v>16.354000000000003</v>
      </c>
      <c r="J35" s="1097">
        <f>C35*I35</f>
        <v>4634.8135469999997</v>
      </c>
      <c r="K35" s="1096"/>
      <c r="L35" s="1097">
        <f t="shared" si="2"/>
        <v>0</v>
      </c>
      <c r="M35" s="1096"/>
      <c r="N35" s="1097">
        <f t="shared" si="3"/>
        <v>0</v>
      </c>
      <c r="O35" s="1098"/>
      <c r="P35" s="1096"/>
      <c r="Q35" s="1098">
        <f t="shared" si="4"/>
        <v>40.154000000000011</v>
      </c>
      <c r="R35" s="1096">
        <f t="shared" si="5"/>
        <v>11379.864447000002</v>
      </c>
      <c r="S35" s="1099"/>
      <c r="T35" s="1099"/>
    </row>
    <row r="36" spans="1:21">
      <c r="A36" s="1119"/>
      <c r="B36" s="935" t="s">
        <v>5290</v>
      </c>
      <c r="C36" s="1153">
        <f>+'Ins Abs'!C35</f>
        <v>193.79879999999997</v>
      </c>
      <c r="D36" s="940" t="s">
        <v>3798</v>
      </c>
      <c r="E36" s="1096">
        <f>'Ins Abs'!Q35</f>
        <v>203.2</v>
      </c>
      <c r="F36" s="1097">
        <f t="shared" si="21"/>
        <v>39379.916159999993</v>
      </c>
      <c r="G36" s="1096">
        <f>'SI Abs '!Q38</f>
        <v>383.1</v>
      </c>
      <c r="H36" s="1097">
        <f t="shared" si="22"/>
        <v>74244.32028</v>
      </c>
      <c r="I36" s="1096">
        <f>'PC Abs'!Q35</f>
        <v>1014</v>
      </c>
      <c r="J36" s="1097">
        <f>C36*I36</f>
        <v>196511.98319999996</v>
      </c>
      <c r="K36" s="1096"/>
      <c r="L36" s="1097">
        <f t="shared" si="2"/>
        <v>0</v>
      </c>
      <c r="M36" s="1096"/>
      <c r="N36" s="1097">
        <f t="shared" si="3"/>
        <v>0</v>
      </c>
      <c r="O36" s="1098"/>
      <c r="P36" s="1096"/>
      <c r="Q36" s="1098">
        <f t="shared" si="4"/>
        <v>1600.3</v>
      </c>
      <c r="R36" s="1096">
        <f t="shared" si="5"/>
        <v>310136.21963999997</v>
      </c>
      <c r="S36" s="1099"/>
      <c r="T36" s="1099"/>
    </row>
    <row r="37" spans="1:21" s="1108" customFormat="1">
      <c r="A37" s="1154">
        <v>51</v>
      </c>
      <c r="B37" s="1272" t="s">
        <v>3961</v>
      </c>
      <c r="C37" s="1541">
        <f>+'Ins Abs'!C36</f>
        <v>7035.0000000000009</v>
      </c>
      <c r="D37" s="1542" t="s">
        <v>340</v>
      </c>
      <c r="E37" s="1096">
        <f>'Ins Abs'!Q36</f>
        <v>5</v>
      </c>
      <c r="F37" s="1097">
        <f t="shared" si="21"/>
        <v>35175.000000000007</v>
      </c>
      <c r="G37" s="1096">
        <f>'SI Abs '!Q40</f>
        <v>8</v>
      </c>
      <c r="H37" s="1097">
        <f t="shared" si="22"/>
        <v>56280.000000000007</v>
      </c>
      <c r="I37" s="1096">
        <f>'PC Abs'!Q37</f>
        <v>24</v>
      </c>
      <c r="J37" s="1097">
        <f t="shared" ref="J37:J40" si="26">C37*I37</f>
        <v>168840.00000000003</v>
      </c>
      <c r="K37" s="1114"/>
      <c r="L37" s="1097">
        <f t="shared" si="2"/>
        <v>0</v>
      </c>
      <c r="M37" s="1113"/>
      <c r="N37" s="1097">
        <f t="shared" si="3"/>
        <v>0</v>
      </c>
      <c r="O37" s="1098"/>
      <c r="P37" s="1096"/>
      <c r="Q37" s="1098">
        <f t="shared" si="4"/>
        <v>37</v>
      </c>
      <c r="R37" s="1096">
        <f t="shared" si="5"/>
        <v>260295.00000000003</v>
      </c>
      <c r="S37" s="1107"/>
      <c r="T37" s="1104"/>
    </row>
    <row r="38" spans="1:21" s="1144" customFormat="1" ht="46.9" customHeight="1">
      <c r="A38" s="1129">
        <v>52</v>
      </c>
      <c r="B38" s="1263" t="s">
        <v>3962</v>
      </c>
      <c r="C38" s="1117"/>
      <c r="D38" s="1118"/>
      <c r="E38" s="1096"/>
      <c r="F38" s="1097"/>
      <c r="G38" s="1096"/>
      <c r="H38" s="1097"/>
      <c r="I38" s="1096"/>
      <c r="J38" s="1097"/>
      <c r="K38" s="1096"/>
      <c r="L38" s="1097"/>
      <c r="M38" s="1103"/>
      <c r="N38" s="1097"/>
      <c r="O38" s="1098"/>
      <c r="P38" s="1096"/>
      <c r="Q38" s="1098">
        <f t="shared" si="4"/>
        <v>0</v>
      </c>
      <c r="R38" s="1096">
        <f t="shared" si="5"/>
        <v>0</v>
      </c>
      <c r="S38" s="1132"/>
      <c r="T38" s="1104"/>
      <c r="U38" s="1133"/>
    </row>
    <row r="39" spans="1:21" s="1144" customFormat="1" ht="46.9" customHeight="1">
      <c r="A39" s="1118"/>
      <c r="B39" s="1265" t="s">
        <v>3963</v>
      </c>
      <c r="C39" s="1117">
        <f>+'Ins Abs'!C38</f>
        <v>307.24199999999996</v>
      </c>
      <c r="D39" s="1118" t="s">
        <v>303</v>
      </c>
      <c r="E39" s="1096">
        <f>'Ins Abs'!Q38</f>
        <v>30</v>
      </c>
      <c r="F39" s="1097">
        <f t="shared" si="21"/>
        <v>9217.2599999999984</v>
      </c>
      <c r="G39" s="1096">
        <f>'SI Abs '!Q42</f>
        <v>72</v>
      </c>
      <c r="H39" s="1097">
        <f t="shared" si="22"/>
        <v>22121.423999999999</v>
      </c>
      <c r="I39" s="1096">
        <f>'PC Abs'!Q38</f>
        <v>50</v>
      </c>
      <c r="J39" s="1097">
        <f t="shared" si="26"/>
        <v>15362.099999999999</v>
      </c>
      <c r="K39" s="1096"/>
      <c r="L39" s="1097">
        <f t="shared" si="2"/>
        <v>0</v>
      </c>
      <c r="M39" s="1103"/>
      <c r="N39" s="1097">
        <f t="shared" si="3"/>
        <v>0</v>
      </c>
      <c r="O39" s="1098"/>
      <c r="P39" s="1096"/>
      <c r="Q39" s="1098">
        <f t="shared" si="4"/>
        <v>152</v>
      </c>
      <c r="R39" s="1096">
        <f t="shared" si="5"/>
        <v>46700.783999999992</v>
      </c>
      <c r="S39" s="1104"/>
      <c r="T39" s="1104"/>
    </row>
    <row r="40" spans="1:21" s="1144" customFormat="1">
      <c r="A40" s="1118"/>
      <c r="B40" s="1265" t="s">
        <v>3964</v>
      </c>
      <c r="C40" s="1117">
        <f>+'Ins Abs'!C39</f>
        <v>289.63333333333333</v>
      </c>
      <c r="D40" s="1118" t="s">
        <v>303</v>
      </c>
      <c r="E40" s="1096">
        <f>'Ins Abs'!Q39</f>
        <v>90</v>
      </c>
      <c r="F40" s="1097">
        <f t="shared" si="21"/>
        <v>26067</v>
      </c>
      <c r="G40" s="1096">
        <f>'SI Abs '!Q43</f>
        <v>120</v>
      </c>
      <c r="H40" s="1097">
        <f t="shared" si="22"/>
        <v>34756</v>
      </c>
      <c r="I40" s="1096">
        <f>'PC Abs'!Q39</f>
        <v>300</v>
      </c>
      <c r="J40" s="1097">
        <f t="shared" si="26"/>
        <v>86890</v>
      </c>
      <c r="K40" s="1096"/>
      <c r="L40" s="1097">
        <f t="shared" si="2"/>
        <v>0</v>
      </c>
      <c r="M40" s="1103"/>
      <c r="N40" s="1097">
        <f t="shared" si="3"/>
        <v>0</v>
      </c>
      <c r="O40" s="1098"/>
      <c r="P40" s="1096"/>
      <c r="Q40" s="1098">
        <f t="shared" si="4"/>
        <v>510</v>
      </c>
      <c r="R40" s="1096">
        <f t="shared" si="5"/>
        <v>147713</v>
      </c>
      <c r="S40" s="1104"/>
      <c r="T40" s="1104"/>
    </row>
    <row r="41" spans="1:21" s="1108" customFormat="1">
      <c r="A41" s="1119">
        <v>53.1</v>
      </c>
      <c r="B41" s="935" t="s">
        <v>3967</v>
      </c>
      <c r="C41" s="1153">
        <f>+'Ins Abs'!C40</f>
        <v>3856.62</v>
      </c>
      <c r="D41" s="1069" t="s">
        <v>340</v>
      </c>
      <c r="E41" s="1096">
        <f>'Ins Abs'!Q40</f>
        <v>5</v>
      </c>
      <c r="F41" s="1097">
        <f t="shared" si="21"/>
        <v>19283.099999999999</v>
      </c>
      <c r="G41" s="1096">
        <f>'SI Abs '!Q44</f>
        <v>8</v>
      </c>
      <c r="H41" s="1097">
        <f t="shared" si="22"/>
        <v>30852.959999999999</v>
      </c>
      <c r="I41" s="1096">
        <f>'PC Abs'!Q40</f>
        <v>24</v>
      </c>
      <c r="J41" s="1097">
        <f>C41*I41</f>
        <v>92558.88</v>
      </c>
      <c r="K41" s="1096"/>
      <c r="L41" s="1097">
        <f t="shared" si="2"/>
        <v>0</v>
      </c>
      <c r="M41" s="1103"/>
      <c r="N41" s="1097">
        <f t="shared" si="3"/>
        <v>0</v>
      </c>
      <c r="O41" s="1098"/>
      <c r="P41" s="1096"/>
      <c r="Q41" s="1098">
        <f t="shared" si="4"/>
        <v>37</v>
      </c>
      <c r="R41" s="1096">
        <f t="shared" si="5"/>
        <v>142694.94</v>
      </c>
      <c r="S41" s="1107"/>
      <c r="T41" s="1104"/>
    </row>
    <row r="42" spans="1:21" s="1108" customFormat="1">
      <c r="A42" s="1090">
        <v>54.1</v>
      </c>
      <c r="B42" s="933" t="s">
        <v>3971</v>
      </c>
      <c r="C42" s="1092">
        <f>+'Ins Abs'!C41</f>
        <v>538</v>
      </c>
      <c r="D42" s="940" t="s">
        <v>340</v>
      </c>
      <c r="E42" s="1096">
        <f>'Ins Abs'!Q41</f>
        <v>20</v>
      </c>
      <c r="F42" s="1097">
        <f t="shared" si="21"/>
        <v>10760</v>
      </c>
      <c r="G42" s="1096">
        <f>'SI Abs '!Q45</f>
        <v>24</v>
      </c>
      <c r="H42" s="1097">
        <f t="shared" si="22"/>
        <v>12912</v>
      </c>
      <c r="I42" s="1096">
        <f>'PC Abs'!Q41</f>
        <v>54</v>
      </c>
      <c r="J42" s="1097">
        <f t="shared" ref="J42:J43" si="27">C42*I42</f>
        <v>29052</v>
      </c>
      <c r="K42" s="1096"/>
      <c r="L42" s="1097">
        <f t="shared" si="2"/>
        <v>0</v>
      </c>
      <c r="M42" s="1103"/>
      <c r="N42" s="1097">
        <f t="shared" si="3"/>
        <v>0</v>
      </c>
      <c r="O42" s="1098"/>
      <c r="P42" s="1096"/>
      <c r="Q42" s="1098">
        <f t="shared" si="4"/>
        <v>98</v>
      </c>
      <c r="R42" s="1096">
        <f t="shared" si="5"/>
        <v>52724</v>
      </c>
      <c r="S42" s="1107"/>
      <c r="T42" s="1104"/>
    </row>
    <row r="43" spans="1:21" s="1108" customFormat="1">
      <c r="A43" s="1090">
        <v>54.2</v>
      </c>
      <c r="B43" s="933" t="s">
        <v>3972</v>
      </c>
      <c r="C43" s="1092">
        <f>+'Ins Abs'!C42</f>
        <v>490</v>
      </c>
      <c r="D43" s="940" t="s">
        <v>340</v>
      </c>
      <c r="E43" s="1096">
        <f>'Ins Abs'!Q42</f>
        <v>8</v>
      </c>
      <c r="F43" s="1097">
        <f t="shared" si="21"/>
        <v>3920</v>
      </c>
      <c r="G43" s="1096">
        <f>'SI Abs '!Q46</f>
        <v>13</v>
      </c>
      <c r="H43" s="1097">
        <f t="shared" si="22"/>
        <v>6370</v>
      </c>
      <c r="I43" s="1096">
        <f>'PC Abs'!Q42</f>
        <v>24</v>
      </c>
      <c r="J43" s="1097">
        <f t="shared" si="27"/>
        <v>11760</v>
      </c>
      <c r="K43" s="1096"/>
      <c r="L43" s="1097">
        <f t="shared" si="2"/>
        <v>0</v>
      </c>
      <c r="M43" s="1103"/>
      <c r="N43" s="1097">
        <f t="shared" si="3"/>
        <v>0</v>
      </c>
      <c r="O43" s="1098"/>
      <c r="P43" s="1096"/>
      <c r="Q43" s="1098">
        <f t="shared" si="4"/>
        <v>45</v>
      </c>
      <c r="R43" s="1096">
        <f t="shared" si="5"/>
        <v>22050</v>
      </c>
      <c r="S43" s="1107"/>
      <c r="T43" s="1104"/>
    </row>
    <row r="44" spans="1:21" s="1105" customFormat="1">
      <c r="A44" s="1129">
        <v>69</v>
      </c>
      <c r="B44" s="1265" t="s">
        <v>4007</v>
      </c>
      <c r="C44" s="1117">
        <f>+'Ins Abs'!C43</f>
        <v>149.995</v>
      </c>
      <c r="D44" s="1118" t="s">
        <v>340</v>
      </c>
      <c r="E44" s="1096">
        <f>'Ins Abs'!Q43</f>
        <v>25</v>
      </c>
      <c r="F44" s="1097">
        <f t="shared" ref="F44" si="28">C44*E44</f>
        <v>3749.875</v>
      </c>
      <c r="G44" s="1096">
        <f>'SI Abs '!Q47</f>
        <v>34</v>
      </c>
      <c r="H44" s="1097">
        <f t="shared" ref="H44" si="29">C44*G44</f>
        <v>5099.83</v>
      </c>
      <c r="I44" s="1096">
        <v>120</v>
      </c>
      <c r="J44" s="1097">
        <v>18000</v>
      </c>
      <c r="K44" s="1096"/>
      <c r="L44" s="1097">
        <f t="shared" si="2"/>
        <v>0</v>
      </c>
      <c r="M44" s="1103"/>
      <c r="N44" s="1097">
        <f t="shared" si="3"/>
        <v>0</v>
      </c>
      <c r="O44" s="1098"/>
      <c r="P44" s="1096"/>
      <c r="Q44" s="1098">
        <f t="shared" si="4"/>
        <v>179</v>
      </c>
      <c r="R44" s="1096">
        <f t="shared" si="5"/>
        <v>26849.105</v>
      </c>
      <c r="S44" s="1104"/>
      <c r="T44" s="1104"/>
    </row>
    <row r="45" spans="1:21">
      <c r="A45" s="1090"/>
      <c r="B45" s="1257" t="s">
        <v>4039</v>
      </c>
      <c r="C45" s="1092"/>
      <c r="D45" s="940"/>
      <c r="E45" s="1096">
        <f>'Ins Abs'!Q44</f>
        <v>0</v>
      </c>
      <c r="F45" s="1097">
        <f t="shared" ref="F45" si="30">C45*E45</f>
        <v>0</v>
      </c>
      <c r="G45" s="1096">
        <f>'SI Abs '!Q49</f>
        <v>0</v>
      </c>
      <c r="H45" s="1097">
        <f t="shared" ref="H45" si="31">C45*G45</f>
        <v>0</v>
      </c>
      <c r="I45" s="1096">
        <f>'PC Abs'!Q44</f>
        <v>0</v>
      </c>
      <c r="J45" s="1097">
        <f>C45*I45</f>
        <v>0</v>
      </c>
      <c r="K45" s="1096"/>
      <c r="L45" s="1097">
        <f t="shared" si="2"/>
        <v>0</v>
      </c>
      <c r="M45" s="1096"/>
      <c r="N45" s="1097">
        <f t="shared" si="3"/>
        <v>0</v>
      </c>
      <c r="O45" s="1098"/>
      <c r="P45" s="1096"/>
      <c r="Q45" s="1098">
        <f t="shared" si="4"/>
        <v>0</v>
      </c>
      <c r="R45" s="1096">
        <f t="shared" si="5"/>
        <v>0</v>
      </c>
      <c r="S45" s="1122"/>
      <c r="T45" s="1099"/>
      <c r="U45" s="1123"/>
    </row>
    <row r="46" spans="1:21" s="1108" customFormat="1" ht="46.5">
      <c r="A46" s="1138"/>
      <c r="B46" s="933" t="str">
        <f>'INS- Detail '!B139</f>
        <v>Removing of doors and windows shutter etc.,PWD SOR P-22 Item No.29</v>
      </c>
      <c r="C46" s="1092">
        <f>+'Ins Abs'!C45</f>
        <v>185.36</v>
      </c>
      <c r="D46" s="940" t="s">
        <v>306</v>
      </c>
      <c r="E46" s="1096">
        <f>'Ins Abs'!Q45</f>
        <v>7.5</v>
      </c>
      <c r="F46" s="1097">
        <f t="shared" ref="F46:F51" si="32">C46*E46</f>
        <v>1390.2</v>
      </c>
      <c r="G46" s="1096">
        <f>'SI Abs '!Q50</f>
        <v>24</v>
      </c>
      <c r="H46" s="1097">
        <f t="shared" ref="H46:H51" si="33">C46*G46</f>
        <v>4448.6400000000003</v>
      </c>
      <c r="I46" s="1096">
        <f>'PC Abs'!Q45</f>
        <v>21</v>
      </c>
      <c r="J46" s="1097">
        <f t="shared" ref="J46:J51" si="34">C46*I46</f>
        <v>3892.5600000000004</v>
      </c>
      <c r="K46" s="1096"/>
      <c r="L46" s="1097">
        <f t="shared" si="2"/>
        <v>0</v>
      </c>
      <c r="M46" s="1103"/>
      <c r="N46" s="1097">
        <f t="shared" si="3"/>
        <v>0</v>
      </c>
      <c r="O46" s="1098"/>
      <c r="P46" s="1096"/>
      <c r="Q46" s="1098">
        <f t="shared" si="4"/>
        <v>52.5</v>
      </c>
      <c r="R46" s="1096">
        <f t="shared" si="5"/>
        <v>9731.4000000000015</v>
      </c>
      <c r="S46" s="1107"/>
      <c r="T46" s="1104"/>
    </row>
    <row r="47" spans="1:21" ht="58.5" customHeight="1">
      <c r="A47" s="1090" t="s">
        <v>4132</v>
      </c>
      <c r="B47" s="933" t="s">
        <v>4133</v>
      </c>
      <c r="C47" s="1092">
        <f>+'Ins Abs'!C46</f>
        <v>3325</v>
      </c>
      <c r="D47" s="940" t="s">
        <v>306</v>
      </c>
      <c r="E47" s="1096">
        <f>'Ins Abs'!Q46</f>
        <v>7.5</v>
      </c>
      <c r="F47" s="1097">
        <f t="shared" si="32"/>
        <v>24937.5</v>
      </c>
      <c r="G47" s="1096">
        <f>'SI Abs '!Q51</f>
        <v>24</v>
      </c>
      <c r="H47" s="1097">
        <f t="shared" si="33"/>
        <v>79800</v>
      </c>
      <c r="I47" s="1096">
        <f>'PC Abs'!Q46</f>
        <v>36</v>
      </c>
      <c r="J47" s="1097">
        <f t="shared" si="34"/>
        <v>119700</v>
      </c>
      <c r="K47" s="1096"/>
      <c r="L47" s="1097">
        <f t="shared" si="2"/>
        <v>0</v>
      </c>
      <c r="M47" s="1096"/>
      <c r="N47" s="1097">
        <f t="shared" si="3"/>
        <v>0</v>
      </c>
      <c r="O47" s="1098"/>
      <c r="P47" s="1096"/>
      <c r="Q47" s="1098">
        <f t="shared" si="4"/>
        <v>67.5</v>
      </c>
      <c r="R47" s="1096">
        <f t="shared" si="5"/>
        <v>224437.5</v>
      </c>
      <c r="S47" s="1099"/>
      <c r="T47" s="1099"/>
    </row>
    <row r="48" spans="1:21" s="1105" customFormat="1" ht="66.75" customHeight="1">
      <c r="A48" s="1206" t="s">
        <v>4134</v>
      </c>
      <c r="B48" s="1265" t="s">
        <v>4135</v>
      </c>
      <c r="C48" s="1117">
        <f>+'Ins Abs'!C47</f>
        <v>906.4</v>
      </c>
      <c r="D48" s="1118" t="s">
        <v>306</v>
      </c>
      <c r="E48" s="1096">
        <f>'Ins Abs'!Q47</f>
        <v>9</v>
      </c>
      <c r="F48" s="1097">
        <f t="shared" si="32"/>
        <v>8157.5999999999995</v>
      </c>
      <c r="G48" s="1096">
        <f>'SI Abs '!Q52</f>
        <v>7.25</v>
      </c>
      <c r="H48" s="1097">
        <f t="shared" si="33"/>
        <v>6571.4</v>
      </c>
      <c r="I48" s="1096">
        <f>'PC Abs'!Q47</f>
        <v>20</v>
      </c>
      <c r="J48" s="1097">
        <f t="shared" si="34"/>
        <v>18128</v>
      </c>
      <c r="K48" s="1096"/>
      <c r="L48" s="1097">
        <f t="shared" si="2"/>
        <v>0</v>
      </c>
      <c r="M48" s="1103"/>
      <c r="N48" s="1097">
        <f t="shared" si="3"/>
        <v>0</v>
      </c>
      <c r="O48" s="1098"/>
      <c r="P48" s="1096"/>
      <c r="Q48" s="1098">
        <f t="shared" si="4"/>
        <v>36.25</v>
      </c>
      <c r="R48" s="1096">
        <f t="shared" si="5"/>
        <v>32857</v>
      </c>
      <c r="S48" s="1104"/>
      <c r="T48" s="1104"/>
    </row>
    <row r="49" spans="1:21" s="1108" customFormat="1" ht="45.75" customHeight="1">
      <c r="A49" s="940"/>
      <c r="B49" s="1262" t="s">
        <v>4136</v>
      </c>
      <c r="C49" s="1092"/>
      <c r="D49" s="940"/>
      <c r="E49" s="1096">
        <f>'Ins Abs'!Q48</f>
        <v>0</v>
      </c>
      <c r="F49" s="1097">
        <f t="shared" si="32"/>
        <v>0</v>
      </c>
      <c r="G49" s="1096"/>
      <c r="H49" s="1097"/>
      <c r="I49" s="1096"/>
      <c r="J49" s="1097"/>
      <c r="K49" s="1096"/>
      <c r="L49" s="1097">
        <f t="shared" si="2"/>
        <v>0</v>
      </c>
      <c r="M49" s="1103"/>
      <c r="N49" s="1097">
        <f t="shared" si="3"/>
        <v>0</v>
      </c>
      <c r="O49" s="1098"/>
      <c r="P49" s="1096"/>
      <c r="Q49" s="1098">
        <f t="shared" si="4"/>
        <v>0</v>
      </c>
      <c r="R49" s="1096">
        <f t="shared" si="5"/>
        <v>0</v>
      </c>
      <c r="S49" s="1107"/>
      <c r="T49" s="1104"/>
    </row>
    <row r="50" spans="1:21" s="1108" customFormat="1" ht="39" customHeight="1">
      <c r="A50" s="940"/>
      <c r="B50" s="933" t="s">
        <v>3815</v>
      </c>
      <c r="C50" s="1092">
        <f>+'Ins Abs'!C49</f>
        <v>662.83819999999992</v>
      </c>
      <c r="D50" s="940" t="s">
        <v>3798</v>
      </c>
      <c r="E50" s="1096">
        <f>'Ins Abs'!Q49</f>
        <v>3.15</v>
      </c>
      <c r="F50" s="1097">
        <f t="shared" si="32"/>
        <v>2087.9403299999994</v>
      </c>
      <c r="G50" s="1096"/>
      <c r="H50" s="1097"/>
      <c r="I50" s="1096"/>
      <c r="J50" s="1097"/>
      <c r="K50" s="1096"/>
      <c r="L50" s="1097">
        <f t="shared" si="2"/>
        <v>0</v>
      </c>
      <c r="M50" s="1103"/>
      <c r="N50" s="1097">
        <f t="shared" si="3"/>
        <v>0</v>
      </c>
      <c r="O50" s="1098"/>
      <c r="P50" s="1096"/>
      <c r="Q50" s="1098">
        <f t="shared" si="4"/>
        <v>3.15</v>
      </c>
      <c r="R50" s="1096">
        <f t="shared" si="5"/>
        <v>2087.9403299999994</v>
      </c>
      <c r="S50" s="1107"/>
      <c r="T50" s="1104"/>
    </row>
    <row r="51" spans="1:21" s="1108" customFormat="1">
      <c r="A51" s="940"/>
      <c r="B51" s="933" t="s">
        <v>3816</v>
      </c>
      <c r="C51" s="1092">
        <f>+'Ins Abs'!C50</f>
        <v>669.10459999999989</v>
      </c>
      <c r="D51" s="940" t="s">
        <v>3798</v>
      </c>
      <c r="E51" s="1096">
        <f>'Ins Abs'!Q50</f>
        <v>2.1</v>
      </c>
      <c r="F51" s="1097">
        <f t="shared" si="32"/>
        <v>1405.1196599999998</v>
      </c>
      <c r="G51" s="1096"/>
      <c r="H51" s="1097">
        <f t="shared" si="33"/>
        <v>0</v>
      </c>
      <c r="I51" s="1096"/>
      <c r="J51" s="1097">
        <f t="shared" si="34"/>
        <v>0</v>
      </c>
      <c r="K51" s="1096"/>
      <c r="L51" s="1097">
        <f t="shared" si="2"/>
        <v>0</v>
      </c>
      <c r="M51" s="1103"/>
      <c r="N51" s="1097">
        <f t="shared" si="3"/>
        <v>0</v>
      </c>
      <c r="O51" s="1098"/>
      <c r="P51" s="1096"/>
      <c r="Q51" s="1098">
        <f t="shared" si="4"/>
        <v>2.1</v>
      </c>
      <c r="R51" s="1096">
        <f t="shared" si="5"/>
        <v>1405.1196599999998</v>
      </c>
      <c r="S51" s="1107"/>
      <c r="T51" s="1104"/>
    </row>
    <row r="52" spans="1:21">
      <c r="A52" s="1090">
        <v>29.8</v>
      </c>
      <c r="B52" s="933" t="s">
        <v>4141</v>
      </c>
      <c r="C52" s="1092">
        <f>+'Ins Abs'!C51</f>
        <v>1673.4978494623656</v>
      </c>
      <c r="D52" s="940" t="s">
        <v>306</v>
      </c>
      <c r="E52" s="1096">
        <f>'Ins Abs'!Q51</f>
        <v>30.45</v>
      </c>
      <c r="F52" s="1097">
        <f t="shared" ref="F52:F66" si="35">C52*E52</f>
        <v>50958.00951612903</v>
      </c>
      <c r="G52" s="1096">
        <f>'SI Abs '!Q53</f>
        <v>44.7</v>
      </c>
      <c r="H52" s="1097">
        <f t="shared" ref="H52:H66" si="36">C52*G52</f>
        <v>74805.353870967752</v>
      </c>
      <c r="I52" s="1096">
        <f>'PC Abs'!Q48</f>
        <v>134</v>
      </c>
      <c r="J52" s="1097">
        <f>C52*I52</f>
        <v>224248.71182795698</v>
      </c>
      <c r="K52" s="1096"/>
      <c r="L52" s="1097">
        <f t="shared" si="2"/>
        <v>0</v>
      </c>
      <c r="M52" s="1096"/>
      <c r="N52" s="1097">
        <f t="shared" si="3"/>
        <v>0</v>
      </c>
      <c r="O52" s="1098"/>
      <c r="P52" s="1096"/>
      <c r="Q52" s="1098">
        <f t="shared" si="4"/>
        <v>209.15</v>
      </c>
      <c r="R52" s="1096">
        <f t="shared" si="5"/>
        <v>350012.07521505374</v>
      </c>
      <c r="S52" s="1099"/>
      <c r="T52" s="1099"/>
    </row>
    <row r="53" spans="1:21" ht="46.5">
      <c r="A53" s="1090">
        <v>29.9</v>
      </c>
      <c r="B53" s="933" t="s">
        <v>4143</v>
      </c>
      <c r="C53" s="1092">
        <f>+'Ins Abs'!C52</f>
        <v>1456.6807000000001</v>
      </c>
      <c r="D53" s="940" t="s">
        <v>306</v>
      </c>
      <c r="E53" s="1096">
        <f>'Ins Abs'!Q52</f>
        <v>12.95</v>
      </c>
      <c r="F53" s="1097">
        <f t="shared" si="35"/>
        <v>18864.015065</v>
      </c>
      <c r="G53" s="1096">
        <f>'SI Abs '!Q54</f>
        <v>17.3</v>
      </c>
      <c r="H53" s="1097">
        <f t="shared" si="36"/>
        <v>25200.576110000002</v>
      </c>
      <c r="I53" s="1096">
        <f>'PC Abs'!Q49</f>
        <v>57.3</v>
      </c>
      <c r="J53" s="1097">
        <f>C53*I53</f>
        <v>83467.804109999997</v>
      </c>
      <c r="K53" s="1096"/>
      <c r="L53" s="1097">
        <f t="shared" si="2"/>
        <v>0</v>
      </c>
      <c r="M53" s="1096"/>
      <c r="N53" s="1097">
        <f t="shared" si="3"/>
        <v>0</v>
      </c>
      <c r="O53" s="1098"/>
      <c r="P53" s="1096"/>
      <c r="Q53" s="1098">
        <f t="shared" si="4"/>
        <v>87.55</v>
      </c>
      <c r="R53" s="1096">
        <f t="shared" si="5"/>
        <v>127532.39528500001</v>
      </c>
      <c r="S53" s="1099"/>
      <c r="T53" s="1099"/>
    </row>
    <row r="54" spans="1:21" s="1105" customFormat="1" ht="69.75">
      <c r="A54" s="1129">
        <v>43</v>
      </c>
      <c r="B54" s="1265" t="s">
        <v>4147</v>
      </c>
      <c r="C54" s="1117">
        <f>+'Ins Abs'!C53</f>
        <v>98792.5</v>
      </c>
      <c r="D54" s="1118" t="s">
        <v>277</v>
      </c>
      <c r="E54" s="1096">
        <f>'Ins Abs'!Q53</f>
        <v>0</v>
      </c>
      <c r="F54" s="1097">
        <f t="shared" si="35"/>
        <v>0</v>
      </c>
      <c r="G54" s="1096">
        <f>'SI Abs '!Q55</f>
        <v>0</v>
      </c>
      <c r="H54" s="1097">
        <f t="shared" si="36"/>
        <v>0</v>
      </c>
      <c r="I54" s="1096"/>
      <c r="J54" s="1097">
        <f t="shared" ref="J54:J56" si="37">C54*I54</f>
        <v>0</v>
      </c>
      <c r="K54" s="1096">
        <f>sump!H55</f>
        <v>1.5</v>
      </c>
      <c r="L54" s="1097">
        <f t="shared" si="2"/>
        <v>148188.75</v>
      </c>
      <c r="M54" s="1207"/>
      <c r="N54" s="1097">
        <f t="shared" si="3"/>
        <v>0</v>
      </c>
      <c r="O54" s="1098"/>
      <c r="P54" s="1096"/>
      <c r="Q54" s="1098">
        <f t="shared" si="4"/>
        <v>1.5</v>
      </c>
      <c r="R54" s="1096">
        <f t="shared" si="5"/>
        <v>148188.75</v>
      </c>
      <c r="S54" s="1104"/>
      <c r="T54" s="1104"/>
    </row>
    <row r="55" spans="1:21" s="1105" customFormat="1" ht="65.25" customHeight="1">
      <c r="A55" s="1129">
        <v>44.6</v>
      </c>
      <c r="B55" s="1265" t="s">
        <v>4148</v>
      </c>
      <c r="C55" s="1117">
        <f>+'Ins Abs'!C54</f>
        <v>390.34</v>
      </c>
      <c r="D55" s="1118" t="s">
        <v>303</v>
      </c>
      <c r="E55" s="1096">
        <f>'Ins Abs'!Q54</f>
        <v>72</v>
      </c>
      <c r="F55" s="1097">
        <f t="shared" si="35"/>
        <v>28104.48</v>
      </c>
      <c r="G55" s="1096">
        <f>'SI Abs '!Q39</f>
        <v>120</v>
      </c>
      <c r="H55" s="1097">
        <f>G55*C55</f>
        <v>46840.799999999996</v>
      </c>
      <c r="I55" s="1096">
        <f>'PC Abs'!Q36</f>
        <v>144</v>
      </c>
      <c r="J55" s="1097">
        <f t="shared" si="37"/>
        <v>56208.959999999999</v>
      </c>
      <c r="K55" s="1096"/>
      <c r="L55" s="1097">
        <f t="shared" si="2"/>
        <v>0</v>
      </c>
      <c r="M55" s="1103"/>
      <c r="N55" s="1097">
        <f t="shared" si="3"/>
        <v>0</v>
      </c>
      <c r="O55" s="1098"/>
      <c r="P55" s="1096"/>
      <c r="Q55" s="1098">
        <f t="shared" si="4"/>
        <v>336</v>
      </c>
      <c r="R55" s="1096">
        <f t="shared" si="5"/>
        <v>131154.23999999999</v>
      </c>
      <c r="S55" s="1104"/>
      <c r="T55" s="1104"/>
    </row>
    <row r="56" spans="1:21" s="1105" customFormat="1">
      <c r="A56" s="1129">
        <v>50.6</v>
      </c>
      <c r="B56" s="1265" t="s">
        <v>4149</v>
      </c>
      <c r="C56" s="1117">
        <f>+'Ins Abs'!C55</f>
        <v>514.23368249999976</v>
      </c>
      <c r="D56" s="1118" t="s">
        <v>306</v>
      </c>
      <c r="E56" s="1096">
        <f>'Ins Abs'!Q55</f>
        <v>45</v>
      </c>
      <c r="F56" s="1097">
        <f t="shared" si="35"/>
        <v>23140.51571249999</v>
      </c>
      <c r="G56" s="1096">
        <f>'SI Abs '!Q56</f>
        <v>72</v>
      </c>
      <c r="H56" s="1097">
        <f t="shared" si="36"/>
        <v>37024.825139999986</v>
      </c>
      <c r="I56" s="1096">
        <f>'PC Abs'!Q50</f>
        <v>34.199999999999996</v>
      </c>
      <c r="J56" s="1097">
        <f t="shared" si="37"/>
        <v>17586.791941499989</v>
      </c>
      <c r="K56" s="1096"/>
      <c r="L56" s="1097">
        <f t="shared" si="2"/>
        <v>0</v>
      </c>
      <c r="M56" s="1103"/>
      <c r="N56" s="1097">
        <f t="shared" si="3"/>
        <v>0</v>
      </c>
      <c r="O56" s="1098"/>
      <c r="P56" s="1096"/>
      <c r="Q56" s="1098">
        <f t="shared" si="4"/>
        <v>151.19999999999999</v>
      </c>
      <c r="R56" s="1096">
        <f t="shared" si="5"/>
        <v>77752.132793999961</v>
      </c>
      <c r="S56" s="1104"/>
      <c r="T56" s="1104"/>
    </row>
    <row r="57" spans="1:21" s="1108" customFormat="1" ht="46.5">
      <c r="A57" s="1090">
        <v>56.3</v>
      </c>
      <c r="B57" s="933" t="s">
        <v>354</v>
      </c>
      <c r="C57" s="1092">
        <f>+'Ins Abs'!C56</f>
        <v>4051.933023</v>
      </c>
      <c r="D57" s="940" t="s">
        <v>340</v>
      </c>
      <c r="E57" s="1096">
        <f>'Ins Abs'!Q56</f>
        <v>3</v>
      </c>
      <c r="F57" s="1097">
        <f t="shared" si="35"/>
        <v>12155.799069000001</v>
      </c>
      <c r="G57" s="1096">
        <f>'SI Abs '!Q57</f>
        <v>5</v>
      </c>
      <c r="H57" s="1097">
        <f t="shared" si="36"/>
        <v>20259.665115</v>
      </c>
      <c r="I57" s="1096">
        <f>'PC Abs'!Q51</f>
        <v>12</v>
      </c>
      <c r="J57" s="1097">
        <f t="shared" ref="J57:J61" si="38">C57*I57</f>
        <v>48623.196276000002</v>
      </c>
      <c r="K57" s="1096"/>
      <c r="L57" s="1097">
        <f t="shared" si="2"/>
        <v>0</v>
      </c>
      <c r="M57" s="1103"/>
      <c r="N57" s="1097">
        <f t="shared" si="3"/>
        <v>0</v>
      </c>
      <c r="O57" s="1098"/>
      <c r="P57" s="1096"/>
      <c r="Q57" s="1098">
        <f t="shared" si="4"/>
        <v>20</v>
      </c>
      <c r="R57" s="1096">
        <f t="shared" si="5"/>
        <v>81038.660459999999</v>
      </c>
      <c r="S57" s="1107"/>
      <c r="T57" s="1104"/>
    </row>
    <row r="58" spans="1:21" s="1108" customFormat="1" ht="86.25" customHeight="1">
      <c r="A58" s="1109">
        <v>56.4</v>
      </c>
      <c r="B58" s="1259" t="s">
        <v>355</v>
      </c>
      <c r="C58" s="1540">
        <f>+'Ins Abs'!C57</f>
        <v>6609.6227230000013</v>
      </c>
      <c r="D58" s="1110" t="s">
        <v>340</v>
      </c>
      <c r="E58" s="1096">
        <f>'Ins Abs'!Q57</f>
        <v>2</v>
      </c>
      <c r="F58" s="1097">
        <f t="shared" si="35"/>
        <v>13219.245446000003</v>
      </c>
      <c r="G58" s="1096">
        <f>'SI Abs '!Q58</f>
        <v>3</v>
      </c>
      <c r="H58" s="1097">
        <f t="shared" si="36"/>
        <v>19828.868169000005</v>
      </c>
      <c r="I58" s="1096">
        <f>'PC Abs'!Q52</f>
        <v>12</v>
      </c>
      <c r="J58" s="1097">
        <f t="shared" si="38"/>
        <v>79315.472676000019</v>
      </c>
      <c r="K58" s="1114"/>
      <c r="L58" s="1097">
        <f t="shared" si="2"/>
        <v>0</v>
      </c>
      <c r="M58" s="1113"/>
      <c r="N58" s="1097">
        <f t="shared" si="3"/>
        <v>0</v>
      </c>
      <c r="O58" s="1098"/>
      <c r="P58" s="1096"/>
      <c r="Q58" s="1098">
        <f t="shared" si="4"/>
        <v>17</v>
      </c>
      <c r="R58" s="1096">
        <f t="shared" si="5"/>
        <v>112363.58629100003</v>
      </c>
      <c r="S58" s="1107"/>
      <c r="T58" s="1104"/>
    </row>
    <row r="59" spans="1:21" ht="48" customHeight="1">
      <c r="A59" s="1090">
        <v>58.3</v>
      </c>
      <c r="B59" s="1262" t="s">
        <v>4154</v>
      </c>
      <c r="C59" s="1092"/>
      <c r="D59" s="1208"/>
      <c r="E59" s="1096">
        <f>'Ins Abs'!Q58</f>
        <v>0</v>
      </c>
      <c r="F59" s="1097">
        <f t="shared" si="35"/>
        <v>0</v>
      </c>
      <c r="G59" s="1096">
        <f>'SI Abs '!Q59</f>
        <v>0</v>
      </c>
      <c r="H59" s="1097">
        <f t="shared" si="36"/>
        <v>0</v>
      </c>
      <c r="I59" s="1096">
        <f>'PC Abs'!Q53</f>
        <v>0</v>
      </c>
      <c r="J59" s="1097">
        <f t="shared" si="38"/>
        <v>0</v>
      </c>
      <c r="K59" s="1096"/>
      <c r="L59" s="1097">
        <f t="shared" si="2"/>
        <v>0</v>
      </c>
      <c r="M59" s="1096"/>
      <c r="N59" s="1097">
        <f t="shared" si="3"/>
        <v>0</v>
      </c>
      <c r="O59" s="1098"/>
      <c r="P59" s="1096"/>
      <c r="Q59" s="1098">
        <f t="shared" si="4"/>
        <v>0</v>
      </c>
      <c r="R59" s="1096">
        <f t="shared" si="5"/>
        <v>0</v>
      </c>
      <c r="S59" s="1122"/>
      <c r="T59" s="1099"/>
      <c r="U59" s="1123"/>
    </row>
    <row r="60" spans="1:21" ht="48" customHeight="1">
      <c r="A60" s="1090"/>
      <c r="B60" s="933" t="s">
        <v>3980</v>
      </c>
      <c r="C60" s="1092">
        <f>+'Ins Abs'!C59</f>
        <v>851.42</v>
      </c>
      <c r="D60" s="940" t="s">
        <v>303</v>
      </c>
      <c r="E60" s="1096">
        <f>'Ins Abs'!Q59</f>
        <v>24</v>
      </c>
      <c r="F60" s="1097">
        <f t="shared" si="35"/>
        <v>20434.079999999998</v>
      </c>
      <c r="G60" s="1096">
        <f>'SI Abs '!Q60</f>
        <v>96</v>
      </c>
      <c r="H60" s="1097">
        <f t="shared" si="36"/>
        <v>81736.319999999992</v>
      </c>
      <c r="I60" s="1096">
        <f>'PC Abs'!Q54</f>
        <v>48</v>
      </c>
      <c r="J60" s="1097">
        <f t="shared" si="38"/>
        <v>40868.159999999996</v>
      </c>
      <c r="K60" s="1096"/>
      <c r="L60" s="1097">
        <f t="shared" si="2"/>
        <v>0</v>
      </c>
      <c r="M60" s="1096"/>
      <c r="N60" s="1097">
        <f t="shared" si="3"/>
        <v>0</v>
      </c>
      <c r="O60" s="1098"/>
      <c r="P60" s="1096"/>
      <c r="Q60" s="1098">
        <f t="shared" si="4"/>
        <v>168</v>
      </c>
      <c r="R60" s="1096">
        <f t="shared" si="5"/>
        <v>143038.56</v>
      </c>
      <c r="S60" s="1099"/>
      <c r="T60" s="1099"/>
    </row>
    <row r="61" spans="1:21">
      <c r="A61" s="1092"/>
      <c r="B61" s="933" t="s">
        <v>3981</v>
      </c>
      <c r="C61" s="1092">
        <f>+'Ins Abs'!C60</f>
        <v>734.11666666666667</v>
      </c>
      <c r="D61" s="940" t="s">
        <v>303</v>
      </c>
      <c r="E61" s="1096">
        <f>'Ins Abs'!Q60</f>
        <v>36</v>
      </c>
      <c r="F61" s="1097">
        <f t="shared" si="35"/>
        <v>26428.2</v>
      </c>
      <c r="G61" s="1096">
        <f>'SI Abs '!Q61</f>
        <v>48</v>
      </c>
      <c r="H61" s="1097">
        <f t="shared" si="36"/>
        <v>35237.599999999999</v>
      </c>
      <c r="I61" s="1096">
        <f>'PC Abs'!Q55</f>
        <v>72</v>
      </c>
      <c r="J61" s="1097">
        <f t="shared" si="38"/>
        <v>52856.4</v>
      </c>
      <c r="K61" s="1096"/>
      <c r="L61" s="1097">
        <f t="shared" si="2"/>
        <v>0</v>
      </c>
      <c r="M61" s="1096"/>
      <c r="N61" s="1097">
        <f t="shared" si="3"/>
        <v>0</v>
      </c>
      <c r="O61" s="1098"/>
      <c r="P61" s="1096"/>
      <c r="Q61" s="1098">
        <f t="shared" si="4"/>
        <v>156</v>
      </c>
      <c r="R61" s="1096">
        <f t="shared" si="5"/>
        <v>114522.2</v>
      </c>
      <c r="S61" s="1099"/>
      <c r="T61" s="1099"/>
    </row>
    <row r="62" spans="1:21" s="1105" customFormat="1" ht="93">
      <c r="A62" s="1129">
        <v>66.099999999999994</v>
      </c>
      <c r="B62" s="1265" t="s">
        <v>4159</v>
      </c>
      <c r="C62" s="1117">
        <f>+'Ins Abs'!C61</f>
        <v>3051.9983333333334</v>
      </c>
      <c r="D62" s="1117" t="s">
        <v>340</v>
      </c>
      <c r="E62" s="1096">
        <f>'Ins Abs'!Q61</f>
        <v>4</v>
      </c>
      <c r="F62" s="1097">
        <f t="shared" si="35"/>
        <v>12207.993333333334</v>
      </c>
      <c r="G62" s="1096">
        <f>'SI Abs '!Q62</f>
        <v>0</v>
      </c>
      <c r="H62" s="1097">
        <f t="shared" si="36"/>
        <v>0</v>
      </c>
      <c r="I62" s="1096">
        <f>'PC Abs'!Q56</f>
        <v>6</v>
      </c>
      <c r="J62" s="1097">
        <f>C62*I62</f>
        <v>18311.990000000002</v>
      </c>
      <c r="K62" s="1096"/>
      <c r="L62" s="1097">
        <f t="shared" si="2"/>
        <v>0</v>
      </c>
      <c r="M62" s="1103"/>
      <c r="N62" s="1097">
        <f t="shared" si="3"/>
        <v>0</v>
      </c>
      <c r="O62" s="1098"/>
      <c r="P62" s="1096"/>
      <c r="Q62" s="1098">
        <f t="shared" si="4"/>
        <v>10</v>
      </c>
      <c r="R62" s="1096">
        <f t="shared" si="5"/>
        <v>30519.983333333334</v>
      </c>
      <c r="S62" s="1104"/>
      <c r="T62" s="1104"/>
    </row>
    <row r="63" spans="1:21" ht="69.75">
      <c r="A63" s="1092"/>
      <c r="B63" s="933" t="s">
        <v>4164</v>
      </c>
      <c r="C63" s="1092">
        <f>+'Ins Abs'!C62</f>
        <v>266</v>
      </c>
      <c r="D63" s="1208" t="s">
        <v>303</v>
      </c>
      <c r="E63" s="1096">
        <f>'Ins Abs'!Q62</f>
        <v>25</v>
      </c>
      <c r="F63" s="1097">
        <f t="shared" si="35"/>
        <v>6650</v>
      </c>
      <c r="G63" s="1096">
        <f>'SI Abs '!Q63</f>
        <v>40</v>
      </c>
      <c r="H63" s="1097">
        <f t="shared" si="36"/>
        <v>10640</v>
      </c>
      <c r="I63" s="1096">
        <f>'PC Abs'!Q57</f>
        <v>120</v>
      </c>
      <c r="J63" s="1097">
        <f>C63*I63</f>
        <v>31920</v>
      </c>
      <c r="K63" s="1096"/>
      <c r="L63" s="1097">
        <f t="shared" si="2"/>
        <v>0</v>
      </c>
      <c r="M63" s="1096"/>
      <c r="N63" s="1097">
        <f t="shared" si="3"/>
        <v>0</v>
      </c>
      <c r="O63" s="1098"/>
      <c r="P63" s="1096"/>
      <c r="Q63" s="1098">
        <f t="shared" si="4"/>
        <v>185</v>
      </c>
      <c r="R63" s="1096">
        <f t="shared" si="5"/>
        <v>49210</v>
      </c>
      <c r="S63" s="1099"/>
      <c r="T63" s="1099"/>
    </row>
    <row r="64" spans="1:21" s="1108" customFormat="1" ht="93">
      <c r="A64" s="1090"/>
      <c r="B64" s="933" t="s">
        <v>4166</v>
      </c>
      <c r="C64" s="1092">
        <f>+'Ins Abs'!C63</f>
        <v>226</v>
      </c>
      <c r="D64" s="1158" t="s">
        <v>303</v>
      </c>
      <c r="E64" s="1096">
        <f>'Ins Abs'!Q63</f>
        <v>200</v>
      </c>
      <c r="F64" s="1097">
        <f t="shared" si="35"/>
        <v>45200</v>
      </c>
      <c r="G64" s="1096">
        <f>'SI Abs '!Q64</f>
        <v>400</v>
      </c>
      <c r="H64" s="1097">
        <f t="shared" si="36"/>
        <v>90400</v>
      </c>
      <c r="I64" s="1096">
        <f>'PC Abs'!Q58</f>
        <v>840</v>
      </c>
      <c r="J64" s="1097">
        <f t="shared" ref="J64:J65" si="39">C64*I64</f>
        <v>189840</v>
      </c>
      <c r="K64" s="1096"/>
      <c r="L64" s="1097">
        <f t="shared" si="2"/>
        <v>0</v>
      </c>
      <c r="M64" s="1096"/>
      <c r="N64" s="1097">
        <f t="shared" si="3"/>
        <v>0</v>
      </c>
      <c r="O64" s="1098"/>
      <c r="P64" s="1096"/>
      <c r="Q64" s="1098">
        <f t="shared" si="4"/>
        <v>1440</v>
      </c>
      <c r="R64" s="1096">
        <f t="shared" si="5"/>
        <v>325440</v>
      </c>
      <c r="S64" s="1107"/>
      <c r="T64" s="1099"/>
    </row>
    <row r="65" spans="1:20" ht="69.75">
      <c r="A65" s="1090"/>
      <c r="B65" s="933" t="s">
        <v>4167</v>
      </c>
      <c r="C65" s="1092">
        <f>+'Ins Abs'!C64</f>
        <v>270</v>
      </c>
      <c r="D65" s="1208" t="s">
        <v>303</v>
      </c>
      <c r="E65" s="1096">
        <f>'Ins Abs'!Q64</f>
        <v>175</v>
      </c>
      <c r="F65" s="1097">
        <f t="shared" si="35"/>
        <v>47250</v>
      </c>
      <c r="G65" s="1096">
        <f>'SI Abs '!Q65</f>
        <v>280</v>
      </c>
      <c r="H65" s="1097">
        <f t="shared" si="36"/>
        <v>75600</v>
      </c>
      <c r="I65" s="1096">
        <f>'PC Abs'!Q59</f>
        <v>720</v>
      </c>
      <c r="J65" s="1097">
        <f t="shared" si="39"/>
        <v>194400</v>
      </c>
      <c r="K65" s="1096">
        <v>30</v>
      </c>
      <c r="L65" s="1097">
        <f t="shared" si="2"/>
        <v>8100</v>
      </c>
      <c r="M65" s="1096"/>
      <c r="N65" s="1097">
        <f t="shared" si="3"/>
        <v>0</v>
      </c>
      <c r="O65" s="1098"/>
      <c r="P65" s="1096"/>
      <c r="Q65" s="1098">
        <f t="shared" si="4"/>
        <v>1205</v>
      </c>
      <c r="R65" s="1096">
        <f t="shared" si="5"/>
        <v>325350</v>
      </c>
      <c r="S65" s="1099"/>
      <c r="T65" s="1099"/>
    </row>
    <row r="66" spans="1:20">
      <c r="A66" s="1090">
        <v>344.2</v>
      </c>
      <c r="B66" s="933" t="s">
        <v>4178</v>
      </c>
      <c r="C66" s="1092">
        <f>+'Ins Abs'!C65</f>
        <v>494.7</v>
      </c>
      <c r="D66" s="1092" t="s">
        <v>340</v>
      </c>
      <c r="E66" s="1096">
        <f>'Ins Abs'!Q65</f>
        <v>5</v>
      </c>
      <c r="F66" s="1097">
        <f t="shared" si="35"/>
        <v>2473.5</v>
      </c>
      <c r="G66" s="1096">
        <f>'SI Abs '!Q66</f>
        <v>8</v>
      </c>
      <c r="H66" s="1097">
        <f t="shared" si="36"/>
        <v>3957.6</v>
      </c>
      <c r="I66" s="1096">
        <f>'PC Abs'!Q60</f>
        <v>24</v>
      </c>
      <c r="J66" s="1097">
        <f>C66*I66</f>
        <v>11872.8</v>
      </c>
      <c r="K66" s="1096"/>
      <c r="L66" s="1097">
        <f t="shared" si="2"/>
        <v>0</v>
      </c>
      <c r="M66" s="1096"/>
      <c r="N66" s="1097">
        <f t="shared" si="3"/>
        <v>0</v>
      </c>
      <c r="O66" s="1098"/>
      <c r="P66" s="1096"/>
      <c r="Q66" s="1098">
        <f t="shared" si="4"/>
        <v>37</v>
      </c>
      <c r="R66" s="1096">
        <f t="shared" si="5"/>
        <v>18303.899999999998</v>
      </c>
      <c r="S66" s="1099"/>
      <c r="T66" s="1099"/>
    </row>
    <row r="67" spans="1:20" ht="69.75">
      <c r="A67" s="1090"/>
      <c r="B67" s="933" t="str">
        <f>'INS- Detail '!B270</f>
        <v xml:space="preserve">Plastic Emulsion paint two coat of Old walls including cost of materials and labours etc.., completed </v>
      </c>
      <c r="C67" s="1092">
        <f>+'Ins Abs'!C66</f>
        <v>206.17699999999999</v>
      </c>
      <c r="D67" s="1158" t="s">
        <v>306</v>
      </c>
      <c r="E67" s="1096">
        <f>'Ins Abs'!Q66</f>
        <v>1813.1</v>
      </c>
      <c r="F67" s="1097">
        <f t="shared" ref="F67:F68" si="40">C67*E67</f>
        <v>373819.51869999996</v>
      </c>
      <c r="G67" s="1096">
        <f>'SI Abs '!Q67</f>
        <v>1207</v>
      </c>
      <c r="H67" s="1097">
        <f t="shared" ref="H67:H68" si="41">C67*G67</f>
        <v>248855.639</v>
      </c>
      <c r="I67" s="1096">
        <f>'PC Abs'!Q61</f>
        <v>3422.3</v>
      </c>
      <c r="J67" s="1097">
        <f t="shared" ref="J67:J68" si="42">C67*I67</f>
        <v>705599.54709999997</v>
      </c>
      <c r="K67" s="1096"/>
      <c r="L67" s="1097">
        <f t="shared" si="2"/>
        <v>0</v>
      </c>
      <c r="M67" s="1096"/>
      <c r="N67" s="1097">
        <f t="shared" si="3"/>
        <v>0</v>
      </c>
      <c r="O67" s="1098"/>
      <c r="P67" s="1096"/>
      <c r="Q67" s="1098">
        <f t="shared" si="4"/>
        <v>6442.4</v>
      </c>
      <c r="R67" s="1096">
        <f t="shared" si="5"/>
        <v>1328274.7047999999</v>
      </c>
      <c r="S67" s="1099"/>
      <c r="T67" s="1099"/>
    </row>
    <row r="68" spans="1:20" ht="69.75">
      <c r="A68" s="1090" t="s">
        <v>4190</v>
      </c>
      <c r="B68" s="933" t="str">
        <f>'INS- Detail '!B218</f>
        <v xml:space="preserve">Painting Two coat of OBD over one coat white cement for inner walls  including cost of materials and labours etc.., completed </v>
      </c>
      <c r="C68" s="1092">
        <f>+'Ins Abs'!C67</f>
        <v>167.11</v>
      </c>
      <c r="D68" s="1158" t="s">
        <v>306</v>
      </c>
      <c r="E68" s="1096">
        <f>'Ins Abs'!Q67</f>
        <v>1138</v>
      </c>
      <c r="F68" s="1097">
        <f t="shared" si="40"/>
        <v>190171.18000000002</v>
      </c>
      <c r="G68" s="1096">
        <f>'SI Abs '!Q68</f>
        <v>731</v>
      </c>
      <c r="H68" s="1097">
        <f t="shared" si="41"/>
        <v>122157.41</v>
      </c>
      <c r="I68" s="1096">
        <f>'PC Abs'!Q62</f>
        <v>3777.1</v>
      </c>
      <c r="J68" s="1097">
        <f t="shared" si="42"/>
        <v>631191.18099999998</v>
      </c>
      <c r="K68" s="1096"/>
      <c r="L68" s="1097">
        <f t="shared" si="2"/>
        <v>0</v>
      </c>
      <c r="M68" s="1096"/>
      <c r="N68" s="1097">
        <f t="shared" si="3"/>
        <v>0</v>
      </c>
      <c r="O68" s="1098"/>
      <c r="P68" s="1096"/>
      <c r="Q68" s="1098">
        <f t="shared" si="4"/>
        <v>5646.1</v>
      </c>
      <c r="R68" s="1096">
        <f t="shared" si="5"/>
        <v>943519.77100000018</v>
      </c>
      <c r="S68" s="1099"/>
      <c r="T68" s="1099"/>
    </row>
    <row r="69" spans="1:20" ht="46.5">
      <c r="A69" s="1090"/>
      <c r="B69" s="1262" t="s">
        <v>4309</v>
      </c>
      <c r="C69" s="1092"/>
      <c r="D69" s="940"/>
      <c r="E69" s="1096"/>
      <c r="F69" s="1097">
        <f t="shared" ref="F69:F73" si="43">C69*E69</f>
        <v>0</v>
      </c>
      <c r="G69" s="1096"/>
      <c r="H69" s="1097">
        <f t="shared" ref="H69:H73" si="44">C69*G69</f>
        <v>0</v>
      </c>
      <c r="I69" s="1096"/>
      <c r="J69" s="1097">
        <f t="shared" ref="J69" si="45">I69*C69</f>
        <v>0</v>
      </c>
      <c r="K69" s="1096"/>
      <c r="L69" s="1097">
        <f t="shared" si="2"/>
        <v>0</v>
      </c>
      <c r="M69" s="1096"/>
      <c r="N69" s="1097">
        <f t="shared" si="3"/>
        <v>0</v>
      </c>
      <c r="O69" s="1098">
        <f t="shared" ref="O69" si="46">K69+I69</f>
        <v>0</v>
      </c>
      <c r="P69" s="1096">
        <f t="shared" ref="P69" si="47">J69+L69</f>
        <v>0</v>
      </c>
      <c r="Q69" s="1098">
        <f t="shared" si="4"/>
        <v>0</v>
      </c>
      <c r="R69" s="1096">
        <f t="shared" si="5"/>
        <v>0</v>
      </c>
      <c r="S69" s="1099"/>
      <c r="T69" s="1099"/>
    </row>
    <row r="70" spans="1:20">
      <c r="A70" s="1090"/>
      <c r="B70" s="933" t="s">
        <v>4310</v>
      </c>
      <c r="C70" s="1233">
        <f>+'Ins Abs'!C69</f>
        <v>535.10599666666667</v>
      </c>
      <c r="D70" s="940" t="s">
        <v>303</v>
      </c>
      <c r="E70" s="1096">
        <f>'Ins Abs'!Q69</f>
        <v>30</v>
      </c>
      <c r="F70" s="1097">
        <f t="shared" si="43"/>
        <v>16053.179899999999</v>
      </c>
      <c r="G70" s="1096">
        <f>'SI Abs '!Q70</f>
        <v>75</v>
      </c>
      <c r="H70" s="1097">
        <f t="shared" si="44"/>
        <v>40132.94975</v>
      </c>
      <c r="I70" s="1096">
        <f>'PC Abs'!Q64</f>
        <v>20</v>
      </c>
      <c r="J70" s="1097">
        <f t="shared" ref="J70:J71" si="48">C70*I70</f>
        <v>10702.119933333333</v>
      </c>
      <c r="K70" s="1096"/>
      <c r="L70" s="1097">
        <f t="shared" si="2"/>
        <v>0</v>
      </c>
      <c r="M70" s="1096"/>
      <c r="N70" s="1097">
        <f t="shared" si="3"/>
        <v>0</v>
      </c>
      <c r="O70" s="1098"/>
      <c r="P70" s="1096"/>
      <c r="Q70" s="1098">
        <f t="shared" si="4"/>
        <v>125</v>
      </c>
      <c r="R70" s="1096">
        <f t="shared" si="5"/>
        <v>66888.249583333338</v>
      </c>
      <c r="S70" s="1099"/>
      <c r="T70" s="1099"/>
    </row>
    <row r="71" spans="1:20">
      <c r="A71" s="1090"/>
      <c r="B71" s="933" t="s">
        <v>4311</v>
      </c>
      <c r="C71" s="1233">
        <f>+'Ins Abs'!C70</f>
        <v>859.17696666666654</v>
      </c>
      <c r="D71" s="940" t="s">
        <v>303</v>
      </c>
      <c r="E71" s="1096">
        <f>'Ins Abs'!Q70</f>
        <v>30</v>
      </c>
      <c r="F71" s="1097">
        <f t="shared" si="43"/>
        <v>25775.308999999997</v>
      </c>
      <c r="G71" s="1096">
        <f>'SI Abs '!Q71</f>
        <v>100</v>
      </c>
      <c r="H71" s="1097">
        <f t="shared" si="44"/>
        <v>85917.696666666656</v>
      </c>
      <c r="I71" s="1096">
        <f>'PC Abs'!Q65</f>
        <v>50</v>
      </c>
      <c r="J71" s="1097">
        <f t="shared" si="48"/>
        <v>42958.848333333328</v>
      </c>
      <c r="K71" s="1096"/>
      <c r="L71" s="1097">
        <f t="shared" ref="L71:L102" si="49">K71*C71</f>
        <v>0</v>
      </c>
      <c r="M71" s="1096"/>
      <c r="N71" s="1097">
        <f t="shared" ref="N71:N103" si="50">C71*M71</f>
        <v>0</v>
      </c>
      <c r="O71" s="1098"/>
      <c r="P71" s="1096"/>
      <c r="Q71" s="1098">
        <f t="shared" ref="Q71:Q103" si="51">E71+G71+I71+K71+M71</f>
        <v>180</v>
      </c>
      <c r="R71" s="1096">
        <f t="shared" ref="R71:R102" si="52">Q71*C71</f>
        <v>154651.85399999999</v>
      </c>
      <c r="S71" s="1099"/>
      <c r="T71" s="1099"/>
    </row>
    <row r="72" spans="1:20" s="1108" customFormat="1" ht="93">
      <c r="A72" s="1090"/>
      <c r="B72" s="1262" t="s">
        <v>4351</v>
      </c>
      <c r="C72" s="1232"/>
      <c r="D72" s="940"/>
      <c r="E72" s="1096">
        <f>'Ins Abs'!Q71</f>
        <v>0</v>
      </c>
      <c r="F72" s="1097">
        <f t="shared" si="43"/>
        <v>0</v>
      </c>
      <c r="G72" s="1096">
        <f>'SI Abs '!Q72</f>
        <v>0</v>
      </c>
      <c r="H72" s="1097">
        <f t="shared" si="44"/>
        <v>0</v>
      </c>
      <c r="I72" s="1096">
        <f>'PC Abs'!Q66</f>
        <v>0</v>
      </c>
      <c r="J72" s="1097">
        <f t="shared" ref="J72:J74" si="53">C72*I72</f>
        <v>0</v>
      </c>
      <c r="K72" s="1096"/>
      <c r="L72" s="1097">
        <f t="shared" si="49"/>
        <v>0</v>
      </c>
      <c r="M72" s="1103"/>
      <c r="N72" s="1097">
        <f t="shared" si="50"/>
        <v>0</v>
      </c>
      <c r="O72" s="1098"/>
      <c r="P72" s="1096"/>
      <c r="Q72" s="1098">
        <f t="shared" si="51"/>
        <v>0</v>
      </c>
      <c r="R72" s="1096">
        <f t="shared" si="52"/>
        <v>0</v>
      </c>
      <c r="S72" s="1107"/>
      <c r="T72" s="1104"/>
    </row>
    <row r="73" spans="1:20" s="1108" customFormat="1" ht="25.5" customHeight="1">
      <c r="A73" s="1090"/>
      <c r="B73" s="933" t="s">
        <v>4000</v>
      </c>
      <c r="C73" s="1232">
        <f>+'Ins Abs'!C72</f>
        <v>894.99583333333339</v>
      </c>
      <c r="D73" s="940" t="s">
        <v>340</v>
      </c>
      <c r="E73" s="1096">
        <f>'Ins Abs'!Q72</f>
        <v>45</v>
      </c>
      <c r="F73" s="1097">
        <f t="shared" si="43"/>
        <v>40274.8125</v>
      </c>
      <c r="G73" s="1096">
        <f>'SI Abs '!Q73</f>
        <v>66</v>
      </c>
      <c r="H73" s="1097">
        <f t="shared" si="44"/>
        <v>59069.725000000006</v>
      </c>
      <c r="I73" s="1096">
        <f>'PC Abs'!Q67</f>
        <v>144</v>
      </c>
      <c r="J73" s="1097">
        <f t="shared" si="53"/>
        <v>128879.40000000001</v>
      </c>
      <c r="K73" s="1096"/>
      <c r="L73" s="1097">
        <f t="shared" si="49"/>
        <v>0</v>
      </c>
      <c r="M73" s="1103"/>
      <c r="N73" s="1097">
        <f t="shared" si="50"/>
        <v>0</v>
      </c>
      <c r="O73" s="1098"/>
      <c r="P73" s="1096"/>
      <c r="Q73" s="1098">
        <f t="shared" si="51"/>
        <v>255</v>
      </c>
      <c r="R73" s="1096">
        <f t="shared" si="52"/>
        <v>228223.93750000003</v>
      </c>
      <c r="S73" s="1107"/>
      <c r="T73" s="1104"/>
    </row>
    <row r="74" spans="1:20" s="1108" customFormat="1">
      <c r="A74" s="1090"/>
      <c r="B74" s="933" t="s">
        <v>4001</v>
      </c>
      <c r="C74" s="1232">
        <f>+'Ins Abs'!C73</f>
        <v>896.99583333333339</v>
      </c>
      <c r="D74" s="940" t="s">
        <v>340</v>
      </c>
      <c r="E74" s="1096">
        <f>'Ins Abs'!Q73</f>
        <v>25</v>
      </c>
      <c r="F74" s="1097">
        <f t="shared" ref="F74:F82" si="54">C74*E74</f>
        <v>22424.895833333336</v>
      </c>
      <c r="G74" s="1096">
        <f>'SI Abs '!Q74</f>
        <v>24</v>
      </c>
      <c r="H74" s="1097">
        <f t="shared" ref="H74:H82" si="55">C74*G74</f>
        <v>21527.9</v>
      </c>
      <c r="I74" s="1096">
        <f>'PC Abs'!Q68</f>
        <v>96</v>
      </c>
      <c r="J74" s="1097">
        <f t="shared" si="53"/>
        <v>86111.6</v>
      </c>
      <c r="K74" s="1096"/>
      <c r="L74" s="1097">
        <f t="shared" si="49"/>
        <v>0</v>
      </c>
      <c r="M74" s="1103"/>
      <c r="N74" s="1097">
        <f t="shared" si="50"/>
        <v>0</v>
      </c>
      <c r="O74" s="1098"/>
      <c r="P74" s="1096"/>
      <c r="Q74" s="1098">
        <f t="shared" si="51"/>
        <v>145</v>
      </c>
      <c r="R74" s="1096">
        <f t="shared" si="52"/>
        <v>130064.39583333334</v>
      </c>
      <c r="S74" s="1107"/>
      <c r="T74" s="1104"/>
    </row>
    <row r="75" spans="1:20" s="1108" customFormat="1" ht="116.25">
      <c r="A75" s="1090"/>
      <c r="B75" s="933" t="s">
        <v>5420</v>
      </c>
      <c r="C75" s="1232">
        <f>+'Ins Abs'!C74</f>
        <v>689.99599999999998</v>
      </c>
      <c r="D75" s="940" t="s">
        <v>340</v>
      </c>
      <c r="E75" s="1096">
        <f>'Ins Abs'!Q74</f>
        <v>20</v>
      </c>
      <c r="F75" s="1097">
        <f t="shared" si="54"/>
        <v>13799.92</v>
      </c>
      <c r="G75" s="1096">
        <f>'SI Abs '!Q75</f>
        <v>24</v>
      </c>
      <c r="H75" s="1097">
        <f t="shared" si="55"/>
        <v>16559.903999999999</v>
      </c>
      <c r="I75" s="1096">
        <f>'PC Abs'!Q69</f>
        <v>72</v>
      </c>
      <c r="J75" s="1097">
        <f t="shared" ref="J75:J76" si="56">C75*I75</f>
        <v>49679.712</v>
      </c>
      <c r="K75" s="1096"/>
      <c r="L75" s="1097">
        <f t="shared" si="49"/>
        <v>0</v>
      </c>
      <c r="M75" s="1103"/>
      <c r="N75" s="1097">
        <f t="shared" si="50"/>
        <v>0</v>
      </c>
      <c r="O75" s="1098"/>
      <c r="P75" s="1096"/>
      <c r="Q75" s="1098">
        <f t="shared" si="51"/>
        <v>116</v>
      </c>
      <c r="R75" s="1096">
        <f t="shared" si="52"/>
        <v>80039.535999999993</v>
      </c>
      <c r="S75" s="1107"/>
      <c r="T75" s="1104"/>
    </row>
    <row r="76" spans="1:20" s="1108" customFormat="1" ht="116.25">
      <c r="A76" s="1090"/>
      <c r="B76" s="933" t="s">
        <v>5421</v>
      </c>
      <c r="C76" s="1232">
        <f>+'Ins Abs'!C75</f>
        <v>834.99833333333333</v>
      </c>
      <c r="D76" s="940" t="s">
        <v>340</v>
      </c>
      <c r="E76" s="1096">
        <f>'Ins Abs'!Q75</f>
        <v>25</v>
      </c>
      <c r="F76" s="1097">
        <f t="shared" si="54"/>
        <v>20874.958333333332</v>
      </c>
      <c r="G76" s="1096">
        <f>'SI Abs '!Q76</f>
        <v>32</v>
      </c>
      <c r="H76" s="1097">
        <f t="shared" si="55"/>
        <v>26719.946666666667</v>
      </c>
      <c r="I76" s="1096">
        <f>'PC Abs'!Q70</f>
        <v>72</v>
      </c>
      <c r="J76" s="1097">
        <f t="shared" si="56"/>
        <v>60119.88</v>
      </c>
      <c r="K76" s="1096"/>
      <c r="L76" s="1097">
        <f t="shared" si="49"/>
        <v>0</v>
      </c>
      <c r="M76" s="1103"/>
      <c r="N76" s="1097">
        <f t="shared" si="50"/>
        <v>0</v>
      </c>
      <c r="O76" s="1098"/>
      <c r="P76" s="1096"/>
      <c r="Q76" s="1098">
        <f t="shared" si="51"/>
        <v>129</v>
      </c>
      <c r="R76" s="1096">
        <f t="shared" si="52"/>
        <v>107714.785</v>
      </c>
      <c r="S76" s="1107"/>
      <c r="T76" s="1104"/>
    </row>
    <row r="77" spans="1:20" s="1108" customFormat="1" ht="46.5">
      <c r="A77" s="1158"/>
      <c r="B77" s="933" t="s">
        <v>4367</v>
      </c>
      <c r="C77" s="1068">
        <f>+'Ins Abs'!C76</f>
        <v>135</v>
      </c>
      <c r="D77" s="940" t="s">
        <v>340</v>
      </c>
      <c r="E77" s="1096">
        <f>'Ins Abs'!Q76</f>
        <v>25</v>
      </c>
      <c r="F77" s="1097">
        <f t="shared" si="54"/>
        <v>3375</v>
      </c>
      <c r="G77" s="1096">
        <f>'SI Abs '!Q77</f>
        <v>32</v>
      </c>
      <c r="H77" s="1097">
        <f t="shared" si="55"/>
        <v>4320</v>
      </c>
      <c r="I77" s="1096">
        <f>'PC Abs'!Q71</f>
        <v>96</v>
      </c>
      <c r="J77" s="1097">
        <f t="shared" ref="J77:J81" si="57">C77*I77</f>
        <v>12960</v>
      </c>
      <c r="K77" s="1096"/>
      <c r="L77" s="1097">
        <f t="shared" si="49"/>
        <v>0</v>
      </c>
      <c r="M77" s="1096"/>
      <c r="N77" s="1097">
        <f t="shared" si="50"/>
        <v>0</v>
      </c>
      <c r="O77" s="1098"/>
      <c r="P77" s="1096"/>
      <c r="Q77" s="1098">
        <f t="shared" si="51"/>
        <v>153</v>
      </c>
      <c r="R77" s="1096">
        <f t="shared" si="52"/>
        <v>20655</v>
      </c>
      <c r="S77" s="1107"/>
      <c r="T77" s="1099"/>
    </row>
    <row r="78" spans="1:20" s="1108" customFormat="1" ht="54.95" customHeight="1">
      <c r="A78" s="1158"/>
      <c r="B78" s="933" t="s">
        <v>4368</v>
      </c>
      <c r="C78" s="940">
        <f>+'Ins Abs'!C77</f>
        <v>690.00200000000007</v>
      </c>
      <c r="D78" s="940" t="s">
        <v>340</v>
      </c>
      <c r="E78" s="1096">
        <f>'Ins Abs'!Q77</f>
        <v>25</v>
      </c>
      <c r="F78" s="1097">
        <f t="shared" si="54"/>
        <v>17250.050000000003</v>
      </c>
      <c r="G78" s="1096">
        <f>'SI Abs '!Q78</f>
        <v>32</v>
      </c>
      <c r="H78" s="1097">
        <f t="shared" si="55"/>
        <v>22080.064000000002</v>
      </c>
      <c r="I78" s="1096">
        <f>'PC Abs'!Q72</f>
        <v>96</v>
      </c>
      <c r="J78" s="1097">
        <f t="shared" si="57"/>
        <v>66240.19200000001</v>
      </c>
      <c r="K78" s="1096"/>
      <c r="L78" s="1097">
        <f t="shared" si="49"/>
        <v>0</v>
      </c>
      <c r="M78" s="1096"/>
      <c r="N78" s="1097">
        <f t="shared" si="50"/>
        <v>0</v>
      </c>
      <c r="O78" s="1098"/>
      <c r="P78" s="1096"/>
      <c r="Q78" s="1098">
        <f t="shared" si="51"/>
        <v>153</v>
      </c>
      <c r="R78" s="1096">
        <f>Q78*C78+0.6</f>
        <v>105570.90600000002</v>
      </c>
      <c r="S78" s="1107"/>
      <c r="T78" s="1099"/>
    </row>
    <row r="79" spans="1:20" s="1108" customFormat="1" ht="65.099999999999994" customHeight="1">
      <c r="A79" s="1158"/>
      <c r="B79" s="933" t="s">
        <v>4369</v>
      </c>
      <c r="C79" s="940">
        <f>+'Ins Abs'!C78</f>
        <v>517.00333333333333</v>
      </c>
      <c r="D79" s="940" t="s">
        <v>340</v>
      </c>
      <c r="E79" s="1096">
        <f>'Ins Abs'!Q78</f>
        <v>14</v>
      </c>
      <c r="F79" s="1097">
        <f t="shared" si="54"/>
        <v>7238.0466666666671</v>
      </c>
      <c r="G79" s="1096">
        <f>'SI Abs '!Q79</f>
        <v>8</v>
      </c>
      <c r="H79" s="1097">
        <f t="shared" si="55"/>
        <v>4136.0266666666666</v>
      </c>
      <c r="I79" s="1096">
        <f>'PC Abs'!Q73</f>
        <v>30</v>
      </c>
      <c r="J79" s="1097">
        <f t="shared" si="57"/>
        <v>15510.1</v>
      </c>
      <c r="K79" s="1096"/>
      <c r="L79" s="1097">
        <f t="shared" si="49"/>
        <v>0</v>
      </c>
      <c r="M79" s="1096"/>
      <c r="N79" s="1097">
        <f t="shared" si="50"/>
        <v>0</v>
      </c>
      <c r="O79" s="1098"/>
      <c r="P79" s="1096"/>
      <c r="Q79" s="1098">
        <f t="shared" si="51"/>
        <v>52</v>
      </c>
      <c r="R79" s="1096">
        <f t="shared" si="52"/>
        <v>26884.173333333332</v>
      </c>
      <c r="S79" s="1107"/>
      <c r="T79" s="1099"/>
    </row>
    <row r="80" spans="1:20" s="1108" customFormat="1" ht="54.95" customHeight="1">
      <c r="A80" s="1158"/>
      <c r="B80" s="933" t="s">
        <v>4370</v>
      </c>
      <c r="C80" s="940">
        <f>+'Ins Abs'!C79</f>
        <v>3367</v>
      </c>
      <c r="D80" s="940" t="s">
        <v>340</v>
      </c>
      <c r="E80" s="1096">
        <f>'Ins Abs'!Q79</f>
        <v>10</v>
      </c>
      <c r="F80" s="1097">
        <f t="shared" si="54"/>
        <v>33670</v>
      </c>
      <c r="G80" s="1096">
        <f>'SI Abs '!Q80</f>
        <v>10</v>
      </c>
      <c r="H80" s="1097">
        <f t="shared" si="55"/>
        <v>33670</v>
      </c>
      <c r="I80" s="1096">
        <f>'PC Abs'!Q74</f>
        <v>18</v>
      </c>
      <c r="J80" s="1097">
        <f t="shared" si="57"/>
        <v>60606</v>
      </c>
      <c r="K80" s="1096"/>
      <c r="L80" s="1097">
        <f t="shared" si="49"/>
        <v>0</v>
      </c>
      <c r="M80" s="1096"/>
      <c r="N80" s="1097">
        <f t="shared" si="50"/>
        <v>0</v>
      </c>
      <c r="O80" s="1098"/>
      <c r="P80" s="1096"/>
      <c r="Q80" s="1098">
        <f t="shared" si="51"/>
        <v>38</v>
      </c>
      <c r="R80" s="1096">
        <f t="shared" si="52"/>
        <v>127946</v>
      </c>
      <c r="S80" s="1107"/>
      <c r="T80" s="1099"/>
    </row>
    <row r="81" spans="1:20" s="1108" customFormat="1">
      <c r="A81" s="1158"/>
      <c r="B81" s="933" t="s">
        <v>4371</v>
      </c>
      <c r="C81" s="940">
        <f>+'Ins Abs'!C80</f>
        <v>170</v>
      </c>
      <c r="D81" s="940" t="str">
        <f>D80</f>
        <v>Each</v>
      </c>
      <c r="E81" s="1096">
        <f>'Ins Abs'!Q80</f>
        <v>14</v>
      </c>
      <c r="F81" s="1097">
        <f t="shared" si="54"/>
        <v>2380</v>
      </c>
      <c r="G81" s="1096">
        <f>'SI Abs '!Q81</f>
        <v>8</v>
      </c>
      <c r="H81" s="1097">
        <f t="shared" si="55"/>
        <v>1360</v>
      </c>
      <c r="I81" s="1096">
        <f>'PC Abs'!Q75</f>
        <v>30</v>
      </c>
      <c r="J81" s="1097">
        <f t="shared" si="57"/>
        <v>5100</v>
      </c>
      <c r="K81" s="1096"/>
      <c r="L81" s="1097">
        <f t="shared" si="49"/>
        <v>0</v>
      </c>
      <c r="M81" s="1096"/>
      <c r="N81" s="1097">
        <f t="shared" si="50"/>
        <v>0</v>
      </c>
      <c r="O81" s="1098"/>
      <c r="P81" s="1096"/>
      <c r="Q81" s="1098">
        <f t="shared" si="51"/>
        <v>52</v>
      </c>
      <c r="R81" s="1096">
        <f t="shared" si="52"/>
        <v>8840</v>
      </c>
      <c r="S81" s="1107"/>
      <c r="T81" s="1099"/>
    </row>
    <row r="82" spans="1:20" s="1108" customFormat="1" ht="139.5">
      <c r="A82" s="1158"/>
      <c r="B82" s="1935" t="str">
        <f>'INS- Elec '!B75</f>
        <v>Supply and fixing of Three Phase Distribution Board with 4 way TPN double door MCB DB 40 Amps 4 Pole ELCB - 1, 6Amps to 32 amps SP MCB - 12 No's   with necessary cutting work etc., including cost of all materials and fixing charges all complete. CER NO.267/2018-19</v>
      </c>
      <c r="C82" s="1936">
        <v>11750</v>
      </c>
      <c r="D82" s="940" t="s">
        <v>340</v>
      </c>
      <c r="E82" s="1096">
        <f>'Ins Abs'!Q81</f>
        <v>5</v>
      </c>
      <c r="F82" s="1097">
        <f t="shared" si="54"/>
        <v>58750</v>
      </c>
      <c r="G82" s="1096">
        <f>'SI Abs '!Q82</f>
        <v>8</v>
      </c>
      <c r="H82" s="1097">
        <f t="shared" si="55"/>
        <v>94000</v>
      </c>
      <c r="I82" s="1096">
        <f>'PC Abs'!Q76</f>
        <v>24</v>
      </c>
      <c r="J82" s="1097">
        <f t="shared" ref="J82" si="58">C82*I82</f>
        <v>282000</v>
      </c>
      <c r="K82" s="1096"/>
      <c r="L82" s="1097">
        <f t="shared" si="49"/>
        <v>0</v>
      </c>
      <c r="M82" s="1096"/>
      <c r="N82" s="1097">
        <f t="shared" si="50"/>
        <v>0</v>
      </c>
      <c r="O82" s="1098"/>
      <c r="P82" s="1096"/>
      <c r="Q82" s="1098">
        <f t="shared" si="51"/>
        <v>37</v>
      </c>
      <c r="R82" s="1096">
        <f t="shared" si="52"/>
        <v>434750</v>
      </c>
      <c r="S82" s="1107"/>
      <c r="T82" s="1099"/>
    </row>
    <row r="83" spans="1:20" s="1108" customFormat="1" ht="46.5">
      <c r="A83" s="1158"/>
      <c r="B83" s="1319" t="s">
        <v>4426</v>
      </c>
      <c r="C83" s="1075"/>
      <c r="D83" s="940"/>
      <c r="E83" s="1096">
        <f>'Ins Abs'!Q82</f>
        <v>0</v>
      </c>
      <c r="F83" s="1097">
        <f t="shared" ref="F83:F85" si="59">C83*E83</f>
        <v>0</v>
      </c>
      <c r="G83" s="1096">
        <f>'SI Abs '!Q85</f>
        <v>0</v>
      </c>
      <c r="H83" s="1097">
        <f t="shared" ref="H83:H87" si="60">C83*G83</f>
        <v>0</v>
      </c>
      <c r="I83" s="1096">
        <f>'PC Abs'!Q77</f>
        <v>0</v>
      </c>
      <c r="J83" s="1097">
        <f t="shared" ref="J83:J84" si="61">C83*I83</f>
        <v>0</v>
      </c>
      <c r="K83" s="1096"/>
      <c r="L83" s="1097">
        <f t="shared" si="49"/>
        <v>0</v>
      </c>
      <c r="M83" s="1096"/>
      <c r="N83" s="1097">
        <f t="shared" si="50"/>
        <v>0</v>
      </c>
      <c r="O83" s="1098"/>
      <c r="P83" s="1096"/>
      <c r="Q83" s="1098">
        <f t="shared" si="51"/>
        <v>0</v>
      </c>
      <c r="R83" s="1096">
        <f t="shared" si="52"/>
        <v>0</v>
      </c>
      <c r="S83" s="1107"/>
      <c r="T83" s="1099"/>
    </row>
    <row r="84" spans="1:20" s="1108" customFormat="1" ht="45.75" customHeight="1">
      <c r="A84" s="1158"/>
      <c r="B84" s="1313" t="s">
        <v>4427</v>
      </c>
      <c r="C84" s="1080">
        <f>+'Ins Abs'!C83</f>
        <v>2701</v>
      </c>
      <c r="D84" s="940" t="s">
        <v>340</v>
      </c>
      <c r="E84" s="1096">
        <f>'Ins Abs'!Q83</f>
        <v>5</v>
      </c>
      <c r="F84" s="1097">
        <f t="shared" si="59"/>
        <v>13505</v>
      </c>
      <c r="G84" s="1096">
        <f>'SI Abs '!Q86</f>
        <v>5</v>
      </c>
      <c r="H84" s="1097">
        <f t="shared" si="60"/>
        <v>13505</v>
      </c>
      <c r="I84" s="1096">
        <f>'PC Abs'!Q78</f>
        <v>10</v>
      </c>
      <c r="J84" s="1097">
        <f t="shared" si="61"/>
        <v>27010</v>
      </c>
      <c r="K84" s="1096"/>
      <c r="L84" s="1097">
        <f t="shared" si="49"/>
        <v>0</v>
      </c>
      <c r="M84" s="1096"/>
      <c r="N84" s="1097">
        <f t="shared" si="50"/>
        <v>0</v>
      </c>
      <c r="O84" s="1098"/>
      <c r="P84" s="1096"/>
      <c r="Q84" s="1098">
        <f t="shared" si="51"/>
        <v>20</v>
      </c>
      <c r="R84" s="1096">
        <f t="shared" si="52"/>
        <v>54020</v>
      </c>
      <c r="S84" s="1107"/>
      <c r="T84" s="1099"/>
    </row>
    <row r="85" spans="1:20" s="1108" customFormat="1" ht="46.5">
      <c r="A85" s="1158"/>
      <c r="B85" s="1313" t="s">
        <v>5304</v>
      </c>
      <c r="C85" s="1081">
        <f>+'Ins Abs'!C84</f>
        <v>340</v>
      </c>
      <c r="D85" s="940" t="s">
        <v>2757</v>
      </c>
      <c r="E85" s="1096">
        <f>'Ins Abs'!Q84</f>
        <v>70</v>
      </c>
      <c r="F85" s="1097">
        <f t="shared" si="59"/>
        <v>23800</v>
      </c>
      <c r="G85" s="1096">
        <f>'SI Abs '!Q87</f>
        <v>50</v>
      </c>
      <c r="H85" s="1097">
        <f t="shared" si="60"/>
        <v>17000</v>
      </c>
      <c r="I85" s="1096">
        <f>'PC- Detail'!H150</f>
        <v>80</v>
      </c>
      <c r="J85" s="1097">
        <f>C85*I85</f>
        <v>27200</v>
      </c>
      <c r="K85" s="1096"/>
      <c r="L85" s="1097">
        <f t="shared" si="49"/>
        <v>0</v>
      </c>
      <c r="M85" s="1096"/>
      <c r="N85" s="1097">
        <f t="shared" si="50"/>
        <v>0</v>
      </c>
      <c r="O85" s="1098"/>
      <c r="P85" s="1096"/>
      <c r="Q85" s="1098">
        <f t="shared" si="51"/>
        <v>200</v>
      </c>
      <c r="R85" s="1096">
        <f t="shared" si="52"/>
        <v>68000</v>
      </c>
      <c r="S85" s="1107"/>
      <c r="T85" s="1099"/>
    </row>
    <row r="86" spans="1:20" s="1108" customFormat="1" ht="69.75">
      <c r="A86" s="1158"/>
      <c r="B86" s="1331" t="s">
        <v>5308</v>
      </c>
      <c r="C86" s="1075">
        <f>+'Ins Abs'!C85</f>
        <v>4646</v>
      </c>
      <c r="D86" s="940" t="s">
        <v>340</v>
      </c>
      <c r="E86" s="1096">
        <f>'Ins Abs'!Q85</f>
        <v>5</v>
      </c>
      <c r="F86" s="1097">
        <f t="shared" ref="F86:F87" si="62">C86*E86</f>
        <v>23230</v>
      </c>
      <c r="G86" s="1096">
        <f>'SI Abs '!Q88</f>
        <v>8</v>
      </c>
      <c r="H86" s="1097">
        <f t="shared" si="60"/>
        <v>37168</v>
      </c>
      <c r="I86" s="1096">
        <f>'PC Abs'!Q80</f>
        <v>24</v>
      </c>
      <c r="J86" s="1097">
        <f>C86*I86</f>
        <v>111504</v>
      </c>
      <c r="K86" s="1096"/>
      <c r="L86" s="1097">
        <f t="shared" si="49"/>
        <v>0</v>
      </c>
      <c r="M86" s="1096"/>
      <c r="N86" s="1097">
        <f t="shared" si="50"/>
        <v>0</v>
      </c>
      <c r="O86" s="1098"/>
      <c r="P86" s="1096"/>
      <c r="Q86" s="1098">
        <f t="shared" si="51"/>
        <v>37</v>
      </c>
      <c r="R86" s="1096">
        <f t="shared" si="52"/>
        <v>171902</v>
      </c>
      <c r="S86" s="1107"/>
      <c r="T86" s="1099"/>
    </row>
    <row r="87" spans="1:20" s="1108" customFormat="1" ht="69.75">
      <c r="A87" s="1389"/>
      <c r="B87" s="1392" t="str">
        <f>'Ins Abs'!B86</f>
        <v xml:space="preserve">Supplying and fixing of 25mm dia GI Service pipe line including cost of materials and labours etc.., completed </v>
      </c>
      <c r="C87" s="1390">
        <f>'Ins Abs'!C86</f>
        <v>130</v>
      </c>
      <c r="D87" s="940" t="s">
        <v>340</v>
      </c>
      <c r="E87" s="1097">
        <f>'Ins Abs'!G86</f>
        <v>15</v>
      </c>
      <c r="F87" s="1097">
        <f t="shared" si="62"/>
        <v>1950</v>
      </c>
      <c r="G87" s="1096">
        <f>'SI Abs '!G89</f>
        <v>24</v>
      </c>
      <c r="H87" s="1097">
        <f t="shared" si="60"/>
        <v>3120</v>
      </c>
      <c r="I87" s="1096">
        <f>'PC Abs'!G81</f>
        <v>72</v>
      </c>
      <c r="J87" s="1097">
        <f t="shared" ref="J87:J101" si="63">C87*I87</f>
        <v>9360</v>
      </c>
      <c r="K87" s="1096"/>
      <c r="L87" s="1097">
        <f t="shared" si="49"/>
        <v>0</v>
      </c>
      <c r="M87" s="1096"/>
      <c r="N87" s="1097">
        <f t="shared" si="50"/>
        <v>0</v>
      </c>
      <c r="O87" s="1098"/>
      <c r="P87" s="1096"/>
      <c r="Q87" s="1098">
        <f t="shared" si="51"/>
        <v>111</v>
      </c>
      <c r="R87" s="1096">
        <f t="shared" si="52"/>
        <v>14430</v>
      </c>
      <c r="S87" s="1107"/>
      <c r="T87" s="1099"/>
    </row>
    <row r="88" spans="1:20" s="1108" customFormat="1" ht="49.5" customHeight="1">
      <c r="A88" s="1158"/>
      <c r="B88" s="1391" t="str">
        <f>sump!B16</f>
        <v>Standardised concrete Mix M20 Grade Concrete for foundation and Basement</v>
      </c>
      <c r="C88" s="1075">
        <f>+'Data 2022-23'!X718</f>
        <v>10016.9506755</v>
      </c>
      <c r="D88" s="940" t="s">
        <v>313</v>
      </c>
      <c r="E88" s="1097"/>
      <c r="F88" s="1097"/>
      <c r="G88" s="1096"/>
      <c r="H88" s="1097"/>
      <c r="I88" s="1096"/>
      <c r="J88" s="1097">
        <f t="shared" si="63"/>
        <v>0</v>
      </c>
      <c r="K88" s="1096">
        <f>sump!H20</f>
        <v>2</v>
      </c>
      <c r="L88" s="1097">
        <f t="shared" si="49"/>
        <v>20033.901351</v>
      </c>
      <c r="M88" s="1096"/>
      <c r="N88" s="1097">
        <f t="shared" si="50"/>
        <v>0</v>
      </c>
      <c r="O88" s="1098"/>
      <c r="P88" s="1096"/>
      <c r="Q88" s="1098">
        <f t="shared" si="51"/>
        <v>2</v>
      </c>
      <c r="R88" s="1096">
        <f t="shared" si="52"/>
        <v>20033.901351</v>
      </c>
      <c r="S88" s="1107"/>
      <c r="T88" s="1099"/>
    </row>
    <row r="89" spans="1:20" s="1108" customFormat="1" ht="49.5" customHeight="1">
      <c r="A89" s="1158"/>
      <c r="B89" s="1313" t="str">
        <f>sump!B21</f>
        <v>Standardised concrete Mix M30 Grade Concrete for foundation and Basement</v>
      </c>
      <c r="C89" s="1075">
        <v>10316.17</v>
      </c>
      <c r="D89" s="940" t="s">
        <v>313</v>
      </c>
      <c r="E89" s="1097"/>
      <c r="F89" s="1097"/>
      <c r="G89" s="1096"/>
      <c r="H89" s="1097"/>
      <c r="I89" s="1096"/>
      <c r="J89" s="1097">
        <f t="shared" si="63"/>
        <v>0</v>
      </c>
      <c r="K89" s="1096">
        <f>sump!H26</f>
        <v>12.4</v>
      </c>
      <c r="L89" s="1097">
        <f t="shared" si="49"/>
        <v>127920.508</v>
      </c>
      <c r="M89" s="1096"/>
      <c r="N89" s="1097">
        <f t="shared" si="50"/>
        <v>0</v>
      </c>
      <c r="O89" s="1098"/>
      <c r="P89" s="1096"/>
      <c r="Q89" s="1098">
        <f t="shared" si="51"/>
        <v>12.4</v>
      </c>
      <c r="R89" s="1096">
        <f t="shared" si="52"/>
        <v>127920.508</v>
      </c>
      <c r="S89" s="1107"/>
      <c r="T89" s="1099"/>
    </row>
    <row r="90" spans="1:20" s="1108" customFormat="1" ht="49.5" customHeight="1">
      <c r="A90" s="1158"/>
      <c r="B90" s="1313" t="str">
        <f>sump!B30</f>
        <v>Plastering with CM 1:3, 12mm with WPC</v>
      </c>
      <c r="C90" s="1075">
        <f>+'Data 2022-23'!K1442</f>
        <v>350.67779999999999</v>
      </c>
      <c r="D90" s="940" t="s">
        <v>306</v>
      </c>
      <c r="E90" s="1097"/>
      <c r="F90" s="1097"/>
      <c r="G90" s="1096"/>
      <c r="H90" s="1097"/>
      <c r="I90" s="1096"/>
      <c r="J90" s="1097">
        <f t="shared" si="63"/>
        <v>0</v>
      </c>
      <c r="K90" s="1096">
        <f>sump!H35</f>
        <v>97.6</v>
      </c>
      <c r="L90" s="1097">
        <f t="shared" si="49"/>
        <v>34226.153279999999</v>
      </c>
      <c r="M90" s="1096"/>
      <c r="N90" s="1097">
        <f t="shared" si="50"/>
        <v>0</v>
      </c>
      <c r="O90" s="1098"/>
      <c r="P90" s="1096"/>
      <c r="Q90" s="1098">
        <f t="shared" si="51"/>
        <v>97.6</v>
      </c>
      <c r="R90" s="1096">
        <f t="shared" si="52"/>
        <v>34226.153279999999</v>
      </c>
      <c r="S90" s="1107"/>
      <c r="T90" s="1099"/>
    </row>
    <row r="91" spans="1:20" s="1108" customFormat="1" ht="49.5" customHeight="1">
      <c r="A91" s="1090">
        <v>18.100000000000001</v>
      </c>
      <c r="B91" s="1313" t="str">
        <f>'Retained Wall '!B14</f>
        <v xml:space="preserve">Providing form work and centering for reinforcement cement  concrete works </v>
      </c>
      <c r="C91" s="1075"/>
      <c r="D91" s="940"/>
      <c r="E91" s="1097"/>
      <c r="F91" s="1097"/>
      <c r="G91" s="1096"/>
      <c r="H91" s="1097"/>
      <c r="I91" s="1096"/>
      <c r="J91" s="1097">
        <f t="shared" si="63"/>
        <v>0</v>
      </c>
      <c r="K91" s="1096"/>
      <c r="L91" s="1097">
        <f t="shared" si="49"/>
        <v>0</v>
      </c>
      <c r="M91" s="1096"/>
      <c r="N91" s="1097">
        <f t="shared" si="50"/>
        <v>0</v>
      </c>
      <c r="O91" s="1098"/>
      <c r="P91" s="1096"/>
      <c r="Q91" s="1098">
        <f t="shared" si="51"/>
        <v>0</v>
      </c>
      <c r="R91" s="1096">
        <f t="shared" si="52"/>
        <v>0</v>
      </c>
      <c r="S91" s="1107"/>
      <c r="T91" s="1099"/>
    </row>
    <row r="92" spans="1:20" s="1108" customFormat="1" ht="49.5" customHeight="1">
      <c r="A92" s="1158"/>
      <c r="B92" s="1313" t="str">
        <f>'Retained Wall '!B15</f>
        <v>a) Plinth beam,Raft beam etc.,</v>
      </c>
      <c r="C92" s="1075">
        <f>+'Data 2022-23'!I2354</f>
        <v>1097.5445499999996</v>
      </c>
      <c r="D92" s="940" t="s">
        <v>306</v>
      </c>
      <c r="E92" s="940"/>
      <c r="F92" s="1097"/>
      <c r="G92" s="1096"/>
      <c r="H92" s="1097"/>
      <c r="I92" s="1096"/>
      <c r="J92" s="1097">
        <f t="shared" si="63"/>
        <v>0</v>
      </c>
      <c r="K92" s="1096">
        <f>sump!H46</f>
        <v>12.6</v>
      </c>
      <c r="L92" s="1097">
        <f t="shared" si="49"/>
        <v>13829.061329999995</v>
      </c>
      <c r="M92" s="1096">
        <f>'Abs (2)'!B8</f>
        <v>46.55</v>
      </c>
      <c r="N92" s="1097">
        <f t="shared" si="50"/>
        <v>51090.698802499981</v>
      </c>
      <c r="O92" s="1098"/>
      <c r="P92" s="1096"/>
      <c r="Q92" s="1098">
        <f t="shared" si="51"/>
        <v>59.15</v>
      </c>
      <c r="R92" s="1096">
        <f t="shared" si="52"/>
        <v>64919.760132499978</v>
      </c>
      <c r="S92" s="1107"/>
      <c r="T92" s="1099"/>
    </row>
    <row r="93" spans="1:20" s="1108" customFormat="1" ht="49.5" customHeight="1">
      <c r="A93" s="1158"/>
      <c r="B93" s="1313" t="str">
        <f>'Retained Wall '!B20</f>
        <v>d) Vertical walls</v>
      </c>
      <c r="C93" s="1075">
        <f>+'Data 2022-23'!I2360</f>
        <v>1333.3392049999998</v>
      </c>
      <c r="D93" s="940" t="s">
        <v>306</v>
      </c>
      <c r="E93" s="1097"/>
      <c r="F93" s="1097"/>
      <c r="G93" s="1096"/>
      <c r="H93" s="1097"/>
      <c r="I93" s="1096"/>
      <c r="J93" s="1097">
        <f t="shared" si="63"/>
        <v>0</v>
      </c>
      <c r="K93" s="1096">
        <f>sump!H50</f>
        <v>85.1</v>
      </c>
      <c r="L93" s="1097">
        <f t="shared" si="49"/>
        <v>113467.16634549997</v>
      </c>
      <c r="M93" s="1096">
        <f>'Abs (2)'!B9</f>
        <v>275.39999999999998</v>
      </c>
      <c r="N93" s="1097">
        <f t="shared" si="50"/>
        <v>367201.61705699988</v>
      </c>
      <c r="O93" s="1098"/>
      <c r="P93" s="1096"/>
      <c r="Q93" s="1098">
        <f t="shared" si="51"/>
        <v>360.5</v>
      </c>
      <c r="R93" s="1096">
        <f t="shared" si="52"/>
        <v>480668.78340249992</v>
      </c>
      <c r="S93" s="1107"/>
      <c r="T93" s="1099"/>
    </row>
    <row r="94" spans="1:20" s="1108" customFormat="1" ht="49.5" customHeight="1">
      <c r="A94" s="1158"/>
      <c r="B94" s="1313" t="str">
        <f>'Retained Wall '!B30</f>
        <v>Supplying,laying of the 110 mm dia PVC Pipe</v>
      </c>
      <c r="C94" s="1075">
        <f>+'Data 2022-23'!K2063</f>
        <v>851.42</v>
      </c>
      <c r="D94" s="940" t="s">
        <v>303</v>
      </c>
      <c r="E94" s="1097"/>
      <c r="F94" s="1097"/>
      <c r="G94" s="1096"/>
      <c r="H94" s="1097"/>
      <c r="I94" s="1096"/>
      <c r="J94" s="1097">
        <f t="shared" si="63"/>
        <v>0</v>
      </c>
      <c r="K94" s="1096"/>
      <c r="L94" s="1097">
        <f t="shared" si="49"/>
        <v>0</v>
      </c>
      <c r="M94" s="1096">
        <f>'Retained Wall '!H34</f>
        <v>25.6</v>
      </c>
      <c r="N94" s="1097">
        <f t="shared" si="50"/>
        <v>21796.351999999999</v>
      </c>
      <c r="O94" s="1098"/>
      <c r="P94" s="1096"/>
      <c r="Q94" s="1098">
        <f t="shared" si="51"/>
        <v>25.6</v>
      </c>
      <c r="R94" s="1096">
        <f t="shared" si="52"/>
        <v>21796.351999999999</v>
      </c>
      <c r="S94" s="1107"/>
      <c r="T94" s="1099"/>
    </row>
    <row r="95" spans="1:20" s="1108" customFormat="1" ht="49.5" customHeight="1">
      <c r="A95" s="1158"/>
      <c r="B95" s="1566" t="str">
        <f>sump!B36</f>
        <v>Supplying and fixing of CI Steps (5Kg)</v>
      </c>
      <c r="C95" s="1075">
        <f>+'Data 2022-23'!K1952</f>
        <v>30</v>
      </c>
      <c r="D95" s="940" t="s">
        <v>340</v>
      </c>
      <c r="E95" s="1097"/>
      <c r="F95" s="1097"/>
      <c r="G95" s="1096"/>
      <c r="H95" s="1097"/>
      <c r="I95" s="1096"/>
      <c r="J95" s="1097">
        <f t="shared" si="63"/>
        <v>0</v>
      </c>
      <c r="K95" s="1096">
        <f>sump!H37</f>
        <v>10</v>
      </c>
      <c r="L95" s="1097">
        <f t="shared" si="49"/>
        <v>300</v>
      </c>
      <c r="M95" s="1096"/>
      <c r="N95" s="1097">
        <f t="shared" si="50"/>
        <v>0</v>
      </c>
      <c r="O95" s="1098"/>
      <c r="P95" s="1096"/>
      <c r="Q95" s="1098">
        <f t="shared" si="51"/>
        <v>10</v>
      </c>
      <c r="R95" s="1096">
        <f t="shared" si="52"/>
        <v>300</v>
      </c>
      <c r="S95" s="1107"/>
      <c r="T95" s="1099"/>
    </row>
    <row r="96" spans="1:20" s="1108" customFormat="1" ht="49.5" customHeight="1">
      <c r="A96" s="1158"/>
      <c r="B96" s="1566" t="str">
        <f>sump!B56</f>
        <v>Supplying and fixing of CI Man Hole cover slab 60 x 60</v>
      </c>
      <c r="C96" s="1075">
        <f>+'Data 2022-23'!K1951</f>
        <v>1864</v>
      </c>
      <c r="D96" s="940" t="s">
        <v>340</v>
      </c>
      <c r="E96" s="1097"/>
      <c r="F96" s="1097"/>
      <c r="G96" s="1096"/>
      <c r="H96" s="1097"/>
      <c r="I96" s="1096"/>
      <c r="J96" s="1097">
        <f t="shared" si="63"/>
        <v>0</v>
      </c>
      <c r="K96" s="1096">
        <f>sump!H57</f>
        <v>2</v>
      </c>
      <c r="L96" s="1097">
        <f t="shared" si="49"/>
        <v>3728</v>
      </c>
      <c r="M96" s="1096"/>
      <c r="N96" s="1097">
        <f t="shared" si="50"/>
        <v>0</v>
      </c>
      <c r="O96" s="1098"/>
      <c r="P96" s="1096"/>
      <c r="Q96" s="1098">
        <f t="shared" si="51"/>
        <v>2</v>
      </c>
      <c r="R96" s="1096">
        <f t="shared" si="52"/>
        <v>3728</v>
      </c>
      <c r="S96" s="1107"/>
      <c r="T96" s="1099"/>
    </row>
    <row r="97" spans="1:28" s="1574" customFormat="1" ht="100.15" customHeight="1">
      <c r="A97" s="1206"/>
      <c r="B97" s="1566" t="s">
        <v>5443</v>
      </c>
      <c r="C97" s="1381">
        <v>33017</v>
      </c>
      <c r="D97" s="1118" t="s">
        <v>340</v>
      </c>
      <c r="E97" s="1569"/>
      <c r="F97" s="1569"/>
      <c r="G97" s="1103"/>
      <c r="H97" s="1569"/>
      <c r="I97" s="1103"/>
      <c r="J97" s="1569">
        <f t="shared" si="63"/>
        <v>0</v>
      </c>
      <c r="K97" s="1103">
        <f>sump!H59</f>
        <v>2</v>
      </c>
      <c r="L97" s="1097">
        <f t="shared" si="49"/>
        <v>66034</v>
      </c>
      <c r="M97" s="1103"/>
      <c r="N97" s="1097">
        <f t="shared" si="50"/>
        <v>0</v>
      </c>
      <c r="O97" s="1098"/>
      <c r="P97" s="1096"/>
      <c r="Q97" s="1098">
        <f t="shared" si="51"/>
        <v>2</v>
      </c>
      <c r="R97" s="1096">
        <f t="shared" si="52"/>
        <v>66034</v>
      </c>
      <c r="S97" s="1573"/>
      <c r="T97" s="1104"/>
    </row>
    <row r="98" spans="1:28" s="1574" customFormat="1" ht="177" customHeight="1">
      <c r="A98" s="1206"/>
      <c r="B98" s="1570" t="s">
        <v>5445</v>
      </c>
      <c r="C98" s="1571">
        <v>14832</v>
      </c>
      <c r="D98" s="1572"/>
      <c r="E98" s="1569"/>
      <c r="F98" s="1569"/>
      <c r="G98" s="1103"/>
      <c r="H98" s="1569"/>
      <c r="I98" s="1103"/>
      <c r="J98" s="1569">
        <f t="shared" si="63"/>
        <v>0</v>
      </c>
      <c r="K98" s="1103">
        <f>sump!H62</f>
        <v>2</v>
      </c>
      <c r="L98" s="1097">
        <f t="shared" si="49"/>
        <v>29664</v>
      </c>
      <c r="M98" s="1103"/>
      <c r="N98" s="1097">
        <f t="shared" si="50"/>
        <v>0</v>
      </c>
      <c r="O98" s="1098"/>
      <c r="P98" s="1096"/>
      <c r="Q98" s="1098">
        <f t="shared" si="51"/>
        <v>2</v>
      </c>
      <c r="R98" s="1096">
        <f t="shared" si="52"/>
        <v>29664</v>
      </c>
      <c r="S98" s="1573"/>
      <c r="T98" s="1104"/>
    </row>
    <row r="99" spans="1:28" s="1574" customFormat="1" ht="268.89999999999998" customHeight="1">
      <c r="A99" s="1206"/>
      <c r="B99" s="1566" t="s">
        <v>4388</v>
      </c>
      <c r="C99" s="1381">
        <v>11056.1</v>
      </c>
      <c r="D99" s="1118" t="s">
        <v>340</v>
      </c>
      <c r="E99" s="1569"/>
      <c r="F99" s="1569"/>
      <c r="G99" s="1103"/>
      <c r="H99" s="1569"/>
      <c r="I99" s="1103"/>
      <c r="J99" s="1569">
        <f t="shared" si="63"/>
        <v>0</v>
      </c>
      <c r="K99" s="1103">
        <f>sump!H65</f>
        <v>2</v>
      </c>
      <c r="L99" s="1097">
        <f t="shared" si="49"/>
        <v>22112.2</v>
      </c>
      <c r="M99" s="1103"/>
      <c r="N99" s="1097">
        <f t="shared" si="50"/>
        <v>0</v>
      </c>
      <c r="O99" s="1098"/>
      <c r="P99" s="1096"/>
      <c r="Q99" s="1098">
        <f t="shared" si="51"/>
        <v>2</v>
      </c>
      <c r="R99" s="1096">
        <f t="shared" si="52"/>
        <v>22112.2</v>
      </c>
      <c r="S99" s="1573"/>
      <c r="T99" s="1104"/>
    </row>
    <row r="100" spans="1:28" s="1574" customFormat="1" ht="113.45" customHeight="1">
      <c r="A100" s="1206"/>
      <c r="B100" s="1566" t="s">
        <v>5448</v>
      </c>
      <c r="C100" s="1381">
        <v>130</v>
      </c>
      <c r="D100" s="1118" t="s">
        <v>303</v>
      </c>
      <c r="E100" s="1569"/>
      <c r="F100" s="1569"/>
      <c r="G100" s="1103"/>
      <c r="H100" s="1569"/>
      <c r="I100" s="1103"/>
      <c r="J100" s="1569"/>
      <c r="K100" s="1103">
        <f>sump!H67</f>
        <v>30</v>
      </c>
      <c r="L100" s="1097">
        <f t="shared" si="49"/>
        <v>3900</v>
      </c>
      <c r="M100" s="1103"/>
      <c r="N100" s="1097">
        <f t="shared" si="50"/>
        <v>0</v>
      </c>
      <c r="O100" s="1098"/>
      <c r="P100" s="1096"/>
      <c r="Q100" s="1098">
        <f t="shared" si="51"/>
        <v>30</v>
      </c>
      <c r="R100" s="1096">
        <f t="shared" si="52"/>
        <v>3900</v>
      </c>
      <c r="S100" s="1573"/>
      <c r="T100" s="1104"/>
    </row>
    <row r="101" spans="1:28" s="1574" customFormat="1" ht="125.45" customHeight="1">
      <c r="A101" s="1206"/>
      <c r="B101" s="1566" t="s">
        <v>5452</v>
      </c>
      <c r="C101" s="1381">
        <v>530</v>
      </c>
      <c r="D101" s="1118" t="s">
        <v>303</v>
      </c>
      <c r="E101" s="1569"/>
      <c r="F101" s="1569"/>
      <c r="G101" s="1103"/>
      <c r="H101" s="1569"/>
      <c r="I101" s="1103"/>
      <c r="J101" s="1569">
        <f t="shared" si="63"/>
        <v>0</v>
      </c>
      <c r="K101" s="1103">
        <f>sump!H73</f>
        <v>150</v>
      </c>
      <c r="L101" s="1097">
        <f t="shared" si="49"/>
        <v>79500</v>
      </c>
      <c r="M101" s="1103"/>
      <c r="N101" s="1097">
        <f t="shared" si="50"/>
        <v>0</v>
      </c>
      <c r="O101" s="1098"/>
      <c r="P101" s="1096"/>
      <c r="Q101" s="1098">
        <f t="shared" si="51"/>
        <v>150</v>
      </c>
      <c r="R101" s="1096">
        <f t="shared" si="52"/>
        <v>79500</v>
      </c>
      <c r="S101" s="1573"/>
      <c r="T101" s="1104"/>
    </row>
    <row r="102" spans="1:28" s="1574" customFormat="1" ht="86.45" customHeight="1">
      <c r="A102" s="1206"/>
      <c r="B102" s="1566" t="s">
        <v>5179</v>
      </c>
      <c r="C102" s="1381">
        <f>+'Data 2022-23'!K1193</f>
        <v>70.150000000000006</v>
      </c>
      <c r="D102" s="1118" t="s">
        <v>13</v>
      </c>
      <c r="E102" s="1569"/>
      <c r="F102" s="1569"/>
      <c r="G102" s="1103"/>
      <c r="H102" s="1569"/>
      <c r="I102" s="1103"/>
      <c r="J102" s="1569"/>
      <c r="K102" s="1103">
        <f>sump!H81</f>
        <v>2810</v>
      </c>
      <c r="L102" s="1097">
        <f t="shared" si="49"/>
        <v>197121.50000000003</v>
      </c>
      <c r="M102" s="1103"/>
      <c r="N102" s="1097">
        <f t="shared" si="50"/>
        <v>0</v>
      </c>
      <c r="O102" s="1098"/>
      <c r="P102" s="1096"/>
      <c r="Q102" s="1098">
        <f t="shared" si="51"/>
        <v>2810</v>
      </c>
      <c r="R102" s="1096">
        <f t="shared" si="52"/>
        <v>197121.50000000003</v>
      </c>
      <c r="S102" s="1573"/>
      <c r="T102" s="1104"/>
    </row>
    <row r="103" spans="1:28" s="1574" customFormat="1" ht="86.45" customHeight="1">
      <c r="A103" s="1206"/>
      <c r="B103" s="1940" t="s">
        <v>5805</v>
      </c>
      <c r="C103" s="1381">
        <f>'Data 2022-23'!K1141</f>
        <v>3974.5942063492062</v>
      </c>
      <c r="D103" s="1118" t="s">
        <v>533</v>
      </c>
      <c r="E103" s="1569">
        <f>'INS- Detail '!H398</f>
        <v>12.600000000000001</v>
      </c>
      <c r="F103" s="1569">
        <f>3974.59*12.6</f>
        <v>50079.834000000003</v>
      </c>
      <c r="G103" s="1103">
        <f>'SI- Detail  '!H359</f>
        <v>20.16</v>
      </c>
      <c r="H103" s="1569">
        <f>3974.59*20.16</f>
        <v>80127.734400000001</v>
      </c>
      <c r="I103" s="1103">
        <f>'PC- Detail'!H306</f>
        <v>60.48</v>
      </c>
      <c r="J103" s="1569">
        <f>3974.59*60.48</f>
        <v>240383.20319999999</v>
      </c>
      <c r="K103" s="1103"/>
      <c r="L103" s="1097"/>
      <c r="M103" s="1103"/>
      <c r="N103" s="1097">
        <f t="shared" si="50"/>
        <v>0</v>
      </c>
      <c r="O103" s="1098"/>
      <c r="P103" s="1096"/>
      <c r="Q103" s="1098">
        <f t="shared" si="51"/>
        <v>93.240000000000009</v>
      </c>
      <c r="R103" s="1096">
        <f>3974.59*93.24</f>
        <v>370590.77159999998</v>
      </c>
      <c r="S103" s="1573">
        <f>3974.59*93.24</f>
        <v>370590.77159999998</v>
      </c>
      <c r="T103" s="1104"/>
    </row>
    <row r="104" spans="1:28" ht="60.75" customHeight="1">
      <c r="A104" s="1138"/>
      <c r="B104" s="1262" t="s">
        <v>227</v>
      </c>
      <c r="C104" s="1092"/>
      <c r="D104" s="940"/>
      <c r="E104" s="1097"/>
      <c r="F104" s="1151">
        <f>SUBTOTAL(9,F6:F103)</f>
        <v>2176834.6027500257</v>
      </c>
      <c r="G104" s="1249"/>
      <c r="H104" s="1151">
        <f>SUBTOTAL(9,H7:H103)</f>
        <v>2903458.4217969547</v>
      </c>
      <c r="I104" s="1096"/>
      <c r="J104" s="1151">
        <f>SUBTOTAL(9,J6:J103)</f>
        <v>5551672.7482977249</v>
      </c>
      <c r="K104" s="1151"/>
      <c r="L104" s="1151">
        <f>SUM(L7:L102)</f>
        <v>888693.28850649996</v>
      </c>
      <c r="M104" s="1249"/>
      <c r="N104" s="1151">
        <f>SUM(N7:N103)</f>
        <v>1399583.8068594998</v>
      </c>
      <c r="O104" s="1098">
        <f t="shared" ref="O104:O163" si="64">I104+K104+M104</f>
        <v>0</v>
      </c>
      <c r="P104" s="1151">
        <f>SUBTOTAL(9,C104:O104)</f>
        <v>2288277.0953659997</v>
      </c>
      <c r="Q104" s="1095" t="s">
        <v>249</v>
      </c>
      <c r="R104" s="1151">
        <f>SUBTOTAL(9,R6:R103)</f>
        <v>12920242.868210707</v>
      </c>
      <c r="S104" s="1942">
        <f>20.16+60.48+12.6</f>
        <v>93.24</v>
      </c>
      <c r="T104" s="1099"/>
      <c r="V104" s="1251"/>
      <c r="W104" s="1092"/>
      <c r="X104" s="1092"/>
      <c r="Y104" s="1252"/>
      <c r="Z104" s="940" t="e">
        <f>Y104*#REF!</f>
        <v>#REF!</v>
      </c>
      <c r="AA104" s="1094">
        <f>Y104+W104</f>
        <v>0</v>
      </c>
      <c r="AB104" s="1092" t="e">
        <f>AA104*#REF!</f>
        <v>#REF!</v>
      </c>
    </row>
    <row r="105" spans="1:28" s="1108" customFormat="1" hidden="1">
      <c r="A105" s="1085"/>
      <c r="B105" s="933" t="s">
        <v>4296</v>
      </c>
      <c r="C105" s="1138" t="e">
        <f>#REF!</f>
        <v>#REF!</v>
      </c>
      <c r="D105" s="1108" t="s">
        <v>306</v>
      </c>
      <c r="E105" s="1240"/>
      <c r="F105" s="1097" t="e">
        <f t="shared" ref="F105:F164" si="65">E105*C105</f>
        <v>#REF!</v>
      </c>
      <c r="G105" s="1103"/>
      <c r="H105" s="1096" t="e">
        <f t="shared" ref="H105:H164" si="66">G105*C105</f>
        <v>#REF!</v>
      </c>
      <c r="I105" s="1103"/>
      <c r="J105" s="1096" t="e">
        <f t="shared" ref="J105:J164" si="67">I105*C105</f>
        <v>#REF!</v>
      </c>
      <c r="K105" s="1096"/>
      <c r="L105" s="1096" t="e">
        <f t="shared" ref="L105:L164" si="68">K105*C105</f>
        <v>#REF!</v>
      </c>
      <c r="M105" s="1103"/>
      <c r="N105" s="1096" t="e">
        <f t="shared" ref="N105:N164" si="69">M105*C105</f>
        <v>#REF!</v>
      </c>
      <c r="O105" s="1098">
        <f t="shared" si="64"/>
        <v>0</v>
      </c>
      <c r="P105" s="1096" t="e">
        <f t="shared" ref="P105:P164" si="70">O105*C105</f>
        <v>#REF!</v>
      </c>
      <c r="Q105" s="1098">
        <f t="shared" ref="Q105:Q162" si="71">O105+E105+G105</f>
        <v>0</v>
      </c>
      <c r="R105" s="1096" t="e">
        <f>#REF!-R104</f>
        <v>#REF!</v>
      </c>
      <c r="S105" s="1107"/>
      <c r="T105" s="1104"/>
    </row>
    <row r="106" spans="1:28" s="1108" customFormat="1" hidden="1">
      <c r="A106" s="1085"/>
      <c r="B106" s="933" t="s">
        <v>4297</v>
      </c>
      <c r="C106" s="1138" t="e">
        <f>#REF!</f>
        <v>#REF!</v>
      </c>
      <c r="D106" s="1108" t="s">
        <v>306</v>
      </c>
      <c r="E106" s="1240"/>
      <c r="F106" s="1097" t="e">
        <f t="shared" si="65"/>
        <v>#REF!</v>
      </c>
      <c r="G106" s="1103"/>
      <c r="H106" s="1096" t="e">
        <f t="shared" si="66"/>
        <v>#REF!</v>
      </c>
      <c r="I106" s="1103"/>
      <c r="J106" s="1096" t="e">
        <f t="shared" si="67"/>
        <v>#REF!</v>
      </c>
      <c r="K106" s="1096"/>
      <c r="L106" s="1096" t="e">
        <f t="shared" si="68"/>
        <v>#REF!</v>
      </c>
      <c r="M106" s="1103"/>
      <c r="N106" s="1096" t="e">
        <f t="shared" si="69"/>
        <v>#REF!</v>
      </c>
      <c r="O106" s="1098">
        <f t="shared" si="64"/>
        <v>0</v>
      </c>
      <c r="P106" s="1096" t="e">
        <f t="shared" si="70"/>
        <v>#REF!</v>
      </c>
      <c r="Q106" s="1098">
        <f t="shared" si="71"/>
        <v>0</v>
      </c>
      <c r="R106" s="1096" t="e">
        <f t="shared" ref="R106:R169" si="72">Q106*C106</f>
        <v>#REF!</v>
      </c>
      <c r="S106" s="1107"/>
      <c r="T106" s="1104"/>
    </row>
    <row r="107" spans="1:28" s="1108" customFormat="1" hidden="1">
      <c r="A107" s="1085"/>
      <c r="B107" s="933" t="s">
        <v>4291</v>
      </c>
      <c r="C107" s="1138"/>
      <c r="D107" s="1108" t="s">
        <v>306</v>
      </c>
      <c r="E107" s="1240"/>
      <c r="F107" s="1097">
        <f t="shared" si="65"/>
        <v>0</v>
      </c>
      <c r="G107" s="1103"/>
      <c r="H107" s="1096">
        <f t="shared" si="66"/>
        <v>0</v>
      </c>
      <c r="I107" s="1103"/>
      <c r="J107" s="1096">
        <f t="shared" si="67"/>
        <v>0</v>
      </c>
      <c r="K107" s="1096"/>
      <c r="L107" s="1096">
        <f t="shared" si="68"/>
        <v>0</v>
      </c>
      <c r="M107" s="1103"/>
      <c r="N107" s="1096">
        <f t="shared" si="69"/>
        <v>0</v>
      </c>
      <c r="O107" s="1098">
        <f t="shared" si="64"/>
        <v>0</v>
      </c>
      <c r="P107" s="1096">
        <f t="shared" si="70"/>
        <v>0</v>
      </c>
      <c r="Q107" s="1098">
        <f t="shared" si="71"/>
        <v>0</v>
      </c>
      <c r="R107" s="1096">
        <f t="shared" si="72"/>
        <v>0</v>
      </c>
      <c r="S107" s="1107"/>
      <c r="T107" s="1104"/>
    </row>
    <row r="108" spans="1:28" s="1108" customFormat="1" ht="46.5" hidden="1">
      <c r="A108" s="1085"/>
      <c r="B108" s="933" t="s">
        <v>4468</v>
      </c>
      <c r="C108" s="1138"/>
      <c r="D108" s="1108" t="s">
        <v>306</v>
      </c>
      <c r="E108" s="1240"/>
      <c r="F108" s="1097">
        <f t="shared" si="65"/>
        <v>0</v>
      </c>
      <c r="G108" s="1103"/>
      <c r="H108" s="1096">
        <f t="shared" si="66"/>
        <v>0</v>
      </c>
      <c r="I108" s="1103"/>
      <c r="J108" s="1096">
        <f t="shared" si="67"/>
        <v>0</v>
      </c>
      <c r="K108" s="1096"/>
      <c r="L108" s="1096">
        <f t="shared" si="68"/>
        <v>0</v>
      </c>
      <c r="M108" s="1103"/>
      <c r="N108" s="1096">
        <f t="shared" si="69"/>
        <v>0</v>
      </c>
      <c r="O108" s="1098">
        <f t="shared" si="64"/>
        <v>0</v>
      </c>
      <c r="P108" s="1096">
        <f t="shared" si="70"/>
        <v>0</v>
      </c>
      <c r="Q108" s="1098">
        <f t="shared" si="71"/>
        <v>0</v>
      </c>
      <c r="R108" s="1096">
        <f t="shared" si="72"/>
        <v>0</v>
      </c>
      <c r="S108" s="1107"/>
      <c r="T108" s="1104"/>
    </row>
    <row r="109" spans="1:28" s="1108" customFormat="1" ht="46.5" hidden="1">
      <c r="A109" s="1085"/>
      <c r="B109" s="933" t="s">
        <v>4469</v>
      </c>
      <c r="C109" s="1138"/>
      <c r="D109" s="1108" t="s">
        <v>306</v>
      </c>
      <c r="E109" s="1240"/>
      <c r="F109" s="1097">
        <f t="shared" si="65"/>
        <v>0</v>
      </c>
      <c r="G109" s="1103"/>
      <c r="H109" s="1096">
        <f t="shared" si="66"/>
        <v>0</v>
      </c>
      <c r="I109" s="1103"/>
      <c r="J109" s="1096">
        <f t="shared" si="67"/>
        <v>0</v>
      </c>
      <c r="K109" s="1096"/>
      <c r="L109" s="1096">
        <f t="shared" si="68"/>
        <v>0</v>
      </c>
      <c r="M109" s="1103"/>
      <c r="N109" s="1096">
        <f t="shared" si="69"/>
        <v>0</v>
      </c>
      <c r="O109" s="1098">
        <f t="shared" si="64"/>
        <v>0</v>
      </c>
      <c r="P109" s="1096">
        <f t="shared" si="70"/>
        <v>0</v>
      </c>
      <c r="Q109" s="1098">
        <f t="shared" si="71"/>
        <v>0</v>
      </c>
      <c r="R109" s="1096">
        <f t="shared" si="72"/>
        <v>0</v>
      </c>
      <c r="S109" s="1107"/>
      <c r="T109" s="1104"/>
    </row>
    <row r="110" spans="1:28" s="1108" customFormat="1" ht="46.5" hidden="1">
      <c r="A110" s="1085"/>
      <c r="B110" s="933" t="s">
        <v>4470</v>
      </c>
      <c r="C110" s="1138"/>
      <c r="D110" s="1108" t="s">
        <v>306</v>
      </c>
      <c r="E110" s="1240"/>
      <c r="F110" s="1097">
        <f t="shared" si="65"/>
        <v>0</v>
      </c>
      <c r="G110" s="1103"/>
      <c r="H110" s="1096">
        <f t="shared" si="66"/>
        <v>0</v>
      </c>
      <c r="I110" s="1103"/>
      <c r="J110" s="1096">
        <f t="shared" si="67"/>
        <v>0</v>
      </c>
      <c r="K110" s="1096"/>
      <c r="L110" s="1096">
        <f t="shared" si="68"/>
        <v>0</v>
      </c>
      <c r="M110" s="1103"/>
      <c r="N110" s="1096">
        <f t="shared" si="69"/>
        <v>0</v>
      </c>
      <c r="O110" s="1098">
        <f t="shared" si="64"/>
        <v>0</v>
      </c>
      <c r="P110" s="1096">
        <f t="shared" si="70"/>
        <v>0</v>
      </c>
      <c r="Q110" s="1098">
        <f t="shared" si="71"/>
        <v>0</v>
      </c>
      <c r="R110" s="1096">
        <f t="shared" si="72"/>
        <v>0</v>
      </c>
      <c r="S110" s="1107"/>
      <c r="T110" s="1104"/>
    </row>
    <row r="111" spans="1:28" s="1108" customFormat="1" hidden="1">
      <c r="A111" s="1085"/>
      <c r="B111" s="933" t="s">
        <v>4471</v>
      </c>
      <c r="C111" s="1138">
        <f>8.2*1500</f>
        <v>12299.999999999998</v>
      </c>
      <c r="D111" s="1108" t="s">
        <v>340</v>
      </c>
      <c r="E111" s="1240"/>
      <c r="F111" s="1097">
        <f t="shared" si="65"/>
        <v>0</v>
      </c>
      <c r="G111" s="1103"/>
      <c r="H111" s="1096">
        <f t="shared" si="66"/>
        <v>0</v>
      </c>
      <c r="I111" s="1103"/>
      <c r="J111" s="1096">
        <f t="shared" si="67"/>
        <v>0</v>
      </c>
      <c r="K111" s="1096"/>
      <c r="L111" s="1096">
        <f t="shared" si="68"/>
        <v>0</v>
      </c>
      <c r="M111" s="1103"/>
      <c r="N111" s="1096">
        <f t="shared" si="69"/>
        <v>0</v>
      </c>
      <c r="O111" s="1098">
        <f t="shared" si="64"/>
        <v>0</v>
      </c>
      <c r="P111" s="1096">
        <f t="shared" si="70"/>
        <v>0</v>
      </c>
      <c r="Q111" s="1098">
        <f t="shared" si="71"/>
        <v>0</v>
      </c>
      <c r="R111" s="1096">
        <f t="shared" si="72"/>
        <v>0</v>
      </c>
      <c r="S111" s="1107"/>
      <c r="T111" s="1104"/>
    </row>
    <row r="112" spans="1:28" s="1108" customFormat="1" hidden="1">
      <c r="A112" s="1085"/>
      <c r="B112" s="933" t="s">
        <v>4472</v>
      </c>
      <c r="C112" s="1138" t="e">
        <f>#REF!</f>
        <v>#REF!</v>
      </c>
      <c r="D112" s="1108" t="s">
        <v>306</v>
      </c>
      <c r="E112" s="1240"/>
      <c r="F112" s="1097" t="e">
        <f t="shared" si="65"/>
        <v>#REF!</v>
      </c>
      <c r="G112" s="1103"/>
      <c r="H112" s="1096" t="e">
        <f t="shared" si="66"/>
        <v>#REF!</v>
      </c>
      <c r="I112" s="1103"/>
      <c r="J112" s="1096" t="e">
        <f t="shared" si="67"/>
        <v>#REF!</v>
      </c>
      <c r="K112" s="1096"/>
      <c r="L112" s="1096" t="e">
        <f t="shared" si="68"/>
        <v>#REF!</v>
      </c>
      <c r="M112" s="1103"/>
      <c r="N112" s="1096" t="e">
        <f t="shared" si="69"/>
        <v>#REF!</v>
      </c>
      <c r="O112" s="1098">
        <f t="shared" si="64"/>
        <v>0</v>
      </c>
      <c r="P112" s="1096" t="e">
        <f t="shared" si="70"/>
        <v>#REF!</v>
      </c>
      <c r="Q112" s="1098">
        <f t="shared" si="71"/>
        <v>0</v>
      </c>
      <c r="R112" s="1096" t="e">
        <f t="shared" si="72"/>
        <v>#REF!</v>
      </c>
      <c r="S112" s="1107"/>
      <c r="T112" s="1104"/>
    </row>
    <row r="113" spans="1:20" s="1108" customFormat="1" hidden="1">
      <c r="A113" s="1085"/>
      <c r="B113" s="933" t="s">
        <v>4473</v>
      </c>
      <c r="C113" s="1138" t="e">
        <f>#REF!</f>
        <v>#REF!</v>
      </c>
      <c r="D113" s="1108" t="s">
        <v>306</v>
      </c>
      <c r="E113" s="1240"/>
      <c r="F113" s="1097" t="e">
        <f t="shared" si="65"/>
        <v>#REF!</v>
      </c>
      <c r="G113" s="1103"/>
      <c r="H113" s="1096" t="e">
        <f t="shared" si="66"/>
        <v>#REF!</v>
      </c>
      <c r="I113" s="1103"/>
      <c r="J113" s="1096" t="e">
        <f t="shared" si="67"/>
        <v>#REF!</v>
      </c>
      <c r="K113" s="1096"/>
      <c r="L113" s="1096" t="e">
        <f t="shared" si="68"/>
        <v>#REF!</v>
      </c>
      <c r="M113" s="1103"/>
      <c r="N113" s="1096" t="e">
        <f t="shared" si="69"/>
        <v>#REF!</v>
      </c>
      <c r="O113" s="1098">
        <f t="shared" si="64"/>
        <v>0</v>
      </c>
      <c r="P113" s="1096" t="e">
        <f t="shared" si="70"/>
        <v>#REF!</v>
      </c>
      <c r="Q113" s="1098">
        <f t="shared" si="71"/>
        <v>0</v>
      </c>
      <c r="R113" s="1096" t="e">
        <f t="shared" si="72"/>
        <v>#REF!</v>
      </c>
      <c r="S113" s="1107"/>
      <c r="T113" s="1104"/>
    </row>
    <row r="114" spans="1:20" s="1108" customFormat="1" hidden="1">
      <c r="A114" s="1085"/>
      <c r="B114" s="933" t="s">
        <v>4474</v>
      </c>
      <c r="C114" s="1138" t="e">
        <f>#REF!</f>
        <v>#REF!</v>
      </c>
      <c r="D114" s="1108" t="s">
        <v>306</v>
      </c>
      <c r="E114" s="1240"/>
      <c r="F114" s="1097" t="e">
        <f t="shared" si="65"/>
        <v>#REF!</v>
      </c>
      <c r="G114" s="1103"/>
      <c r="H114" s="1096" t="e">
        <f t="shared" si="66"/>
        <v>#REF!</v>
      </c>
      <c r="I114" s="1103"/>
      <c r="J114" s="1096" t="e">
        <f t="shared" si="67"/>
        <v>#REF!</v>
      </c>
      <c r="K114" s="1096"/>
      <c r="L114" s="1096" t="e">
        <f t="shared" si="68"/>
        <v>#REF!</v>
      </c>
      <c r="M114" s="1103"/>
      <c r="N114" s="1096" t="e">
        <f t="shared" si="69"/>
        <v>#REF!</v>
      </c>
      <c r="O114" s="1098">
        <f t="shared" si="64"/>
        <v>0</v>
      </c>
      <c r="P114" s="1096" t="e">
        <f t="shared" si="70"/>
        <v>#REF!</v>
      </c>
      <c r="Q114" s="1098">
        <f t="shared" si="71"/>
        <v>0</v>
      </c>
      <c r="R114" s="1096" t="e">
        <f t="shared" si="72"/>
        <v>#REF!</v>
      </c>
      <c r="S114" s="1107"/>
      <c r="T114" s="1104"/>
    </row>
    <row r="115" spans="1:20" s="1108" customFormat="1" hidden="1">
      <c r="A115" s="1085"/>
      <c r="B115" s="933" t="s">
        <v>4475</v>
      </c>
      <c r="C115" s="1138" t="e">
        <f>#REF!</f>
        <v>#REF!</v>
      </c>
      <c r="D115" s="1108" t="s">
        <v>306</v>
      </c>
      <c r="E115" s="1240"/>
      <c r="F115" s="1097" t="e">
        <f t="shared" si="65"/>
        <v>#REF!</v>
      </c>
      <c r="G115" s="1103"/>
      <c r="H115" s="1096" t="e">
        <f t="shared" si="66"/>
        <v>#REF!</v>
      </c>
      <c r="I115" s="1103"/>
      <c r="J115" s="1096" t="e">
        <f t="shared" si="67"/>
        <v>#REF!</v>
      </c>
      <c r="K115" s="1096"/>
      <c r="L115" s="1096" t="e">
        <f t="shared" si="68"/>
        <v>#REF!</v>
      </c>
      <c r="M115" s="1103"/>
      <c r="N115" s="1096" t="e">
        <f t="shared" si="69"/>
        <v>#REF!</v>
      </c>
      <c r="O115" s="1098">
        <f t="shared" si="64"/>
        <v>0</v>
      </c>
      <c r="P115" s="1096" t="e">
        <f t="shared" si="70"/>
        <v>#REF!</v>
      </c>
      <c r="Q115" s="1098">
        <f t="shared" si="71"/>
        <v>0</v>
      </c>
      <c r="R115" s="1096" t="e">
        <f t="shared" si="72"/>
        <v>#REF!</v>
      </c>
      <c r="S115" s="1107"/>
      <c r="T115" s="1104"/>
    </row>
    <row r="116" spans="1:20" s="1108" customFormat="1" hidden="1">
      <c r="A116" s="1085"/>
      <c r="B116" s="933" t="s">
        <v>4476</v>
      </c>
      <c r="C116" s="1138" t="e">
        <f>#REF!</f>
        <v>#REF!</v>
      </c>
      <c r="D116" s="1108" t="s">
        <v>306</v>
      </c>
      <c r="E116" s="1240"/>
      <c r="F116" s="1097" t="e">
        <f t="shared" si="65"/>
        <v>#REF!</v>
      </c>
      <c r="G116" s="1103"/>
      <c r="H116" s="1096" t="e">
        <f t="shared" si="66"/>
        <v>#REF!</v>
      </c>
      <c r="I116" s="1103"/>
      <c r="J116" s="1096" t="e">
        <f t="shared" si="67"/>
        <v>#REF!</v>
      </c>
      <c r="K116" s="1096"/>
      <c r="L116" s="1096" t="e">
        <f t="shared" si="68"/>
        <v>#REF!</v>
      </c>
      <c r="M116" s="1103"/>
      <c r="N116" s="1096" t="e">
        <f t="shared" si="69"/>
        <v>#REF!</v>
      </c>
      <c r="O116" s="1098">
        <f t="shared" si="64"/>
        <v>0</v>
      </c>
      <c r="P116" s="1096" t="e">
        <f t="shared" si="70"/>
        <v>#REF!</v>
      </c>
      <c r="Q116" s="1098">
        <f t="shared" si="71"/>
        <v>0</v>
      </c>
      <c r="R116" s="1096" t="e">
        <f t="shared" si="72"/>
        <v>#REF!</v>
      </c>
      <c r="S116" s="1107"/>
      <c r="T116" s="1104"/>
    </row>
    <row r="117" spans="1:20" s="1108" customFormat="1" hidden="1">
      <c r="A117" s="1085"/>
      <c r="B117" s="1322" t="s">
        <v>4477</v>
      </c>
      <c r="C117" s="1085" t="e">
        <f>#REF!</f>
        <v>#REF!</v>
      </c>
      <c r="D117" s="1108" t="s">
        <v>306</v>
      </c>
      <c r="E117" s="1240"/>
      <c r="F117" s="1097" t="e">
        <f t="shared" si="65"/>
        <v>#REF!</v>
      </c>
      <c r="G117" s="1103"/>
      <c r="H117" s="1096" t="e">
        <f t="shared" si="66"/>
        <v>#REF!</v>
      </c>
      <c r="I117" s="1103"/>
      <c r="J117" s="1096" t="e">
        <f t="shared" si="67"/>
        <v>#REF!</v>
      </c>
      <c r="K117" s="1096"/>
      <c r="L117" s="1096" t="e">
        <f t="shared" si="68"/>
        <v>#REF!</v>
      </c>
      <c r="M117" s="1103"/>
      <c r="N117" s="1096" t="e">
        <f t="shared" si="69"/>
        <v>#REF!</v>
      </c>
      <c r="O117" s="1098">
        <f t="shared" si="64"/>
        <v>0</v>
      </c>
      <c r="P117" s="1096" t="e">
        <f t="shared" si="70"/>
        <v>#REF!</v>
      </c>
      <c r="Q117" s="1098">
        <f t="shared" si="71"/>
        <v>0</v>
      </c>
      <c r="R117" s="1096" t="e">
        <f t="shared" si="72"/>
        <v>#REF!</v>
      </c>
      <c r="S117" s="1107"/>
      <c r="T117" s="1104"/>
    </row>
    <row r="118" spans="1:20" s="1108" customFormat="1" hidden="1">
      <c r="A118" s="1085"/>
      <c r="B118" s="1322" t="s">
        <v>4478</v>
      </c>
      <c r="C118" s="1085">
        <f>5000*8.2</f>
        <v>41000</v>
      </c>
      <c r="D118" s="1108" t="s">
        <v>340</v>
      </c>
      <c r="E118" s="1240"/>
      <c r="F118" s="1097">
        <f t="shared" si="65"/>
        <v>0</v>
      </c>
      <c r="G118" s="1103"/>
      <c r="H118" s="1096">
        <f t="shared" si="66"/>
        <v>0</v>
      </c>
      <c r="I118" s="1103"/>
      <c r="J118" s="1096">
        <f t="shared" si="67"/>
        <v>0</v>
      </c>
      <c r="K118" s="1096"/>
      <c r="L118" s="1096">
        <f t="shared" si="68"/>
        <v>0</v>
      </c>
      <c r="M118" s="1103"/>
      <c r="N118" s="1096">
        <f t="shared" si="69"/>
        <v>0</v>
      </c>
      <c r="O118" s="1098">
        <f t="shared" si="64"/>
        <v>0</v>
      </c>
      <c r="P118" s="1096">
        <f t="shared" si="70"/>
        <v>0</v>
      </c>
      <c r="Q118" s="1098">
        <f t="shared" si="71"/>
        <v>0</v>
      </c>
      <c r="R118" s="1096">
        <f t="shared" si="72"/>
        <v>0</v>
      </c>
      <c r="S118" s="1107"/>
      <c r="T118" s="1104"/>
    </row>
    <row r="119" spans="1:20" s="1108" customFormat="1" hidden="1">
      <c r="A119" s="1085"/>
      <c r="B119" s="1322" t="e">
        <f>#REF!</f>
        <v>#REF!</v>
      </c>
      <c r="C119" s="1085" t="e">
        <f>#REF!</f>
        <v>#REF!</v>
      </c>
      <c r="D119" s="1108" t="s">
        <v>306</v>
      </c>
      <c r="E119" s="1240"/>
      <c r="F119" s="1097" t="e">
        <f t="shared" si="65"/>
        <v>#REF!</v>
      </c>
      <c r="G119" s="1103"/>
      <c r="H119" s="1096" t="e">
        <f t="shared" si="66"/>
        <v>#REF!</v>
      </c>
      <c r="I119" s="1103"/>
      <c r="J119" s="1096" t="e">
        <f t="shared" si="67"/>
        <v>#REF!</v>
      </c>
      <c r="K119" s="1096"/>
      <c r="L119" s="1096" t="e">
        <f t="shared" si="68"/>
        <v>#REF!</v>
      </c>
      <c r="M119" s="1103"/>
      <c r="N119" s="1096" t="e">
        <f t="shared" si="69"/>
        <v>#REF!</v>
      </c>
      <c r="O119" s="1098">
        <f t="shared" si="64"/>
        <v>0</v>
      </c>
      <c r="P119" s="1096" t="e">
        <f t="shared" si="70"/>
        <v>#REF!</v>
      </c>
      <c r="Q119" s="1098">
        <f t="shared" si="71"/>
        <v>0</v>
      </c>
      <c r="R119" s="1096" t="e">
        <f t="shared" si="72"/>
        <v>#REF!</v>
      </c>
      <c r="S119" s="1107"/>
      <c r="T119" s="1104"/>
    </row>
    <row r="120" spans="1:20" s="1108" customFormat="1" hidden="1">
      <c r="A120" s="1085"/>
      <c r="B120" s="1322" t="s">
        <v>1794</v>
      </c>
      <c r="C120" s="1085" t="e">
        <f>#REF!</f>
        <v>#REF!</v>
      </c>
      <c r="D120" s="1108" t="s">
        <v>306</v>
      </c>
      <c r="E120" s="1240"/>
      <c r="F120" s="1097" t="e">
        <f t="shared" si="65"/>
        <v>#REF!</v>
      </c>
      <c r="G120" s="1103"/>
      <c r="H120" s="1096" t="e">
        <f t="shared" si="66"/>
        <v>#REF!</v>
      </c>
      <c r="I120" s="1103"/>
      <c r="J120" s="1096" t="e">
        <f t="shared" si="67"/>
        <v>#REF!</v>
      </c>
      <c r="K120" s="1096"/>
      <c r="L120" s="1096" t="e">
        <f t="shared" si="68"/>
        <v>#REF!</v>
      </c>
      <c r="M120" s="1103"/>
      <c r="N120" s="1096" t="e">
        <f t="shared" si="69"/>
        <v>#REF!</v>
      </c>
      <c r="O120" s="1098">
        <f t="shared" si="64"/>
        <v>0</v>
      </c>
      <c r="P120" s="1096" t="e">
        <f t="shared" si="70"/>
        <v>#REF!</v>
      </c>
      <c r="Q120" s="1098">
        <f t="shared" si="71"/>
        <v>0</v>
      </c>
      <c r="R120" s="1096" t="e">
        <f t="shared" si="72"/>
        <v>#REF!</v>
      </c>
      <c r="S120" s="1107"/>
      <c r="T120" s="1104"/>
    </row>
    <row r="121" spans="1:20" s="1108" customFormat="1" hidden="1">
      <c r="A121" s="1085"/>
      <c r="B121" s="1322" t="s">
        <v>4479</v>
      </c>
      <c r="C121" s="1085" t="e">
        <f>#REF!</f>
        <v>#REF!</v>
      </c>
      <c r="D121" s="1108" t="s">
        <v>306</v>
      </c>
      <c r="E121" s="1240"/>
      <c r="F121" s="1097" t="e">
        <f t="shared" si="65"/>
        <v>#REF!</v>
      </c>
      <c r="G121" s="1103"/>
      <c r="H121" s="1096" t="e">
        <f t="shared" si="66"/>
        <v>#REF!</v>
      </c>
      <c r="I121" s="1103"/>
      <c r="J121" s="1096" t="e">
        <f t="shared" si="67"/>
        <v>#REF!</v>
      </c>
      <c r="K121" s="1096"/>
      <c r="L121" s="1096" t="e">
        <f t="shared" si="68"/>
        <v>#REF!</v>
      </c>
      <c r="M121" s="1103"/>
      <c r="N121" s="1096" t="e">
        <f t="shared" si="69"/>
        <v>#REF!</v>
      </c>
      <c r="O121" s="1098">
        <f t="shared" si="64"/>
        <v>0</v>
      </c>
      <c r="P121" s="1096" t="e">
        <f t="shared" si="70"/>
        <v>#REF!</v>
      </c>
      <c r="Q121" s="1098">
        <f t="shared" si="71"/>
        <v>0</v>
      </c>
      <c r="R121" s="1096" t="e">
        <f t="shared" si="72"/>
        <v>#REF!</v>
      </c>
      <c r="S121" s="1107"/>
      <c r="T121" s="1104"/>
    </row>
    <row r="122" spans="1:20" s="1108" customFormat="1" hidden="1">
      <c r="A122" s="1085"/>
      <c r="B122" s="1322" t="s">
        <v>4480</v>
      </c>
      <c r="C122" s="1085" t="e">
        <f>#REF!</f>
        <v>#REF!</v>
      </c>
      <c r="D122" s="1108" t="s">
        <v>306</v>
      </c>
      <c r="E122" s="1240"/>
      <c r="F122" s="1097" t="e">
        <f t="shared" si="65"/>
        <v>#REF!</v>
      </c>
      <c r="G122" s="1103"/>
      <c r="H122" s="1096" t="e">
        <f t="shared" si="66"/>
        <v>#REF!</v>
      </c>
      <c r="I122" s="1103"/>
      <c r="J122" s="1096" t="e">
        <f t="shared" si="67"/>
        <v>#REF!</v>
      </c>
      <c r="K122" s="1096"/>
      <c r="L122" s="1096" t="e">
        <f t="shared" si="68"/>
        <v>#REF!</v>
      </c>
      <c r="M122" s="1103"/>
      <c r="N122" s="1096" t="e">
        <f t="shared" si="69"/>
        <v>#REF!</v>
      </c>
      <c r="O122" s="1098">
        <f t="shared" si="64"/>
        <v>0</v>
      </c>
      <c r="P122" s="1096" t="e">
        <f t="shared" si="70"/>
        <v>#REF!</v>
      </c>
      <c r="Q122" s="1098">
        <f t="shared" si="71"/>
        <v>0</v>
      </c>
      <c r="R122" s="1096" t="e">
        <f t="shared" si="72"/>
        <v>#REF!</v>
      </c>
      <c r="S122" s="1107"/>
      <c r="T122" s="1104"/>
    </row>
    <row r="123" spans="1:20" s="1108" customFormat="1" hidden="1">
      <c r="A123" s="1085"/>
      <c r="B123" s="1322" t="s">
        <v>4481</v>
      </c>
      <c r="C123" s="1085" t="e">
        <f>#REF!</f>
        <v>#REF!</v>
      </c>
      <c r="D123" s="1108" t="s">
        <v>306</v>
      </c>
      <c r="E123" s="1240"/>
      <c r="F123" s="1097" t="e">
        <f t="shared" si="65"/>
        <v>#REF!</v>
      </c>
      <c r="G123" s="1103"/>
      <c r="H123" s="1096" t="e">
        <f t="shared" si="66"/>
        <v>#REF!</v>
      </c>
      <c r="I123" s="1103"/>
      <c r="J123" s="1096" t="e">
        <f t="shared" si="67"/>
        <v>#REF!</v>
      </c>
      <c r="K123" s="1096"/>
      <c r="L123" s="1096" t="e">
        <f t="shared" si="68"/>
        <v>#REF!</v>
      </c>
      <c r="M123" s="1103"/>
      <c r="N123" s="1096" t="e">
        <f t="shared" si="69"/>
        <v>#REF!</v>
      </c>
      <c r="O123" s="1098">
        <f t="shared" si="64"/>
        <v>0</v>
      </c>
      <c r="P123" s="1096" t="e">
        <f t="shared" si="70"/>
        <v>#REF!</v>
      </c>
      <c r="Q123" s="1098">
        <f t="shared" si="71"/>
        <v>0</v>
      </c>
      <c r="R123" s="1096" t="e">
        <f t="shared" si="72"/>
        <v>#REF!</v>
      </c>
      <c r="S123" s="1107"/>
      <c r="T123" s="1104"/>
    </row>
    <row r="124" spans="1:20" s="1108" customFormat="1" ht="69.75" hidden="1">
      <c r="A124" s="1085"/>
      <c r="B124" s="1262" t="s">
        <v>4482</v>
      </c>
      <c r="C124" s="1085" t="e">
        <f>#REF!</f>
        <v>#REF!</v>
      </c>
      <c r="D124" s="1108" t="s">
        <v>306</v>
      </c>
      <c r="E124" s="1240"/>
      <c r="F124" s="1097" t="e">
        <f t="shared" si="65"/>
        <v>#REF!</v>
      </c>
      <c r="G124" s="1103"/>
      <c r="H124" s="1096" t="e">
        <f t="shared" si="66"/>
        <v>#REF!</v>
      </c>
      <c r="I124" s="1103"/>
      <c r="J124" s="1096" t="e">
        <f t="shared" si="67"/>
        <v>#REF!</v>
      </c>
      <c r="K124" s="1096"/>
      <c r="L124" s="1096" t="e">
        <f t="shared" si="68"/>
        <v>#REF!</v>
      </c>
      <c r="M124" s="1103"/>
      <c r="N124" s="1096" t="e">
        <f t="shared" si="69"/>
        <v>#REF!</v>
      </c>
      <c r="O124" s="1098">
        <f t="shared" si="64"/>
        <v>0</v>
      </c>
      <c r="P124" s="1096" t="e">
        <f t="shared" si="70"/>
        <v>#REF!</v>
      </c>
      <c r="Q124" s="1098">
        <f t="shared" si="71"/>
        <v>0</v>
      </c>
      <c r="R124" s="1096" t="e">
        <f t="shared" si="72"/>
        <v>#REF!</v>
      </c>
      <c r="S124" s="1107"/>
      <c r="T124" s="1104"/>
    </row>
    <row r="125" spans="1:20" s="1108" customFormat="1" ht="69.75" hidden="1">
      <c r="A125" s="1085"/>
      <c r="B125" s="1262" t="s">
        <v>4483</v>
      </c>
      <c r="C125" s="1085" t="e">
        <f>#REF!</f>
        <v>#REF!</v>
      </c>
      <c r="D125" s="1108" t="s">
        <v>306</v>
      </c>
      <c r="E125" s="1240"/>
      <c r="F125" s="1097" t="e">
        <f t="shared" si="65"/>
        <v>#REF!</v>
      </c>
      <c r="G125" s="1103"/>
      <c r="H125" s="1096" t="e">
        <f t="shared" si="66"/>
        <v>#REF!</v>
      </c>
      <c r="I125" s="1103"/>
      <c r="J125" s="1096" t="e">
        <f t="shared" si="67"/>
        <v>#REF!</v>
      </c>
      <c r="K125" s="1096"/>
      <c r="L125" s="1096" t="e">
        <f t="shared" si="68"/>
        <v>#REF!</v>
      </c>
      <c r="M125" s="1103"/>
      <c r="N125" s="1096" t="e">
        <f t="shared" si="69"/>
        <v>#REF!</v>
      </c>
      <c r="O125" s="1098">
        <f t="shared" si="64"/>
        <v>0</v>
      </c>
      <c r="P125" s="1096" t="e">
        <f t="shared" si="70"/>
        <v>#REF!</v>
      </c>
      <c r="Q125" s="1098">
        <f t="shared" si="71"/>
        <v>0</v>
      </c>
      <c r="R125" s="1096" t="e">
        <f t="shared" si="72"/>
        <v>#REF!</v>
      </c>
      <c r="S125" s="1107"/>
      <c r="T125" s="1104"/>
    </row>
    <row r="126" spans="1:20" s="1108" customFormat="1" ht="46.5" hidden="1">
      <c r="A126" s="1085"/>
      <c r="B126" s="933" t="s">
        <v>2893</v>
      </c>
      <c r="C126" s="1085" t="e">
        <f>#REF!</f>
        <v>#REF!</v>
      </c>
      <c r="D126" s="1108" t="s">
        <v>306</v>
      </c>
      <c r="E126" s="1240"/>
      <c r="F126" s="1097" t="e">
        <f t="shared" si="65"/>
        <v>#REF!</v>
      </c>
      <c r="G126" s="1103"/>
      <c r="H126" s="1096" t="e">
        <f t="shared" si="66"/>
        <v>#REF!</v>
      </c>
      <c r="I126" s="1103"/>
      <c r="J126" s="1096" t="e">
        <f t="shared" si="67"/>
        <v>#REF!</v>
      </c>
      <c r="K126" s="1096"/>
      <c r="L126" s="1096" t="e">
        <f t="shared" si="68"/>
        <v>#REF!</v>
      </c>
      <c r="M126" s="1103"/>
      <c r="N126" s="1096" t="e">
        <f t="shared" si="69"/>
        <v>#REF!</v>
      </c>
      <c r="O126" s="1098">
        <f t="shared" si="64"/>
        <v>0</v>
      </c>
      <c r="P126" s="1096" t="e">
        <f t="shared" si="70"/>
        <v>#REF!</v>
      </c>
      <c r="Q126" s="1098">
        <f t="shared" si="71"/>
        <v>0</v>
      </c>
      <c r="R126" s="1096" t="e">
        <f t="shared" si="72"/>
        <v>#REF!</v>
      </c>
      <c r="S126" s="1107"/>
      <c r="T126" s="1104"/>
    </row>
    <row r="127" spans="1:20" s="1108" customFormat="1" hidden="1">
      <c r="A127" s="1085"/>
      <c r="B127" s="1322" t="s">
        <v>4484</v>
      </c>
      <c r="C127" s="1085" t="e">
        <f>#REF!</f>
        <v>#REF!</v>
      </c>
      <c r="D127" s="1108" t="s">
        <v>306</v>
      </c>
      <c r="E127" s="1240"/>
      <c r="F127" s="1097" t="e">
        <f t="shared" si="65"/>
        <v>#REF!</v>
      </c>
      <c r="G127" s="1103"/>
      <c r="H127" s="1096" t="e">
        <f t="shared" si="66"/>
        <v>#REF!</v>
      </c>
      <c r="I127" s="1103"/>
      <c r="J127" s="1096" t="e">
        <f t="shared" si="67"/>
        <v>#REF!</v>
      </c>
      <c r="K127" s="1096"/>
      <c r="L127" s="1096" t="e">
        <f t="shared" si="68"/>
        <v>#REF!</v>
      </c>
      <c r="M127" s="1103"/>
      <c r="N127" s="1096" t="e">
        <f t="shared" si="69"/>
        <v>#REF!</v>
      </c>
      <c r="O127" s="1098">
        <f t="shared" si="64"/>
        <v>0</v>
      </c>
      <c r="P127" s="1096" t="e">
        <f t="shared" si="70"/>
        <v>#REF!</v>
      </c>
      <c r="Q127" s="1098">
        <f t="shared" si="71"/>
        <v>0</v>
      </c>
      <c r="R127" s="1096" t="e">
        <f t="shared" si="72"/>
        <v>#REF!</v>
      </c>
      <c r="S127" s="1107"/>
      <c r="T127" s="1104"/>
    </row>
    <row r="128" spans="1:20" s="1108" customFormat="1" hidden="1">
      <c r="A128" s="1085"/>
      <c r="B128" s="1322" t="s">
        <v>4485</v>
      </c>
      <c r="C128" s="1085" t="e">
        <f>#REF!</f>
        <v>#REF!</v>
      </c>
      <c r="D128" s="1108" t="s">
        <v>306</v>
      </c>
      <c r="E128" s="1240"/>
      <c r="F128" s="1097" t="e">
        <f t="shared" si="65"/>
        <v>#REF!</v>
      </c>
      <c r="G128" s="1103"/>
      <c r="H128" s="1096" t="e">
        <f t="shared" si="66"/>
        <v>#REF!</v>
      </c>
      <c r="I128" s="1103"/>
      <c r="J128" s="1096" t="e">
        <f t="shared" si="67"/>
        <v>#REF!</v>
      </c>
      <c r="K128" s="1096"/>
      <c r="L128" s="1096" t="e">
        <f t="shared" si="68"/>
        <v>#REF!</v>
      </c>
      <c r="M128" s="1103"/>
      <c r="N128" s="1096" t="e">
        <f t="shared" si="69"/>
        <v>#REF!</v>
      </c>
      <c r="O128" s="1098">
        <f t="shared" si="64"/>
        <v>0</v>
      </c>
      <c r="P128" s="1096" t="e">
        <f t="shared" si="70"/>
        <v>#REF!</v>
      </c>
      <c r="Q128" s="1098">
        <f t="shared" si="71"/>
        <v>0</v>
      </c>
      <c r="R128" s="1096" t="e">
        <f t="shared" si="72"/>
        <v>#REF!</v>
      </c>
      <c r="S128" s="1107"/>
      <c r="T128" s="1104"/>
    </row>
    <row r="129" spans="1:20" s="1108" customFormat="1" hidden="1">
      <c r="A129" s="1085"/>
      <c r="B129" s="1322" t="s">
        <v>4486</v>
      </c>
      <c r="C129" s="1085" t="e">
        <f>#REF!</f>
        <v>#REF!</v>
      </c>
      <c r="D129" s="1108" t="s">
        <v>306</v>
      </c>
      <c r="E129" s="1240"/>
      <c r="F129" s="1097" t="e">
        <f t="shared" si="65"/>
        <v>#REF!</v>
      </c>
      <c r="G129" s="1103"/>
      <c r="H129" s="1096" t="e">
        <f t="shared" si="66"/>
        <v>#REF!</v>
      </c>
      <c r="I129" s="1103"/>
      <c r="J129" s="1096" t="e">
        <f t="shared" si="67"/>
        <v>#REF!</v>
      </c>
      <c r="K129" s="1096"/>
      <c r="L129" s="1096" t="e">
        <f t="shared" si="68"/>
        <v>#REF!</v>
      </c>
      <c r="M129" s="1103"/>
      <c r="N129" s="1096" t="e">
        <f t="shared" si="69"/>
        <v>#REF!</v>
      </c>
      <c r="O129" s="1098">
        <f t="shared" si="64"/>
        <v>0</v>
      </c>
      <c r="P129" s="1096" t="e">
        <f t="shared" si="70"/>
        <v>#REF!</v>
      </c>
      <c r="Q129" s="1098">
        <f t="shared" si="71"/>
        <v>0</v>
      </c>
      <c r="R129" s="1096" t="e">
        <f t="shared" si="72"/>
        <v>#REF!</v>
      </c>
      <c r="S129" s="1107"/>
      <c r="T129" s="1104"/>
    </row>
    <row r="130" spans="1:20" s="1108" customFormat="1" hidden="1">
      <c r="A130" s="1085"/>
      <c r="B130" s="1322" t="s">
        <v>4487</v>
      </c>
      <c r="C130" s="1085" t="e">
        <f>#REF!</f>
        <v>#REF!</v>
      </c>
      <c r="D130" s="1108" t="s">
        <v>306</v>
      </c>
      <c r="E130" s="1240"/>
      <c r="F130" s="1097" t="e">
        <f t="shared" si="65"/>
        <v>#REF!</v>
      </c>
      <c r="G130" s="1103"/>
      <c r="H130" s="1096" t="e">
        <f t="shared" si="66"/>
        <v>#REF!</v>
      </c>
      <c r="I130" s="1103"/>
      <c r="J130" s="1096" t="e">
        <f t="shared" si="67"/>
        <v>#REF!</v>
      </c>
      <c r="K130" s="1096"/>
      <c r="L130" s="1096" t="e">
        <f t="shared" si="68"/>
        <v>#REF!</v>
      </c>
      <c r="M130" s="1103"/>
      <c r="N130" s="1096" t="e">
        <f t="shared" si="69"/>
        <v>#REF!</v>
      </c>
      <c r="O130" s="1098">
        <f t="shared" si="64"/>
        <v>0</v>
      </c>
      <c r="P130" s="1096" t="e">
        <f t="shared" si="70"/>
        <v>#REF!</v>
      </c>
      <c r="Q130" s="1098">
        <f t="shared" si="71"/>
        <v>0</v>
      </c>
      <c r="R130" s="1096" t="e">
        <f t="shared" si="72"/>
        <v>#REF!</v>
      </c>
      <c r="S130" s="1107"/>
      <c r="T130" s="1104"/>
    </row>
    <row r="131" spans="1:20" s="1108" customFormat="1" hidden="1">
      <c r="A131" s="1085"/>
      <c r="B131" s="1322" t="s">
        <v>4488</v>
      </c>
      <c r="C131" s="1085" t="e">
        <f>#REF!</f>
        <v>#REF!</v>
      </c>
      <c r="D131" s="1108" t="s">
        <v>340</v>
      </c>
      <c r="E131" s="1240"/>
      <c r="F131" s="1097" t="e">
        <f t="shared" si="65"/>
        <v>#REF!</v>
      </c>
      <c r="G131" s="1103"/>
      <c r="H131" s="1096" t="e">
        <f t="shared" si="66"/>
        <v>#REF!</v>
      </c>
      <c r="I131" s="1103"/>
      <c r="J131" s="1096" t="e">
        <f t="shared" si="67"/>
        <v>#REF!</v>
      </c>
      <c r="K131" s="1096"/>
      <c r="L131" s="1096" t="e">
        <f t="shared" si="68"/>
        <v>#REF!</v>
      </c>
      <c r="M131" s="1103"/>
      <c r="N131" s="1096" t="e">
        <f t="shared" si="69"/>
        <v>#REF!</v>
      </c>
      <c r="O131" s="1098">
        <f t="shared" si="64"/>
        <v>0</v>
      </c>
      <c r="P131" s="1096" t="e">
        <f t="shared" si="70"/>
        <v>#REF!</v>
      </c>
      <c r="Q131" s="1098">
        <f t="shared" si="71"/>
        <v>0</v>
      </c>
      <c r="R131" s="1096" t="e">
        <f t="shared" si="72"/>
        <v>#REF!</v>
      </c>
      <c r="S131" s="1107"/>
      <c r="T131" s="1104"/>
    </row>
    <row r="132" spans="1:20" s="1108" customFormat="1" hidden="1">
      <c r="A132" s="1085"/>
      <c r="B132" s="1322" t="s">
        <v>4489</v>
      </c>
      <c r="C132" s="1085" t="e">
        <f>#REF!</f>
        <v>#REF!</v>
      </c>
      <c r="D132" s="1108" t="s">
        <v>303</v>
      </c>
      <c r="E132" s="1240"/>
      <c r="F132" s="1097" t="e">
        <f t="shared" si="65"/>
        <v>#REF!</v>
      </c>
      <c r="G132" s="1103"/>
      <c r="H132" s="1096" t="e">
        <f t="shared" si="66"/>
        <v>#REF!</v>
      </c>
      <c r="I132" s="1103"/>
      <c r="J132" s="1096" t="e">
        <f t="shared" si="67"/>
        <v>#REF!</v>
      </c>
      <c r="K132" s="1096"/>
      <c r="L132" s="1096" t="e">
        <f t="shared" si="68"/>
        <v>#REF!</v>
      </c>
      <c r="M132" s="1103"/>
      <c r="N132" s="1096" t="e">
        <f t="shared" si="69"/>
        <v>#REF!</v>
      </c>
      <c r="O132" s="1098">
        <f t="shared" si="64"/>
        <v>0</v>
      </c>
      <c r="P132" s="1096" t="e">
        <f t="shared" si="70"/>
        <v>#REF!</v>
      </c>
      <c r="Q132" s="1098">
        <f t="shared" si="71"/>
        <v>0</v>
      </c>
      <c r="R132" s="1096" t="e">
        <f t="shared" si="72"/>
        <v>#REF!</v>
      </c>
      <c r="S132" s="1107"/>
      <c r="T132" s="1104"/>
    </row>
    <row r="133" spans="1:20" s="1108" customFormat="1" hidden="1">
      <c r="A133" s="1085"/>
      <c r="B133" s="1323" t="s">
        <v>4490</v>
      </c>
      <c r="C133" s="1085" t="e">
        <f>#REF!</f>
        <v>#REF!</v>
      </c>
      <c r="D133" s="1108" t="s">
        <v>340</v>
      </c>
      <c r="E133" s="1240"/>
      <c r="F133" s="1097" t="e">
        <f t="shared" si="65"/>
        <v>#REF!</v>
      </c>
      <c r="G133" s="1103"/>
      <c r="H133" s="1096" t="e">
        <f t="shared" si="66"/>
        <v>#REF!</v>
      </c>
      <c r="I133" s="1103"/>
      <c r="J133" s="1096" t="e">
        <f t="shared" si="67"/>
        <v>#REF!</v>
      </c>
      <c r="K133" s="1096"/>
      <c r="L133" s="1096" t="e">
        <f t="shared" si="68"/>
        <v>#REF!</v>
      </c>
      <c r="M133" s="1103"/>
      <c r="N133" s="1096" t="e">
        <f t="shared" si="69"/>
        <v>#REF!</v>
      </c>
      <c r="O133" s="1098">
        <f t="shared" si="64"/>
        <v>0</v>
      </c>
      <c r="P133" s="1096" t="e">
        <f t="shared" si="70"/>
        <v>#REF!</v>
      </c>
      <c r="Q133" s="1098">
        <f t="shared" si="71"/>
        <v>0</v>
      </c>
      <c r="R133" s="1096" t="e">
        <f t="shared" si="72"/>
        <v>#REF!</v>
      </c>
      <c r="S133" s="1107"/>
      <c r="T133" s="1104"/>
    </row>
    <row r="134" spans="1:20" s="1108" customFormat="1" hidden="1">
      <c r="A134" s="1085"/>
      <c r="B134" s="1322" t="s">
        <v>4491</v>
      </c>
      <c r="C134" s="1085" t="e">
        <f>#REF!</f>
        <v>#REF!</v>
      </c>
      <c r="D134" s="1108" t="s">
        <v>306</v>
      </c>
      <c r="E134" s="1240"/>
      <c r="F134" s="1097" t="e">
        <f t="shared" si="65"/>
        <v>#REF!</v>
      </c>
      <c r="G134" s="1103"/>
      <c r="H134" s="1096" t="e">
        <f t="shared" si="66"/>
        <v>#REF!</v>
      </c>
      <c r="I134" s="1103"/>
      <c r="J134" s="1096" t="e">
        <f t="shared" si="67"/>
        <v>#REF!</v>
      </c>
      <c r="K134" s="1096"/>
      <c r="L134" s="1096" t="e">
        <f t="shared" si="68"/>
        <v>#REF!</v>
      </c>
      <c r="M134" s="1103"/>
      <c r="N134" s="1096" t="e">
        <f t="shared" si="69"/>
        <v>#REF!</v>
      </c>
      <c r="O134" s="1098">
        <f t="shared" si="64"/>
        <v>0</v>
      </c>
      <c r="P134" s="1096" t="e">
        <f t="shared" si="70"/>
        <v>#REF!</v>
      </c>
      <c r="Q134" s="1098">
        <f t="shared" si="71"/>
        <v>0</v>
      </c>
      <c r="R134" s="1096" t="e">
        <f t="shared" si="72"/>
        <v>#REF!</v>
      </c>
      <c r="S134" s="1107"/>
      <c r="T134" s="1104"/>
    </row>
    <row r="135" spans="1:20" s="1108" customFormat="1" hidden="1">
      <c r="A135" s="1085"/>
      <c r="B135" s="1322" t="s">
        <v>4492</v>
      </c>
      <c r="C135" s="1085" t="e">
        <f>#REF!</f>
        <v>#REF!</v>
      </c>
      <c r="D135" s="1108" t="s">
        <v>306</v>
      </c>
      <c r="E135" s="1240"/>
      <c r="F135" s="1097" t="e">
        <f t="shared" si="65"/>
        <v>#REF!</v>
      </c>
      <c r="G135" s="1103"/>
      <c r="H135" s="1096" t="e">
        <f t="shared" si="66"/>
        <v>#REF!</v>
      </c>
      <c r="I135" s="1103"/>
      <c r="J135" s="1096" t="e">
        <f t="shared" si="67"/>
        <v>#REF!</v>
      </c>
      <c r="K135" s="1096"/>
      <c r="L135" s="1096" t="e">
        <f t="shared" si="68"/>
        <v>#REF!</v>
      </c>
      <c r="M135" s="1103"/>
      <c r="N135" s="1096" t="e">
        <f t="shared" si="69"/>
        <v>#REF!</v>
      </c>
      <c r="O135" s="1098">
        <f t="shared" si="64"/>
        <v>0</v>
      </c>
      <c r="P135" s="1096" t="e">
        <f t="shared" si="70"/>
        <v>#REF!</v>
      </c>
      <c r="Q135" s="1098">
        <f t="shared" si="71"/>
        <v>0</v>
      </c>
      <c r="R135" s="1096" t="e">
        <f t="shared" si="72"/>
        <v>#REF!</v>
      </c>
      <c r="S135" s="1107"/>
      <c r="T135" s="1104"/>
    </row>
    <row r="136" spans="1:20" s="1108" customFormat="1" hidden="1">
      <c r="A136" s="1085"/>
      <c r="B136" s="1322" t="s">
        <v>4493</v>
      </c>
      <c r="C136" s="1085" t="e">
        <f>#REF!</f>
        <v>#REF!</v>
      </c>
      <c r="D136" s="1108" t="s">
        <v>306</v>
      </c>
      <c r="E136" s="1240"/>
      <c r="F136" s="1097" t="e">
        <f t="shared" si="65"/>
        <v>#REF!</v>
      </c>
      <c r="G136" s="1103"/>
      <c r="H136" s="1096" t="e">
        <f t="shared" si="66"/>
        <v>#REF!</v>
      </c>
      <c r="I136" s="1103"/>
      <c r="J136" s="1096" t="e">
        <f t="shared" si="67"/>
        <v>#REF!</v>
      </c>
      <c r="K136" s="1096"/>
      <c r="L136" s="1096" t="e">
        <f t="shared" si="68"/>
        <v>#REF!</v>
      </c>
      <c r="M136" s="1103"/>
      <c r="N136" s="1096" t="e">
        <f t="shared" si="69"/>
        <v>#REF!</v>
      </c>
      <c r="O136" s="1098">
        <f t="shared" si="64"/>
        <v>0</v>
      </c>
      <c r="P136" s="1096" t="e">
        <f t="shared" si="70"/>
        <v>#REF!</v>
      </c>
      <c r="Q136" s="1098">
        <f t="shared" si="71"/>
        <v>0</v>
      </c>
      <c r="R136" s="1096" t="e">
        <f t="shared" si="72"/>
        <v>#REF!</v>
      </c>
      <c r="S136" s="1107"/>
      <c r="T136" s="1104"/>
    </row>
    <row r="137" spans="1:20" s="1108" customFormat="1" hidden="1">
      <c r="A137" s="1085"/>
      <c r="B137" s="1322" t="s">
        <v>4494</v>
      </c>
      <c r="C137" s="1085" t="e">
        <f>#REF!</f>
        <v>#REF!</v>
      </c>
      <c r="D137" s="1108" t="s">
        <v>306</v>
      </c>
      <c r="E137" s="1240"/>
      <c r="F137" s="1097" t="e">
        <f t="shared" si="65"/>
        <v>#REF!</v>
      </c>
      <c r="G137" s="1103"/>
      <c r="H137" s="1096" t="e">
        <f t="shared" si="66"/>
        <v>#REF!</v>
      </c>
      <c r="I137" s="1103"/>
      <c r="J137" s="1096" t="e">
        <f t="shared" si="67"/>
        <v>#REF!</v>
      </c>
      <c r="K137" s="1096"/>
      <c r="L137" s="1096" t="e">
        <f t="shared" si="68"/>
        <v>#REF!</v>
      </c>
      <c r="M137" s="1103"/>
      <c r="N137" s="1096" t="e">
        <f t="shared" si="69"/>
        <v>#REF!</v>
      </c>
      <c r="O137" s="1098">
        <f t="shared" si="64"/>
        <v>0</v>
      </c>
      <c r="P137" s="1096" t="e">
        <f t="shared" si="70"/>
        <v>#REF!</v>
      </c>
      <c r="Q137" s="1098">
        <f t="shared" si="71"/>
        <v>0</v>
      </c>
      <c r="R137" s="1096" t="e">
        <f t="shared" si="72"/>
        <v>#REF!</v>
      </c>
      <c r="S137" s="1107"/>
      <c r="T137" s="1104"/>
    </row>
    <row r="138" spans="1:20" s="1108" customFormat="1" hidden="1">
      <c r="A138" s="1085"/>
      <c r="B138" s="1322" t="s">
        <v>4495</v>
      </c>
      <c r="C138" s="1085" t="e">
        <f>#REF!</f>
        <v>#REF!</v>
      </c>
      <c r="D138" s="1108" t="s">
        <v>306</v>
      </c>
      <c r="E138" s="1240"/>
      <c r="F138" s="1097" t="e">
        <f t="shared" si="65"/>
        <v>#REF!</v>
      </c>
      <c r="G138" s="1103"/>
      <c r="H138" s="1096" t="e">
        <f t="shared" si="66"/>
        <v>#REF!</v>
      </c>
      <c r="I138" s="1103"/>
      <c r="J138" s="1096" t="e">
        <f t="shared" si="67"/>
        <v>#REF!</v>
      </c>
      <c r="K138" s="1096"/>
      <c r="L138" s="1096" t="e">
        <f t="shared" si="68"/>
        <v>#REF!</v>
      </c>
      <c r="M138" s="1103"/>
      <c r="N138" s="1096" t="e">
        <f t="shared" si="69"/>
        <v>#REF!</v>
      </c>
      <c r="O138" s="1098">
        <f t="shared" si="64"/>
        <v>0</v>
      </c>
      <c r="P138" s="1096" t="e">
        <f t="shared" si="70"/>
        <v>#REF!</v>
      </c>
      <c r="Q138" s="1098">
        <f t="shared" si="71"/>
        <v>0</v>
      </c>
      <c r="R138" s="1096" t="e">
        <f t="shared" si="72"/>
        <v>#REF!</v>
      </c>
      <c r="S138" s="1107"/>
      <c r="T138" s="1104"/>
    </row>
    <row r="139" spans="1:20" s="1108" customFormat="1" hidden="1">
      <c r="A139" s="1085"/>
      <c r="B139" s="1322" t="s">
        <v>4496</v>
      </c>
      <c r="C139" s="1085" t="e">
        <f>#REF!</f>
        <v>#REF!</v>
      </c>
      <c r="D139" s="1108" t="s">
        <v>306</v>
      </c>
      <c r="E139" s="1240"/>
      <c r="F139" s="1097" t="e">
        <f t="shared" si="65"/>
        <v>#REF!</v>
      </c>
      <c r="G139" s="1103"/>
      <c r="H139" s="1096" t="e">
        <f t="shared" si="66"/>
        <v>#REF!</v>
      </c>
      <c r="I139" s="1103"/>
      <c r="J139" s="1096" t="e">
        <f t="shared" si="67"/>
        <v>#REF!</v>
      </c>
      <c r="K139" s="1096"/>
      <c r="L139" s="1096" t="e">
        <f t="shared" si="68"/>
        <v>#REF!</v>
      </c>
      <c r="M139" s="1103"/>
      <c r="N139" s="1096" t="e">
        <f t="shared" si="69"/>
        <v>#REF!</v>
      </c>
      <c r="O139" s="1098">
        <f t="shared" si="64"/>
        <v>0</v>
      </c>
      <c r="P139" s="1096" t="e">
        <f t="shared" si="70"/>
        <v>#REF!</v>
      </c>
      <c r="Q139" s="1098">
        <f t="shared" si="71"/>
        <v>0</v>
      </c>
      <c r="R139" s="1096" t="e">
        <f t="shared" si="72"/>
        <v>#REF!</v>
      </c>
      <c r="S139" s="1107"/>
      <c r="T139" s="1104"/>
    </row>
    <row r="140" spans="1:20" s="1108" customFormat="1" ht="46.5" hidden="1">
      <c r="A140" s="1085"/>
      <c r="B140" s="1270" t="s">
        <v>2659</v>
      </c>
      <c r="C140" s="1085" t="e">
        <f>#REF!</f>
        <v>#REF!</v>
      </c>
      <c r="D140" s="1108" t="s">
        <v>306</v>
      </c>
      <c r="E140" s="1240"/>
      <c r="F140" s="1097" t="e">
        <f t="shared" si="65"/>
        <v>#REF!</v>
      </c>
      <c r="G140" s="1103"/>
      <c r="H140" s="1096" t="e">
        <f t="shared" si="66"/>
        <v>#REF!</v>
      </c>
      <c r="I140" s="1103"/>
      <c r="J140" s="1096" t="e">
        <f t="shared" si="67"/>
        <v>#REF!</v>
      </c>
      <c r="K140" s="1096"/>
      <c r="L140" s="1096" t="e">
        <f t="shared" si="68"/>
        <v>#REF!</v>
      </c>
      <c r="M140" s="1103"/>
      <c r="N140" s="1096" t="e">
        <f t="shared" si="69"/>
        <v>#REF!</v>
      </c>
      <c r="O140" s="1098">
        <f t="shared" si="64"/>
        <v>0</v>
      </c>
      <c r="P140" s="1096" t="e">
        <f t="shared" si="70"/>
        <v>#REF!</v>
      </c>
      <c r="Q140" s="1098">
        <f t="shared" si="71"/>
        <v>0</v>
      </c>
      <c r="R140" s="1096" t="e">
        <f t="shared" si="72"/>
        <v>#REF!</v>
      </c>
      <c r="S140" s="1107"/>
      <c r="T140" s="1104"/>
    </row>
    <row r="141" spans="1:20" s="1108" customFormat="1" hidden="1">
      <c r="A141" s="1085"/>
      <c r="B141" s="1322" t="s">
        <v>4497</v>
      </c>
      <c r="C141" s="1085" t="e">
        <f>#REF!</f>
        <v>#REF!</v>
      </c>
      <c r="E141" s="1240"/>
      <c r="F141" s="1097" t="e">
        <f t="shared" si="65"/>
        <v>#REF!</v>
      </c>
      <c r="G141" s="1103"/>
      <c r="H141" s="1096" t="e">
        <f t="shared" si="66"/>
        <v>#REF!</v>
      </c>
      <c r="I141" s="1103"/>
      <c r="J141" s="1096" t="e">
        <f t="shared" si="67"/>
        <v>#REF!</v>
      </c>
      <c r="K141" s="1096"/>
      <c r="L141" s="1096" t="e">
        <f t="shared" si="68"/>
        <v>#REF!</v>
      </c>
      <c r="M141" s="1103"/>
      <c r="N141" s="1096" t="e">
        <f t="shared" si="69"/>
        <v>#REF!</v>
      </c>
      <c r="O141" s="1098">
        <f t="shared" si="64"/>
        <v>0</v>
      </c>
      <c r="P141" s="1096" t="e">
        <f t="shared" si="70"/>
        <v>#REF!</v>
      </c>
      <c r="Q141" s="1098">
        <f t="shared" si="71"/>
        <v>0</v>
      </c>
      <c r="R141" s="1096" t="e">
        <f t="shared" si="72"/>
        <v>#REF!</v>
      </c>
      <c r="S141" s="1107"/>
      <c r="T141" s="1104"/>
    </row>
    <row r="142" spans="1:20" s="1108" customFormat="1" hidden="1">
      <c r="A142" s="1085"/>
      <c r="B142" s="1322" t="s">
        <v>4498</v>
      </c>
      <c r="C142" s="1085" t="e">
        <f>#REF!</f>
        <v>#REF!</v>
      </c>
      <c r="E142" s="1240"/>
      <c r="F142" s="1097" t="e">
        <f t="shared" si="65"/>
        <v>#REF!</v>
      </c>
      <c r="G142" s="1103"/>
      <c r="H142" s="1096" t="e">
        <f t="shared" si="66"/>
        <v>#REF!</v>
      </c>
      <c r="I142" s="1103"/>
      <c r="J142" s="1096" t="e">
        <f t="shared" si="67"/>
        <v>#REF!</v>
      </c>
      <c r="K142" s="1096"/>
      <c r="L142" s="1096" t="e">
        <f t="shared" si="68"/>
        <v>#REF!</v>
      </c>
      <c r="M142" s="1103"/>
      <c r="N142" s="1096" t="e">
        <f t="shared" si="69"/>
        <v>#REF!</v>
      </c>
      <c r="O142" s="1098">
        <f t="shared" si="64"/>
        <v>0</v>
      </c>
      <c r="P142" s="1096" t="e">
        <f t="shared" si="70"/>
        <v>#REF!</v>
      </c>
      <c r="Q142" s="1098">
        <f t="shared" si="71"/>
        <v>0</v>
      </c>
      <c r="R142" s="1096" t="e">
        <f t="shared" si="72"/>
        <v>#REF!</v>
      </c>
      <c r="S142" s="1107"/>
      <c r="T142" s="1104"/>
    </row>
    <row r="143" spans="1:20" s="1108" customFormat="1" hidden="1">
      <c r="A143" s="1085"/>
      <c r="B143" s="1322" t="s">
        <v>4499</v>
      </c>
      <c r="C143" s="1085" t="e">
        <f>#REF!</f>
        <v>#REF!</v>
      </c>
      <c r="E143" s="1240"/>
      <c r="F143" s="1097" t="e">
        <f t="shared" si="65"/>
        <v>#REF!</v>
      </c>
      <c r="G143" s="1103"/>
      <c r="H143" s="1096" t="e">
        <f t="shared" si="66"/>
        <v>#REF!</v>
      </c>
      <c r="I143" s="1103"/>
      <c r="J143" s="1096" t="e">
        <f t="shared" si="67"/>
        <v>#REF!</v>
      </c>
      <c r="K143" s="1096"/>
      <c r="L143" s="1096" t="e">
        <f t="shared" si="68"/>
        <v>#REF!</v>
      </c>
      <c r="M143" s="1103"/>
      <c r="N143" s="1096" t="e">
        <f t="shared" si="69"/>
        <v>#REF!</v>
      </c>
      <c r="O143" s="1098">
        <f t="shared" si="64"/>
        <v>0</v>
      </c>
      <c r="P143" s="1096" t="e">
        <f t="shared" si="70"/>
        <v>#REF!</v>
      </c>
      <c r="Q143" s="1098">
        <f t="shared" si="71"/>
        <v>0</v>
      </c>
      <c r="R143" s="1096" t="e">
        <f t="shared" si="72"/>
        <v>#REF!</v>
      </c>
      <c r="S143" s="1107"/>
      <c r="T143" s="1104"/>
    </row>
    <row r="144" spans="1:20" s="1108" customFormat="1" hidden="1">
      <c r="A144" s="1085"/>
      <c r="B144" s="1322" t="s">
        <v>4500</v>
      </c>
      <c r="C144" s="1085" t="e">
        <f>#REF!</f>
        <v>#REF!</v>
      </c>
      <c r="E144" s="1240"/>
      <c r="F144" s="1097" t="e">
        <f t="shared" si="65"/>
        <v>#REF!</v>
      </c>
      <c r="G144" s="1103"/>
      <c r="H144" s="1096" t="e">
        <f t="shared" si="66"/>
        <v>#REF!</v>
      </c>
      <c r="I144" s="1103"/>
      <c r="J144" s="1096" t="e">
        <f t="shared" si="67"/>
        <v>#REF!</v>
      </c>
      <c r="K144" s="1096"/>
      <c r="L144" s="1096" t="e">
        <f t="shared" si="68"/>
        <v>#REF!</v>
      </c>
      <c r="M144" s="1103"/>
      <c r="N144" s="1096" t="e">
        <f t="shared" si="69"/>
        <v>#REF!</v>
      </c>
      <c r="O144" s="1098">
        <f t="shared" si="64"/>
        <v>0</v>
      </c>
      <c r="P144" s="1096" t="e">
        <f t="shared" si="70"/>
        <v>#REF!</v>
      </c>
      <c r="Q144" s="1098">
        <f t="shared" si="71"/>
        <v>0</v>
      </c>
      <c r="R144" s="1096" t="e">
        <f t="shared" si="72"/>
        <v>#REF!</v>
      </c>
      <c r="S144" s="1107"/>
      <c r="T144" s="1104"/>
    </row>
    <row r="145" spans="1:20" s="1108" customFormat="1" ht="69.75" hidden="1">
      <c r="A145" s="1085"/>
      <c r="B145" s="1270" t="s">
        <v>4501</v>
      </c>
      <c r="C145" s="1085" t="e">
        <f>#REF!</f>
        <v>#REF!</v>
      </c>
      <c r="E145" s="1240"/>
      <c r="F145" s="1097" t="e">
        <f t="shared" si="65"/>
        <v>#REF!</v>
      </c>
      <c r="G145" s="1103"/>
      <c r="H145" s="1096" t="e">
        <f t="shared" si="66"/>
        <v>#REF!</v>
      </c>
      <c r="I145" s="1103"/>
      <c r="J145" s="1096" t="e">
        <f t="shared" si="67"/>
        <v>#REF!</v>
      </c>
      <c r="K145" s="1096"/>
      <c r="L145" s="1096" t="e">
        <f t="shared" si="68"/>
        <v>#REF!</v>
      </c>
      <c r="M145" s="1103"/>
      <c r="N145" s="1096" t="e">
        <f t="shared" si="69"/>
        <v>#REF!</v>
      </c>
      <c r="O145" s="1098">
        <f t="shared" si="64"/>
        <v>0</v>
      </c>
      <c r="P145" s="1096" t="e">
        <f t="shared" si="70"/>
        <v>#REF!</v>
      </c>
      <c r="Q145" s="1098">
        <f t="shared" si="71"/>
        <v>0</v>
      </c>
      <c r="R145" s="1096" t="e">
        <f t="shared" si="72"/>
        <v>#REF!</v>
      </c>
      <c r="S145" s="1107"/>
      <c r="T145" s="1104"/>
    </row>
    <row r="146" spans="1:20" s="1108" customFormat="1" ht="69.75" hidden="1">
      <c r="A146" s="1085"/>
      <c r="B146" s="1270" t="s">
        <v>4502</v>
      </c>
      <c r="C146" s="1085" t="e">
        <f>#REF!</f>
        <v>#REF!</v>
      </c>
      <c r="E146" s="1240"/>
      <c r="F146" s="1097" t="e">
        <f t="shared" si="65"/>
        <v>#REF!</v>
      </c>
      <c r="G146" s="1103"/>
      <c r="H146" s="1096" t="e">
        <f t="shared" si="66"/>
        <v>#REF!</v>
      </c>
      <c r="I146" s="1103"/>
      <c r="J146" s="1096" t="e">
        <f t="shared" si="67"/>
        <v>#REF!</v>
      </c>
      <c r="K146" s="1096"/>
      <c r="L146" s="1096" t="e">
        <f t="shared" si="68"/>
        <v>#REF!</v>
      </c>
      <c r="M146" s="1103"/>
      <c r="N146" s="1096" t="e">
        <f t="shared" si="69"/>
        <v>#REF!</v>
      </c>
      <c r="O146" s="1098">
        <f t="shared" si="64"/>
        <v>0</v>
      </c>
      <c r="P146" s="1096" t="e">
        <f t="shared" si="70"/>
        <v>#REF!</v>
      </c>
      <c r="Q146" s="1098">
        <f t="shared" si="71"/>
        <v>0</v>
      </c>
      <c r="R146" s="1096" t="e">
        <f t="shared" si="72"/>
        <v>#REF!</v>
      </c>
      <c r="S146" s="1107"/>
      <c r="T146" s="1104"/>
    </row>
    <row r="147" spans="1:20" s="1108" customFormat="1" ht="46.5" hidden="1">
      <c r="A147" s="1085"/>
      <c r="B147" s="1270" t="s">
        <v>4503</v>
      </c>
      <c r="C147" s="1085" t="e">
        <f>#REF!</f>
        <v>#REF!</v>
      </c>
      <c r="E147" s="1240"/>
      <c r="F147" s="1097" t="e">
        <f t="shared" si="65"/>
        <v>#REF!</v>
      </c>
      <c r="G147" s="1103"/>
      <c r="H147" s="1096" t="e">
        <f t="shared" si="66"/>
        <v>#REF!</v>
      </c>
      <c r="I147" s="1103"/>
      <c r="J147" s="1096" t="e">
        <f t="shared" si="67"/>
        <v>#REF!</v>
      </c>
      <c r="K147" s="1096"/>
      <c r="L147" s="1096" t="e">
        <f t="shared" si="68"/>
        <v>#REF!</v>
      </c>
      <c r="M147" s="1103"/>
      <c r="N147" s="1096" t="e">
        <f t="shared" si="69"/>
        <v>#REF!</v>
      </c>
      <c r="O147" s="1098">
        <f t="shared" si="64"/>
        <v>0</v>
      </c>
      <c r="P147" s="1096" t="e">
        <f t="shared" si="70"/>
        <v>#REF!</v>
      </c>
      <c r="Q147" s="1098">
        <f t="shared" si="71"/>
        <v>0</v>
      </c>
      <c r="R147" s="1096" t="e">
        <f t="shared" si="72"/>
        <v>#REF!</v>
      </c>
      <c r="S147" s="1107"/>
      <c r="T147" s="1104"/>
    </row>
    <row r="148" spans="1:20" s="1108" customFormat="1" ht="69.75" hidden="1">
      <c r="A148" s="1085"/>
      <c r="B148" s="1270" t="s">
        <v>4504</v>
      </c>
      <c r="C148" s="1085" t="e">
        <f>#REF!</f>
        <v>#REF!</v>
      </c>
      <c r="E148" s="1240"/>
      <c r="F148" s="1097" t="e">
        <f t="shared" si="65"/>
        <v>#REF!</v>
      </c>
      <c r="G148" s="1103"/>
      <c r="H148" s="1096" t="e">
        <f t="shared" si="66"/>
        <v>#REF!</v>
      </c>
      <c r="I148" s="1103"/>
      <c r="J148" s="1096" t="e">
        <f t="shared" si="67"/>
        <v>#REF!</v>
      </c>
      <c r="K148" s="1096"/>
      <c r="L148" s="1096" t="e">
        <f t="shared" si="68"/>
        <v>#REF!</v>
      </c>
      <c r="M148" s="1103"/>
      <c r="N148" s="1096" t="e">
        <f t="shared" si="69"/>
        <v>#REF!</v>
      </c>
      <c r="O148" s="1098">
        <f t="shared" si="64"/>
        <v>0</v>
      </c>
      <c r="P148" s="1096" t="e">
        <f t="shared" si="70"/>
        <v>#REF!</v>
      </c>
      <c r="Q148" s="1098">
        <f t="shared" si="71"/>
        <v>0</v>
      </c>
      <c r="R148" s="1096" t="e">
        <f t="shared" si="72"/>
        <v>#REF!</v>
      </c>
      <c r="S148" s="1107"/>
      <c r="T148" s="1104"/>
    </row>
    <row r="149" spans="1:20" s="1108" customFormat="1" hidden="1">
      <c r="A149" s="1085"/>
      <c r="B149" s="1270" t="s">
        <v>4505</v>
      </c>
      <c r="C149" s="1085" t="e">
        <f>#REF!</f>
        <v>#REF!</v>
      </c>
      <c r="E149" s="1240"/>
      <c r="F149" s="1097" t="e">
        <f t="shared" si="65"/>
        <v>#REF!</v>
      </c>
      <c r="G149" s="1103"/>
      <c r="H149" s="1096" t="e">
        <f t="shared" si="66"/>
        <v>#REF!</v>
      </c>
      <c r="I149" s="1103"/>
      <c r="J149" s="1096" t="e">
        <f t="shared" si="67"/>
        <v>#REF!</v>
      </c>
      <c r="K149" s="1096"/>
      <c r="L149" s="1096" t="e">
        <f t="shared" si="68"/>
        <v>#REF!</v>
      </c>
      <c r="M149" s="1103"/>
      <c r="N149" s="1096" t="e">
        <f t="shared" si="69"/>
        <v>#REF!</v>
      </c>
      <c r="O149" s="1098">
        <f t="shared" si="64"/>
        <v>0</v>
      </c>
      <c r="P149" s="1096" t="e">
        <f t="shared" si="70"/>
        <v>#REF!</v>
      </c>
      <c r="Q149" s="1098">
        <f t="shared" si="71"/>
        <v>0</v>
      </c>
      <c r="R149" s="1096" t="e">
        <f t="shared" si="72"/>
        <v>#REF!</v>
      </c>
      <c r="S149" s="1107"/>
      <c r="T149" s="1104"/>
    </row>
    <row r="150" spans="1:20" s="1108" customFormat="1" hidden="1">
      <c r="A150" s="1085"/>
      <c r="B150" s="1270" t="s">
        <v>4506</v>
      </c>
      <c r="C150" s="1085" t="e">
        <f>#REF!</f>
        <v>#REF!</v>
      </c>
      <c r="E150" s="1240"/>
      <c r="F150" s="1097" t="e">
        <f t="shared" si="65"/>
        <v>#REF!</v>
      </c>
      <c r="G150" s="1103"/>
      <c r="H150" s="1096" t="e">
        <f t="shared" si="66"/>
        <v>#REF!</v>
      </c>
      <c r="I150" s="1103"/>
      <c r="J150" s="1096" t="e">
        <f t="shared" si="67"/>
        <v>#REF!</v>
      </c>
      <c r="K150" s="1096"/>
      <c r="L150" s="1096" t="e">
        <f t="shared" si="68"/>
        <v>#REF!</v>
      </c>
      <c r="M150" s="1103"/>
      <c r="N150" s="1096" t="e">
        <f t="shared" si="69"/>
        <v>#REF!</v>
      </c>
      <c r="O150" s="1098">
        <f t="shared" si="64"/>
        <v>0</v>
      </c>
      <c r="P150" s="1096" t="e">
        <f t="shared" si="70"/>
        <v>#REF!</v>
      </c>
      <c r="Q150" s="1098">
        <f t="shared" si="71"/>
        <v>0</v>
      </c>
      <c r="R150" s="1096" t="e">
        <f t="shared" si="72"/>
        <v>#REF!</v>
      </c>
      <c r="S150" s="1107"/>
      <c r="T150" s="1104"/>
    </row>
    <row r="151" spans="1:20" s="1108" customFormat="1" hidden="1">
      <c r="A151" s="1085"/>
      <c r="B151" s="1270" t="s">
        <v>4507</v>
      </c>
      <c r="C151" s="1085" t="e">
        <f>#REF!</f>
        <v>#REF!</v>
      </c>
      <c r="E151" s="1240"/>
      <c r="F151" s="1097" t="e">
        <f t="shared" si="65"/>
        <v>#REF!</v>
      </c>
      <c r="G151" s="1103"/>
      <c r="H151" s="1096" t="e">
        <f t="shared" si="66"/>
        <v>#REF!</v>
      </c>
      <c r="I151" s="1103"/>
      <c r="J151" s="1096" t="e">
        <f t="shared" si="67"/>
        <v>#REF!</v>
      </c>
      <c r="K151" s="1096"/>
      <c r="L151" s="1096" t="e">
        <f t="shared" si="68"/>
        <v>#REF!</v>
      </c>
      <c r="M151" s="1103"/>
      <c r="N151" s="1096" t="e">
        <f t="shared" si="69"/>
        <v>#REF!</v>
      </c>
      <c r="O151" s="1098">
        <f t="shared" si="64"/>
        <v>0</v>
      </c>
      <c r="P151" s="1096" t="e">
        <f t="shared" si="70"/>
        <v>#REF!</v>
      </c>
      <c r="Q151" s="1098">
        <f t="shared" si="71"/>
        <v>0</v>
      </c>
      <c r="R151" s="1096" t="e">
        <f t="shared" si="72"/>
        <v>#REF!</v>
      </c>
      <c r="S151" s="1107"/>
      <c r="T151" s="1104"/>
    </row>
    <row r="152" spans="1:20" s="1108" customFormat="1" ht="93" hidden="1">
      <c r="A152" s="1085"/>
      <c r="B152" s="1270" t="s">
        <v>4508</v>
      </c>
      <c r="C152" s="1085" t="e">
        <f>#REF!</f>
        <v>#REF!</v>
      </c>
      <c r="E152" s="1240"/>
      <c r="F152" s="1097" t="e">
        <f t="shared" si="65"/>
        <v>#REF!</v>
      </c>
      <c r="G152" s="1103"/>
      <c r="H152" s="1096" t="e">
        <f t="shared" si="66"/>
        <v>#REF!</v>
      </c>
      <c r="I152" s="1103"/>
      <c r="J152" s="1096" t="e">
        <f t="shared" si="67"/>
        <v>#REF!</v>
      </c>
      <c r="K152" s="1096"/>
      <c r="L152" s="1096" t="e">
        <f t="shared" si="68"/>
        <v>#REF!</v>
      </c>
      <c r="M152" s="1103"/>
      <c r="N152" s="1096" t="e">
        <f t="shared" si="69"/>
        <v>#REF!</v>
      </c>
      <c r="O152" s="1098">
        <f t="shared" si="64"/>
        <v>0</v>
      </c>
      <c r="P152" s="1096" t="e">
        <f t="shared" si="70"/>
        <v>#REF!</v>
      </c>
      <c r="Q152" s="1098">
        <f t="shared" si="71"/>
        <v>0</v>
      </c>
      <c r="R152" s="1096" t="e">
        <f t="shared" si="72"/>
        <v>#REF!</v>
      </c>
      <c r="S152" s="1107"/>
      <c r="T152" s="1104"/>
    </row>
    <row r="153" spans="1:20" s="1108" customFormat="1" ht="93" hidden="1">
      <c r="A153" s="1085"/>
      <c r="B153" s="1270" t="s">
        <v>4509</v>
      </c>
      <c r="C153" s="1085" t="e">
        <f>#REF!</f>
        <v>#REF!</v>
      </c>
      <c r="E153" s="1240"/>
      <c r="F153" s="1097" t="e">
        <f t="shared" si="65"/>
        <v>#REF!</v>
      </c>
      <c r="G153" s="1103"/>
      <c r="H153" s="1096" t="e">
        <f t="shared" si="66"/>
        <v>#REF!</v>
      </c>
      <c r="I153" s="1103"/>
      <c r="J153" s="1096" t="e">
        <f t="shared" si="67"/>
        <v>#REF!</v>
      </c>
      <c r="K153" s="1096"/>
      <c r="L153" s="1096" t="e">
        <f t="shared" si="68"/>
        <v>#REF!</v>
      </c>
      <c r="M153" s="1103"/>
      <c r="N153" s="1096" t="e">
        <f t="shared" si="69"/>
        <v>#REF!</v>
      </c>
      <c r="O153" s="1098">
        <f t="shared" si="64"/>
        <v>0</v>
      </c>
      <c r="P153" s="1096" t="e">
        <f t="shared" si="70"/>
        <v>#REF!</v>
      </c>
      <c r="Q153" s="1098">
        <f t="shared" si="71"/>
        <v>0</v>
      </c>
      <c r="R153" s="1096" t="e">
        <f t="shared" si="72"/>
        <v>#REF!</v>
      </c>
      <c r="S153" s="1107"/>
      <c r="T153" s="1104"/>
    </row>
    <row r="154" spans="1:20" s="1108" customFormat="1" ht="69.75" hidden="1">
      <c r="A154" s="1085"/>
      <c r="B154" s="1270" t="s">
        <v>4510</v>
      </c>
      <c r="C154" s="1085" t="e">
        <f>#REF!</f>
        <v>#REF!</v>
      </c>
      <c r="E154" s="1240"/>
      <c r="F154" s="1097" t="e">
        <f t="shared" si="65"/>
        <v>#REF!</v>
      </c>
      <c r="G154" s="1103"/>
      <c r="H154" s="1096" t="e">
        <f t="shared" si="66"/>
        <v>#REF!</v>
      </c>
      <c r="I154" s="1103"/>
      <c r="J154" s="1096" t="e">
        <f t="shared" si="67"/>
        <v>#REF!</v>
      </c>
      <c r="K154" s="1096"/>
      <c r="L154" s="1096" t="e">
        <f t="shared" si="68"/>
        <v>#REF!</v>
      </c>
      <c r="M154" s="1103"/>
      <c r="N154" s="1096" t="e">
        <f t="shared" si="69"/>
        <v>#REF!</v>
      </c>
      <c r="O154" s="1098">
        <f t="shared" si="64"/>
        <v>0</v>
      </c>
      <c r="P154" s="1096" t="e">
        <f t="shared" si="70"/>
        <v>#REF!</v>
      </c>
      <c r="Q154" s="1098">
        <f t="shared" si="71"/>
        <v>0</v>
      </c>
      <c r="R154" s="1096" t="e">
        <f t="shared" si="72"/>
        <v>#REF!</v>
      </c>
      <c r="S154" s="1107"/>
      <c r="T154" s="1104"/>
    </row>
    <row r="155" spans="1:20" s="1108" customFormat="1" ht="69.75" hidden="1">
      <c r="A155" s="1085"/>
      <c r="B155" s="1270" t="s">
        <v>4511</v>
      </c>
      <c r="C155" s="1085" t="e">
        <f>#REF!</f>
        <v>#REF!</v>
      </c>
      <c r="E155" s="1240"/>
      <c r="F155" s="1097" t="e">
        <f t="shared" si="65"/>
        <v>#REF!</v>
      </c>
      <c r="G155" s="1103"/>
      <c r="H155" s="1096" t="e">
        <f t="shared" si="66"/>
        <v>#REF!</v>
      </c>
      <c r="I155" s="1103"/>
      <c r="J155" s="1096" t="e">
        <f t="shared" si="67"/>
        <v>#REF!</v>
      </c>
      <c r="K155" s="1096"/>
      <c r="L155" s="1096" t="e">
        <f t="shared" si="68"/>
        <v>#REF!</v>
      </c>
      <c r="M155" s="1103"/>
      <c r="N155" s="1096" t="e">
        <f t="shared" si="69"/>
        <v>#REF!</v>
      </c>
      <c r="O155" s="1098">
        <f t="shared" si="64"/>
        <v>0</v>
      </c>
      <c r="P155" s="1096" t="e">
        <f t="shared" si="70"/>
        <v>#REF!</v>
      </c>
      <c r="Q155" s="1098">
        <f t="shared" si="71"/>
        <v>0</v>
      </c>
      <c r="R155" s="1096" t="e">
        <f t="shared" si="72"/>
        <v>#REF!</v>
      </c>
      <c r="S155" s="1107"/>
      <c r="T155" s="1104"/>
    </row>
    <row r="156" spans="1:20" s="1108" customFormat="1" ht="116.25" hidden="1">
      <c r="A156" s="1085"/>
      <c r="B156" s="1270" t="s">
        <v>4512</v>
      </c>
      <c r="C156" s="1085" t="e">
        <f>#REF!</f>
        <v>#REF!</v>
      </c>
      <c r="E156" s="1240"/>
      <c r="F156" s="1097" t="e">
        <f t="shared" si="65"/>
        <v>#REF!</v>
      </c>
      <c r="G156" s="1103"/>
      <c r="H156" s="1096" t="e">
        <f t="shared" si="66"/>
        <v>#REF!</v>
      </c>
      <c r="I156" s="1103"/>
      <c r="J156" s="1096" t="e">
        <f t="shared" si="67"/>
        <v>#REF!</v>
      </c>
      <c r="K156" s="1096"/>
      <c r="L156" s="1096" t="e">
        <f t="shared" si="68"/>
        <v>#REF!</v>
      </c>
      <c r="M156" s="1103"/>
      <c r="N156" s="1096" t="e">
        <f t="shared" si="69"/>
        <v>#REF!</v>
      </c>
      <c r="O156" s="1098">
        <f t="shared" si="64"/>
        <v>0</v>
      </c>
      <c r="P156" s="1096" t="e">
        <f t="shared" si="70"/>
        <v>#REF!</v>
      </c>
      <c r="Q156" s="1098">
        <f t="shared" si="71"/>
        <v>0</v>
      </c>
      <c r="R156" s="1096" t="e">
        <f t="shared" si="72"/>
        <v>#REF!</v>
      </c>
      <c r="S156" s="1107"/>
      <c r="T156" s="1104"/>
    </row>
    <row r="157" spans="1:20" s="1108" customFormat="1" ht="93" hidden="1">
      <c r="A157" s="1085"/>
      <c r="B157" s="1270" t="s">
        <v>4513</v>
      </c>
      <c r="C157" s="1085" t="e">
        <f>#REF!</f>
        <v>#REF!</v>
      </c>
      <c r="E157" s="1240"/>
      <c r="F157" s="1097" t="e">
        <f t="shared" si="65"/>
        <v>#REF!</v>
      </c>
      <c r="G157" s="1103"/>
      <c r="H157" s="1096" t="e">
        <f t="shared" si="66"/>
        <v>#REF!</v>
      </c>
      <c r="I157" s="1103"/>
      <c r="J157" s="1096" t="e">
        <f t="shared" si="67"/>
        <v>#REF!</v>
      </c>
      <c r="K157" s="1096"/>
      <c r="L157" s="1096" t="e">
        <f t="shared" si="68"/>
        <v>#REF!</v>
      </c>
      <c r="M157" s="1103"/>
      <c r="N157" s="1096" t="e">
        <f t="shared" si="69"/>
        <v>#REF!</v>
      </c>
      <c r="O157" s="1098">
        <f t="shared" si="64"/>
        <v>0</v>
      </c>
      <c r="P157" s="1096" t="e">
        <f t="shared" si="70"/>
        <v>#REF!</v>
      </c>
      <c r="Q157" s="1098">
        <f t="shared" si="71"/>
        <v>0</v>
      </c>
      <c r="R157" s="1096" t="e">
        <f t="shared" si="72"/>
        <v>#REF!</v>
      </c>
      <c r="S157" s="1107"/>
      <c r="T157" s="1104"/>
    </row>
    <row r="158" spans="1:20" s="1108" customFormat="1" ht="46.5" hidden="1">
      <c r="A158" s="1085"/>
      <c r="B158" s="1270" t="s">
        <v>4514</v>
      </c>
      <c r="C158" s="1085" t="e">
        <f>#REF!</f>
        <v>#REF!</v>
      </c>
      <c r="E158" s="1240"/>
      <c r="F158" s="1097" t="e">
        <f t="shared" si="65"/>
        <v>#REF!</v>
      </c>
      <c r="G158" s="1103"/>
      <c r="H158" s="1096" t="e">
        <f t="shared" si="66"/>
        <v>#REF!</v>
      </c>
      <c r="I158" s="1103"/>
      <c r="J158" s="1096" t="e">
        <f t="shared" si="67"/>
        <v>#REF!</v>
      </c>
      <c r="K158" s="1096"/>
      <c r="L158" s="1096" t="e">
        <f t="shared" si="68"/>
        <v>#REF!</v>
      </c>
      <c r="M158" s="1103"/>
      <c r="N158" s="1096" t="e">
        <f t="shared" si="69"/>
        <v>#REF!</v>
      </c>
      <c r="O158" s="1098">
        <f t="shared" si="64"/>
        <v>0</v>
      </c>
      <c r="P158" s="1096" t="e">
        <f t="shared" si="70"/>
        <v>#REF!</v>
      </c>
      <c r="Q158" s="1098">
        <f t="shared" si="71"/>
        <v>0</v>
      </c>
      <c r="R158" s="1096" t="e">
        <f t="shared" si="72"/>
        <v>#REF!</v>
      </c>
      <c r="S158" s="1107"/>
      <c r="T158" s="1104"/>
    </row>
    <row r="159" spans="1:20" s="1108" customFormat="1" ht="46.5" hidden="1">
      <c r="A159" s="1085"/>
      <c r="B159" s="1270" t="s">
        <v>4515</v>
      </c>
      <c r="C159" s="1085" t="e">
        <f>#REF!</f>
        <v>#REF!</v>
      </c>
      <c r="E159" s="1240"/>
      <c r="F159" s="1097" t="e">
        <f t="shared" si="65"/>
        <v>#REF!</v>
      </c>
      <c r="G159" s="1103"/>
      <c r="H159" s="1096" t="e">
        <f t="shared" si="66"/>
        <v>#REF!</v>
      </c>
      <c r="I159" s="1103"/>
      <c r="J159" s="1096" t="e">
        <f t="shared" si="67"/>
        <v>#REF!</v>
      </c>
      <c r="K159" s="1096"/>
      <c r="L159" s="1096" t="e">
        <f t="shared" si="68"/>
        <v>#REF!</v>
      </c>
      <c r="M159" s="1103"/>
      <c r="N159" s="1096" t="e">
        <f t="shared" si="69"/>
        <v>#REF!</v>
      </c>
      <c r="O159" s="1098">
        <f t="shared" si="64"/>
        <v>0</v>
      </c>
      <c r="P159" s="1096" t="e">
        <f t="shared" si="70"/>
        <v>#REF!</v>
      </c>
      <c r="Q159" s="1098">
        <f t="shared" si="71"/>
        <v>0</v>
      </c>
      <c r="R159" s="1096" t="e">
        <f t="shared" si="72"/>
        <v>#REF!</v>
      </c>
      <c r="S159" s="1107"/>
      <c r="T159" s="1104"/>
    </row>
    <row r="160" spans="1:20" s="1108" customFormat="1" ht="46.5" hidden="1">
      <c r="A160" s="1085"/>
      <c r="B160" s="1270" t="s">
        <v>4516</v>
      </c>
      <c r="C160" s="1085" t="e">
        <f>#REF!</f>
        <v>#REF!</v>
      </c>
      <c r="E160" s="1240"/>
      <c r="F160" s="1097" t="e">
        <f t="shared" si="65"/>
        <v>#REF!</v>
      </c>
      <c r="G160" s="1103"/>
      <c r="H160" s="1096" t="e">
        <f t="shared" si="66"/>
        <v>#REF!</v>
      </c>
      <c r="I160" s="1103"/>
      <c r="J160" s="1096" t="e">
        <f t="shared" si="67"/>
        <v>#REF!</v>
      </c>
      <c r="K160" s="1096"/>
      <c r="L160" s="1096" t="e">
        <f t="shared" si="68"/>
        <v>#REF!</v>
      </c>
      <c r="M160" s="1103"/>
      <c r="N160" s="1096" t="e">
        <f t="shared" si="69"/>
        <v>#REF!</v>
      </c>
      <c r="O160" s="1098">
        <f t="shared" si="64"/>
        <v>0</v>
      </c>
      <c r="P160" s="1096" t="e">
        <f t="shared" si="70"/>
        <v>#REF!</v>
      </c>
      <c r="Q160" s="1098">
        <f t="shared" si="71"/>
        <v>0</v>
      </c>
      <c r="R160" s="1096" t="e">
        <f t="shared" si="72"/>
        <v>#REF!</v>
      </c>
      <c r="S160" s="1107"/>
      <c r="T160" s="1104"/>
    </row>
    <row r="161" spans="1:20" s="1108" customFormat="1" ht="46.5" hidden="1">
      <c r="A161" s="1085"/>
      <c r="B161" s="1270" t="s">
        <v>4517</v>
      </c>
      <c r="C161" s="1085" t="e">
        <f>#REF!</f>
        <v>#REF!</v>
      </c>
      <c r="E161" s="1240"/>
      <c r="F161" s="1097" t="e">
        <f t="shared" si="65"/>
        <v>#REF!</v>
      </c>
      <c r="G161" s="1103"/>
      <c r="H161" s="1096" t="e">
        <f t="shared" si="66"/>
        <v>#REF!</v>
      </c>
      <c r="I161" s="1103"/>
      <c r="J161" s="1096" t="e">
        <f t="shared" si="67"/>
        <v>#REF!</v>
      </c>
      <c r="K161" s="1096"/>
      <c r="L161" s="1096" t="e">
        <f t="shared" si="68"/>
        <v>#REF!</v>
      </c>
      <c r="M161" s="1103"/>
      <c r="N161" s="1096" t="e">
        <f t="shared" si="69"/>
        <v>#REF!</v>
      </c>
      <c r="O161" s="1098">
        <f t="shared" si="64"/>
        <v>0</v>
      </c>
      <c r="P161" s="1096" t="e">
        <f t="shared" si="70"/>
        <v>#REF!</v>
      </c>
      <c r="Q161" s="1098">
        <f t="shared" si="71"/>
        <v>0</v>
      </c>
      <c r="R161" s="1096" t="e">
        <f t="shared" si="72"/>
        <v>#REF!</v>
      </c>
      <c r="S161" s="1107"/>
      <c r="T161" s="1104"/>
    </row>
    <row r="162" spans="1:20" s="1108" customFormat="1" ht="46.5" hidden="1">
      <c r="A162" s="1085"/>
      <c r="B162" s="1270" t="s">
        <v>4518</v>
      </c>
      <c r="C162" s="1085" t="e">
        <f>#REF!</f>
        <v>#REF!</v>
      </c>
      <c r="E162" s="1240"/>
      <c r="F162" s="1097" t="e">
        <f t="shared" si="65"/>
        <v>#REF!</v>
      </c>
      <c r="G162" s="1103"/>
      <c r="H162" s="1096" t="e">
        <f t="shared" si="66"/>
        <v>#REF!</v>
      </c>
      <c r="I162" s="1103"/>
      <c r="J162" s="1096" t="e">
        <f t="shared" si="67"/>
        <v>#REF!</v>
      </c>
      <c r="K162" s="1096"/>
      <c r="L162" s="1096" t="e">
        <f t="shared" si="68"/>
        <v>#REF!</v>
      </c>
      <c r="M162" s="1103"/>
      <c r="N162" s="1096" t="e">
        <f t="shared" si="69"/>
        <v>#REF!</v>
      </c>
      <c r="O162" s="1098">
        <f t="shared" si="64"/>
        <v>0</v>
      </c>
      <c r="P162" s="1096" t="e">
        <f t="shared" si="70"/>
        <v>#REF!</v>
      </c>
      <c r="Q162" s="1098">
        <f t="shared" si="71"/>
        <v>0</v>
      </c>
      <c r="R162" s="1096" t="e">
        <f t="shared" si="72"/>
        <v>#REF!</v>
      </c>
      <c r="S162" s="1107"/>
      <c r="T162" s="1104"/>
    </row>
    <row r="163" spans="1:20" s="1108" customFormat="1" ht="46.5" hidden="1">
      <c r="A163" s="1085"/>
      <c r="B163" s="1270" t="s">
        <v>4519</v>
      </c>
      <c r="C163" s="1085" t="e">
        <f>#REF!</f>
        <v>#REF!</v>
      </c>
      <c r="E163" s="1240"/>
      <c r="F163" s="1097" t="e">
        <f t="shared" si="65"/>
        <v>#REF!</v>
      </c>
      <c r="G163" s="1103"/>
      <c r="H163" s="1096" t="e">
        <f t="shared" si="66"/>
        <v>#REF!</v>
      </c>
      <c r="I163" s="1103"/>
      <c r="J163" s="1096" t="e">
        <f t="shared" si="67"/>
        <v>#REF!</v>
      </c>
      <c r="K163" s="1096"/>
      <c r="L163" s="1096" t="e">
        <f t="shared" si="68"/>
        <v>#REF!</v>
      </c>
      <c r="M163" s="1103"/>
      <c r="N163" s="1096" t="e">
        <f t="shared" si="69"/>
        <v>#REF!</v>
      </c>
      <c r="O163" s="1098">
        <f t="shared" si="64"/>
        <v>0</v>
      </c>
      <c r="P163" s="1096" t="e">
        <f t="shared" si="70"/>
        <v>#REF!</v>
      </c>
      <c r="Q163" s="1098">
        <f t="shared" ref="Q163:Q222" si="73">O163+E163+G163</f>
        <v>0</v>
      </c>
      <c r="R163" s="1096" t="e">
        <f t="shared" si="72"/>
        <v>#REF!</v>
      </c>
      <c r="S163" s="1107"/>
      <c r="T163" s="1104"/>
    </row>
    <row r="164" spans="1:20" s="1108" customFormat="1" ht="46.5" hidden="1">
      <c r="A164" s="1085"/>
      <c r="B164" s="1270" t="s">
        <v>4520</v>
      </c>
      <c r="C164" s="1085" t="e">
        <f>#REF!</f>
        <v>#REF!</v>
      </c>
      <c r="E164" s="1240"/>
      <c r="F164" s="1097" t="e">
        <f t="shared" si="65"/>
        <v>#REF!</v>
      </c>
      <c r="G164" s="1103"/>
      <c r="H164" s="1096" t="e">
        <f t="shared" si="66"/>
        <v>#REF!</v>
      </c>
      <c r="I164" s="1103"/>
      <c r="J164" s="1096" t="e">
        <f t="shared" si="67"/>
        <v>#REF!</v>
      </c>
      <c r="K164" s="1096"/>
      <c r="L164" s="1096" t="e">
        <f t="shared" si="68"/>
        <v>#REF!</v>
      </c>
      <c r="M164" s="1103"/>
      <c r="N164" s="1096" t="e">
        <f t="shared" si="69"/>
        <v>#REF!</v>
      </c>
      <c r="O164" s="1098">
        <f t="shared" ref="O164:O222" si="74">I164+K164+M164</f>
        <v>0</v>
      </c>
      <c r="P164" s="1096" t="e">
        <f t="shared" si="70"/>
        <v>#REF!</v>
      </c>
      <c r="Q164" s="1098">
        <f t="shared" si="73"/>
        <v>0</v>
      </c>
      <c r="R164" s="1096" t="e">
        <f t="shared" si="72"/>
        <v>#REF!</v>
      </c>
      <c r="S164" s="1107"/>
      <c r="T164" s="1104"/>
    </row>
    <row r="165" spans="1:20" s="1108" customFormat="1" ht="46.5" hidden="1">
      <c r="A165" s="1085"/>
      <c r="B165" s="1270" t="s">
        <v>4521</v>
      </c>
      <c r="C165" s="1085" t="e">
        <f>#REF!</f>
        <v>#REF!</v>
      </c>
      <c r="E165" s="1240"/>
      <c r="F165" s="1097" t="e">
        <f t="shared" ref="F165:F227" si="75">E165*C165</f>
        <v>#REF!</v>
      </c>
      <c r="G165" s="1103"/>
      <c r="H165" s="1096" t="e">
        <f t="shared" ref="H165:H220" si="76">G165*C165</f>
        <v>#REF!</v>
      </c>
      <c r="I165" s="1103"/>
      <c r="J165" s="1096" t="e">
        <f t="shared" ref="J165:J227" si="77">I165*C165</f>
        <v>#REF!</v>
      </c>
      <c r="K165" s="1096"/>
      <c r="L165" s="1096" t="e">
        <f t="shared" ref="L165:L224" si="78">K165*C165</f>
        <v>#REF!</v>
      </c>
      <c r="M165" s="1103"/>
      <c r="N165" s="1096" t="e">
        <f t="shared" ref="N165:N227" si="79">M165*C165</f>
        <v>#REF!</v>
      </c>
      <c r="O165" s="1098">
        <f t="shared" si="74"/>
        <v>0</v>
      </c>
      <c r="P165" s="1096" t="e">
        <f t="shared" ref="P165:P222" si="80">O165*C165</f>
        <v>#REF!</v>
      </c>
      <c r="Q165" s="1098">
        <f t="shared" si="73"/>
        <v>0</v>
      </c>
      <c r="R165" s="1096" t="e">
        <f t="shared" si="72"/>
        <v>#REF!</v>
      </c>
      <c r="S165" s="1107"/>
      <c r="T165" s="1104"/>
    </row>
    <row r="166" spans="1:20" s="1108" customFormat="1" ht="69.75" hidden="1">
      <c r="A166" s="1085"/>
      <c r="B166" s="1270" t="s">
        <v>4522</v>
      </c>
      <c r="C166" s="1085" t="e">
        <f>#REF!</f>
        <v>#REF!</v>
      </c>
      <c r="E166" s="1240"/>
      <c r="F166" s="1097" t="e">
        <f t="shared" si="75"/>
        <v>#REF!</v>
      </c>
      <c r="G166" s="1103"/>
      <c r="H166" s="1096" t="e">
        <f t="shared" si="76"/>
        <v>#REF!</v>
      </c>
      <c r="I166" s="1103"/>
      <c r="J166" s="1096" t="e">
        <f t="shared" si="77"/>
        <v>#REF!</v>
      </c>
      <c r="K166" s="1096"/>
      <c r="L166" s="1096" t="e">
        <f t="shared" si="78"/>
        <v>#REF!</v>
      </c>
      <c r="M166" s="1103"/>
      <c r="N166" s="1096" t="e">
        <f t="shared" si="79"/>
        <v>#REF!</v>
      </c>
      <c r="O166" s="1098">
        <f t="shared" si="74"/>
        <v>0</v>
      </c>
      <c r="P166" s="1096" t="e">
        <f t="shared" si="80"/>
        <v>#REF!</v>
      </c>
      <c r="Q166" s="1098">
        <f t="shared" si="73"/>
        <v>0</v>
      </c>
      <c r="R166" s="1096" t="e">
        <f t="shared" si="72"/>
        <v>#REF!</v>
      </c>
      <c r="S166" s="1107"/>
      <c r="T166" s="1104"/>
    </row>
    <row r="167" spans="1:20" s="1108" customFormat="1" ht="69.75" hidden="1">
      <c r="A167" s="1085"/>
      <c r="B167" s="1270" t="s">
        <v>4523</v>
      </c>
      <c r="C167" s="1085" t="e">
        <f>#REF!</f>
        <v>#REF!</v>
      </c>
      <c r="E167" s="1240"/>
      <c r="F167" s="1097" t="e">
        <f t="shared" si="75"/>
        <v>#REF!</v>
      </c>
      <c r="G167" s="1103"/>
      <c r="H167" s="1096" t="e">
        <f t="shared" si="76"/>
        <v>#REF!</v>
      </c>
      <c r="I167" s="1103"/>
      <c r="J167" s="1096" t="e">
        <f t="shared" si="77"/>
        <v>#REF!</v>
      </c>
      <c r="K167" s="1096"/>
      <c r="L167" s="1096" t="e">
        <f t="shared" si="78"/>
        <v>#REF!</v>
      </c>
      <c r="M167" s="1103"/>
      <c r="N167" s="1096" t="e">
        <f t="shared" si="79"/>
        <v>#REF!</v>
      </c>
      <c r="O167" s="1098">
        <f t="shared" si="74"/>
        <v>0</v>
      </c>
      <c r="P167" s="1096" t="e">
        <f t="shared" si="80"/>
        <v>#REF!</v>
      </c>
      <c r="Q167" s="1098">
        <f t="shared" si="73"/>
        <v>0</v>
      </c>
      <c r="R167" s="1096" t="e">
        <f t="shared" si="72"/>
        <v>#REF!</v>
      </c>
      <c r="S167" s="1107"/>
      <c r="T167" s="1104"/>
    </row>
    <row r="168" spans="1:20" s="1108" customFormat="1" hidden="1">
      <c r="A168" s="1085"/>
      <c r="B168" s="1270" t="s">
        <v>4524</v>
      </c>
      <c r="C168" s="1085" t="e">
        <f>#REF!</f>
        <v>#REF!</v>
      </c>
      <c r="E168" s="1240"/>
      <c r="F168" s="1097" t="e">
        <f t="shared" si="75"/>
        <v>#REF!</v>
      </c>
      <c r="G168" s="1103"/>
      <c r="H168" s="1096" t="e">
        <f t="shared" si="76"/>
        <v>#REF!</v>
      </c>
      <c r="I168" s="1103"/>
      <c r="J168" s="1096" t="e">
        <f t="shared" si="77"/>
        <v>#REF!</v>
      </c>
      <c r="K168" s="1096"/>
      <c r="L168" s="1096" t="e">
        <f t="shared" si="78"/>
        <v>#REF!</v>
      </c>
      <c r="M168" s="1103"/>
      <c r="N168" s="1096" t="e">
        <f t="shared" si="79"/>
        <v>#REF!</v>
      </c>
      <c r="O168" s="1098">
        <f t="shared" si="74"/>
        <v>0</v>
      </c>
      <c r="P168" s="1096" t="e">
        <f t="shared" si="80"/>
        <v>#REF!</v>
      </c>
      <c r="Q168" s="1098">
        <f t="shared" si="73"/>
        <v>0</v>
      </c>
      <c r="R168" s="1096" t="e">
        <f t="shared" si="72"/>
        <v>#REF!</v>
      </c>
      <c r="S168" s="1107"/>
      <c r="T168" s="1104"/>
    </row>
    <row r="169" spans="1:20" s="1108" customFormat="1" hidden="1">
      <c r="A169" s="1085"/>
      <c r="B169" s="1270" t="s">
        <v>4525</v>
      </c>
      <c r="C169" s="1085" t="e">
        <f>#REF!</f>
        <v>#REF!</v>
      </c>
      <c r="E169" s="1240"/>
      <c r="F169" s="1097" t="e">
        <f t="shared" si="75"/>
        <v>#REF!</v>
      </c>
      <c r="G169" s="1103"/>
      <c r="H169" s="1096" t="e">
        <f t="shared" si="76"/>
        <v>#REF!</v>
      </c>
      <c r="I169" s="1103"/>
      <c r="J169" s="1096" t="e">
        <f t="shared" si="77"/>
        <v>#REF!</v>
      </c>
      <c r="K169" s="1096"/>
      <c r="L169" s="1096" t="e">
        <f t="shared" si="78"/>
        <v>#REF!</v>
      </c>
      <c r="M169" s="1103"/>
      <c r="N169" s="1096" t="e">
        <f t="shared" si="79"/>
        <v>#REF!</v>
      </c>
      <c r="O169" s="1098">
        <f t="shared" si="74"/>
        <v>0</v>
      </c>
      <c r="P169" s="1096" t="e">
        <f t="shared" si="80"/>
        <v>#REF!</v>
      </c>
      <c r="Q169" s="1098">
        <f t="shared" si="73"/>
        <v>0</v>
      </c>
      <c r="R169" s="1096" t="e">
        <f t="shared" si="72"/>
        <v>#REF!</v>
      </c>
      <c r="S169" s="1107"/>
      <c r="T169" s="1104"/>
    </row>
    <row r="170" spans="1:20" s="1108" customFormat="1" hidden="1">
      <c r="A170" s="1085"/>
      <c r="B170" s="1270" t="s">
        <v>4526</v>
      </c>
      <c r="C170" s="1085" t="e">
        <f>#REF!</f>
        <v>#REF!</v>
      </c>
      <c r="E170" s="1240"/>
      <c r="F170" s="1097" t="e">
        <f t="shared" si="75"/>
        <v>#REF!</v>
      </c>
      <c r="G170" s="1103"/>
      <c r="H170" s="1096" t="e">
        <f t="shared" si="76"/>
        <v>#REF!</v>
      </c>
      <c r="I170" s="1103"/>
      <c r="J170" s="1096" t="e">
        <f t="shared" si="77"/>
        <v>#REF!</v>
      </c>
      <c r="K170" s="1096"/>
      <c r="L170" s="1096" t="e">
        <f t="shared" si="78"/>
        <v>#REF!</v>
      </c>
      <c r="M170" s="1103"/>
      <c r="N170" s="1096" t="e">
        <f t="shared" si="79"/>
        <v>#REF!</v>
      </c>
      <c r="O170" s="1098">
        <f t="shared" si="74"/>
        <v>0</v>
      </c>
      <c r="P170" s="1096" t="e">
        <f t="shared" si="80"/>
        <v>#REF!</v>
      </c>
      <c r="Q170" s="1098">
        <f t="shared" si="73"/>
        <v>0</v>
      </c>
      <c r="R170" s="1096" t="e">
        <f t="shared" ref="R170:R222" si="81">Q170*C170</f>
        <v>#REF!</v>
      </c>
      <c r="S170" s="1107"/>
      <c r="T170" s="1104"/>
    </row>
    <row r="171" spans="1:20" s="1108" customFormat="1" hidden="1">
      <c r="A171" s="1085"/>
      <c r="B171" s="1270" t="s">
        <v>4527</v>
      </c>
      <c r="C171" s="1085" t="e">
        <f>#REF!</f>
        <v>#REF!</v>
      </c>
      <c r="E171" s="1240"/>
      <c r="F171" s="1097" t="e">
        <f t="shared" si="75"/>
        <v>#REF!</v>
      </c>
      <c r="G171" s="1103"/>
      <c r="H171" s="1096" t="e">
        <f t="shared" si="76"/>
        <v>#REF!</v>
      </c>
      <c r="I171" s="1103"/>
      <c r="J171" s="1096" t="e">
        <f t="shared" si="77"/>
        <v>#REF!</v>
      </c>
      <c r="K171" s="1096"/>
      <c r="L171" s="1096" t="e">
        <f t="shared" si="78"/>
        <v>#REF!</v>
      </c>
      <c r="M171" s="1103"/>
      <c r="N171" s="1096" t="e">
        <f t="shared" si="79"/>
        <v>#REF!</v>
      </c>
      <c r="O171" s="1098">
        <f t="shared" si="74"/>
        <v>0</v>
      </c>
      <c r="P171" s="1096" t="e">
        <f t="shared" si="80"/>
        <v>#REF!</v>
      </c>
      <c r="Q171" s="1098">
        <f t="shared" si="73"/>
        <v>0</v>
      </c>
      <c r="R171" s="1096" t="e">
        <f t="shared" si="81"/>
        <v>#REF!</v>
      </c>
      <c r="S171" s="1107"/>
      <c r="T171" s="1104"/>
    </row>
    <row r="172" spans="1:20" s="1108" customFormat="1" ht="116.25" hidden="1">
      <c r="A172" s="1085"/>
      <c r="B172" s="1270" t="s">
        <v>4528</v>
      </c>
      <c r="C172" s="1085" t="e">
        <f>#REF!</f>
        <v>#REF!</v>
      </c>
      <c r="E172" s="1240"/>
      <c r="F172" s="1097" t="e">
        <f t="shared" si="75"/>
        <v>#REF!</v>
      </c>
      <c r="G172" s="1103"/>
      <c r="H172" s="1096" t="e">
        <f t="shared" si="76"/>
        <v>#REF!</v>
      </c>
      <c r="I172" s="1103"/>
      <c r="J172" s="1096" t="e">
        <f t="shared" si="77"/>
        <v>#REF!</v>
      </c>
      <c r="K172" s="1096"/>
      <c r="L172" s="1096" t="e">
        <f t="shared" si="78"/>
        <v>#REF!</v>
      </c>
      <c r="M172" s="1103"/>
      <c r="N172" s="1096" t="e">
        <f t="shared" si="79"/>
        <v>#REF!</v>
      </c>
      <c r="O172" s="1098">
        <f t="shared" si="74"/>
        <v>0</v>
      </c>
      <c r="P172" s="1096" t="e">
        <f t="shared" si="80"/>
        <v>#REF!</v>
      </c>
      <c r="Q172" s="1098">
        <f t="shared" si="73"/>
        <v>0</v>
      </c>
      <c r="R172" s="1096" t="e">
        <f t="shared" si="81"/>
        <v>#REF!</v>
      </c>
      <c r="S172" s="1107"/>
      <c r="T172" s="1104"/>
    </row>
    <row r="173" spans="1:20" s="1108" customFormat="1" ht="69.75" hidden="1">
      <c r="A173" s="1085"/>
      <c r="B173" s="1270" t="s">
        <v>4529</v>
      </c>
      <c r="C173" s="1085" t="e">
        <f>#REF!</f>
        <v>#REF!</v>
      </c>
      <c r="E173" s="1240"/>
      <c r="F173" s="1097" t="e">
        <f t="shared" si="75"/>
        <v>#REF!</v>
      </c>
      <c r="G173" s="1103"/>
      <c r="H173" s="1096" t="e">
        <f t="shared" si="76"/>
        <v>#REF!</v>
      </c>
      <c r="I173" s="1103"/>
      <c r="J173" s="1096" t="e">
        <f t="shared" si="77"/>
        <v>#REF!</v>
      </c>
      <c r="K173" s="1096"/>
      <c r="L173" s="1096" t="e">
        <f t="shared" si="78"/>
        <v>#REF!</v>
      </c>
      <c r="M173" s="1103"/>
      <c r="N173" s="1096" t="e">
        <f t="shared" si="79"/>
        <v>#REF!</v>
      </c>
      <c r="O173" s="1098">
        <f t="shared" si="74"/>
        <v>0</v>
      </c>
      <c r="P173" s="1096" t="e">
        <f t="shared" si="80"/>
        <v>#REF!</v>
      </c>
      <c r="Q173" s="1098">
        <f t="shared" si="73"/>
        <v>0</v>
      </c>
      <c r="R173" s="1096" t="e">
        <f t="shared" si="81"/>
        <v>#REF!</v>
      </c>
      <c r="S173" s="1107"/>
      <c r="T173" s="1104"/>
    </row>
    <row r="174" spans="1:20" s="1108" customFormat="1" ht="46.5" hidden="1">
      <c r="A174" s="1085"/>
      <c r="B174" s="1270" t="s">
        <v>4530</v>
      </c>
      <c r="C174" s="1085" t="e">
        <f>#REF!</f>
        <v>#REF!</v>
      </c>
      <c r="E174" s="1240"/>
      <c r="F174" s="1097" t="e">
        <f t="shared" si="75"/>
        <v>#REF!</v>
      </c>
      <c r="G174" s="1103"/>
      <c r="H174" s="1096" t="e">
        <f t="shared" si="76"/>
        <v>#REF!</v>
      </c>
      <c r="I174" s="1103"/>
      <c r="J174" s="1096" t="e">
        <f t="shared" si="77"/>
        <v>#REF!</v>
      </c>
      <c r="K174" s="1096"/>
      <c r="L174" s="1096" t="e">
        <f t="shared" si="78"/>
        <v>#REF!</v>
      </c>
      <c r="M174" s="1103"/>
      <c r="N174" s="1096" t="e">
        <f t="shared" si="79"/>
        <v>#REF!</v>
      </c>
      <c r="O174" s="1098">
        <f t="shared" si="74"/>
        <v>0</v>
      </c>
      <c r="P174" s="1096" t="e">
        <f t="shared" si="80"/>
        <v>#REF!</v>
      </c>
      <c r="Q174" s="1098">
        <f t="shared" si="73"/>
        <v>0</v>
      </c>
      <c r="R174" s="1096" t="e">
        <f t="shared" si="81"/>
        <v>#REF!</v>
      </c>
      <c r="S174" s="1107"/>
      <c r="T174" s="1104"/>
    </row>
    <row r="175" spans="1:20" s="1108" customFormat="1" hidden="1">
      <c r="A175" s="1085"/>
      <c r="B175" s="1270" t="s">
        <v>4531</v>
      </c>
      <c r="C175" s="1085" t="e">
        <f>#REF!</f>
        <v>#REF!</v>
      </c>
      <c r="E175" s="1240"/>
      <c r="F175" s="1097" t="e">
        <f t="shared" si="75"/>
        <v>#REF!</v>
      </c>
      <c r="G175" s="1103"/>
      <c r="H175" s="1096" t="e">
        <f t="shared" si="76"/>
        <v>#REF!</v>
      </c>
      <c r="I175" s="1103"/>
      <c r="J175" s="1096" t="e">
        <f t="shared" si="77"/>
        <v>#REF!</v>
      </c>
      <c r="K175" s="1096"/>
      <c r="L175" s="1096" t="e">
        <f t="shared" si="78"/>
        <v>#REF!</v>
      </c>
      <c r="M175" s="1103"/>
      <c r="N175" s="1096" t="e">
        <f t="shared" si="79"/>
        <v>#REF!</v>
      </c>
      <c r="O175" s="1098">
        <f t="shared" si="74"/>
        <v>0</v>
      </c>
      <c r="P175" s="1096" t="e">
        <f t="shared" si="80"/>
        <v>#REF!</v>
      </c>
      <c r="Q175" s="1098">
        <f t="shared" si="73"/>
        <v>0</v>
      </c>
      <c r="R175" s="1096" t="e">
        <f t="shared" si="81"/>
        <v>#REF!</v>
      </c>
      <c r="S175" s="1107"/>
      <c r="T175" s="1104"/>
    </row>
    <row r="176" spans="1:20" s="1108" customFormat="1" ht="93" hidden="1">
      <c r="A176" s="1085"/>
      <c r="B176" s="1270" t="s">
        <v>4532</v>
      </c>
      <c r="C176" s="1085" t="e">
        <f>#REF!</f>
        <v>#REF!</v>
      </c>
      <c r="E176" s="1240"/>
      <c r="F176" s="1097" t="e">
        <f t="shared" si="75"/>
        <v>#REF!</v>
      </c>
      <c r="G176" s="1103"/>
      <c r="H176" s="1096" t="e">
        <f t="shared" si="76"/>
        <v>#REF!</v>
      </c>
      <c r="I176" s="1103"/>
      <c r="J176" s="1096" t="e">
        <f t="shared" si="77"/>
        <v>#REF!</v>
      </c>
      <c r="K176" s="1096"/>
      <c r="L176" s="1096" t="e">
        <f t="shared" si="78"/>
        <v>#REF!</v>
      </c>
      <c r="M176" s="1103"/>
      <c r="N176" s="1096" t="e">
        <f t="shared" si="79"/>
        <v>#REF!</v>
      </c>
      <c r="O176" s="1098">
        <f t="shared" si="74"/>
        <v>0</v>
      </c>
      <c r="P176" s="1096" t="e">
        <f t="shared" si="80"/>
        <v>#REF!</v>
      </c>
      <c r="Q176" s="1098">
        <f t="shared" si="73"/>
        <v>0</v>
      </c>
      <c r="R176" s="1096" t="e">
        <f t="shared" si="81"/>
        <v>#REF!</v>
      </c>
      <c r="S176" s="1107"/>
      <c r="T176" s="1104"/>
    </row>
    <row r="177" spans="1:20" s="1108" customFormat="1" hidden="1">
      <c r="A177" s="1085"/>
      <c r="B177" s="1270" t="s">
        <v>4533</v>
      </c>
      <c r="C177" s="1085" t="e">
        <f>#REF!</f>
        <v>#REF!</v>
      </c>
      <c r="E177" s="1240"/>
      <c r="F177" s="1097" t="e">
        <f t="shared" si="75"/>
        <v>#REF!</v>
      </c>
      <c r="G177" s="1103"/>
      <c r="H177" s="1096" t="e">
        <f t="shared" si="76"/>
        <v>#REF!</v>
      </c>
      <c r="I177" s="1103"/>
      <c r="J177" s="1096" t="e">
        <f t="shared" si="77"/>
        <v>#REF!</v>
      </c>
      <c r="K177" s="1096"/>
      <c r="L177" s="1096" t="e">
        <f t="shared" si="78"/>
        <v>#REF!</v>
      </c>
      <c r="M177" s="1103"/>
      <c r="N177" s="1096" t="e">
        <f t="shared" si="79"/>
        <v>#REF!</v>
      </c>
      <c r="O177" s="1098">
        <f t="shared" si="74"/>
        <v>0</v>
      </c>
      <c r="P177" s="1096" t="e">
        <f t="shared" si="80"/>
        <v>#REF!</v>
      </c>
      <c r="Q177" s="1098">
        <f t="shared" si="73"/>
        <v>0</v>
      </c>
      <c r="R177" s="1096" t="e">
        <f t="shared" si="81"/>
        <v>#REF!</v>
      </c>
      <c r="S177" s="1107"/>
      <c r="T177" s="1104"/>
    </row>
    <row r="178" spans="1:20" s="1108" customFormat="1" ht="46.5" hidden="1">
      <c r="A178" s="1085"/>
      <c r="B178" s="1324" t="s">
        <v>4534</v>
      </c>
      <c r="C178" s="1085" t="e">
        <f>#REF!</f>
        <v>#REF!</v>
      </c>
      <c r="E178" s="1240"/>
      <c r="F178" s="1097" t="e">
        <f t="shared" si="75"/>
        <v>#REF!</v>
      </c>
      <c r="G178" s="1103"/>
      <c r="H178" s="1096" t="e">
        <f t="shared" si="76"/>
        <v>#REF!</v>
      </c>
      <c r="I178" s="1103"/>
      <c r="J178" s="1096" t="e">
        <f t="shared" si="77"/>
        <v>#REF!</v>
      </c>
      <c r="K178" s="1096"/>
      <c r="L178" s="1096" t="e">
        <f t="shared" si="78"/>
        <v>#REF!</v>
      </c>
      <c r="M178" s="1103"/>
      <c r="N178" s="1096" t="e">
        <f t="shared" si="79"/>
        <v>#REF!</v>
      </c>
      <c r="O178" s="1098">
        <f t="shared" si="74"/>
        <v>0</v>
      </c>
      <c r="P178" s="1096" t="e">
        <f t="shared" si="80"/>
        <v>#REF!</v>
      </c>
      <c r="Q178" s="1098">
        <f t="shared" si="73"/>
        <v>0</v>
      </c>
      <c r="R178" s="1096" t="e">
        <f t="shared" si="81"/>
        <v>#REF!</v>
      </c>
      <c r="S178" s="1107"/>
      <c r="T178" s="1104"/>
    </row>
    <row r="179" spans="1:20" s="1108" customFormat="1" ht="46.5" hidden="1">
      <c r="A179" s="1085"/>
      <c r="B179" s="1270" t="s">
        <v>4535</v>
      </c>
      <c r="C179" s="1085" t="e">
        <f>#REF!</f>
        <v>#REF!</v>
      </c>
      <c r="E179" s="1240"/>
      <c r="F179" s="1097" t="e">
        <f t="shared" si="75"/>
        <v>#REF!</v>
      </c>
      <c r="G179" s="1103"/>
      <c r="H179" s="1096" t="e">
        <f t="shared" si="76"/>
        <v>#REF!</v>
      </c>
      <c r="I179" s="1103"/>
      <c r="J179" s="1096" t="e">
        <f t="shared" si="77"/>
        <v>#REF!</v>
      </c>
      <c r="K179" s="1096"/>
      <c r="L179" s="1096" t="e">
        <f t="shared" si="78"/>
        <v>#REF!</v>
      </c>
      <c r="M179" s="1103"/>
      <c r="N179" s="1096" t="e">
        <f t="shared" si="79"/>
        <v>#REF!</v>
      </c>
      <c r="O179" s="1098">
        <f t="shared" si="74"/>
        <v>0</v>
      </c>
      <c r="P179" s="1096" t="e">
        <f t="shared" si="80"/>
        <v>#REF!</v>
      </c>
      <c r="Q179" s="1098">
        <f t="shared" si="73"/>
        <v>0</v>
      </c>
      <c r="R179" s="1096" t="e">
        <f t="shared" si="81"/>
        <v>#REF!</v>
      </c>
      <c r="S179" s="1107"/>
      <c r="T179" s="1104"/>
    </row>
    <row r="180" spans="1:20" s="1108" customFormat="1" ht="69.75" hidden="1">
      <c r="A180" s="1085"/>
      <c r="B180" s="1324" t="s">
        <v>4536</v>
      </c>
      <c r="C180" s="1085" t="e">
        <f>#REF!</f>
        <v>#REF!</v>
      </c>
      <c r="E180" s="1240"/>
      <c r="F180" s="1097" t="e">
        <f t="shared" si="75"/>
        <v>#REF!</v>
      </c>
      <c r="G180" s="1103"/>
      <c r="H180" s="1096" t="e">
        <f t="shared" si="76"/>
        <v>#REF!</v>
      </c>
      <c r="I180" s="1103"/>
      <c r="J180" s="1096" t="e">
        <f t="shared" si="77"/>
        <v>#REF!</v>
      </c>
      <c r="K180" s="1096"/>
      <c r="L180" s="1096" t="e">
        <f t="shared" si="78"/>
        <v>#REF!</v>
      </c>
      <c r="M180" s="1103"/>
      <c r="N180" s="1096" t="e">
        <f t="shared" si="79"/>
        <v>#REF!</v>
      </c>
      <c r="O180" s="1098">
        <f t="shared" si="74"/>
        <v>0</v>
      </c>
      <c r="P180" s="1096" t="e">
        <f t="shared" si="80"/>
        <v>#REF!</v>
      </c>
      <c r="Q180" s="1098">
        <f t="shared" si="73"/>
        <v>0</v>
      </c>
      <c r="R180" s="1096" t="e">
        <f t="shared" si="81"/>
        <v>#REF!</v>
      </c>
      <c r="S180" s="1107"/>
      <c r="T180" s="1104"/>
    </row>
    <row r="181" spans="1:20" s="1108" customFormat="1" ht="69.75" hidden="1">
      <c r="A181" s="1085"/>
      <c r="B181" s="1324" t="s">
        <v>4537</v>
      </c>
      <c r="C181" s="1085" t="e">
        <f>#REF!</f>
        <v>#REF!</v>
      </c>
      <c r="E181" s="1240"/>
      <c r="F181" s="1097" t="e">
        <f t="shared" si="75"/>
        <v>#REF!</v>
      </c>
      <c r="G181" s="1103"/>
      <c r="H181" s="1096" t="e">
        <f t="shared" si="76"/>
        <v>#REF!</v>
      </c>
      <c r="I181" s="1103"/>
      <c r="J181" s="1096" t="e">
        <f t="shared" si="77"/>
        <v>#REF!</v>
      </c>
      <c r="K181" s="1096"/>
      <c r="L181" s="1096" t="e">
        <f t="shared" si="78"/>
        <v>#REF!</v>
      </c>
      <c r="M181" s="1103"/>
      <c r="N181" s="1096" t="e">
        <f t="shared" si="79"/>
        <v>#REF!</v>
      </c>
      <c r="O181" s="1098">
        <f t="shared" si="74"/>
        <v>0</v>
      </c>
      <c r="P181" s="1096" t="e">
        <f t="shared" si="80"/>
        <v>#REF!</v>
      </c>
      <c r="Q181" s="1098">
        <f t="shared" si="73"/>
        <v>0</v>
      </c>
      <c r="R181" s="1096" t="e">
        <f t="shared" si="81"/>
        <v>#REF!</v>
      </c>
      <c r="S181" s="1107"/>
      <c r="T181" s="1104"/>
    </row>
    <row r="182" spans="1:20" s="1108" customFormat="1" ht="69.75" hidden="1">
      <c r="A182" s="1085"/>
      <c r="B182" s="1324" t="s">
        <v>4538</v>
      </c>
      <c r="C182" s="1085" t="e">
        <f>#REF!</f>
        <v>#REF!</v>
      </c>
      <c r="E182" s="1240"/>
      <c r="F182" s="1097" t="e">
        <f t="shared" si="75"/>
        <v>#REF!</v>
      </c>
      <c r="G182" s="1240"/>
      <c r="H182" s="1096" t="e">
        <f t="shared" si="76"/>
        <v>#REF!</v>
      </c>
      <c r="I182" s="1103"/>
      <c r="J182" s="1096" t="e">
        <f t="shared" si="77"/>
        <v>#REF!</v>
      </c>
      <c r="K182" s="1096"/>
      <c r="L182" s="1096" t="e">
        <f t="shared" si="78"/>
        <v>#REF!</v>
      </c>
      <c r="M182" s="1103"/>
      <c r="N182" s="1096" t="e">
        <f t="shared" si="79"/>
        <v>#REF!</v>
      </c>
      <c r="O182" s="1098">
        <f t="shared" si="74"/>
        <v>0</v>
      </c>
      <c r="P182" s="1096" t="e">
        <f t="shared" si="80"/>
        <v>#REF!</v>
      </c>
      <c r="Q182" s="1098">
        <f t="shared" si="73"/>
        <v>0</v>
      </c>
      <c r="R182" s="1096" t="e">
        <f t="shared" si="81"/>
        <v>#REF!</v>
      </c>
      <c r="S182" s="1107"/>
      <c r="T182" s="1104"/>
    </row>
    <row r="183" spans="1:20" s="1108" customFormat="1" ht="69.75" hidden="1">
      <c r="A183" s="1085"/>
      <c r="B183" s="1324" t="s">
        <v>4539</v>
      </c>
      <c r="C183" s="1085" t="e">
        <f>#REF!</f>
        <v>#REF!</v>
      </c>
      <c r="E183" s="1240"/>
      <c r="F183" s="1097" t="e">
        <f t="shared" si="75"/>
        <v>#REF!</v>
      </c>
      <c r="G183" s="1240"/>
      <c r="H183" s="1096" t="e">
        <f t="shared" si="76"/>
        <v>#REF!</v>
      </c>
      <c r="I183" s="1103"/>
      <c r="J183" s="1096" t="e">
        <f t="shared" si="77"/>
        <v>#REF!</v>
      </c>
      <c r="K183" s="1096"/>
      <c r="L183" s="1096" t="e">
        <f t="shared" si="78"/>
        <v>#REF!</v>
      </c>
      <c r="M183" s="1103"/>
      <c r="N183" s="1096" t="e">
        <f t="shared" si="79"/>
        <v>#REF!</v>
      </c>
      <c r="O183" s="1098">
        <f t="shared" si="74"/>
        <v>0</v>
      </c>
      <c r="P183" s="1096" t="e">
        <f t="shared" si="80"/>
        <v>#REF!</v>
      </c>
      <c r="Q183" s="1098">
        <f t="shared" si="73"/>
        <v>0</v>
      </c>
      <c r="R183" s="1096" t="e">
        <f t="shared" si="81"/>
        <v>#REF!</v>
      </c>
      <c r="S183" s="1107"/>
      <c r="T183" s="1104"/>
    </row>
    <row r="184" spans="1:20" s="1108" customFormat="1" ht="46.5" hidden="1">
      <c r="A184" s="1085"/>
      <c r="B184" s="1324" t="s">
        <v>4540</v>
      </c>
      <c r="C184" s="1085" t="e">
        <f>#REF!</f>
        <v>#REF!</v>
      </c>
      <c r="E184" s="1240"/>
      <c r="F184" s="1097" t="e">
        <f t="shared" si="75"/>
        <v>#REF!</v>
      </c>
      <c r="G184" s="1240"/>
      <c r="H184" s="1096" t="e">
        <f t="shared" si="76"/>
        <v>#REF!</v>
      </c>
      <c r="I184" s="1103"/>
      <c r="J184" s="1096" t="e">
        <f t="shared" si="77"/>
        <v>#REF!</v>
      </c>
      <c r="K184" s="1096"/>
      <c r="L184" s="1096" t="e">
        <f t="shared" si="78"/>
        <v>#REF!</v>
      </c>
      <c r="M184" s="1103"/>
      <c r="N184" s="1096" t="e">
        <f t="shared" si="79"/>
        <v>#REF!</v>
      </c>
      <c r="O184" s="1098">
        <f t="shared" si="74"/>
        <v>0</v>
      </c>
      <c r="P184" s="1096" t="e">
        <f t="shared" si="80"/>
        <v>#REF!</v>
      </c>
      <c r="Q184" s="1098">
        <f t="shared" si="73"/>
        <v>0</v>
      </c>
      <c r="R184" s="1096" t="e">
        <f t="shared" si="81"/>
        <v>#REF!</v>
      </c>
      <c r="S184" s="1107"/>
      <c r="T184" s="1104"/>
    </row>
    <row r="185" spans="1:20" s="1108" customFormat="1" ht="46.5" hidden="1">
      <c r="A185" s="1085"/>
      <c r="B185" s="1270" t="s">
        <v>4541</v>
      </c>
      <c r="C185" s="1085" t="e">
        <f>#REF!</f>
        <v>#REF!</v>
      </c>
      <c r="E185" s="1240"/>
      <c r="F185" s="1097" t="e">
        <f t="shared" si="75"/>
        <v>#REF!</v>
      </c>
      <c r="G185" s="1240"/>
      <c r="H185" s="1096" t="e">
        <f t="shared" si="76"/>
        <v>#REF!</v>
      </c>
      <c r="I185" s="1103"/>
      <c r="J185" s="1096" t="e">
        <f t="shared" si="77"/>
        <v>#REF!</v>
      </c>
      <c r="K185" s="1096"/>
      <c r="L185" s="1096" t="e">
        <f t="shared" si="78"/>
        <v>#REF!</v>
      </c>
      <c r="M185" s="1103"/>
      <c r="N185" s="1096" t="e">
        <f t="shared" si="79"/>
        <v>#REF!</v>
      </c>
      <c r="O185" s="1098">
        <f t="shared" si="74"/>
        <v>0</v>
      </c>
      <c r="P185" s="1096" t="e">
        <f t="shared" si="80"/>
        <v>#REF!</v>
      </c>
      <c r="Q185" s="1098">
        <f t="shared" si="73"/>
        <v>0</v>
      </c>
      <c r="R185" s="1096" t="e">
        <f t="shared" si="81"/>
        <v>#REF!</v>
      </c>
      <c r="S185" s="1107"/>
      <c r="T185" s="1104"/>
    </row>
    <row r="186" spans="1:20" s="1108" customFormat="1" hidden="1">
      <c r="A186" s="1085"/>
      <c r="B186" s="1270" t="s">
        <v>4542</v>
      </c>
      <c r="C186" s="1085" t="e">
        <f>#REF!</f>
        <v>#REF!</v>
      </c>
      <c r="E186" s="1240"/>
      <c r="F186" s="1097" t="e">
        <f t="shared" si="75"/>
        <v>#REF!</v>
      </c>
      <c r="G186" s="1240"/>
      <c r="H186" s="1096" t="e">
        <f t="shared" si="76"/>
        <v>#REF!</v>
      </c>
      <c r="I186" s="1103"/>
      <c r="J186" s="1096" t="e">
        <f t="shared" si="77"/>
        <v>#REF!</v>
      </c>
      <c r="K186" s="1096"/>
      <c r="L186" s="1096" t="e">
        <f t="shared" si="78"/>
        <v>#REF!</v>
      </c>
      <c r="M186" s="1103"/>
      <c r="N186" s="1096" t="e">
        <f t="shared" si="79"/>
        <v>#REF!</v>
      </c>
      <c r="O186" s="1098">
        <f t="shared" si="74"/>
        <v>0</v>
      </c>
      <c r="P186" s="1096" t="e">
        <f t="shared" si="80"/>
        <v>#REF!</v>
      </c>
      <c r="Q186" s="1098">
        <f t="shared" si="73"/>
        <v>0</v>
      </c>
      <c r="R186" s="1096" t="e">
        <f t="shared" si="81"/>
        <v>#REF!</v>
      </c>
      <c r="S186" s="1107"/>
      <c r="T186" s="1104"/>
    </row>
    <row r="187" spans="1:20" s="1108" customFormat="1" hidden="1">
      <c r="A187" s="1085"/>
      <c r="B187" s="1270" t="s">
        <v>4543</v>
      </c>
      <c r="C187" s="1085" t="e">
        <f>C186+C189</f>
        <v>#REF!</v>
      </c>
      <c r="E187" s="1240"/>
      <c r="F187" s="1097" t="e">
        <f t="shared" si="75"/>
        <v>#REF!</v>
      </c>
      <c r="G187" s="1240"/>
      <c r="H187" s="1096" t="e">
        <f t="shared" si="76"/>
        <v>#REF!</v>
      </c>
      <c r="I187" s="1103"/>
      <c r="J187" s="1096" t="e">
        <f t="shared" si="77"/>
        <v>#REF!</v>
      </c>
      <c r="K187" s="1096"/>
      <c r="L187" s="1096" t="e">
        <f t="shared" si="78"/>
        <v>#REF!</v>
      </c>
      <c r="M187" s="1103"/>
      <c r="N187" s="1096" t="e">
        <f t="shared" si="79"/>
        <v>#REF!</v>
      </c>
      <c r="O187" s="1098">
        <f t="shared" si="74"/>
        <v>0</v>
      </c>
      <c r="P187" s="1096" t="e">
        <f t="shared" si="80"/>
        <v>#REF!</v>
      </c>
      <c r="Q187" s="1098">
        <f t="shared" si="73"/>
        <v>0</v>
      </c>
      <c r="R187" s="1096" t="e">
        <f t="shared" si="81"/>
        <v>#REF!</v>
      </c>
      <c r="S187" s="1107"/>
      <c r="T187" s="1104"/>
    </row>
    <row r="188" spans="1:20" s="1108" customFormat="1" hidden="1">
      <c r="A188" s="1085"/>
      <c r="B188" s="1270" t="s">
        <v>4544</v>
      </c>
      <c r="C188" s="1085" t="e">
        <f>#REF!</f>
        <v>#REF!</v>
      </c>
      <c r="E188" s="1240"/>
      <c r="F188" s="1097" t="e">
        <f t="shared" si="75"/>
        <v>#REF!</v>
      </c>
      <c r="G188" s="1240"/>
      <c r="H188" s="1096" t="e">
        <f t="shared" si="76"/>
        <v>#REF!</v>
      </c>
      <c r="I188" s="1103"/>
      <c r="J188" s="1096" t="e">
        <f t="shared" si="77"/>
        <v>#REF!</v>
      </c>
      <c r="K188" s="1096"/>
      <c r="L188" s="1096" t="e">
        <f t="shared" si="78"/>
        <v>#REF!</v>
      </c>
      <c r="M188" s="1103"/>
      <c r="N188" s="1096" t="e">
        <f t="shared" si="79"/>
        <v>#REF!</v>
      </c>
      <c r="O188" s="1098">
        <f t="shared" si="74"/>
        <v>0</v>
      </c>
      <c r="P188" s="1096" t="e">
        <f t="shared" si="80"/>
        <v>#REF!</v>
      </c>
      <c r="Q188" s="1098">
        <f t="shared" si="73"/>
        <v>0</v>
      </c>
      <c r="R188" s="1096" t="e">
        <f t="shared" si="81"/>
        <v>#REF!</v>
      </c>
      <c r="S188" s="1107"/>
      <c r="T188" s="1104"/>
    </row>
    <row r="189" spans="1:20" s="1108" customFormat="1" hidden="1">
      <c r="A189" s="1085"/>
      <c r="B189" s="1270" t="s">
        <v>4545</v>
      </c>
      <c r="C189" s="1085" t="e">
        <f>#REF!</f>
        <v>#REF!</v>
      </c>
      <c r="E189" s="1240"/>
      <c r="F189" s="1097" t="e">
        <f t="shared" si="75"/>
        <v>#REF!</v>
      </c>
      <c r="G189" s="1240"/>
      <c r="H189" s="1096" t="e">
        <f t="shared" si="76"/>
        <v>#REF!</v>
      </c>
      <c r="I189" s="1103"/>
      <c r="J189" s="1096" t="e">
        <f t="shared" si="77"/>
        <v>#REF!</v>
      </c>
      <c r="K189" s="1096"/>
      <c r="L189" s="1096" t="e">
        <f t="shared" si="78"/>
        <v>#REF!</v>
      </c>
      <c r="M189" s="1103"/>
      <c r="N189" s="1096" t="e">
        <f t="shared" si="79"/>
        <v>#REF!</v>
      </c>
      <c r="O189" s="1098">
        <f t="shared" si="74"/>
        <v>0</v>
      </c>
      <c r="P189" s="1096" t="e">
        <f t="shared" si="80"/>
        <v>#REF!</v>
      </c>
      <c r="Q189" s="1098">
        <f t="shared" si="73"/>
        <v>0</v>
      </c>
      <c r="R189" s="1096" t="e">
        <f t="shared" si="81"/>
        <v>#REF!</v>
      </c>
      <c r="S189" s="1107"/>
      <c r="T189" s="1104"/>
    </row>
    <row r="190" spans="1:20" s="1108" customFormat="1" hidden="1">
      <c r="A190" s="1085"/>
      <c r="B190" s="1270" t="s">
        <v>4546</v>
      </c>
      <c r="C190" s="1085" t="e">
        <f>#REF!</f>
        <v>#REF!</v>
      </c>
      <c r="E190" s="1240"/>
      <c r="F190" s="1097" t="e">
        <f t="shared" si="75"/>
        <v>#REF!</v>
      </c>
      <c r="G190" s="1240"/>
      <c r="H190" s="1096" t="e">
        <f t="shared" si="76"/>
        <v>#REF!</v>
      </c>
      <c r="I190" s="1103"/>
      <c r="J190" s="1096" t="e">
        <f t="shared" si="77"/>
        <v>#REF!</v>
      </c>
      <c r="K190" s="1096"/>
      <c r="L190" s="1096" t="e">
        <f t="shared" si="78"/>
        <v>#REF!</v>
      </c>
      <c r="M190" s="1103"/>
      <c r="N190" s="1096" t="e">
        <f t="shared" si="79"/>
        <v>#REF!</v>
      </c>
      <c r="O190" s="1098">
        <f t="shared" si="74"/>
        <v>0</v>
      </c>
      <c r="P190" s="1096" t="e">
        <f t="shared" si="80"/>
        <v>#REF!</v>
      </c>
      <c r="Q190" s="1098">
        <f t="shared" si="73"/>
        <v>0</v>
      </c>
      <c r="R190" s="1096" t="e">
        <f t="shared" si="81"/>
        <v>#REF!</v>
      </c>
      <c r="S190" s="1107"/>
      <c r="T190" s="1104"/>
    </row>
    <row r="191" spans="1:20" s="1108" customFormat="1" hidden="1">
      <c r="A191" s="1085"/>
      <c r="B191" s="1270" t="s">
        <v>4547</v>
      </c>
      <c r="C191" s="1085" t="e">
        <f>#REF!</f>
        <v>#REF!</v>
      </c>
      <c r="E191" s="1240"/>
      <c r="F191" s="1097" t="e">
        <f t="shared" si="75"/>
        <v>#REF!</v>
      </c>
      <c r="G191" s="1240"/>
      <c r="H191" s="1096" t="e">
        <f t="shared" si="76"/>
        <v>#REF!</v>
      </c>
      <c r="I191" s="1103"/>
      <c r="J191" s="1096" t="e">
        <f t="shared" si="77"/>
        <v>#REF!</v>
      </c>
      <c r="K191" s="1096"/>
      <c r="L191" s="1096" t="e">
        <f t="shared" si="78"/>
        <v>#REF!</v>
      </c>
      <c r="M191" s="1103"/>
      <c r="N191" s="1096" t="e">
        <f t="shared" si="79"/>
        <v>#REF!</v>
      </c>
      <c r="O191" s="1098">
        <f t="shared" si="74"/>
        <v>0</v>
      </c>
      <c r="P191" s="1096" t="e">
        <f t="shared" si="80"/>
        <v>#REF!</v>
      </c>
      <c r="Q191" s="1098">
        <f t="shared" si="73"/>
        <v>0</v>
      </c>
      <c r="R191" s="1096" t="e">
        <f t="shared" si="81"/>
        <v>#REF!</v>
      </c>
      <c r="S191" s="1107"/>
      <c r="T191" s="1104"/>
    </row>
    <row r="192" spans="1:20" s="1108" customFormat="1" hidden="1">
      <c r="A192" s="1085"/>
      <c r="B192" s="1270" t="s">
        <v>4548</v>
      </c>
      <c r="C192" s="1085" t="e">
        <f>#REF!</f>
        <v>#REF!</v>
      </c>
      <c r="E192" s="1240"/>
      <c r="F192" s="1097" t="e">
        <f t="shared" si="75"/>
        <v>#REF!</v>
      </c>
      <c r="G192" s="1240"/>
      <c r="H192" s="1096" t="e">
        <f t="shared" si="76"/>
        <v>#REF!</v>
      </c>
      <c r="I192" s="1103"/>
      <c r="J192" s="1096" t="e">
        <f t="shared" si="77"/>
        <v>#REF!</v>
      </c>
      <c r="K192" s="1096"/>
      <c r="L192" s="1096" t="e">
        <f t="shared" si="78"/>
        <v>#REF!</v>
      </c>
      <c r="M192" s="1103"/>
      <c r="N192" s="1096" t="e">
        <f t="shared" si="79"/>
        <v>#REF!</v>
      </c>
      <c r="O192" s="1098">
        <f t="shared" si="74"/>
        <v>0</v>
      </c>
      <c r="P192" s="1096" t="e">
        <f t="shared" si="80"/>
        <v>#REF!</v>
      </c>
      <c r="Q192" s="1098">
        <f t="shared" si="73"/>
        <v>0</v>
      </c>
      <c r="R192" s="1096" t="e">
        <f t="shared" si="81"/>
        <v>#REF!</v>
      </c>
      <c r="S192" s="1107"/>
      <c r="T192" s="1104"/>
    </row>
    <row r="193" spans="1:20" s="1108" customFormat="1" hidden="1">
      <c r="A193" s="1085"/>
      <c r="B193" s="1270" t="s">
        <v>4549</v>
      </c>
      <c r="C193" s="1085" t="e">
        <f>#REF!</f>
        <v>#REF!</v>
      </c>
      <c r="E193" s="1240"/>
      <c r="F193" s="1097" t="e">
        <f t="shared" si="75"/>
        <v>#REF!</v>
      </c>
      <c r="G193" s="1240"/>
      <c r="H193" s="1096" t="e">
        <f t="shared" si="76"/>
        <v>#REF!</v>
      </c>
      <c r="I193" s="1103"/>
      <c r="J193" s="1096" t="e">
        <f t="shared" si="77"/>
        <v>#REF!</v>
      </c>
      <c r="K193" s="1096"/>
      <c r="L193" s="1096" t="e">
        <f t="shared" si="78"/>
        <v>#REF!</v>
      </c>
      <c r="M193" s="1103"/>
      <c r="N193" s="1096" t="e">
        <f t="shared" si="79"/>
        <v>#REF!</v>
      </c>
      <c r="O193" s="1098">
        <f t="shared" si="74"/>
        <v>0</v>
      </c>
      <c r="P193" s="1096" t="e">
        <f t="shared" si="80"/>
        <v>#REF!</v>
      </c>
      <c r="Q193" s="1098">
        <f t="shared" si="73"/>
        <v>0</v>
      </c>
      <c r="R193" s="1096" t="e">
        <f t="shared" si="81"/>
        <v>#REF!</v>
      </c>
      <c r="S193" s="1107"/>
      <c r="T193" s="1104"/>
    </row>
    <row r="194" spans="1:20" s="1108" customFormat="1" hidden="1">
      <c r="A194" s="1085"/>
      <c r="B194" s="1322" t="s">
        <v>4550</v>
      </c>
      <c r="C194" s="1085" t="e">
        <f>#REF!</f>
        <v>#REF!</v>
      </c>
      <c r="E194" s="1240"/>
      <c r="F194" s="1097" t="e">
        <f t="shared" si="75"/>
        <v>#REF!</v>
      </c>
      <c r="G194" s="1240"/>
      <c r="H194" s="1096" t="e">
        <f t="shared" si="76"/>
        <v>#REF!</v>
      </c>
      <c r="I194" s="1103"/>
      <c r="J194" s="1096" t="e">
        <f t="shared" si="77"/>
        <v>#REF!</v>
      </c>
      <c r="K194" s="1096"/>
      <c r="L194" s="1096" t="e">
        <f t="shared" si="78"/>
        <v>#REF!</v>
      </c>
      <c r="M194" s="1103"/>
      <c r="N194" s="1096" t="e">
        <f t="shared" si="79"/>
        <v>#REF!</v>
      </c>
      <c r="O194" s="1098">
        <f t="shared" si="74"/>
        <v>0</v>
      </c>
      <c r="P194" s="1096" t="e">
        <f t="shared" si="80"/>
        <v>#REF!</v>
      </c>
      <c r="Q194" s="1098">
        <f t="shared" si="73"/>
        <v>0</v>
      </c>
      <c r="R194" s="1096" t="e">
        <f t="shared" si="81"/>
        <v>#REF!</v>
      </c>
      <c r="S194" s="1107"/>
      <c r="T194" s="1104"/>
    </row>
    <row r="195" spans="1:20" s="1108" customFormat="1" hidden="1">
      <c r="B195" s="1325" t="s">
        <v>4551</v>
      </c>
      <c r="C195" s="1108" t="e">
        <f>#REF!</f>
        <v>#REF!</v>
      </c>
      <c r="E195" s="1240"/>
      <c r="F195" s="1097" t="e">
        <f t="shared" si="75"/>
        <v>#REF!</v>
      </c>
      <c r="G195" s="1240"/>
      <c r="H195" s="1096" t="e">
        <f t="shared" si="76"/>
        <v>#REF!</v>
      </c>
      <c r="I195" s="1103"/>
      <c r="J195" s="1096" t="e">
        <f t="shared" si="77"/>
        <v>#REF!</v>
      </c>
      <c r="K195" s="1096"/>
      <c r="L195" s="1096" t="e">
        <f t="shared" si="78"/>
        <v>#REF!</v>
      </c>
      <c r="M195" s="1103"/>
      <c r="N195" s="1096" t="e">
        <f t="shared" si="79"/>
        <v>#REF!</v>
      </c>
      <c r="O195" s="1098">
        <f t="shared" si="74"/>
        <v>0</v>
      </c>
      <c r="P195" s="1096" t="e">
        <f t="shared" si="80"/>
        <v>#REF!</v>
      </c>
      <c r="Q195" s="1098">
        <f t="shared" si="73"/>
        <v>0</v>
      </c>
      <c r="R195" s="1096" t="e">
        <f t="shared" si="81"/>
        <v>#REF!</v>
      </c>
      <c r="S195" s="1107"/>
      <c r="T195" s="1104"/>
    </row>
    <row r="196" spans="1:20" s="1108" customFormat="1" hidden="1">
      <c r="B196" s="1325" t="s">
        <v>4552</v>
      </c>
      <c r="C196" s="1108" t="e">
        <f>#REF!</f>
        <v>#REF!</v>
      </c>
      <c r="E196" s="1240"/>
      <c r="F196" s="1097" t="e">
        <f t="shared" si="75"/>
        <v>#REF!</v>
      </c>
      <c r="G196" s="1240"/>
      <c r="H196" s="1096" t="e">
        <f t="shared" si="76"/>
        <v>#REF!</v>
      </c>
      <c r="I196" s="1103"/>
      <c r="J196" s="1096" t="e">
        <f t="shared" si="77"/>
        <v>#REF!</v>
      </c>
      <c r="K196" s="1096"/>
      <c r="L196" s="1096" t="e">
        <f t="shared" si="78"/>
        <v>#REF!</v>
      </c>
      <c r="M196" s="1103"/>
      <c r="N196" s="1096" t="e">
        <f t="shared" si="79"/>
        <v>#REF!</v>
      </c>
      <c r="O196" s="1098">
        <f t="shared" si="74"/>
        <v>0</v>
      </c>
      <c r="P196" s="1096" t="e">
        <f t="shared" si="80"/>
        <v>#REF!</v>
      </c>
      <c r="Q196" s="1098">
        <f t="shared" si="73"/>
        <v>0</v>
      </c>
      <c r="R196" s="1096" t="e">
        <f t="shared" si="81"/>
        <v>#REF!</v>
      </c>
      <c r="S196" s="1107"/>
      <c r="T196" s="1104"/>
    </row>
    <row r="197" spans="1:20" s="1108" customFormat="1" hidden="1">
      <c r="B197" s="1325" t="s">
        <v>4553</v>
      </c>
      <c r="C197" s="1108" t="e">
        <f>#REF!</f>
        <v>#REF!</v>
      </c>
      <c r="E197" s="1240"/>
      <c r="F197" s="1097" t="e">
        <f t="shared" si="75"/>
        <v>#REF!</v>
      </c>
      <c r="G197" s="1240"/>
      <c r="H197" s="1096" t="e">
        <f t="shared" si="76"/>
        <v>#REF!</v>
      </c>
      <c r="I197" s="1103"/>
      <c r="J197" s="1096" t="e">
        <f t="shared" si="77"/>
        <v>#REF!</v>
      </c>
      <c r="K197" s="1096"/>
      <c r="L197" s="1096" t="e">
        <f t="shared" si="78"/>
        <v>#REF!</v>
      </c>
      <c r="M197" s="1103"/>
      <c r="N197" s="1096" t="e">
        <f t="shared" si="79"/>
        <v>#REF!</v>
      </c>
      <c r="O197" s="1098">
        <f t="shared" si="74"/>
        <v>0</v>
      </c>
      <c r="P197" s="1096" t="e">
        <f t="shared" si="80"/>
        <v>#REF!</v>
      </c>
      <c r="Q197" s="1098">
        <f t="shared" si="73"/>
        <v>0</v>
      </c>
      <c r="R197" s="1096" t="e">
        <f t="shared" si="81"/>
        <v>#REF!</v>
      </c>
      <c r="S197" s="1107"/>
      <c r="T197" s="1104"/>
    </row>
    <row r="198" spans="1:20" s="1108" customFormat="1" hidden="1">
      <c r="B198" s="1325" t="s">
        <v>4554</v>
      </c>
      <c r="C198" s="1108" t="e">
        <f>#REF!</f>
        <v>#REF!</v>
      </c>
      <c r="E198" s="1240"/>
      <c r="F198" s="1097" t="e">
        <f t="shared" si="75"/>
        <v>#REF!</v>
      </c>
      <c r="G198" s="1240"/>
      <c r="H198" s="1096" t="e">
        <f t="shared" si="76"/>
        <v>#REF!</v>
      </c>
      <c r="I198" s="1103"/>
      <c r="J198" s="1096" t="e">
        <f t="shared" si="77"/>
        <v>#REF!</v>
      </c>
      <c r="K198" s="1096"/>
      <c r="L198" s="1096" t="e">
        <f t="shared" si="78"/>
        <v>#REF!</v>
      </c>
      <c r="M198" s="1103"/>
      <c r="N198" s="1096" t="e">
        <f t="shared" si="79"/>
        <v>#REF!</v>
      </c>
      <c r="O198" s="1098">
        <f t="shared" si="74"/>
        <v>0</v>
      </c>
      <c r="P198" s="1096" t="e">
        <f t="shared" si="80"/>
        <v>#REF!</v>
      </c>
      <c r="Q198" s="1098">
        <f t="shared" si="73"/>
        <v>0</v>
      </c>
      <c r="R198" s="1096" t="e">
        <f t="shared" si="81"/>
        <v>#REF!</v>
      </c>
      <c r="S198" s="1107"/>
      <c r="T198" s="1104"/>
    </row>
    <row r="199" spans="1:20" s="1108" customFormat="1" hidden="1">
      <c r="B199" s="1325" t="e">
        <f>#REF!</f>
        <v>#REF!</v>
      </c>
      <c r="C199" s="1108" t="e">
        <f>#REF!</f>
        <v>#REF!</v>
      </c>
      <c r="E199" s="1240"/>
      <c r="F199" s="1097" t="e">
        <f t="shared" si="75"/>
        <v>#REF!</v>
      </c>
      <c r="G199" s="1240"/>
      <c r="H199" s="1096" t="e">
        <f t="shared" si="76"/>
        <v>#REF!</v>
      </c>
      <c r="I199" s="1103"/>
      <c r="J199" s="1096" t="e">
        <f t="shared" si="77"/>
        <v>#REF!</v>
      </c>
      <c r="K199" s="1096"/>
      <c r="L199" s="1096" t="e">
        <f t="shared" si="78"/>
        <v>#REF!</v>
      </c>
      <c r="M199" s="1103"/>
      <c r="N199" s="1096" t="e">
        <f t="shared" si="79"/>
        <v>#REF!</v>
      </c>
      <c r="O199" s="1098">
        <f t="shared" si="74"/>
        <v>0</v>
      </c>
      <c r="P199" s="1096" t="e">
        <f t="shared" si="80"/>
        <v>#REF!</v>
      </c>
      <c r="Q199" s="1098">
        <f t="shared" si="73"/>
        <v>0</v>
      </c>
      <c r="R199" s="1096" t="e">
        <f t="shared" si="81"/>
        <v>#REF!</v>
      </c>
      <c r="S199" s="1107"/>
      <c r="T199" s="1104"/>
    </row>
    <row r="200" spans="1:20" s="1108" customFormat="1" hidden="1">
      <c r="B200" s="1325" t="e">
        <f>#REF!</f>
        <v>#REF!</v>
      </c>
      <c r="C200" s="1108" t="e">
        <f>#REF!</f>
        <v>#REF!</v>
      </c>
      <c r="E200" s="1240"/>
      <c r="F200" s="1097" t="e">
        <f t="shared" si="75"/>
        <v>#REF!</v>
      </c>
      <c r="G200" s="1240"/>
      <c r="H200" s="1096" t="e">
        <f t="shared" si="76"/>
        <v>#REF!</v>
      </c>
      <c r="I200" s="1103"/>
      <c r="J200" s="1096" t="e">
        <f t="shared" si="77"/>
        <v>#REF!</v>
      </c>
      <c r="K200" s="1096"/>
      <c r="L200" s="1096" t="e">
        <f t="shared" si="78"/>
        <v>#REF!</v>
      </c>
      <c r="M200" s="1103"/>
      <c r="N200" s="1096" t="e">
        <f t="shared" si="79"/>
        <v>#REF!</v>
      </c>
      <c r="O200" s="1098">
        <f t="shared" si="74"/>
        <v>0</v>
      </c>
      <c r="P200" s="1096" t="e">
        <f t="shared" si="80"/>
        <v>#REF!</v>
      </c>
      <c r="Q200" s="1098">
        <f t="shared" si="73"/>
        <v>0</v>
      </c>
      <c r="R200" s="1096" t="e">
        <f t="shared" si="81"/>
        <v>#REF!</v>
      </c>
      <c r="S200" s="1107"/>
      <c r="T200" s="1104"/>
    </row>
    <row r="201" spans="1:20" s="1108" customFormat="1" hidden="1">
      <c r="B201" s="1325"/>
      <c r="E201" s="1240"/>
      <c r="F201" s="1097">
        <f t="shared" si="75"/>
        <v>0</v>
      </c>
      <c r="G201" s="1240"/>
      <c r="H201" s="1096">
        <f t="shared" si="76"/>
        <v>0</v>
      </c>
      <c r="I201" s="1103"/>
      <c r="J201" s="1096">
        <f t="shared" si="77"/>
        <v>0</v>
      </c>
      <c r="K201" s="1096"/>
      <c r="L201" s="1096">
        <f t="shared" si="78"/>
        <v>0</v>
      </c>
      <c r="M201" s="1103"/>
      <c r="N201" s="1096">
        <f t="shared" si="79"/>
        <v>0</v>
      </c>
      <c r="O201" s="1098">
        <f t="shared" si="74"/>
        <v>0</v>
      </c>
      <c r="P201" s="1096">
        <f t="shared" si="80"/>
        <v>0</v>
      </c>
      <c r="Q201" s="1098">
        <f t="shared" si="73"/>
        <v>0</v>
      </c>
      <c r="R201" s="1096">
        <f t="shared" si="81"/>
        <v>0</v>
      </c>
      <c r="S201" s="1107"/>
      <c r="T201" s="1104"/>
    </row>
    <row r="202" spans="1:20" s="1108" customFormat="1" hidden="1">
      <c r="B202" s="1325"/>
      <c r="E202" s="1240"/>
      <c r="F202" s="1097">
        <f t="shared" si="75"/>
        <v>0</v>
      </c>
      <c r="G202" s="1240"/>
      <c r="H202" s="1096">
        <f t="shared" si="76"/>
        <v>0</v>
      </c>
      <c r="I202" s="1103"/>
      <c r="J202" s="1096">
        <f t="shared" si="77"/>
        <v>0</v>
      </c>
      <c r="K202" s="1096"/>
      <c r="L202" s="1096">
        <f t="shared" si="78"/>
        <v>0</v>
      </c>
      <c r="M202" s="1103"/>
      <c r="N202" s="1096">
        <f t="shared" si="79"/>
        <v>0</v>
      </c>
      <c r="O202" s="1098">
        <f t="shared" si="74"/>
        <v>0</v>
      </c>
      <c r="P202" s="1096">
        <f t="shared" si="80"/>
        <v>0</v>
      </c>
      <c r="Q202" s="1098">
        <f t="shared" si="73"/>
        <v>0</v>
      </c>
      <c r="R202" s="1096">
        <f t="shared" si="81"/>
        <v>0</v>
      </c>
      <c r="S202" s="1107"/>
      <c r="T202" s="1104"/>
    </row>
    <row r="203" spans="1:20" s="1108" customFormat="1" hidden="1">
      <c r="B203" s="1325"/>
      <c r="E203" s="1240"/>
      <c r="F203" s="1097">
        <f t="shared" si="75"/>
        <v>0</v>
      </c>
      <c r="G203" s="1240"/>
      <c r="H203" s="1096">
        <f t="shared" si="76"/>
        <v>0</v>
      </c>
      <c r="I203" s="1103"/>
      <c r="J203" s="1096">
        <f t="shared" si="77"/>
        <v>0</v>
      </c>
      <c r="K203" s="1096"/>
      <c r="L203" s="1096">
        <f t="shared" si="78"/>
        <v>0</v>
      </c>
      <c r="M203" s="1103"/>
      <c r="N203" s="1096">
        <f t="shared" si="79"/>
        <v>0</v>
      </c>
      <c r="O203" s="1098">
        <f t="shared" si="74"/>
        <v>0</v>
      </c>
      <c r="P203" s="1096">
        <f t="shared" si="80"/>
        <v>0</v>
      </c>
      <c r="Q203" s="1098">
        <f t="shared" si="73"/>
        <v>0</v>
      </c>
      <c r="R203" s="1096">
        <f t="shared" si="81"/>
        <v>0</v>
      </c>
      <c r="S203" s="1107"/>
      <c r="T203" s="1104"/>
    </row>
    <row r="204" spans="1:20" s="1108" customFormat="1" hidden="1">
      <c r="B204" s="1325"/>
      <c r="E204" s="1240"/>
      <c r="F204" s="1097">
        <f t="shared" si="75"/>
        <v>0</v>
      </c>
      <c r="G204" s="1240"/>
      <c r="H204" s="1096">
        <f t="shared" si="76"/>
        <v>0</v>
      </c>
      <c r="I204" s="1103"/>
      <c r="J204" s="1096">
        <f t="shared" si="77"/>
        <v>0</v>
      </c>
      <c r="K204" s="1096"/>
      <c r="L204" s="1096">
        <f t="shared" si="78"/>
        <v>0</v>
      </c>
      <c r="M204" s="1103"/>
      <c r="N204" s="1096">
        <f t="shared" si="79"/>
        <v>0</v>
      </c>
      <c r="O204" s="1098">
        <f t="shared" si="74"/>
        <v>0</v>
      </c>
      <c r="P204" s="1096">
        <f t="shared" si="80"/>
        <v>0</v>
      </c>
      <c r="Q204" s="1098">
        <f t="shared" si="73"/>
        <v>0</v>
      </c>
      <c r="R204" s="1096">
        <f t="shared" si="81"/>
        <v>0</v>
      </c>
      <c r="S204" s="1107"/>
      <c r="T204" s="1104"/>
    </row>
    <row r="205" spans="1:20" s="1108" customFormat="1" hidden="1">
      <c r="B205" s="1325"/>
      <c r="E205" s="1240"/>
      <c r="F205" s="1097">
        <f t="shared" si="75"/>
        <v>0</v>
      </c>
      <c r="G205" s="1240"/>
      <c r="H205" s="1096">
        <f t="shared" si="76"/>
        <v>0</v>
      </c>
      <c r="I205" s="1103"/>
      <c r="J205" s="1096">
        <f t="shared" si="77"/>
        <v>0</v>
      </c>
      <c r="K205" s="1096"/>
      <c r="L205" s="1096">
        <f t="shared" si="78"/>
        <v>0</v>
      </c>
      <c r="M205" s="1103"/>
      <c r="N205" s="1096">
        <f t="shared" si="79"/>
        <v>0</v>
      </c>
      <c r="O205" s="1098">
        <f t="shared" si="74"/>
        <v>0</v>
      </c>
      <c r="P205" s="1096">
        <f t="shared" si="80"/>
        <v>0</v>
      </c>
      <c r="Q205" s="1098">
        <f t="shared" si="73"/>
        <v>0</v>
      </c>
      <c r="R205" s="1096">
        <f t="shared" si="81"/>
        <v>0</v>
      </c>
      <c r="S205" s="1107"/>
      <c r="T205" s="1104"/>
    </row>
    <row r="206" spans="1:20" s="1108" customFormat="1" hidden="1">
      <c r="B206" s="1325"/>
      <c r="E206" s="1240"/>
      <c r="F206" s="1097">
        <f t="shared" si="75"/>
        <v>0</v>
      </c>
      <c r="G206" s="1240"/>
      <c r="H206" s="1096">
        <f t="shared" si="76"/>
        <v>0</v>
      </c>
      <c r="I206" s="1103"/>
      <c r="J206" s="1096">
        <f t="shared" si="77"/>
        <v>0</v>
      </c>
      <c r="K206" s="1096"/>
      <c r="L206" s="1096">
        <f t="shared" si="78"/>
        <v>0</v>
      </c>
      <c r="M206" s="1103"/>
      <c r="N206" s="1096">
        <f t="shared" si="79"/>
        <v>0</v>
      </c>
      <c r="O206" s="1098">
        <f t="shared" si="74"/>
        <v>0</v>
      </c>
      <c r="P206" s="1096">
        <f t="shared" si="80"/>
        <v>0</v>
      </c>
      <c r="Q206" s="1098">
        <f t="shared" si="73"/>
        <v>0</v>
      </c>
      <c r="R206" s="1096">
        <f t="shared" si="81"/>
        <v>0</v>
      </c>
      <c r="S206" s="1107"/>
      <c r="T206" s="1104"/>
    </row>
    <row r="207" spans="1:20" s="1108" customFormat="1" hidden="1">
      <c r="B207" s="1325"/>
      <c r="E207" s="1240"/>
      <c r="F207" s="1097">
        <f t="shared" si="75"/>
        <v>0</v>
      </c>
      <c r="G207" s="1240"/>
      <c r="H207" s="1096">
        <f t="shared" si="76"/>
        <v>0</v>
      </c>
      <c r="I207" s="1103"/>
      <c r="J207" s="1096">
        <f t="shared" si="77"/>
        <v>0</v>
      </c>
      <c r="K207" s="1096"/>
      <c r="L207" s="1096">
        <f t="shared" si="78"/>
        <v>0</v>
      </c>
      <c r="M207" s="1103"/>
      <c r="N207" s="1096">
        <f t="shared" si="79"/>
        <v>0</v>
      </c>
      <c r="O207" s="1098">
        <f t="shared" si="74"/>
        <v>0</v>
      </c>
      <c r="P207" s="1096">
        <f t="shared" si="80"/>
        <v>0</v>
      </c>
      <c r="Q207" s="1098">
        <f t="shared" si="73"/>
        <v>0</v>
      </c>
      <c r="R207" s="1096">
        <f t="shared" si="81"/>
        <v>0</v>
      </c>
      <c r="S207" s="1107"/>
      <c r="T207" s="1104"/>
    </row>
    <row r="208" spans="1:20" s="1108" customFormat="1" hidden="1">
      <c r="B208" s="1325"/>
      <c r="E208" s="1240"/>
      <c r="F208" s="1097">
        <f t="shared" si="75"/>
        <v>0</v>
      </c>
      <c r="G208" s="1240"/>
      <c r="H208" s="1096">
        <f t="shared" si="76"/>
        <v>0</v>
      </c>
      <c r="I208" s="1103"/>
      <c r="J208" s="1096">
        <f t="shared" si="77"/>
        <v>0</v>
      </c>
      <c r="K208" s="1096"/>
      <c r="L208" s="1096">
        <f t="shared" si="78"/>
        <v>0</v>
      </c>
      <c r="M208" s="1103"/>
      <c r="N208" s="1096">
        <f t="shared" si="79"/>
        <v>0</v>
      </c>
      <c r="O208" s="1098">
        <f t="shared" si="74"/>
        <v>0</v>
      </c>
      <c r="P208" s="1096">
        <f t="shared" si="80"/>
        <v>0</v>
      </c>
      <c r="Q208" s="1098">
        <f t="shared" si="73"/>
        <v>0</v>
      </c>
      <c r="R208" s="1096">
        <f t="shared" si="81"/>
        <v>0</v>
      </c>
      <c r="S208" s="1107"/>
      <c r="T208" s="1104"/>
    </row>
    <row r="209" spans="1:20">
      <c r="A209" s="1085"/>
      <c r="B209" s="1322"/>
      <c r="C209" s="1085"/>
      <c r="D209" s="1085"/>
      <c r="E209" s="1543"/>
      <c r="F209" s="1097">
        <f t="shared" si="75"/>
        <v>0</v>
      </c>
      <c r="G209" s="1543"/>
      <c r="H209" s="1096">
        <f t="shared" si="76"/>
        <v>0</v>
      </c>
      <c r="I209" s="1096"/>
      <c r="J209" s="1096">
        <f t="shared" si="77"/>
        <v>0</v>
      </c>
      <c r="K209" s="1096"/>
      <c r="L209" s="1096">
        <f t="shared" si="78"/>
        <v>0</v>
      </c>
      <c r="M209" s="1096"/>
      <c r="N209" s="1096">
        <f t="shared" si="79"/>
        <v>0</v>
      </c>
      <c r="O209" s="1098">
        <f t="shared" si="74"/>
        <v>0</v>
      </c>
      <c r="P209" s="1096"/>
      <c r="Q209" s="1098">
        <f t="shared" si="73"/>
        <v>0</v>
      </c>
      <c r="R209" s="1096"/>
      <c r="S209" s="1099">
        <f>+R104-R210</f>
        <v>0</v>
      </c>
      <c r="T209" s="1099"/>
    </row>
    <row r="210" spans="1:20">
      <c r="A210" s="1085"/>
      <c r="B210" s="1322"/>
      <c r="C210" s="1085"/>
      <c r="D210" s="1085"/>
      <c r="E210" s="1543"/>
      <c r="F210" s="1097">
        <f>+'Ins Abs'!R88</f>
        <v>2176834.6027500257</v>
      </c>
      <c r="G210" s="1543"/>
      <c r="H210" s="1096">
        <f>+'SI Abs '!R91</f>
        <v>2903458.4217969542</v>
      </c>
      <c r="I210" s="1096"/>
      <c r="J210" s="1096">
        <f>+'PC Abs'!R83</f>
        <v>5551672.7482977249</v>
      </c>
      <c r="K210" s="1096"/>
      <c r="L210" s="1096">
        <f t="shared" si="78"/>
        <v>0</v>
      </c>
      <c r="M210" s="1096"/>
      <c r="N210" s="1096">
        <f t="shared" si="79"/>
        <v>0</v>
      </c>
      <c r="O210" s="1098">
        <f t="shared" si="74"/>
        <v>0</v>
      </c>
      <c r="P210" s="1096">
        <f>N104+L104+J104</f>
        <v>7839949.8436637241</v>
      </c>
      <c r="R210" s="1096">
        <f>+F210+H210+J210+L104+N104</f>
        <v>12920242.868210707</v>
      </c>
      <c r="S210" s="1099">
        <f>3974.59*93.24</f>
        <v>370590.77159999998</v>
      </c>
      <c r="T210" s="1099"/>
    </row>
    <row r="211" spans="1:20">
      <c r="A211" s="1085"/>
      <c r="B211" s="1098">
        <f>3974.59*93.24</f>
        <v>370590.77159999998</v>
      </c>
      <c r="C211" s="1085"/>
      <c r="D211" s="1085"/>
      <c r="E211" s="1543"/>
      <c r="F211" s="1097">
        <f t="shared" si="75"/>
        <v>0</v>
      </c>
      <c r="G211" s="1543"/>
      <c r="H211" s="1096">
        <f t="shared" si="76"/>
        <v>0</v>
      </c>
      <c r="I211" s="1096"/>
      <c r="J211" s="1096">
        <f t="shared" si="77"/>
        <v>0</v>
      </c>
      <c r="K211" s="1096"/>
      <c r="L211" s="1096">
        <f>+'Ins Abs'!R87+'SI Abs '!R90+'PC Abs'!R82</f>
        <v>370590.77159999998</v>
      </c>
      <c r="M211" s="1096"/>
      <c r="N211" s="1096">
        <f t="shared" si="79"/>
        <v>0</v>
      </c>
      <c r="O211" s="1098">
        <f t="shared" si="74"/>
        <v>0</v>
      </c>
      <c r="P211" s="1096">
        <f>P104-P210</f>
        <v>-5551672.7482977249</v>
      </c>
      <c r="Q211" s="1098">
        <f t="shared" si="73"/>
        <v>0</v>
      </c>
      <c r="R211" s="1096"/>
      <c r="S211" s="1099"/>
      <c r="T211" s="1099"/>
    </row>
    <row r="212" spans="1:20">
      <c r="A212" s="1085"/>
      <c r="B212" s="1322"/>
      <c r="C212" s="1085"/>
      <c r="D212" s="1085"/>
      <c r="E212" s="1543">
        <f>12.6+20.16+60.48</f>
        <v>93.24</v>
      </c>
      <c r="F212" s="1097">
        <f>+E103+G103+I103</f>
        <v>93.240000000000009</v>
      </c>
      <c r="G212" s="1543"/>
      <c r="H212" s="1096">
        <f t="shared" si="76"/>
        <v>0</v>
      </c>
      <c r="I212" s="1096"/>
      <c r="J212" s="1096">
        <f t="shared" si="77"/>
        <v>0</v>
      </c>
      <c r="K212" s="1096"/>
      <c r="L212" s="1096">
        <f t="shared" si="78"/>
        <v>0</v>
      </c>
      <c r="M212" s="1096"/>
      <c r="N212" s="1096">
        <f t="shared" si="79"/>
        <v>0</v>
      </c>
      <c r="O212" s="1098">
        <f t="shared" si="74"/>
        <v>0</v>
      </c>
      <c r="P212" s="1096">
        <f t="shared" si="80"/>
        <v>0</v>
      </c>
      <c r="Q212" s="1098">
        <f t="shared" si="73"/>
        <v>93.24</v>
      </c>
      <c r="R212" s="1096">
        <f>R210-R104</f>
        <v>0</v>
      </c>
      <c r="S212" s="1099"/>
      <c r="T212" s="1099"/>
    </row>
    <row r="213" spans="1:20">
      <c r="A213" s="1085"/>
      <c r="B213" s="1322"/>
      <c r="C213" s="1085"/>
      <c r="D213" s="1085"/>
      <c r="E213" s="1543"/>
      <c r="F213" s="1097">
        <f t="shared" si="75"/>
        <v>0</v>
      </c>
      <c r="G213" s="1543"/>
      <c r="H213" s="1096">
        <f t="shared" si="76"/>
        <v>0</v>
      </c>
      <c r="I213" s="1096"/>
      <c r="J213" s="1096">
        <f t="shared" si="77"/>
        <v>0</v>
      </c>
      <c r="K213" s="1096"/>
      <c r="M213" s="1096"/>
      <c r="N213" s="1096">
        <f t="shared" si="79"/>
        <v>0</v>
      </c>
      <c r="O213" s="1098">
        <f t="shared" si="74"/>
        <v>0</v>
      </c>
      <c r="P213" s="1096">
        <f t="shared" si="80"/>
        <v>0</v>
      </c>
      <c r="Q213" s="1098">
        <f t="shared" si="73"/>
        <v>0</v>
      </c>
      <c r="R213" s="1096">
        <f t="shared" si="81"/>
        <v>0</v>
      </c>
      <c r="S213" s="1099"/>
      <c r="T213" s="1099"/>
    </row>
    <row r="214" spans="1:20">
      <c r="A214" s="1085"/>
      <c r="B214" s="1322"/>
      <c r="C214" s="1085"/>
      <c r="D214" s="1085"/>
      <c r="E214" s="1543"/>
      <c r="F214" s="1097">
        <f t="shared" si="75"/>
        <v>0</v>
      </c>
      <c r="G214" s="1543"/>
      <c r="H214" s="1096">
        <f t="shared" si="76"/>
        <v>0</v>
      </c>
      <c r="I214" s="1096"/>
      <c r="J214" s="1096">
        <f t="shared" si="77"/>
        <v>0</v>
      </c>
      <c r="K214" s="1096"/>
      <c r="L214" s="1096">
        <f t="shared" si="78"/>
        <v>0</v>
      </c>
      <c r="M214" s="1096"/>
      <c r="N214" s="1096">
        <f t="shared" si="79"/>
        <v>0</v>
      </c>
      <c r="O214" s="1098">
        <f t="shared" si="74"/>
        <v>0</v>
      </c>
      <c r="P214" s="1096">
        <f t="shared" si="80"/>
        <v>0</v>
      </c>
      <c r="Q214" s="1098">
        <f t="shared" si="73"/>
        <v>0</v>
      </c>
      <c r="R214" s="1096">
        <f t="shared" si="81"/>
        <v>0</v>
      </c>
      <c r="S214" s="1099"/>
      <c r="T214" s="1099"/>
    </row>
    <row r="215" spans="1:20">
      <c r="A215" s="1085"/>
      <c r="B215" s="1322"/>
      <c r="C215" s="1085"/>
      <c r="D215" s="1085"/>
      <c r="E215" s="1543"/>
      <c r="F215" s="1097">
        <f t="shared" si="75"/>
        <v>0</v>
      </c>
      <c r="G215" s="1543"/>
      <c r="H215" s="1096">
        <f t="shared" si="76"/>
        <v>0</v>
      </c>
      <c r="I215" s="1096"/>
      <c r="J215" s="1096">
        <f t="shared" si="77"/>
        <v>0</v>
      </c>
      <c r="K215" s="1096"/>
      <c r="L215" s="1096">
        <f t="shared" si="78"/>
        <v>0</v>
      </c>
      <c r="M215" s="1096"/>
      <c r="N215" s="1096">
        <f t="shared" si="79"/>
        <v>0</v>
      </c>
      <c r="O215" s="1098">
        <f t="shared" si="74"/>
        <v>0</v>
      </c>
      <c r="P215" s="1096">
        <f t="shared" si="80"/>
        <v>0</v>
      </c>
      <c r="Q215" s="1098">
        <f t="shared" si="73"/>
        <v>0</v>
      </c>
      <c r="R215" s="1096">
        <f t="shared" si="81"/>
        <v>0</v>
      </c>
      <c r="S215" s="1099"/>
      <c r="T215" s="1099"/>
    </row>
    <row r="216" spans="1:20">
      <c r="A216" s="1085"/>
      <c r="B216" s="1322"/>
      <c r="C216" s="1085"/>
      <c r="D216" s="1085"/>
      <c r="E216" s="1543"/>
      <c r="F216" s="1097">
        <f t="shared" si="75"/>
        <v>0</v>
      </c>
      <c r="G216" s="1543"/>
      <c r="H216" s="1096">
        <f t="shared" si="76"/>
        <v>0</v>
      </c>
      <c r="I216" s="1096"/>
      <c r="J216" s="1096">
        <f t="shared" si="77"/>
        <v>0</v>
      </c>
      <c r="K216" s="1096"/>
      <c r="L216" s="1096">
        <f t="shared" si="78"/>
        <v>0</v>
      </c>
      <c r="M216" s="1096"/>
      <c r="N216" s="1096">
        <f t="shared" si="79"/>
        <v>0</v>
      </c>
      <c r="O216" s="1098">
        <f t="shared" si="74"/>
        <v>0</v>
      </c>
      <c r="P216" s="1096">
        <f t="shared" si="80"/>
        <v>0</v>
      </c>
      <c r="Q216" s="1098">
        <f t="shared" si="73"/>
        <v>0</v>
      </c>
      <c r="R216" s="1096">
        <f t="shared" si="81"/>
        <v>0</v>
      </c>
      <c r="S216" s="1099"/>
      <c r="T216" s="1099"/>
    </row>
    <row r="217" spans="1:20">
      <c r="A217" s="1085"/>
      <c r="B217" s="1322"/>
      <c r="C217" s="1085"/>
      <c r="D217" s="1085"/>
      <c r="E217" s="1543"/>
      <c r="F217" s="1097">
        <f t="shared" si="75"/>
        <v>0</v>
      </c>
      <c r="G217" s="1543"/>
      <c r="H217" s="1096">
        <f t="shared" si="76"/>
        <v>0</v>
      </c>
      <c r="I217" s="1096"/>
      <c r="J217" s="1096">
        <f t="shared" si="77"/>
        <v>0</v>
      </c>
      <c r="K217" s="1096"/>
      <c r="L217" s="1096">
        <f t="shared" si="78"/>
        <v>0</v>
      </c>
      <c r="M217" s="1096"/>
      <c r="N217" s="1096">
        <f t="shared" si="79"/>
        <v>0</v>
      </c>
      <c r="O217" s="1098">
        <f t="shared" si="74"/>
        <v>0</v>
      </c>
      <c r="P217" s="1096">
        <f t="shared" si="80"/>
        <v>0</v>
      </c>
      <c r="Q217" s="1098">
        <f t="shared" si="73"/>
        <v>0</v>
      </c>
      <c r="R217" s="1096">
        <f t="shared" si="81"/>
        <v>0</v>
      </c>
      <c r="S217" s="1099"/>
      <c r="T217" s="1099"/>
    </row>
    <row r="218" spans="1:20">
      <c r="A218" s="1085"/>
      <c r="B218" s="1322"/>
      <c r="C218" s="1085"/>
      <c r="D218" s="1085"/>
      <c r="E218" s="1543"/>
      <c r="F218" s="1097">
        <f t="shared" si="75"/>
        <v>0</v>
      </c>
      <c r="G218" s="1543"/>
      <c r="H218" s="1096">
        <f t="shared" si="76"/>
        <v>0</v>
      </c>
      <c r="I218" s="1096"/>
      <c r="J218" s="1096">
        <f t="shared" si="77"/>
        <v>0</v>
      </c>
      <c r="K218" s="1096"/>
      <c r="L218" s="1096">
        <f t="shared" si="78"/>
        <v>0</v>
      </c>
      <c r="M218" s="1096"/>
      <c r="N218" s="1096">
        <f t="shared" si="79"/>
        <v>0</v>
      </c>
      <c r="O218" s="1098">
        <f t="shared" si="74"/>
        <v>0</v>
      </c>
      <c r="P218" s="1096">
        <f t="shared" si="80"/>
        <v>0</v>
      </c>
      <c r="Q218" s="1098">
        <f t="shared" si="73"/>
        <v>0</v>
      </c>
      <c r="R218" s="1096">
        <f t="shared" si="81"/>
        <v>0</v>
      </c>
      <c r="S218" s="1099"/>
      <c r="T218" s="1099"/>
    </row>
    <row r="219" spans="1:20">
      <c r="A219" s="1085"/>
      <c r="B219" s="1322"/>
      <c r="C219" s="1085"/>
      <c r="D219" s="1085"/>
      <c r="E219" s="1543"/>
      <c r="F219" s="1097">
        <f t="shared" si="75"/>
        <v>0</v>
      </c>
      <c r="G219" s="1543"/>
      <c r="H219" s="1096">
        <f t="shared" si="76"/>
        <v>0</v>
      </c>
      <c r="I219" s="1096"/>
      <c r="J219" s="1096">
        <f t="shared" si="77"/>
        <v>0</v>
      </c>
      <c r="K219" s="1096"/>
      <c r="L219" s="1096">
        <f t="shared" si="78"/>
        <v>0</v>
      </c>
      <c r="M219" s="1096"/>
      <c r="N219" s="1096">
        <f t="shared" si="79"/>
        <v>0</v>
      </c>
      <c r="O219" s="1098">
        <f t="shared" si="74"/>
        <v>0</v>
      </c>
      <c r="P219" s="1096">
        <f t="shared" si="80"/>
        <v>0</v>
      </c>
      <c r="Q219" s="1098">
        <f t="shared" si="73"/>
        <v>0</v>
      </c>
      <c r="R219" s="1096">
        <f t="shared" si="81"/>
        <v>0</v>
      </c>
      <c r="S219" s="1099"/>
      <c r="T219" s="1099"/>
    </row>
    <row r="220" spans="1:20">
      <c r="A220" s="1085"/>
      <c r="B220" s="1322"/>
      <c r="C220" s="1085"/>
      <c r="D220" s="1085"/>
      <c r="E220" s="1543"/>
      <c r="F220" s="1097">
        <f t="shared" si="75"/>
        <v>0</v>
      </c>
      <c r="G220" s="1543"/>
      <c r="H220" s="1096">
        <f t="shared" si="76"/>
        <v>0</v>
      </c>
      <c r="I220" s="1096"/>
      <c r="J220" s="1096">
        <f t="shared" si="77"/>
        <v>0</v>
      </c>
      <c r="K220" s="1096"/>
      <c r="L220" s="1096">
        <f t="shared" si="78"/>
        <v>0</v>
      </c>
      <c r="M220" s="1096"/>
      <c r="N220" s="1096">
        <f t="shared" si="79"/>
        <v>0</v>
      </c>
      <c r="O220" s="1098">
        <f t="shared" si="74"/>
        <v>0</v>
      </c>
      <c r="P220" s="1096">
        <f t="shared" si="80"/>
        <v>0</v>
      </c>
      <c r="Q220" s="1098">
        <f t="shared" si="73"/>
        <v>0</v>
      </c>
      <c r="R220" s="1096">
        <f t="shared" si="81"/>
        <v>0</v>
      </c>
      <c r="S220" s="1250"/>
      <c r="T220" s="1099"/>
    </row>
    <row r="221" spans="1:20">
      <c r="A221" s="1085"/>
      <c r="B221" s="1322"/>
      <c r="C221" s="1085"/>
      <c r="D221" s="1085"/>
      <c r="E221" s="1543"/>
      <c r="F221" s="1097">
        <f t="shared" si="75"/>
        <v>0</v>
      </c>
      <c r="G221" s="1543"/>
      <c r="H221" s="1096"/>
      <c r="I221" s="1096"/>
      <c r="J221" s="1096">
        <f t="shared" si="77"/>
        <v>0</v>
      </c>
      <c r="K221" s="1096"/>
      <c r="L221" s="1096">
        <f t="shared" si="78"/>
        <v>0</v>
      </c>
      <c r="M221" s="1096"/>
      <c r="N221" s="1096">
        <f t="shared" si="79"/>
        <v>0</v>
      </c>
      <c r="O221" s="1098">
        <f t="shared" si="74"/>
        <v>0</v>
      </c>
      <c r="P221" s="1096">
        <f t="shared" si="80"/>
        <v>0</v>
      </c>
      <c r="Q221" s="1098">
        <f t="shared" si="73"/>
        <v>0</v>
      </c>
      <c r="R221" s="1096">
        <f t="shared" si="81"/>
        <v>0</v>
      </c>
      <c r="S221" s="1250"/>
      <c r="T221" s="1099"/>
    </row>
    <row r="222" spans="1:20">
      <c r="A222" s="1085"/>
      <c r="B222" s="1322"/>
      <c r="C222" s="1085"/>
      <c r="D222" s="1085"/>
      <c r="E222" s="1543"/>
      <c r="F222" s="1097">
        <f t="shared" si="75"/>
        <v>0</v>
      </c>
      <c r="G222" s="1543"/>
      <c r="H222" s="1096"/>
      <c r="I222" s="1096"/>
      <c r="J222" s="1096">
        <f t="shared" si="77"/>
        <v>0</v>
      </c>
      <c r="K222" s="1096"/>
      <c r="L222" s="1096">
        <f t="shared" si="78"/>
        <v>0</v>
      </c>
      <c r="M222" s="1096"/>
      <c r="N222" s="1096">
        <f t="shared" si="79"/>
        <v>0</v>
      </c>
      <c r="O222" s="1098">
        <f t="shared" si="74"/>
        <v>0</v>
      </c>
      <c r="P222" s="1096">
        <f t="shared" si="80"/>
        <v>0</v>
      </c>
      <c r="Q222" s="1098">
        <f t="shared" si="73"/>
        <v>0</v>
      </c>
      <c r="R222" s="1096">
        <f t="shared" si="81"/>
        <v>0</v>
      </c>
      <c r="S222" s="1250"/>
      <c r="T222" s="1099"/>
    </row>
    <row r="223" spans="1:20">
      <c r="A223" s="1085"/>
      <c r="B223" s="1322"/>
      <c r="C223" s="1085"/>
      <c r="D223" s="1085"/>
      <c r="E223" s="1543"/>
      <c r="F223" s="1097">
        <f t="shared" si="75"/>
        <v>0</v>
      </c>
      <c r="G223" s="1543"/>
      <c r="H223" s="1096"/>
      <c r="I223" s="1096"/>
      <c r="J223" s="1096">
        <f t="shared" si="77"/>
        <v>0</v>
      </c>
      <c r="K223" s="1096"/>
      <c r="L223" s="1096">
        <f t="shared" si="78"/>
        <v>0</v>
      </c>
      <c r="M223" s="1096"/>
      <c r="N223" s="1096">
        <f t="shared" si="79"/>
        <v>0</v>
      </c>
      <c r="O223" s="1098"/>
      <c r="P223" s="1096"/>
      <c r="Q223" s="1098"/>
      <c r="R223" s="1096"/>
      <c r="S223" s="1250"/>
      <c r="T223" s="1099"/>
    </row>
    <row r="224" spans="1:20">
      <c r="A224" s="1085"/>
      <c r="B224" s="1322"/>
      <c r="C224" s="1085"/>
      <c r="D224" s="1085"/>
      <c r="E224" s="1543"/>
      <c r="F224" s="1097">
        <f t="shared" si="75"/>
        <v>0</v>
      </c>
      <c r="G224" s="1543"/>
      <c r="H224" s="1096"/>
      <c r="I224" s="1096"/>
      <c r="J224" s="1096">
        <f t="shared" si="77"/>
        <v>0</v>
      </c>
      <c r="K224" s="1096"/>
      <c r="L224" s="1096">
        <f t="shared" si="78"/>
        <v>0</v>
      </c>
      <c r="M224" s="1096"/>
      <c r="N224" s="1096">
        <f t="shared" si="79"/>
        <v>0</v>
      </c>
      <c r="O224" s="1098"/>
      <c r="P224" s="1096"/>
      <c r="Q224" s="1098"/>
      <c r="R224" s="1096"/>
      <c r="S224" s="1250"/>
      <c r="T224" s="1099"/>
    </row>
    <row r="225" spans="1:20">
      <c r="A225" s="1085"/>
      <c r="B225" s="1085"/>
      <c r="C225" s="1085"/>
      <c r="D225" s="1085"/>
      <c r="E225" s="1543"/>
      <c r="F225" s="1097">
        <f t="shared" si="75"/>
        <v>0</v>
      </c>
      <c r="G225" s="1543"/>
      <c r="H225" s="1096"/>
      <c r="I225" s="1096"/>
      <c r="J225" s="1096">
        <f t="shared" si="77"/>
        <v>0</v>
      </c>
      <c r="K225" s="1096"/>
      <c r="L225" s="1096"/>
      <c r="M225" s="1096"/>
      <c r="N225" s="1096">
        <f t="shared" si="79"/>
        <v>0</v>
      </c>
      <c r="O225" s="1098"/>
      <c r="P225" s="1096"/>
      <c r="Q225" s="1096"/>
      <c r="R225" s="1096"/>
      <c r="S225" s="1250"/>
      <c r="T225" s="1099"/>
    </row>
    <row r="226" spans="1:20">
      <c r="A226" s="1085"/>
      <c r="B226" s="1085"/>
      <c r="C226" s="1085"/>
      <c r="D226" s="1085"/>
      <c r="E226" s="1543"/>
      <c r="F226" s="1097">
        <f t="shared" si="75"/>
        <v>0</v>
      </c>
      <c r="G226" s="1543"/>
      <c r="H226" s="1096"/>
      <c r="I226" s="1096"/>
      <c r="J226" s="1096">
        <f t="shared" si="77"/>
        <v>0</v>
      </c>
      <c r="K226" s="1096"/>
      <c r="L226" s="1096"/>
      <c r="M226" s="1096"/>
      <c r="N226" s="1096">
        <f t="shared" si="79"/>
        <v>0</v>
      </c>
      <c r="O226" s="1098"/>
      <c r="P226" s="1096"/>
      <c r="Q226" s="1096"/>
      <c r="R226" s="1096"/>
      <c r="S226" s="1250"/>
      <c r="T226" s="1099"/>
    </row>
    <row r="227" spans="1:20">
      <c r="A227" s="1085"/>
      <c r="B227" s="1085"/>
      <c r="C227" s="1085"/>
      <c r="D227" s="1085"/>
      <c r="E227" s="1543"/>
      <c r="F227" s="1097">
        <f t="shared" si="75"/>
        <v>0</v>
      </c>
      <c r="G227" s="1543"/>
      <c r="H227" s="1096"/>
      <c r="I227" s="1096"/>
      <c r="J227" s="1096">
        <f t="shared" si="77"/>
        <v>0</v>
      </c>
      <c r="K227" s="1096"/>
      <c r="L227" s="1096"/>
      <c r="M227" s="1096"/>
      <c r="N227" s="1096">
        <f t="shared" si="79"/>
        <v>0</v>
      </c>
      <c r="O227" s="1098"/>
      <c r="P227" s="1096"/>
      <c r="Q227" s="1096"/>
      <c r="R227" s="1096"/>
      <c r="S227" s="1250"/>
      <c r="T227" s="1099"/>
    </row>
    <row r="228" spans="1:20">
      <c r="A228" s="1085"/>
      <c r="B228" s="1085"/>
      <c r="C228" s="1085"/>
      <c r="D228" s="1085"/>
      <c r="E228" s="1543"/>
      <c r="F228" s="1097">
        <f t="shared" ref="F228" si="82">E228*C228</f>
        <v>0</v>
      </c>
      <c r="G228" s="1543"/>
      <c r="H228" s="1096"/>
      <c r="I228" s="1096"/>
      <c r="J228" s="1096">
        <f t="shared" ref="J228" si="83">I228*C228</f>
        <v>0</v>
      </c>
      <c r="K228" s="1096"/>
      <c r="L228" s="1096"/>
      <c r="M228" s="1096"/>
      <c r="N228" s="1096">
        <f t="shared" ref="N228:N230" si="84">M228*C228</f>
        <v>0</v>
      </c>
      <c r="O228" s="1098"/>
      <c r="P228" s="1096"/>
      <c r="Q228" s="1096"/>
      <c r="R228" s="1096"/>
      <c r="S228" s="1250"/>
      <c r="T228" s="1099"/>
    </row>
    <row r="229" spans="1:20">
      <c r="A229" s="1085"/>
      <c r="B229" s="1085"/>
      <c r="C229" s="1085"/>
      <c r="D229" s="1085"/>
      <c r="E229" s="1085"/>
      <c r="F229" s="1097"/>
      <c r="G229" s="1085"/>
      <c r="H229" s="1096"/>
      <c r="I229" s="1096"/>
      <c r="J229" s="1092"/>
      <c r="K229" s="1092"/>
      <c r="L229" s="1092"/>
      <c r="M229" s="1092"/>
      <c r="N229" s="1096">
        <f t="shared" si="84"/>
        <v>0</v>
      </c>
      <c r="O229" s="1094"/>
      <c r="P229" s="1092"/>
      <c r="Q229" s="1096"/>
      <c r="R229" s="1096"/>
      <c r="S229" s="1084"/>
    </row>
    <row r="230" spans="1:20">
      <c r="A230" s="1085"/>
      <c r="B230" s="1085"/>
      <c r="C230" s="1085"/>
      <c r="D230" s="1085"/>
      <c r="E230" s="1085"/>
      <c r="F230" s="1097"/>
      <c r="G230" s="1085"/>
      <c r="H230" s="1096"/>
      <c r="I230" s="1096"/>
      <c r="J230" s="1092"/>
      <c r="K230" s="1092"/>
      <c r="L230" s="1092"/>
      <c r="M230" s="1092"/>
      <c r="N230" s="1096">
        <f t="shared" si="84"/>
        <v>0</v>
      </c>
      <c r="O230" s="1094"/>
      <c r="P230" s="1092"/>
      <c r="Q230" s="1096"/>
      <c r="R230" s="1096"/>
      <c r="S230" s="1084"/>
    </row>
    <row r="231" spans="1:20">
      <c r="F231" s="1084">
        <f>SUBTOTAL(9,F104:F212)</f>
        <v>2176927.8427500259</v>
      </c>
      <c r="H231" s="1096">
        <f>SUBTOTAL(9,H104:H212)</f>
        <v>2903458.4217969542</v>
      </c>
      <c r="J231" s="1092">
        <f>SUBTOTAL(9,J104:J212)</f>
        <v>5551672.7482977249</v>
      </c>
      <c r="K231" s="1254"/>
      <c r="L231" s="1254">
        <f>SUBTOTAL(9,L104:L212)</f>
        <v>1259284.0601065001</v>
      </c>
      <c r="M231" s="1254"/>
      <c r="N231" s="1254">
        <f>SUBTOTAL(9,N104:N212)</f>
        <v>1399583.8068594998</v>
      </c>
      <c r="O231" s="1255"/>
      <c r="P231" s="1254"/>
      <c r="Q231" s="1084"/>
      <c r="R231" s="1084"/>
      <c r="S231" s="1084"/>
    </row>
    <row r="232" spans="1:20">
      <c r="H232" s="1096"/>
      <c r="J232" s="1092"/>
      <c r="K232" s="1254"/>
      <c r="L232" s="1254"/>
      <c r="M232" s="1254"/>
      <c r="N232" s="1254"/>
      <c r="O232" s="1255"/>
      <c r="P232" s="1254"/>
      <c r="Q232" s="1084"/>
      <c r="R232" s="1084"/>
      <c r="S232" s="1084"/>
      <c r="T232" s="1084"/>
    </row>
    <row r="233" spans="1:20">
      <c r="Q233" s="1084"/>
      <c r="R233" s="1084"/>
      <c r="S233" s="1084"/>
      <c r="T233" s="1084"/>
    </row>
    <row r="234" spans="1:20">
      <c r="Q234" s="1084"/>
      <c r="R234" s="1084"/>
      <c r="S234" s="1084"/>
      <c r="T234" s="1084"/>
    </row>
    <row r="235" spans="1:20">
      <c r="Q235" s="1084"/>
      <c r="R235" s="1084"/>
      <c r="S235" s="1084"/>
      <c r="T235" s="1084"/>
    </row>
    <row r="236" spans="1:20">
      <c r="Q236" s="1084"/>
      <c r="R236" s="1084"/>
      <c r="S236" s="1084"/>
      <c r="T236" s="1084"/>
    </row>
    <row r="237" spans="1:20">
      <c r="Q237" s="1084"/>
      <c r="R237" s="1084"/>
      <c r="S237" s="1084"/>
      <c r="T237" s="1084"/>
    </row>
    <row r="238" spans="1:20">
      <c r="Q238" s="1084"/>
      <c r="R238" s="1084"/>
      <c r="S238" s="1084"/>
      <c r="T238" s="1084"/>
    </row>
  </sheetData>
  <autoFilter ref="A5:AB208">
    <filterColumn colId="17">
      <customFilters>
        <customFilter operator="notEqual" val=" "/>
      </customFilters>
    </filterColumn>
  </autoFilter>
  <mergeCells count="13">
    <mergeCell ref="M3:N3"/>
    <mergeCell ref="O3:P3"/>
    <mergeCell ref="Q3:R3"/>
    <mergeCell ref="A1:R1"/>
    <mergeCell ref="A2:R2"/>
    <mergeCell ref="A3:A4"/>
    <mergeCell ref="B3:B4"/>
    <mergeCell ref="C3:C4"/>
    <mergeCell ref="D3:D4"/>
    <mergeCell ref="E3:F3"/>
    <mergeCell ref="G3:H3"/>
    <mergeCell ref="I3:J3"/>
    <mergeCell ref="K3:L3"/>
  </mergeCells>
  <printOptions horizontalCentered="1"/>
  <pageMargins left="0.23622047244094491" right="0.19685039370078741" top="0.6692913385826772" bottom="0.55118110236220474" header="0.27559055118110237" footer="0.27559055118110237"/>
  <pageSetup paperSize="8" scale="35" orientation="landscape" r:id="rId1"/>
  <headerFooter alignWithMargins="0">
    <oddHeader>&amp;R&amp;P</oddHeader>
  </headerFooter>
  <drawing r:id="rId2"/>
</worksheet>
</file>

<file path=xl/worksheets/sheet17.xml><?xml version="1.0" encoding="utf-8"?>
<worksheet xmlns="http://schemas.openxmlformats.org/spreadsheetml/2006/main" xmlns:r="http://schemas.openxmlformats.org/officeDocument/2006/relationships">
  <sheetPr filterMode="1">
    <tabColor rgb="FF00B0F0"/>
  </sheetPr>
  <dimension ref="A1:AB222"/>
  <sheetViews>
    <sheetView showZeros="0" view="pageBreakPreview" zoomScale="55" zoomScaleNormal="40" zoomScaleSheetLayoutView="55" workbookViewId="0">
      <pane xSplit="4" ySplit="5" topLeftCell="G79" activePane="bottomRight" state="frozen"/>
      <selection activeCell="L6" sqref="L6"/>
      <selection pane="topRight" activeCell="L6" sqref="L6"/>
      <selection pane="bottomLeft" activeCell="L6" sqref="L6"/>
      <selection pane="bottomRight" activeCell="L80" sqref="L80"/>
    </sheetView>
  </sheetViews>
  <sheetFormatPr defaultColWidth="10.85546875" defaultRowHeight="25.5"/>
  <cols>
    <col min="1" max="1" width="12.28515625" style="1084" customWidth="1"/>
    <col min="2" max="2" width="78.7109375" style="1084" customWidth="1"/>
    <col min="3" max="3" width="20.28515625" style="1084" customWidth="1"/>
    <col min="4" max="4" width="13.42578125" style="1084" customWidth="1"/>
    <col min="5" max="5" width="17.140625" style="1084" customWidth="1"/>
    <col min="6" max="6" width="22" style="1084" customWidth="1"/>
    <col min="7" max="7" width="17.85546875" style="1084" customWidth="1"/>
    <col min="8" max="8" width="21.28515625" style="1084" customWidth="1"/>
    <col min="9" max="9" width="16.5703125" style="1179" customWidth="1"/>
    <col min="10" max="10" width="20.28515625" style="1084" customWidth="1"/>
    <col min="11" max="11" width="17.28515625" style="1084" customWidth="1"/>
    <col min="12" max="12" width="19.42578125" style="1084" customWidth="1"/>
    <col min="13" max="13" width="18.5703125" style="1084" hidden="1" customWidth="1"/>
    <col min="14" max="14" width="19.7109375" style="1084" hidden="1" customWidth="1"/>
    <col min="15" max="15" width="16" style="1256" customWidth="1"/>
    <col min="16" max="16" width="20.5703125" style="1084" customWidth="1"/>
    <col min="17" max="17" width="16.85546875" style="1548" customWidth="1"/>
    <col min="18" max="18" width="23.7109375" style="1083" customWidth="1"/>
    <col min="19" max="19" width="27.140625" style="1083" bestFit="1" customWidth="1"/>
    <col min="20" max="20" width="25.7109375" style="1083" bestFit="1" customWidth="1"/>
    <col min="21" max="21" width="19.42578125" style="1084" bestFit="1" customWidth="1"/>
    <col min="22" max="22" width="10.85546875" style="1084"/>
    <col min="23" max="23" width="16.42578125" style="1084" bestFit="1" customWidth="1"/>
    <col min="24" max="24" width="10.85546875" style="1084"/>
    <col min="25" max="25" width="14.42578125" style="1084" bestFit="1" customWidth="1"/>
    <col min="26" max="27" width="10.85546875" style="1084"/>
    <col min="28" max="28" width="14.28515625" style="1084" bestFit="1" customWidth="1"/>
    <col min="29" max="256" width="10.85546875" style="1084"/>
    <col min="257" max="257" width="12.28515625" style="1084" customWidth="1"/>
    <col min="258" max="258" width="78.7109375" style="1084" customWidth="1"/>
    <col min="259" max="259" width="20.28515625" style="1084" customWidth="1"/>
    <col min="260" max="260" width="13.42578125" style="1084" customWidth="1"/>
    <col min="261" max="261" width="17.140625" style="1084" customWidth="1"/>
    <col min="262" max="262" width="22" style="1084" customWidth="1"/>
    <col min="263" max="263" width="17.85546875" style="1084" customWidth="1"/>
    <col min="264" max="264" width="21.28515625" style="1084" customWidth="1"/>
    <col min="265" max="265" width="16.5703125" style="1084" customWidth="1"/>
    <col min="266" max="266" width="20.28515625" style="1084" customWidth="1"/>
    <col min="267" max="267" width="17.28515625" style="1084" customWidth="1"/>
    <col min="268" max="268" width="19.42578125" style="1084" customWidth="1"/>
    <col min="269" max="269" width="18.5703125" style="1084" customWidth="1"/>
    <col min="270" max="270" width="19.7109375" style="1084" customWidth="1"/>
    <col min="271" max="271" width="16" style="1084" customWidth="1"/>
    <col min="272" max="272" width="20.5703125" style="1084" customWidth="1"/>
    <col min="273" max="273" width="16.85546875" style="1084" customWidth="1"/>
    <col min="274" max="274" width="23.7109375" style="1084" customWidth="1"/>
    <col min="275" max="275" width="27.140625" style="1084" bestFit="1" customWidth="1"/>
    <col min="276" max="276" width="25.7109375" style="1084" bestFit="1" customWidth="1"/>
    <col min="277" max="277" width="19.42578125" style="1084" bestFit="1" customWidth="1"/>
    <col min="278" max="278" width="10.85546875" style="1084"/>
    <col min="279" max="279" width="16.42578125" style="1084" bestFit="1" customWidth="1"/>
    <col min="280" max="280" width="10.85546875" style="1084"/>
    <col min="281" max="281" width="14.42578125" style="1084" bestFit="1" customWidth="1"/>
    <col min="282" max="283" width="10.85546875" style="1084"/>
    <col min="284" max="284" width="14.28515625" style="1084" bestFit="1" customWidth="1"/>
    <col min="285" max="512" width="10.85546875" style="1084"/>
    <col min="513" max="513" width="12.28515625" style="1084" customWidth="1"/>
    <col min="514" max="514" width="78.7109375" style="1084" customWidth="1"/>
    <col min="515" max="515" width="20.28515625" style="1084" customWidth="1"/>
    <col min="516" max="516" width="13.42578125" style="1084" customWidth="1"/>
    <col min="517" max="517" width="17.140625" style="1084" customWidth="1"/>
    <col min="518" max="518" width="22" style="1084" customWidth="1"/>
    <col min="519" max="519" width="17.85546875" style="1084" customWidth="1"/>
    <col min="520" max="520" width="21.28515625" style="1084" customWidth="1"/>
    <col min="521" max="521" width="16.5703125" style="1084" customWidth="1"/>
    <col min="522" max="522" width="20.28515625" style="1084" customWidth="1"/>
    <col min="523" max="523" width="17.28515625" style="1084" customWidth="1"/>
    <col min="524" max="524" width="19.42578125" style="1084" customWidth="1"/>
    <col min="525" max="525" width="18.5703125" style="1084" customWidth="1"/>
    <col min="526" max="526" width="19.7109375" style="1084" customWidth="1"/>
    <col min="527" max="527" width="16" style="1084" customWidth="1"/>
    <col min="528" max="528" width="20.5703125" style="1084" customWidth="1"/>
    <col min="529" max="529" width="16.85546875" style="1084" customWidth="1"/>
    <col min="530" max="530" width="23.7109375" style="1084" customWidth="1"/>
    <col min="531" max="531" width="27.140625" style="1084" bestFit="1" customWidth="1"/>
    <col min="532" max="532" width="25.7109375" style="1084" bestFit="1" customWidth="1"/>
    <col min="533" max="533" width="19.42578125" style="1084" bestFit="1" customWidth="1"/>
    <col min="534" max="534" width="10.85546875" style="1084"/>
    <col min="535" max="535" width="16.42578125" style="1084" bestFit="1" customWidth="1"/>
    <col min="536" max="536" width="10.85546875" style="1084"/>
    <col min="537" max="537" width="14.42578125" style="1084" bestFit="1" customWidth="1"/>
    <col min="538" max="539" width="10.85546875" style="1084"/>
    <col min="540" max="540" width="14.28515625" style="1084" bestFit="1" customWidth="1"/>
    <col min="541" max="768" width="10.85546875" style="1084"/>
    <col min="769" max="769" width="12.28515625" style="1084" customWidth="1"/>
    <col min="770" max="770" width="78.7109375" style="1084" customWidth="1"/>
    <col min="771" max="771" width="20.28515625" style="1084" customWidth="1"/>
    <col min="772" max="772" width="13.42578125" style="1084" customWidth="1"/>
    <col min="773" max="773" width="17.140625" style="1084" customWidth="1"/>
    <col min="774" max="774" width="22" style="1084" customWidth="1"/>
    <col min="775" max="775" width="17.85546875" style="1084" customWidth="1"/>
    <col min="776" max="776" width="21.28515625" style="1084" customWidth="1"/>
    <col min="777" max="777" width="16.5703125" style="1084" customWidth="1"/>
    <col min="778" max="778" width="20.28515625" style="1084" customWidth="1"/>
    <col min="779" max="779" width="17.28515625" style="1084" customWidth="1"/>
    <col min="780" max="780" width="19.42578125" style="1084" customWidth="1"/>
    <col min="781" max="781" width="18.5703125" style="1084" customWidth="1"/>
    <col min="782" max="782" width="19.7109375" style="1084" customWidth="1"/>
    <col min="783" max="783" width="16" style="1084" customWidth="1"/>
    <col min="784" max="784" width="20.5703125" style="1084" customWidth="1"/>
    <col min="785" max="785" width="16.85546875" style="1084" customWidth="1"/>
    <col min="786" max="786" width="23.7109375" style="1084" customWidth="1"/>
    <col min="787" max="787" width="27.140625" style="1084" bestFit="1" customWidth="1"/>
    <col min="788" max="788" width="25.7109375" style="1084" bestFit="1" customWidth="1"/>
    <col min="789" max="789" width="19.42578125" style="1084" bestFit="1" customWidth="1"/>
    <col min="790" max="790" width="10.85546875" style="1084"/>
    <col min="791" max="791" width="16.42578125" style="1084" bestFit="1" customWidth="1"/>
    <col min="792" max="792" width="10.85546875" style="1084"/>
    <col min="793" max="793" width="14.42578125" style="1084" bestFit="1" customWidth="1"/>
    <col min="794" max="795" width="10.85546875" style="1084"/>
    <col min="796" max="796" width="14.28515625" style="1084" bestFit="1" customWidth="1"/>
    <col min="797" max="1024" width="10.85546875" style="1084"/>
    <col min="1025" max="1025" width="12.28515625" style="1084" customWidth="1"/>
    <col min="1026" max="1026" width="78.7109375" style="1084" customWidth="1"/>
    <col min="1027" max="1027" width="20.28515625" style="1084" customWidth="1"/>
    <col min="1028" max="1028" width="13.42578125" style="1084" customWidth="1"/>
    <col min="1029" max="1029" width="17.140625" style="1084" customWidth="1"/>
    <col min="1030" max="1030" width="22" style="1084" customWidth="1"/>
    <col min="1031" max="1031" width="17.85546875" style="1084" customWidth="1"/>
    <col min="1032" max="1032" width="21.28515625" style="1084" customWidth="1"/>
    <col min="1033" max="1033" width="16.5703125" style="1084" customWidth="1"/>
    <col min="1034" max="1034" width="20.28515625" style="1084" customWidth="1"/>
    <col min="1035" max="1035" width="17.28515625" style="1084" customWidth="1"/>
    <col min="1036" max="1036" width="19.42578125" style="1084" customWidth="1"/>
    <col min="1037" max="1037" width="18.5703125" style="1084" customWidth="1"/>
    <col min="1038" max="1038" width="19.7109375" style="1084" customWidth="1"/>
    <col min="1039" max="1039" width="16" style="1084" customWidth="1"/>
    <col min="1040" max="1040" width="20.5703125" style="1084" customWidth="1"/>
    <col min="1041" max="1041" width="16.85546875" style="1084" customWidth="1"/>
    <col min="1042" max="1042" width="23.7109375" style="1084" customWidth="1"/>
    <col min="1043" max="1043" width="27.140625" style="1084" bestFit="1" customWidth="1"/>
    <col min="1044" max="1044" width="25.7109375" style="1084" bestFit="1" customWidth="1"/>
    <col min="1045" max="1045" width="19.42578125" style="1084" bestFit="1" customWidth="1"/>
    <col min="1046" max="1046" width="10.85546875" style="1084"/>
    <col min="1047" max="1047" width="16.42578125" style="1084" bestFit="1" customWidth="1"/>
    <col min="1048" max="1048" width="10.85546875" style="1084"/>
    <col min="1049" max="1049" width="14.42578125" style="1084" bestFit="1" customWidth="1"/>
    <col min="1050" max="1051" width="10.85546875" style="1084"/>
    <col min="1052" max="1052" width="14.28515625" style="1084" bestFit="1" customWidth="1"/>
    <col min="1053" max="1280" width="10.85546875" style="1084"/>
    <col min="1281" max="1281" width="12.28515625" style="1084" customWidth="1"/>
    <col min="1282" max="1282" width="78.7109375" style="1084" customWidth="1"/>
    <col min="1283" max="1283" width="20.28515625" style="1084" customWidth="1"/>
    <col min="1284" max="1284" width="13.42578125" style="1084" customWidth="1"/>
    <col min="1285" max="1285" width="17.140625" style="1084" customWidth="1"/>
    <col min="1286" max="1286" width="22" style="1084" customWidth="1"/>
    <col min="1287" max="1287" width="17.85546875" style="1084" customWidth="1"/>
    <col min="1288" max="1288" width="21.28515625" style="1084" customWidth="1"/>
    <col min="1289" max="1289" width="16.5703125" style="1084" customWidth="1"/>
    <col min="1290" max="1290" width="20.28515625" style="1084" customWidth="1"/>
    <col min="1291" max="1291" width="17.28515625" style="1084" customWidth="1"/>
    <col min="1292" max="1292" width="19.42578125" style="1084" customWidth="1"/>
    <col min="1293" max="1293" width="18.5703125" style="1084" customWidth="1"/>
    <col min="1294" max="1294" width="19.7109375" style="1084" customWidth="1"/>
    <col min="1295" max="1295" width="16" style="1084" customWidth="1"/>
    <col min="1296" max="1296" width="20.5703125" style="1084" customWidth="1"/>
    <col min="1297" max="1297" width="16.85546875" style="1084" customWidth="1"/>
    <col min="1298" max="1298" width="23.7109375" style="1084" customWidth="1"/>
    <col min="1299" max="1299" width="27.140625" style="1084" bestFit="1" customWidth="1"/>
    <col min="1300" max="1300" width="25.7109375" style="1084" bestFit="1" customWidth="1"/>
    <col min="1301" max="1301" width="19.42578125" style="1084" bestFit="1" customWidth="1"/>
    <col min="1302" max="1302" width="10.85546875" style="1084"/>
    <col min="1303" max="1303" width="16.42578125" style="1084" bestFit="1" customWidth="1"/>
    <col min="1304" max="1304" width="10.85546875" style="1084"/>
    <col min="1305" max="1305" width="14.42578125" style="1084" bestFit="1" customWidth="1"/>
    <col min="1306" max="1307" width="10.85546875" style="1084"/>
    <col min="1308" max="1308" width="14.28515625" style="1084" bestFit="1" customWidth="1"/>
    <col min="1309" max="1536" width="10.85546875" style="1084"/>
    <col min="1537" max="1537" width="12.28515625" style="1084" customWidth="1"/>
    <col min="1538" max="1538" width="78.7109375" style="1084" customWidth="1"/>
    <col min="1539" max="1539" width="20.28515625" style="1084" customWidth="1"/>
    <col min="1540" max="1540" width="13.42578125" style="1084" customWidth="1"/>
    <col min="1541" max="1541" width="17.140625" style="1084" customWidth="1"/>
    <col min="1542" max="1542" width="22" style="1084" customWidth="1"/>
    <col min="1543" max="1543" width="17.85546875" style="1084" customWidth="1"/>
    <col min="1544" max="1544" width="21.28515625" style="1084" customWidth="1"/>
    <col min="1545" max="1545" width="16.5703125" style="1084" customWidth="1"/>
    <col min="1546" max="1546" width="20.28515625" style="1084" customWidth="1"/>
    <col min="1547" max="1547" width="17.28515625" style="1084" customWidth="1"/>
    <col min="1548" max="1548" width="19.42578125" style="1084" customWidth="1"/>
    <col min="1549" max="1549" width="18.5703125" style="1084" customWidth="1"/>
    <col min="1550" max="1550" width="19.7109375" style="1084" customWidth="1"/>
    <col min="1551" max="1551" width="16" style="1084" customWidth="1"/>
    <col min="1552" max="1552" width="20.5703125" style="1084" customWidth="1"/>
    <col min="1553" max="1553" width="16.85546875" style="1084" customWidth="1"/>
    <col min="1554" max="1554" width="23.7109375" style="1084" customWidth="1"/>
    <col min="1555" max="1555" width="27.140625" style="1084" bestFit="1" customWidth="1"/>
    <col min="1556" max="1556" width="25.7109375" style="1084" bestFit="1" customWidth="1"/>
    <col min="1557" max="1557" width="19.42578125" style="1084" bestFit="1" customWidth="1"/>
    <col min="1558" max="1558" width="10.85546875" style="1084"/>
    <col min="1559" max="1559" width="16.42578125" style="1084" bestFit="1" customWidth="1"/>
    <col min="1560" max="1560" width="10.85546875" style="1084"/>
    <col min="1561" max="1561" width="14.42578125" style="1084" bestFit="1" customWidth="1"/>
    <col min="1562" max="1563" width="10.85546875" style="1084"/>
    <col min="1564" max="1564" width="14.28515625" style="1084" bestFit="1" customWidth="1"/>
    <col min="1565" max="1792" width="10.85546875" style="1084"/>
    <col min="1793" max="1793" width="12.28515625" style="1084" customWidth="1"/>
    <col min="1794" max="1794" width="78.7109375" style="1084" customWidth="1"/>
    <col min="1795" max="1795" width="20.28515625" style="1084" customWidth="1"/>
    <col min="1796" max="1796" width="13.42578125" style="1084" customWidth="1"/>
    <col min="1797" max="1797" width="17.140625" style="1084" customWidth="1"/>
    <col min="1798" max="1798" width="22" style="1084" customWidth="1"/>
    <col min="1799" max="1799" width="17.85546875" style="1084" customWidth="1"/>
    <col min="1800" max="1800" width="21.28515625" style="1084" customWidth="1"/>
    <col min="1801" max="1801" width="16.5703125" style="1084" customWidth="1"/>
    <col min="1802" max="1802" width="20.28515625" style="1084" customWidth="1"/>
    <col min="1803" max="1803" width="17.28515625" style="1084" customWidth="1"/>
    <col min="1804" max="1804" width="19.42578125" style="1084" customWidth="1"/>
    <col min="1805" max="1805" width="18.5703125" style="1084" customWidth="1"/>
    <col min="1806" max="1806" width="19.7109375" style="1084" customWidth="1"/>
    <col min="1807" max="1807" width="16" style="1084" customWidth="1"/>
    <col min="1808" max="1808" width="20.5703125" style="1084" customWidth="1"/>
    <col min="1809" max="1809" width="16.85546875" style="1084" customWidth="1"/>
    <col min="1810" max="1810" width="23.7109375" style="1084" customWidth="1"/>
    <col min="1811" max="1811" width="27.140625" style="1084" bestFit="1" customWidth="1"/>
    <col min="1812" max="1812" width="25.7109375" style="1084" bestFit="1" customWidth="1"/>
    <col min="1813" max="1813" width="19.42578125" style="1084" bestFit="1" customWidth="1"/>
    <col min="1814" max="1814" width="10.85546875" style="1084"/>
    <col min="1815" max="1815" width="16.42578125" style="1084" bestFit="1" customWidth="1"/>
    <col min="1816" max="1816" width="10.85546875" style="1084"/>
    <col min="1817" max="1817" width="14.42578125" style="1084" bestFit="1" customWidth="1"/>
    <col min="1818" max="1819" width="10.85546875" style="1084"/>
    <col min="1820" max="1820" width="14.28515625" style="1084" bestFit="1" customWidth="1"/>
    <col min="1821" max="2048" width="10.85546875" style="1084"/>
    <col min="2049" max="2049" width="12.28515625" style="1084" customWidth="1"/>
    <col min="2050" max="2050" width="78.7109375" style="1084" customWidth="1"/>
    <col min="2051" max="2051" width="20.28515625" style="1084" customWidth="1"/>
    <col min="2052" max="2052" width="13.42578125" style="1084" customWidth="1"/>
    <col min="2053" max="2053" width="17.140625" style="1084" customWidth="1"/>
    <col min="2054" max="2054" width="22" style="1084" customWidth="1"/>
    <col min="2055" max="2055" width="17.85546875" style="1084" customWidth="1"/>
    <col min="2056" max="2056" width="21.28515625" style="1084" customWidth="1"/>
    <col min="2057" max="2057" width="16.5703125" style="1084" customWidth="1"/>
    <col min="2058" max="2058" width="20.28515625" style="1084" customWidth="1"/>
    <col min="2059" max="2059" width="17.28515625" style="1084" customWidth="1"/>
    <col min="2060" max="2060" width="19.42578125" style="1084" customWidth="1"/>
    <col min="2061" max="2061" width="18.5703125" style="1084" customWidth="1"/>
    <col min="2062" max="2062" width="19.7109375" style="1084" customWidth="1"/>
    <col min="2063" max="2063" width="16" style="1084" customWidth="1"/>
    <col min="2064" max="2064" width="20.5703125" style="1084" customWidth="1"/>
    <col min="2065" max="2065" width="16.85546875" style="1084" customWidth="1"/>
    <col min="2066" max="2066" width="23.7109375" style="1084" customWidth="1"/>
    <col min="2067" max="2067" width="27.140625" style="1084" bestFit="1" customWidth="1"/>
    <col min="2068" max="2068" width="25.7109375" style="1084" bestFit="1" customWidth="1"/>
    <col min="2069" max="2069" width="19.42578125" style="1084" bestFit="1" customWidth="1"/>
    <col min="2070" max="2070" width="10.85546875" style="1084"/>
    <col min="2071" max="2071" width="16.42578125" style="1084" bestFit="1" customWidth="1"/>
    <col min="2072" max="2072" width="10.85546875" style="1084"/>
    <col min="2073" max="2073" width="14.42578125" style="1084" bestFit="1" customWidth="1"/>
    <col min="2074" max="2075" width="10.85546875" style="1084"/>
    <col min="2076" max="2076" width="14.28515625" style="1084" bestFit="1" customWidth="1"/>
    <col min="2077" max="2304" width="10.85546875" style="1084"/>
    <col min="2305" max="2305" width="12.28515625" style="1084" customWidth="1"/>
    <col min="2306" max="2306" width="78.7109375" style="1084" customWidth="1"/>
    <col min="2307" max="2307" width="20.28515625" style="1084" customWidth="1"/>
    <col min="2308" max="2308" width="13.42578125" style="1084" customWidth="1"/>
    <col min="2309" max="2309" width="17.140625" style="1084" customWidth="1"/>
    <col min="2310" max="2310" width="22" style="1084" customWidth="1"/>
    <col min="2311" max="2311" width="17.85546875" style="1084" customWidth="1"/>
    <col min="2312" max="2312" width="21.28515625" style="1084" customWidth="1"/>
    <col min="2313" max="2313" width="16.5703125" style="1084" customWidth="1"/>
    <col min="2314" max="2314" width="20.28515625" style="1084" customWidth="1"/>
    <col min="2315" max="2315" width="17.28515625" style="1084" customWidth="1"/>
    <col min="2316" max="2316" width="19.42578125" style="1084" customWidth="1"/>
    <col min="2317" max="2317" width="18.5703125" style="1084" customWidth="1"/>
    <col min="2318" max="2318" width="19.7109375" style="1084" customWidth="1"/>
    <col min="2319" max="2319" width="16" style="1084" customWidth="1"/>
    <col min="2320" max="2320" width="20.5703125" style="1084" customWidth="1"/>
    <col min="2321" max="2321" width="16.85546875" style="1084" customWidth="1"/>
    <col min="2322" max="2322" width="23.7109375" style="1084" customWidth="1"/>
    <col min="2323" max="2323" width="27.140625" style="1084" bestFit="1" customWidth="1"/>
    <col min="2324" max="2324" width="25.7109375" style="1084" bestFit="1" customWidth="1"/>
    <col min="2325" max="2325" width="19.42578125" style="1084" bestFit="1" customWidth="1"/>
    <col min="2326" max="2326" width="10.85546875" style="1084"/>
    <col min="2327" max="2327" width="16.42578125" style="1084" bestFit="1" customWidth="1"/>
    <col min="2328" max="2328" width="10.85546875" style="1084"/>
    <col min="2329" max="2329" width="14.42578125" style="1084" bestFit="1" customWidth="1"/>
    <col min="2330" max="2331" width="10.85546875" style="1084"/>
    <col min="2332" max="2332" width="14.28515625" style="1084" bestFit="1" customWidth="1"/>
    <col min="2333" max="2560" width="10.85546875" style="1084"/>
    <col min="2561" max="2561" width="12.28515625" style="1084" customWidth="1"/>
    <col min="2562" max="2562" width="78.7109375" style="1084" customWidth="1"/>
    <col min="2563" max="2563" width="20.28515625" style="1084" customWidth="1"/>
    <col min="2564" max="2564" width="13.42578125" style="1084" customWidth="1"/>
    <col min="2565" max="2565" width="17.140625" style="1084" customWidth="1"/>
    <col min="2566" max="2566" width="22" style="1084" customWidth="1"/>
    <col min="2567" max="2567" width="17.85546875" style="1084" customWidth="1"/>
    <col min="2568" max="2568" width="21.28515625" style="1084" customWidth="1"/>
    <col min="2569" max="2569" width="16.5703125" style="1084" customWidth="1"/>
    <col min="2570" max="2570" width="20.28515625" style="1084" customWidth="1"/>
    <col min="2571" max="2571" width="17.28515625" style="1084" customWidth="1"/>
    <col min="2572" max="2572" width="19.42578125" style="1084" customWidth="1"/>
    <col min="2573" max="2573" width="18.5703125" style="1084" customWidth="1"/>
    <col min="2574" max="2574" width="19.7109375" style="1084" customWidth="1"/>
    <col min="2575" max="2575" width="16" style="1084" customWidth="1"/>
    <col min="2576" max="2576" width="20.5703125" style="1084" customWidth="1"/>
    <col min="2577" max="2577" width="16.85546875" style="1084" customWidth="1"/>
    <col min="2578" max="2578" width="23.7109375" style="1084" customWidth="1"/>
    <col min="2579" max="2579" width="27.140625" style="1084" bestFit="1" customWidth="1"/>
    <col min="2580" max="2580" width="25.7109375" style="1084" bestFit="1" customWidth="1"/>
    <col min="2581" max="2581" width="19.42578125" style="1084" bestFit="1" customWidth="1"/>
    <col min="2582" max="2582" width="10.85546875" style="1084"/>
    <col min="2583" max="2583" width="16.42578125" style="1084" bestFit="1" customWidth="1"/>
    <col min="2584" max="2584" width="10.85546875" style="1084"/>
    <col min="2585" max="2585" width="14.42578125" style="1084" bestFit="1" customWidth="1"/>
    <col min="2586" max="2587" width="10.85546875" style="1084"/>
    <col min="2588" max="2588" width="14.28515625" style="1084" bestFit="1" customWidth="1"/>
    <col min="2589" max="2816" width="10.85546875" style="1084"/>
    <col min="2817" max="2817" width="12.28515625" style="1084" customWidth="1"/>
    <col min="2818" max="2818" width="78.7109375" style="1084" customWidth="1"/>
    <col min="2819" max="2819" width="20.28515625" style="1084" customWidth="1"/>
    <col min="2820" max="2820" width="13.42578125" style="1084" customWidth="1"/>
    <col min="2821" max="2821" width="17.140625" style="1084" customWidth="1"/>
    <col min="2822" max="2822" width="22" style="1084" customWidth="1"/>
    <col min="2823" max="2823" width="17.85546875" style="1084" customWidth="1"/>
    <col min="2824" max="2824" width="21.28515625" style="1084" customWidth="1"/>
    <col min="2825" max="2825" width="16.5703125" style="1084" customWidth="1"/>
    <col min="2826" max="2826" width="20.28515625" style="1084" customWidth="1"/>
    <col min="2827" max="2827" width="17.28515625" style="1084" customWidth="1"/>
    <col min="2828" max="2828" width="19.42578125" style="1084" customWidth="1"/>
    <col min="2829" max="2829" width="18.5703125" style="1084" customWidth="1"/>
    <col min="2830" max="2830" width="19.7109375" style="1084" customWidth="1"/>
    <col min="2831" max="2831" width="16" style="1084" customWidth="1"/>
    <col min="2832" max="2832" width="20.5703125" style="1084" customWidth="1"/>
    <col min="2833" max="2833" width="16.85546875" style="1084" customWidth="1"/>
    <col min="2834" max="2834" width="23.7109375" style="1084" customWidth="1"/>
    <col min="2835" max="2835" width="27.140625" style="1084" bestFit="1" customWidth="1"/>
    <col min="2836" max="2836" width="25.7109375" style="1084" bestFit="1" customWidth="1"/>
    <col min="2837" max="2837" width="19.42578125" style="1084" bestFit="1" customWidth="1"/>
    <col min="2838" max="2838" width="10.85546875" style="1084"/>
    <col min="2839" max="2839" width="16.42578125" style="1084" bestFit="1" customWidth="1"/>
    <col min="2840" max="2840" width="10.85546875" style="1084"/>
    <col min="2841" max="2841" width="14.42578125" style="1084" bestFit="1" customWidth="1"/>
    <col min="2842" max="2843" width="10.85546875" style="1084"/>
    <col min="2844" max="2844" width="14.28515625" style="1084" bestFit="1" customWidth="1"/>
    <col min="2845" max="3072" width="10.85546875" style="1084"/>
    <col min="3073" max="3073" width="12.28515625" style="1084" customWidth="1"/>
    <col min="3074" max="3074" width="78.7109375" style="1084" customWidth="1"/>
    <col min="3075" max="3075" width="20.28515625" style="1084" customWidth="1"/>
    <col min="3076" max="3076" width="13.42578125" style="1084" customWidth="1"/>
    <col min="3077" max="3077" width="17.140625" style="1084" customWidth="1"/>
    <col min="3078" max="3078" width="22" style="1084" customWidth="1"/>
    <col min="3079" max="3079" width="17.85546875" style="1084" customWidth="1"/>
    <col min="3080" max="3080" width="21.28515625" style="1084" customWidth="1"/>
    <col min="3081" max="3081" width="16.5703125" style="1084" customWidth="1"/>
    <col min="3082" max="3082" width="20.28515625" style="1084" customWidth="1"/>
    <col min="3083" max="3083" width="17.28515625" style="1084" customWidth="1"/>
    <col min="3084" max="3084" width="19.42578125" style="1084" customWidth="1"/>
    <col min="3085" max="3085" width="18.5703125" style="1084" customWidth="1"/>
    <col min="3086" max="3086" width="19.7109375" style="1084" customWidth="1"/>
    <col min="3087" max="3087" width="16" style="1084" customWidth="1"/>
    <col min="3088" max="3088" width="20.5703125" style="1084" customWidth="1"/>
    <col min="3089" max="3089" width="16.85546875" style="1084" customWidth="1"/>
    <col min="3090" max="3090" width="23.7109375" style="1084" customWidth="1"/>
    <col min="3091" max="3091" width="27.140625" style="1084" bestFit="1" customWidth="1"/>
    <col min="3092" max="3092" width="25.7109375" style="1084" bestFit="1" customWidth="1"/>
    <col min="3093" max="3093" width="19.42578125" style="1084" bestFit="1" customWidth="1"/>
    <col min="3094" max="3094" width="10.85546875" style="1084"/>
    <col min="3095" max="3095" width="16.42578125" style="1084" bestFit="1" customWidth="1"/>
    <col min="3096" max="3096" width="10.85546875" style="1084"/>
    <col min="3097" max="3097" width="14.42578125" style="1084" bestFit="1" customWidth="1"/>
    <col min="3098" max="3099" width="10.85546875" style="1084"/>
    <col min="3100" max="3100" width="14.28515625" style="1084" bestFit="1" customWidth="1"/>
    <col min="3101" max="3328" width="10.85546875" style="1084"/>
    <col min="3329" max="3329" width="12.28515625" style="1084" customWidth="1"/>
    <col min="3330" max="3330" width="78.7109375" style="1084" customWidth="1"/>
    <col min="3331" max="3331" width="20.28515625" style="1084" customWidth="1"/>
    <col min="3332" max="3332" width="13.42578125" style="1084" customWidth="1"/>
    <col min="3333" max="3333" width="17.140625" style="1084" customWidth="1"/>
    <col min="3334" max="3334" width="22" style="1084" customWidth="1"/>
    <col min="3335" max="3335" width="17.85546875" style="1084" customWidth="1"/>
    <col min="3336" max="3336" width="21.28515625" style="1084" customWidth="1"/>
    <col min="3337" max="3337" width="16.5703125" style="1084" customWidth="1"/>
    <col min="3338" max="3338" width="20.28515625" style="1084" customWidth="1"/>
    <col min="3339" max="3339" width="17.28515625" style="1084" customWidth="1"/>
    <col min="3340" max="3340" width="19.42578125" style="1084" customWidth="1"/>
    <col min="3341" max="3341" width="18.5703125" style="1084" customWidth="1"/>
    <col min="3342" max="3342" width="19.7109375" style="1084" customWidth="1"/>
    <col min="3343" max="3343" width="16" style="1084" customWidth="1"/>
    <col min="3344" max="3344" width="20.5703125" style="1084" customWidth="1"/>
    <col min="3345" max="3345" width="16.85546875" style="1084" customWidth="1"/>
    <col min="3346" max="3346" width="23.7109375" style="1084" customWidth="1"/>
    <col min="3347" max="3347" width="27.140625" style="1084" bestFit="1" customWidth="1"/>
    <col min="3348" max="3348" width="25.7109375" style="1084" bestFit="1" customWidth="1"/>
    <col min="3349" max="3349" width="19.42578125" style="1084" bestFit="1" customWidth="1"/>
    <col min="3350" max="3350" width="10.85546875" style="1084"/>
    <col min="3351" max="3351" width="16.42578125" style="1084" bestFit="1" customWidth="1"/>
    <col min="3352" max="3352" width="10.85546875" style="1084"/>
    <col min="3353" max="3353" width="14.42578125" style="1084" bestFit="1" customWidth="1"/>
    <col min="3354" max="3355" width="10.85546875" style="1084"/>
    <col min="3356" max="3356" width="14.28515625" style="1084" bestFit="1" customWidth="1"/>
    <col min="3357" max="3584" width="10.85546875" style="1084"/>
    <col min="3585" max="3585" width="12.28515625" style="1084" customWidth="1"/>
    <col min="3586" max="3586" width="78.7109375" style="1084" customWidth="1"/>
    <col min="3587" max="3587" width="20.28515625" style="1084" customWidth="1"/>
    <col min="3588" max="3588" width="13.42578125" style="1084" customWidth="1"/>
    <col min="3589" max="3589" width="17.140625" style="1084" customWidth="1"/>
    <col min="3590" max="3590" width="22" style="1084" customWidth="1"/>
    <col min="3591" max="3591" width="17.85546875" style="1084" customWidth="1"/>
    <col min="3592" max="3592" width="21.28515625" style="1084" customWidth="1"/>
    <col min="3593" max="3593" width="16.5703125" style="1084" customWidth="1"/>
    <col min="3594" max="3594" width="20.28515625" style="1084" customWidth="1"/>
    <col min="3595" max="3595" width="17.28515625" style="1084" customWidth="1"/>
    <col min="3596" max="3596" width="19.42578125" style="1084" customWidth="1"/>
    <col min="3597" max="3597" width="18.5703125" style="1084" customWidth="1"/>
    <col min="3598" max="3598" width="19.7109375" style="1084" customWidth="1"/>
    <col min="3599" max="3599" width="16" style="1084" customWidth="1"/>
    <col min="3600" max="3600" width="20.5703125" style="1084" customWidth="1"/>
    <col min="3601" max="3601" width="16.85546875" style="1084" customWidth="1"/>
    <col min="3602" max="3602" width="23.7109375" style="1084" customWidth="1"/>
    <col min="3603" max="3603" width="27.140625" style="1084" bestFit="1" customWidth="1"/>
    <col min="3604" max="3604" width="25.7109375" style="1084" bestFit="1" customWidth="1"/>
    <col min="3605" max="3605" width="19.42578125" style="1084" bestFit="1" customWidth="1"/>
    <col min="3606" max="3606" width="10.85546875" style="1084"/>
    <col min="3607" max="3607" width="16.42578125" style="1084" bestFit="1" customWidth="1"/>
    <col min="3608" max="3608" width="10.85546875" style="1084"/>
    <col min="3609" max="3609" width="14.42578125" style="1084" bestFit="1" customWidth="1"/>
    <col min="3610" max="3611" width="10.85546875" style="1084"/>
    <col min="3612" max="3612" width="14.28515625" style="1084" bestFit="1" customWidth="1"/>
    <col min="3613" max="3840" width="10.85546875" style="1084"/>
    <col min="3841" max="3841" width="12.28515625" style="1084" customWidth="1"/>
    <col min="3842" max="3842" width="78.7109375" style="1084" customWidth="1"/>
    <col min="3843" max="3843" width="20.28515625" style="1084" customWidth="1"/>
    <col min="3844" max="3844" width="13.42578125" style="1084" customWidth="1"/>
    <col min="3845" max="3845" width="17.140625" style="1084" customWidth="1"/>
    <col min="3846" max="3846" width="22" style="1084" customWidth="1"/>
    <col min="3847" max="3847" width="17.85546875" style="1084" customWidth="1"/>
    <col min="3848" max="3848" width="21.28515625" style="1084" customWidth="1"/>
    <col min="3849" max="3849" width="16.5703125" style="1084" customWidth="1"/>
    <col min="3850" max="3850" width="20.28515625" style="1084" customWidth="1"/>
    <col min="3851" max="3851" width="17.28515625" style="1084" customWidth="1"/>
    <col min="3852" max="3852" width="19.42578125" style="1084" customWidth="1"/>
    <col min="3853" max="3853" width="18.5703125" style="1084" customWidth="1"/>
    <col min="3854" max="3854" width="19.7109375" style="1084" customWidth="1"/>
    <col min="3855" max="3855" width="16" style="1084" customWidth="1"/>
    <col min="3856" max="3856" width="20.5703125" style="1084" customWidth="1"/>
    <col min="3857" max="3857" width="16.85546875" style="1084" customWidth="1"/>
    <col min="3858" max="3858" width="23.7109375" style="1084" customWidth="1"/>
    <col min="3859" max="3859" width="27.140625" style="1084" bestFit="1" customWidth="1"/>
    <col min="3860" max="3860" width="25.7109375" style="1084" bestFit="1" customWidth="1"/>
    <col min="3861" max="3861" width="19.42578125" style="1084" bestFit="1" customWidth="1"/>
    <col min="3862" max="3862" width="10.85546875" style="1084"/>
    <col min="3863" max="3863" width="16.42578125" style="1084" bestFit="1" customWidth="1"/>
    <col min="3864" max="3864" width="10.85546875" style="1084"/>
    <col min="3865" max="3865" width="14.42578125" style="1084" bestFit="1" customWidth="1"/>
    <col min="3866" max="3867" width="10.85546875" style="1084"/>
    <col min="3868" max="3868" width="14.28515625" style="1084" bestFit="1" customWidth="1"/>
    <col min="3869" max="4096" width="10.85546875" style="1084"/>
    <col min="4097" max="4097" width="12.28515625" style="1084" customWidth="1"/>
    <col min="4098" max="4098" width="78.7109375" style="1084" customWidth="1"/>
    <col min="4099" max="4099" width="20.28515625" style="1084" customWidth="1"/>
    <col min="4100" max="4100" width="13.42578125" style="1084" customWidth="1"/>
    <col min="4101" max="4101" width="17.140625" style="1084" customWidth="1"/>
    <col min="4102" max="4102" width="22" style="1084" customWidth="1"/>
    <col min="4103" max="4103" width="17.85546875" style="1084" customWidth="1"/>
    <col min="4104" max="4104" width="21.28515625" style="1084" customWidth="1"/>
    <col min="4105" max="4105" width="16.5703125" style="1084" customWidth="1"/>
    <col min="4106" max="4106" width="20.28515625" style="1084" customWidth="1"/>
    <col min="4107" max="4107" width="17.28515625" style="1084" customWidth="1"/>
    <col min="4108" max="4108" width="19.42578125" style="1084" customWidth="1"/>
    <col min="4109" max="4109" width="18.5703125" style="1084" customWidth="1"/>
    <col min="4110" max="4110" width="19.7109375" style="1084" customWidth="1"/>
    <col min="4111" max="4111" width="16" style="1084" customWidth="1"/>
    <col min="4112" max="4112" width="20.5703125" style="1084" customWidth="1"/>
    <col min="4113" max="4113" width="16.85546875" style="1084" customWidth="1"/>
    <col min="4114" max="4114" width="23.7109375" style="1084" customWidth="1"/>
    <col min="4115" max="4115" width="27.140625" style="1084" bestFit="1" customWidth="1"/>
    <col min="4116" max="4116" width="25.7109375" style="1084" bestFit="1" customWidth="1"/>
    <col min="4117" max="4117" width="19.42578125" style="1084" bestFit="1" customWidth="1"/>
    <col min="4118" max="4118" width="10.85546875" style="1084"/>
    <col min="4119" max="4119" width="16.42578125" style="1084" bestFit="1" customWidth="1"/>
    <col min="4120" max="4120" width="10.85546875" style="1084"/>
    <col min="4121" max="4121" width="14.42578125" style="1084" bestFit="1" customWidth="1"/>
    <col min="4122" max="4123" width="10.85546875" style="1084"/>
    <col min="4124" max="4124" width="14.28515625" style="1084" bestFit="1" customWidth="1"/>
    <col min="4125" max="4352" width="10.85546875" style="1084"/>
    <col min="4353" max="4353" width="12.28515625" style="1084" customWidth="1"/>
    <col min="4354" max="4354" width="78.7109375" style="1084" customWidth="1"/>
    <col min="4355" max="4355" width="20.28515625" style="1084" customWidth="1"/>
    <col min="4356" max="4356" width="13.42578125" style="1084" customWidth="1"/>
    <col min="4357" max="4357" width="17.140625" style="1084" customWidth="1"/>
    <col min="4358" max="4358" width="22" style="1084" customWidth="1"/>
    <col min="4359" max="4359" width="17.85546875" style="1084" customWidth="1"/>
    <col min="4360" max="4360" width="21.28515625" style="1084" customWidth="1"/>
    <col min="4361" max="4361" width="16.5703125" style="1084" customWidth="1"/>
    <col min="4362" max="4362" width="20.28515625" style="1084" customWidth="1"/>
    <col min="4363" max="4363" width="17.28515625" style="1084" customWidth="1"/>
    <col min="4364" max="4364" width="19.42578125" style="1084" customWidth="1"/>
    <col min="4365" max="4365" width="18.5703125" style="1084" customWidth="1"/>
    <col min="4366" max="4366" width="19.7109375" style="1084" customWidth="1"/>
    <col min="4367" max="4367" width="16" style="1084" customWidth="1"/>
    <col min="4368" max="4368" width="20.5703125" style="1084" customWidth="1"/>
    <col min="4369" max="4369" width="16.85546875" style="1084" customWidth="1"/>
    <col min="4370" max="4370" width="23.7109375" style="1084" customWidth="1"/>
    <col min="4371" max="4371" width="27.140625" style="1084" bestFit="1" customWidth="1"/>
    <col min="4372" max="4372" width="25.7109375" style="1084" bestFit="1" customWidth="1"/>
    <col min="4373" max="4373" width="19.42578125" style="1084" bestFit="1" customWidth="1"/>
    <col min="4374" max="4374" width="10.85546875" style="1084"/>
    <col min="4375" max="4375" width="16.42578125" style="1084" bestFit="1" customWidth="1"/>
    <col min="4376" max="4376" width="10.85546875" style="1084"/>
    <col min="4377" max="4377" width="14.42578125" style="1084" bestFit="1" customWidth="1"/>
    <col min="4378" max="4379" width="10.85546875" style="1084"/>
    <col min="4380" max="4380" width="14.28515625" style="1084" bestFit="1" customWidth="1"/>
    <col min="4381" max="4608" width="10.85546875" style="1084"/>
    <col min="4609" max="4609" width="12.28515625" style="1084" customWidth="1"/>
    <col min="4610" max="4610" width="78.7109375" style="1084" customWidth="1"/>
    <col min="4611" max="4611" width="20.28515625" style="1084" customWidth="1"/>
    <col min="4612" max="4612" width="13.42578125" style="1084" customWidth="1"/>
    <col min="4613" max="4613" width="17.140625" style="1084" customWidth="1"/>
    <col min="4614" max="4614" width="22" style="1084" customWidth="1"/>
    <col min="4615" max="4615" width="17.85546875" style="1084" customWidth="1"/>
    <col min="4616" max="4616" width="21.28515625" style="1084" customWidth="1"/>
    <col min="4617" max="4617" width="16.5703125" style="1084" customWidth="1"/>
    <col min="4618" max="4618" width="20.28515625" style="1084" customWidth="1"/>
    <col min="4619" max="4619" width="17.28515625" style="1084" customWidth="1"/>
    <col min="4620" max="4620" width="19.42578125" style="1084" customWidth="1"/>
    <col min="4621" max="4621" width="18.5703125" style="1084" customWidth="1"/>
    <col min="4622" max="4622" width="19.7109375" style="1084" customWidth="1"/>
    <col min="4623" max="4623" width="16" style="1084" customWidth="1"/>
    <col min="4624" max="4624" width="20.5703125" style="1084" customWidth="1"/>
    <col min="4625" max="4625" width="16.85546875" style="1084" customWidth="1"/>
    <col min="4626" max="4626" width="23.7109375" style="1084" customWidth="1"/>
    <col min="4627" max="4627" width="27.140625" style="1084" bestFit="1" customWidth="1"/>
    <col min="4628" max="4628" width="25.7109375" style="1084" bestFit="1" customWidth="1"/>
    <col min="4629" max="4629" width="19.42578125" style="1084" bestFit="1" customWidth="1"/>
    <col min="4630" max="4630" width="10.85546875" style="1084"/>
    <col min="4631" max="4631" width="16.42578125" style="1084" bestFit="1" customWidth="1"/>
    <col min="4632" max="4632" width="10.85546875" style="1084"/>
    <col min="4633" max="4633" width="14.42578125" style="1084" bestFit="1" customWidth="1"/>
    <col min="4634" max="4635" width="10.85546875" style="1084"/>
    <col min="4636" max="4636" width="14.28515625" style="1084" bestFit="1" customWidth="1"/>
    <col min="4637" max="4864" width="10.85546875" style="1084"/>
    <col min="4865" max="4865" width="12.28515625" style="1084" customWidth="1"/>
    <col min="4866" max="4866" width="78.7109375" style="1084" customWidth="1"/>
    <col min="4867" max="4867" width="20.28515625" style="1084" customWidth="1"/>
    <col min="4868" max="4868" width="13.42578125" style="1084" customWidth="1"/>
    <col min="4869" max="4869" width="17.140625" style="1084" customWidth="1"/>
    <col min="4870" max="4870" width="22" style="1084" customWidth="1"/>
    <col min="4871" max="4871" width="17.85546875" style="1084" customWidth="1"/>
    <col min="4872" max="4872" width="21.28515625" style="1084" customWidth="1"/>
    <col min="4873" max="4873" width="16.5703125" style="1084" customWidth="1"/>
    <col min="4874" max="4874" width="20.28515625" style="1084" customWidth="1"/>
    <col min="4875" max="4875" width="17.28515625" style="1084" customWidth="1"/>
    <col min="4876" max="4876" width="19.42578125" style="1084" customWidth="1"/>
    <col min="4877" max="4877" width="18.5703125" style="1084" customWidth="1"/>
    <col min="4878" max="4878" width="19.7109375" style="1084" customWidth="1"/>
    <col min="4879" max="4879" width="16" style="1084" customWidth="1"/>
    <col min="4880" max="4880" width="20.5703125" style="1084" customWidth="1"/>
    <col min="4881" max="4881" width="16.85546875" style="1084" customWidth="1"/>
    <col min="4882" max="4882" width="23.7109375" style="1084" customWidth="1"/>
    <col min="4883" max="4883" width="27.140625" style="1084" bestFit="1" customWidth="1"/>
    <col min="4884" max="4884" width="25.7109375" style="1084" bestFit="1" customWidth="1"/>
    <col min="4885" max="4885" width="19.42578125" style="1084" bestFit="1" customWidth="1"/>
    <col min="4886" max="4886" width="10.85546875" style="1084"/>
    <col min="4887" max="4887" width="16.42578125" style="1084" bestFit="1" customWidth="1"/>
    <col min="4888" max="4888" width="10.85546875" style="1084"/>
    <col min="4889" max="4889" width="14.42578125" style="1084" bestFit="1" customWidth="1"/>
    <col min="4890" max="4891" width="10.85546875" style="1084"/>
    <col min="4892" max="4892" width="14.28515625" style="1084" bestFit="1" customWidth="1"/>
    <col min="4893" max="5120" width="10.85546875" style="1084"/>
    <col min="5121" max="5121" width="12.28515625" style="1084" customWidth="1"/>
    <col min="5122" max="5122" width="78.7109375" style="1084" customWidth="1"/>
    <col min="5123" max="5123" width="20.28515625" style="1084" customWidth="1"/>
    <col min="5124" max="5124" width="13.42578125" style="1084" customWidth="1"/>
    <col min="5125" max="5125" width="17.140625" style="1084" customWidth="1"/>
    <col min="5126" max="5126" width="22" style="1084" customWidth="1"/>
    <col min="5127" max="5127" width="17.85546875" style="1084" customWidth="1"/>
    <col min="5128" max="5128" width="21.28515625" style="1084" customWidth="1"/>
    <col min="5129" max="5129" width="16.5703125" style="1084" customWidth="1"/>
    <col min="5130" max="5130" width="20.28515625" style="1084" customWidth="1"/>
    <col min="5131" max="5131" width="17.28515625" style="1084" customWidth="1"/>
    <col min="5132" max="5132" width="19.42578125" style="1084" customWidth="1"/>
    <col min="5133" max="5133" width="18.5703125" style="1084" customWidth="1"/>
    <col min="5134" max="5134" width="19.7109375" style="1084" customWidth="1"/>
    <col min="5135" max="5135" width="16" style="1084" customWidth="1"/>
    <col min="5136" max="5136" width="20.5703125" style="1084" customWidth="1"/>
    <col min="5137" max="5137" width="16.85546875" style="1084" customWidth="1"/>
    <col min="5138" max="5138" width="23.7109375" style="1084" customWidth="1"/>
    <col min="5139" max="5139" width="27.140625" style="1084" bestFit="1" customWidth="1"/>
    <col min="5140" max="5140" width="25.7109375" style="1084" bestFit="1" customWidth="1"/>
    <col min="5141" max="5141" width="19.42578125" style="1084" bestFit="1" customWidth="1"/>
    <col min="5142" max="5142" width="10.85546875" style="1084"/>
    <col min="5143" max="5143" width="16.42578125" style="1084" bestFit="1" customWidth="1"/>
    <col min="5144" max="5144" width="10.85546875" style="1084"/>
    <col min="5145" max="5145" width="14.42578125" style="1084" bestFit="1" customWidth="1"/>
    <col min="5146" max="5147" width="10.85546875" style="1084"/>
    <col min="5148" max="5148" width="14.28515625" style="1084" bestFit="1" customWidth="1"/>
    <col min="5149" max="5376" width="10.85546875" style="1084"/>
    <col min="5377" max="5377" width="12.28515625" style="1084" customWidth="1"/>
    <col min="5378" max="5378" width="78.7109375" style="1084" customWidth="1"/>
    <col min="5379" max="5379" width="20.28515625" style="1084" customWidth="1"/>
    <col min="5380" max="5380" width="13.42578125" style="1084" customWidth="1"/>
    <col min="5381" max="5381" width="17.140625" style="1084" customWidth="1"/>
    <col min="5382" max="5382" width="22" style="1084" customWidth="1"/>
    <col min="5383" max="5383" width="17.85546875" style="1084" customWidth="1"/>
    <col min="5384" max="5384" width="21.28515625" style="1084" customWidth="1"/>
    <col min="5385" max="5385" width="16.5703125" style="1084" customWidth="1"/>
    <col min="5386" max="5386" width="20.28515625" style="1084" customWidth="1"/>
    <col min="5387" max="5387" width="17.28515625" style="1084" customWidth="1"/>
    <col min="5388" max="5388" width="19.42578125" style="1084" customWidth="1"/>
    <col min="5389" max="5389" width="18.5703125" style="1084" customWidth="1"/>
    <col min="5390" max="5390" width="19.7109375" style="1084" customWidth="1"/>
    <col min="5391" max="5391" width="16" style="1084" customWidth="1"/>
    <col min="5392" max="5392" width="20.5703125" style="1084" customWidth="1"/>
    <col min="5393" max="5393" width="16.85546875" style="1084" customWidth="1"/>
    <col min="5394" max="5394" width="23.7109375" style="1084" customWidth="1"/>
    <col min="5395" max="5395" width="27.140625" style="1084" bestFit="1" customWidth="1"/>
    <col min="5396" max="5396" width="25.7109375" style="1084" bestFit="1" customWidth="1"/>
    <col min="5397" max="5397" width="19.42578125" style="1084" bestFit="1" customWidth="1"/>
    <col min="5398" max="5398" width="10.85546875" style="1084"/>
    <col min="5399" max="5399" width="16.42578125" style="1084" bestFit="1" customWidth="1"/>
    <col min="5400" max="5400" width="10.85546875" style="1084"/>
    <col min="5401" max="5401" width="14.42578125" style="1084" bestFit="1" customWidth="1"/>
    <col min="5402" max="5403" width="10.85546875" style="1084"/>
    <col min="5404" max="5404" width="14.28515625" style="1084" bestFit="1" customWidth="1"/>
    <col min="5405" max="5632" width="10.85546875" style="1084"/>
    <col min="5633" max="5633" width="12.28515625" style="1084" customWidth="1"/>
    <col min="5634" max="5634" width="78.7109375" style="1084" customWidth="1"/>
    <col min="5635" max="5635" width="20.28515625" style="1084" customWidth="1"/>
    <col min="5636" max="5636" width="13.42578125" style="1084" customWidth="1"/>
    <col min="5637" max="5637" width="17.140625" style="1084" customWidth="1"/>
    <col min="5638" max="5638" width="22" style="1084" customWidth="1"/>
    <col min="5639" max="5639" width="17.85546875" style="1084" customWidth="1"/>
    <col min="5640" max="5640" width="21.28515625" style="1084" customWidth="1"/>
    <col min="5641" max="5641" width="16.5703125" style="1084" customWidth="1"/>
    <col min="5642" max="5642" width="20.28515625" style="1084" customWidth="1"/>
    <col min="5643" max="5643" width="17.28515625" style="1084" customWidth="1"/>
    <col min="5644" max="5644" width="19.42578125" style="1084" customWidth="1"/>
    <col min="5645" max="5645" width="18.5703125" style="1084" customWidth="1"/>
    <col min="5646" max="5646" width="19.7109375" style="1084" customWidth="1"/>
    <col min="5647" max="5647" width="16" style="1084" customWidth="1"/>
    <col min="5648" max="5648" width="20.5703125" style="1084" customWidth="1"/>
    <col min="5649" max="5649" width="16.85546875" style="1084" customWidth="1"/>
    <col min="5650" max="5650" width="23.7109375" style="1084" customWidth="1"/>
    <col min="5651" max="5651" width="27.140625" style="1084" bestFit="1" customWidth="1"/>
    <col min="5652" max="5652" width="25.7109375" style="1084" bestFit="1" customWidth="1"/>
    <col min="5653" max="5653" width="19.42578125" style="1084" bestFit="1" customWidth="1"/>
    <col min="5654" max="5654" width="10.85546875" style="1084"/>
    <col min="5655" max="5655" width="16.42578125" style="1084" bestFit="1" customWidth="1"/>
    <col min="5656" max="5656" width="10.85546875" style="1084"/>
    <col min="5657" max="5657" width="14.42578125" style="1084" bestFit="1" customWidth="1"/>
    <col min="5658" max="5659" width="10.85546875" style="1084"/>
    <col min="5660" max="5660" width="14.28515625" style="1084" bestFit="1" customWidth="1"/>
    <col min="5661" max="5888" width="10.85546875" style="1084"/>
    <col min="5889" max="5889" width="12.28515625" style="1084" customWidth="1"/>
    <col min="5890" max="5890" width="78.7109375" style="1084" customWidth="1"/>
    <col min="5891" max="5891" width="20.28515625" style="1084" customWidth="1"/>
    <col min="5892" max="5892" width="13.42578125" style="1084" customWidth="1"/>
    <col min="5893" max="5893" width="17.140625" style="1084" customWidth="1"/>
    <col min="5894" max="5894" width="22" style="1084" customWidth="1"/>
    <col min="5895" max="5895" width="17.85546875" style="1084" customWidth="1"/>
    <col min="5896" max="5896" width="21.28515625" style="1084" customWidth="1"/>
    <col min="5897" max="5897" width="16.5703125" style="1084" customWidth="1"/>
    <col min="5898" max="5898" width="20.28515625" style="1084" customWidth="1"/>
    <col min="5899" max="5899" width="17.28515625" style="1084" customWidth="1"/>
    <col min="5900" max="5900" width="19.42578125" style="1084" customWidth="1"/>
    <col min="5901" max="5901" width="18.5703125" style="1084" customWidth="1"/>
    <col min="5902" max="5902" width="19.7109375" style="1084" customWidth="1"/>
    <col min="5903" max="5903" width="16" style="1084" customWidth="1"/>
    <col min="5904" max="5904" width="20.5703125" style="1084" customWidth="1"/>
    <col min="5905" max="5905" width="16.85546875" style="1084" customWidth="1"/>
    <col min="5906" max="5906" width="23.7109375" style="1084" customWidth="1"/>
    <col min="5907" max="5907" width="27.140625" style="1084" bestFit="1" customWidth="1"/>
    <col min="5908" max="5908" width="25.7109375" style="1084" bestFit="1" customWidth="1"/>
    <col min="5909" max="5909" width="19.42578125" style="1084" bestFit="1" customWidth="1"/>
    <col min="5910" max="5910" width="10.85546875" style="1084"/>
    <col min="5911" max="5911" width="16.42578125" style="1084" bestFit="1" customWidth="1"/>
    <col min="5912" max="5912" width="10.85546875" style="1084"/>
    <col min="5913" max="5913" width="14.42578125" style="1084" bestFit="1" customWidth="1"/>
    <col min="5914" max="5915" width="10.85546875" style="1084"/>
    <col min="5916" max="5916" width="14.28515625" style="1084" bestFit="1" customWidth="1"/>
    <col min="5917" max="6144" width="10.85546875" style="1084"/>
    <col min="6145" max="6145" width="12.28515625" style="1084" customWidth="1"/>
    <col min="6146" max="6146" width="78.7109375" style="1084" customWidth="1"/>
    <col min="6147" max="6147" width="20.28515625" style="1084" customWidth="1"/>
    <col min="6148" max="6148" width="13.42578125" style="1084" customWidth="1"/>
    <col min="6149" max="6149" width="17.140625" style="1084" customWidth="1"/>
    <col min="6150" max="6150" width="22" style="1084" customWidth="1"/>
    <col min="6151" max="6151" width="17.85546875" style="1084" customWidth="1"/>
    <col min="6152" max="6152" width="21.28515625" style="1084" customWidth="1"/>
    <col min="6153" max="6153" width="16.5703125" style="1084" customWidth="1"/>
    <col min="6154" max="6154" width="20.28515625" style="1084" customWidth="1"/>
    <col min="6155" max="6155" width="17.28515625" style="1084" customWidth="1"/>
    <col min="6156" max="6156" width="19.42578125" style="1084" customWidth="1"/>
    <col min="6157" max="6157" width="18.5703125" style="1084" customWidth="1"/>
    <col min="6158" max="6158" width="19.7109375" style="1084" customWidth="1"/>
    <col min="6159" max="6159" width="16" style="1084" customWidth="1"/>
    <col min="6160" max="6160" width="20.5703125" style="1084" customWidth="1"/>
    <col min="6161" max="6161" width="16.85546875" style="1084" customWidth="1"/>
    <col min="6162" max="6162" width="23.7109375" style="1084" customWidth="1"/>
    <col min="6163" max="6163" width="27.140625" style="1084" bestFit="1" customWidth="1"/>
    <col min="6164" max="6164" width="25.7109375" style="1084" bestFit="1" customWidth="1"/>
    <col min="6165" max="6165" width="19.42578125" style="1084" bestFit="1" customWidth="1"/>
    <col min="6166" max="6166" width="10.85546875" style="1084"/>
    <col min="6167" max="6167" width="16.42578125" style="1084" bestFit="1" customWidth="1"/>
    <col min="6168" max="6168" width="10.85546875" style="1084"/>
    <col min="6169" max="6169" width="14.42578125" style="1084" bestFit="1" customWidth="1"/>
    <col min="6170" max="6171" width="10.85546875" style="1084"/>
    <col min="6172" max="6172" width="14.28515625" style="1084" bestFit="1" customWidth="1"/>
    <col min="6173" max="6400" width="10.85546875" style="1084"/>
    <col min="6401" max="6401" width="12.28515625" style="1084" customWidth="1"/>
    <col min="6402" max="6402" width="78.7109375" style="1084" customWidth="1"/>
    <col min="6403" max="6403" width="20.28515625" style="1084" customWidth="1"/>
    <col min="6404" max="6404" width="13.42578125" style="1084" customWidth="1"/>
    <col min="6405" max="6405" width="17.140625" style="1084" customWidth="1"/>
    <col min="6406" max="6406" width="22" style="1084" customWidth="1"/>
    <col min="6407" max="6407" width="17.85546875" style="1084" customWidth="1"/>
    <col min="6408" max="6408" width="21.28515625" style="1084" customWidth="1"/>
    <col min="6409" max="6409" width="16.5703125" style="1084" customWidth="1"/>
    <col min="6410" max="6410" width="20.28515625" style="1084" customWidth="1"/>
    <col min="6411" max="6411" width="17.28515625" style="1084" customWidth="1"/>
    <col min="6412" max="6412" width="19.42578125" style="1084" customWidth="1"/>
    <col min="6413" max="6413" width="18.5703125" style="1084" customWidth="1"/>
    <col min="6414" max="6414" width="19.7109375" style="1084" customWidth="1"/>
    <col min="6415" max="6415" width="16" style="1084" customWidth="1"/>
    <col min="6416" max="6416" width="20.5703125" style="1084" customWidth="1"/>
    <col min="6417" max="6417" width="16.85546875" style="1084" customWidth="1"/>
    <col min="6418" max="6418" width="23.7109375" style="1084" customWidth="1"/>
    <col min="6419" max="6419" width="27.140625" style="1084" bestFit="1" customWidth="1"/>
    <col min="6420" max="6420" width="25.7109375" style="1084" bestFit="1" customWidth="1"/>
    <col min="6421" max="6421" width="19.42578125" style="1084" bestFit="1" customWidth="1"/>
    <col min="6422" max="6422" width="10.85546875" style="1084"/>
    <col min="6423" max="6423" width="16.42578125" style="1084" bestFit="1" customWidth="1"/>
    <col min="6424" max="6424" width="10.85546875" style="1084"/>
    <col min="6425" max="6425" width="14.42578125" style="1084" bestFit="1" customWidth="1"/>
    <col min="6426" max="6427" width="10.85546875" style="1084"/>
    <col min="6428" max="6428" width="14.28515625" style="1084" bestFit="1" customWidth="1"/>
    <col min="6429" max="6656" width="10.85546875" style="1084"/>
    <col min="6657" max="6657" width="12.28515625" style="1084" customWidth="1"/>
    <col min="6658" max="6658" width="78.7109375" style="1084" customWidth="1"/>
    <col min="6659" max="6659" width="20.28515625" style="1084" customWidth="1"/>
    <col min="6660" max="6660" width="13.42578125" style="1084" customWidth="1"/>
    <col min="6661" max="6661" width="17.140625" style="1084" customWidth="1"/>
    <col min="6662" max="6662" width="22" style="1084" customWidth="1"/>
    <col min="6663" max="6663" width="17.85546875" style="1084" customWidth="1"/>
    <col min="6664" max="6664" width="21.28515625" style="1084" customWidth="1"/>
    <col min="6665" max="6665" width="16.5703125" style="1084" customWidth="1"/>
    <col min="6666" max="6666" width="20.28515625" style="1084" customWidth="1"/>
    <col min="6667" max="6667" width="17.28515625" style="1084" customWidth="1"/>
    <col min="6668" max="6668" width="19.42578125" style="1084" customWidth="1"/>
    <col min="6669" max="6669" width="18.5703125" style="1084" customWidth="1"/>
    <col min="6670" max="6670" width="19.7109375" style="1084" customWidth="1"/>
    <col min="6671" max="6671" width="16" style="1084" customWidth="1"/>
    <col min="6672" max="6672" width="20.5703125" style="1084" customWidth="1"/>
    <col min="6673" max="6673" width="16.85546875" style="1084" customWidth="1"/>
    <col min="6674" max="6674" width="23.7109375" style="1084" customWidth="1"/>
    <col min="6675" max="6675" width="27.140625" style="1084" bestFit="1" customWidth="1"/>
    <col min="6676" max="6676" width="25.7109375" style="1084" bestFit="1" customWidth="1"/>
    <col min="6677" max="6677" width="19.42578125" style="1084" bestFit="1" customWidth="1"/>
    <col min="6678" max="6678" width="10.85546875" style="1084"/>
    <col min="6679" max="6679" width="16.42578125" style="1084" bestFit="1" customWidth="1"/>
    <col min="6680" max="6680" width="10.85546875" style="1084"/>
    <col min="6681" max="6681" width="14.42578125" style="1084" bestFit="1" customWidth="1"/>
    <col min="6682" max="6683" width="10.85546875" style="1084"/>
    <col min="6684" max="6684" width="14.28515625" style="1084" bestFit="1" customWidth="1"/>
    <col min="6685" max="6912" width="10.85546875" style="1084"/>
    <col min="6913" max="6913" width="12.28515625" style="1084" customWidth="1"/>
    <col min="6914" max="6914" width="78.7109375" style="1084" customWidth="1"/>
    <col min="6915" max="6915" width="20.28515625" style="1084" customWidth="1"/>
    <col min="6916" max="6916" width="13.42578125" style="1084" customWidth="1"/>
    <col min="6917" max="6917" width="17.140625" style="1084" customWidth="1"/>
    <col min="6918" max="6918" width="22" style="1084" customWidth="1"/>
    <col min="6919" max="6919" width="17.85546875" style="1084" customWidth="1"/>
    <col min="6920" max="6920" width="21.28515625" style="1084" customWidth="1"/>
    <col min="6921" max="6921" width="16.5703125" style="1084" customWidth="1"/>
    <col min="6922" max="6922" width="20.28515625" style="1084" customWidth="1"/>
    <col min="6923" max="6923" width="17.28515625" style="1084" customWidth="1"/>
    <col min="6924" max="6924" width="19.42578125" style="1084" customWidth="1"/>
    <col min="6925" max="6925" width="18.5703125" style="1084" customWidth="1"/>
    <col min="6926" max="6926" width="19.7109375" style="1084" customWidth="1"/>
    <col min="6927" max="6927" width="16" style="1084" customWidth="1"/>
    <col min="6928" max="6928" width="20.5703125" style="1084" customWidth="1"/>
    <col min="6929" max="6929" width="16.85546875" style="1084" customWidth="1"/>
    <col min="6930" max="6930" width="23.7109375" style="1084" customWidth="1"/>
    <col min="6931" max="6931" width="27.140625" style="1084" bestFit="1" customWidth="1"/>
    <col min="6932" max="6932" width="25.7109375" style="1084" bestFit="1" customWidth="1"/>
    <col min="6933" max="6933" width="19.42578125" style="1084" bestFit="1" customWidth="1"/>
    <col min="6934" max="6934" width="10.85546875" style="1084"/>
    <col min="6935" max="6935" width="16.42578125" style="1084" bestFit="1" customWidth="1"/>
    <col min="6936" max="6936" width="10.85546875" style="1084"/>
    <col min="6937" max="6937" width="14.42578125" style="1084" bestFit="1" customWidth="1"/>
    <col min="6938" max="6939" width="10.85546875" style="1084"/>
    <col min="6940" max="6940" width="14.28515625" style="1084" bestFit="1" customWidth="1"/>
    <col min="6941" max="7168" width="10.85546875" style="1084"/>
    <col min="7169" max="7169" width="12.28515625" style="1084" customWidth="1"/>
    <col min="7170" max="7170" width="78.7109375" style="1084" customWidth="1"/>
    <col min="7171" max="7171" width="20.28515625" style="1084" customWidth="1"/>
    <col min="7172" max="7172" width="13.42578125" style="1084" customWidth="1"/>
    <col min="7173" max="7173" width="17.140625" style="1084" customWidth="1"/>
    <col min="7174" max="7174" width="22" style="1084" customWidth="1"/>
    <col min="7175" max="7175" width="17.85546875" style="1084" customWidth="1"/>
    <col min="7176" max="7176" width="21.28515625" style="1084" customWidth="1"/>
    <col min="7177" max="7177" width="16.5703125" style="1084" customWidth="1"/>
    <col min="7178" max="7178" width="20.28515625" style="1084" customWidth="1"/>
    <col min="7179" max="7179" width="17.28515625" style="1084" customWidth="1"/>
    <col min="7180" max="7180" width="19.42578125" style="1084" customWidth="1"/>
    <col min="7181" max="7181" width="18.5703125" style="1084" customWidth="1"/>
    <col min="7182" max="7182" width="19.7109375" style="1084" customWidth="1"/>
    <col min="7183" max="7183" width="16" style="1084" customWidth="1"/>
    <col min="7184" max="7184" width="20.5703125" style="1084" customWidth="1"/>
    <col min="7185" max="7185" width="16.85546875" style="1084" customWidth="1"/>
    <col min="7186" max="7186" width="23.7109375" style="1084" customWidth="1"/>
    <col min="7187" max="7187" width="27.140625" style="1084" bestFit="1" customWidth="1"/>
    <col min="7188" max="7188" width="25.7109375" style="1084" bestFit="1" customWidth="1"/>
    <col min="7189" max="7189" width="19.42578125" style="1084" bestFit="1" customWidth="1"/>
    <col min="7190" max="7190" width="10.85546875" style="1084"/>
    <col min="7191" max="7191" width="16.42578125" style="1084" bestFit="1" customWidth="1"/>
    <col min="7192" max="7192" width="10.85546875" style="1084"/>
    <col min="7193" max="7193" width="14.42578125" style="1084" bestFit="1" customWidth="1"/>
    <col min="7194" max="7195" width="10.85546875" style="1084"/>
    <col min="7196" max="7196" width="14.28515625" style="1084" bestFit="1" customWidth="1"/>
    <col min="7197" max="7424" width="10.85546875" style="1084"/>
    <col min="7425" max="7425" width="12.28515625" style="1084" customWidth="1"/>
    <col min="7426" max="7426" width="78.7109375" style="1084" customWidth="1"/>
    <col min="7427" max="7427" width="20.28515625" style="1084" customWidth="1"/>
    <col min="7428" max="7428" width="13.42578125" style="1084" customWidth="1"/>
    <col min="7429" max="7429" width="17.140625" style="1084" customWidth="1"/>
    <col min="7430" max="7430" width="22" style="1084" customWidth="1"/>
    <col min="7431" max="7431" width="17.85546875" style="1084" customWidth="1"/>
    <col min="7432" max="7432" width="21.28515625" style="1084" customWidth="1"/>
    <col min="7433" max="7433" width="16.5703125" style="1084" customWidth="1"/>
    <col min="7434" max="7434" width="20.28515625" style="1084" customWidth="1"/>
    <col min="7435" max="7435" width="17.28515625" style="1084" customWidth="1"/>
    <col min="7436" max="7436" width="19.42578125" style="1084" customWidth="1"/>
    <col min="7437" max="7437" width="18.5703125" style="1084" customWidth="1"/>
    <col min="7438" max="7438" width="19.7109375" style="1084" customWidth="1"/>
    <col min="7439" max="7439" width="16" style="1084" customWidth="1"/>
    <col min="7440" max="7440" width="20.5703125" style="1084" customWidth="1"/>
    <col min="7441" max="7441" width="16.85546875" style="1084" customWidth="1"/>
    <col min="7442" max="7442" width="23.7109375" style="1084" customWidth="1"/>
    <col min="7443" max="7443" width="27.140625" style="1084" bestFit="1" customWidth="1"/>
    <col min="7444" max="7444" width="25.7109375" style="1084" bestFit="1" customWidth="1"/>
    <col min="7445" max="7445" width="19.42578125" style="1084" bestFit="1" customWidth="1"/>
    <col min="7446" max="7446" width="10.85546875" style="1084"/>
    <col min="7447" max="7447" width="16.42578125" style="1084" bestFit="1" customWidth="1"/>
    <col min="7448" max="7448" width="10.85546875" style="1084"/>
    <col min="7449" max="7449" width="14.42578125" style="1084" bestFit="1" customWidth="1"/>
    <col min="7450" max="7451" width="10.85546875" style="1084"/>
    <col min="7452" max="7452" width="14.28515625" style="1084" bestFit="1" customWidth="1"/>
    <col min="7453" max="7680" width="10.85546875" style="1084"/>
    <col min="7681" max="7681" width="12.28515625" style="1084" customWidth="1"/>
    <col min="7682" max="7682" width="78.7109375" style="1084" customWidth="1"/>
    <col min="7683" max="7683" width="20.28515625" style="1084" customWidth="1"/>
    <col min="7684" max="7684" width="13.42578125" style="1084" customWidth="1"/>
    <col min="7685" max="7685" width="17.140625" style="1084" customWidth="1"/>
    <col min="7686" max="7686" width="22" style="1084" customWidth="1"/>
    <col min="7687" max="7687" width="17.85546875" style="1084" customWidth="1"/>
    <col min="7688" max="7688" width="21.28515625" style="1084" customWidth="1"/>
    <col min="7689" max="7689" width="16.5703125" style="1084" customWidth="1"/>
    <col min="7690" max="7690" width="20.28515625" style="1084" customWidth="1"/>
    <col min="7691" max="7691" width="17.28515625" style="1084" customWidth="1"/>
    <col min="7692" max="7692" width="19.42578125" style="1084" customWidth="1"/>
    <col min="7693" max="7693" width="18.5703125" style="1084" customWidth="1"/>
    <col min="7694" max="7694" width="19.7109375" style="1084" customWidth="1"/>
    <col min="7695" max="7695" width="16" style="1084" customWidth="1"/>
    <col min="7696" max="7696" width="20.5703125" style="1084" customWidth="1"/>
    <col min="7697" max="7697" width="16.85546875" style="1084" customWidth="1"/>
    <col min="7698" max="7698" width="23.7109375" style="1084" customWidth="1"/>
    <col min="7699" max="7699" width="27.140625" style="1084" bestFit="1" customWidth="1"/>
    <col min="7700" max="7700" width="25.7109375" style="1084" bestFit="1" customWidth="1"/>
    <col min="7701" max="7701" width="19.42578125" style="1084" bestFit="1" customWidth="1"/>
    <col min="7702" max="7702" width="10.85546875" style="1084"/>
    <col min="7703" max="7703" width="16.42578125" style="1084" bestFit="1" customWidth="1"/>
    <col min="7704" max="7704" width="10.85546875" style="1084"/>
    <col min="7705" max="7705" width="14.42578125" style="1084" bestFit="1" customWidth="1"/>
    <col min="7706" max="7707" width="10.85546875" style="1084"/>
    <col min="7708" max="7708" width="14.28515625" style="1084" bestFit="1" customWidth="1"/>
    <col min="7709" max="7936" width="10.85546875" style="1084"/>
    <col min="7937" max="7937" width="12.28515625" style="1084" customWidth="1"/>
    <col min="7938" max="7938" width="78.7109375" style="1084" customWidth="1"/>
    <col min="7939" max="7939" width="20.28515625" style="1084" customWidth="1"/>
    <col min="7940" max="7940" width="13.42578125" style="1084" customWidth="1"/>
    <col min="7941" max="7941" width="17.140625" style="1084" customWidth="1"/>
    <col min="7942" max="7942" width="22" style="1084" customWidth="1"/>
    <col min="7943" max="7943" width="17.85546875" style="1084" customWidth="1"/>
    <col min="7944" max="7944" width="21.28515625" style="1084" customWidth="1"/>
    <col min="7945" max="7945" width="16.5703125" style="1084" customWidth="1"/>
    <col min="7946" max="7946" width="20.28515625" style="1084" customWidth="1"/>
    <col min="7947" max="7947" width="17.28515625" style="1084" customWidth="1"/>
    <col min="7948" max="7948" width="19.42578125" style="1084" customWidth="1"/>
    <col min="7949" max="7949" width="18.5703125" style="1084" customWidth="1"/>
    <col min="7950" max="7950" width="19.7109375" style="1084" customWidth="1"/>
    <col min="7951" max="7951" width="16" style="1084" customWidth="1"/>
    <col min="7952" max="7952" width="20.5703125" style="1084" customWidth="1"/>
    <col min="7953" max="7953" width="16.85546875" style="1084" customWidth="1"/>
    <col min="7954" max="7954" width="23.7109375" style="1084" customWidth="1"/>
    <col min="7955" max="7955" width="27.140625" style="1084" bestFit="1" customWidth="1"/>
    <col min="7956" max="7956" width="25.7109375" style="1084" bestFit="1" customWidth="1"/>
    <col min="7957" max="7957" width="19.42578125" style="1084" bestFit="1" customWidth="1"/>
    <col min="7958" max="7958" width="10.85546875" style="1084"/>
    <col min="7959" max="7959" width="16.42578125" style="1084" bestFit="1" customWidth="1"/>
    <col min="7960" max="7960" width="10.85546875" style="1084"/>
    <col min="7961" max="7961" width="14.42578125" style="1084" bestFit="1" customWidth="1"/>
    <col min="7962" max="7963" width="10.85546875" style="1084"/>
    <col min="7964" max="7964" width="14.28515625" style="1084" bestFit="1" customWidth="1"/>
    <col min="7965" max="8192" width="10.85546875" style="1084"/>
    <col min="8193" max="8193" width="12.28515625" style="1084" customWidth="1"/>
    <col min="8194" max="8194" width="78.7109375" style="1084" customWidth="1"/>
    <col min="8195" max="8195" width="20.28515625" style="1084" customWidth="1"/>
    <col min="8196" max="8196" width="13.42578125" style="1084" customWidth="1"/>
    <col min="8197" max="8197" width="17.140625" style="1084" customWidth="1"/>
    <col min="8198" max="8198" width="22" style="1084" customWidth="1"/>
    <col min="8199" max="8199" width="17.85546875" style="1084" customWidth="1"/>
    <col min="8200" max="8200" width="21.28515625" style="1084" customWidth="1"/>
    <col min="8201" max="8201" width="16.5703125" style="1084" customWidth="1"/>
    <col min="8202" max="8202" width="20.28515625" style="1084" customWidth="1"/>
    <col min="8203" max="8203" width="17.28515625" style="1084" customWidth="1"/>
    <col min="8204" max="8204" width="19.42578125" style="1084" customWidth="1"/>
    <col min="8205" max="8205" width="18.5703125" style="1084" customWidth="1"/>
    <col min="8206" max="8206" width="19.7109375" style="1084" customWidth="1"/>
    <col min="8207" max="8207" width="16" style="1084" customWidth="1"/>
    <col min="8208" max="8208" width="20.5703125" style="1084" customWidth="1"/>
    <col min="8209" max="8209" width="16.85546875" style="1084" customWidth="1"/>
    <col min="8210" max="8210" width="23.7109375" style="1084" customWidth="1"/>
    <col min="8211" max="8211" width="27.140625" style="1084" bestFit="1" customWidth="1"/>
    <col min="8212" max="8212" width="25.7109375" style="1084" bestFit="1" customWidth="1"/>
    <col min="8213" max="8213" width="19.42578125" style="1084" bestFit="1" customWidth="1"/>
    <col min="8214" max="8214" width="10.85546875" style="1084"/>
    <col min="8215" max="8215" width="16.42578125" style="1084" bestFit="1" customWidth="1"/>
    <col min="8216" max="8216" width="10.85546875" style="1084"/>
    <col min="8217" max="8217" width="14.42578125" style="1084" bestFit="1" customWidth="1"/>
    <col min="8218" max="8219" width="10.85546875" style="1084"/>
    <col min="8220" max="8220" width="14.28515625" style="1084" bestFit="1" customWidth="1"/>
    <col min="8221" max="8448" width="10.85546875" style="1084"/>
    <col min="8449" max="8449" width="12.28515625" style="1084" customWidth="1"/>
    <col min="8450" max="8450" width="78.7109375" style="1084" customWidth="1"/>
    <col min="8451" max="8451" width="20.28515625" style="1084" customWidth="1"/>
    <col min="8452" max="8452" width="13.42578125" style="1084" customWidth="1"/>
    <col min="8453" max="8453" width="17.140625" style="1084" customWidth="1"/>
    <col min="8454" max="8454" width="22" style="1084" customWidth="1"/>
    <col min="8455" max="8455" width="17.85546875" style="1084" customWidth="1"/>
    <col min="8456" max="8456" width="21.28515625" style="1084" customWidth="1"/>
    <col min="8457" max="8457" width="16.5703125" style="1084" customWidth="1"/>
    <col min="8458" max="8458" width="20.28515625" style="1084" customWidth="1"/>
    <col min="8459" max="8459" width="17.28515625" style="1084" customWidth="1"/>
    <col min="8460" max="8460" width="19.42578125" style="1084" customWidth="1"/>
    <col min="8461" max="8461" width="18.5703125" style="1084" customWidth="1"/>
    <col min="8462" max="8462" width="19.7109375" style="1084" customWidth="1"/>
    <col min="8463" max="8463" width="16" style="1084" customWidth="1"/>
    <col min="8464" max="8464" width="20.5703125" style="1084" customWidth="1"/>
    <col min="8465" max="8465" width="16.85546875" style="1084" customWidth="1"/>
    <col min="8466" max="8466" width="23.7109375" style="1084" customWidth="1"/>
    <col min="8467" max="8467" width="27.140625" style="1084" bestFit="1" customWidth="1"/>
    <col min="8468" max="8468" width="25.7109375" style="1084" bestFit="1" customWidth="1"/>
    <col min="8469" max="8469" width="19.42578125" style="1084" bestFit="1" customWidth="1"/>
    <col min="8470" max="8470" width="10.85546875" style="1084"/>
    <col min="8471" max="8471" width="16.42578125" style="1084" bestFit="1" customWidth="1"/>
    <col min="8472" max="8472" width="10.85546875" style="1084"/>
    <col min="8473" max="8473" width="14.42578125" style="1084" bestFit="1" customWidth="1"/>
    <col min="8474" max="8475" width="10.85546875" style="1084"/>
    <col min="8476" max="8476" width="14.28515625" style="1084" bestFit="1" customWidth="1"/>
    <col min="8477" max="8704" width="10.85546875" style="1084"/>
    <col min="8705" max="8705" width="12.28515625" style="1084" customWidth="1"/>
    <col min="8706" max="8706" width="78.7109375" style="1084" customWidth="1"/>
    <col min="8707" max="8707" width="20.28515625" style="1084" customWidth="1"/>
    <col min="8708" max="8708" width="13.42578125" style="1084" customWidth="1"/>
    <col min="8709" max="8709" width="17.140625" style="1084" customWidth="1"/>
    <col min="8710" max="8710" width="22" style="1084" customWidth="1"/>
    <col min="8711" max="8711" width="17.85546875" style="1084" customWidth="1"/>
    <col min="8712" max="8712" width="21.28515625" style="1084" customWidth="1"/>
    <col min="8713" max="8713" width="16.5703125" style="1084" customWidth="1"/>
    <col min="8714" max="8714" width="20.28515625" style="1084" customWidth="1"/>
    <col min="8715" max="8715" width="17.28515625" style="1084" customWidth="1"/>
    <col min="8716" max="8716" width="19.42578125" style="1084" customWidth="1"/>
    <col min="8717" max="8717" width="18.5703125" style="1084" customWidth="1"/>
    <col min="8718" max="8718" width="19.7109375" style="1084" customWidth="1"/>
    <col min="8719" max="8719" width="16" style="1084" customWidth="1"/>
    <col min="8720" max="8720" width="20.5703125" style="1084" customWidth="1"/>
    <col min="8721" max="8721" width="16.85546875" style="1084" customWidth="1"/>
    <col min="8722" max="8722" width="23.7109375" style="1084" customWidth="1"/>
    <col min="8723" max="8723" width="27.140625" style="1084" bestFit="1" customWidth="1"/>
    <col min="8724" max="8724" width="25.7109375" style="1084" bestFit="1" customWidth="1"/>
    <col min="8725" max="8725" width="19.42578125" style="1084" bestFit="1" customWidth="1"/>
    <col min="8726" max="8726" width="10.85546875" style="1084"/>
    <col min="8727" max="8727" width="16.42578125" style="1084" bestFit="1" customWidth="1"/>
    <col min="8728" max="8728" width="10.85546875" style="1084"/>
    <col min="8729" max="8729" width="14.42578125" style="1084" bestFit="1" customWidth="1"/>
    <col min="8730" max="8731" width="10.85546875" style="1084"/>
    <col min="8732" max="8732" width="14.28515625" style="1084" bestFit="1" customWidth="1"/>
    <col min="8733" max="8960" width="10.85546875" style="1084"/>
    <col min="8961" max="8961" width="12.28515625" style="1084" customWidth="1"/>
    <col min="8962" max="8962" width="78.7109375" style="1084" customWidth="1"/>
    <col min="8963" max="8963" width="20.28515625" style="1084" customWidth="1"/>
    <col min="8964" max="8964" width="13.42578125" style="1084" customWidth="1"/>
    <col min="8965" max="8965" width="17.140625" style="1084" customWidth="1"/>
    <col min="8966" max="8966" width="22" style="1084" customWidth="1"/>
    <col min="8967" max="8967" width="17.85546875" style="1084" customWidth="1"/>
    <col min="8968" max="8968" width="21.28515625" style="1084" customWidth="1"/>
    <col min="8969" max="8969" width="16.5703125" style="1084" customWidth="1"/>
    <col min="8970" max="8970" width="20.28515625" style="1084" customWidth="1"/>
    <col min="8971" max="8971" width="17.28515625" style="1084" customWidth="1"/>
    <col min="8972" max="8972" width="19.42578125" style="1084" customWidth="1"/>
    <col min="8973" max="8973" width="18.5703125" style="1084" customWidth="1"/>
    <col min="8974" max="8974" width="19.7109375" style="1084" customWidth="1"/>
    <col min="8975" max="8975" width="16" style="1084" customWidth="1"/>
    <col min="8976" max="8976" width="20.5703125" style="1084" customWidth="1"/>
    <col min="8977" max="8977" width="16.85546875" style="1084" customWidth="1"/>
    <col min="8978" max="8978" width="23.7109375" style="1084" customWidth="1"/>
    <col min="8979" max="8979" width="27.140625" style="1084" bestFit="1" customWidth="1"/>
    <col min="8980" max="8980" width="25.7109375" style="1084" bestFit="1" customWidth="1"/>
    <col min="8981" max="8981" width="19.42578125" style="1084" bestFit="1" customWidth="1"/>
    <col min="8982" max="8982" width="10.85546875" style="1084"/>
    <col min="8983" max="8983" width="16.42578125" style="1084" bestFit="1" customWidth="1"/>
    <col min="8984" max="8984" width="10.85546875" style="1084"/>
    <col min="8985" max="8985" width="14.42578125" style="1084" bestFit="1" customWidth="1"/>
    <col min="8986" max="8987" width="10.85546875" style="1084"/>
    <col min="8988" max="8988" width="14.28515625" style="1084" bestFit="1" customWidth="1"/>
    <col min="8989" max="9216" width="10.85546875" style="1084"/>
    <col min="9217" max="9217" width="12.28515625" style="1084" customWidth="1"/>
    <col min="9218" max="9218" width="78.7109375" style="1084" customWidth="1"/>
    <col min="9219" max="9219" width="20.28515625" style="1084" customWidth="1"/>
    <col min="9220" max="9220" width="13.42578125" style="1084" customWidth="1"/>
    <col min="9221" max="9221" width="17.140625" style="1084" customWidth="1"/>
    <col min="9222" max="9222" width="22" style="1084" customWidth="1"/>
    <col min="9223" max="9223" width="17.85546875" style="1084" customWidth="1"/>
    <col min="9224" max="9224" width="21.28515625" style="1084" customWidth="1"/>
    <col min="9225" max="9225" width="16.5703125" style="1084" customWidth="1"/>
    <col min="9226" max="9226" width="20.28515625" style="1084" customWidth="1"/>
    <col min="9227" max="9227" width="17.28515625" style="1084" customWidth="1"/>
    <col min="9228" max="9228" width="19.42578125" style="1084" customWidth="1"/>
    <col min="9229" max="9229" width="18.5703125" style="1084" customWidth="1"/>
    <col min="9230" max="9230" width="19.7109375" style="1084" customWidth="1"/>
    <col min="9231" max="9231" width="16" style="1084" customWidth="1"/>
    <col min="9232" max="9232" width="20.5703125" style="1084" customWidth="1"/>
    <col min="9233" max="9233" width="16.85546875" style="1084" customWidth="1"/>
    <col min="9234" max="9234" width="23.7109375" style="1084" customWidth="1"/>
    <col min="9235" max="9235" width="27.140625" style="1084" bestFit="1" customWidth="1"/>
    <col min="9236" max="9236" width="25.7109375" style="1084" bestFit="1" customWidth="1"/>
    <col min="9237" max="9237" width="19.42578125" style="1084" bestFit="1" customWidth="1"/>
    <col min="9238" max="9238" width="10.85546875" style="1084"/>
    <col min="9239" max="9239" width="16.42578125" style="1084" bestFit="1" customWidth="1"/>
    <col min="9240" max="9240" width="10.85546875" style="1084"/>
    <col min="9241" max="9241" width="14.42578125" style="1084" bestFit="1" customWidth="1"/>
    <col min="9242" max="9243" width="10.85546875" style="1084"/>
    <col min="9244" max="9244" width="14.28515625" style="1084" bestFit="1" customWidth="1"/>
    <col min="9245" max="9472" width="10.85546875" style="1084"/>
    <col min="9473" max="9473" width="12.28515625" style="1084" customWidth="1"/>
    <col min="9474" max="9474" width="78.7109375" style="1084" customWidth="1"/>
    <col min="9475" max="9475" width="20.28515625" style="1084" customWidth="1"/>
    <col min="9476" max="9476" width="13.42578125" style="1084" customWidth="1"/>
    <col min="9477" max="9477" width="17.140625" style="1084" customWidth="1"/>
    <col min="9478" max="9478" width="22" style="1084" customWidth="1"/>
    <col min="9479" max="9479" width="17.85546875" style="1084" customWidth="1"/>
    <col min="9480" max="9480" width="21.28515625" style="1084" customWidth="1"/>
    <col min="9481" max="9481" width="16.5703125" style="1084" customWidth="1"/>
    <col min="9482" max="9482" width="20.28515625" style="1084" customWidth="1"/>
    <col min="9483" max="9483" width="17.28515625" style="1084" customWidth="1"/>
    <col min="9484" max="9484" width="19.42578125" style="1084" customWidth="1"/>
    <col min="9485" max="9485" width="18.5703125" style="1084" customWidth="1"/>
    <col min="9486" max="9486" width="19.7109375" style="1084" customWidth="1"/>
    <col min="9487" max="9487" width="16" style="1084" customWidth="1"/>
    <col min="9488" max="9488" width="20.5703125" style="1084" customWidth="1"/>
    <col min="9489" max="9489" width="16.85546875" style="1084" customWidth="1"/>
    <col min="9490" max="9490" width="23.7109375" style="1084" customWidth="1"/>
    <col min="9491" max="9491" width="27.140625" style="1084" bestFit="1" customWidth="1"/>
    <col min="9492" max="9492" width="25.7109375" style="1084" bestFit="1" customWidth="1"/>
    <col min="9493" max="9493" width="19.42578125" style="1084" bestFit="1" customWidth="1"/>
    <col min="9494" max="9494" width="10.85546875" style="1084"/>
    <col min="9495" max="9495" width="16.42578125" style="1084" bestFit="1" customWidth="1"/>
    <col min="9496" max="9496" width="10.85546875" style="1084"/>
    <col min="9497" max="9497" width="14.42578125" style="1084" bestFit="1" customWidth="1"/>
    <col min="9498" max="9499" width="10.85546875" style="1084"/>
    <col min="9500" max="9500" width="14.28515625" style="1084" bestFit="1" customWidth="1"/>
    <col min="9501" max="9728" width="10.85546875" style="1084"/>
    <col min="9729" max="9729" width="12.28515625" style="1084" customWidth="1"/>
    <col min="9730" max="9730" width="78.7109375" style="1084" customWidth="1"/>
    <col min="9731" max="9731" width="20.28515625" style="1084" customWidth="1"/>
    <col min="9732" max="9732" width="13.42578125" style="1084" customWidth="1"/>
    <col min="9733" max="9733" width="17.140625" style="1084" customWidth="1"/>
    <col min="9734" max="9734" width="22" style="1084" customWidth="1"/>
    <col min="9735" max="9735" width="17.85546875" style="1084" customWidth="1"/>
    <col min="9736" max="9736" width="21.28515625" style="1084" customWidth="1"/>
    <col min="9737" max="9737" width="16.5703125" style="1084" customWidth="1"/>
    <col min="9738" max="9738" width="20.28515625" style="1084" customWidth="1"/>
    <col min="9739" max="9739" width="17.28515625" style="1084" customWidth="1"/>
    <col min="9740" max="9740" width="19.42578125" style="1084" customWidth="1"/>
    <col min="9741" max="9741" width="18.5703125" style="1084" customWidth="1"/>
    <col min="9742" max="9742" width="19.7109375" style="1084" customWidth="1"/>
    <col min="9743" max="9743" width="16" style="1084" customWidth="1"/>
    <col min="9744" max="9744" width="20.5703125" style="1084" customWidth="1"/>
    <col min="9745" max="9745" width="16.85546875" style="1084" customWidth="1"/>
    <col min="9746" max="9746" width="23.7109375" style="1084" customWidth="1"/>
    <col min="9747" max="9747" width="27.140625" style="1084" bestFit="1" customWidth="1"/>
    <col min="9748" max="9748" width="25.7109375" style="1084" bestFit="1" customWidth="1"/>
    <col min="9749" max="9749" width="19.42578125" style="1084" bestFit="1" customWidth="1"/>
    <col min="9750" max="9750" width="10.85546875" style="1084"/>
    <col min="9751" max="9751" width="16.42578125" style="1084" bestFit="1" customWidth="1"/>
    <col min="9752" max="9752" width="10.85546875" style="1084"/>
    <col min="9753" max="9753" width="14.42578125" style="1084" bestFit="1" customWidth="1"/>
    <col min="9754" max="9755" width="10.85546875" style="1084"/>
    <col min="9756" max="9756" width="14.28515625" style="1084" bestFit="1" customWidth="1"/>
    <col min="9757" max="9984" width="10.85546875" style="1084"/>
    <col min="9985" max="9985" width="12.28515625" style="1084" customWidth="1"/>
    <col min="9986" max="9986" width="78.7109375" style="1084" customWidth="1"/>
    <col min="9987" max="9987" width="20.28515625" style="1084" customWidth="1"/>
    <col min="9988" max="9988" width="13.42578125" style="1084" customWidth="1"/>
    <col min="9989" max="9989" width="17.140625" style="1084" customWidth="1"/>
    <col min="9990" max="9990" width="22" style="1084" customWidth="1"/>
    <col min="9991" max="9991" width="17.85546875" style="1084" customWidth="1"/>
    <col min="9992" max="9992" width="21.28515625" style="1084" customWidth="1"/>
    <col min="9993" max="9993" width="16.5703125" style="1084" customWidth="1"/>
    <col min="9994" max="9994" width="20.28515625" style="1084" customWidth="1"/>
    <col min="9995" max="9995" width="17.28515625" style="1084" customWidth="1"/>
    <col min="9996" max="9996" width="19.42578125" style="1084" customWidth="1"/>
    <col min="9997" max="9997" width="18.5703125" style="1084" customWidth="1"/>
    <col min="9998" max="9998" width="19.7109375" style="1084" customWidth="1"/>
    <col min="9999" max="9999" width="16" style="1084" customWidth="1"/>
    <col min="10000" max="10000" width="20.5703125" style="1084" customWidth="1"/>
    <col min="10001" max="10001" width="16.85546875" style="1084" customWidth="1"/>
    <col min="10002" max="10002" width="23.7109375" style="1084" customWidth="1"/>
    <col min="10003" max="10003" width="27.140625" style="1084" bestFit="1" customWidth="1"/>
    <col min="10004" max="10004" width="25.7109375" style="1084" bestFit="1" customWidth="1"/>
    <col min="10005" max="10005" width="19.42578125" style="1084" bestFit="1" customWidth="1"/>
    <col min="10006" max="10006" width="10.85546875" style="1084"/>
    <col min="10007" max="10007" width="16.42578125" style="1084" bestFit="1" customWidth="1"/>
    <col min="10008" max="10008" width="10.85546875" style="1084"/>
    <col min="10009" max="10009" width="14.42578125" style="1084" bestFit="1" customWidth="1"/>
    <col min="10010" max="10011" width="10.85546875" style="1084"/>
    <col min="10012" max="10012" width="14.28515625" style="1084" bestFit="1" customWidth="1"/>
    <col min="10013" max="10240" width="10.85546875" style="1084"/>
    <col min="10241" max="10241" width="12.28515625" style="1084" customWidth="1"/>
    <col min="10242" max="10242" width="78.7109375" style="1084" customWidth="1"/>
    <col min="10243" max="10243" width="20.28515625" style="1084" customWidth="1"/>
    <col min="10244" max="10244" width="13.42578125" style="1084" customWidth="1"/>
    <col min="10245" max="10245" width="17.140625" style="1084" customWidth="1"/>
    <col min="10246" max="10246" width="22" style="1084" customWidth="1"/>
    <col min="10247" max="10247" width="17.85546875" style="1084" customWidth="1"/>
    <col min="10248" max="10248" width="21.28515625" style="1084" customWidth="1"/>
    <col min="10249" max="10249" width="16.5703125" style="1084" customWidth="1"/>
    <col min="10250" max="10250" width="20.28515625" style="1084" customWidth="1"/>
    <col min="10251" max="10251" width="17.28515625" style="1084" customWidth="1"/>
    <col min="10252" max="10252" width="19.42578125" style="1084" customWidth="1"/>
    <col min="10253" max="10253" width="18.5703125" style="1084" customWidth="1"/>
    <col min="10254" max="10254" width="19.7109375" style="1084" customWidth="1"/>
    <col min="10255" max="10255" width="16" style="1084" customWidth="1"/>
    <col min="10256" max="10256" width="20.5703125" style="1084" customWidth="1"/>
    <col min="10257" max="10257" width="16.85546875" style="1084" customWidth="1"/>
    <col min="10258" max="10258" width="23.7109375" style="1084" customWidth="1"/>
    <col min="10259" max="10259" width="27.140625" style="1084" bestFit="1" customWidth="1"/>
    <col min="10260" max="10260" width="25.7109375" style="1084" bestFit="1" customWidth="1"/>
    <col min="10261" max="10261" width="19.42578125" style="1084" bestFit="1" customWidth="1"/>
    <col min="10262" max="10262" width="10.85546875" style="1084"/>
    <col min="10263" max="10263" width="16.42578125" style="1084" bestFit="1" customWidth="1"/>
    <col min="10264" max="10264" width="10.85546875" style="1084"/>
    <col min="10265" max="10265" width="14.42578125" style="1084" bestFit="1" customWidth="1"/>
    <col min="10266" max="10267" width="10.85546875" style="1084"/>
    <col min="10268" max="10268" width="14.28515625" style="1084" bestFit="1" customWidth="1"/>
    <col min="10269" max="10496" width="10.85546875" style="1084"/>
    <col min="10497" max="10497" width="12.28515625" style="1084" customWidth="1"/>
    <col min="10498" max="10498" width="78.7109375" style="1084" customWidth="1"/>
    <col min="10499" max="10499" width="20.28515625" style="1084" customWidth="1"/>
    <col min="10500" max="10500" width="13.42578125" style="1084" customWidth="1"/>
    <col min="10501" max="10501" width="17.140625" style="1084" customWidth="1"/>
    <col min="10502" max="10502" width="22" style="1084" customWidth="1"/>
    <col min="10503" max="10503" width="17.85546875" style="1084" customWidth="1"/>
    <col min="10504" max="10504" width="21.28515625" style="1084" customWidth="1"/>
    <col min="10505" max="10505" width="16.5703125" style="1084" customWidth="1"/>
    <col min="10506" max="10506" width="20.28515625" style="1084" customWidth="1"/>
    <col min="10507" max="10507" width="17.28515625" style="1084" customWidth="1"/>
    <col min="10508" max="10508" width="19.42578125" style="1084" customWidth="1"/>
    <col min="10509" max="10509" width="18.5703125" style="1084" customWidth="1"/>
    <col min="10510" max="10510" width="19.7109375" style="1084" customWidth="1"/>
    <col min="10511" max="10511" width="16" style="1084" customWidth="1"/>
    <col min="10512" max="10512" width="20.5703125" style="1084" customWidth="1"/>
    <col min="10513" max="10513" width="16.85546875" style="1084" customWidth="1"/>
    <col min="10514" max="10514" width="23.7109375" style="1084" customWidth="1"/>
    <col min="10515" max="10515" width="27.140625" style="1084" bestFit="1" customWidth="1"/>
    <col min="10516" max="10516" width="25.7109375" style="1084" bestFit="1" customWidth="1"/>
    <col min="10517" max="10517" width="19.42578125" style="1084" bestFit="1" customWidth="1"/>
    <col min="10518" max="10518" width="10.85546875" style="1084"/>
    <col min="10519" max="10519" width="16.42578125" style="1084" bestFit="1" customWidth="1"/>
    <col min="10520" max="10520" width="10.85546875" style="1084"/>
    <col min="10521" max="10521" width="14.42578125" style="1084" bestFit="1" customWidth="1"/>
    <col min="10522" max="10523" width="10.85546875" style="1084"/>
    <col min="10524" max="10524" width="14.28515625" style="1084" bestFit="1" customWidth="1"/>
    <col min="10525" max="10752" width="10.85546875" style="1084"/>
    <col min="10753" max="10753" width="12.28515625" style="1084" customWidth="1"/>
    <col min="10754" max="10754" width="78.7109375" style="1084" customWidth="1"/>
    <col min="10755" max="10755" width="20.28515625" style="1084" customWidth="1"/>
    <col min="10756" max="10756" width="13.42578125" style="1084" customWidth="1"/>
    <col min="10757" max="10757" width="17.140625" style="1084" customWidth="1"/>
    <col min="10758" max="10758" width="22" style="1084" customWidth="1"/>
    <col min="10759" max="10759" width="17.85546875" style="1084" customWidth="1"/>
    <col min="10760" max="10760" width="21.28515625" style="1084" customWidth="1"/>
    <col min="10761" max="10761" width="16.5703125" style="1084" customWidth="1"/>
    <col min="10762" max="10762" width="20.28515625" style="1084" customWidth="1"/>
    <col min="10763" max="10763" width="17.28515625" style="1084" customWidth="1"/>
    <col min="10764" max="10764" width="19.42578125" style="1084" customWidth="1"/>
    <col min="10765" max="10765" width="18.5703125" style="1084" customWidth="1"/>
    <col min="10766" max="10766" width="19.7109375" style="1084" customWidth="1"/>
    <col min="10767" max="10767" width="16" style="1084" customWidth="1"/>
    <col min="10768" max="10768" width="20.5703125" style="1084" customWidth="1"/>
    <col min="10769" max="10769" width="16.85546875" style="1084" customWidth="1"/>
    <col min="10770" max="10770" width="23.7109375" style="1084" customWidth="1"/>
    <col min="10771" max="10771" width="27.140625" style="1084" bestFit="1" customWidth="1"/>
    <col min="10772" max="10772" width="25.7109375" style="1084" bestFit="1" customWidth="1"/>
    <col min="10773" max="10773" width="19.42578125" style="1084" bestFit="1" customWidth="1"/>
    <col min="10774" max="10774" width="10.85546875" style="1084"/>
    <col min="10775" max="10775" width="16.42578125" style="1084" bestFit="1" customWidth="1"/>
    <col min="10776" max="10776" width="10.85546875" style="1084"/>
    <col min="10777" max="10777" width="14.42578125" style="1084" bestFit="1" customWidth="1"/>
    <col min="10778" max="10779" width="10.85546875" style="1084"/>
    <col min="10780" max="10780" width="14.28515625" style="1084" bestFit="1" customWidth="1"/>
    <col min="10781" max="11008" width="10.85546875" style="1084"/>
    <col min="11009" max="11009" width="12.28515625" style="1084" customWidth="1"/>
    <col min="11010" max="11010" width="78.7109375" style="1084" customWidth="1"/>
    <col min="11011" max="11011" width="20.28515625" style="1084" customWidth="1"/>
    <col min="11012" max="11012" width="13.42578125" style="1084" customWidth="1"/>
    <col min="11013" max="11013" width="17.140625" style="1084" customWidth="1"/>
    <col min="11014" max="11014" width="22" style="1084" customWidth="1"/>
    <col min="11015" max="11015" width="17.85546875" style="1084" customWidth="1"/>
    <col min="11016" max="11016" width="21.28515625" style="1084" customWidth="1"/>
    <col min="11017" max="11017" width="16.5703125" style="1084" customWidth="1"/>
    <col min="11018" max="11018" width="20.28515625" style="1084" customWidth="1"/>
    <col min="11019" max="11019" width="17.28515625" style="1084" customWidth="1"/>
    <col min="11020" max="11020" width="19.42578125" style="1084" customWidth="1"/>
    <col min="11021" max="11021" width="18.5703125" style="1084" customWidth="1"/>
    <col min="11022" max="11022" width="19.7109375" style="1084" customWidth="1"/>
    <col min="11023" max="11023" width="16" style="1084" customWidth="1"/>
    <col min="11024" max="11024" width="20.5703125" style="1084" customWidth="1"/>
    <col min="11025" max="11025" width="16.85546875" style="1084" customWidth="1"/>
    <col min="11026" max="11026" width="23.7109375" style="1084" customWidth="1"/>
    <col min="11027" max="11027" width="27.140625" style="1084" bestFit="1" customWidth="1"/>
    <col min="11028" max="11028" width="25.7109375" style="1084" bestFit="1" customWidth="1"/>
    <col min="11029" max="11029" width="19.42578125" style="1084" bestFit="1" customWidth="1"/>
    <col min="11030" max="11030" width="10.85546875" style="1084"/>
    <col min="11031" max="11031" width="16.42578125" style="1084" bestFit="1" customWidth="1"/>
    <col min="11032" max="11032" width="10.85546875" style="1084"/>
    <col min="11033" max="11033" width="14.42578125" style="1084" bestFit="1" customWidth="1"/>
    <col min="11034" max="11035" width="10.85546875" style="1084"/>
    <col min="11036" max="11036" width="14.28515625" style="1084" bestFit="1" customWidth="1"/>
    <col min="11037" max="11264" width="10.85546875" style="1084"/>
    <col min="11265" max="11265" width="12.28515625" style="1084" customWidth="1"/>
    <col min="11266" max="11266" width="78.7109375" style="1084" customWidth="1"/>
    <col min="11267" max="11267" width="20.28515625" style="1084" customWidth="1"/>
    <col min="11268" max="11268" width="13.42578125" style="1084" customWidth="1"/>
    <col min="11269" max="11269" width="17.140625" style="1084" customWidth="1"/>
    <col min="11270" max="11270" width="22" style="1084" customWidth="1"/>
    <col min="11271" max="11271" width="17.85546875" style="1084" customWidth="1"/>
    <col min="11272" max="11272" width="21.28515625" style="1084" customWidth="1"/>
    <col min="11273" max="11273" width="16.5703125" style="1084" customWidth="1"/>
    <col min="11274" max="11274" width="20.28515625" style="1084" customWidth="1"/>
    <col min="11275" max="11275" width="17.28515625" style="1084" customWidth="1"/>
    <col min="11276" max="11276" width="19.42578125" style="1084" customWidth="1"/>
    <col min="11277" max="11277" width="18.5703125" style="1084" customWidth="1"/>
    <col min="11278" max="11278" width="19.7109375" style="1084" customWidth="1"/>
    <col min="11279" max="11279" width="16" style="1084" customWidth="1"/>
    <col min="11280" max="11280" width="20.5703125" style="1084" customWidth="1"/>
    <col min="11281" max="11281" width="16.85546875" style="1084" customWidth="1"/>
    <col min="11282" max="11282" width="23.7109375" style="1084" customWidth="1"/>
    <col min="11283" max="11283" width="27.140625" style="1084" bestFit="1" customWidth="1"/>
    <col min="11284" max="11284" width="25.7109375" style="1084" bestFit="1" customWidth="1"/>
    <col min="11285" max="11285" width="19.42578125" style="1084" bestFit="1" customWidth="1"/>
    <col min="11286" max="11286" width="10.85546875" style="1084"/>
    <col min="11287" max="11287" width="16.42578125" style="1084" bestFit="1" customWidth="1"/>
    <col min="11288" max="11288" width="10.85546875" style="1084"/>
    <col min="11289" max="11289" width="14.42578125" style="1084" bestFit="1" customWidth="1"/>
    <col min="11290" max="11291" width="10.85546875" style="1084"/>
    <col min="11292" max="11292" width="14.28515625" style="1084" bestFit="1" customWidth="1"/>
    <col min="11293" max="11520" width="10.85546875" style="1084"/>
    <col min="11521" max="11521" width="12.28515625" style="1084" customWidth="1"/>
    <col min="11522" max="11522" width="78.7109375" style="1084" customWidth="1"/>
    <col min="11523" max="11523" width="20.28515625" style="1084" customWidth="1"/>
    <col min="11524" max="11524" width="13.42578125" style="1084" customWidth="1"/>
    <col min="11525" max="11525" width="17.140625" style="1084" customWidth="1"/>
    <col min="11526" max="11526" width="22" style="1084" customWidth="1"/>
    <col min="11527" max="11527" width="17.85546875" style="1084" customWidth="1"/>
    <col min="11528" max="11528" width="21.28515625" style="1084" customWidth="1"/>
    <col min="11529" max="11529" width="16.5703125" style="1084" customWidth="1"/>
    <col min="11530" max="11530" width="20.28515625" style="1084" customWidth="1"/>
    <col min="11531" max="11531" width="17.28515625" style="1084" customWidth="1"/>
    <col min="11532" max="11532" width="19.42578125" style="1084" customWidth="1"/>
    <col min="11533" max="11533" width="18.5703125" style="1084" customWidth="1"/>
    <col min="11534" max="11534" width="19.7109375" style="1084" customWidth="1"/>
    <col min="11535" max="11535" width="16" style="1084" customWidth="1"/>
    <col min="11536" max="11536" width="20.5703125" style="1084" customWidth="1"/>
    <col min="11537" max="11537" width="16.85546875" style="1084" customWidth="1"/>
    <col min="11538" max="11538" width="23.7109375" style="1084" customWidth="1"/>
    <col min="11539" max="11539" width="27.140625" style="1084" bestFit="1" customWidth="1"/>
    <col min="11540" max="11540" width="25.7109375" style="1084" bestFit="1" customWidth="1"/>
    <col min="11541" max="11541" width="19.42578125" style="1084" bestFit="1" customWidth="1"/>
    <col min="11542" max="11542" width="10.85546875" style="1084"/>
    <col min="11543" max="11543" width="16.42578125" style="1084" bestFit="1" customWidth="1"/>
    <col min="11544" max="11544" width="10.85546875" style="1084"/>
    <col min="11545" max="11545" width="14.42578125" style="1084" bestFit="1" customWidth="1"/>
    <col min="11546" max="11547" width="10.85546875" style="1084"/>
    <col min="11548" max="11548" width="14.28515625" style="1084" bestFit="1" customWidth="1"/>
    <col min="11549" max="11776" width="10.85546875" style="1084"/>
    <col min="11777" max="11777" width="12.28515625" style="1084" customWidth="1"/>
    <col min="11778" max="11778" width="78.7109375" style="1084" customWidth="1"/>
    <col min="11779" max="11779" width="20.28515625" style="1084" customWidth="1"/>
    <col min="11780" max="11780" width="13.42578125" style="1084" customWidth="1"/>
    <col min="11781" max="11781" width="17.140625" style="1084" customWidth="1"/>
    <col min="11782" max="11782" width="22" style="1084" customWidth="1"/>
    <col min="11783" max="11783" width="17.85546875" style="1084" customWidth="1"/>
    <col min="11784" max="11784" width="21.28515625" style="1084" customWidth="1"/>
    <col min="11785" max="11785" width="16.5703125" style="1084" customWidth="1"/>
    <col min="11786" max="11786" width="20.28515625" style="1084" customWidth="1"/>
    <col min="11787" max="11787" width="17.28515625" style="1084" customWidth="1"/>
    <col min="11788" max="11788" width="19.42578125" style="1084" customWidth="1"/>
    <col min="11789" max="11789" width="18.5703125" style="1084" customWidth="1"/>
    <col min="11790" max="11790" width="19.7109375" style="1084" customWidth="1"/>
    <col min="11791" max="11791" width="16" style="1084" customWidth="1"/>
    <col min="11792" max="11792" width="20.5703125" style="1084" customWidth="1"/>
    <col min="11793" max="11793" width="16.85546875" style="1084" customWidth="1"/>
    <col min="11794" max="11794" width="23.7109375" style="1084" customWidth="1"/>
    <col min="11795" max="11795" width="27.140625" style="1084" bestFit="1" customWidth="1"/>
    <col min="11796" max="11796" width="25.7109375" style="1084" bestFit="1" customWidth="1"/>
    <col min="11797" max="11797" width="19.42578125" style="1084" bestFit="1" customWidth="1"/>
    <col min="11798" max="11798" width="10.85546875" style="1084"/>
    <col min="11799" max="11799" width="16.42578125" style="1084" bestFit="1" customWidth="1"/>
    <col min="11800" max="11800" width="10.85546875" style="1084"/>
    <col min="11801" max="11801" width="14.42578125" style="1084" bestFit="1" customWidth="1"/>
    <col min="11802" max="11803" width="10.85546875" style="1084"/>
    <col min="11804" max="11804" width="14.28515625" style="1084" bestFit="1" customWidth="1"/>
    <col min="11805" max="12032" width="10.85546875" style="1084"/>
    <col min="12033" max="12033" width="12.28515625" style="1084" customWidth="1"/>
    <col min="12034" max="12034" width="78.7109375" style="1084" customWidth="1"/>
    <col min="12035" max="12035" width="20.28515625" style="1084" customWidth="1"/>
    <col min="12036" max="12036" width="13.42578125" style="1084" customWidth="1"/>
    <col min="12037" max="12037" width="17.140625" style="1084" customWidth="1"/>
    <col min="12038" max="12038" width="22" style="1084" customWidth="1"/>
    <col min="12039" max="12039" width="17.85546875" style="1084" customWidth="1"/>
    <col min="12040" max="12040" width="21.28515625" style="1084" customWidth="1"/>
    <col min="12041" max="12041" width="16.5703125" style="1084" customWidth="1"/>
    <col min="12042" max="12042" width="20.28515625" style="1084" customWidth="1"/>
    <col min="12043" max="12043" width="17.28515625" style="1084" customWidth="1"/>
    <col min="12044" max="12044" width="19.42578125" style="1084" customWidth="1"/>
    <col min="12045" max="12045" width="18.5703125" style="1084" customWidth="1"/>
    <col min="12046" max="12046" width="19.7109375" style="1084" customWidth="1"/>
    <col min="12047" max="12047" width="16" style="1084" customWidth="1"/>
    <col min="12048" max="12048" width="20.5703125" style="1084" customWidth="1"/>
    <col min="12049" max="12049" width="16.85546875" style="1084" customWidth="1"/>
    <col min="12050" max="12050" width="23.7109375" style="1084" customWidth="1"/>
    <col min="12051" max="12051" width="27.140625" style="1084" bestFit="1" customWidth="1"/>
    <col min="12052" max="12052" width="25.7109375" style="1084" bestFit="1" customWidth="1"/>
    <col min="12053" max="12053" width="19.42578125" style="1084" bestFit="1" customWidth="1"/>
    <col min="12054" max="12054" width="10.85546875" style="1084"/>
    <col min="12055" max="12055" width="16.42578125" style="1084" bestFit="1" customWidth="1"/>
    <col min="12056" max="12056" width="10.85546875" style="1084"/>
    <col min="12057" max="12057" width="14.42578125" style="1084" bestFit="1" customWidth="1"/>
    <col min="12058" max="12059" width="10.85546875" style="1084"/>
    <col min="12060" max="12060" width="14.28515625" style="1084" bestFit="1" customWidth="1"/>
    <col min="12061" max="12288" width="10.85546875" style="1084"/>
    <col min="12289" max="12289" width="12.28515625" style="1084" customWidth="1"/>
    <col min="12290" max="12290" width="78.7109375" style="1084" customWidth="1"/>
    <col min="12291" max="12291" width="20.28515625" style="1084" customWidth="1"/>
    <col min="12292" max="12292" width="13.42578125" style="1084" customWidth="1"/>
    <col min="12293" max="12293" width="17.140625" style="1084" customWidth="1"/>
    <col min="12294" max="12294" width="22" style="1084" customWidth="1"/>
    <col min="12295" max="12295" width="17.85546875" style="1084" customWidth="1"/>
    <col min="12296" max="12296" width="21.28515625" style="1084" customWidth="1"/>
    <col min="12297" max="12297" width="16.5703125" style="1084" customWidth="1"/>
    <col min="12298" max="12298" width="20.28515625" style="1084" customWidth="1"/>
    <col min="12299" max="12299" width="17.28515625" style="1084" customWidth="1"/>
    <col min="12300" max="12300" width="19.42578125" style="1084" customWidth="1"/>
    <col min="12301" max="12301" width="18.5703125" style="1084" customWidth="1"/>
    <col min="12302" max="12302" width="19.7109375" style="1084" customWidth="1"/>
    <col min="12303" max="12303" width="16" style="1084" customWidth="1"/>
    <col min="12304" max="12304" width="20.5703125" style="1084" customWidth="1"/>
    <col min="12305" max="12305" width="16.85546875" style="1084" customWidth="1"/>
    <col min="12306" max="12306" width="23.7109375" style="1084" customWidth="1"/>
    <col min="12307" max="12307" width="27.140625" style="1084" bestFit="1" customWidth="1"/>
    <col min="12308" max="12308" width="25.7109375" style="1084" bestFit="1" customWidth="1"/>
    <col min="12309" max="12309" width="19.42578125" style="1084" bestFit="1" customWidth="1"/>
    <col min="12310" max="12310" width="10.85546875" style="1084"/>
    <col min="12311" max="12311" width="16.42578125" style="1084" bestFit="1" customWidth="1"/>
    <col min="12312" max="12312" width="10.85546875" style="1084"/>
    <col min="12313" max="12313" width="14.42578125" style="1084" bestFit="1" customWidth="1"/>
    <col min="12314" max="12315" width="10.85546875" style="1084"/>
    <col min="12316" max="12316" width="14.28515625" style="1084" bestFit="1" customWidth="1"/>
    <col min="12317" max="12544" width="10.85546875" style="1084"/>
    <col min="12545" max="12545" width="12.28515625" style="1084" customWidth="1"/>
    <col min="12546" max="12546" width="78.7109375" style="1084" customWidth="1"/>
    <col min="12547" max="12547" width="20.28515625" style="1084" customWidth="1"/>
    <col min="12548" max="12548" width="13.42578125" style="1084" customWidth="1"/>
    <col min="12549" max="12549" width="17.140625" style="1084" customWidth="1"/>
    <col min="12550" max="12550" width="22" style="1084" customWidth="1"/>
    <col min="12551" max="12551" width="17.85546875" style="1084" customWidth="1"/>
    <col min="12552" max="12552" width="21.28515625" style="1084" customWidth="1"/>
    <col min="12553" max="12553" width="16.5703125" style="1084" customWidth="1"/>
    <col min="12554" max="12554" width="20.28515625" style="1084" customWidth="1"/>
    <col min="12555" max="12555" width="17.28515625" style="1084" customWidth="1"/>
    <col min="12556" max="12556" width="19.42578125" style="1084" customWidth="1"/>
    <col min="12557" max="12557" width="18.5703125" style="1084" customWidth="1"/>
    <col min="12558" max="12558" width="19.7109375" style="1084" customWidth="1"/>
    <col min="12559" max="12559" width="16" style="1084" customWidth="1"/>
    <col min="12560" max="12560" width="20.5703125" style="1084" customWidth="1"/>
    <col min="12561" max="12561" width="16.85546875" style="1084" customWidth="1"/>
    <col min="12562" max="12562" width="23.7109375" style="1084" customWidth="1"/>
    <col min="12563" max="12563" width="27.140625" style="1084" bestFit="1" customWidth="1"/>
    <col min="12564" max="12564" width="25.7109375" style="1084" bestFit="1" customWidth="1"/>
    <col min="12565" max="12565" width="19.42578125" style="1084" bestFit="1" customWidth="1"/>
    <col min="12566" max="12566" width="10.85546875" style="1084"/>
    <col min="12567" max="12567" width="16.42578125" style="1084" bestFit="1" customWidth="1"/>
    <col min="12568" max="12568" width="10.85546875" style="1084"/>
    <col min="12569" max="12569" width="14.42578125" style="1084" bestFit="1" customWidth="1"/>
    <col min="12570" max="12571" width="10.85546875" style="1084"/>
    <col min="12572" max="12572" width="14.28515625" style="1084" bestFit="1" customWidth="1"/>
    <col min="12573" max="12800" width="10.85546875" style="1084"/>
    <col min="12801" max="12801" width="12.28515625" style="1084" customWidth="1"/>
    <col min="12802" max="12802" width="78.7109375" style="1084" customWidth="1"/>
    <col min="12803" max="12803" width="20.28515625" style="1084" customWidth="1"/>
    <col min="12804" max="12804" width="13.42578125" style="1084" customWidth="1"/>
    <col min="12805" max="12805" width="17.140625" style="1084" customWidth="1"/>
    <col min="12806" max="12806" width="22" style="1084" customWidth="1"/>
    <col min="12807" max="12807" width="17.85546875" style="1084" customWidth="1"/>
    <col min="12808" max="12808" width="21.28515625" style="1084" customWidth="1"/>
    <col min="12809" max="12809" width="16.5703125" style="1084" customWidth="1"/>
    <col min="12810" max="12810" width="20.28515625" style="1084" customWidth="1"/>
    <col min="12811" max="12811" width="17.28515625" style="1084" customWidth="1"/>
    <col min="12812" max="12812" width="19.42578125" style="1084" customWidth="1"/>
    <col min="12813" max="12813" width="18.5703125" style="1084" customWidth="1"/>
    <col min="12814" max="12814" width="19.7109375" style="1084" customWidth="1"/>
    <col min="12815" max="12815" width="16" style="1084" customWidth="1"/>
    <col min="12816" max="12816" width="20.5703125" style="1084" customWidth="1"/>
    <col min="12817" max="12817" width="16.85546875" style="1084" customWidth="1"/>
    <col min="12818" max="12818" width="23.7109375" style="1084" customWidth="1"/>
    <col min="12819" max="12819" width="27.140625" style="1084" bestFit="1" customWidth="1"/>
    <col min="12820" max="12820" width="25.7109375" style="1084" bestFit="1" customWidth="1"/>
    <col min="12821" max="12821" width="19.42578125" style="1084" bestFit="1" customWidth="1"/>
    <col min="12822" max="12822" width="10.85546875" style="1084"/>
    <col min="12823" max="12823" width="16.42578125" style="1084" bestFit="1" customWidth="1"/>
    <col min="12824" max="12824" width="10.85546875" style="1084"/>
    <col min="12825" max="12825" width="14.42578125" style="1084" bestFit="1" customWidth="1"/>
    <col min="12826" max="12827" width="10.85546875" style="1084"/>
    <col min="12828" max="12828" width="14.28515625" style="1084" bestFit="1" customWidth="1"/>
    <col min="12829" max="13056" width="10.85546875" style="1084"/>
    <col min="13057" max="13057" width="12.28515625" style="1084" customWidth="1"/>
    <col min="13058" max="13058" width="78.7109375" style="1084" customWidth="1"/>
    <col min="13059" max="13059" width="20.28515625" style="1084" customWidth="1"/>
    <col min="13060" max="13060" width="13.42578125" style="1084" customWidth="1"/>
    <col min="13061" max="13061" width="17.140625" style="1084" customWidth="1"/>
    <col min="13062" max="13062" width="22" style="1084" customWidth="1"/>
    <col min="13063" max="13063" width="17.85546875" style="1084" customWidth="1"/>
    <col min="13064" max="13064" width="21.28515625" style="1084" customWidth="1"/>
    <col min="13065" max="13065" width="16.5703125" style="1084" customWidth="1"/>
    <col min="13066" max="13066" width="20.28515625" style="1084" customWidth="1"/>
    <col min="13067" max="13067" width="17.28515625" style="1084" customWidth="1"/>
    <col min="13068" max="13068" width="19.42578125" style="1084" customWidth="1"/>
    <col min="13069" max="13069" width="18.5703125" style="1084" customWidth="1"/>
    <col min="13070" max="13070" width="19.7109375" style="1084" customWidth="1"/>
    <col min="13071" max="13071" width="16" style="1084" customWidth="1"/>
    <col min="13072" max="13072" width="20.5703125" style="1084" customWidth="1"/>
    <col min="13073" max="13073" width="16.85546875" style="1084" customWidth="1"/>
    <col min="13074" max="13074" width="23.7109375" style="1084" customWidth="1"/>
    <col min="13075" max="13075" width="27.140625" style="1084" bestFit="1" customWidth="1"/>
    <col min="13076" max="13076" width="25.7109375" style="1084" bestFit="1" customWidth="1"/>
    <col min="13077" max="13077" width="19.42578125" style="1084" bestFit="1" customWidth="1"/>
    <col min="13078" max="13078" width="10.85546875" style="1084"/>
    <col min="13079" max="13079" width="16.42578125" style="1084" bestFit="1" customWidth="1"/>
    <col min="13080" max="13080" width="10.85546875" style="1084"/>
    <col min="13081" max="13081" width="14.42578125" style="1084" bestFit="1" customWidth="1"/>
    <col min="13082" max="13083" width="10.85546875" style="1084"/>
    <col min="13084" max="13084" width="14.28515625" style="1084" bestFit="1" customWidth="1"/>
    <col min="13085" max="13312" width="10.85546875" style="1084"/>
    <col min="13313" max="13313" width="12.28515625" style="1084" customWidth="1"/>
    <col min="13314" max="13314" width="78.7109375" style="1084" customWidth="1"/>
    <col min="13315" max="13315" width="20.28515625" style="1084" customWidth="1"/>
    <col min="13316" max="13316" width="13.42578125" style="1084" customWidth="1"/>
    <col min="13317" max="13317" width="17.140625" style="1084" customWidth="1"/>
    <col min="13318" max="13318" width="22" style="1084" customWidth="1"/>
    <col min="13319" max="13319" width="17.85546875" style="1084" customWidth="1"/>
    <col min="13320" max="13320" width="21.28515625" style="1084" customWidth="1"/>
    <col min="13321" max="13321" width="16.5703125" style="1084" customWidth="1"/>
    <col min="13322" max="13322" width="20.28515625" style="1084" customWidth="1"/>
    <col min="13323" max="13323" width="17.28515625" style="1084" customWidth="1"/>
    <col min="13324" max="13324" width="19.42578125" style="1084" customWidth="1"/>
    <col min="13325" max="13325" width="18.5703125" style="1084" customWidth="1"/>
    <col min="13326" max="13326" width="19.7109375" style="1084" customWidth="1"/>
    <col min="13327" max="13327" width="16" style="1084" customWidth="1"/>
    <col min="13328" max="13328" width="20.5703125" style="1084" customWidth="1"/>
    <col min="13329" max="13329" width="16.85546875" style="1084" customWidth="1"/>
    <col min="13330" max="13330" width="23.7109375" style="1084" customWidth="1"/>
    <col min="13331" max="13331" width="27.140625" style="1084" bestFit="1" customWidth="1"/>
    <col min="13332" max="13332" width="25.7109375" style="1084" bestFit="1" customWidth="1"/>
    <col min="13333" max="13333" width="19.42578125" style="1084" bestFit="1" customWidth="1"/>
    <col min="13334" max="13334" width="10.85546875" style="1084"/>
    <col min="13335" max="13335" width="16.42578125" style="1084" bestFit="1" customWidth="1"/>
    <col min="13336" max="13336" width="10.85546875" style="1084"/>
    <col min="13337" max="13337" width="14.42578125" style="1084" bestFit="1" customWidth="1"/>
    <col min="13338" max="13339" width="10.85546875" style="1084"/>
    <col min="13340" max="13340" width="14.28515625" style="1084" bestFit="1" customWidth="1"/>
    <col min="13341" max="13568" width="10.85546875" style="1084"/>
    <col min="13569" max="13569" width="12.28515625" style="1084" customWidth="1"/>
    <col min="13570" max="13570" width="78.7109375" style="1084" customWidth="1"/>
    <col min="13571" max="13571" width="20.28515625" style="1084" customWidth="1"/>
    <col min="13572" max="13572" width="13.42578125" style="1084" customWidth="1"/>
    <col min="13573" max="13573" width="17.140625" style="1084" customWidth="1"/>
    <col min="13574" max="13574" width="22" style="1084" customWidth="1"/>
    <col min="13575" max="13575" width="17.85546875" style="1084" customWidth="1"/>
    <col min="13576" max="13576" width="21.28515625" style="1084" customWidth="1"/>
    <col min="13577" max="13577" width="16.5703125" style="1084" customWidth="1"/>
    <col min="13578" max="13578" width="20.28515625" style="1084" customWidth="1"/>
    <col min="13579" max="13579" width="17.28515625" style="1084" customWidth="1"/>
    <col min="13580" max="13580" width="19.42578125" style="1084" customWidth="1"/>
    <col min="13581" max="13581" width="18.5703125" style="1084" customWidth="1"/>
    <col min="13582" max="13582" width="19.7109375" style="1084" customWidth="1"/>
    <col min="13583" max="13583" width="16" style="1084" customWidth="1"/>
    <col min="13584" max="13584" width="20.5703125" style="1084" customWidth="1"/>
    <col min="13585" max="13585" width="16.85546875" style="1084" customWidth="1"/>
    <col min="13586" max="13586" width="23.7109375" style="1084" customWidth="1"/>
    <col min="13587" max="13587" width="27.140625" style="1084" bestFit="1" customWidth="1"/>
    <col min="13588" max="13588" width="25.7109375" style="1084" bestFit="1" customWidth="1"/>
    <col min="13589" max="13589" width="19.42578125" style="1084" bestFit="1" customWidth="1"/>
    <col min="13590" max="13590" width="10.85546875" style="1084"/>
    <col min="13591" max="13591" width="16.42578125" style="1084" bestFit="1" customWidth="1"/>
    <col min="13592" max="13592" width="10.85546875" style="1084"/>
    <col min="13593" max="13593" width="14.42578125" style="1084" bestFit="1" customWidth="1"/>
    <col min="13594" max="13595" width="10.85546875" style="1084"/>
    <col min="13596" max="13596" width="14.28515625" style="1084" bestFit="1" customWidth="1"/>
    <col min="13597" max="13824" width="10.85546875" style="1084"/>
    <col min="13825" max="13825" width="12.28515625" style="1084" customWidth="1"/>
    <col min="13826" max="13826" width="78.7109375" style="1084" customWidth="1"/>
    <col min="13827" max="13827" width="20.28515625" style="1084" customWidth="1"/>
    <col min="13828" max="13828" width="13.42578125" style="1084" customWidth="1"/>
    <col min="13829" max="13829" width="17.140625" style="1084" customWidth="1"/>
    <col min="13830" max="13830" width="22" style="1084" customWidth="1"/>
    <col min="13831" max="13831" width="17.85546875" style="1084" customWidth="1"/>
    <col min="13832" max="13832" width="21.28515625" style="1084" customWidth="1"/>
    <col min="13833" max="13833" width="16.5703125" style="1084" customWidth="1"/>
    <col min="13834" max="13834" width="20.28515625" style="1084" customWidth="1"/>
    <col min="13835" max="13835" width="17.28515625" style="1084" customWidth="1"/>
    <col min="13836" max="13836" width="19.42578125" style="1084" customWidth="1"/>
    <col min="13837" max="13837" width="18.5703125" style="1084" customWidth="1"/>
    <col min="13838" max="13838" width="19.7109375" style="1084" customWidth="1"/>
    <col min="13839" max="13839" width="16" style="1084" customWidth="1"/>
    <col min="13840" max="13840" width="20.5703125" style="1084" customWidth="1"/>
    <col min="13841" max="13841" width="16.85546875" style="1084" customWidth="1"/>
    <col min="13842" max="13842" width="23.7109375" style="1084" customWidth="1"/>
    <col min="13843" max="13843" width="27.140625" style="1084" bestFit="1" customWidth="1"/>
    <col min="13844" max="13844" width="25.7109375" style="1084" bestFit="1" customWidth="1"/>
    <col min="13845" max="13845" width="19.42578125" style="1084" bestFit="1" customWidth="1"/>
    <col min="13846" max="13846" width="10.85546875" style="1084"/>
    <col min="13847" max="13847" width="16.42578125" style="1084" bestFit="1" customWidth="1"/>
    <col min="13848" max="13848" width="10.85546875" style="1084"/>
    <col min="13849" max="13849" width="14.42578125" style="1084" bestFit="1" customWidth="1"/>
    <col min="13850" max="13851" width="10.85546875" style="1084"/>
    <col min="13852" max="13852" width="14.28515625" style="1084" bestFit="1" customWidth="1"/>
    <col min="13853" max="14080" width="10.85546875" style="1084"/>
    <col min="14081" max="14081" width="12.28515625" style="1084" customWidth="1"/>
    <col min="14082" max="14082" width="78.7109375" style="1084" customWidth="1"/>
    <col min="14083" max="14083" width="20.28515625" style="1084" customWidth="1"/>
    <col min="14084" max="14084" width="13.42578125" style="1084" customWidth="1"/>
    <col min="14085" max="14085" width="17.140625" style="1084" customWidth="1"/>
    <col min="14086" max="14086" width="22" style="1084" customWidth="1"/>
    <col min="14087" max="14087" width="17.85546875" style="1084" customWidth="1"/>
    <col min="14088" max="14088" width="21.28515625" style="1084" customWidth="1"/>
    <col min="14089" max="14089" width="16.5703125" style="1084" customWidth="1"/>
    <col min="14090" max="14090" width="20.28515625" style="1084" customWidth="1"/>
    <col min="14091" max="14091" width="17.28515625" style="1084" customWidth="1"/>
    <col min="14092" max="14092" width="19.42578125" style="1084" customWidth="1"/>
    <col min="14093" max="14093" width="18.5703125" style="1084" customWidth="1"/>
    <col min="14094" max="14094" width="19.7109375" style="1084" customWidth="1"/>
    <col min="14095" max="14095" width="16" style="1084" customWidth="1"/>
    <col min="14096" max="14096" width="20.5703125" style="1084" customWidth="1"/>
    <col min="14097" max="14097" width="16.85546875" style="1084" customWidth="1"/>
    <col min="14098" max="14098" width="23.7109375" style="1084" customWidth="1"/>
    <col min="14099" max="14099" width="27.140625" style="1084" bestFit="1" customWidth="1"/>
    <col min="14100" max="14100" width="25.7109375" style="1084" bestFit="1" customWidth="1"/>
    <col min="14101" max="14101" width="19.42578125" style="1084" bestFit="1" customWidth="1"/>
    <col min="14102" max="14102" width="10.85546875" style="1084"/>
    <col min="14103" max="14103" width="16.42578125" style="1084" bestFit="1" customWidth="1"/>
    <col min="14104" max="14104" width="10.85546875" style="1084"/>
    <col min="14105" max="14105" width="14.42578125" style="1084" bestFit="1" customWidth="1"/>
    <col min="14106" max="14107" width="10.85546875" style="1084"/>
    <col min="14108" max="14108" width="14.28515625" style="1084" bestFit="1" customWidth="1"/>
    <col min="14109" max="14336" width="10.85546875" style="1084"/>
    <col min="14337" max="14337" width="12.28515625" style="1084" customWidth="1"/>
    <col min="14338" max="14338" width="78.7109375" style="1084" customWidth="1"/>
    <col min="14339" max="14339" width="20.28515625" style="1084" customWidth="1"/>
    <col min="14340" max="14340" width="13.42578125" style="1084" customWidth="1"/>
    <col min="14341" max="14341" width="17.140625" style="1084" customWidth="1"/>
    <col min="14342" max="14342" width="22" style="1084" customWidth="1"/>
    <col min="14343" max="14343" width="17.85546875" style="1084" customWidth="1"/>
    <col min="14344" max="14344" width="21.28515625" style="1084" customWidth="1"/>
    <col min="14345" max="14345" width="16.5703125" style="1084" customWidth="1"/>
    <col min="14346" max="14346" width="20.28515625" style="1084" customWidth="1"/>
    <col min="14347" max="14347" width="17.28515625" style="1084" customWidth="1"/>
    <col min="14348" max="14348" width="19.42578125" style="1084" customWidth="1"/>
    <col min="14349" max="14349" width="18.5703125" style="1084" customWidth="1"/>
    <col min="14350" max="14350" width="19.7109375" style="1084" customWidth="1"/>
    <col min="14351" max="14351" width="16" style="1084" customWidth="1"/>
    <col min="14352" max="14352" width="20.5703125" style="1084" customWidth="1"/>
    <col min="14353" max="14353" width="16.85546875" style="1084" customWidth="1"/>
    <col min="14354" max="14354" width="23.7109375" style="1084" customWidth="1"/>
    <col min="14355" max="14355" width="27.140625" style="1084" bestFit="1" customWidth="1"/>
    <col min="14356" max="14356" width="25.7109375" style="1084" bestFit="1" customWidth="1"/>
    <col min="14357" max="14357" width="19.42578125" style="1084" bestFit="1" customWidth="1"/>
    <col min="14358" max="14358" width="10.85546875" style="1084"/>
    <col min="14359" max="14359" width="16.42578125" style="1084" bestFit="1" customWidth="1"/>
    <col min="14360" max="14360" width="10.85546875" style="1084"/>
    <col min="14361" max="14361" width="14.42578125" style="1084" bestFit="1" customWidth="1"/>
    <col min="14362" max="14363" width="10.85546875" style="1084"/>
    <col min="14364" max="14364" width="14.28515625" style="1084" bestFit="1" customWidth="1"/>
    <col min="14365" max="14592" width="10.85546875" style="1084"/>
    <col min="14593" max="14593" width="12.28515625" style="1084" customWidth="1"/>
    <col min="14594" max="14594" width="78.7109375" style="1084" customWidth="1"/>
    <col min="14595" max="14595" width="20.28515625" style="1084" customWidth="1"/>
    <col min="14596" max="14596" width="13.42578125" style="1084" customWidth="1"/>
    <col min="14597" max="14597" width="17.140625" style="1084" customWidth="1"/>
    <col min="14598" max="14598" width="22" style="1084" customWidth="1"/>
    <col min="14599" max="14599" width="17.85546875" style="1084" customWidth="1"/>
    <col min="14600" max="14600" width="21.28515625" style="1084" customWidth="1"/>
    <col min="14601" max="14601" width="16.5703125" style="1084" customWidth="1"/>
    <col min="14602" max="14602" width="20.28515625" style="1084" customWidth="1"/>
    <col min="14603" max="14603" width="17.28515625" style="1084" customWidth="1"/>
    <col min="14604" max="14604" width="19.42578125" style="1084" customWidth="1"/>
    <col min="14605" max="14605" width="18.5703125" style="1084" customWidth="1"/>
    <col min="14606" max="14606" width="19.7109375" style="1084" customWidth="1"/>
    <col min="14607" max="14607" width="16" style="1084" customWidth="1"/>
    <col min="14608" max="14608" width="20.5703125" style="1084" customWidth="1"/>
    <col min="14609" max="14609" width="16.85546875" style="1084" customWidth="1"/>
    <col min="14610" max="14610" width="23.7109375" style="1084" customWidth="1"/>
    <col min="14611" max="14611" width="27.140625" style="1084" bestFit="1" customWidth="1"/>
    <col min="14612" max="14612" width="25.7109375" style="1084" bestFit="1" customWidth="1"/>
    <col min="14613" max="14613" width="19.42578125" style="1084" bestFit="1" customWidth="1"/>
    <col min="14614" max="14614" width="10.85546875" style="1084"/>
    <col min="14615" max="14615" width="16.42578125" style="1084" bestFit="1" customWidth="1"/>
    <col min="14616" max="14616" width="10.85546875" style="1084"/>
    <col min="14617" max="14617" width="14.42578125" style="1084" bestFit="1" customWidth="1"/>
    <col min="14618" max="14619" width="10.85546875" style="1084"/>
    <col min="14620" max="14620" width="14.28515625" style="1084" bestFit="1" customWidth="1"/>
    <col min="14621" max="14848" width="10.85546875" style="1084"/>
    <col min="14849" max="14849" width="12.28515625" style="1084" customWidth="1"/>
    <col min="14850" max="14850" width="78.7109375" style="1084" customWidth="1"/>
    <col min="14851" max="14851" width="20.28515625" style="1084" customWidth="1"/>
    <col min="14852" max="14852" width="13.42578125" style="1084" customWidth="1"/>
    <col min="14853" max="14853" width="17.140625" style="1084" customWidth="1"/>
    <col min="14854" max="14854" width="22" style="1084" customWidth="1"/>
    <col min="14855" max="14855" width="17.85546875" style="1084" customWidth="1"/>
    <col min="14856" max="14856" width="21.28515625" style="1084" customWidth="1"/>
    <col min="14857" max="14857" width="16.5703125" style="1084" customWidth="1"/>
    <col min="14858" max="14858" width="20.28515625" style="1084" customWidth="1"/>
    <col min="14859" max="14859" width="17.28515625" style="1084" customWidth="1"/>
    <col min="14860" max="14860" width="19.42578125" style="1084" customWidth="1"/>
    <col min="14861" max="14861" width="18.5703125" style="1084" customWidth="1"/>
    <col min="14862" max="14862" width="19.7109375" style="1084" customWidth="1"/>
    <col min="14863" max="14863" width="16" style="1084" customWidth="1"/>
    <col min="14864" max="14864" width="20.5703125" style="1084" customWidth="1"/>
    <col min="14865" max="14865" width="16.85546875" style="1084" customWidth="1"/>
    <col min="14866" max="14866" width="23.7109375" style="1084" customWidth="1"/>
    <col min="14867" max="14867" width="27.140625" style="1084" bestFit="1" customWidth="1"/>
    <col min="14868" max="14868" width="25.7109375" style="1084" bestFit="1" customWidth="1"/>
    <col min="14869" max="14869" width="19.42578125" style="1084" bestFit="1" customWidth="1"/>
    <col min="14870" max="14870" width="10.85546875" style="1084"/>
    <col min="14871" max="14871" width="16.42578125" style="1084" bestFit="1" customWidth="1"/>
    <col min="14872" max="14872" width="10.85546875" style="1084"/>
    <col min="14873" max="14873" width="14.42578125" style="1084" bestFit="1" customWidth="1"/>
    <col min="14874" max="14875" width="10.85546875" style="1084"/>
    <col min="14876" max="14876" width="14.28515625" style="1084" bestFit="1" customWidth="1"/>
    <col min="14877" max="15104" width="10.85546875" style="1084"/>
    <col min="15105" max="15105" width="12.28515625" style="1084" customWidth="1"/>
    <col min="15106" max="15106" width="78.7109375" style="1084" customWidth="1"/>
    <col min="15107" max="15107" width="20.28515625" style="1084" customWidth="1"/>
    <col min="15108" max="15108" width="13.42578125" style="1084" customWidth="1"/>
    <col min="15109" max="15109" width="17.140625" style="1084" customWidth="1"/>
    <col min="15110" max="15110" width="22" style="1084" customWidth="1"/>
    <col min="15111" max="15111" width="17.85546875" style="1084" customWidth="1"/>
    <col min="15112" max="15112" width="21.28515625" style="1084" customWidth="1"/>
    <col min="15113" max="15113" width="16.5703125" style="1084" customWidth="1"/>
    <col min="15114" max="15114" width="20.28515625" style="1084" customWidth="1"/>
    <col min="15115" max="15115" width="17.28515625" style="1084" customWidth="1"/>
    <col min="15116" max="15116" width="19.42578125" style="1084" customWidth="1"/>
    <col min="15117" max="15117" width="18.5703125" style="1084" customWidth="1"/>
    <col min="15118" max="15118" width="19.7109375" style="1084" customWidth="1"/>
    <col min="15119" max="15119" width="16" style="1084" customWidth="1"/>
    <col min="15120" max="15120" width="20.5703125" style="1084" customWidth="1"/>
    <col min="15121" max="15121" width="16.85546875" style="1084" customWidth="1"/>
    <col min="15122" max="15122" width="23.7109375" style="1084" customWidth="1"/>
    <col min="15123" max="15123" width="27.140625" style="1084" bestFit="1" customWidth="1"/>
    <col min="15124" max="15124" width="25.7109375" style="1084" bestFit="1" customWidth="1"/>
    <col min="15125" max="15125" width="19.42578125" style="1084" bestFit="1" customWidth="1"/>
    <col min="15126" max="15126" width="10.85546875" style="1084"/>
    <col min="15127" max="15127" width="16.42578125" style="1084" bestFit="1" customWidth="1"/>
    <col min="15128" max="15128" width="10.85546875" style="1084"/>
    <col min="15129" max="15129" width="14.42578125" style="1084" bestFit="1" customWidth="1"/>
    <col min="15130" max="15131" width="10.85546875" style="1084"/>
    <col min="15132" max="15132" width="14.28515625" style="1084" bestFit="1" customWidth="1"/>
    <col min="15133" max="15360" width="10.85546875" style="1084"/>
    <col min="15361" max="15361" width="12.28515625" style="1084" customWidth="1"/>
    <col min="15362" max="15362" width="78.7109375" style="1084" customWidth="1"/>
    <col min="15363" max="15363" width="20.28515625" style="1084" customWidth="1"/>
    <col min="15364" max="15364" width="13.42578125" style="1084" customWidth="1"/>
    <col min="15365" max="15365" width="17.140625" style="1084" customWidth="1"/>
    <col min="15366" max="15366" width="22" style="1084" customWidth="1"/>
    <col min="15367" max="15367" width="17.85546875" style="1084" customWidth="1"/>
    <col min="15368" max="15368" width="21.28515625" style="1084" customWidth="1"/>
    <col min="15369" max="15369" width="16.5703125" style="1084" customWidth="1"/>
    <col min="15370" max="15370" width="20.28515625" style="1084" customWidth="1"/>
    <col min="15371" max="15371" width="17.28515625" style="1084" customWidth="1"/>
    <col min="15372" max="15372" width="19.42578125" style="1084" customWidth="1"/>
    <col min="15373" max="15373" width="18.5703125" style="1084" customWidth="1"/>
    <col min="15374" max="15374" width="19.7109375" style="1084" customWidth="1"/>
    <col min="15375" max="15375" width="16" style="1084" customWidth="1"/>
    <col min="15376" max="15376" width="20.5703125" style="1084" customWidth="1"/>
    <col min="15377" max="15377" width="16.85546875" style="1084" customWidth="1"/>
    <col min="15378" max="15378" width="23.7109375" style="1084" customWidth="1"/>
    <col min="15379" max="15379" width="27.140625" style="1084" bestFit="1" customWidth="1"/>
    <col min="15380" max="15380" width="25.7109375" style="1084" bestFit="1" customWidth="1"/>
    <col min="15381" max="15381" width="19.42578125" style="1084" bestFit="1" customWidth="1"/>
    <col min="15382" max="15382" width="10.85546875" style="1084"/>
    <col min="15383" max="15383" width="16.42578125" style="1084" bestFit="1" customWidth="1"/>
    <col min="15384" max="15384" width="10.85546875" style="1084"/>
    <col min="15385" max="15385" width="14.42578125" style="1084" bestFit="1" customWidth="1"/>
    <col min="15386" max="15387" width="10.85546875" style="1084"/>
    <col min="15388" max="15388" width="14.28515625" style="1084" bestFit="1" customWidth="1"/>
    <col min="15389" max="15616" width="10.85546875" style="1084"/>
    <col min="15617" max="15617" width="12.28515625" style="1084" customWidth="1"/>
    <col min="15618" max="15618" width="78.7109375" style="1084" customWidth="1"/>
    <col min="15619" max="15619" width="20.28515625" style="1084" customWidth="1"/>
    <col min="15620" max="15620" width="13.42578125" style="1084" customWidth="1"/>
    <col min="15621" max="15621" width="17.140625" style="1084" customWidth="1"/>
    <col min="15622" max="15622" width="22" style="1084" customWidth="1"/>
    <col min="15623" max="15623" width="17.85546875" style="1084" customWidth="1"/>
    <col min="15624" max="15624" width="21.28515625" style="1084" customWidth="1"/>
    <col min="15625" max="15625" width="16.5703125" style="1084" customWidth="1"/>
    <col min="15626" max="15626" width="20.28515625" style="1084" customWidth="1"/>
    <col min="15627" max="15627" width="17.28515625" style="1084" customWidth="1"/>
    <col min="15628" max="15628" width="19.42578125" style="1084" customWidth="1"/>
    <col min="15629" max="15629" width="18.5703125" style="1084" customWidth="1"/>
    <col min="15630" max="15630" width="19.7109375" style="1084" customWidth="1"/>
    <col min="15631" max="15631" width="16" style="1084" customWidth="1"/>
    <col min="15632" max="15632" width="20.5703125" style="1084" customWidth="1"/>
    <col min="15633" max="15633" width="16.85546875" style="1084" customWidth="1"/>
    <col min="15634" max="15634" width="23.7109375" style="1084" customWidth="1"/>
    <col min="15635" max="15635" width="27.140625" style="1084" bestFit="1" customWidth="1"/>
    <col min="15636" max="15636" width="25.7109375" style="1084" bestFit="1" customWidth="1"/>
    <col min="15637" max="15637" width="19.42578125" style="1084" bestFit="1" customWidth="1"/>
    <col min="15638" max="15638" width="10.85546875" style="1084"/>
    <col min="15639" max="15639" width="16.42578125" style="1084" bestFit="1" customWidth="1"/>
    <col min="15640" max="15640" width="10.85546875" style="1084"/>
    <col min="15641" max="15641" width="14.42578125" style="1084" bestFit="1" customWidth="1"/>
    <col min="15642" max="15643" width="10.85546875" style="1084"/>
    <col min="15644" max="15644" width="14.28515625" style="1084" bestFit="1" customWidth="1"/>
    <col min="15645" max="15872" width="10.85546875" style="1084"/>
    <col min="15873" max="15873" width="12.28515625" style="1084" customWidth="1"/>
    <col min="15874" max="15874" width="78.7109375" style="1084" customWidth="1"/>
    <col min="15875" max="15875" width="20.28515625" style="1084" customWidth="1"/>
    <col min="15876" max="15876" width="13.42578125" style="1084" customWidth="1"/>
    <col min="15877" max="15877" width="17.140625" style="1084" customWidth="1"/>
    <col min="15878" max="15878" width="22" style="1084" customWidth="1"/>
    <col min="15879" max="15879" width="17.85546875" style="1084" customWidth="1"/>
    <col min="15880" max="15880" width="21.28515625" style="1084" customWidth="1"/>
    <col min="15881" max="15881" width="16.5703125" style="1084" customWidth="1"/>
    <col min="15882" max="15882" width="20.28515625" style="1084" customWidth="1"/>
    <col min="15883" max="15883" width="17.28515625" style="1084" customWidth="1"/>
    <col min="15884" max="15884" width="19.42578125" style="1084" customWidth="1"/>
    <col min="15885" max="15885" width="18.5703125" style="1084" customWidth="1"/>
    <col min="15886" max="15886" width="19.7109375" style="1084" customWidth="1"/>
    <col min="15887" max="15887" width="16" style="1084" customWidth="1"/>
    <col min="15888" max="15888" width="20.5703125" style="1084" customWidth="1"/>
    <col min="15889" max="15889" width="16.85546875" style="1084" customWidth="1"/>
    <col min="15890" max="15890" width="23.7109375" style="1084" customWidth="1"/>
    <col min="15891" max="15891" width="27.140625" style="1084" bestFit="1" customWidth="1"/>
    <col min="15892" max="15892" width="25.7109375" style="1084" bestFit="1" customWidth="1"/>
    <col min="15893" max="15893" width="19.42578125" style="1084" bestFit="1" customWidth="1"/>
    <col min="15894" max="15894" width="10.85546875" style="1084"/>
    <col min="15895" max="15895" width="16.42578125" style="1084" bestFit="1" customWidth="1"/>
    <col min="15896" max="15896" width="10.85546875" style="1084"/>
    <col min="15897" max="15897" width="14.42578125" style="1084" bestFit="1" customWidth="1"/>
    <col min="15898" max="15899" width="10.85546875" style="1084"/>
    <col min="15900" max="15900" width="14.28515625" style="1084" bestFit="1" customWidth="1"/>
    <col min="15901" max="16128" width="10.85546875" style="1084"/>
    <col min="16129" max="16129" width="12.28515625" style="1084" customWidth="1"/>
    <col min="16130" max="16130" width="78.7109375" style="1084" customWidth="1"/>
    <col min="16131" max="16131" width="20.28515625" style="1084" customWidth="1"/>
    <col min="16132" max="16132" width="13.42578125" style="1084" customWidth="1"/>
    <col min="16133" max="16133" width="17.140625" style="1084" customWidth="1"/>
    <col min="16134" max="16134" width="22" style="1084" customWidth="1"/>
    <col min="16135" max="16135" width="17.85546875" style="1084" customWidth="1"/>
    <col min="16136" max="16136" width="21.28515625" style="1084" customWidth="1"/>
    <col min="16137" max="16137" width="16.5703125" style="1084" customWidth="1"/>
    <col min="16138" max="16138" width="20.28515625" style="1084" customWidth="1"/>
    <col min="16139" max="16139" width="17.28515625" style="1084" customWidth="1"/>
    <col min="16140" max="16140" width="19.42578125" style="1084" customWidth="1"/>
    <col min="16141" max="16141" width="18.5703125" style="1084" customWidth="1"/>
    <col min="16142" max="16142" width="19.7109375" style="1084" customWidth="1"/>
    <col min="16143" max="16143" width="16" style="1084" customWidth="1"/>
    <col min="16144" max="16144" width="20.5703125" style="1084" customWidth="1"/>
    <col min="16145" max="16145" width="16.85546875" style="1084" customWidth="1"/>
    <col min="16146" max="16146" width="23.7109375" style="1084" customWidth="1"/>
    <col min="16147" max="16147" width="27.140625" style="1084" bestFit="1" customWidth="1"/>
    <col min="16148" max="16148" width="25.7109375" style="1084" bestFit="1" customWidth="1"/>
    <col min="16149" max="16149" width="19.42578125" style="1084" bestFit="1" customWidth="1"/>
    <col min="16150" max="16150" width="10.85546875" style="1084"/>
    <col min="16151" max="16151" width="16.42578125" style="1084" bestFit="1" customWidth="1"/>
    <col min="16152" max="16152" width="10.85546875" style="1084"/>
    <col min="16153" max="16153" width="14.42578125" style="1084" bestFit="1" customWidth="1"/>
    <col min="16154" max="16155" width="10.85546875" style="1084"/>
    <col min="16156" max="16156" width="14.28515625" style="1084" bestFit="1" customWidth="1"/>
    <col min="16157" max="16384" width="10.85546875" style="1084"/>
  </cols>
  <sheetData>
    <row r="1" spans="1:20" ht="72.75" customHeight="1">
      <c r="A1" s="1974" t="str">
        <f>'INS- Detail '!A2:I2</f>
        <v>Name of work: Providing Special Repair works for 5 Nos INS, 8 Nos SI, 24 Nos PC/HC Quarters  at Church Hill Ooty in the Nilgiri District</v>
      </c>
      <c r="B1" s="1975"/>
      <c r="C1" s="1975"/>
      <c r="D1" s="1975"/>
      <c r="E1" s="1975"/>
      <c r="F1" s="1975"/>
      <c r="G1" s="1975"/>
      <c r="H1" s="1975"/>
      <c r="I1" s="1975"/>
      <c r="J1" s="1975"/>
      <c r="K1" s="1975"/>
      <c r="L1" s="1975"/>
      <c r="M1" s="1975"/>
      <c r="N1" s="1975"/>
      <c r="O1" s="1975"/>
      <c r="P1" s="1975"/>
      <c r="Q1" s="2042"/>
      <c r="R1" s="1976"/>
    </row>
    <row r="2" spans="1:20" ht="72.75" customHeight="1">
      <c r="A2" s="1974" t="s">
        <v>3248</v>
      </c>
      <c r="B2" s="1975"/>
      <c r="C2" s="1975"/>
      <c r="D2" s="1975"/>
      <c r="E2" s="1975"/>
      <c r="F2" s="1975"/>
      <c r="G2" s="1975"/>
      <c r="H2" s="1975"/>
      <c r="I2" s="1975"/>
      <c r="J2" s="1975"/>
      <c r="K2" s="1975"/>
      <c r="L2" s="1975"/>
      <c r="M2" s="1975"/>
      <c r="N2" s="1975"/>
      <c r="O2" s="1975"/>
      <c r="P2" s="1975"/>
      <c r="Q2" s="2042"/>
      <c r="R2" s="1976"/>
    </row>
    <row r="3" spans="1:20" s="1085" customFormat="1" ht="55.9" customHeight="1">
      <c r="A3" s="1973" t="s">
        <v>3613</v>
      </c>
      <c r="B3" s="1973" t="s">
        <v>3546</v>
      </c>
      <c r="C3" s="1973" t="s">
        <v>217</v>
      </c>
      <c r="D3" s="1973" t="s">
        <v>10</v>
      </c>
      <c r="E3" s="1973" t="s">
        <v>5269</v>
      </c>
      <c r="F3" s="1973"/>
      <c r="G3" s="1973" t="s">
        <v>5270</v>
      </c>
      <c r="H3" s="1973"/>
      <c r="I3" s="1973" t="s">
        <v>5271</v>
      </c>
      <c r="J3" s="1973"/>
      <c r="K3" s="1973" t="s">
        <v>4555</v>
      </c>
      <c r="L3" s="1973"/>
      <c r="M3" s="1973" t="s">
        <v>3767</v>
      </c>
      <c r="N3" s="1973"/>
      <c r="O3" s="1973" t="s">
        <v>3614</v>
      </c>
      <c r="P3" s="1973"/>
      <c r="Q3" s="2041" t="s">
        <v>3615</v>
      </c>
      <c r="R3" s="1973"/>
      <c r="T3" s="1086"/>
    </row>
    <row r="4" spans="1:20" s="1085" customFormat="1" ht="31.9" customHeight="1">
      <c r="A4" s="1973"/>
      <c r="B4" s="1973"/>
      <c r="C4" s="1973"/>
      <c r="D4" s="1973"/>
      <c r="E4" s="1087" t="s">
        <v>3</v>
      </c>
      <c r="F4" s="1329" t="s">
        <v>218</v>
      </c>
      <c r="G4" s="1087" t="s">
        <v>3</v>
      </c>
      <c r="H4" s="1329" t="s">
        <v>218</v>
      </c>
      <c r="I4" s="1087" t="s">
        <v>3</v>
      </c>
      <c r="J4" s="1329" t="s">
        <v>218</v>
      </c>
      <c r="K4" s="1087" t="s">
        <v>3</v>
      </c>
      <c r="L4" s="1329" t="s">
        <v>218</v>
      </c>
      <c r="M4" s="1087" t="s">
        <v>3</v>
      </c>
      <c r="N4" s="1329" t="s">
        <v>218</v>
      </c>
      <c r="O4" s="1087" t="s">
        <v>3</v>
      </c>
      <c r="P4" s="1329" t="s">
        <v>218</v>
      </c>
      <c r="Q4" s="1544" t="s">
        <v>3</v>
      </c>
      <c r="R4" s="1329" t="s">
        <v>218</v>
      </c>
      <c r="S4" s="1086"/>
      <c r="T4" s="1086"/>
    </row>
    <row r="5" spans="1:20" s="1085" customFormat="1" ht="39.75" customHeight="1">
      <c r="A5" s="1329"/>
      <c r="B5" s="1257"/>
      <c r="C5" s="1329"/>
      <c r="D5" s="1329"/>
      <c r="E5" s="1329"/>
      <c r="F5" s="1329"/>
      <c r="G5" s="1329"/>
      <c r="H5" s="1329"/>
      <c r="I5" s="1089"/>
      <c r="J5" s="1329"/>
      <c r="K5" s="1329"/>
      <c r="L5" s="1329"/>
      <c r="M5" s="1329"/>
      <c r="N5" s="1329"/>
      <c r="O5" s="1087"/>
      <c r="P5" s="1329"/>
      <c r="Q5" s="1544"/>
      <c r="R5" s="1329"/>
      <c r="S5" s="1086"/>
      <c r="T5" s="1086"/>
    </row>
    <row r="6" spans="1:20" ht="50.25" customHeight="1">
      <c r="A6" s="1090">
        <v>1.1000000000000001</v>
      </c>
      <c r="B6" s="933" t="s">
        <v>3768</v>
      </c>
      <c r="C6" s="1091"/>
      <c r="D6" s="940" t="s">
        <v>150</v>
      </c>
      <c r="E6" s="940"/>
      <c r="F6" s="940"/>
      <c r="G6" s="1092"/>
      <c r="H6" s="1092"/>
      <c r="I6" s="1093"/>
      <c r="J6" s="1092"/>
      <c r="K6" s="1092"/>
      <c r="L6" s="1092"/>
      <c r="M6" s="1092"/>
      <c r="N6" s="1092"/>
      <c r="O6" s="1094"/>
      <c r="P6" s="1092"/>
      <c r="Q6" s="1545" t="s">
        <v>249</v>
      </c>
      <c r="R6" s="1095" t="s">
        <v>2400</v>
      </c>
    </row>
    <row r="7" spans="1:20">
      <c r="A7" s="1090"/>
      <c r="B7" s="933" t="s">
        <v>3769</v>
      </c>
      <c r="C7" s="1092">
        <f>+'Ins Abs'!C7</f>
        <v>314.74333333333334</v>
      </c>
      <c r="D7" s="940" t="s">
        <v>3770</v>
      </c>
      <c r="E7" s="1096">
        <f>'PC- Detail'!H8</f>
        <v>14.399999999999999</v>
      </c>
      <c r="F7" s="1097">
        <f>C7*E7</f>
        <v>4532.3040000000001</v>
      </c>
      <c r="G7" s="1096"/>
      <c r="H7" s="1097">
        <f>C7*G7</f>
        <v>0</v>
      </c>
      <c r="I7" s="1096"/>
      <c r="J7" s="1097">
        <f>G7*I7</f>
        <v>0</v>
      </c>
      <c r="K7" s="1096">
        <v>5.15</v>
      </c>
      <c r="L7" s="1097">
        <f>K7*C7</f>
        <v>1620.9281666666668</v>
      </c>
      <c r="M7" s="1096"/>
      <c r="N7" s="1096"/>
      <c r="O7" s="1098">
        <f>K7+I7</f>
        <v>5.15</v>
      </c>
      <c r="P7" s="1096">
        <f>J7+L7</f>
        <v>1620.9281666666668</v>
      </c>
      <c r="Q7" s="1546">
        <f>E7+G7+O7</f>
        <v>19.549999999999997</v>
      </c>
      <c r="R7" s="1096">
        <f>Q7*C7</f>
        <v>6153.2321666666658</v>
      </c>
      <c r="S7" s="1099"/>
      <c r="T7" s="1099"/>
    </row>
    <row r="8" spans="1:20" s="1108" customFormat="1" ht="46.5">
      <c r="A8" s="1109">
        <v>1.5</v>
      </c>
      <c r="B8" s="1259" t="str">
        <f>'PC- Detail'!B9</f>
        <v xml:space="preserve">Earth work excavation for Open foundation  for drains (excluding refilling) </v>
      </c>
      <c r="C8" s="1111">
        <f>'SI Abs '!C9</f>
        <v>148.75</v>
      </c>
      <c r="D8" s="940" t="s">
        <v>3770</v>
      </c>
      <c r="E8" s="1096">
        <f>'PC- Detail'!H13</f>
        <v>44.201999999999998</v>
      </c>
      <c r="F8" s="1097">
        <f>C8*E8</f>
        <v>6575.0474999999997</v>
      </c>
      <c r="G8" s="1113"/>
      <c r="H8" s="1097"/>
      <c r="I8" s="1113"/>
      <c r="J8" s="1097"/>
      <c r="K8" s="1114"/>
      <c r="L8" s="1097"/>
      <c r="M8" s="1113"/>
      <c r="N8" s="1096"/>
      <c r="O8" s="1098"/>
      <c r="P8" s="1096"/>
      <c r="Q8" s="1546">
        <f t="shared" ref="Q8:Q14" si="0">E8+G8+O8</f>
        <v>44.201999999999998</v>
      </c>
      <c r="R8" s="1096">
        <f t="shared" ref="R8:R14" si="1">Q8*C8</f>
        <v>6575.0474999999997</v>
      </c>
      <c r="S8" s="1107"/>
      <c r="T8" s="1104"/>
    </row>
    <row r="9" spans="1:20" s="1108" customFormat="1" ht="25.5" customHeight="1">
      <c r="A9" s="1109"/>
      <c r="B9" s="1259" t="str">
        <f>B7</f>
        <v>a. 0 to 2 mt.</v>
      </c>
      <c r="C9" s="1111"/>
      <c r="D9" s="1112"/>
      <c r="E9" s="1113"/>
      <c r="F9" s="1097"/>
      <c r="G9" s="1113"/>
      <c r="H9" s="1097"/>
      <c r="I9" s="1113"/>
      <c r="J9" s="1097"/>
      <c r="K9" s="1114"/>
      <c r="L9" s="1097"/>
      <c r="M9" s="1113"/>
      <c r="N9" s="1096"/>
      <c r="O9" s="1098"/>
      <c r="P9" s="1096"/>
      <c r="Q9" s="1546">
        <f t="shared" si="0"/>
        <v>0</v>
      </c>
      <c r="R9" s="1096">
        <f t="shared" si="1"/>
        <v>0</v>
      </c>
      <c r="S9" s="1107"/>
      <c r="T9" s="1104"/>
    </row>
    <row r="10" spans="1:20" s="1108" customFormat="1" ht="51" customHeight="1">
      <c r="A10" s="1090">
        <v>1.6</v>
      </c>
      <c r="B10" s="933" t="s">
        <v>3778</v>
      </c>
      <c r="C10" s="1092"/>
      <c r="D10" s="940"/>
      <c r="E10" s="1103"/>
      <c r="F10" s="1097">
        <f t="shared" ref="F10:L15" si="2">C10*E10</f>
        <v>0</v>
      </c>
      <c r="G10" s="1103"/>
      <c r="H10" s="1097">
        <f t="shared" ref="H10:H15" si="3">C10*G10</f>
        <v>0</v>
      </c>
      <c r="I10" s="1103"/>
      <c r="J10" s="1097">
        <f t="shared" si="2"/>
        <v>0</v>
      </c>
      <c r="K10" s="1096"/>
      <c r="L10" s="1097">
        <f t="shared" si="2"/>
        <v>0</v>
      </c>
      <c r="M10" s="1103"/>
      <c r="N10" s="1096"/>
      <c r="O10" s="1098">
        <f t="shared" ref="O10:O15" si="4">K10+I10</f>
        <v>0</v>
      </c>
      <c r="P10" s="1096">
        <f t="shared" ref="P10:P15" si="5">J10+L10</f>
        <v>0</v>
      </c>
      <c r="Q10" s="1546">
        <f t="shared" si="0"/>
        <v>0</v>
      </c>
      <c r="R10" s="1096">
        <f t="shared" si="1"/>
        <v>0</v>
      </c>
      <c r="S10" s="1107"/>
      <c r="T10" s="1104"/>
    </row>
    <row r="11" spans="1:20" s="1108" customFormat="1">
      <c r="A11" s="1090"/>
      <c r="B11" s="933" t="s">
        <v>3769</v>
      </c>
      <c r="C11" s="1092">
        <f>+'Ins Abs'!C11</f>
        <v>223.125</v>
      </c>
      <c r="D11" s="940" t="s">
        <v>3770</v>
      </c>
      <c r="E11" s="1103"/>
      <c r="F11" s="1097">
        <f t="shared" si="2"/>
        <v>0</v>
      </c>
      <c r="G11" s="1103"/>
      <c r="H11" s="1097">
        <f t="shared" si="3"/>
        <v>0</v>
      </c>
      <c r="I11" s="1103">
        <f>'PC - Sullage   '!H10</f>
        <v>13.7</v>
      </c>
      <c r="J11" s="1097">
        <f>I11*C11</f>
        <v>3056.8125</v>
      </c>
      <c r="K11" s="1096"/>
      <c r="L11" s="1097">
        <f>K11*C11</f>
        <v>0</v>
      </c>
      <c r="M11" s="1103"/>
      <c r="N11" s="1096"/>
      <c r="O11" s="1098">
        <f t="shared" si="4"/>
        <v>13.7</v>
      </c>
      <c r="P11" s="1096">
        <f t="shared" si="5"/>
        <v>3056.8125</v>
      </c>
      <c r="Q11" s="1546">
        <f t="shared" si="0"/>
        <v>13.7</v>
      </c>
      <c r="R11" s="1096">
        <f t="shared" si="1"/>
        <v>3056.8125</v>
      </c>
      <c r="S11" s="1107"/>
      <c r="T11" s="1104"/>
    </row>
    <row r="12" spans="1:20" s="1127" customFormat="1">
      <c r="A12" s="1090">
        <v>2.1</v>
      </c>
      <c r="B12" s="933" t="s">
        <v>908</v>
      </c>
      <c r="C12" s="1092">
        <f>+'Ins Abs'!C12</f>
        <v>2310.9299999999998</v>
      </c>
      <c r="D12" s="940" t="s">
        <v>3770</v>
      </c>
      <c r="E12" s="1096"/>
      <c r="F12" s="1097">
        <f t="shared" si="2"/>
        <v>0</v>
      </c>
      <c r="G12" s="1096"/>
      <c r="H12" s="1097">
        <f t="shared" si="3"/>
        <v>0</v>
      </c>
      <c r="I12" s="1096">
        <f>'PC - Sullage   '!H14</f>
        <v>3.4499999999999997</v>
      </c>
      <c r="J12" s="1097">
        <f t="shared" ref="J12:J15" si="6">I12*C12</f>
        <v>7972.7084999999988</v>
      </c>
      <c r="K12" s="1096">
        <f>'PC - PP - Detail'!H34</f>
        <v>2.1033749999999998</v>
      </c>
      <c r="L12" s="1097">
        <f>K12*C12</f>
        <v>4860.7523887499992</v>
      </c>
      <c r="M12" s="1096"/>
      <c r="N12" s="1096"/>
      <c r="O12" s="1098">
        <f t="shared" si="4"/>
        <v>5.5533749999999991</v>
      </c>
      <c r="P12" s="1096">
        <f t="shared" si="5"/>
        <v>12833.460888749998</v>
      </c>
      <c r="Q12" s="1546">
        <f>E12+G12+O12</f>
        <v>5.5533749999999991</v>
      </c>
      <c r="R12" s="1096">
        <f>Q12*C12</f>
        <v>12833.460888749996</v>
      </c>
      <c r="S12" s="1099"/>
      <c r="T12" s="1099"/>
    </row>
    <row r="13" spans="1:20" s="1127" customFormat="1">
      <c r="A13" s="1090">
        <v>3.1</v>
      </c>
      <c r="B13" s="933" t="s">
        <v>3794</v>
      </c>
      <c r="C13" s="1092">
        <f>+'Ins Abs'!C13</f>
        <v>6456.8970000000008</v>
      </c>
      <c r="D13" s="940" t="s">
        <v>3770</v>
      </c>
      <c r="E13" s="1096">
        <f>'PC- Detail'!H19</f>
        <v>15.7</v>
      </c>
      <c r="F13" s="1097">
        <f t="shared" si="2"/>
        <v>101373.28290000001</v>
      </c>
      <c r="G13" s="1096"/>
      <c r="H13" s="1097">
        <f t="shared" si="3"/>
        <v>0</v>
      </c>
      <c r="I13" s="1096">
        <f>'PC - Sullage   '!H18</f>
        <v>3.4499999999999997</v>
      </c>
      <c r="J13" s="1097">
        <f t="shared" si="6"/>
        <v>22276.29465</v>
      </c>
      <c r="K13" s="1096">
        <f>'PC - PP - Detail'!H16</f>
        <v>2.5949999999999998</v>
      </c>
      <c r="L13" s="1097">
        <f t="shared" ref="L13:L14" si="7">K13*C13</f>
        <v>16755.647714999999</v>
      </c>
      <c r="M13" s="1096"/>
      <c r="N13" s="1096"/>
      <c r="O13" s="1098">
        <f t="shared" si="4"/>
        <v>6.0449999999999999</v>
      </c>
      <c r="P13" s="1096">
        <f t="shared" si="5"/>
        <v>39031.942364999995</v>
      </c>
      <c r="Q13" s="1546">
        <f t="shared" si="0"/>
        <v>21.744999999999997</v>
      </c>
      <c r="R13" s="1096">
        <f t="shared" si="1"/>
        <v>140405.22526500002</v>
      </c>
      <c r="S13" s="1099"/>
      <c r="T13" s="1099"/>
    </row>
    <row r="14" spans="1:20" ht="46.5">
      <c r="A14" s="1090">
        <v>3.2</v>
      </c>
      <c r="B14" s="933" t="s">
        <v>3795</v>
      </c>
      <c r="C14" s="1092">
        <f>+'Ins Abs'!C14</f>
        <v>8002.7729999999992</v>
      </c>
      <c r="D14" s="940" t="s">
        <v>3770</v>
      </c>
      <c r="E14" s="1096">
        <f>'PC- Detail'!H24</f>
        <v>11.052999999999999</v>
      </c>
      <c r="F14" s="1097">
        <f t="shared" si="2"/>
        <v>88454.649968999991</v>
      </c>
      <c r="G14" s="1096"/>
      <c r="H14" s="1097">
        <f t="shared" si="3"/>
        <v>0</v>
      </c>
      <c r="I14" s="1096"/>
      <c r="J14" s="1097">
        <f t="shared" si="6"/>
        <v>0</v>
      </c>
      <c r="K14" s="1096"/>
      <c r="L14" s="1097">
        <f t="shared" si="7"/>
        <v>0</v>
      </c>
      <c r="M14" s="1096"/>
      <c r="N14" s="1096"/>
      <c r="O14" s="1098">
        <f t="shared" si="4"/>
        <v>0</v>
      </c>
      <c r="P14" s="1096">
        <f t="shared" si="5"/>
        <v>0</v>
      </c>
      <c r="Q14" s="1546">
        <f t="shared" si="0"/>
        <v>11.052999999999999</v>
      </c>
      <c r="R14" s="1096">
        <f t="shared" si="1"/>
        <v>88454.649968999991</v>
      </c>
      <c r="S14" s="1099"/>
      <c r="T14" s="1099"/>
    </row>
    <row r="15" spans="1:20" s="1108" customFormat="1" ht="46.5">
      <c r="A15" s="1090">
        <v>6.2</v>
      </c>
      <c r="B15" s="1262" t="s">
        <v>5811</v>
      </c>
      <c r="C15" s="1092">
        <f>+'Ins Abs'!C15</f>
        <v>8664.0401316532934</v>
      </c>
      <c r="D15" s="940" t="s">
        <v>3770</v>
      </c>
      <c r="E15" s="1096">
        <f>'PC- Detail'!H27</f>
        <v>7.7</v>
      </c>
      <c r="F15" s="1097">
        <f t="shared" si="2"/>
        <v>66713.109013730354</v>
      </c>
      <c r="G15" s="1096"/>
      <c r="H15" s="1097">
        <f t="shared" si="3"/>
        <v>0</v>
      </c>
      <c r="I15" s="1096">
        <f>'PC - Sullage   '!H22</f>
        <v>0.35</v>
      </c>
      <c r="J15" s="1097">
        <f t="shared" si="6"/>
        <v>3032.4140460786525</v>
      </c>
      <c r="K15" s="1096"/>
      <c r="L15" s="1097">
        <f>K15*C15</f>
        <v>0</v>
      </c>
      <c r="M15" s="1096"/>
      <c r="N15" s="1096"/>
      <c r="O15" s="1098">
        <f t="shared" si="4"/>
        <v>0.35</v>
      </c>
      <c r="P15" s="1096">
        <f t="shared" si="5"/>
        <v>3032.4140460786525</v>
      </c>
      <c r="Q15" s="1546">
        <f>E15+G15+O15</f>
        <v>8.0500000000000007</v>
      </c>
      <c r="R15" s="1096">
        <f>Q15*C15</f>
        <v>69745.523059809013</v>
      </c>
      <c r="S15" s="1107"/>
      <c r="T15" s="1099"/>
    </row>
    <row r="16" spans="1:20" s="1108" customFormat="1" ht="46.5">
      <c r="A16" s="1090">
        <v>9.1999999999999993</v>
      </c>
      <c r="B16" s="1262" t="s">
        <v>3833</v>
      </c>
      <c r="C16" s="1092"/>
      <c r="D16" s="940"/>
      <c r="E16" s="1096"/>
      <c r="F16" s="1097">
        <f t="shared" ref="F16:F17" si="8">C16*E16</f>
        <v>0</v>
      </c>
      <c r="G16" s="1096"/>
      <c r="H16" s="1097">
        <f t="shared" ref="H16:H17" si="9">C16*G16</f>
        <v>0</v>
      </c>
      <c r="I16" s="1096"/>
      <c r="J16" s="1097">
        <f t="shared" ref="J16:J19" si="10">I16*C16</f>
        <v>0</v>
      </c>
      <c r="K16" s="1096"/>
      <c r="L16" s="1097">
        <f t="shared" ref="L16:L19" si="11">K16*C16</f>
        <v>0</v>
      </c>
      <c r="M16" s="1096"/>
      <c r="N16" s="1096"/>
      <c r="O16" s="1098">
        <f t="shared" ref="O16:O17" si="12">K16+I16</f>
        <v>0</v>
      </c>
      <c r="P16" s="1096">
        <f t="shared" ref="P16:P17" si="13">J16+L16</f>
        <v>0</v>
      </c>
      <c r="Q16" s="1546">
        <f t="shared" ref="Q16:Q17" si="14">E16+G16+O16</f>
        <v>0</v>
      </c>
      <c r="R16" s="1096">
        <f t="shared" ref="R16:R17" si="15">Q16*C16</f>
        <v>0</v>
      </c>
      <c r="S16" s="1107"/>
      <c r="T16" s="1099"/>
    </row>
    <row r="17" spans="1:20" s="1108" customFormat="1">
      <c r="A17" s="1090"/>
      <c r="B17" s="933" t="s">
        <v>3834</v>
      </c>
      <c r="C17" s="1092">
        <f>+'Ins Abs'!C17</f>
        <v>8696.2719408972753</v>
      </c>
      <c r="D17" s="940" t="s">
        <v>3770</v>
      </c>
      <c r="E17" s="1096"/>
      <c r="F17" s="1097">
        <f t="shared" si="8"/>
        <v>0</v>
      </c>
      <c r="G17" s="1096"/>
      <c r="H17" s="1097">
        <f t="shared" si="9"/>
        <v>0</v>
      </c>
      <c r="I17" s="1096"/>
      <c r="J17" s="1097">
        <f t="shared" si="10"/>
        <v>0</v>
      </c>
      <c r="K17" s="1096">
        <f>'PC - PP - Detail'!H20</f>
        <v>0.84766964285714308</v>
      </c>
      <c r="L17" s="1097">
        <f t="shared" si="11"/>
        <v>7371.5657303289881</v>
      </c>
      <c r="M17" s="1096"/>
      <c r="N17" s="1096"/>
      <c r="O17" s="1098">
        <f t="shared" si="12"/>
        <v>0.84766964285714308</v>
      </c>
      <c r="P17" s="1096">
        <f t="shared" si="13"/>
        <v>7371.5657303289881</v>
      </c>
      <c r="Q17" s="1546">
        <f t="shared" si="14"/>
        <v>0.84766964285714308</v>
      </c>
      <c r="R17" s="1096">
        <f t="shared" si="15"/>
        <v>7371.5657303289881</v>
      </c>
      <c r="S17" s="1107"/>
      <c r="T17" s="1099"/>
    </row>
    <row r="18" spans="1:20" s="1108" customFormat="1" ht="69.75">
      <c r="A18" s="1090">
        <v>10.199999999999999</v>
      </c>
      <c r="B18" s="1262" t="s">
        <v>3847</v>
      </c>
      <c r="C18" s="1092"/>
      <c r="D18" s="940"/>
      <c r="E18" s="1096"/>
      <c r="F18" s="1097">
        <f t="shared" ref="F18:F19" si="16">C18*E18</f>
        <v>0</v>
      </c>
      <c r="G18" s="1096"/>
      <c r="H18" s="1097">
        <f t="shared" ref="H18:H19" si="17">C18*G18</f>
        <v>0</v>
      </c>
      <c r="I18" s="1096"/>
      <c r="J18" s="1097">
        <f t="shared" si="10"/>
        <v>0</v>
      </c>
      <c r="K18" s="1096"/>
      <c r="L18" s="1097">
        <f t="shared" si="11"/>
        <v>0</v>
      </c>
      <c r="M18" s="1096"/>
      <c r="N18" s="1096"/>
      <c r="O18" s="1098">
        <f t="shared" ref="O18:O19" si="18">K18+I18</f>
        <v>0</v>
      </c>
      <c r="P18" s="1096">
        <f t="shared" ref="P18:P19" si="19">J18+L18</f>
        <v>0</v>
      </c>
      <c r="Q18" s="1546">
        <f t="shared" ref="Q18:Q19" si="20">E18+G18+O18</f>
        <v>0</v>
      </c>
      <c r="R18" s="1096">
        <f t="shared" ref="R18:R19" si="21">Q18*C18</f>
        <v>0</v>
      </c>
      <c r="S18" s="1107"/>
      <c r="T18" s="1099"/>
    </row>
    <row r="19" spans="1:20" s="1108" customFormat="1">
      <c r="A19" s="1090"/>
      <c r="B19" s="933" t="s">
        <v>3841</v>
      </c>
      <c r="C19" s="1092">
        <f>+'Ins Abs'!C19</f>
        <v>1097.5849659566052</v>
      </c>
      <c r="D19" s="940" t="s">
        <v>3798</v>
      </c>
      <c r="E19" s="1096"/>
      <c r="F19" s="1097">
        <f t="shared" si="16"/>
        <v>0</v>
      </c>
      <c r="G19" s="1096"/>
      <c r="H19" s="1097">
        <f t="shared" si="17"/>
        <v>0</v>
      </c>
      <c r="I19" s="1096">
        <f>'PC - Sullage   '!H29</f>
        <v>32.550000000000004</v>
      </c>
      <c r="J19" s="1097">
        <f t="shared" si="10"/>
        <v>35726.390641887505</v>
      </c>
      <c r="K19" s="1096">
        <f>'PC - PP - Detail'!H26</f>
        <v>39.248392857142854</v>
      </c>
      <c r="L19" s="1097">
        <f t="shared" si="11"/>
        <v>43078.445937958604</v>
      </c>
      <c r="M19" s="1096"/>
      <c r="N19" s="1096"/>
      <c r="O19" s="1098">
        <f t="shared" si="18"/>
        <v>71.798392857142858</v>
      </c>
      <c r="P19" s="1096">
        <f t="shared" si="19"/>
        <v>78804.836579846102</v>
      </c>
      <c r="Q19" s="1546">
        <f t="shared" si="20"/>
        <v>71.798392857142858</v>
      </c>
      <c r="R19" s="1096">
        <f t="shared" si="21"/>
        <v>78804.836579846102</v>
      </c>
      <c r="S19" s="1107"/>
      <c r="T19" s="1099"/>
    </row>
    <row r="20" spans="1:20" s="1147" customFormat="1">
      <c r="A20" s="1146">
        <v>13.1</v>
      </c>
      <c r="B20" s="1267" t="s">
        <v>3861</v>
      </c>
      <c r="C20" s="1096">
        <f>+'Ins Abs'!C20</f>
        <v>51.730000000000004</v>
      </c>
      <c r="D20" s="1097" t="s">
        <v>3770</v>
      </c>
      <c r="E20" s="1096"/>
      <c r="F20" s="1097">
        <f t="shared" ref="F20" si="22">C20*E20</f>
        <v>0</v>
      </c>
      <c r="G20" s="1096"/>
      <c r="H20" s="1097">
        <f t="shared" ref="H20" si="23">C20*G20</f>
        <v>0</v>
      </c>
      <c r="I20" s="1096"/>
      <c r="J20" s="1097">
        <f t="shared" ref="J20" si="24">I20*C20</f>
        <v>0</v>
      </c>
      <c r="K20" s="1096">
        <f>'PC - PP - Detail'!H30</f>
        <v>13.151374999999998</v>
      </c>
      <c r="L20" s="1097">
        <f>K20*C20</f>
        <v>680.32062874999997</v>
      </c>
      <c r="M20" s="1096"/>
      <c r="N20" s="1096"/>
      <c r="O20" s="1098">
        <f t="shared" ref="O20" si="25">K20+I20</f>
        <v>13.151374999999998</v>
      </c>
      <c r="P20" s="1096">
        <f t="shared" ref="P20" si="26">J20+L20</f>
        <v>680.32062874999997</v>
      </c>
      <c r="Q20" s="1546">
        <f>E20+G20+O20</f>
        <v>13.151374999999998</v>
      </c>
      <c r="R20" s="1096">
        <f>Q20*C20</f>
        <v>680.32062874999997</v>
      </c>
      <c r="S20" s="1099"/>
      <c r="T20" s="1099"/>
    </row>
    <row r="21" spans="1:20" s="1108" customFormat="1">
      <c r="A21" s="1090">
        <v>22.2</v>
      </c>
      <c r="B21" s="1262" t="s">
        <v>3893</v>
      </c>
      <c r="C21" s="1106"/>
      <c r="D21" s="943"/>
      <c r="E21" s="1103"/>
      <c r="F21" s="1097">
        <f t="shared" ref="F21:F22" si="27">C21*E21</f>
        <v>0</v>
      </c>
      <c r="G21" s="1103"/>
      <c r="H21" s="1097">
        <f t="shared" ref="H21:H22" si="28">C21*G21</f>
        <v>0</v>
      </c>
      <c r="I21" s="1103"/>
      <c r="J21" s="1097">
        <f t="shared" ref="J21:J28" si="29">I21*C21</f>
        <v>0</v>
      </c>
      <c r="K21" s="1096"/>
      <c r="L21" s="1097">
        <f t="shared" ref="L21:L28" si="30">K21*C21</f>
        <v>0</v>
      </c>
      <c r="M21" s="1103"/>
      <c r="N21" s="1096"/>
      <c r="O21" s="1098">
        <f t="shared" ref="O21:O22" si="31">K21+I21</f>
        <v>0</v>
      </c>
      <c r="P21" s="1096">
        <f t="shared" ref="P21:P22" si="32">J21+L21</f>
        <v>0</v>
      </c>
      <c r="Q21" s="1546">
        <f t="shared" ref="Q21:Q22" si="33">E21+G21+O21</f>
        <v>0</v>
      </c>
      <c r="R21" s="1096">
        <f t="shared" ref="R21:R22" si="34">Q21*C21</f>
        <v>0</v>
      </c>
      <c r="S21" s="1107"/>
      <c r="T21" s="1104"/>
    </row>
    <row r="22" spans="1:20" s="1108" customFormat="1">
      <c r="A22" s="940"/>
      <c r="B22" s="933" t="s">
        <v>3894</v>
      </c>
      <c r="C22" s="1106">
        <f>+'Ins Abs'!C22</f>
        <v>4068.0220898027696</v>
      </c>
      <c r="D22" s="943" t="s">
        <v>3798</v>
      </c>
      <c r="E22" s="1103">
        <f>'PC- Detail'!H289</f>
        <v>18</v>
      </c>
      <c r="F22" s="1097">
        <f t="shared" si="27"/>
        <v>73224.39761644986</v>
      </c>
      <c r="G22" s="1103"/>
      <c r="H22" s="1097">
        <f t="shared" si="28"/>
        <v>0</v>
      </c>
      <c r="I22" s="1103"/>
      <c r="J22" s="1097">
        <f t="shared" si="29"/>
        <v>0</v>
      </c>
      <c r="K22" s="1096"/>
      <c r="L22" s="1097">
        <f t="shared" si="30"/>
        <v>0</v>
      </c>
      <c r="M22" s="1103"/>
      <c r="N22" s="1096"/>
      <c r="O22" s="1098">
        <f t="shared" si="31"/>
        <v>0</v>
      </c>
      <c r="P22" s="1096">
        <f t="shared" si="32"/>
        <v>0</v>
      </c>
      <c r="Q22" s="1546">
        <f t="shared" si="33"/>
        <v>18</v>
      </c>
      <c r="R22" s="1096">
        <f t="shared" si="34"/>
        <v>73224.39761644986</v>
      </c>
      <c r="S22" s="1107"/>
      <c r="T22" s="1104"/>
    </row>
    <row r="23" spans="1:20" s="1108" customFormat="1">
      <c r="A23" s="1090"/>
      <c r="B23" s="933" t="str">
        <f>'PC- Detail'!B290</f>
        <v xml:space="preserve">Supplying and fixing of TW Swing type ventilater </v>
      </c>
      <c r="C23" s="1106">
        <f>+'Ins Abs'!C23</f>
        <v>3196.838999999999</v>
      </c>
      <c r="D23" s="943" t="s">
        <v>3798</v>
      </c>
      <c r="E23" s="1103">
        <f>'PC- Detail'!H292</f>
        <v>2.4500000000000002</v>
      </c>
      <c r="F23" s="1097">
        <f t="shared" ref="F23:F43" si="35">C23*E23</f>
        <v>7832.255549999998</v>
      </c>
      <c r="G23" s="1103"/>
      <c r="H23" s="1097"/>
      <c r="I23" s="1103"/>
      <c r="J23" s="1097"/>
      <c r="K23" s="1096"/>
      <c r="L23" s="1097">
        <f t="shared" si="30"/>
        <v>0</v>
      </c>
      <c r="M23" s="1103"/>
      <c r="N23" s="1096"/>
      <c r="O23" s="1098"/>
      <c r="P23" s="1096">
        <f t="shared" ref="P23:P42" si="36">J23+L23</f>
        <v>0</v>
      </c>
      <c r="Q23" s="1546">
        <f t="shared" ref="Q23:Q43" si="37">E23+G23+O23</f>
        <v>2.4500000000000002</v>
      </c>
      <c r="R23" s="1096">
        <f t="shared" ref="R23:R43" si="38">Q23*C23</f>
        <v>7832.255549999998</v>
      </c>
      <c r="S23" s="1107"/>
      <c r="T23" s="1104"/>
    </row>
    <row r="24" spans="1:20" s="1108" customFormat="1" ht="67.900000000000006" customHeight="1">
      <c r="A24" s="1090"/>
      <c r="B24" s="933" t="s">
        <v>5797</v>
      </c>
      <c r="C24" s="1106">
        <f>+'Ins Abs'!C24</f>
        <v>48.79</v>
      </c>
      <c r="D24" s="940" t="s">
        <v>3798</v>
      </c>
      <c r="E24" s="1103">
        <f>'PC- Detail'!H131</f>
        <v>160.5</v>
      </c>
      <c r="F24" s="1097">
        <f t="shared" si="35"/>
        <v>7830.7950000000001</v>
      </c>
      <c r="G24" s="1103"/>
      <c r="H24" s="1097">
        <f t="shared" ref="H24:H42" si="39">C24*G24</f>
        <v>0</v>
      </c>
      <c r="I24" s="1103"/>
      <c r="J24" s="1097">
        <f t="shared" si="29"/>
        <v>0</v>
      </c>
      <c r="K24" s="1096"/>
      <c r="L24" s="1097">
        <f t="shared" si="30"/>
        <v>0</v>
      </c>
      <c r="M24" s="1103"/>
      <c r="N24" s="1096"/>
      <c r="O24" s="1098">
        <f t="shared" ref="O24:O42" si="40">K24+I24</f>
        <v>0</v>
      </c>
      <c r="P24" s="1096">
        <f t="shared" si="36"/>
        <v>0</v>
      </c>
      <c r="Q24" s="1546">
        <f t="shared" si="37"/>
        <v>160.5</v>
      </c>
      <c r="R24" s="1096">
        <f t="shared" si="38"/>
        <v>7830.7950000000001</v>
      </c>
      <c r="S24" s="1107"/>
      <c r="T24" s="1104"/>
    </row>
    <row r="25" spans="1:20">
      <c r="A25" s="1090">
        <v>28</v>
      </c>
      <c r="B25" s="1262" t="s">
        <v>3924</v>
      </c>
      <c r="C25" s="1092">
        <f>+'Ins Abs'!C25</f>
        <v>663.63780000000008</v>
      </c>
      <c r="D25" s="940" t="s">
        <v>3798</v>
      </c>
      <c r="E25" s="1096">
        <f>'PC- Detail'!H142</f>
        <v>131.30000000000001</v>
      </c>
      <c r="F25" s="1097">
        <f t="shared" si="35"/>
        <v>87135.643140000015</v>
      </c>
      <c r="G25" s="1096"/>
      <c r="H25" s="1097">
        <f t="shared" si="39"/>
        <v>0</v>
      </c>
      <c r="I25" s="1096">
        <f>'PC - Sullage   '!H44</f>
        <v>8.4</v>
      </c>
      <c r="J25" s="1097">
        <f t="shared" si="29"/>
        <v>5574.5575200000012</v>
      </c>
      <c r="K25" s="1096"/>
      <c r="L25" s="1097">
        <f t="shared" si="30"/>
        <v>0</v>
      </c>
      <c r="M25" s="1096"/>
      <c r="N25" s="1096"/>
      <c r="O25" s="1098">
        <f t="shared" si="40"/>
        <v>8.4</v>
      </c>
      <c r="P25" s="1096">
        <f t="shared" si="36"/>
        <v>5574.5575200000012</v>
      </c>
      <c r="Q25" s="1546">
        <f t="shared" si="37"/>
        <v>139.70000000000002</v>
      </c>
      <c r="R25" s="1096">
        <f t="shared" si="38"/>
        <v>92710.200660000017</v>
      </c>
      <c r="S25" s="1099"/>
      <c r="T25" s="1099"/>
    </row>
    <row r="26" spans="1:20" ht="46.5">
      <c r="A26" s="1119"/>
      <c r="B26" s="935" t="s">
        <v>5798</v>
      </c>
      <c r="C26" s="1153">
        <f>+'Ins Abs'!C26</f>
        <v>30.8</v>
      </c>
      <c r="D26" s="1069" t="s">
        <v>3798</v>
      </c>
      <c r="E26" s="1096">
        <f>'PC- Detail'!H77</f>
        <v>171.3</v>
      </c>
      <c r="F26" s="1097">
        <f t="shared" si="35"/>
        <v>5276.0400000000009</v>
      </c>
      <c r="G26" s="1096"/>
      <c r="H26" s="1097">
        <f t="shared" si="39"/>
        <v>0</v>
      </c>
      <c r="I26" s="1096"/>
      <c r="J26" s="1097">
        <f t="shared" si="29"/>
        <v>0</v>
      </c>
      <c r="K26" s="1096"/>
      <c r="L26" s="1097">
        <f>K26*C26</f>
        <v>0</v>
      </c>
      <c r="M26" s="1096"/>
      <c r="N26" s="1096"/>
      <c r="O26" s="1098">
        <f t="shared" si="40"/>
        <v>0</v>
      </c>
      <c r="P26" s="1096">
        <f t="shared" si="36"/>
        <v>0</v>
      </c>
      <c r="Q26" s="1546">
        <f>E26+G26+O26</f>
        <v>171.3</v>
      </c>
      <c r="R26" s="1096">
        <f>Q26*C26</f>
        <v>5276.0400000000009</v>
      </c>
      <c r="S26" s="1099"/>
      <c r="T26" s="1099"/>
    </row>
    <row r="27" spans="1:20" s="1108" customFormat="1" ht="46.5">
      <c r="A27" s="1090">
        <v>32.1</v>
      </c>
      <c r="B27" s="933" t="s">
        <v>3933</v>
      </c>
      <c r="C27" s="1106">
        <f>+'Ins Abs'!C27</f>
        <v>1465.4549999999999</v>
      </c>
      <c r="D27" s="943" t="s">
        <v>3798</v>
      </c>
      <c r="E27" s="1103">
        <f>'PC- Detail'!H85</f>
        <v>171.3</v>
      </c>
      <c r="F27" s="1097">
        <f t="shared" si="35"/>
        <v>251032.44150000002</v>
      </c>
      <c r="G27" s="1103"/>
      <c r="H27" s="1097">
        <f t="shared" si="39"/>
        <v>0</v>
      </c>
      <c r="I27" s="1103"/>
      <c r="J27" s="1097">
        <f t="shared" si="29"/>
        <v>0</v>
      </c>
      <c r="K27" s="1096"/>
      <c r="L27" s="1097">
        <f t="shared" si="30"/>
        <v>0</v>
      </c>
      <c r="M27" s="1103"/>
      <c r="N27" s="1096"/>
      <c r="O27" s="1098">
        <f t="shared" si="40"/>
        <v>0</v>
      </c>
      <c r="P27" s="1096">
        <f t="shared" si="36"/>
        <v>0</v>
      </c>
      <c r="Q27" s="1546">
        <f t="shared" si="37"/>
        <v>171.3</v>
      </c>
      <c r="R27" s="1096">
        <f t="shared" si="38"/>
        <v>251032.44150000002</v>
      </c>
      <c r="S27" s="1107"/>
      <c r="T27" s="1104"/>
    </row>
    <row r="28" spans="1:20" s="1108" customFormat="1" ht="69.75">
      <c r="A28" s="1090"/>
      <c r="B28" s="933" t="s">
        <v>5799</v>
      </c>
      <c r="C28" s="1106">
        <f>+'Ins Abs'!C28</f>
        <v>460.6</v>
      </c>
      <c r="D28" s="943" t="s">
        <v>3798</v>
      </c>
      <c r="E28" s="1103">
        <f>'PC- Detail'!H93</f>
        <v>342.6</v>
      </c>
      <c r="F28" s="1097">
        <f t="shared" si="35"/>
        <v>157801.56000000003</v>
      </c>
      <c r="G28" s="1103"/>
      <c r="H28" s="1097">
        <f t="shared" si="39"/>
        <v>0</v>
      </c>
      <c r="I28" s="1103"/>
      <c r="J28" s="1097">
        <f t="shared" si="29"/>
        <v>0</v>
      </c>
      <c r="K28" s="1096"/>
      <c r="L28" s="1097">
        <f t="shared" si="30"/>
        <v>0</v>
      </c>
      <c r="M28" s="1103"/>
      <c r="N28" s="1096"/>
      <c r="O28" s="1098">
        <f t="shared" si="40"/>
        <v>0</v>
      </c>
      <c r="P28" s="1096">
        <f t="shared" si="36"/>
        <v>0</v>
      </c>
      <c r="Q28" s="1546">
        <f t="shared" si="37"/>
        <v>342.6</v>
      </c>
      <c r="R28" s="1096">
        <f t="shared" si="38"/>
        <v>157801.56000000003</v>
      </c>
      <c r="S28" s="1107"/>
      <c r="T28" s="1104"/>
    </row>
    <row r="29" spans="1:20" s="1108" customFormat="1" ht="116.25">
      <c r="A29" s="1090"/>
      <c r="B29" s="933" t="s">
        <v>3424</v>
      </c>
      <c r="C29" s="1106">
        <f>+'Ins Abs'!C29</f>
        <v>13.58</v>
      </c>
      <c r="D29" s="943" t="s">
        <v>3798</v>
      </c>
      <c r="E29" s="1103">
        <f>'PC- Detail'!H40</f>
        <v>45.1</v>
      </c>
      <c r="F29" s="1097">
        <f t="shared" si="35"/>
        <v>612.45799999999997</v>
      </c>
      <c r="G29" s="1103"/>
      <c r="H29" s="1097">
        <f t="shared" si="39"/>
        <v>0</v>
      </c>
      <c r="I29" s="1103"/>
      <c r="J29" s="1097">
        <f t="shared" ref="J29:J42" si="41">I29*C29</f>
        <v>0</v>
      </c>
      <c r="K29" s="1096"/>
      <c r="L29" s="1097">
        <f t="shared" ref="L29:L33" si="42">K29*C29</f>
        <v>0</v>
      </c>
      <c r="M29" s="1103"/>
      <c r="N29" s="1096"/>
      <c r="O29" s="1098">
        <f t="shared" si="40"/>
        <v>0</v>
      </c>
      <c r="P29" s="1096">
        <f t="shared" si="36"/>
        <v>0</v>
      </c>
      <c r="Q29" s="1546">
        <f t="shared" si="37"/>
        <v>45.1</v>
      </c>
      <c r="R29" s="1096">
        <f t="shared" si="38"/>
        <v>612.45799999999997</v>
      </c>
      <c r="S29" s="1107"/>
      <c r="T29" s="1104"/>
    </row>
    <row r="30" spans="1:20" ht="45.75" customHeight="1">
      <c r="A30" s="1090">
        <v>33</v>
      </c>
      <c r="B30" s="933" t="s">
        <v>3935</v>
      </c>
      <c r="C30" s="1092">
        <f>+'Ins Abs'!C30</f>
        <v>325.90227999999996</v>
      </c>
      <c r="D30" s="940" t="s">
        <v>3798</v>
      </c>
      <c r="E30" s="1096">
        <f>'PC- Detail'!H59</f>
        <v>39.5</v>
      </c>
      <c r="F30" s="1097">
        <f t="shared" si="35"/>
        <v>12873.140059999998</v>
      </c>
      <c r="G30" s="1096"/>
      <c r="H30" s="1097">
        <f t="shared" si="39"/>
        <v>0</v>
      </c>
      <c r="I30" s="1096">
        <f>'PC - Sullage   '!H41</f>
        <v>84.350000000000009</v>
      </c>
      <c r="J30" s="1097">
        <f t="shared" si="41"/>
        <v>27489.857317999998</v>
      </c>
      <c r="K30" s="1096">
        <f>'PC - PP - Detail'!H42</f>
        <v>28.5</v>
      </c>
      <c r="L30" s="1097">
        <f t="shared" si="42"/>
        <v>9288.2149799999988</v>
      </c>
      <c r="M30" s="1096"/>
      <c r="N30" s="1096"/>
      <c r="O30" s="1098">
        <f t="shared" si="40"/>
        <v>112.85000000000001</v>
      </c>
      <c r="P30" s="1096">
        <f t="shared" si="36"/>
        <v>36778.072297999999</v>
      </c>
      <c r="Q30" s="1546">
        <f t="shared" si="37"/>
        <v>152.35000000000002</v>
      </c>
      <c r="R30" s="1096">
        <f t="shared" si="38"/>
        <v>49651.212358000004</v>
      </c>
      <c r="S30" s="1099"/>
      <c r="T30" s="1099"/>
    </row>
    <row r="31" spans="1:20" ht="47.25" customHeight="1">
      <c r="A31" s="1090">
        <v>34</v>
      </c>
      <c r="B31" s="933" t="s">
        <v>3936</v>
      </c>
      <c r="C31" s="1092">
        <f>+'Ins Abs'!C31</f>
        <v>331.99059999999997</v>
      </c>
      <c r="D31" s="940" t="s">
        <v>3798</v>
      </c>
      <c r="E31" s="1096">
        <f>'PC- Detail'!H62</f>
        <v>24</v>
      </c>
      <c r="F31" s="1097">
        <f t="shared" si="35"/>
        <v>7967.7743999999993</v>
      </c>
      <c r="G31" s="1096"/>
      <c r="H31" s="1097">
        <f t="shared" si="39"/>
        <v>0</v>
      </c>
      <c r="I31" s="1096">
        <f>'PC - Sullage   '!H32</f>
        <v>136.80000000000001</v>
      </c>
      <c r="J31" s="1097">
        <f t="shared" si="41"/>
        <v>45416.314079999996</v>
      </c>
      <c r="K31" s="1096"/>
      <c r="L31" s="1097">
        <f t="shared" si="42"/>
        <v>0</v>
      </c>
      <c r="M31" s="1096"/>
      <c r="N31" s="1096"/>
      <c r="O31" s="1098">
        <f t="shared" si="40"/>
        <v>136.80000000000001</v>
      </c>
      <c r="P31" s="1096">
        <f t="shared" si="36"/>
        <v>45416.314079999996</v>
      </c>
      <c r="Q31" s="1546">
        <f t="shared" si="37"/>
        <v>160.80000000000001</v>
      </c>
      <c r="R31" s="1096">
        <f t="shared" si="38"/>
        <v>53384.088479999999</v>
      </c>
      <c r="S31" s="1099"/>
      <c r="T31" s="1099"/>
    </row>
    <row r="32" spans="1:20" ht="57.75" customHeight="1">
      <c r="A32" s="1090">
        <v>35</v>
      </c>
      <c r="B32" s="933" t="s">
        <v>3937</v>
      </c>
      <c r="C32" s="1092">
        <f>+'Ins Abs'!C32</f>
        <v>372.77499999999998</v>
      </c>
      <c r="D32" s="940" t="s">
        <v>3798</v>
      </c>
      <c r="E32" s="1096">
        <f>'PC- Detail'!H53</f>
        <v>45.1</v>
      </c>
      <c r="F32" s="1097">
        <f t="shared" si="35"/>
        <v>16812.1525</v>
      </c>
      <c r="G32" s="1096"/>
      <c r="H32" s="1097">
        <f t="shared" si="39"/>
        <v>0</v>
      </c>
      <c r="I32" s="1096"/>
      <c r="J32" s="1097">
        <f t="shared" si="41"/>
        <v>0</v>
      </c>
      <c r="K32" s="1096"/>
      <c r="L32" s="1097">
        <f t="shared" si="42"/>
        <v>0</v>
      </c>
      <c r="M32" s="1096"/>
      <c r="N32" s="1096"/>
      <c r="O32" s="1098">
        <f t="shared" si="40"/>
        <v>0</v>
      </c>
      <c r="P32" s="1096">
        <f t="shared" si="36"/>
        <v>0</v>
      </c>
      <c r="Q32" s="1546">
        <f t="shared" si="37"/>
        <v>45.1</v>
      </c>
      <c r="R32" s="1096">
        <f t="shared" si="38"/>
        <v>16812.1525</v>
      </c>
      <c r="S32" s="1099"/>
      <c r="T32" s="1099"/>
    </row>
    <row r="33" spans="1:21">
      <c r="A33" s="1090"/>
      <c r="B33" s="1270" t="s">
        <v>4544</v>
      </c>
      <c r="C33" s="1085">
        <f>+'Ins Abs'!C33</f>
        <v>44.256700000000002</v>
      </c>
      <c r="D33" s="940" t="s">
        <v>3798</v>
      </c>
      <c r="E33" s="1096">
        <f>'PC- Detail'!H185</f>
        <v>756</v>
      </c>
      <c r="F33" s="1097">
        <f t="shared" si="35"/>
        <v>33458.065200000005</v>
      </c>
      <c r="G33" s="1096"/>
      <c r="H33" s="1097">
        <f t="shared" si="39"/>
        <v>0</v>
      </c>
      <c r="I33" s="1096"/>
      <c r="J33" s="1097">
        <f t="shared" si="41"/>
        <v>0</v>
      </c>
      <c r="K33" s="1096"/>
      <c r="L33" s="1097">
        <f t="shared" si="42"/>
        <v>0</v>
      </c>
      <c r="M33" s="1096"/>
      <c r="N33" s="1096"/>
      <c r="O33" s="1098">
        <f t="shared" si="40"/>
        <v>0</v>
      </c>
      <c r="P33" s="1096">
        <f t="shared" si="36"/>
        <v>0</v>
      </c>
      <c r="Q33" s="1546">
        <f t="shared" si="37"/>
        <v>756</v>
      </c>
      <c r="R33" s="1096">
        <f t="shared" si="38"/>
        <v>33458.065200000005</v>
      </c>
      <c r="S33" s="1099"/>
      <c r="T33" s="1099"/>
    </row>
    <row r="34" spans="1:21">
      <c r="A34" s="1090">
        <v>40</v>
      </c>
      <c r="B34" s="933" t="s">
        <v>3944</v>
      </c>
      <c r="C34" s="1092">
        <f>+'Ins Abs'!C34</f>
        <v>283.40549999999996</v>
      </c>
      <c r="D34" s="940" t="s">
        <v>3798</v>
      </c>
      <c r="E34" s="1096">
        <f>'PC- Detail'!H304</f>
        <v>16.354000000000003</v>
      </c>
      <c r="F34" s="1097">
        <f t="shared" si="35"/>
        <v>4634.8135469999997</v>
      </c>
      <c r="G34" s="1096"/>
      <c r="H34" s="1097">
        <f t="shared" si="39"/>
        <v>0</v>
      </c>
      <c r="I34" s="1096"/>
      <c r="J34" s="1097">
        <f t="shared" si="41"/>
        <v>0</v>
      </c>
      <c r="K34" s="1096"/>
      <c r="L34" s="1097">
        <f>K34*C34</f>
        <v>0</v>
      </c>
      <c r="M34" s="1096"/>
      <c r="N34" s="1096"/>
      <c r="O34" s="1098">
        <f t="shared" si="40"/>
        <v>0</v>
      </c>
      <c r="P34" s="1096">
        <f t="shared" si="36"/>
        <v>0</v>
      </c>
      <c r="Q34" s="1546">
        <f>E34+G34+O34</f>
        <v>16.354000000000003</v>
      </c>
      <c r="R34" s="1096">
        <f>Q34*C34</f>
        <v>4634.8135469999997</v>
      </c>
      <c r="S34" s="1099"/>
      <c r="T34" s="1099"/>
    </row>
    <row r="35" spans="1:21">
      <c r="A35" s="1119"/>
      <c r="B35" s="935" t="s">
        <v>5290</v>
      </c>
      <c r="C35" s="1153">
        <f>+'Ins Abs'!C35</f>
        <v>193.79879999999997</v>
      </c>
      <c r="D35" s="940" t="s">
        <v>3798</v>
      </c>
      <c r="E35" s="1096">
        <f>'PC- Detail'!H280</f>
        <v>1014</v>
      </c>
      <c r="F35" s="1097">
        <f t="shared" si="35"/>
        <v>196511.98319999996</v>
      </c>
      <c r="G35" s="1096"/>
      <c r="H35" s="1097">
        <f t="shared" si="39"/>
        <v>0</v>
      </c>
      <c r="I35" s="1096"/>
      <c r="J35" s="1097">
        <f t="shared" si="41"/>
        <v>0</v>
      </c>
      <c r="K35" s="1096"/>
      <c r="L35" s="1097">
        <f>K35*C35</f>
        <v>0</v>
      </c>
      <c r="M35" s="1096"/>
      <c r="N35" s="1096"/>
      <c r="O35" s="1098">
        <f t="shared" si="40"/>
        <v>0</v>
      </c>
      <c r="P35" s="1096">
        <f t="shared" si="36"/>
        <v>0</v>
      </c>
      <c r="Q35" s="1546">
        <f>E35+G35+O35</f>
        <v>1014</v>
      </c>
      <c r="R35" s="1096">
        <f>Q35*C35</f>
        <v>196511.98319999996</v>
      </c>
      <c r="S35" s="1099"/>
      <c r="T35" s="1099"/>
    </row>
    <row r="36" spans="1:21" s="1108" customFormat="1">
      <c r="A36" s="1090">
        <v>44.1</v>
      </c>
      <c r="B36" s="933" t="s">
        <v>3950</v>
      </c>
      <c r="C36" s="1106">
        <f>+'Ins Abs'!C54</f>
        <v>390.34</v>
      </c>
      <c r="D36" s="943" t="s">
        <v>303</v>
      </c>
      <c r="E36" s="1103">
        <v>144</v>
      </c>
      <c r="F36" s="1097">
        <f t="shared" si="35"/>
        <v>56208.959999999999</v>
      </c>
      <c r="G36" s="1103"/>
      <c r="H36" s="1097">
        <f t="shared" si="39"/>
        <v>0</v>
      </c>
      <c r="I36" s="1103"/>
      <c r="J36" s="1097">
        <f t="shared" si="41"/>
        <v>0</v>
      </c>
      <c r="K36" s="1096"/>
      <c r="L36" s="1097">
        <f t="shared" ref="L36:L42" si="43">K36*C36</f>
        <v>0</v>
      </c>
      <c r="M36" s="1103"/>
      <c r="N36" s="1096"/>
      <c r="O36" s="1098">
        <f t="shared" si="40"/>
        <v>0</v>
      </c>
      <c r="P36" s="1096">
        <f t="shared" si="36"/>
        <v>0</v>
      </c>
      <c r="Q36" s="1546">
        <f t="shared" si="37"/>
        <v>144</v>
      </c>
      <c r="R36" s="1096">
        <f t="shared" si="38"/>
        <v>56208.959999999999</v>
      </c>
      <c r="S36" s="1107"/>
      <c r="T36" s="1104"/>
    </row>
    <row r="37" spans="1:21" s="1108" customFormat="1">
      <c r="A37" s="1154">
        <v>51</v>
      </c>
      <c r="B37" s="1272" t="s">
        <v>3961</v>
      </c>
      <c r="C37" s="1155">
        <f>+'Ins Abs'!C36</f>
        <v>7035.0000000000009</v>
      </c>
      <c r="D37" s="1156" t="s">
        <v>340</v>
      </c>
      <c r="E37" s="1113">
        <f>'PC- Detail'!H285</f>
        <v>24</v>
      </c>
      <c r="F37" s="1097">
        <f t="shared" si="35"/>
        <v>168840.00000000003</v>
      </c>
      <c r="G37" s="1113"/>
      <c r="H37" s="1097">
        <f t="shared" si="39"/>
        <v>0</v>
      </c>
      <c r="I37" s="1113"/>
      <c r="J37" s="1097">
        <f t="shared" si="41"/>
        <v>0</v>
      </c>
      <c r="K37" s="1114"/>
      <c r="L37" s="1097">
        <f t="shared" si="43"/>
        <v>0</v>
      </c>
      <c r="M37" s="1113"/>
      <c r="N37" s="1096"/>
      <c r="O37" s="1098">
        <f t="shared" si="40"/>
        <v>0</v>
      </c>
      <c r="P37" s="1096">
        <f t="shared" si="36"/>
        <v>0</v>
      </c>
      <c r="Q37" s="1546">
        <f t="shared" si="37"/>
        <v>24</v>
      </c>
      <c r="R37" s="1096">
        <f t="shared" si="38"/>
        <v>168840.00000000003</v>
      </c>
      <c r="S37" s="1107"/>
      <c r="T37" s="1104"/>
    </row>
    <row r="38" spans="1:21" s="1144" customFormat="1" ht="46.9" customHeight="1">
      <c r="A38" s="1118"/>
      <c r="B38" s="1265" t="s">
        <v>3963</v>
      </c>
      <c r="C38" s="1117">
        <f>+'Ins Abs'!C38</f>
        <v>307.24199999999996</v>
      </c>
      <c r="D38" s="1118" t="s">
        <v>303</v>
      </c>
      <c r="E38" s="1103">
        <f>'PC- Detail'!H148</f>
        <v>50</v>
      </c>
      <c r="F38" s="1097">
        <f t="shared" si="35"/>
        <v>15362.099999999999</v>
      </c>
      <c r="G38" s="1103"/>
      <c r="H38" s="1097">
        <f t="shared" si="39"/>
        <v>0</v>
      </c>
      <c r="I38" s="1103"/>
      <c r="J38" s="1097">
        <f t="shared" si="41"/>
        <v>0</v>
      </c>
      <c r="K38" s="1096"/>
      <c r="L38" s="1097">
        <f t="shared" si="43"/>
        <v>0</v>
      </c>
      <c r="M38" s="1103"/>
      <c r="N38" s="1096"/>
      <c r="O38" s="1098">
        <f t="shared" si="40"/>
        <v>0</v>
      </c>
      <c r="P38" s="1096">
        <f t="shared" si="36"/>
        <v>0</v>
      </c>
      <c r="Q38" s="1546">
        <f t="shared" si="37"/>
        <v>50</v>
      </c>
      <c r="R38" s="1096">
        <f t="shared" si="38"/>
        <v>15362.099999999999</v>
      </c>
      <c r="S38" s="1104"/>
      <c r="T38" s="1104"/>
    </row>
    <row r="39" spans="1:21" s="1144" customFormat="1">
      <c r="A39" s="1118"/>
      <c r="B39" s="1265" t="s">
        <v>3964</v>
      </c>
      <c r="C39" s="1117">
        <f>+'Ins Abs'!C39</f>
        <v>289.63333333333333</v>
      </c>
      <c r="D39" s="1118" t="s">
        <v>303</v>
      </c>
      <c r="E39" s="1103">
        <f>'PC- Detail'!H145</f>
        <v>300</v>
      </c>
      <c r="F39" s="1097">
        <f t="shared" si="35"/>
        <v>86890</v>
      </c>
      <c r="G39" s="1103"/>
      <c r="H39" s="1097">
        <f t="shared" si="39"/>
        <v>0</v>
      </c>
      <c r="I39" s="1103"/>
      <c r="J39" s="1097">
        <f t="shared" si="41"/>
        <v>0</v>
      </c>
      <c r="K39" s="1096"/>
      <c r="L39" s="1097">
        <f t="shared" si="43"/>
        <v>0</v>
      </c>
      <c r="M39" s="1103"/>
      <c r="N39" s="1096"/>
      <c r="O39" s="1098">
        <f t="shared" si="40"/>
        <v>0</v>
      </c>
      <c r="P39" s="1096">
        <f t="shared" si="36"/>
        <v>0</v>
      </c>
      <c r="Q39" s="1546">
        <f t="shared" si="37"/>
        <v>300</v>
      </c>
      <c r="R39" s="1096">
        <f t="shared" si="38"/>
        <v>86890</v>
      </c>
      <c r="S39" s="1104"/>
      <c r="T39" s="1104"/>
    </row>
    <row r="40" spans="1:21" s="1108" customFormat="1">
      <c r="A40" s="1119">
        <v>53.1</v>
      </c>
      <c r="B40" s="935" t="s">
        <v>3967</v>
      </c>
      <c r="C40" s="1120">
        <f>+'Ins Abs'!C40</f>
        <v>3856.62</v>
      </c>
      <c r="D40" s="1121" t="s">
        <v>340</v>
      </c>
      <c r="E40" s="1103">
        <f>'PC- Detail'!H294</f>
        <v>24</v>
      </c>
      <c r="F40" s="1097">
        <f t="shared" si="35"/>
        <v>92558.88</v>
      </c>
      <c r="G40" s="1103"/>
      <c r="H40" s="1097">
        <f t="shared" si="39"/>
        <v>0</v>
      </c>
      <c r="I40" s="1103"/>
      <c r="J40" s="1097">
        <f t="shared" si="41"/>
        <v>0</v>
      </c>
      <c r="K40" s="1096"/>
      <c r="L40" s="1097">
        <f>K40*C40</f>
        <v>0</v>
      </c>
      <c r="M40" s="1103"/>
      <c r="N40" s="1096"/>
      <c r="O40" s="1098">
        <f t="shared" si="40"/>
        <v>0</v>
      </c>
      <c r="P40" s="1096">
        <f t="shared" si="36"/>
        <v>0</v>
      </c>
      <c r="Q40" s="1546">
        <f>E40+G40+O40</f>
        <v>24</v>
      </c>
      <c r="R40" s="1096">
        <f>Q40*C40</f>
        <v>92558.88</v>
      </c>
      <c r="S40" s="1107"/>
      <c r="T40" s="1104"/>
    </row>
    <row r="41" spans="1:21" s="1108" customFormat="1">
      <c r="A41" s="1090">
        <v>54.1</v>
      </c>
      <c r="B41" s="933" t="s">
        <v>3971</v>
      </c>
      <c r="C41" s="1106">
        <f>+'Ins Abs'!C41</f>
        <v>538</v>
      </c>
      <c r="D41" s="943" t="s">
        <v>340</v>
      </c>
      <c r="E41" s="1103">
        <f>'PC- Detail'!H154</f>
        <v>54</v>
      </c>
      <c r="F41" s="1097">
        <f t="shared" si="35"/>
        <v>29052</v>
      </c>
      <c r="G41" s="1103"/>
      <c r="H41" s="1097">
        <f t="shared" si="39"/>
        <v>0</v>
      </c>
      <c r="I41" s="1103"/>
      <c r="J41" s="1097">
        <f t="shared" si="41"/>
        <v>0</v>
      </c>
      <c r="K41" s="1096"/>
      <c r="L41" s="1097">
        <f t="shared" si="43"/>
        <v>0</v>
      </c>
      <c r="M41" s="1103"/>
      <c r="N41" s="1096"/>
      <c r="O41" s="1098">
        <f t="shared" si="40"/>
        <v>0</v>
      </c>
      <c r="P41" s="1096">
        <f t="shared" si="36"/>
        <v>0</v>
      </c>
      <c r="Q41" s="1546">
        <f t="shared" si="37"/>
        <v>54</v>
      </c>
      <c r="R41" s="1096">
        <f t="shared" si="38"/>
        <v>29052</v>
      </c>
      <c r="S41" s="1107"/>
      <c r="T41" s="1104"/>
    </row>
    <row r="42" spans="1:21" s="1108" customFormat="1">
      <c r="A42" s="1090">
        <v>54.2</v>
      </c>
      <c r="B42" s="1298" t="s">
        <v>3972</v>
      </c>
      <c r="C42" s="1106">
        <f>+'Ins Abs'!C42</f>
        <v>490</v>
      </c>
      <c r="D42" s="943" t="s">
        <v>340</v>
      </c>
      <c r="E42" s="1103">
        <f>'PC- Detail'!H157</f>
        <v>24</v>
      </c>
      <c r="F42" s="1097">
        <f t="shared" si="35"/>
        <v>11760</v>
      </c>
      <c r="G42" s="1103"/>
      <c r="H42" s="1097">
        <f t="shared" si="39"/>
        <v>0</v>
      </c>
      <c r="I42" s="1103"/>
      <c r="J42" s="1097">
        <f t="shared" si="41"/>
        <v>0</v>
      </c>
      <c r="K42" s="1096"/>
      <c r="L42" s="1097">
        <f t="shared" si="43"/>
        <v>0</v>
      </c>
      <c r="M42" s="1103"/>
      <c r="N42" s="1096"/>
      <c r="O42" s="1098">
        <f t="shared" si="40"/>
        <v>0</v>
      </c>
      <c r="P42" s="1096">
        <f t="shared" si="36"/>
        <v>0</v>
      </c>
      <c r="Q42" s="1546">
        <f t="shared" si="37"/>
        <v>24</v>
      </c>
      <c r="R42" s="1096">
        <f t="shared" si="38"/>
        <v>11760</v>
      </c>
      <c r="S42" s="1107"/>
      <c r="T42" s="1104"/>
    </row>
    <row r="43" spans="1:21" s="1108" customFormat="1">
      <c r="A43" s="1129">
        <v>69</v>
      </c>
      <c r="B43" s="1265" t="s">
        <v>4007</v>
      </c>
      <c r="C43" s="1117">
        <v>150</v>
      </c>
      <c r="D43" s="1118" t="s">
        <v>340</v>
      </c>
      <c r="E43" s="1103"/>
      <c r="F43" s="1097">
        <f t="shared" si="35"/>
        <v>0</v>
      </c>
      <c r="G43" s="1103">
        <v>120</v>
      </c>
      <c r="H43" s="1097">
        <f>G43*C43</f>
        <v>18000</v>
      </c>
      <c r="I43" s="1103"/>
      <c r="J43" s="1097"/>
      <c r="K43" s="1096"/>
      <c r="L43" s="1097"/>
      <c r="M43" s="1103"/>
      <c r="N43" s="1096"/>
      <c r="O43" s="1098"/>
      <c r="P43" s="1096"/>
      <c r="Q43" s="1546">
        <f t="shared" si="37"/>
        <v>120</v>
      </c>
      <c r="R43" s="1096">
        <f t="shared" si="38"/>
        <v>18000</v>
      </c>
      <c r="S43" s="1107"/>
      <c r="T43" s="1104"/>
    </row>
    <row r="44" spans="1:21" ht="26.25">
      <c r="A44" s="1090"/>
      <c r="B44" s="1273" t="s">
        <v>4039</v>
      </c>
      <c r="C44" s="1092"/>
      <c r="D44" s="940"/>
      <c r="E44" s="1096"/>
      <c r="F44" s="1097">
        <f t="shared" ref="F44" si="44">C44*E44</f>
        <v>0</v>
      </c>
      <c r="G44" s="1096"/>
      <c r="H44" s="1097">
        <f t="shared" ref="H44" si="45">C44*G44</f>
        <v>0</v>
      </c>
      <c r="I44" s="1096"/>
      <c r="J44" s="1097">
        <f t="shared" ref="J44" si="46">I44*C44</f>
        <v>0</v>
      </c>
      <c r="K44" s="1096"/>
      <c r="L44" s="1097">
        <f>K44*C44</f>
        <v>0</v>
      </c>
      <c r="M44" s="1096"/>
      <c r="N44" s="1096"/>
      <c r="O44" s="1098">
        <f t="shared" ref="O44" si="47">K44+I44</f>
        <v>0</v>
      </c>
      <c r="P44" s="1096">
        <f t="shared" ref="P44" si="48">J44+L44</f>
        <v>0</v>
      </c>
      <c r="Q44" s="1546">
        <f>E44+G44+O44</f>
        <v>0</v>
      </c>
      <c r="R44" s="1096">
        <f>Q44*C44</f>
        <v>0</v>
      </c>
      <c r="S44" s="1122"/>
      <c r="T44" s="1099"/>
      <c r="U44" s="1123"/>
    </row>
    <row r="45" spans="1:21" s="1108" customFormat="1" ht="46.5">
      <c r="A45" s="1138"/>
      <c r="B45" s="933" t="s">
        <v>3563</v>
      </c>
      <c r="C45" s="1106">
        <f>+'Ins Abs'!C45</f>
        <v>185.36</v>
      </c>
      <c r="D45" s="943" t="s">
        <v>306</v>
      </c>
      <c r="E45" s="1103">
        <f>'PC- Detail'!H116</f>
        <v>21</v>
      </c>
      <c r="F45" s="1097">
        <f t="shared" ref="F45:F47" si="49">C45*E45</f>
        <v>3892.5600000000004</v>
      </c>
      <c r="G45" s="1103"/>
      <c r="H45" s="1097">
        <f t="shared" ref="H45:H47" si="50">C45*G45</f>
        <v>0</v>
      </c>
      <c r="I45" s="1103"/>
      <c r="J45" s="1097">
        <f t="shared" ref="J45:J49" si="51">I45*C45</f>
        <v>0</v>
      </c>
      <c r="K45" s="1096"/>
      <c r="L45" s="1097">
        <f t="shared" ref="L45:L47" si="52">K45*C45</f>
        <v>0</v>
      </c>
      <c r="M45" s="1103"/>
      <c r="N45" s="1096"/>
      <c r="O45" s="1098">
        <f t="shared" ref="O45:O47" si="53">K45+I45</f>
        <v>0</v>
      </c>
      <c r="P45" s="1096">
        <f t="shared" ref="P45:P47" si="54">J45+L45</f>
        <v>0</v>
      </c>
      <c r="Q45" s="1546">
        <f t="shared" ref="Q45:Q47" si="55">E45+G45+O45</f>
        <v>21</v>
      </c>
      <c r="R45" s="1096">
        <f t="shared" ref="R45:R47" si="56">Q45*C45</f>
        <v>3892.5600000000004</v>
      </c>
      <c r="S45" s="1107"/>
      <c r="T45" s="1104"/>
    </row>
    <row r="46" spans="1:21" ht="58.5" customHeight="1">
      <c r="A46" s="1090" t="s">
        <v>4132</v>
      </c>
      <c r="B46" s="933" t="s">
        <v>5800</v>
      </c>
      <c r="C46" s="1092">
        <f>+'Ins Abs'!C46</f>
        <v>3325</v>
      </c>
      <c r="D46" s="940" t="s">
        <v>306</v>
      </c>
      <c r="E46" s="1096">
        <f>'PC- Detail'!H119</f>
        <v>36</v>
      </c>
      <c r="F46" s="1097">
        <f t="shared" si="49"/>
        <v>119700</v>
      </c>
      <c r="G46" s="1096"/>
      <c r="H46" s="1097">
        <f t="shared" si="50"/>
        <v>0</v>
      </c>
      <c r="I46" s="1096"/>
      <c r="J46" s="1097">
        <f t="shared" si="51"/>
        <v>0</v>
      </c>
      <c r="K46" s="1096"/>
      <c r="L46" s="1097">
        <f t="shared" si="52"/>
        <v>0</v>
      </c>
      <c r="M46" s="1096"/>
      <c r="N46" s="1096"/>
      <c r="O46" s="1098">
        <f t="shared" si="53"/>
        <v>0</v>
      </c>
      <c r="P46" s="1096">
        <f t="shared" si="54"/>
        <v>0</v>
      </c>
      <c r="Q46" s="1546">
        <f t="shared" si="55"/>
        <v>36</v>
      </c>
      <c r="R46" s="1096">
        <f t="shared" si="56"/>
        <v>119700</v>
      </c>
      <c r="S46" s="1099"/>
      <c r="T46" s="1099"/>
    </row>
    <row r="47" spans="1:21" s="1105" customFormat="1" ht="46.5">
      <c r="A47" s="1206" t="s">
        <v>4134</v>
      </c>
      <c r="B47" s="1265" t="s">
        <v>4135</v>
      </c>
      <c r="C47" s="1117">
        <f>+'Ins Abs'!C47</f>
        <v>906.4</v>
      </c>
      <c r="D47" s="1118" t="s">
        <v>306</v>
      </c>
      <c r="E47" s="1103">
        <f>'PC- Detail'!H69</f>
        <v>20</v>
      </c>
      <c r="F47" s="1097">
        <f t="shared" si="49"/>
        <v>18128</v>
      </c>
      <c r="G47" s="1103"/>
      <c r="H47" s="1097">
        <f t="shared" si="50"/>
        <v>0</v>
      </c>
      <c r="I47" s="1103"/>
      <c r="J47" s="1097">
        <f t="shared" si="51"/>
        <v>0</v>
      </c>
      <c r="K47" s="1096"/>
      <c r="L47" s="1097">
        <f t="shared" si="52"/>
        <v>0</v>
      </c>
      <c r="M47" s="1103"/>
      <c r="N47" s="1096"/>
      <c r="O47" s="1098">
        <f t="shared" si="53"/>
        <v>0</v>
      </c>
      <c r="P47" s="1096">
        <f t="shared" si="54"/>
        <v>0</v>
      </c>
      <c r="Q47" s="1546">
        <f t="shared" si="55"/>
        <v>20</v>
      </c>
      <c r="R47" s="1096">
        <f t="shared" si="56"/>
        <v>18128</v>
      </c>
      <c r="S47" s="1104"/>
      <c r="T47" s="1104"/>
    </row>
    <row r="48" spans="1:21">
      <c r="A48" s="1090">
        <v>29.8</v>
      </c>
      <c r="B48" s="933" t="s">
        <v>4141</v>
      </c>
      <c r="C48" s="1092">
        <f>+'Ins Abs'!C51</f>
        <v>1673.4978494623656</v>
      </c>
      <c r="D48" s="940" t="s">
        <v>306</v>
      </c>
      <c r="E48" s="1096">
        <f>'PC- Detail'!H106</f>
        <v>134</v>
      </c>
      <c r="F48" s="1097">
        <f t="shared" ref="F48:F60" si="57">C48*E48</f>
        <v>224248.71182795698</v>
      </c>
      <c r="G48" s="1096"/>
      <c r="H48" s="1097">
        <f t="shared" ref="H48:H60" si="58">C48*G48</f>
        <v>0</v>
      </c>
      <c r="I48" s="1096"/>
      <c r="J48" s="1097">
        <f t="shared" si="51"/>
        <v>0</v>
      </c>
      <c r="K48" s="1096"/>
      <c r="L48" s="1097">
        <f>K48*C48</f>
        <v>0</v>
      </c>
      <c r="M48" s="1096"/>
      <c r="N48" s="1096"/>
      <c r="O48" s="1098">
        <f t="shared" ref="O48:O60" si="59">K48+I48</f>
        <v>0</v>
      </c>
      <c r="P48" s="1096">
        <f t="shared" ref="P48:P60" si="60">J48+L48</f>
        <v>0</v>
      </c>
      <c r="Q48" s="1546">
        <f>E48+G48+O48</f>
        <v>134</v>
      </c>
      <c r="R48" s="1096">
        <f>Q48*C48</f>
        <v>224248.71182795698</v>
      </c>
      <c r="S48" s="1099"/>
      <c r="T48" s="1099"/>
    </row>
    <row r="49" spans="1:21" ht="46.5">
      <c r="A49" s="1090">
        <v>29.9</v>
      </c>
      <c r="B49" s="933" t="s">
        <v>4143</v>
      </c>
      <c r="C49" s="1092">
        <f>+'Ins Abs'!C52</f>
        <v>1456.6807000000001</v>
      </c>
      <c r="D49" s="940" t="s">
        <v>306</v>
      </c>
      <c r="E49" s="1096">
        <f>'PC- Detail'!H99</f>
        <v>57.3</v>
      </c>
      <c r="F49" s="1097">
        <f t="shared" si="57"/>
        <v>83467.804109999997</v>
      </c>
      <c r="G49" s="1096"/>
      <c r="H49" s="1097">
        <f t="shared" si="58"/>
        <v>0</v>
      </c>
      <c r="I49" s="1096"/>
      <c r="J49" s="1097">
        <f t="shared" si="51"/>
        <v>0</v>
      </c>
      <c r="K49" s="1096"/>
      <c r="L49" s="1097">
        <f>K49*C49</f>
        <v>0</v>
      </c>
      <c r="M49" s="1096"/>
      <c r="N49" s="1096"/>
      <c r="O49" s="1098">
        <f t="shared" si="59"/>
        <v>0</v>
      </c>
      <c r="P49" s="1096">
        <f t="shared" si="60"/>
        <v>0</v>
      </c>
      <c r="Q49" s="1546">
        <f>E49+G49+O49</f>
        <v>57.3</v>
      </c>
      <c r="R49" s="1096">
        <f>Q49*C49</f>
        <v>83467.804109999997</v>
      </c>
      <c r="S49" s="1099"/>
      <c r="T49" s="1099"/>
    </row>
    <row r="50" spans="1:21" s="1105" customFormat="1">
      <c r="A50" s="1129">
        <v>50.6</v>
      </c>
      <c r="B50" s="1265" t="s">
        <v>4149</v>
      </c>
      <c r="C50" s="1117">
        <f>+'Ins Abs'!C55</f>
        <v>514.23368249999976</v>
      </c>
      <c r="D50" s="1118" t="s">
        <v>306</v>
      </c>
      <c r="E50" s="1103"/>
      <c r="F50" s="1097">
        <f t="shared" si="57"/>
        <v>0</v>
      </c>
      <c r="G50" s="1103"/>
      <c r="H50" s="1097">
        <f t="shared" si="58"/>
        <v>0</v>
      </c>
      <c r="I50" s="1103"/>
      <c r="J50" s="1097">
        <f t="shared" ref="J50:J62" si="61">I50*C50</f>
        <v>0</v>
      </c>
      <c r="K50" s="1096">
        <f>'PC - PP - Detail'!H38</f>
        <v>34.199999999999996</v>
      </c>
      <c r="L50" s="1097">
        <f t="shared" ref="L50:L62" si="62">K50*C50</f>
        <v>17586.791941499989</v>
      </c>
      <c r="M50" s="1103"/>
      <c r="N50" s="1096"/>
      <c r="O50" s="1098">
        <f t="shared" si="59"/>
        <v>34.199999999999996</v>
      </c>
      <c r="P50" s="1096">
        <f t="shared" si="60"/>
        <v>17586.791941499989</v>
      </c>
      <c r="Q50" s="1546">
        <f t="shared" ref="Q50:Q59" si="63">E50+G50+O50</f>
        <v>34.199999999999996</v>
      </c>
      <c r="R50" s="1096">
        <f t="shared" ref="R50:R59" si="64">Q50*C50</f>
        <v>17586.791941499989</v>
      </c>
      <c r="S50" s="1104"/>
      <c r="T50" s="1104"/>
    </row>
    <row r="51" spans="1:21" s="1108" customFormat="1" ht="46.5">
      <c r="A51" s="1090">
        <v>56.3</v>
      </c>
      <c r="B51" s="933" t="s">
        <v>354</v>
      </c>
      <c r="C51" s="1106">
        <f>+'Ins Abs'!C56</f>
        <v>4051.933023</v>
      </c>
      <c r="D51" s="943" t="s">
        <v>340</v>
      </c>
      <c r="E51" s="1103">
        <f>'PC- Detail'!H110</f>
        <v>12</v>
      </c>
      <c r="F51" s="1097">
        <f t="shared" si="57"/>
        <v>48623.196276000002</v>
      </c>
      <c r="G51" s="1103"/>
      <c r="H51" s="1097">
        <f t="shared" si="58"/>
        <v>0</v>
      </c>
      <c r="I51" s="1103"/>
      <c r="J51" s="1097">
        <f t="shared" si="61"/>
        <v>0</v>
      </c>
      <c r="K51" s="1096"/>
      <c r="L51" s="1097">
        <f t="shared" si="62"/>
        <v>0</v>
      </c>
      <c r="M51" s="1103"/>
      <c r="N51" s="1096"/>
      <c r="O51" s="1098">
        <f t="shared" si="59"/>
        <v>0</v>
      </c>
      <c r="P51" s="1096">
        <f t="shared" si="60"/>
        <v>0</v>
      </c>
      <c r="Q51" s="1546">
        <f t="shared" si="63"/>
        <v>12</v>
      </c>
      <c r="R51" s="1096">
        <f t="shared" si="64"/>
        <v>48623.196276000002</v>
      </c>
      <c r="S51" s="1107"/>
      <c r="T51" s="1104"/>
    </row>
    <row r="52" spans="1:21" s="1108" customFormat="1" ht="86.25" customHeight="1">
      <c r="A52" s="1109">
        <v>56.4</v>
      </c>
      <c r="B52" s="1259" t="s">
        <v>355</v>
      </c>
      <c r="C52" s="1111">
        <f>+'Ins Abs'!C57</f>
        <v>6609.6227230000013</v>
      </c>
      <c r="D52" s="1112" t="s">
        <v>340</v>
      </c>
      <c r="E52" s="1113">
        <f>'PC- Detail'!H113</f>
        <v>12</v>
      </c>
      <c r="F52" s="1097">
        <f t="shared" si="57"/>
        <v>79315.472676000019</v>
      </c>
      <c r="G52" s="1113"/>
      <c r="H52" s="1097">
        <f t="shared" si="58"/>
        <v>0</v>
      </c>
      <c r="I52" s="1113"/>
      <c r="J52" s="1097">
        <f t="shared" si="61"/>
        <v>0</v>
      </c>
      <c r="K52" s="1114"/>
      <c r="L52" s="1097">
        <f t="shared" si="62"/>
        <v>0</v>
      </c>
      <c r="M52" s="1113"/>
      <c r="N52" s="1096"/>
      <c r="O52" s="1098">
        <f t="shared" si="59"/>
        <v>0</v>
      </c>
      <c r="P52" s="1096">
        <f t="shared" si="60"/>
        <v>0</v>
      </c>
      <c r="Q52" s="1546">
        <f t="shared" si="63"/>
        <v>12</v>
      </c>
      <c r="R52" s="1096">
        <f t="shared" si="64"/>
        <v>79315.472676000019</v>
      </c>
      <c r="S52" s="1107"/>
      <c r="T52" s="1104"/>
    </row>
    <row r="53" spans="1:21" ht="48" customHeight="1">
      <c r="A53" s="1090">
        <v>58.3</v>
      </c>
      <c r="B53" s="1262" t="s">
        <v>4154</v>
      </c>
      <c r="C53" s="1092"/>
      <c r="D53" s="1208"/>
      <c r="E53" s="1096"/>
      <c r="F53" s="1097">
        <f t="shared" si="57"/>
        <v>0</v>
      </c>
      <c r="G53" s="1096"/>
      <c r="H53" s="1097">
        <f t="shared" si="58"/>
        <v>0</v>
      </c>
      <c r="I53" s="1096"/>
      <c r="J53" s="1097">
        <f t="shared" si="61"/>
        <v>0</v>
      </c>
      <c r="K53" s="1096"/>
      <c r="L53" s="1097">
        <f t="shared" si="62"/>
        <v>0</v>
      </c>
      <c r="M53" s="1096"/>
      <c r="N53" s="1096"/>
      <c r="O53" s="1098">
        <f t="shared" si="59"/>
        <v>0</v>
      </c>
      <c r="P53" s="1096">
        <f t="shared" si="60"/>
        <v>0</v>
      </c>
      <c r="Q53" s="1546">
        <f t="shared" si="63"/>
        <v>0</v>
      </c>
      <c r="R53" s="1096">
        <f t="shared" si="64"/>
        <v>0</v>
      </c>
      <c r="S53" s="1122"/>
      <c r="T53" s="1099"/>
      <c r="U53" s="1123"/>
    </row>
    <row r="54" spans="1:21" ht="48" customHeight="1">
      <c r="A54" s="1090"/>
      <c r="B54" s="933" t="s">
        <v>3980</v>
      </c>
      <c r="C54" s="1092">
        <f>+'Ins Abs'!C59</f>
        <v>851.42</v>
      </c>
      <c r="D54" s="940" t="s">
        <v>303</v>
      </c>
      <c r="E54" s="1096">
        <f>'PC- Detail'!H164</f>
        <v>48</v>
      </c>
      <c r="F54" s="1097">
        <f t="shared" si="57"/>
        <v>40868.159999999996</v>
      </c>
      <c r="G54" s="1096"/>
      <c r="H54" s="1097">
        <f t="shared" si="58"/>
        <v>0</v>
      </c>
      <c r="I54" s="1096"/>
      <c r="J54" s="1097">
        <f t="shared" si="61"/>
        <v>0</v>
      </c>
      <c r="K54" s="1096"/>
      <c r="L54" s="1097">
        <f t="shared" si="62"/>
        <v>0</v>
      </c>
      <c r="M54" s="1096"/>
      <c r="N54" s="1096"/>
      <c r="O54" s="1098">
        <f t="shared" si="59"/>
        <v>0</v>
      </c>
      <c r="P54" s="1096">
        <f t="shared" si="60"/>
        <v>0</v>
      </c>
      <c r="Q54" s="1546">
        <f t="shared" si="63"/>
        <v>48</v>
      </c>
      <c r="R54" s="1096">
        <f t="shared" si="64"/>
        <v>40868.159999999996</v>
      </c>
      <c r="S54" s="1099"/>
      <c r="T54" s="1099"/>
    </row>
    <row r="55" spans="1:21">
      <c r="A55" s="1092"/>
      <c r="B55" s="933" t="s">
        <v>3981</v>
      </c>
      <c r="C55" s="1092">
        <f>+'Ins Abs'!C60</f>
        <v>734.11666666666667</v>
      </c>
      <c r="D55" s="940" t="s">
        <v>303</v>
      </c>
      <c r="E55" s="1096">
        <f>'PC- Detail'!H167</f>
        <v>72</v>
      </c>
      <c r="F55" s="1097">
        <f t="shared" si="57"/>
        <v>52856.4</v>
      </c>
      <c r="G55" s="1096"/>
      <c r="H55" s="1097">
        <f t="shared" si="58"/>
        <v>0</v>
      </c>
      <c r="I55" s="1096"/>
      <c r="J55" s="1097">
        <f t="shared" si="61"/>
        <v>0</v>
      </c>
      <c r="K55" s="1096"/>
      <c r="L55" s="1097">
        <f t="shared" si="62"/>
        <v>0</v>
      </c>
      <c r="M55" s="1096"/>
      <c r="N55" s="1096"/>
      <c r="O55" s="1098">
        <f t="shared" si="59"/>
        <v>0</v>
      </c>
      <c r="P55" s="1096">
        <f t="shared" si="60"/>
        <v>0</v>
      </c>
      <c r="Q55" s="1546">
        <f t="shared" si="63"/>
        <v>72</v>
      </c>
      <c r="R55" s="1096">
        <f t="shared" si="64"/>
        <v>52856.4</v>
      </c>
      <c r="S55" s="1099"/>
      <c r="T55" s="1099"/>
    </row>
    <row r="56" spans="1:21" s="1105" customFormat="1" ht="93">
      <c r="A56" s="1129">
        <v>66.099999999999994</v>
      </c>
      <c r="B56" s="1265" t="s">
        <v>4159</v>
      </c>
      <c r="C56" s="1117">
        <f>+'Ins Abs'!C61</f>
        <v>3051.9983333333334</v>
      </c>
      <c r="D56" s="1117" t="s">
        <v>340</v>
      </c>
      <c r="F56" s="1097">
        <f t="shared" si="57"/>
        <v>0</v>
      </c>
      <c r="G56" s="1096">
        <f>'PC- Elec'!H83</f>
        <v>6</v>
      </c>
      <c r="H56" s="1097">
        <f t="shared" si="58"/>
        <v>18311.990000000002</v>
      </c>
      <c r="I56" s="1103"/>
      <c r="J56" s="1097">
        <f t="shared" si="61"/>
        <v>0</v>
      </c>
      <c r="K56" s="1096"/>
      <c r="L56" s="1097">
        <f>K56*C56</f>
        <v>0</v>
      </c>
      <c r="M56" s="1103"/>
      <c r="N56" s="1096"/>
      <c r="O56" s="1098">
        <f t="shared" si="59"/>
        <v>0</v>
      </c>
      <c r="P56" s="1096">
        <f t="shared" si="60"/>
        <v>0</v>
      </c>
      <c r="Q56" s="1546">
        <f>E56+G56+O56</f>
        <v>6</v>
      </c>
      <c r="R56" s="1096">
        <f>Q56*C56</f>
        <v>18311.990000000002</v>
      </c>
      <c r="S56" s="1104"/>
      <c r="T56" s="1104"/>
    </row>
    <row r="57" spans="1:21" ht="69.75">
      <c r="A57" s="1092"/>
      <c r="B57" s="933" t="s">
        <v>4164</v>
      </c>
      <c r="C57" s="1092">
        <f>+'Ins Abs'!C62</f>
        <v>266</v>
      </c>
      <c r="D57" s="1208" t="s">
        <v>303</v>
      </c>
      <c r="F57" s="1097">
        <f t="shared" si="57"/>
        <v>0</v>
      </c>
      <c r="G57" s="1096">
        <f>'PC- Elec'!H88</f>
        <v>120</v>
      </c>
      <c r="H57" s="1097">
        <f t="shared" si="58"/>
        <v>31920</v>
      </c>
      <c r="I57" s="1096"/>
      <c r="J57" s="1097">
        <f t="shared" si="61"/>
        <v>0</v>
      </c>
      <c r="K57" s="1096"/>
      <c r="L57" s="1097">
        <f>K57*C57</f>
        <v>0</v>
      </c>
      <c r="M57" s="1096"/>
      <c r="N57" s="1096"/>
      <c r="O57" s="1098">
        <f t="shared" si="59"/>
        <v>0</v>
      </c>
      <c r="P57" s="1096">
        <f t="shared" si="60"/>
        <v>0</v>
      </c>
      <c r="Q57" s="1546">
        <f>E57+G57+O57</f>
        <v>120</v>
      </c>
      <c r="R57" s="1096">
        <f>Q57*C57</f>
        <v>31920</v>
      </c>
      <c r="S57" s="1099"/>
      <c r="T57" s="1099"/>
    </row>
    <row r="58" spans="1:21" s="1108" customFormat="1" ht="93">
      <c r="A58" s="1090"/>
      <c r="B58" s="933" t="s">
        <v>4166</v>
      </c>
      <c r="C58" s="1092">
        <f>+'Ins Abs'!C63</f>
        <v>226</v>
      </c>
      <c r="D58" s="1158" t="s">
        <v>303</v>
      </c>
      <c r="F58" s="1097">
        <f t="shared" si="57"/>
        <v>0</v>
      </c>
      <c r="G58" s="1096">
        <f>'PC- Elec'!H72</f>
        <v>840</v>
      </c>
      <c r="H58" s="1097">
        <f t="shared" si="58"/>
        <v>189840</v>
      </c>
      <c r="I58" s="1096"/>
      <c r="J58" s="1097">
        <f t="shared" si="61"/>
        <v>0</v>
      </c>
      <c r="K58" s="1096"/>
      <c r="L58" s="1097">
        <f t="shared" si="62"/>
        <v>0</v>
      </c>
      <c r="M58" s="1096"/>
      <c r="N58" s="1096"/>
      <c r="O58" s="1098">
        <f t="shared" si="59"/>
        <v>0</v>
      </c>
      <c r="P58" s="1096">
        <f t="shared" si="60"/>
        <v>0</v>
      </c>
      <c r="Q58" s="1546">
        <f t="shared" si="63"/>
        <v>840</v>
      </c>
      <c r="R58" s="1096">
        <f t="shared" si="64"/>
        <v>189840</v>
      </c>
      <c r="S58" s="1107"/>
      <c r="T58" s="1099"/>
    </row>
    <row r="59" spans="1:21" ht="69.75">
      <c r="A59" s="1090"/>
      <c r="B59" s="933" t="s">
        <v>4167</v>
      </c>
      <c r="C59" s="1092">
        <f>+'Ins Abs'!C64</f>
        <v>270</v>
      </c>
      <c r="D59" s="1208" t="s">
        <v>303</v>
      </c>
      <c r="F59" s="1097">
        <f t="shared" si="57"/>
        <v>0</v>
      </c>
      <c r="G59" s="1096">
        <f>'PC- Elec'!H76</f>
        <v>720</v>
      </c>
      <c r="H59" s="1097">
        <f t="shared" si="58"/>
        <v>194400</v>
      </c>
      <c r="I59" s="1096"/>
      <c r="J59" s="1097">
        <f t="shared" si="61"/>
        <v>0</v>
      </c>
      <c r="K59" s="1096"/>
      <c r="L59" s="1097">
        <f t="shared" si="62"/>
        <v>0</v>
      </c>
      <c r="M59" s="1096"/>
      <c r="N59" s="1096"/>
      <c r="O59" s="1098">
        <f t="shared" si="59"/>
        <v>0</v>
      </c>
      <c r="P59" s="1096">
        <f t="shared" si="60"/>
        <v>0</v>
      </c>
      <c r="Q59" s="1546">
        <f t="shared" si="63"/>
        <v>720</v>
      </c>
      <c r="R59" s="1096">
        <f t="shared" si="64"/>
        <v>194400</v>
      </c>
      <c r="S59" s="1099"/>
      <c r="T59" s="1099"/>
    </row>
    <row r="60" spans="1:21">
      <c r="A60" s="1090">
        <v>344.2</v>
      </c>
      <c r="B60" s="933" t="s">
        <v>4178</v>
      </c>
      <c r="C60" s="1092">
        <f>+'Ins Abs'!C65</f>
        <v>494.7</v>
      </c>
      <c r="D60" s="1092" t="s">
        <v>340</v>
      </c>
      <c r="E60" s="1096">
        <f>'PC- Detail'!H297</f>
        <v>24</v>
      </c>
      <c r="F60" s="1097">
        <f t="shared" si="57"/>
        <v>11872.8</v>
      </c>
      <c r="G60" s="1096"/>
      <c r="H60" s="1097">
        <f t="shared" si="58"/>
        <v>0</v>
      </c>
      <c r="I60" s="1096"/>
      <c r="J60" s="1097">
        <f t="shared" si="61"/>
        <v>0</v>
      </c>
      <c r="K60" s="1096"/>
      <c r="L60" s="1097">
        <f>K60*C60</f>
        <v>0</v>
      </c>
      <c r="M60" s="1096"/>
      <c r="N60" s="1096"/>
      <c r="O60" s="1098">
        <f t="shared" si="59"/>
        <v>0</v>
      </c>
      <c r="P60" s="1096">
        <f t="shared" si="60"/>
        <v>0</v>
      </c>
      <c r="Q60" s="1546">
        <f>E60+G60+O60</f>
        <v>24</v>
      </c>
      <c r="R60" s="1096">
        <f>Q60*C60</f>
        <v>11872.8</v>
      </c>
      <c r="S60" s="1099"/>
      <c r="T60" s="1099"/>
    </row>
    <row r="61" spans="1:21" ht="69.75">
      <c r="A61" s="1090"/>
      <c r="B61" s="933" t="str">
        <f>'INS- Detail '!B270</f>
        <v xml:space="preserve">Plastic Emulsion paint two coat of Old walls including cost of materials and labours etc.., completed </v>
      </c>
      <c r="C61" s="1092">
        <f>+'Ins Abs'!C66</f>
        <v>206.17699999999999</v>
      </c>
      <c r="D61" s="1158" t="s">
        <v>306</v>
      </c>
      <c r="E61" s="1096">
        <f>'PC- Detail'!H268</f>
        <v>3422.3</v>
      </c>
      <c r="F61" s="1097">
        <f t="shared" ref="F61:F62" si="65">C61*E61</f>
        <v>705599.54709999997</v>
      </c>
      <c r="G61" s="1096"/>
      <c r="H61" s="1097">
        <f t="shared" ref="H61:H62" si="66">C61*G61</f>
        <v>0</v>
      </c>
      <c r="I61" s="1096"/>
      <c r="J61" s="1097">
        <f t="shared" si="61"/>
        <v>0</v>
      </c>
      <c r="K61" s="1096"/>
      <c r="L61" s="1097">
        <f t="shared" si="62"/>
        <v>0</v>
      </c>
      <c r="M61" s="1096"/>
      <c r="N61" s="1096"/>
      <c r="O61" s="1098">
        <f t="shared" ref="O61:O62" si="67">K61+I61</f>
        <v>0</v>
      </c>
      <c r="P61" s="1096">
        <f t="shared" ref="P61:P62" si="68">J61+L61</f>
        <v>0</v>
      </c>
      <c r="Q61" s="1546">
        <f t="shared" ref="Q61:Q62" si="69">E61+G61+O61</f>
        <v>3422.3</v>
      </c>
      <c r="R61" s="1096">
        <f t="shared" ref="R61:R62" si="70">Q61*C61</f>
        <v>705599.54709999997</v>
      </c>
      <c r="S61" s="1099"/>
      <c r="T61" s="1099"/>
    </row>
    <row r="62" spans="1:21" ht="69.75">
      <c r="A62" s="1090" t="s">
        <v>4190</v>
      </c>
      <c r="B62" s="933" t="str">
        <f>'INS- Detail '!B218</f>
        <v xml:space="preserve">Painting Two coat of OBD over one coat white cement for inner walls  including cost of materials and labours etc.., completed </v>
      </c>
      <c r="C62" s="1092">
        <f>+'Ins Abs'!C67</f>
        <v>167.11</v>
      </c>
      <c r="D62" s="1158" t="s">
        <v>306</v>
      </c>
      <c r="E62" s="1096">
        <f>'PC- Detail'!H233</f>
        <v>3777.1</v>
      </c>
      <c r="F62" s="1097">
        <f t="shared" si="65"/>
        <v>631191.18099999998</v>
      </c>
      <c r="G62" s="1096"/>
      <c r="H62" s="1097">
        <f t="shared" si="66"/>
        <v>0</v>
      </c>
      <c r="I62" s="1096"/>
      <c r="J62" s="1097">
        <f t="shared" si="61"/>
        <v>0</v>
      </c>
      <c r="K62" s="1096"/>
      <c r="L62" s="1097">
        <f t="shared" si="62"/>
        <v>0</v>
      </c>
      <c r="M62" s="1096"/>
      <c r="N62" s="1096"/>
      <c r="O62" s="1098">
        <f t="shared" si="67"/>
        <v>0</v>
      </c>
      <c r="P62" s="1096">
        <f t="shared" si="68"/>
        <v>0</v>
      </c>
      <c r="Q62" s="1546">
        <f t="shared" si="69"/>
        <v>3777.1</v>
      </c>
      <c r="R62" s="1096">
        <f t="shared" si="70"/>
        <v>631191.18099999998</v>
      </c>
      <c r="S62" s="1099"/>
      <c r="T62" s="1099"/>
    </row>
    <row r="63" spans="1:21" ht="46.5">
      <c r="A63" s="1090"/>
      <c r="B63" s="1262" t="s">
        <v>4309</v>
      </c>
      <c r="C63" s="1092"/>
      <c r="D63" s="940"/>
      <c r="E63" s="1096"/>
      <c r="F63" s="1097">
        <f t="shared" ref="F63:F67" si="71">C63*E63</f>
        <v>0</v>
      </c>
      <c r="G63" s="1096"/>
      <c r="H63" s="1097">
        <f t="shared" ref="H63:H67" si="72">C63*G63</f>
        <v>0</v>
      </c>
      <c r="I63" s="1096"/>
      <c r="J63" s="1097">
        <f t="shared" ref="J63:J65" si="73">I63*C63</f>
        <v>0</v>
      </c>
      <c r="K63" s="1096"/>
      <c r="L63" s="1097">
        <f t="shared" ref="L63:L65" si="74">K63*C63</f>
        <v>0</v>
      </c>
      <c r="M63" s="1096"/>
      <c r="N63" s="1096"/>
      <c r="O63" s="1098">
        <f t="shared" ref="O63:O67" si="75">K63+I63</f>
        <v>0</v>
      </c>
      <c r="P63" s="1096">
        <f t="shared" ref="P63:P67" si="76">J63+L63</f>
        <v>0</v>
      </c>
      <c r="Q63" s="1546">
        <f t="shared" ref="Q63:Q67" si="77">E63+G63+O63</f>
        <v>0</v>
      </c>
      <c r="R63" s="1096">
        <f t="shared" ref="R63:R67" si="78">Q63*C63</f>
        <v>0</v>
      </c>
      <c r="S63" s="1099"/>
      <c r="T63" s="1099"/>
    </row>
    <row r="64" spans="1:21" ht="50.25" customHeight="1">
      <c r="A64" s="1090"/>
      <c r="B64" s="933" t="s">
        <v>4310</v>
      </c>
      <c r="C64" s="1233">
        <f>+'Ins Abs'!C69</f>
        <v>535.10599666666667</v>
      </c>
      <c r="D64" s="940" t="s">
        <v>303</v>
      </c>
      <c r="E64" s="1103">
        <f>'PC- Detail'!H172</f>
        <v>20</v>
      </c>
      <c r="F64" s="1097">
        <f t="shared" si="71"/>
        <v>10702.119933333333</v>
      </c>
      <c r="G64" s="1096"/>
      <c r="H64" s="1097">
        <f t="shared" si="72"/>
        <v>0</v>
      </c>
      <c r="I64" s="1096"/>
      <c r="J64" s="1097">
        <f t="shared" si="73"/>
        <v>0</v>
      </c>
      <c r="K64" s="1096"/>
      <c r="L64" s="1097">
        <f t="shared" si="74"/>
        <v>0</v>
      </c>
      <c r="M64" s="1096"/>
      <c r="N64" s="1096"/>
      <c r="O64" s="1098">
        <f t="shared" si="75"/>
        <v>0</v>
      </c>
      <c r="P64" s="1096">
        <f t="shared" si="76"/>
        <v>0</v>
      </c>
      <c r="Q64" s="1546">
        <f t="shared" si="77"/>
        <v>20</v>
      </c>
      <c r="R64" s="1096">
        <f t="shared" si="78"/>
        <v>10702.119933333333</v>
      </c>
      <c r="S64" s="1099"/>
      <c r="T64" s="1099"/>
    </row>
    <row r="65" spans="1:20">
      <c r="A65" s="1090"/>
      <c r="B65" s="933" t="s">
        <v>4311</v>
      </c>
      <c r="C65" s="1233">
        <f>+'Ins Abs'!C70</f>
        <v>859.17696666666654</v>
      </c>
      <c r="D65" s="940" t="s">
        <v>303</v>
      </c>
      <c r="E65" s="1096">
        <f>'PC- Detail'!H169</f>
        <v>50</v>
      </c>
      <c r="F65" s="1097">
        <f t="shared" si="71"/>
        <v>42958.848333333328</v>
      </c>
      <c r="G65" s="1096"/>
      <c r="H65" s="1097">
        <f t="shared" si="72"/>
        <v>0</v>
      </c>
      <c r="I65" s="1096"/>
      <c r="J65" s="1097">
        <f t="shared" si="73"/>
        <v>0</v>
      </c>
      <c r="K65" s="1096"/>
      <c r="L65" s="1097">
        <f t="shared" si="74"/>
        <v>0</v>
      </c>
      <c r="M65" s="1096"/>
      <c r="N65" s="1096"/>
      <c r="O65" s="1098">
        <f t="shared" si="75"/>
        <v>0</v>
      </c>
      <c r="P65" s="1096">
        <f t="shared" si="76"/>
        <v>0</v>
      </c>
      <c r="Q65" s="1546">
        <f t="shared" si="77"/>
        <v>50</v>
      </c>
      <c r="R65" s="1096">
        <f t="shared" si="78"/>
        <v>42958.848333333328</v>
      </c>
      <c r="S65" s="1099"/>
      <c r="T65" s="1099"/>
    </row>
    <row r="66" spans="1:20" s="1108" customFormat="1" ht="93">
      <c r="A66" s="1090"/>
      <c r="B66" s="1262" t="s">
        <v>4351</v>
      </c>
      <c r="C66" s="1241"/>
      <c r="D66" s="1165"/>
      <c r="E66" s="1103"/>
      <c r="F66" s="1097">
        <f t="shared" si="71"/>
        <v>0</v>
      </c>
      <c r="G66" s="1103"/>
      <c r="H66" s="1097">
        <f t="shared" si="72"/>
        <v>0</v>
      </c>
      <c r="I66" s="1103"/>
      <c r="J66" s="1097">
        <f t="shared" ref="J66:J70" si="79">I66*C66</f>
        <v>0</v>
      </c>
      <c r="K66" s="1096"/>
      <c r="L66" s="1097">
        <f t="shared" ref="L66:L70" si="80">K66*C66</f>
        <v>0</v>
      </c>
      <c r="M66" s="1103"/>
      <c r="N66" s="1096"/>
      <c r="O66" s="1098">
        <f t="shared" si="75"/>
        <v>0</v>
      </c>
      <c r="P66" s="1096">
        <f t="shared" si="76"/>
        <v>0</v>
      </c>
      <c r="Q66" s="1546">
        <f t="shared" si="77"/>
        <v>0</v>
      </c>
      <c r="R66" s="1096">
        <f t="shared" si="78"/>
        <v>0</v>
      </c>
      <c r="S66" s="1107"/>
      <c r="T66" s="1104"/>
    </row>
    <row r="67" spans="1:20" s="1108" customFormat="1" ht="25.5" customHeight="1">
      <c r="A67" s="1090"/>
      <c r="B67" s="1275" t="s">
        <v>4000</v>
      </c>
      <c r="C67" s="1241">
        <f>+'Ins Abs'!C72</f>
        <v>894.99583333333339</v>
      </c>
      <c r="D67" s="1165" t="s">
        <v>340</v>
      </c>
      <c r="F67" s="1097">
        <f t="shared" si="71"/>
        <v>0</v>
      </c>
      <c r="G67" s="1103">
        <f>'PC- Elec'!H16</f>
        <v>144</v>
      </c>
      <c r="H67" s="1097">
        <f t="shared" si="72"/>
        <v>128879.40000000001</v>
      </c>
      <c r="I67" s="1103"/>
      <c r="J67" s="1097">
        <f t="shared" si="79"/>
        <v>0</v>
      </c>
      <c r="K67" s="1096"/>
      <c r="L67" s="1097">
        <f t="shared" si="80"/>
        <v>0</v>
      </c>
      <c r="M67" s="1103"/>
      <c r="N67" s="1096"/>
      <c r="O67" s="1098">
        <f t="shared" si="75"/>
        <v>0</v>
      </c>
      <c r="P67" s="1096">
        <f t="shared" si="76"/>
        <v>0</v>
      </c>
      <c r="Q67" s="1546">
        <f t="shared" si="77"/>
        <v>144</v>
      </c>
      <c r="R67" s="1096">
        <f t="shared" si="78"/>
        <v>128879.40000000001</v>
      </c>
      <c r="S67" s="1107"/>
      <c r="T67" s="1104"/>
    </row>
    <row r="68" spans="1:20" s="1108" customFormat="1">
      <c r="A68" s="1090"/>
      <c r="B68" s="1275" t="s">
        <v>4001</v>
      </c>
      <c r="C68" s="1241">
        <f>+'Ins Abs'!C73</f>
        <v>896.99583333333339</v>
      </c>
      <c r="D68" s="1165" t="s">
        <v>340</v>
      </c>
      <c r="F68" s="1097">
        <f t="shared" ref="F68:F76" si="81">C68*E68</f>
        <v>0</v>
      </c>
      <c r="G68" s="1103">
        <f>'PC- Elec'!H21</f>
        <v>96</v>
      </c>
      <c r="H68" s="1097">
        <f t="shared" ref="H68:H76" si="82">C68*G68</f>
        <v>86111.6</v>
      </c>
      <c r="I68" s="1103"/>
      <c r="J68" s="1097">
        <f t="shared" si="79"/>
        <v>0</v>
      </c>
      <c r="K68" s="1096"/>
      <c r="L68" s="1097">
        <f t="shared" si="80"/>
        <v>0</v>
      </c>
      <c r="M68" s="1103"/>
      <c r="N68" s="1096"/>
      <c r="O68" s="1098">
        <f t="shared" ref="O68:O76" si="83">K68+I68</f>
        <v>0</v>
      </c>
      <c r="P68" s="1096">
        <f t="shared" ref="P68" si="84">J68+L68</f>
        <v>0</v>
      </c>
      <c r="Q68" s="1546">
        <f t="shared" ref="Q68" si="85">E68+G68+O68</f>
        <v>96</v>
      </c>
      <c r="R68" s="1096">
        <f t="shared" ref="R68" si="86">Q68*C68</f>
        <v>86111.6</v>
      </c>
      <c r="S68" s="1107"/>
      <c r="T68" s="1104"/>
    </row>
    <row r="69" spans="1:20" s="1108" customFormat="1" ht="108.75">
      <c r="A69" s="1090"/>
      <c r="B69" s="1275" t="s">
        <v>4353</v>
      </c>
      <c r="C69" s="1241">
        <f>+'Ins Abs'!C74</f>
        <v>689.99599999999998</v>
      </c>
      <c r="D69" s="1165" t="s">
        <v>340</v>
      </c>
      <c r="F69" s="1097">
        <f t="shared" si="81"/>
        <v>0</v>
      </c>
      <c r="G69" s="1103">
        <f>'PC- Elec'!H35</f>
        <v>72</v>
      </c>
      <c r="H69" s="1097">
        <f t="shared" si="82"/>
        <v>49679.712</v>
      </c>
      <c r="I69" s="1103"/>
      <c r="J69" s="1097">
        <f t="shared" si="79"/>
        <v>0</v>
      </c>
      <c r="K69" s="1096"/>
      <c r="L69" s="1097">
        <f t="shared" si="80"/>
        <v>0</v>
      </c>
      <c r="M69" s="1103"/>
      <c r="N69" s="1096"/>
      <c r="O69" s="1098">
        <f t="shared" si="83"/>
        <v>0</v>
      </c>
      <c r="P69" s="1096">
        <f t="shared" ref="P69:P76" si="87">J69+L69</f>
        <v>0</v>
      </c>
      <c r="Q69" s="1546">
        <f t="shared" ref="Q69:Q76" si="88">E69+G69+O69</f>
        <v>72</v>
      </c>
      <c r="R69" s="1096">
        <f t="shared" ref="R69:R76" si="89">Q69*C69</f>
        <v>49679.712</v>
      </c>
      <c r="S69" s="1107"/>
      <c r="T69" s="1104"/>
    </row>
    <row r="70" spans="1:20" s="1108" customFormat="1" ht="108.75">
      <c r="A70" s="1090"/>
      <c r="B70" s="1275" t="s">
        <v>4354</v>
      </c>
      <c r="C70" s="1241">
        <f>+'Ins Abs'!C75</f>
        <v>834.99833333333333</v>
      </c>
      <c r="D70" s="1165" t="s">
        <v>340</v>
      </c>
      <c r="F70" s="1097">
        <f t="shared" si="81"/>
        <v>0</v>
      </c>
      <c r="G70" s="1103">
        <f>'PC- Elec'!H28</f>
        <v>72</v>
      </c>
      <c r="H70" s="1097">
        <f t="shared" si="82"/>
        <v>60119.88</v>
      </c>
      <c r="I70" s="1103"/>
      <c r="J70" s="1097">
        <f t="shared" si="79"/>
        <v>0</v>
      </c>
      <c r="K70" s="1096"/>
      <c r="L70" s="1097">
        <f t="shared" si="80"/>
        <v>0</v>
      </c>
      <c r="M70" s="1103"/>
      <c r="N70" s="1096"/>
      <c r="O70" s="1098">
        <f t="shared" si="83"/>
        <v>0</v>
      </c>
      <c r="P70" s="1096">
        <f t="shared" si="87"/>
        <v>0</v>
      </c>
      <c r="Q70" s="1546">
        <f t="shared" si="88"/>
        <v>72</v>
      </c>
      <c r="R70" s="1096">
        <f t="shared" si="89"/>
        <v>60119.88</v>
      </c>
      <c r="S70" s="1107"/>
      <c r="T70" s="1104"/>
    </row>
    <row r="71" spans="1:20" s="1108" customFormat="1" ht="46.5">
      <c r="A71" s="1158"/>
      <c r="B71" s="933" t="s">
        <v>4367</v>
      </c>
      <c r="C71" s="1068">
        <f>+'Ins Abs'!C76</f>
        <v>135</v>
      </c>
      <c r="D71" s="943" t="s">
        <v>340</v>
      </c>
      <c r="F71" s="1097">
        <f t="shared" si="81"/>
        <v>0</v>
      </c>
      <c r="G71" s="1096">
        <f>'PC- Elec'!H52</f>
        <v>96</v>
      </c>
      <c r="H71" s="1097">
        <f t="shared" si="82"/>
        <v>12960</v>
      </c>
      <c r="I71" s="1096"/>
      <c r="J71" s="1097">
        <f t="shared" ref="J71:J76" si="90">I71*C71</f>
        <v>0</v>
      </c>
      <c r="K71" s="1096"/>
      <c r="L71" s="1097">
        <f t="shared" ref="L71:L76" si="91">K71*C71</f>
        <v>0</v>
      </c>
      <c r="M71" s="1096"/>
      <c r="N71" s="1096"/>
      <c r="O71" s="1098">
        <f t="shared" si="83"/>
        <v>0</v>
      </c>
      <c r="P71" s="1096">
        <f t="shared" si="87"/>
        <v>0</v>
      </c>
      <c r="Q71" s="1546">
        <f t="shared" si="88"/>
        <v>96</v>
      </c>
      <c r="R71" s="1096">
        <f t="shared" si="89"/>
        <v>12960</v>
      </c>
      <c r="S71" s="1107"/>
      <c r="T71" s="1099"/>
    </row>
    <row r="72" spans="1:20" s="1108" customFormat="1" ht="54.95" customHeight="1">
      <c r="A72" s="1158"/>
      <c r="B72" s="933" t="s">
        <v>4368</v>
      </c>
      <c r="C72" s="940">
        <f>+'Ins Abs'!C77</f>
        <v>690.00200000000007</v>
      </c>
      <c r="D72" s="943" t="s">
        <v>340</v>
      </c>
      <c r="F72" s="1097">
        <f t="shared" si="81"/>
        <v>0</v>
      </c>
      <c r="G72" s="1096">
        <f>'PC- Elec'!H64</f>
        <v>96</v>
      </c>
      <c r="H72" s="1097">
        <f t="shared" si="82"/>
        <v>66240.19200000001</v>
      </c>
      <c r="I72" s="1096"/>
      <c r="J72" s="1097">
        <f t="shared" si="90"/>
        <v>0</v>
      </c>
      <c r="K72" s="1096"/>
      <c r="L72" s="1097">
        <f t="shared" si="91"/>
        <v>0</v>
      </c>
      <c r="M72" s="1096"/>
      <c r="N72" s="1096"/>
      <c r="O72" s="1098">
        <f t="shared" si="83"/>
        <v>0</v>
      </c>
      <c r="P72" s="1096">
        <f t="shared" si="87"/>
        <v>0</v>
      </c>
      <c r="Q72" s="1546">
        <f t="shared" si="88"/>
        <v>96</v>
      </c>
      <c r="R72" s="1096">
        <f t="shared" si="89"/>
        <v>66240.19200000001</v>
      </c>
      <c r="S72" s="1107"/>
      <c r="T72" s="1099"/>
    </row>
    <row r="73" spans="1:20" s="1108" customFormat="1" ht="65.099999999999994" customHeight="1">
      <c r="A73" s="1158"/>
      <c r="B73" s="933" t="s">
        <v>4369</v>
      </c>
      <c r="C73" s="940">
        <f>+'Ins Abs'!C78</f>
        <v>517.00333333333333</v>
      </c>
      <c r="D73" s="940" t="s">
        <v>340</v>
      </c>
      <c r="F73" s="1097">
        <f t="shared" si="81"/>
        <v>0</v>
      </c>
      <c r="G73" s="1096">
        <f>'PC- Elec'!H46</f>
        <v>30</v>
      </c>
      <c r="H73" s="1097">
        <f t="shared" si="82"/>
        <v>15510.1</v>
      </c>
      <c r="I73" s="1096"/>
      <c r="J73" s="1097">
        <f t="shared" si="90"/>
        <v>0</v>
      </c>
      <c r="K73" s="1096"/>
      <c r="L73" s="1097">
        <f t="shared" si="91"/>
        <v>0</v>
      </c>
      <c r="M73" s="1096"/>
      <c r="N73" s="1096"/>
      <c r="O73" s="1098">
        <f t="shared" si="83"/>
        <v>0</v>
      </c>
      <c r="P73" s="1096">
        <f t="shared" si="87"/>
        <v>0</v>
      </c>
      <c r="Q73" s="1546">
        <f t="shared" si="88"/>
        <v>30</v>
      </c>
      <c r="R73" s="1096">
        <f t="shared" si="89"/>
        <v>15510.1</v>
      </c>
      <c r="S73" s="1107"/>
      <c r="T73" s="1099"/>
    </row>
    <row r="74" spans="1:20" s="1108" customFormat="1" ht="54.95" customHeight="1">
      <c r="A74" s="1158"/>
      <c r="B74" s="933" t="s">
        <v>4370</v>
      </c>
      <c r="C74" s="940">
        <f>+'Ins Abs'!C79</f>
        <v>3367</v>
      </c>
      <c r="D74" s="940" t="s">
        <v>340</v>
      </c>
      <c r="F74" s="1097">
        <f t="shared" si="81"/>
        <v>0</v>
      </c>
      <c r="G74" s="1096">
        <f>'PC- Elec'!H68</f>
        <v>18</v>
      </c>
      <c r="H74" s="1097">
        <f t="shared" si="82"/>
        <v>60606</v>
      </c>
      <c r="I74" s="1096"/>
      <c r="J74" s="1097">
        <f t="shared" si="90"/>
        <v>0</v>
      </c>
      <c r="K74" s="1096"/>
      <c r="L74" s="1097">
        <f t="shared" si="91"/>
        <v>0</v>
      </c>
      <c r="M74" s="1096"/>
      <c r="N74" s="1096"/>
      <c r="O74" s="1098">
        <f t="shared" si="83"/>
        <v>0</v>
      </c>
      <c r="P74" s="1096">
        <f t="shared" si="87"/>
        <v>0</v>
      </c>
      <c r="Q74" s="1546">
        <f t="shared" si="88"/>
        <v>18</v>
      </c>
      <c r="R74" s="1096">
        <f t="shared" si="89"/>
        <v>60606</v>
      </c>
      <c r="S74" s="1107"/>
      <c r="T74" s="1099"/>
    </row>
    <row r="75" spans="1:20" s="1108" customFormat="1">
      <c r="A75" s="1158"/>
      <c r="B75" s="933" t="s">
        <v>4371</v>
      </c>
      <c r="C75" s="940">
        <v>170</v>
      </c>
      <c r="D75" s="940" t="str">
        <f>D74</f>
        <v>Each</v>
      </c>
      <c r="F75" s="1097">
        <f t="shared" si="81"/>
        <v>0</v>
      </c>
      <c r="G75" s="1096">
        <f>'PC- Elec'!H56</f>
        <v>30</v>
      </c>
      <c r="H75" s="1097">
        <f t="shared" si="82"/>
        <v>5100</v>
      </c>
      <c r="I75" s="1096"/>
      <c r="J75" s="1097">
        <f t="shared" si="90"/>
        <v>0</v>
      </c>
      <c r="K75" s="1096"/>
      <c r="L75" s="1097">
        <f t="shared" si="91"/>
        <v>0</v>
      </c>
      <c r="M75" s="1096"/>
      <c r="N75" s="1096"/>
      <c r="O75" s="1098">
        <f t="shared" si="83"/>
        <v>0</v>
      </c>
      <c r="P75" s="1096">
        <f t="shared" si="87"/>
        <v>0</v>
      </c>
      <c r="Q75" s="1546">
        <f t="shared" si="88"/>
        <v>30</v>
      </c>
      <c r="R75" s="1096">
        <f t="shared" si="89"/>
        <v>5100</v>
      </c>
      <c r="S75" s="1107"/>
      <c r="T75" s="1099"/>
    </row>
    <row r="76" spans="1:20" s="1108" customFormat="1" ht="139.5">
      <c r="A76" s="1158"/>
      <c r="B76" s="1935" t="str">
        <f>'INS- Elec '!B75</f>
        <v>Supply and fixing of Three Phase Distribution Board with 4 way TPN double door MCB DB 40 Amps 4 Pole ELCB - 1, 6Amps to 32 amps SP MCB - 12 No's   with necessary cutting work etc., including cost of all materials and fixing charges all complete. CER NO.267/2018-19</v>
      </c>
      <c r="C76" s="1936">
        <v>11750</v>
      </c>
      <c r="D76" s="940" t="s">
        <v>340</v>
      </c>
      <c r="F76" s="1097">
        <f t="shared" si="81"/>
        <v>0</v>
      </c>
      <c r="G76" s="1248">
        <f>'PC- Elec'!H79</f>
        <v>24</v>
      </c>
      <c r="H76" s="1097">
        <f t="shared" si="82"/>
        <v>282000</v>
      </c>
      <c r="I76" s="1096"/>
      <c r="J76" s="1097">
        <f t="shared" si="90"/>
        <v>0</v>
      </c>
      <c r="K76" s="1096"/>
      <c r="L76" s="1097">
        <f t="shared" si="91"/>
        <v>0</v>
      </c>
      <c r="M76" s="1096"/>
      <c r="N76" s="1096"/>
      <c r="O76" s="1098">
        <f t="shared" si="83"/>
        <v>0</v>
      </c>
      <c r="P76" s="1096">
        <f t="shared" si="87"/>
        <v>0</v>
      </c>
      <c r="Q76" s="1546">
        <f t="shared" si="88"/>
        <v>24</v>
      </c>
      <c r="R76" s="1096">
        <f t="shared" si="89"/>
        <v>282000</v>
      </c>
      <c r="S76" s="1107"/>
      <c r="T76" s="1099"/>
    </row>
    <row r="77" spans="1:20" s="1108" customFormat="1" ht="46.5">
      <c r="A77" s="1158"/>
      <c r="B77" s="1319" t="s">
        <v>4426</v>
      </c>
      <c r="C77" s="1075"/>
      <c r="D77" s="940"/>
      <c r="E77" s="1097"/>
      <c r="F77" s="1097">
        <f t="shared" ref="F77:F79" si="92">C77*E77</f>
        <v>0</v>
      </c>
      <c r="G77" s="1096"/>
      <c r="H77" s="1097">
        <f t="shared" ref="H77:H82" si="93">C77*G77</f>
        <v>0</v>
      </c>
      <c r="I77" s="1096"/>
      <c r="J77" s="1097">
        <f t="shared" ref="J77:J78" si="94">I77*C77</f>
        <v>0</v>
      </c>
      <c r="K77" s="1096"/>
      <c r="L77" s="1097">
        <f t="shared" ref="L77:L78" si="95">K77*C77</f>
        <v>0</v>
      </c>
      <c r="M77" s="1096"/>
      <c r="N77" s="1096"/>
      <c r="O77" s="1098">
        <f t="shared" ref="O77:O78" si="96">K77+I77</f>
        <v>0</v>
      </c>
      <c r="P77" s="1096">
        <f t="shared" ref="P77:P81" si="97">J77+L77</f>
        <v>0</v>
      </c>
      <c r="Q77" s="1546">
        <f t="shared" ref="Q77:Q79" si="98">E77+G77+O77</f>
        <v>0</v>
      </c>
      <c r="R77" s="1096">
        <f t="shared" ref="R77:R79" si="99">Q77*C77</f>
        <v>0</v>
      </c>
      <c r="S77" s="1107"/>
      <c r="T77" s="1099"/>
    </row>
    <row r="78" spans="1:20" s="1108" customFormat="1">
      <c r="A78" s="1158"/>
      <c r="B78" s="1313" t="s">
        <v>4427</v>
      </c>
      <c r="C78" s="1080">
        <f>+'Ins Abs'!C83</f>
        <v>2701</v>
      </c>
      <c r="D78" s="940" t="s">
        <v>340</v>
      </c>
      <c r="E78" s="1097">
        <f>'PC- Detail'!H282</f>
        <v>10</v>
      </c>
      <c r="F78" s="1097">
        <f t="shared" si="92"/>
        <v>27010</v>
      </c>
      <c r="G78" s="1096"/>
      <c r="H78" s="1097">
        <f t="shared" si="93"/>
        <v>0</v>
      </c>
      <c r="I78" s="1096"/>
      <c r="J78" s="1097">
        <f t="shared" si="94"/>
        <v>0</v>
      </c>
      <c r="K78" s="1096"/>
      <c r="L78" s="1097">
        <f t="shared" si="95"/>
        <v>0</v>
      </c>
      <c r="M78" s="1096"/>
      <c r="N78" s="1096"/>
      <c r="O78" s="1098">
        <f t="shared" si="96"/>
        <v>0</v>
      </c>
      <c r="P78" s="1096">
        <f t="shared" si="97"/>
        <v>0</v>
      </c>
      <c r="Q78" s="1546">
        <f t="shared" si="98"/>
        <v>10</v>
      </c>
      <c r="R78" s="1096">
        <f t="shared" si="99"/>
        <v>27010</v>
      </c>
      <c r="S78" s="1107"/>
      <c r="T78" s="1099"/>
    </row>
    <row r="79" spans="1:20" s="1108" customFormat="1" ht="46.5">
      <c r="A79" s="1158"/>
      <c r="B79" s="1941" t="str">
        <f>Abstarct!B85</f>
        <v>Supplying, laying, fixing and jointing of 40mm dia PVC pipe (Below Ground level)</v>
      </c>
      <c r="C79" s="1080">
        <v>340</v>
      </c>
      <c r="D79" s="940" t="s">
        <v>5710</v>
      </c>
      <c r="E79" s="1097">
        <v>80</v>
      </c>
      <c r="F79" s="1097">
        <f t="shared" si="92"/>
        <v>27200</v>
      </c>
      <c r="G79" s="1096"/>
      <c r="H79" s="1097"/>
      <c r="I79" s="1096"/>
      <c r="J79" s="1097"/>
      <c r="K79" s="1096"/>
      <c r="L79" s="1097"/>
      <c r="M79" s="1096"/>
      <c r="N79" s="1096"/>
      <c r="O79" s="1098"/>
      <c r="P79" s="1096"/>
      <c r="Q79" s="1546">
        <f t="shared" si="98"/>
        <v>80</v>
      </c>
      <c r="R79" s="1096">
        <f t="shared" si="99"/>
        <v>27200</v>
      </c>
      <c r="S79" s="1107"/>
      <c r="T79" s="1099"/>
    </row>
    <row r="80" spans="1:20" s="1108" customFormat="1" ht="69.75">
      <c r="A80" s="1158"/>
      <c r="B80" s="1331" t="s">
        <v>5308</v>
      </c>
      <c r="C80" s="1075">
        <f>+'Ins Abs'!C85</f>
        <v>4646</v>
      </c>
      <c r="D80" s="940" t="s">
        <v>340</v>
      </c>
      <c r="E80" s="1097"/>
      <c r="F80" s="1097"/>
      <c r="G80" s="1096">
        <f>'PC- Elec'!H85</f>
        <v>24</v>
      </c>
      <c r="H80" s="1097">
        <f>G80*C80</f>
        <v>111504</v>
      </c>
      <c r="I80" s="1096"/>
      <c r="J80" s="1097"/>
      <c r="K80" s="1096"/>
      <c r="L80" s="1097">
        <f t="shared" ref="L80:L81" si="100">K80*C80</f>
        <v>0</v>
      </c>
      <c r="M80" s="1096"/>
      <c r="N80" s="1096"/>
      <c r="O80" s="1098"/>
      <c r="P80" s="1096">
        <f t="shared" si="97"/>
        <v>0</v>
      </c>
      <c r="Q80" s="1546">
        <f t="shared" ref="Q80:Q81" si="101">E80+G80+O80</f>
        <v>24</v>
      </c>
      <c r="R80" s="1096">
        <f t="shared" ref="R80:R82" si="102">Q80*C80</f>
        <v>111504</v>
      </c>
      <c r="S80" s="1107"/>
      <c r="T80" s="1099"/>
    </row>
    <row r="81" spans="1:28" s="1108" customFormat="1" ht="67.150000000000006" customHeight="1">
      <c r="A81" s="1158"/>
      <c r="B81" s="1313" t="str">
        <f>'PC- Elec'!B90</f>
        <v xml:space="preserve">Supplying and fixing of GI Service pipe line including cost of materials and labours etc.., completed </v>
      </c>
      <c r="C81" s="1075">
        <f>+'Ins Abs'!C86</f>
        <v>130</v>
      </c>
      <c r="D81" s="940" t="s">
        <v>303</v>
      </c>
      <c r="E81" s="1097"/>
      <c r="F81" s="1097"/>
      <c r="G81" s="1096">
        <f>'PC- Elec'!H91</f>
        <v>72</v>
      </c>
      <c r="H81" s="1097">
        <f t="shared" si="93"/>
        <v>9360</v>
      </c>
      <c r="I81" s="1096"/>
      <c r="J81" s="1096"/>
      <c r="K81" s="1096"/>
      <c r="L81" s="1097">
        <f t="shared" si="100"/>
        <v>0</v>
      </c>
      <c r="M81" s="1096"/>
      <c r="N81" s="1096"/>
      <c r="O81" s="1098"/>
      <c r="P81" s="1096">
        <f t="shared" si="97"/>
        <v>0</v>
      </c>
      <c r="Q81" s="1546">
        <f t="shared" si="101"/>
        <v>72</v>
      </c>
      <c r="R81" s="1096">
        <f t="shared" si="102"/>
        <v>9360</v>
      </c>
      <c r="S81" s="1107"/>
      <c r="T81" s="1099"/>
    </row>
    <row r="82" spans="1:28" s="1108" customFormat="1" ht="67.150000000000006" customHeight="1">
      <c r="A82" s="1158"/>
      <c r="B82" s="1940" t="s">
        <v>5805</v>
      </c>
      <c r="C82" s="1075">
        <v>3974.59</v>
      </c>
      <c r="D82" s="940" t="s">
        <v>533</v>
      </c>
      <c r="E82" s="1097"/>
      <c r="F82" s="1097"/>
      <c r="G82" s="1096">
        <v>60.48</v>
      </c>
      <c r="H82" s="1097">
        <f t="shared" si="93"/>
        <v>240383.20319999999</v>
      </c>
      <c r="I82" s="1096"/>
      <c r="J82" s="1096"/>
      <c r="K82" s="1096"/>
      <c r="L82" s="1097"/>
      <c r="M82" s="1096"/>
      <c r="N82" s="1096"/>
      <c r="O82" s="1098"/>
      <c r="P82" s="1096"/>
      <c r="Q82" s="1546">
        <f>G82</f>
        <v>60.48</v>
      </c>
      <c r="R82" s="1096">
        <f t="shared" si="102"/>
        <v>240383.20319999999</v>
      </c>
      <c r="S82" s="1107"/>
      <c r="T82" s="1099"/>
    </row>
    <row r="83" spans="1:28" ht="48" customHeight="1">
      <c r="A83" s="1138"/>
      <c r="B83" s="1262" t="s">
        <v>227</v>
      </c>
      <c r="C83" s="1106"/>
      <c r="D83" s="943"/>
      <c r="E83" s="1122"/>
      <c r="F83" s="1151">
        <f>SUM(F7:F81)+0.01</f>
        <v>3718958.664352803</v>
      </c>
      <c r="G83" s="1249"/>
      <c r="H83" s="1151">
        <f>SUBTOTAL(9,H6:H82)</f>
        <v>1580926.0772000002</v>
      </c>
      <c r="I83" s="1096"/>
      <c r="J83" s="1151">
        <f>SUBTOTAL(9,J6:J82)</f>
        <v>150545.34925596614</v>
      </c>
      <c r="K83" s="1151"/>
      <c r="L83" s="1151">
        <f>SUBTOTAL(9,L6:L82)</f>
        <v>101242.66748895426</v>
      </c>
      <c r="M83" s="1249"/>
      <c r="N83" s="1151">
        <f>SUM(N7:N81)+0.01</f>
        <v>0.01</v>
      </c>
      <c r="O83" s="1098">
        <f t="shared" ref="O83:O146" si="103">I83+K83+M83</f>
        <v>0</v>
      </c>
      <c r="P83" s="1151">
        <f>SUBTOTAL(9,P6:P82)</f>
        <v>251788.01674492034</v>
      </c>
      <c r="Q83" s="1545" t="s">
        <v>249</v>
      </c>
      <c r="R83" s="1151">
        <f>SUBTOTAL(9,R6:R82)</f>
        <v>5551672.7482977249</v>
      </c>
      <c r="S83" s="1250"/>
      <c r="T83" s="1099"/>
      <c r="V83" s="1251"/>
      <c r="W83" s="1092"/>
      <c r="X83" s="1092"/>
      <c r="Y83" s="1252"/>
      <c r="Z83" s="940" t="e">
        <f>Y83*#REF!</f>
        <v>#REF!</v>
      </c>
      <c r="AA83" s="1094">
        <f>Y83+W83</f>
        <v>0</v>
      </c>
      <c r="AB83" s="1092" t="e">
        <f>AA83*#REF!</f>
        <v>#REF!</v>
      </c>
    </row>
    <row r="84" spans="1:28" s="1108" customFormat="1" hidden="1">
      <c r="A84" s="1085"/>
      <c r="B84" s="1321"/>
      <c r="C84" s="1085"/>
      <c r="E84" s="1240"/>
      <c r="F84" s="1097">
        <f t="shared" ref="F84:F147" si="104">E84*C84</f>
        <v>0</v>
      </c>
      <c r="G84" s="1160"/>
      <c r="H84" s="1096">
        <f t="shared" ref="H84:H147" si="105">G84*C84</f>
        <v>0</v>
      </c>
      <c r="I84" s="1160"/>
      <c r="J84" s="1096">
        <f t="shared" ref="J84:J147" si="106">I84*C84</f>
        <v>0</v>
      </c>
      <c r="K84" s="1161"/>
      <c r="L84" s="1096">
        <f t="shared" ref="L84:L147" si="107">K84*C84</f>
        <v>0</v>
      </c>
      <c r="M84" s="1160"/>
      <c r="N84" s="1096">
        <f t="shared" ref="N84:N147" si="108">M84*C84</f>
        <v>0</v>
      </c>
      <c r="O84" s="1098">
        <f t="shared" si="103"/>
        <v>0</v>
      </c>
      <c r="P84" s="1096">
        <f t="shared" ref="P84:P147" si="109">O84*C84</f>
        <v>0</v>
      </c>
      <c r="Q84" s="1098">
        <f t="shared" ref="Q84:Q145" si="110">O84+E84+G84</f>
        <v>0</v>
      </c>
      <c r="R84" s="1096">
        <f t="shared" ref="R84:R86" si="111">Q84*C84</f>
        <v>0</v>
      </c>
      <c r="S84" s="1107"/>
      <c r="T84" s="1104"/>
    </row>
    <row r="85" spans="1:28" s="1108" customFormat="1" hidden="1">
      <c r="A85" s="1085"/>
      <c r="B85" s="933" t="s">
        <v>4288</v>
      </c>
      <c r="C85" s="1138"/>
      <c r="D85" s="1165" t="s">
        <v>340</v>
      </c>
      <c r="E85" s="1253"/>
      <c r="F85" s="1097">
        <f t="shared" si="104"/>
        <v>0</v>
      </c>
      <c r="G85" s="1103"/>
      <c r="H85" s="1096">
        <f t="shared" si="105"/>
        <v>0</v>
      </c>
      <c r="I85" s="1103"/>
      <c r="J85" s="1096">
        <f t="shared" si="106"/>
        <v>0</v>
      </c>
      <c r="K85" s="1096"/>
      <c r="L85" s="1096">
        <f t="shared" si="107"/>
        <v>0</v>
      </c>
      <c r="M85" s="1103"/>
      <c r="N85" s="1096">
        <f t="shared" si="108"/>
        <v>0</v>
      </c>
      <c r="O85" s="1098">
        <f t="shared" si="103"/>
        <v>0</v>
      </c>
      <c r="P85" s="1096">
        <f t="shared" si="109"/>
        <v>0</v>
      </c>
      <c r="Q85" s="1098">
        <f t="shared" si="110"/>
        <v>0</v>
      </c>
      <c r="R85" s="1096">
        <f t="shared" si="111"/>
        <v>0</v>
      </c>
      <c r="S85" s="1107"/>
      <c r="T85" s="1104"/>
    </row>
    <row r="86" spans="1:28" s="1108" customFormat="1" hidden="1">
      <c r="A86" s="1085"/>
      <c r="B86" s="933" t="s">
        <v>4289</v>
      </c>
      <c r="C86" s="1138"/>
      <c r="D86" s="1165" t="s">
        <v>340</v>
      </c>
      <c r="E86" s="1253"/>
      <c r="F86" s="1097">
        <f t="shared" si="104"/>
        <v>0</v>
      </c>
      <c r="G86" s="1103"/>
      <c r="H86" s="1096">
        <f t="shared" si="105"/>
        <v>0</v>
      </c>
      <c r="I86" s="1103"/>
      <c r="J86" s="1096">
        <f t="shared" si="106"/>
        <v>0</v>
      </c>
      <c r="K86" s="1096"/>
      <c r="L86" s="1096">
        <f t="shared" si="107"/>
        <v>0</v>
      </c>
      <c r="M86" s="1103"/>
      <c r="N86" s="1096">
        <f t="shared" si="108"/>
        <v>0</v>
      </c>
      <c r="O86" s="1098">
        <f t="shared" si="103"/>
        <v>0</v>
      </c>
      <c r="P86" s="1096">
        <f>J83+L83+N83</f>
        <v>251788.02674492041</v>
      </c>
      <c r="Q86" s="1098">
        <f t="shared" si="110"/>
        <v>0</v>
      </c>
      <c r="R86" s="1096">
        <f t="shared" si="111"/>
        <v>0</v>
      </c>
      <c r="S86" s="1107"/>
      <c r="T86" s="1104"/>
    </row>
    <row r="87" spans="1:28" s="1108" customFormat="1">
      <c r="A87" s="1085"/>
      <c r="B87" s="933" t="s">
        <v>4295</v>
      </c>
      <c r="C87" s="1138" t="e">
        <f>#REF!</f>
        <v>#REF!</v>
      </c>
      <c r="D87" s="1108" t="s">
        <v>306</v>
      </c>
      <c r="E87" s="1240"/>
      <c r="F87" s="1097" t="e">
        <f t="shared" si="104"/>
        <v>#REF!</v>
      </c>
      <c r="G87" s="1103"/>
      <c r="H87" s="1096" t="e">
        <f t="shared" si="105"/>
        <v>#REF!</v>
      </c>
      <c r="I87" s="1103"/>
      <c r="J87" s="1096" t="e">
        <f t="shared" si="106"/>
        <v>#REF!</v>
      </c>
      <c r="K87" s="1096"/>
      <c r="L87" s="1096" t="e">
        <f t="shared" si="107"/>
        <v>#REF!</v>
      </c>
      <c r="M87" s="1103"/>
      <c r="N87" s="1096" t="e">
        <f t="shared" si="108"/>
        <v>#REF!</v>
      </c>
      <c r="O87" s="1098">
        <f t="shared" si="103"/>
        <v>0</v>
      </c>
      <c r="P87" s="1096">
        <f>P86-P83</f>
        <v>1.0000000067520887E-2</v>
      </c>
      <c r="Q87" s="1546">
        <f t="shared" si="110"/>
        <v>0</v>
      </c>
      <c r="R87" s="1096">
        <f>F83+H83+P83</f>
        <v>5551672.7582977237</v>
      </c>
      <c r="S87" s="1107"/>
      <c r="T87" s="1104"/>
    </row>
    <row r="88" spans="1:28" s="1108" customFormat="1" hidden="1">
      <c r="A88" s="1085"/>
      <c r="B88" s="933" t="s">
        <v>4296</v>
      </c>
      <c r="C88" s="1138" t="e">
        <f>#REF!</f>
        <v>#REF!</v>
      </c>
      <c r="D88" s="1108" t="s">
        <v>306</v>
      </c>
      <c r="E88" s="1240"/>
      <c r="F88" s="1097" t="e">
        <f t="shared" si="104"/>
        <v>#REF!</v>
      </c>
      <c r="G88" s="1103"/>
      <c r="H88" s="1096" t="e">
        <f t="shared" si="105"/>
        <v>#REF!</v>
      </c>
      <c r="I88" s="1103"/>
      <c r="J88" s="1096" t="e">
        <f t="shared" si="106"/>
        <v>#REF!</v>
      </c>
      <c r="K88" s="1096"/>
      <c r="L88" s="1096" t="e">
        <f t="shared" si="107"/>
        <v>#REF!</v>
      </c>
      <c r="M88" s="1103"/>
      <c r="N88" s="1096" t="e">
        <f t="shared" si="108"/>
        <v>#REF!</v>
      </c>
      <c r="O88" s="1098">
        <f t="shared" si="103"/>
        <v>0</v>
      </c>
      <c r="P88" s="1096" t="e">
        <f t="shared" si="109"/>
        <v>#REF!</v>
      </c>
      <c r="Q88" s="1098">
        <f t="shared" si="110"/>
        <v>0</v>
      </c>
      <c r="R88" s="1096">
        <f>R87-R83</f>
        <v>9.9999988451600075E-3</v>
      </c>
      <c r="S88" s="1107"/>
      <c r="T88" s="1104"/>
    </row>
    <row r="89" spans="1:28" s="1108" customFormat="1" hidden="1">
      <c r="A89" s="1085"/>
      <c r="B89" s="933" t="s">
        <v>4297</v>
      </c>
      <c r="C89" s="1138" t="e">
        <f>#REF!</f>
        <v>#REF!</v>
      </c>
      <c r="D89" s="1108" t="s">
        <v>306</v>
      </c>
      <c r="E89" s="1240"/>
      <c r="F89" s="1097" t="e">
        <f t="shared" si="104"/>
        <v>#REF!</v>
      </c>
      <c r="G89" s="1103"/>
      <c r="H89" s="1096" t="e">
        <f t="shared" si="105"/>
        <v>#REF!</v>
      </c>
      <c r="I89" s="1103"/>
      <c r="J89" s="1096" t="e">
        <f t="shared" si="106"/>
        <v>#REF!</v>
      </c>
      <c r="K89" s="1096"/>
      <c r="L89" s="1096" t="e">
        <f t="shared" si="107"/>
        <v>#REF!</v>
      </c>
      <c r="M89" s="1103"/>
      <c r="N89" s="1096" t="e">
        <f t="shared" si="108"/>
        <v>#REF!</v>
      </c>
      <c r="O89" s="1098">
        <f t="shared" si="103"/>
        <v>0</v>
      </c>
      <c r="P89" s="1096" t="e">
        <f t="shared" si="109"/>
        <v>#REF!</v>
      </c>
      <c r="Q89" s="1098">
        <f t="shared" si="110"/>
        <v>0</v>
      </c>
      <c r="R89" s="1096" t="e">
        <f t="shared" ref="R89:R152" si="112">Q89*C89</f>
        <v>#REF!</v>
      </c>
      <c r="S89" s="1107"/>
      <c r="T89" s="1104"/>
    </row>
    <row r="90" spans="1:28" s="1108" customFormat="1" hidden="1">
      <c r="A90" s="1085"/>
      <c r="B90" s="933" t="s">
        <v>4291</v>
      </c>
      <c r="C90" s="1138"/>
      <c r="D90" s="1108" t="s">
        <v>306</v>
      </c>
      <c r="E90" s="1240"/>
      <c r="F90" s="1097">
        <f t="shared" si="104"/>
        <v>0</v>
      </c>
      <c r="G90" s="1103"/>
      <c r="H90" s="1096">
        <f t="shared" si="105"/>
        <v>0</v>
      </c>
      <c r="I90" s="1103"/>
      <c r="J90" s="1096">
        <f t="shared" si="106"/>
        <v>0</v>
      </c>
      <c r="K90" s="1096"/>
      <c r="L90" s="1096">
        <f t="shared" si="107"/>
        <v>0</v>
      </c>
      <c r="M90" s="1103"/>
      <c r="N90" s="1096">
        <f t="shared" si="108"/>
        <v>0</v>
      </c>
      <c r="O90" s="1098">
        <f t="shared" si="103"/>
        <v>0</v>
      </c>
      <c r="P90" s="1096">
        <f t="shared" si="109"/>
        <v>0</v>
      </c>
      <c r="Q90" s="1098">
        <f t="shared" si="110"/>
        <v>0</v>
      </c>
      <c r="R90" s="1096">
        <f t="shared" si="112"/>
        <v>0</v>
      </c>
      <c r="S90" s="1107"/>
      <c r="T90" s="1104"/>
    </row>
    <row r="91" spans="1:28" s="1108" customFormat="1" ht="46.5" hidden="1">
      <c r="A91" s="1085"/>
      <c r="B91" s="933" t="s">
        <v>4468</v>
      </c>
      <c r="C91" s="1138"/>
      <c r="D91" s="1108" t="s">
        <v>306</v>
      </c>
      <c r="E91" s="1240"/>
      <c r="F91" s="1097">
        <f t="shared" si="104"/>
        <v>0</v>
      </c>
      <c r="G91" s="1103"/>
      <c r="H91" s="1096">
        <f t="shared" si="105"/>
        <v>0</v>
      </c>
      <c r="I91" s="1103"/>
      <c r="J91" s="1096">
        <f t="shared" si="106"/>
        <v>0</v>
      </c>
      <c r="K91" s="1096"/>
      <c r="L91" s="1096">
        <f t="shared" si="107"/>
        <v>0</v>
      </c>
      <c r="M91" s="1103"/>
      <c r="N91" s="1096">
        <f t="shared" si="108"/>
        <v>0</v>
      </c>
      <c r="O91" s="1098">
        <f t="shared" si="103"/>
        <v>0</v>
      </c>
      <c r="P91" s="1096">
        <f t="shared" si="109"/>
        <v>0</v>
      </c>
      <c r="Q91" s="1098">
        <f t="shared" si="110"/>
        <v>0</v>
      </c>
      <c r="R91" s="1096">
        <f t="shared" si="112"/>
        <v>0</v>
      </c>
      <c r="S91" s="1107"/>
      <c r="T91" s="1104"/>
    </row>
    <row r="92" spans="1:28" s="1108" customFormat="1" ht="46.5" hidden="1">
      <c r="A92" s="1085"/>
      <c r="B92" s="933" t="s">
        <v>4469</v>
      </c>
      <c r="C92" s="1138"/>
      <c r="D92" s="1108" t="s">
        <v>306</v>
      </c>
      <c r="E92" s="1240"/>
      <c r="F92" s="1097">
        <f t="shared" si="104"/>
        <v>0</v>
      </c>
      <c r="G92" s="1103"/>
      <c r="H92" s="1096">
        <f t="shared" si="105"/>
        <v>0</v>
      </c>
      <c r="I92" s="1103"/>
      <c r="J92" s="1096">
        <f t="shared" si="106"/>
        <v>0</v>
      </c>
      <c r="K92" s="1096"/>
      <c r="L92" s="1096">
        <f t="shared" si="107"/>
        <v>0</v>
      </c>
      <c r="M92" s="1103"/>
      <c r="N92" s="1096">
        <f t="shared" si="108"/>
        <v>0</v>
      </c>
      <c r="O92" s="1098">
        <f t="shared" si="103"/>
        <v>0</v>
      </c>
      <c r="P92" s="1096">
        <f t="shared" si="109"/>
        <v>0</v>
      </c>
      <c r="Q92" s="1098">
        <f t="shared" si="110"/>
        <v>0</v>
      </c>
      <c r="R92" s="1096">
        <f t="shared" si="112"/>
        <v>0</v>
      </c>
      <c r="S92" s="1107"/>
      <c r="T92" s="1104"/>
    </row>
    <row r="93" spans="1:28" s="1108" customFormat="1" ht="46.5" hidden="1">
      <c r="A93" s="1085"/>
      <c r="B93" s="933" t="s">
        <v>4470</v>
      </c>
      <c r="C93" s="1138"/>
      <c r="D93" s="1108" t="s">
        <v>306</v>
      </c>
      <c r="E93" s="1240"/>
      <c r="F93" s="1097">
        <f t="shared" si="104"/>
        <v>0</v>
      </c>
      <c r="G93" s="1103"/>
      <c r="H93" s="1096">
        <f t="shared" si="105"/>
        <v>0</v>
      </c>
      <c r="I93" s="1103"/>
      <c r="J93" s="1096">
        <f t="shared" si="106"/>
        <v>0</v>
      </c>
      <c r="K93" s="1096"/>
      <c r="L93" s="1096">
        <f t="shared" si="107"/>
        <v>0</v>
      </c>
      <c r="M93" s="1103"/>
      <c r="N93" s="1096">
        <f t="shared" si="108"/>
        <v>0</v>
      </c>
      <c r="O93" s="1098">
        <f t="shared" si="103"/>
        <v>0</v>
      </c>
      <c r="P93" s="1096">
        <f t="shared" si="109"/>
        <v>0</v>
      </c>
      <c r="Q93" s="1098">
        <f t="shared" si="110"/>
        <v>0</v>
      </c>
      <c r="R93" s="1096">
        <f t="shared" si="112"/>
        <v>0</v>
      </c>
      <c r="S93" s="1107"/>
      <c r="T93" s="1104"/>
    </row>
    <row r="94" spans="1:28" s="1108" customFormat="1" hidden="1">
      <c r="A94" s="1085"/>
      <c r="B94" s="933" t="s">
        <v>4471</v>
      </c>
      <c r="C94" s="1138">
        <f>8.2*1500</f>
        <v>12299.999999999998</v>
      </c>
      <c r="D94" s="1108" t="s">
        <v>340</v>
      </c>
      <c r="E94" s="1240"/>
      <c r="F94" s="1097">
        <f t="shared" si="104"/>
        <v>0</v>
      </c>
      <c r="G94" s="1103"/>
      <c r="H94" s="1096">
        <f t="shared" si="105"/>
        <v>0</v>
      </c>
      <c r="I94" s="1103"/>
      <c r="J94" s="1096">
        <f t="shared" si="106"/>
        <v>0</v>
      </c>
      <c r="K94" s="1096"/>
      <c r="L94" s="1096">
        <f t="shared" si="107"/>
        <v>0</v>
      </c>
      <c r="M94" s="1103"/>
      <c r="N94" s="1096">
        <f t="shared" si="108"/>
        <v>0</v>
      </c>
      <c r="O94" s="1098">
        <f t="shared" si="103"/>
        <v>0</v>
      </c>
      <c r="P94" s="1096">
        <f t="shared" si="109"/>
        <v>0</v>
      </c>
      <c r="Q94" s="1098">
        <f t="shared" si="110"/>
        <v>0</v>
      </c>
      <c r="R94" s="1096">
        <f t="shared" si="112"/>
        <v>0</v>
      </c>
      <c r="S94" s="1107"/>
      <c r="T94" s="1104"/>
    </row>
    <row r="95" spans="1:28" s="1108" customFormat="1" hidden="1">
      <c r="A95" s="1085"/>
      <c r="B95" s="933" t="s">
        <v>4472</v>
      </c>
      <c r="C95" s="1138" t="e">
        <f>#REF!</f>
        <v>#REF!</v>
      </c>
      <c r="D95" s="1108" t="s">
        <v>306</v>
      </c>
      <c r="E95" s="1240"/>
      <c r="F95" s="1097" t="e">
        <f t="shared" si="104"/>
        <v>#REF!</v>
      </c>
      <c r="G95" s="1103"/>
      <c r="H95" s="1096" t="e">
        <f t="shared" si="105"/>
        <v>#REF!</v>
      </c>
      <c r="I95" s="1103"/>
      <c r="J95" s="1096" t="e">
        <f t="shared" si="106"/>
        <v>#REF!</v>
      </c>
      <c r="K95" s="1096"/>
      <c r="L95" s="1096" t="e">
        <f t="shared" si="107"/>
        <v>#REF!</v>
      </c>
      <c r="M95" s="1103"/>
      <c r="N95" s="1096" t="e">
        <f t="shared" si="108"/>
        <v>#REF!</v>
      </c>
      <c r="O95" s="1098">
        <f t="shared" si="103"/>
        <v>0</v>
      </c>
      <c r="P95" s="1096" t="e">
        <f t="shared" si="109"/>
        <v>#REF!</v>
      </c>
      <c r="Q95" s="1098">
        <f t="shared" si="110"/>
        <v>0</v>
      </c>
      <c r="R95" s="1096" t="e">
        <f t="shared" si="112"/>
        <v>#REF!</v>
      </c>
      <c r="S95" s="1107"/>
      <c r="T95" s="1104"/>
    </row>
    <row r="96" spans="1:28" s="1108" customFormat="1" hidden="1">
      <c r="A96" s="1085"/>
      <c r="B96" s="933" t="s">
        <v>4473</v>
      </c>
      <c r="C96" s="1138" t="e">
        <f>#REF!</f>
        <v>#REF!</v>
      </c>
      <c r="D96" s="1108" t="s">
        <v>306</v>
      </c>
      <c r="E96" s="1240"/>
      <c r="F96" s="1097" t="e">
        <f t="shared" si="104"/>
        <v>#REF!</v>
      </c>
      <c r="G96" s="1103"/>
      <c r="H96" s="1096" t="e">
        <f t="shared" si="105"/>
        <v>#REF!</v>
      </c>
      <c r="I96" s="1103"/>
      <c r="J96" s="1096" t="e">
        <f t="shared" si="106"/>
        <v>#REF!</v>
      </c>
      <c r="K96" s="1096"/>
      <c r="L96" s="1096" t="e">
        <f t="shared" si="107"/>
        <v>#REF!</v>
      </c>
      <c r="M96" s="1103"/>
      <c r="N96" s="1096" t="e">
        <f t="shared" si="108"/>
        <v>#REF!</v>
      </c>
      <c r="O96" s="1098">
        <f t="shared" si="103"/>
        <v>0</v>
      </c>
      <c r="P96" s="1096" t="e">
        <f t="shared" si="109"/>
        <v>#REF!</v>
      </c>
      <c r="Q96" s="1098">
        <f t="shared" si="110"/>
        <v>0</v>
      </c>
      <c r="R96" s="1096" t="e">
        <f t="shared" si="112"/>
        <v>#REF!</v>
      </c>
      <c r="S96" s="1107"/>
      <c r="T96" s="1104"/>
    </row>
    <row r="97" spans="1:20" s="1108" customFormat="1" hidden="1">
      <c r="A97" s="1085"/>
      <c r="B97" s="933" t="s">
        <v>4474</v>
      </c>
      <c r="C97" s="1138" t="e">
        <f>#REF!</f>
        <v>#REF!</v>
      </c>
      <c r="D97" s="1108" t="s">
        <v>306</v>
      </c>
      <c r="E97" s="1240"/>
      <c r="F97" s="1097" t="e">
        <f t="shared" si="104"/>
        <v>#REF!</v>
      </c>
      <c r="G97" s="1103"/>
      <c r="H97" s="1096" t="e">
        <f t="shared" si="105"/>
        <v>#REF!</v>
      </c>
      <c r="I97" s="1103"/>
      <c r="J97" s="1096" t="e">
        <f t="shared" si="106"/>
        <v>#REF!</v>
      </c>
      <c r="K97" s="1096"/>
      <c r="L97" s="1096" t="e">
        <f t="shared" si="107"/>
        <v>#REF!</v>
      </c>
      <c r="M97" s="1103"/>
      <c r="N97" s="1096" t="e">
        <f t="shared" si="108"/>
        <v>#REF!</v>
      </c>
      <c r="O97" s="1098">
        <f t="shared" si="103"/>
        <v>0</v>
      </c>
      <c r="P97" s="1096" t="e">
        <f t="shared" si="109"/>
        <v>#REF!</v>
      </c>
      <c r="Q97" s="1098">
        <f t="shared" si="110"/>
        <v>0</v>
      </c>
      <c r="R97" s="1096" t="e">
        <f t="shared" si="112"/>
        <v>#REF!</v>
      </c>
      <c r="S97" s="1107"/>
      <c r="T97" s="1104"/>
    </row>
    <row r="98" spans="1:20" s="1108" customFormat="1" hidden="1">
      <c r="A98" s="1085"/>
      <c r="B98" s="933" t="s">
        <v>4475</v>
      </c>
      <c r="C98" s="1138" t="e">
        <f>#REF!</f>
        <v>#REF!</v>
      </c>
      <c r="D98" s="1108" t="s">
        <v>306</v>
      </c>
      <c r="E98" s="1240"/>
      <c r="F98" s="1097" t="e">
        <f t="shared" si="104"/>
        <v>#REF!</v>
      </c>
      <c r="G98" s="1103"/>
      <c r="H98" s="1096" t="e">
        <f t="shared" si="105"/>
        <v>#REF!</v>
      </c>
      <c r="I98" s="1103"/>
      <c r="J98" s="1096" t="e">
        <f t="shared" si="106"/>
        <v>#REF!</v>
      </c>
      <c r="K98" s="1096"/>
      <c r="L98" s="1096" t="e">
        <f t="shared" si="107"/>
        <v>#REF!</v>
      </c>
      <c r="M98" s="1103"/>
      <c r="N98" s="1096" t="e">
        <f t="shared" si="108"/>
        <v>#REF!</v>
      </c>
      <c r="O98" s="1098">
        <f t="shared" si="103"/>
        <v>0</v>
      </c>
      <c r="P98" s="1096" t="e">
        <f t="shared" si="109"/>
        <v>#REF!</v>
      </c>
      <c r="Q98" s="1098">
        <f t="shared" si="110"/>
        <v>0</v>
      </c>
      <c r="R98" s="1096" t="e">
        <f t="shared" si="112"/>
        <v>#REF!</v>
      </c>
      <c r="S98" s="1107"/>
      <c r="T98" s="1104"/>
    </row>
    <row r="99" spans="1:20" s="1108" customFormat="1" hidden="1">
      <c r="A99" s="1085"/>
      <c r="B99" s="933" t="s">
        <v>4476</v>
      </c>
      <c r="C99" s="1138" t="e">
        <f>#REF!</f>
        <v>#REF!</v>
      </c>
      <c r="D99" s="1108" t="s">
        <v>306</v>
      </c>
      <c r="E99" s="1240"/>
      <c r="F99" s="1097" t="e">
        <f t="shared" si="104"/>
        <v>#REF!</v>
      </c>
      <c r="G99" s="1103"/>
      <c r="H99" s="1096" t="e">
        <f t="shared" si="105"/>
        <v>#REF!</v>
      </c>
      <c r="I99" s="1103"/>
      <c r="J99" s="1096" t="e">
        <f t="shared" si="106"/>
        <v>#REF!</v>
      </c>
      <c r="K99" s="1096"/>
      <c r="L99" s="1096" t="e">
        <f t="shared" si="107"/>
        <v>#REF!</v>
      </c>
      <c r="M99" s="1103"/>
      <c r="N99" s="1096" t="e">
        <f t="shared" si="108"/>
        <v>#REF!</v>
      </c>
      <c r="O99" s="1098">
        <f t="shared" si="103"/>
        <v>0</v>
      </c>
      <c r="P99" s="1096" t="e">
        <f t="shared" si="109"/>
        <v>#REF!</v>
      </c>
      <c r="Q99" s="1098">
        <f t="shared" si="110"/>
        <v>0</v>
      </c>
      <c r="R99" s="1096" t="e">
        <f t="shared" si="112"/>
        <v>#REF!</v>
      </c>
      <c r="S99" s="1107"/>
      <c r="T99" s="1104"/>
    </row>
    <row r="100" spans="1:20" s="1108" customFormat="1" hidden="1">
      <c r="A100" s="1085"/>
      <c r="B100" s="1322" t="s">
        <v>4477</v>
      </c>
      <c r="C100" s="1085" t="e">
        <f>#REF!</f>
        <v>#REF!</v>
      </c>
      <c r="D100" s="1108" t="s">
        <v>306</v>
      </c>
      <c r="E100" s="1240"/>
      <c r="F100" s="1097" t="e">
        <f t="shared" si="104"/>
        <v>#REF!</v>
      </c>
      <c r="G100" s="1103"/>
      <c r="H100" s="1096" t="e">
        <f t="shared" si="105"/>
        <v>#REF!</v>
      </c>
      <c r="I100" s="1103"/>
      <c r="J100" s="1096" t="e">
        <f t="shared" si="106"/>
        <v>#REF!</v>
      </c>
      <c r="K100" s="1096"/>
      <c r="L100" s="1096" t="e">
        <f t="shared" si="107"/>
        <v>#REF!</v>
      </c>
      <c r="M100" s="1103"/>
      <c r="N100" s="1096" t="e">
        <f t="shared" si="108"/>
        <v>#REF!</v>
      </c>
      <c r="O100" s="1098">
        <f t="shared" si="103"/>
        <v>0</v>
      </c>
      <c r="P100" s="1096" t="e">
        <f t="shared" si="109"/>
        <v>#REF!</v>
      </c>
      <c r="Q100" s="1098">
        <f t="shared" si="110"/>
        <v>0</v>
      </c>
      <c r="R100" s="1096" t="e">
        <f t="shared" si="112"/>
        <v>#REF!</v>
      </c>
      <c r="S100" s="1107"/>
      <c r="T100" s="1104"/>
    </row>
    <row r="101" spans="1:20" s="1108" customFormat="1" hidden="1">
      <c r="A101" s="1085"/>
      <c r="B101" s="1322" t="s">
        <v>4478</v>
      </c>
      <c r="C101" s="1085">
        <f>5000*8.2</f>
        <v>41000</v>
      </c>
      <c r="D101" s="1108" t="s">
        <v>340</v>
      </c>
      <c r="E101" s="1240"/>
      <c r="F101" s="1097">
        <f t="shared" si="104"/>
        <v>0</v>
      </c>
      <c r="G101" s="1103"/>
      <c r="H101" s="1096">
        <f t="shared" si="105"/>
        <v>0</v>
      </c>
      <c r="I101" s="1103"/>
      <c r="J101" s="1096">
        <f t="shared" si="106"/>
        <v>0</v>
      </c>
      <c r="K101" s="1096"/>
      <c r="L101" s="1096">
        <f t="shared" si="107"/>
        <v>0</v>
      </c>
      <c r="M101" s="1103"/>
      <c r="N101" s="1096">
        <f t="shared" si="108"/>
        <v>0</v>
      </c>
      <c r="O101" s="1098">
        <f t="shared" si="103"/>
        <v>0</v>
      </c>
      <c r="P101" s="1096">
        <f t="shared" si="109"/>
        <v>0</v>
      </c>
      <c r="Q101" s="1098">
        <f t="shared" si="110"/>
        <v>0</v>
      </c>
      <c r="R101" s="1096">
        <f t="shared" si="112"/>
        <v>0</v>
      </c>
      <c r="S101" s="1107"/>
      <c r="T101" s="1104"/>
    </row>
    <row r="102" spans="1:20" s="1108" customFormat="1" hidden="1">
      <c r="A102" s="1085"/>
      <c r="B102" s="1322" t="e">
        <f>#REF!</f>
        <v>#REF!</v>
      </c>
      <c r="C102" s="1085" t="e">
        <f>#REF!</f>
        <v>#REF!</v>
      </c>
      <c r="D102" s="1108" t="s">
        <v>306</v>
      </c>
      <c r="E102" s="1240"/>
      <c r="F102" s="1097" t="e">
        <f t="shared" si="104"/>
        <v>#REF!</v>
      </c>
      <c r="G102" s="1103"/>
      <c r="H102" s="1096" t="e">
        <f t="shared" si="105"/>
        <v>#REF!</v>
      </c>
      <c r="I102" s="1103"/>
      <c r="J102" s="1096" t="e">
        <f t="shared" si="106"/>
        <v>#REF!</v>
      </c>
      <c r="K102" s="1096"/>
      <c r="L102" s="1096" t="e">
        <f t="shared" si="107"/>
        <v>#REF!</v>
      </c>
      <c r="M102" s="1103"/>
      <c r="N102" s="1096" t="e">
        <f t="shared" si="108"/>
        <v>#REF!</v>
      </c>
      <c r="O102" s="1098">
        <f t="shared" si="103"/>
        <v>0</v>
      </c>
      <c r="P102" s="1096" t="e">
        <f t="shared" si="109"/>
        <v>#REF!</v>
      </c>
      <c r="Q102" s="1098">
        <f t="shared" si="110"/>
        <v>0</v>
      </c>
      <c r="R102" s="1096" t="e">
        <f t="shared" si="112"/>
        <v>#REF!</v>
      </c>
      <c r="S102" s="1107"/>
      <c r="T102" s="1104"/>
    </row>
    <row r="103" spans="1:20" s="1108" customFormat="1" hidden="1">
      <c r="A103" s="1085"/>
      <c r="B103" s="1322" t="s">
        <v>1794</v>
      </c>
      <c r="C103" s="1085" t="e">
        <f>#REF!</f>
        <v>#REF!</v>
      </c>
      <c r="D103" s="1108" t="s">
        <v>306</v>
      </c>
      <c r="E103" s="1240"/>
      <c r="F103" s="1097" t="e">
        <f t="shared" si="104"/>
        <v>#REF!</v>
      </c>
      <c r="G103" s="1103"/>
      <c r="H103" s="1096" t="e">
        <f t="shared" si="105"/>
        <v>#REF!</v>
      </c>
      <c r="I103" s="1103"/>
      <c r="J103" s="1096" t="e">
        <f t="shared" si="106"/>
        <v>#REF!</v>
      </c>
      <c r="K103" s="1096"/>
      <c r="L103" s="1096" t="e">
        <f t="shared" si="107"/>
        <v>#REF!</v>
      </c>
      <c r="M103" s="1103"/>
      <c r="N103" s="1096" t="e">
        <f t="shared" si="108"/>
        <v>#REF!</v>
      </c>
      <c r="O103" s="1098">
        <f t="shared" si="103"/>
        <v>0</v>
      </c>
      <c r="P103" s="1096" t="e">
        <f t="shared" si="109"/>
        <v>#REF!</v>
      </c>
      <c r="Q103" s="1098">
        <f t="shared" si="110"/>
        <v>0</v>
      </c>
      <c r="R103" s="1096" t="e">
        <f t="shared" si="112"/>
        <v>#REF!</v>
      </c>
      <c r="S103" s="1107"/>
      <c r="T103" s="1104"/>
    </row>
    <row r="104" spans="1:20" s="1108" customFormat="1" hidden="1">
      <c r="A104" s="1085"/>
      <c r="B104" s="1322" t="s">
        <v>4479</v>
      </c>
      <c r="C104" s="1085" t="e">
        <f>#REF!</f>
        <v>#REF!</v>
      </c>
      <c r="D104" s="1108" t="s">
        <v>306</v>
      </c>
      <c r="E104" s="1240"/>
      <c r="F104" s="1097" t="e">
        <f t="shared" si="104"/>
        <v>#REF!</v>
      </c>
      <c r="G104" s="1103"/>
      <c r="H104" s="1096" t="e">
        <f t="shared" si="105"/>
        <v>#REF!</v>
      </c>
      <c r="I104" s="1103"/>
      <c r="J104" s="1096" t="e">
        <f t="shared" si="106"/>
        <v>#REF!</v>
      </c>
      <c r="K104" s="1096"/>
      <c r="L104" s="1096" t="e">
        <f t="shared" si="107"/>
        <v>#REF!</v>
      </c>
      <c r="M104" s="1103"/>
      <c r="N104" s="1096" t="e">
        <f t="shared" si="108"/>
        <v>#REF!</v>
      </c>
      <c r="O104" s="1098">
        <f t="shared" si="103"/>
        <v>0</v>
      </c>
      <c r="P104" s="1096" t="e">
        <f t="shared" si="109"/>
        <v>#REF!</v>
      </c>
      <c r="Q104" s="1098">
        <f t="shared" si="110"/>
        <v>0</v>
      </c>
      <c r="R104" s="1096" t="e">
        <f t="shared" si="112"/>
        <v>#REF!</v>
      </c>
      <c r="S104" s="1107"/>
      <c r="T104" s="1104"/>
    </row>
    <row r="105" spans="1:20" s="1108" customFormat="1" hidden="1">
      <c r="A105" s="1085"/>
      <c r="B105" s="1322" t="s">
        <v>4480</v>
      </c>
      <c r="C105" s="1085" t="e">
        <f>#REF!</f>
        <v>#REF!</v>
      </c>
      <c r="D105" s="1108" t="s">
        <v>306</v>
      </c>
      <c r="E105" s="1240"/>
      <c r="F105" s="1097" t="e">
        <f t="shared" si="104"/>
        <v>#REF!</v>
      </c>
      <c r="G105" s="1103"/>
      <c r="H105" s="1096" t="e">
        <f t="shared" si="105"/>
        <v>#REF!</v>
      </c>
      <c r="I105" s="1103"/>
      <c r="J105" s="1096" t="e">
        <f t="shared" si="106"/>
        <v>#REF!</v>
      </c>
      <c r="K105" s="1096"/>
      <c r="L105" s="1096" t="e">
        <f t="shared" si="107"/>
        <v>#REF!</v>
      </c>
      <c r="M105" s="1103"/>
      <c r="N105" s="1096" t="e">
        <f t="shared" si="108"/>
        <v>#REF!</v>
      </c>
      <c r="O105" s="1098">
        <f t="shared" si="103"/>
        <v>0</v>
      </c>
      <c r="P105" s="1096" t="e">
        <f t="shared" si="109"/>
        <v>#REF!</v>
      </c>
      <c r="Q105" s="1098">
        <f t="shared" si="110"/>
        <v>0</v>
      </c>
      <c r="R105" s="1096" t="e">
        <f t="shared" si="112"/>
        <v>#REF!</v>
      </c>
      <c r="S105" s="1107"/>
      <c r="T105" s="1104"/>
    </row>
    <row r="106" spans="1:20" s="1108" customFormat="1" hidden="1">
      <c r="A106" s="1085"/>
      <c r="B106" s="1322" t="s">
        <v>4481</v>
      </c>
      <c r="C106" s="1085" t="e">
        <f>#REF!</f>
        <v>#REF!</v>
      </c>
      <c r="D106" s="1108" t="s">
        <v>306</v>
      </c>
      <c r="E106" s="1240"/>
      <c r="F106" s="1097" t="e">
        <f t="shared" si="104"/>
        <v>#REF!</v>
      </c>
      <c r="G106" s="1103"/>
      <c r="H106" s="1096" t="e">
        <f t="shared" si="105"/>
        <v>#REF!</v>
      </c>
      <c r="I106" s="1103"/>
      <c r="J106" s="1096" t="e">
        <f t="shared" si="106"/>
        <v>#REF!</v>
      </c>
      <c r="K106" s="1096"/>
      <c r="L106" s="1096" t="e">
        <f t="shared" si="107"/>
        <v>#REF!</v>
      </c>
      <c r="M106" s="1103"/>
      <c r="N106" s="1096" t="e">
        <f t="shared" si="108"/>
        <v>#REF!</v>
      </c>
      <c r="O106" s="1098">
        <f t="shared" si="103"/>
        <v>0</v>
      </c>
      <c r="P106" s="1096" t="e">
        <f t="shared" si="109"/>
        <v>#REF!</v>
      </c>
      <c r="Q106" s="1098">
        <f t="shared" si="110"/>
        <v>0</v>
      </c>
      <c r="R106" s="1096" t="e">
        <f t="shared" si="112"/>
        <v>#REF!</v>
      </c>
      <c r="S106" s="1107"/>
      <c r="T106" s="1104"/>
    </row>
    <row r="107" spans="1:20" s="1108" customFormat="1" ht="69.75" hidden="1">
      <c r="A107" s="1085"/>
      <c r="B107" s="1262" t="s">
        <v>4482</v>
      </c>
      <c r="C107" s="1085" t="e">
        <f>#REF!</f>
        <v>#REF!</v>
      </c>
      <c r="D107" s="1108" t="s">
        <v>306</v>
      </c>
      <c r="E107" s="1240"/>
      <c r="F107" s="1097" t="e">
        <f t="shared" si="104"/>
        <v>#REF!</v>
      </c>
      <c r="G107" s="1103"/>
      <c r="H107" s="1096" t="e">
        <f t="shared" si="105"/>
        <v>#REF!</v>
      </c>
      <c r="I107" s="1103"/>
      <c r="J107" s="1096" t="e">
        <f t="shared" si="106"/>
        <v>#REF!</v>
      </c>
      <c r="K107" s="1096"/>
      <c r="L107" s="1096" t="e">
        <f t="shared" si="107"/>
        <v>#REF!</v>
      </c>
      <c r="M107" s="1103"/>
      <c r="N107" s="1096" t="e">
        <f t="shared" si="108"/>
        <v>#REF!</v>
      </c>
      <c r="O107" s="1098">
        <f t="shared" si="103"/>
        <v>0</v>
      </c>
      <c r="P107" s="1096" t="e">
        <f t="shared" si="109"/>
        <v>#REF!</v>
      </c>
      <c r="Q107" s="1098">
        <f t="shared" si="110"/>
        <v>0</v>
      </c>
      <c r="R107" s="1096" t="e">
        <f t="shared" si="112"/>
        <v>#REF!</v>
      </c>
      <c r="S107" s="1107"/>
      <c r="T107" s="1104"/>
    </row>
    <row r="108" spans="1:20" s="1108" customFormat="1" ht="69.75" hidden="1">
      <c r="A108" s="1085"/>
      <c r="B108" s="1262" t="s">
        <v>4483</v>
      </c>
      <c r="C108" s="1085" t="e">
        <f>#REF!</f>
        <v>#REF!</v>
      </c>
      <c r="D108" s="1108" t="s">
        <v>306</v>
      </c>
      <c r="E108" s="1240"/>
      <c r="F108" s="1097" t="e">
        <f t="shared" si="104"/>
        <v>#REF!</v>
      </c>
      <c r="G108" s="1103"/>
      <c r="H108" s="1096" t="e">
        <f t="shared" si="105"/>
        <v>#REF!</v>
      </c>
      <c r="I108" s="1103"/>
      <c r="J108" s="1096" t="e">
        <f t="shared" si="106"/>
        <v>#REF!</v>
      </c>
      <c r="K108" s="1096"/>
      <c r="L108" s="1096" t="e">
        <f t="shared" si="107"/>
        <v>#REF!</v>
      </c>
      <c r="M108" s="1103"/>
      <c r="N108" s="1096" t="e">
        <f t="shared" si="108"/>
        <v>#REF!</v>
      </c>
      <c r="O108" s="1098">
        <f t="shared" si="103"/>
        <v>0</v>
      </c>
      <c r="P108" s="1096" t="e">
        <f t="shared" si="109"/>
        <v>#REF!</v>
      </c>
      <c r="Q108" s="1098">
        <f t="shared" si="110"/>
        <v>0</v>
      </c>
      <c r="R108" s="1096" t="e">
        <f t="shared" si="112"/>
        <v>#REF!</v>
      </c>
      <c r="S108" s="1107"/>
      <c r="T108" s="1104"/>
    </row>
    <row r="109" spans="1:20" s="1108" customFormat="1" ht="46.5" hidden="1">
      <c r="A109" s="1085"/>
      <c r="B109" s="933" t="s">
        <v>2893</v>
      </c>
      <c r="C109" s="1085" t="e">
        <f>#REF!</f>
        <v>#REF!</v>
      </c>
      <c r="D109" s="1108" t="s">
        <v>306</v>
      </c>
      <c r="E109" s="1240"/>
      <c r="F109" s="1097" t="e">
        <f t="shared" si="104"/>
        <v>#REF!</v>
      </c>
      <c r="G109" s="1103"/>
      <c r="H109" s="1096" t="e">
        <f t="shared" si="105"/>
        <v>#REF!</v>
      </c>
      <c r="I109" s="1103"/>
      <c r="J109" s="1096" t="e">
        <f t="shared" si="106"/>
        <v>#REF!</v>
      </c>
      <c r="K109" s="1096"/>
      <c r="L109" s="1096" t="e">
        <f t="shared" si="107"/>
        <v>#REF!</v>
      </c>
      <c r="M109" s="1103"/>
      <c r="N109" s="1096" t="e">
        <f t="shared" si="108"/>
        <v>#REF!</v>
      </c>
      <c r="O109" s="1098">
        <f t="shared" si="103"/>
        <v>0</v>
      </c>
      <c r="P109" s="1096" t="e">
        <f t="shared" si="109"/>
        <v>#REF!</v>
      </c>
      <c r="Q109" s="1098">
        <f t="shared" si="110"/>
        <v>0</v>
      </c>
      <c r="R109" s="1096" t="e">
        <f t="shared" si="112"/>
        <v>#REF!</v>
      </c>
      <c r="S109" s="1107"/>
      <c r="T109" s="1104"/>
    </row>
    <row r="110" spans="1:20" s="1108" customFormat="1" hidden="1">
      <c r="A110" s="1085"/>
      <c r="B110" s="1322" t="s">
        <v>4484</v>
      </c>
      <c r="C110" s="1085" t="e">
        <f>#REF!</f>
        <v>#REF!</v>
      </c>
      <c r="D110" s="1108" t="s">
        <v>306</v>
      </c>
      <c r="E110" s="1240"/>
      <c r="F110" s="1097" t="e">
        <f t="shared" si="104"/>
        <v>#REF!</v>
      </c>
      <c r="G110" s="1103"/>
      <c r="H110" s="1096" t="e">
        <f t="shared" si="105"/>
        <v>#REF!</v>
      </c>
      <c r="I110" s="1103"/>
      <c r="J110" s="1096" t="e">
        <f t="shared" si="106"/>
        <v>#REF!</v>
      </c>
      <c r="K110" s="1096"/>
      <c r="L110" s="1096" t="e">
        <f t="shared" si="107"/>
        <v>#REF!</v>
      </c>
      <c r="M110" s="1103"/>
      <c r="N110" s="1096" t="e">
        <f t="shared" si="108"/>
        <v>#REF!</v>
      </c>
      <c r="O110" s="1098">
        <f t="shared" si="103"/>
        <v>0</v>
      </c>
      <c r="P110" s="1096" t="e">
        <f t="shared" si="109"/>
        <v>#REF!</v>
      </c>
      <c r="Q110" s="1098">
        <f t="shared" si="110"/>
        <v>0</v>
      </c>
      <c r="R110" s="1096" t="e">
        <f t="shared" si="112"/>
        <v>#REF!</v>
      </c>
      <c r="S110" s="1107"/>
      <c r="T110" s="1104"/>
    </row>
    <row r="111" spans="1:20" s="1108" customFormat="1" hidden="1">
      <c r="A111" s="1085"/>
      <c r="B111" s="1322" t="s">
        <v>4485</v>
      </c>
      <c r="C111" s="1085" t="e">
        <f>#REF!</f>
        <v>#REF!</v>
      </c>
      <c r="D111" s="1108" t="s">
        <v>306</v>
      </c>
      <c r="E111" s="1240"/>
      <c r="F111" s="1097" t="e">
        <f t="shared" si="104"/>
        <v>#REF!</v>
      </c>
      <c r="G111" s="1103"/>
      <c r="H111" s="1096" t="e">
        <f t="shared" si="105"/>
        <v>#REF!</v>
      </c>
      <c r="I111" s="1103"/>
      <c r="J111" s="1096" t="e">
        <f t="shared" si="106"/>
        <v>#REF!</v>
      </c>
      <c r="K111" s="1096"/>
      <c r="L111" s="1096" t="e">
        <f t="shared" si="107"/>
        <v>#REF!</v>
      </c>
      <c r="M111" s="1103"/>
      <c r="N111" s="1096" t="e">
        <f t="shared" si="108"/>
        <v>#REF!</v>
      </c>
      <c r="O111" s="1098">
        <f t="shared" si="103"/>
        <v>0</v>
      </c>
      <c r="P111" s="1096" t="e">
        <f t="shared" si="109"/>
        <v>#REF!</v>
      </c>
      <c r="Q111" s="1098">
        <f t="shared" si="110"/>
        <v>0</v>
      </c>
      <c r="R111" s="1096" t="e">
        <f t="shared" si="112"/>
        <v>#REF!</v>
      </c>
      <c r="S111" s="1107"/>
      <c r="T111" s="1104"/>
    </row>
    <row r="112" spans="1:20" s="1108" customFormat="1" hidden="1">
      <c r="A112" s="1085"/>
      <c r="B112" s="1322" t="s">
        <v>4486</v>
      </c>
      <c r="C112" s="1085" t="e">
        <f>#REF!</f>
        <v>#REF!</v>
      </c>
      <c r="D112" s="1108" t="s">
        <v>306</v>
      </c>
      <c r="E112" s="1240"/>
      <c r="F112" s="1097" t="e">
        <f t="shared" si="104"/>
        <v>#REF!</v>
      </c>
      <c r="G112" s="1103"/>
      <c r="H112" s="1096" t="e">
        <f t="shared" si="105"/>
        <v>#REF!</v>
      </c>
      <c r="I112" s="1103"/>
      <c r="J112" s="1096" t="e">
        <f t="shared" si="106"/>
        <v>#REF!</v>
      </c>
      <c r="K112" s="1096"/>
      <c r="L112" s="1096" t="e">
        <f t="shared" si="107"/>
        <v>#REF!</v>
      </c>
      <c r="M112" s="1103"/>
      <c r="N112" s="1096" t="e">
        <f t="shared" si="108"/>
        <v>#REF!</v>
      </c>
      <c r="O112" s="1098">
        <f t="shared" si="103"/>
        <v>0</v>
      </c>
      <c r="P112" s="1096" t="e">
        <f t="shared" si="109"/>
        <v>#REF!</v>
      </c>
      <c r="Q112" s="1098">
        <f t="shared" si="110"/>
        <v>0</v>
      </c>
      <c r="R112" s="1096" t="e">
        <f t="shared" si="112"/>
        <v>#REF!</v>
      </c>
      <c r="S112" s="1107"/>
      <c r="T112" s="1104"/>
    </row>
    <row r="113" spans="1:20" s="1108" customFormat="1" hidden="1">
      <c r="A113" s="1085"/>
      <c r="B113" s="1322" t="s">
        <v>4487</v>
      </c>
      <c r="C113" s="1085" t="e">
        <f>#REF!</f>
        <v>#REF!</v>
      </c>
      <c r="D113" s="1108" t="s">
        <v>306</v>
      </c>
      <c r="E113" s="1240"/>
      <c r="F113" s="1097" t="e">
        <f t="shared" si="104"/>
        <v>#REF!</v>
      </c>
      <c r="G113" s="1103"/>
      <c r="H113" s="1096" t="e">
        <f t="shared" si="105"/>
        <v>#REF!</v>
      </c>
      <c r="I113" s="1103"/>
      <c r="J113" s="1096" t="e">
        <f t="shared" si="106"/>
        <v>#REF!</v>
      </c>
      <c r="K113" s="1096"/>
      <c r="L113" s="1096" t="e">
        <f t="shared" si="107"/>
        <v>#REF!</v>
      </c>
      <c r="M113" s="1103"/>
      <c r="N113" s="1096" t="e">
        <f t="shared" si="108"/>
        <v>#REF!</v>
      </c>
      <c r="O113" s="1098">
        <f t="shared" si="103"/>
        <v>0</v>
      </c>
      <c r="P113" s="1096" t="e">
        <f t="shared" si="109"/>
        <v>#REF!</v>
      </c>
      <c r="Q113" s="1098">
        <f t="shared" si="110"/>
        <v>0</v>
      </c>
      <c r="R113" s="1096" t="e">
        <f t="shared" si="112"/>
        <v>#REF!</v>
      </c>
      <c r="S113" s="1107"/>
      <c r="T113" s="1104"/>
    </row>
    <row r="114" spans="1:20" s="1108" customFormat="1" hidden="1">
      <c r="A114" s="1085"/>
      <c r="B114" s="1322" t="s">
        <v>4488</v>
      </c>
      <c r="C114" s="1085" t="e">
        <f>#REF!</f>
        <v>#REF!</v>
      </c>
      <c r="D114" s="1108" t="s">
        <v>340</v>
      </c>
      <c r="E114" s="1240"/>
      <c r="F114" s="1097" t="e">
        <f t="shared" si="104"/>
        <v>#REF!</v>
      </c>
      <c r="G114" s="1103"/>
      <c r="H114" s="1096" t="e">
        <f t="shared" si="105"/>
        <v>#REF!</v>
      </c>
      <c r="I114" s="1103"/>
      <c r="J114" s="1096" t="e">
        <f t="shared" si="106"/>
        <v>#REF!</v>
      </c>
      <c r="K114" s="1096"/>
      <c r="L114" s="1096" t="e">
        <f t="shared" si="107"/>
        <v>#REF!</v>
      </c>
      <c r="M114" s="1103"/>
      <c r="N114" s="1096" t="e">
        <f t="shared" si="108"/>
        <v>#REF!</v>
      </c>
      <c r="O114" s="1098">
        <f t="shared" si="103"/>
        <v>0</v>
      </c>
      <c r="P114" s="1096" t="e">
        <f t="shared" si="109"/>
        <v>#REF!</v>
      </c>
      <c r="Q114" s="1098">
        <f t="shared" si="110"/>
        <v>0</v>
      </c>
      <c r="R114" s="1096" t="e">
        <f t="shared" si="112"/>
        <v>#REF!</v>
      </c>
      <c r="S114" s="1107"/>
      <c r="T114" s="1104"/>
    </row>
    <row r="115" spans="1:20" s="1108" customFormat="1" hidden="1">
      <c r="A115" s="1085"/>
      <c r="B115" s="1322" t="s">
        <v>4489</v>
      </c>
      <c r="C115" s="1085" t="e">
        <f>#REF!</f>
        <v>#REF!</v>
      </c>
      <c r="D115" s="1108" t="s">
        <v>303</v>
      </c>
      <c r="E115" s="1240"/>
      <c r="F115" s="1097" t="e">
        <f t="shared" si="104"/>
        <v>#REF!</v>
      </c>
      <c r="G115" s="1103"/>
      <c r="H115" s="1096" t="e">
        <f t="shared" si="105"/>
        <v>#REF!</v>
      </c>
      <c r="I115" s="1103"/>
      <c r="J115" s="1096" t="e">
        <f t="shared" si="106"/>
        <v>#REF!</v>
      </c>
      <c r="K115" s="1096"/>
      <c r="L115" s="1096" t="e">
        <f t="shared" si="107"/>
        <v>#REF!</v>
      </c>
      <c r="M115" s="1103"/>
      <c r="N115" s="1096" t="e">
        <f t="shared" si="108"/>
        <v>#REF!</v>
      </c>
      <c r="O115" s="1098">
        <f t="shared" si="103"/>
        <v>0</v>
      </c>
      <c r="P115" s="1096" t="e">
        <f t="shared" si="109"/>
        <v>#REF!</v>
      </c>
      <c r="Q115" s="1098">
        <f t="shared" si="110"/>
        <v>0</v>
      </c>
      <c r="R115" s="1096" t="e">
        <f t="shared" si="112"/>
        <v>#REF!</v>
      </c>
      <c r="S115" s="1107"/>
      <c r="T115" s="1104"/>
    </row>
    <row r="116" spans="1:20" s="1108" customFormat="1" hidden="1">
      <c r="A116" s="1085"/>
      <c r="B116" s="1323" t="s">
        <v>4490</v>
      </c>
      <c r="C116" s="1085" t="e">
        <f>#REF!</f>
        <v>#REF!</v>
      </c>
      <c r="D116" s="1108" t="s">
        <v>340</v>
      </c>
      <c r="E116" s="1240"/>
      <c r="F116" s="1097" t="e">
        <f t="shared" si="104"/>
        <v>#REF!</v>
      </c>
      <c r="G116" s="1103"/>
      <c r="H116" s="1096" t="e">
        <f t="shared" si="105"/>
        <v>#REF!</v>
      </c>
      <c r="I116" s="1103"/>
      <c r="J116" s="1096" t="e">
        <f t="shared" si="106"/>
        <v>#REF!</v>
      </c>
      <c r="K116" s="1096"/>
      <c r="L116" s="1096" t="e">
        <f t="shared" si="107"/>
        <v>#REF!</v>
      </c>
      <c r="M116" s="1103"/>
      <c r="N116" s="1096" t="e">
        <f t="shared" si="108"/>
        <v>#REF!</v>
      </c>
      <c r="O116" s="1098">
        <f t="shared" si="103"/>
        <v>0</v>
      </c>
      <c r="P116" s="1096" t="e">
        <f t="shared" si="109"/>
        <v>#REF!</v>
      </c>
      <c r="Q116" s="1098">
        <f t="shared" si="110"/>
        <v>0</v>
      </c>
      <c r="R116" s="1096" t="e">
        <f t="shared" si="112"/>
        <v>#REF!</v>
      </c>
      <c r="S116" s="1107"/>
      <c r="T116" s="1104"/>
    </row>
    <row r="117" spans="1:20" s="1108" customFormat="1" hidden="1">
      <c r="A117" s="1085"/>
      <c r="B117" s="1322" t="s">
        <v>4491</v>
      </c>
      <c r="C117" s="1085" t="e">
        <f>#REF!</f>
        <v>#REF!</v>
      </c>
      <c r="D117" s="1108" t="s">
        <v>306</v>
      </c>
      <c r="E117" s="1240"/>
      <c r="F117" s="1097" t="e">
        <f t="shared" si="104"/>
        <v>#REF!</v>
      </c>
      <c r="G117" s="1103"/>
      <c r="H117" s="1096" t="e">
        <f t="shared" si="105"/>
        <v>#REF!</v>
      </c>
      <c r="I117" s="1103"/>
      <c r="J117" s="1096" t="e">
        <f t="shared" si="106"/>
        <v>#REF!</v>
      </c>
      <c r="K117" s="1096"/>
      <c r="L117" s="1096" t="e">
        <f t="shared" si="107"/>
        <v>#REF!</v>
      </c>
      <c r="M117" s="1103"/>
      <c r="N117" s="1096" t="e">
        <f t="shared" si="108"/>
        <v>#REF!</v>
      </c>
      <c r="O117" s="1098">
        <f t="shared" si="103"/>
        <v>0</v>
      </c>
      <c r="P117" s="1096" t="e">
        <f t="shared" si="109"/>
        <v>#REF!</v>
      </c>
      <c r="Q117" s="1098">
        <f t="shared" si="110"/>
        <v>0</v>
      </c>
      <c r="R117" s="1096" t="e">
        <f t="shared" si="112"/>
        <v>#REF!</v>
      </c>
      <c r="S117" s="1107"/>
      <c r="T117" s="1104"/>
    </row>
    <row r="118" spans="1:20" s="1108" customFormat="1" hidden="1">
      <c r="A118" s="1085"/>
      <c r="B118" s="1322" t="s">
        <v>4492</v>
      </c>
      <c r="C118" s="1085" t="e">
        <f>#REF!</f>
        <v>#REF!</v>
      </c>
      <c r="D118" s="1108" t="s">
        <v>306</v>
      </c>
      <c r="E118" s="1240"/>
      <c r="F118" s="1097" t="e">
        <f t="shared" si="104"/>
        <v>#REF!</v>
      </c>
      <c r="G118" s="1103"/>
      <c r="H118" s="1096" t="e">
        <f t="shared" si="105"/>
        <v>#REF!</v>
      </c>
      <c r="I118" s="1103"/>
      <c r="J118" s="1096" t="e">
        <f t="shared" si="106"/>
        <v>#REF!</v>
      </c>
      <c r="K118" s="1096"/>
      <c r="L118" s="1096" t="e">
        <f t="shared" si="107"/>
        <v>#REF!</v>
      </c>
      <c r="M118" s="1103"/>
      <c r="N118" s="1096" t="e">
        <f t="shared" si="108"/>
        <v>#REF!</v>
      </c>
      <c r="O118" s="1098">
        <f t="shared" si="103"/>
        <v>0</v>
      </c>
      <c r="P118" s="1096" t="e">
        <f t="shared" si="109"/>
        <v>#REF!</v>
      </c>
      <c r="Q118" s="1098">
        <f t="shared" si="110"/>
        <v>0</v>
      </c>
      <c r="R118" s="1096" t="e">
        <f t="shared" si="112"/>
        <v>#REF!</v>
      </c>
      <c r="S118" s="1107"/>
      <c r="T118" s="1104"/>
    </row>
    <row r="119" spans="1:20" s="1108" customFormat="1" hidden="1">
      <c r="A119" s="1085"/>
      <c r="B119" s="1322" t="s">
        <v>4493</v>
      </c>
      <c r="C119" s="1085" t="e">
        <f>#REF!</f>
        <v>#REF!</v>
      </c>
      <c r="D119" s="1108" t="s">
        <v>306</v>
      </c>
      <c r="E119" s="1240"/>
      <c r="F119" s="1097" t="e">
        <f t="shared" si="104"/>
        <v>#REF!</v>
      </c>
      <c r="G119" s="1103"/>
      <c r="H119" s="1096" t="e">
        <f t="shared" si="105"/>
        <v>#REF!</v>
      </c>
      <c r="I119" s="1103"/>
      <c r="J119" s="1096" t="e">
        <f t="shared" si="106"/>
        <v>#REF!</v>
      </c>
      <c r="K119" s="1096"/>
      <c r="L119" s="1096" t="e">
        <f t="shared" si="107"/>
        <v>#REF!</v>
      </c>
      <c r="M119" s="1103"/>
      <c r="N119" s="1096" t="e">
        <f t="shared" si="108"/>
        <v>#REF!</v>
      </c>
      <c r="O119" s="1098">
        <f t="shared" si="103"/>
        <v>0</v>
      </c>
      <c r="P119" s="1096" t="e">
        <f t="shared" si="109"/>
        <v>#REF!</v>
      </c>
      <c r="Q119" s="1098">
        <f t="shared" si="110"/>
        <v>0</v>
      </c>
      <c r="R119" s="1096" t="e">
        <f t="shared" si="112"/>
        <v>#REF!</v>
      </c>
      <c r="S119" s="1107"/>
      <c r="T119" s="1104"/>
    </row>
    <row r="120" spans="1:20" s="1108" customFormat="1" hidden="1">
      <c r="A120" s="1085"/>
      <c r="B120" s="1322" t="s">
        <v>4494</v>
      </c>
      <c r="C120" s="1085" t="e">
        <f>#REF!</f>
        <v>#REF!</v>
      </c>
      <c r="D120" s="1108" t="s">
        <v>306</v>
      </c>
      <c r="E120" s="1240"/>
      <c r="F120" s="1097" t="e">
        <f t="shared" si="104"/>
        <v>#REF!</v>
      </c>
      <c r="G120" s="1103"/>
      <c r="H120" s="1096" t="e">
        <f t="shared" si="105"/>
        <v>#REF!</v>
      </c>
      <c r="I120" s="1103"/>
      <c r="J120" s="1096" t="e">
        <f t="shared" si="106"/>
        <v>#REF!</v>
      </c>
      <c r="K120" s="1096"/>
      <c r="L120" s="1096" t="e">
        <f t="shared" si="107"/>
        <v>#REF!</v>
      </c>
      <c r="M120" s="1103"/>
      <c r="N120" s="1096" t="e">
        <f t="shared" si="108"/>
        <v>#REF!</v>
      </c>
      <c r="O120" s="1098">
        <f t="shared" si="103"/>
        <v>0</v>
      </c>
      <c r="P120" s="1096" t="e">
        <f t="shared" si="109"/>
        <v>#REF!</v>
      </c>
      <c r="Q120" s="1098">
        <f t="shared" si="110"/>
        <v>0</v>
      </c>
      <c r="R120" s="1096" t="e">
        <f t="shared" si="112"/>
        <v>#REF!</v>
      </c>
      <c r="S120" s="1107"/>
      <c r="T120" s="1104"/>
    </row>
    <row r="121" spans="1:20" s="1108" customFormat="1" hidden="1">
      <c r="A121" s="1085"/>
      <c r="B121" s="1322" t="s">
        <v>4495</v>
      </c>
      <c r="C121" s="1085" t="e">
        <f>#REF!</f>
        <v>#REF!</v>
      </c>
      <c r="D121" s="1108" t="s">
        <v>306</v>
      </c>
      <c r="E121" s="1240"/>
      <c r="F121" s="1097" t="e">
        <f t="shared" si="104"/>
        <v>#REF!</v>
      </c>
      <c r="G121" s="1103"/>
      <c r="H121" s="1096" t="e">
        <f t="shared" si="105"/>
        <v>#REF!</v>
      </c>
      <c r="I121" s="1103"/>
      <c r="J121" s="1096" t="e">
        <f t="shared" si="106"/>
        <v>#REF!</v>
      </c>
      <c r="K121" s="1096"/>
      <c r="L121" s="1096" t="e">
        <f t="shared" si="107"/>
        <v>#REF!</v>
      </c>
      <c r="M121" s="1103"/>
      <c r="N121" s="1096" t="e">
        <f t="shared" si="108"/>
        <v>#REF!</v>
      </c>
      <c r="O121" s="1098">
        <f t="shared" si="103"/>
        <v>0</v>
      </c>
      <c r="P121" s="1096" t="e">
        <f t="shared" si="109"/>
        <v>#REF!</v>
      </c>
      <c r="Q121" s="1098">
        <f t="shared" si="110"/>
        <v>0</v>
      </c>
      <c r="R121" s="1096" t="e">
        <f t="shared" si="112"/>
        <v>#REF!</v>
      </c>
      <c r="S121" s="1107"/>
      <c r="T121" s="1104"/>
    </row>
    <row r="122" spans="1:20" s="1108" customFormat="1" hidden="1">
      <c r="A122" s="1085"/>
      <c r="B122" s="1322" t="s">
        <v>4496</v>
      </c>
      <c r="C122" s="1085" t="e">
        <f>#REF!</f>
        <v>#REF!</v>
      </c>
      <c r="D122" s="1108" t="s">
        <v>306</v>
      </c>
      <c r="E122" s="1240"/>
      <c r="F122" s="1097" t="e">
        <f t="shared" si="104"/>
        <v>#REF!</v>
      </c>
      <c r="G122" s="1103"/>
      <c r="H122" s="1096" t="e">
        <f t="shared" si="105"/>
        <v>#REF!</v>
      </c>
      <c r="I122" s="1103"/>
      <c r="J122" s="1096" t="e">
        <f t="shared" si="106"/>
        <v>#REF!</v>
      </c>
      <c r="K122" s="1096"/>
      <c r="L122" s="1096" t="e">
        <f t="shared" si="107"/>
        <v>#REF!</v>
      </c>
      <c r="M122" s="1103"/>
      <c r="N122" s="1096" t="e">
        <f t="shared" si="108"/>
        <v>#REF!</v>
      </c>
      <c r="O122" s="1098">
        <f t="shared" si="103"/>
        <v>0</v>
      </c>
      <c r="P122" s="1096" t="e">
        <f t="shared" si="109"/>
        <v>#REF!</v>
      </c>
      <c r="Q122" s="1098">
        <f t="shared" si="110"/>
        <v>0</v>
      </c>
      <c r="R122" s="1096" t="e">
        <f t="shared" si="112"/>
        <v>#REF!</v>
      </c>
      <c r="S122" s="1107"/>
      <c r="T122" s="1104"/>
    </row>
    <row r="123" spans="1:20" s="1108" customFormat="1" ht="46.5" hidden="1">
      <c r="A123" s="1085"/>
      <c r="B123" s="1270" t="s">
        <v>2659</v>
      </c>
      <c r="C123" s="1085" t="e">
        <f>#REF!</f>
        <v>#REF!</v>
      </c>
      <c r="D123" s="1108" t="s">
        <v>306</v>
      </c>
      <c r="E123" s="1240"/>
      <c r="F123" s="1097" t="e">
        <f t="shared" si="104"/>
        <v>#REF!</v>
      </c>
      <c r="G123" s="1103"/>
      <c r="H123" s="1096" t="e">
        <f t="shared" si="105"/>
        <v>#REF!</v>
      </c>
      <c r="I123" s="1103"/>
      <c r="J123" s="1096" t="e">
        <f t="shared" si="106"/>
        <v>#REF!</v>
      </c>
      <c r="K123" s="1096"/>
      <c r="L123" s="1096" t="e">
        <f t="shared" si="107"/>
        <v>#REF!</v>
      </c>
      <c r="M123" s="1103"/>
      <c r="N123" s="1096" t="e">
        <f t="shared" si="108"/>
        <v>#REF!</v>
      </c>
      <c r="O123" s="1098">
        <f t="shared" si="103"/>
        <v>0</v>
      </c>
      <c r="P123" s="1096" t="e">
        <f t="shared" si="109"/>
        <v>#REF!</v>
      </c>
      <c r="Q123" s="1098">
        <f t="shared" si="110"/>
        <v>0</v>
      </c>
      <c r="R123" s="1096" t="e">
        <f t="shared" si="112"/>
        <v>#REF!</v>
      </c>
      <c r="S123" s="1107"/>
      <c r="T123" s="1104"/>
    </row>
    <row r="124" spans="1:20" s="1108" customFormat="1" hidden="1">
      <c r="A124" s="1085"/>
      <c r="B124" s="1322" t="s">
        <v>4497</v>
      </c>
      <c r="C124" s="1085" t="e">
        <f>#REF!</f>
        <v>#REF!</v>
      </c>
      <c r="E124" s="1240"/>
      <c r="F124" s="1097" t="e">
        <f t="shared" si="104"/>
        <v>#REF!</v>
      </c>
      <c r="G124" s="1103"/>
      <c r="H124" s="1096" t="e">
        <f t="shared" si="105"/>
        <v>#REF!</v>
      </c>
      <c r="I124" s="1103"/>
      <c r="J124" s="1096" t="e">
        <f t="shared" si="106"/>
        <v>#REF!</v>
      </c>
      <c r="K124" s="1096"/>
      <c r="L124" s="1096" t="e">
        <f t="shared" si="107"/>
        <v>#REF!</v>
      </c>
      <c r="M124" s="1103"/>
      <c r="N124" s="1096" t="e">
        <f t="shared" si="108"/>
        <v>#REF!</v>
      </c>
      <c r="O124" s="1098">
        <f t="shared" si="103"/>
        <v>0</v>
      </c>
      <c r="P124" s="1096" t="e">
        <f t="shared" si="109"/>
        <v>#REF!</v>
      </c>
      <c r="Q124" s="1098">
        <f t="shared" si="110"/>
        <v>0</v>
      </c>
      <c r="R124" s="1096" t="e">
        <f t="shared" si="112"/>
        <v>#REF!</v>
      </c>
      <c r="S124" s="1107"/>
      <c r="T124" s="1104"/>
    </row>
    <row r="125" spans="1:20" s="1108" customFormat="1" hidden="1">
      <c r="A125" s="1085"/>
      <c r="B125" s="1322" t="s">
        <v>4498</v>
      </c>
      <c r="C125" s="1085" t="e">
        <f>#REF!</f>
        <v>#REF!</v>
      </c>
      <c r="E125" s="1240"/>
      <c r="F125" s="1097" t="e">
        <f t="shared" si="104"/>
        <v>#REF!</v>
      </c>
      <c r="G125" s="1103"/>
      <c r="H125" s="1096" t="e">
        <f t="shared" si="105"/>
        <v>#REF!</v>
      </c>
      <c r="I125" s="1103"/>
      <c r="J125" s="1096" t="e">
        <f t="shared" si="106"/>
        <v>#REF!</v>
      </c>
      <c r="K125" s="1096"/>
      <c r="L125" s="1096" t="e">
        <f t="shared" si="107"/>
        <v>#REF!</v>
      </c>
      <c r="M125" s="1103"/>
      <c r="N125" s="1096" t="e">
        <f t="shared" si="108"/>
        <v>#REF!</v>
      </c>
      <c r="O125" s="1098">
        <f t="shared" si="103"/>
        <v>0</v>
      </c>
      <c r="P125" s="1096" t="e">
        <f t="shared" si="109"/>
        <v>#REF!</v>
      </c>
      <c r="Q125" s="1098">
        <f t="shared" si="110"/>
        <v>0</v>
      </c>
      <c r="R125" s="1096" t="e">
        <f t="shared" si="112"/>
        <v>#REF!</v>
      </c>
      <c r="S125" s="1107"/>
      <c r="T125" s="1104"/>
    </row>
    <row r="126" spans="1:20" s="1108" customFormat="1" hidden="1">
      <c r="A126" s="1085"/>
      <c r="B126" s="1322" t="s">
        <v>4499</v>
      </c>
      <c r="C126" s="1085" t="e">
        <f>#REF!</f>
        <v>#REF!</v>
      </c>
      <c r="E126" s="1240"/>
      <c r="F126" s="1097" t="e">
        <f t="shared" si="104"/>
        <v>#REF!</v>
      </c>
      <c r="G126" s="1103"/>
      <c r="H126" s="1096" t="e">
        <f t="shared" si="105"/>
        <v>#REF!</v>
      </c>
      <c r="I126" s="1103"/>
      <c r="J126" s="1096" t="e">
        <f t="shared" si="106"/>
        <v>#REF!</v>
      </c>
      <c r="K126" s="1096"/>
      <c r="L126" s="1096" t="e">
        <f t="shared" si="107"/>
        <v>#REF!</v>
      </c>
      <c r="M126" s="1103"/>
      <c r="N126" s="1096" t="e">
        <f t="shared" si="108"/>
        <v>#REF!</v>
      </c>
      <c r="O126" s="1098">
        <f t="shared" si="103"/>
        <v>0</v>
      </c>
      <c r="P126" s="1096" t="e">
        <f t="shared" si="109"/>
        <v>#REF!</v>
      </c>
      <c r="Q126" s="1098">
        <f t="shared" si="110"/>
        <v>0</v>
      </c>
      <c r="R126" s="1096" t="e">
        <f t="shared" si="112"/>
        <v>#REF!</v>
      </c>
      <c r="S126" s="1107"/>
      <c r="T126" s="1104"/>
    </row>
    <row r="127" spans="1:20" s="1108" customFormat="1" hidden="1">
      <c r="A127" s="1085"/>
      <c r="B127" s="1322" t="s">
        <v>4500</v>
      </c>
      <c r="C127" s="1085" t="e">
        <f>#REF!</f>
        <v>#REF!</v>
      </c>
      <c r="E127" s="1240"/>
      <c r="F127" s="1097" t="e">
        <f t="shared" si="104"/>
        <v>#REF!</v>
      </c>
      <c r="G127" s="1103"/>
      <c r="H127" s="1096" t="e">
        <f t="shared" si="105"/>
        <v>#REF!</v>
      </c>
      <c r="I127" s="1103"/>
      <c r="J127" s="1096" t="e">
        <f t="shared" si="106"/>
        <v>#REF!</v>
      </c>
      <c r="K127" s="1096"/>
      <c r="L127" s="1096" t="e">
        <f t="shared" si="107"/>
        <v>#REF!</v>
      </c>
      <c r="M127" s="1103"/>
      <c r="N127" s="1096" t="e">
        <f t="shared" si="108"/>
        <v>#REF!</v>
      </c>
      <c r="O127" s="1098">
        <f t="shared" si="103"/>
        <v>0</v>
      </c>
      <c r="P127" s="1096" t="e">
        <f t="shared" si="109"/>
        <v>#REF!</v>
      </c>
      <c r="Q127" s="1098">
        <f t="shared" si="110"/>
        <v>0</v>
      </c>
      <c r="R127" s="1096" t="e">
        <f t="shared" si="112"/>
        <v>#REF!</v>
      </c>
      <c r="S127" s="1107"/>
      <c r="T127" s="1104"/>
    </row>
    <row r="128" spans="1:20" s="1108" customFormat="1" ht="69.75" hidden="1">
      <c r="A128" s="1085"/>
      <c r="B128" s="1270" t="s">
        <v>4501</v>
      </c>
      <c r="C128" s="1085" t="e">
        <f>#REF!</f>
        <v>#REF!</v>
      </c>
      <c r="E128" s="1240"/>
      <c r="F128" s="1097" t="e">
        <f t="shared" si="104"/>
        <v>#REF!</v>
      </c>
      <c r="G128" s="1103"/>
      <c r="H128" s="1096" t="e">
        <f t="shared" si="105"/>
        <v>#REF!</v>
      </c>
      <c r="I128" s="1103"/>
      <c r="J128" s="1096" t="e">
        <f t="shared" si="106"/>
        <v>#REF!</v>
      </c>
      <c r="K128" s="1096"/>
      <c r="L128" s="1096" t="e">
        <f t="shared" si="107"/>
        <v>#REF!</v>
      </c>
      <c r="M128" s="1103"/>
      <c r="N128" s="1096" t="e">
        <f t="shared" si="108"/>
        <v>#REF!</v>
      </c>
      <c r="O128" s="1098">
        <f t="shared" si="103"/>
        <v>0</v>
      </c>
      <c r="P128" s="1096" t="e">
        <f t="shared" si="109"/>
        <v>#REF!</v>
      </c>
      <c r="Q128" s="1098">
        <f t="shared" si="110"/>
        <v>0</v>
      </c>
      <c r="R128" s="1096" t="e">
        <f t="shared" si="112"/>
        <v>#REF!</v>
      </c>
      <c r="S128" s="1107"/>
      <c r="T128" s="1104"/>
    </row>
    <row r="129" spans="1:20" s="1108" customFormat="1" ht="69.75" hidden="1">
      <c r="A129" s="1085"/>
      <c r="B129" s="1270" t="s">
        <v>4502</v>
      </c>
      <c r="C129" s="1085" t="e">
        <f>#REF!</f>
        <v>#REF!</v>
      </c>
      <c r="E129" s="1240"/>
      <c r="F129" s="1097" t="e">
        <f t="shared" si="104"/>
        <v>#REF!</v>
      </c>
      <c r="G129" s="1103"/>
      <c r="H129" s="1096" t="e">
        <f t="shared" si="105"/>
        <v>#REF!</v>
      </c>
      <c r="I129" s="1103"/>
      <c r="J129" s="1096" t="e">
        <f t="shared" si="106"/>
        <v>#REF!</v>
      </c>
      <c r="K129" s="1096"/>
      <c r="L129" s="1096" t="e">
        <f t="shared" si="107"/>
        <v>#REF!</v>
      </c>
      <c r="M129" s="1103"/>
      <c r="N129" s="1096" t="e">
        <f t="shared" si="108"/>
        <v>#REF!</v>
      </c>
      <c r="O129" s="1098">
        <f t="shared" si="103"/>
        <v>0</v>
      </c>
      <c r="P129" s="1096" t="e">
        <f t="shared" si="109"/>
        <v>#REF!</v>
      </c>
      <c r="Q129" s="1098">
        <f t="shared" si="110"/>
        <v>0</v>
      </c>
      <c r="R129" s="1096" t="e">
        <f t="shared" si="112"/>
        <v>#REF!</v>
      </c>
      <c r="S129" s="1107"/>
      <c r="T129" s="1104"/>
    </row>
    <row r="130" spans="1:20" s="1108" customFormat="1" ht="46.5" hidden="1">
      <c r="A130" s="1085"/>
      <c r="B130" s="1270" t="s">
        <v>4503</v>
      </c>
      <c r="C130" s="1085" t="e">
        <f>#REF!</f>
        <v>#REF!</v>
      </c>
      <c r="E130" s="1240"/>
      <c r="F130" s="1097" t="e">
        <f t="shared" si="104"/>
        <v>#REF!</v>
      </c>
      <c r="G130" s="1103"/>
      <c r="H130" s="1096" t="e">
        <f t="shared" si="105"/>
        <v>#REF!</v>
      </c>
      <c r="I130" s="1103"/>
      <c r="J130" s="1096" t="e">
        <f t="shared" si="106"/>
        <v>#REF!</v>
      </c>
      <c r="K130" s="1096"/>
      <c r="L130" s="1096" t="e">
        <f t="shared" si="107"/>
        <v>#REF!</v>
      </c>
      <c r="M130" s="1103"/>
      <c r="N130" s="1096" t="e">
        <f t="shared" si="108"/>
        <v>#REF!</v>
      </c>
      <c r="O130" s="1098">
        <f t="shared" si="103"/>
        <v>0</v>
      </c>
      <c r="P130" s="1096" t="e">
        <f t="shared" si="109"/>
        <v>#REF!</v>
      </c>
      <c r="Q130" s="1098">
        <f t="shared" si="110"/>
        <v>0</v>
      </c>
      <c r="R130" s="1096" t="e">
        <f t="shared" si="112"/>
        <v>#REF!</v>
      </c>
      <c r="S130" s="1107"/>
      <c r="T130" s="1104"/>
    </row>
    <row r="131" spans="1:20" s="1108" customFormat="1" ht="69.75" hidden="1">
      <c r="A131" s="1085"/>
      <c r="B131" s="1270" t="s">
        <v>4504</v>
      </c>
      <c r="C131" s="1085" t="e">
        <f>#REF!</f>
        <v>#REF!</v>
      </c>
      <c r="E131" s="1240"/>
      <c r="F131" s="1097" t="e">
        <f t="shared" si="104"/>
        <v>#REF!</v>
      </c>
      <c r="G131" s="1103"/>
      <c r="H131" s="1096" t="e">
        <f t="shared" si="105"/>
        <v>#REF!</v>
      </c>
      <c r="I131" s="1103"/>
      <c r="J131" s="1096" t="e">
        <f t="shared" si="106"/>
        <v>#REF!</v>
      </c>
      <c r="K131" s="1096"/>
      <c r="L131" s="1096" t="e">
        <f t="shared" si="107"/>
        <v>#REF!</v>
      </c>
      <c r="M131" s="1103"/>
      <c r="N131" s="1096" t="e">
        <f t="shared" si="108"/>
        <v>#REF!</v>
      </c>
      <c r="O131" s="1098">
        <f t="shared" si="103"/>
        <v>0</v>
      </c>
      <c r="P131" s="1096" t="e">
        <f t="shared" si="109"/>
        <v>#REF!</v>
      </c>
      <c r="Q131" s="1098">
        <f t="shared" si="110"/>
        <v>0</v>
      </c>
      <c r="R131" s="1096" t="e">
        <f t="shared" si="112"/>
        <v>#REF!</v>
      </c>
      <c r="S131" s="1107"/>
      <c r="T131" s="1104"/>
    </row>
    <row r="132" spans="1:20" s="1108" customFormat="1" hidden="1">
      <c r="A132" s="1085"/>
      <c r="B132" s="1270" t="s">
        <v>4505</v>
      </c>
      <c r="C132" s="1085" t="e">
        <f>#REF!</f>
        <v>#REF!</v>
      </c>
      <c r="E132" s="1240"/>
      <c r="F132" s="1097" t="e">
        <f t="shared" si="104"/>
        <v>#REF!</v>
      </c>
      <c r="G132" s="1103"/>
      <c r="H132" s="1096" t="e">
        <f t="shared" si="105"/>
        <v>#REF!</v>
      </c>
      <c r="I132" s="1103"/>
      <c r="J132" s="1096" t="e">
        <f t="shared" si="106"/>
        <v>#REF!</v>
      </c>
      <c r="K132" s="1096"/>
      <c r="L132" s="1096" t="e">
        <f t="shared" si="107"/>
        <v>#REF!</v>
      </c>
      <c r="M132" s="1103"/>
      <c r="N132" s="1096" t="e">
        <f t="shared" si="108"/>
        <v>#REF!</v>
      </c>
      <c r="O132" s="1098">
        <f t="shared" si="103"/>
        <v>0</v>
      </c>
      <c r="P132" s="1096" t="e">
        <f t="shared" si="109"/>
        <v>#REF!</v>
      </c>
      <c r="Q132" s="1098">
        <f t="shared" si="110"/>
        <v>0</v>
      </c>
      <c r="R132" s="1096" t="e">
        <f t="shared" si="112"/>
        <v>#REF!</v>
      </c>
      <c r="S132" s="1107"/>
      <c r="T132" s="1104"/>
    </row>
    <row r="133" spans="1:20" s="1108" customFormat="1" hidden="1">
      <c r="A133" s="1085"/>
      <c r="B133" s="1270" t="s">
        <v>4506</v>
      </c>
      <c r="C133" s="1085" t="e">
        <f>#REF!</f>
        <v>#REF!</v>
      </c>
      <c r="E133" s="1240"/>
      <c r="F133" s="1097" t="e">
        <f t="shared" si="104"/>
        <v>#REF!</v>
      </c>
      <c r="G133" s="1103"/>
      <c r="H133" s="1096" t="e">
        <f t="shared" si="105"/>
        <v>#REF!</v>
      </c>
      <c r="I133" s="1103"/>
      <c r="J133" s="1096" t="e">
        <f t="shared" si="106"/>
        <v>#REF!</v>
      </c>
      <c r="K133" s="1096"/>
      <c r="L133" s="1096" t="e">
        <f t="shared" si="107"/>
        <v>#REF!</v>
      </c>
      <c r="M133" s="1103"/>
      <c r="N133" s="1096" t="e">
        <f t="shared" si="108"/>
        <v>#REF!</v>
      </c>
      <c r="O133" s="1098">
        <f t="shared" si="103"/>
        <v>0</v>
      </c>
      <c r="P133" s="1096" t="e">
        <f t="shared" si="109"/>
        <v>#REF!</v>
      </c>
      <c r="Q133" s="1098">
        <f t="shared" si="110"/>
        <v>0</v>
      </c>
      <c r="R133" s="1096" t="e">
        <f t="shared" si="112"/>
        <v>#REF!</v>
      </c>
      <c r="S133" s="1107"/>
      <c r="T133" s="1104"/>
    </row>
    <row r="134" spans="1:20" s="1108" customFormat="1" hidden="1">
      <c r="A134" s="1085"/>
      <c r="B134" s="1270" t="s">
        <v>4507</v>
      </c>
      <c r="C134" s="1085" t="e">
        <f>#REF!</f>
        <v>#REF!</v>
      </c>
      <c r="E134" s="1240"/>
      <c r="F134" s="1097" t="e">
        <f t="shared" si="104"/>
        <v>#REF!</v>
      </c>
      <c r="G134" s="1103"/>
      <c r="H134" s="1096" t="e">
        <f t="shared" si="105"/>
        <v>#REF!</v>
      </c>
      <c r="I134" s="1103"/>
      <c r="J134" s="1096" t="e">
        <f t="shared" si="106"/>
        <v>#REF!</v>
      </c>
      <c r="K134" s="1096"/>
      <c r="L134" s="1096" t="e">
        <f t="shared" si="107"/>
        <v>#REF!</v>
      </c>
      <c r="M134" s="1103"/>
      <c r="N134" s="1096" t="e">
        <f t="shared" si="108"/>
        <v>#REF!</v>
      </c>
      <c r="O134" s="1098">
        <f t="shared" si="103"/>
        <v>0</v>
      </c>
      <c r="P134" s="1096" t="e">
        <f t="shared" si="109"/>
        <v>#REF!</v>
      </c>
      <c r="Q134" s="1098">
        <f t="shared" si="110"/>
        <v>0</v>
      </c>
      <c r="R134" s="1096" t="e">
        <f t="shared" si="112"/>
        <v>#REF!</v>
      </c>
      <c r="S134" s="1107"/>
      <c r="T134" s="1104"/>
    </row>
    <row r="135" spans="1:20" s="1108" customFormat="1" ht="93" hidden="1">
      <c r="A135" s="1085"/>
      <c r="B135" s="1270" t="s">
        <v>4508</v>
      </c>
      <c r="C135" s="1085" t="e">
        <f>#REF!</f>
        <v>#REF!</v>
      </c>
      <c r="E135" s="1240"/>
      <c r="F135" s="1097" t="e">
        <f t="shared" si="104"/>
        <v>#REF!</v>
      </c>
      <c r="G135" s="1103"/>
      <c r="H135" s="1096" t="e">
        <f t="shared" si="105"/>
        <v>#REF!</v>
      </c>
      <c r="I135" s="1103"/>
      <c r="J135" s="1096" t="e">
        <f t="shared" si="106"/>
        <v>#REF!</v>
      </c>
      <c r="K135" s="1096"/>
      <c r="L135" s="1096" t="e">
        <f t="shared" si="107"/>
        <v>#REF!</v>
      </c>
      <c r="M135" s="1103"/>
      <c r="N135" s="1096" t="e">
        <f t="shared" si="108"/>
        <v>#REF!</v>
      </c>
      <c r="O135" s="1098">
        <f t="shared" si="103"/>
        <v>0</v>
      </c>
      <c r="P135" s="1096" t="e">
        <f t="shared" si="109"/>
        <v>#REF!</v>
      </c>
      <c r="Q135" s="1098">
        <f t="shared" si="110"/>
        <v>0</v>
      </c>
      <c r="R135" s="1096" t="e">
        <f t="shared" si="112"/>
        <v>#REF!</v>
      </c>
      <c r="S135" s="1107"/>
      <c r="T135" s="1104"/>
    </row>
    <row r="136" spans="1:20" s="1108" customFormat="1" ht="93" hidden="1">
      <c r="A136" s="1085"/>
      <c r="B136" s="1270" t="s">
        <v>4509</v>
      </c>
      <c r="C136" s="1085" t="e">
        <f>#REF!</f>
        <v>#REF!</v>
      </c>
      <c r="E136" s="1240"/>
      <c r="F136" s="1097" t="e">
        <f t="shared" si="104"/>
        <v>#REF!</v>
      </c>
      <c r="G136" s="1103"/>
      <c r="H136" s="1096" t="e">
        <f t="shared" si="105"/>
        <v>#REF!</v>
      </c>
      <c r="I136" s="1103"/>
      <c r="J136" s="1096" t="e">
        <f t="shared" si="106"/>
        <v>#REF!</v>
      </c>
      <c r="K136" s="1096"/>
      <c r="L136" s="1096" t="e">
        <f t="shared" si="107"/>
        <v>#REF!</v>
      </c>
      <c r="M136" s="1103"/>
      <c r="N136" s="1096" t="e">
        <f t="shared" si="108"/>
        <v>#REF!</v>
      </c>
      <c r="O136" s="1098">
        <f t="shared" si="103"/>
        <v>0</v>
      </c>
      <c r="P136" s="1096" t="e">
        <f t="shared" si="109"/>
        <v>#REF!</v>
      </c>
      <c r="Q136" s="1098">
        <f t="shared" si="110"/>
        <v>0</v>
      </c>
      <c r="R136" s="1096" t="e">
        <f t="shared" si="112"/>
        <v>#REF!</v>
      </c>
      <c r="S136" s="1107"/>
      <c r="T136" s="1104"/>
    </row>
    <row r="137" spans="1:20" s="1108" customFormat="1" ht="69.75" hidden="1">
      <c r="A137" s="1085"/>
      <c r="B137" s="1270" t="s">
        <v>4510</v>
      </c>
      <c r="C137" s="1085" t="e">
        <f>#REF!</f>
        <v>#REF!</v>
      </c>
      <c r="E137" s="1240"/>
      <c r="F137" s="1097" t="e">
        <f t="shared" si="104"/>
        <v>#REF!</v>
      </c>
      <c r="G137" s="1103"/>
      <c r="H137" s="1096" t="e">
        <f t="shared" si="105"/>
        <v>#REF!</v>
      </c>
      <c r="I137" s="1103"/>
      <c r="J137" s="1096" t="e">
        <f t="shared" si="106"/>
        <v>#REF!</v>
      </c>
      <c r="K137" s="1096"/>
      <c r="L137" s="1096" t="e">
        <f t="shared" si="107"/>
        <v>#REF!</v>
      </c>
      <c r="M137" s="1103"/>
      <c r="N137" s="1096" t="e">
        <f t="shared" si="108"/>
        <v>#REF!</v>
      </c>
      <c r="O137" s="1098">
        <f t="shared" si="103"/>
        <v>0</v>
      </c>
      <c r="P137" s="1096" t="e">
        <f t="shared" si="109"/>
        <v>#REF!</v>
      </c>
      <c r="Q137" s="1098">
        <f t="shared" si="110"/>
        <v>0</v>
      </c>
      <c r="R137" s="1096" t="e">
        <f t="shared" si="112"/>
        <v>#REF!</v>
      </c>
      <c r="S137" s="1107"/>
      <c r="T137" s="1104"/>
    </row>
    <row r="138" spans="1:20" s="1108" customFormat="1" ht="69.75" hidden="1">
      <c r="A138" s="1085"/>
      <c r="B138" s="1270" t="s">
        <v>4511</v>
      </c>
      <c r="C138" s="1085" t="e">
        <f>#REF!</f>
        <v>#REF!</v>
      </c>
      <c r="E138" s="1240"/>
      <c r="F138" s="1097" t="e">
        <f t="shared" si="104"/>
        <v>#REF!</v>
      </c>
      <c r="G138" s="1103"/>
      <c r="H138" s="1096" t="e">
        <f t="shared" si="105"/>
        <v>#REF!</v>
      </c>
      <c r="I138" s="1103"/>
      <c r="J138" s="1096" t="e">
        <f t="shared" si="106"/>
        <v>#REF!</v>
      </c>
      <c r="K138" s="1096"/>
      <c r="L138" s="1096" t="e">
        <f t="shared" si="107"/>
        <v>#REF!</v>
      </c>
      <c r="M138" s="1103"/>
      <c r="N138" s="1096" t="e">
        <f t="shared" si="108"/>
        <v>#REF!</v>
      </c>
      <c r="O138" s="1098">
        <f t="shared" si="103"/>
        <v>0</v>
      </c>
      <c r="P138" s="1096" t="e">
        <f t="shared" si="109"/>
        <v>#REF!</v>
      </c>
      <c r="Q138" s="1098">
        <f t="shared" si="110"/>
        <v>0</v>
      </c>
      <c r="R138" s="1096" t="e">
        <f t="shared" si="112"/>
        <v>#REF!</v>
      </c>
      <c r="S138" s="1107"/>
      <c r="T138" s="1104"/>
    </row>
    <row r="139" spans="1:20" s="1108" customFormat="1" ht="116.25" hidden="1">
      <c r="A139" s="1085"/>
      <c r="B139" s="1270" t="s">
        <v>4512</v>
      </c>
      <c r="C139" s="1085" t="e">
        <f>#REF!</f>
        <v>#REF!</v>
      </c>
      <c r="E139" s="1240"/>
      <c r="F139" s="1097" t="e">
        <f t="shared" si="104"/>
        <v>#REF!</v>
      </c>
      <c r="G139" s="1103"/>
      <c r="H139" s="1096" t="e">
        <f t="shared" si="105"/>
        <v>#REF!</v>
      </c>
      <c r="I139" s="1103"/>
      <c r="J139" s="1096" t="e">
        <f t="shared" si="106"/>
        <v>#REF!</v>
      </c>
      <c r="K139" s="1096"/>
      <c r="L139" s="1096" t="e">
        <f t="shared" si="107"/>
        <v>#REF!</v>
      </c>
      <c r="M139" s="1103"/>
      <c r="N139" s="1096" t="e">
        <f t="shared" si="108"/>
        <v>#REF!</v>
      </c>
      <c r="O139" s="1098">
        <f t="shared" si="103"/>
        <v>0</v>
      </c>
      <c r="P139" s="1096" t="e">
        <f t="shared" si="109"/>
        <v>#REF!</v>
      </c>
      <c r="Q139" s="1098">
        <f t="shared" si="110"/>
        <v>0</v>
      </c>
      <c r="R139" s="1096" t="e">
        <f t="shared" si="112"/>
        <v>#REF!</v>
      </c>
      <c r="S139" s="1107"/>
      <c r="T139" s="1104"/>
    </row>
    <row r="140" spans="1:20" s="1108" customFormat="1" ht="93" hidden="1">
      <c r="A140" s="1085"/>
      <c r="B140" s="1270" t="s">
        <v>4513</v>
      </c>
      <c r="C140" s="1085" t="e">
        <f>#REF!</f>
        <v>#REF!</v>
      </c>
      <c r="E140" s="1240"/>
      <c r="F140" s="1097" t="e">
        <f t="shared" si="104"/>
        <v>#REF!</v>
      </c>
      <c r="G140" s="1103"/>
      <c r="H140" s="1096" t="e">
        <f t="shared" si="105"/>
        <v>#REF!</v>
      </c>
      <c r="I140" s="1103"/>
      <c r="J140" s="1096" t="e">
        <f t="shared" si="106"/>
        <v>#REF!</v>
      </c>
      <c r="K140" s="1096"/>
      <c r="L140" s="1096" t="e">
        <f t="shared" si="107"/>
        <v>#REF!</v>
      </c>
      <c r="M140" s="1103"/>
      <c r="N140" s="1096" t="e">
        <f t="shared" si="108"/>
        <v>#REF!</v>
      </c>
      <c r="O140" s="1098">
        <f t="shared" si="103"/>
        <v>0</v>
      </c>
      <c r="P140" s="1096" t="e">
        <f t="shared" si="109"/>
        <v>#REF!</v>
      </c>
      <c r="Q140" s="1098">
        <f t="shared" si="110"/>
        <v>0</v>
      </c>
      <c r="R140" s="1096" t="e">
        <f t="shared" si="112"/>
        <v>#REF!</v>
      </c>
      <c r="S140" s="1107"/>
      <c r="T140" s="1104"/>
    </row>
    <row r="141" spans="1:20" s="1108" customFormat="1" ht="46.5" hidden="1">
      <c r="A141" s="1085"/>
      <c r="B141" s="1270" t="s">
        <v>4514</v>
      </c>
      <c r="C141" s="1085" t="e">
        <f>#REF!</f>
        <v>#REF!</v>
      </c>
      <c r="E141" s="1240"/>
      <c r="F141" s="1097" t="e">
        <f t="shared" si="104"/>
        <v>#REF!</v>
      </c>
      <c r="G141" s="1103"/>
      <c r="H141" s="1096" t="e">
        <f t="shared" si="105"/>
        <v>#REF!</v>
      </c>
      <c r="I141" s="1103"/>
      <c r="J141" s="1096" t="e">
        <f t="shared" si="106"/>
        <v>#REF!</v>
      </c>
      <c r="K141" s="1096"/>
      <c r="L141" s="1096" t="e">
        <f t="shared" si="107"/>
        <v>#REF!</v>
      </c>
      <c r="M141" s="1103"/>
      <c r="N141" s="1096" t="e">
        <f t="shared" si="108"/>
        <v>#REF!</v>
      </c>
      <c r="O141" s="1098">
        <f t="shared" si="103"/>
        <v>0</v>
      </c>
      <c r="P141" s="1096" t="e">
        <f t="shared" si="109"/>
        <v>#REF!</v>
      </c>
      <c r="Q141" s="1098">
        <f t="shared" si="110"/>
        <v>0</v>
      </c>
      <c r="R141" s="1096" t="e">
        <f t="shared" si="112"/>
        <v>#REF!</v>
      </c>
      <c r="S141" s="1107"/>
      <c r="T141" s="1104"/>
    </row>
    <row r="142" spans="1:20" s="1108" customFormat="1" ht="46.5" hidden="1">
      <c r="A142" s="1085"/>
      <c r="B142" s="1270" t="s">
        <v>4515</v>
      </c>
      <c r="C142" s="1085" t="e">
        <f>#REF!</f>
        <v>#REF!</v>
      </c>
      <c r="E142" s="1240"/>
      <c r="F142" s="1097" t="e">
        <f t="shared" si="104"/>
        <v>#REF!</v>
      </c>
      <c r="G142" s="1103"/>
      <c r="H142" s="1096" t="e">
        <f t="shared" si="105"/>
        <v>#REF!</v>
      </c>
      <c r="I142" s="1103"/>
      <c r="J142" s="1096" t="e">
        <f t="shared" si="106"/>
        <v>#REF!</v>
      </c>
      <c r="K142" s="1096"/>
      <c r="L142" s="1096" t="e">
        <f t="shared" si="107"/>
        <v>#REF!</v>
      </c>
      <c r="M142" s="1103"/>
      <c r="N142" s="1096" t="e">
        <f t="shared" si="108"/>
        <v>#REF!</v>
      </c>
      <c r="O142" s="1098">
        <f t="shared" si="103"/>
        <v>0</v>
      </c>
      <c r="P142" s="1096" t="e">
        <f t="shared" si="109"/>
        <v>#REF!</v>
      </c>
      <c r="Q142" s="1098">
        <f t="shared" si="110"/>
        <v>0</v>
      </c>
      <c r="R142" s="1096" t="e">
        <f t="shared" si="112"/>
        <v>#REF!</v>
      </c>
      <c r="S142" s="1107"/>
      <c r="T142" s="1104"/>
    </row>
    <row r="143" spans="1:20" s="1108" customFormat="1" ht="46.5" hidden="1">
      <c r="A143" s="1085"/>
      <c r="B143" s="1270" t="s">
        <v>4516</v>
      </c>
      <c r="C143" s="1085" t="e">
        <f>#REF!</f>
        <v>#REF!</v>
      </c>
      <c r="E143" s="1240"/>
      <c r="F143" s="1097" t="e">
        <f t="shared" si="104"/>
        <v>#REF!</v>
      </c>
      <c r="G143" s="1103"/>
      <c r="H143" s="1096" t="e">
        <f t="shared" si="105"/>
        <v>#REF!</v>
      </c>
      <c r="I143" s="1103"/>
      <c r="J143" s="1096" t="e">
        <f t="shared" si="106"/>
        <v>#REF!</v>
      </c>
      <c r="K143" s="1096"/>
      <c r="L143" s="1096" t="e">
        <f t="shared" si="107"/>
        <v>#REF!</v>
      </c>
      <c r="M143" s="1103"/>
      <c r="N143" s="1096" t="e">
        <f t="shared" si="108"/>
        <v>#REF!</v>
      </c>
      <c r="O143" s="1098">
        <f t="shared" si="103"/>
        <v>0</v>
      </c>
      <c r="P143" s="1096" t="e">
        <f t="shared" si="109"/>
        <v>#REF!</v>
      </c>
      <c r="Q143" s="1098">
        <f t="shared" si="110"/>
        <v>0</v>
      </c>
      <c r="R143" s="1096" t="e">
        <f t="shared" si="112"/>
        <v>#REF!</v>
      </c>
      <c r="S143" s="1107"/>
      <c r="T143" s="1104"/>
    </row>
    <row r="144" spans="1:20" s="1108" customFormat="1" ht="46.5" hidden="1">
      <c r="A144" s="1085"/>
      <c r="B144" s="1270" t="s">
        <v>4517</v>
      </c>
      <c r="C144" s="1085" t="e">
        <f>#REF!</f>
        <v>#REF!</v>
      </c>
      <c r="E144" s="1240"/>
      <c r="F144" s="1097" t="e">
        <f t="shared" si="104"/>
        <v>#REF!</v>
      </c>
      <c r="G144" s="1103"/>
      <c r="H144" s="1096" t="e">
        <f t="shared" si="105"/>
        <v>#REF!</v>
      </c>
      <c r="I144" s="1103"/>
      <c r="J144" s="1096" t="e">
        <f t="shared" si="106"/>
        <v>#REF!</v>
      </c>
      <c r="K144" s="1096"/>
      <c r="L144" s="1096" t="e">
        <f t="shared" si="107"/>
        <v>#REF!</v>
      </c>
      <c r="M144" s="1103"/>
      <c r="N144" s="1096" t="e">
        <f t="shared" si="108"/>
        <v>#REF!</v>
      </c>
      <c r="O144" s="1098">
        <f t="shared" si="103"/>
        <v>0</v>
      </c>
      <c r="P144" s="1096" t="e">
        <f t="shared" si="109"/>
        <v>#REF!</v>
      </c>
      <c r="Q144" s="1098">
        <f t="shared" si="110"/>
        <v>0</v>
      </c>
      <c r="R144" s="1096" t="e">
        <f t="shared" si="112"/>
        <v>#REF!</v>
      </c>
      <c r="S144" s="1107"/>
      <c r="T144" s="1104"/>
    </row>
    <row r="145" spans="1:20" s="1108" customFormat="1" ht="46.5" hidden="1">
      <c r="A145" s="1085"/>
      <c r="B145" s="1270" t="s">
        <v>4518</v>
      </c>
      <c r="C145" s="1085" t="e">
        <f>#REF!</f>
        <v>#REF!</v>
      </c>
      <c r="E145" s="1240"/>
      <c r="F145" s="1097" t="e">
        <f t="shared" si="104"/>
        <v>#REF!</v>
      </c>
      <c r="G145" s="1103"/>
      <c r="H145" s="1096" t="e">
        <f t="shared" si="105"/>
        <v>#REF!</v>
      </c>
      <c r="I145" s="1103"/>
      <c r="J145" s="1096" t="e">
        <f t="shared" si="106"/>
        <v>#REF!</v>
      </c>
      <c r="K145" s="1096"/>
      <c r="L145" s="1096" t="e">
        <f t="shared" si="107"/>
        <v>#REF!</v>
      </c>
      <c r="M145" s="1103"/>
      <c r="N145" s="1096" t="e">
        <f t="shared" si="108"/>
        <v>#REF!</v>
      </c>
      <c r="O145" s="1098">
        <f t="shared" si="103"/>
        <v>0</v>
      </c>
      <c r="P145" s="1096" t="e">
        <f t="shared" si="109"/>
        <v>#REF!</v>
      </c>
      <c r="Q145" s="1098">
        <f t="shared" si="110"/>
        <v>0</v>
      </c>
      <c r="R145" s="1096" t="e">
        <f t="shared" si="112"/>
        <v>#REF!</v>
      </c>
      <c r="S145" s="1107"/>
      <c r="T145" s="1104"/>
    </row>
    <row r="146" spans="1:20" s="1108" customFormat="1" ht="46.5" hidden="1">
      <c r="A146" s="1085"/>
      <c r="B146" s="1270" t="s">
        <v>4519</v>
      </c>
      <c r="C146" s="1085" t="e">
        <f>#REF!</f>
        <v>#REF!</v>
      </c>
      <c r="E146" s="1240"/>
      <c r="F146" s="1097" t="e">
        <f t="shared" si="104"/>
        <v>#REF!</v>
      </c>
      <c r="G146" s="1103"/>
      <c r="H146" s="1096" t="e">
        <f t="shared" si="105"/>
        <v>#REF!</v>
      </c>
      <c r="I146" s="1103"/>
      <c r="J146" s="1096" t="e">
        <f t="shared" si="106"/>
        <v>#REF!</v>
      </c>
      <c r="K146" s="1096"/>
      <c r="L146" s="1096" t="e">
        <f t="shared" si="107"/>
        <v>#REF!</v>
      </c>
      <c r="M146" s="1103"/>
      <c r="N146" s="1096" t="e">
        <f t="shared" si="108"/>
        <v>#REF!</v>
      </c>
      <c r="O146" s="1098">
        <f t="shared" si="103"/>
        <v>0</v>
      </c>
      <c r="P146" s="1096" t="e">
        <f t="shared" si="109"/>
        <v>#REF!</v>
      </c>
      <c r="Q146" s="1098">
        <f t="shared" ref="Q146:Q206" si="113">O146+E146+G146</f>
        <v>0</v>
      </c>
      <c r="R146" s="1096" t="e">
        <f t="shared" si="112"/>
        <v>#REF!</v>
      </c>
      <c r="S146" s="1107"/>
      <c r="T146" s="1104"/>
    </row>
    <row r="147" spans="1:20" s="1108" customFormat="1" ht="46.5" hidden="1">
      <c r="A147" s="1085"/>
      <c r="B147" s="1270" t="s">
        <v>4520</v>
      </c>
      <c r="C147" s="1085" t="e">
        <f>#REF!</f>
        <v>#REF!</v>
      </c>
      <c r="E147" s="1240"/>
      <c r="F147" s="1097" t="e">
        <f t="shared" si="104"/>
        <v>#REF!</v>
      </c>
      <c r="G147" s="1103"/>
      <c r="H147" s="1096" t="e">
        <f t="shared" si="105"/>
        <v>#REF!</v>
      </c>
      <c r="I147" s="1103"/>
      <c r="J147" s="1096" t="e">
        <f t="shared" si="106"/>
        <v>#REF!</v>
      </c>
      <c r="K147" s="1096"/>
      <c r="L147" s="1096" t="e">
        <f t="shared" si="107"/>
        <v>#REF!</v>
      </c>
      <c r="M147" s="1103"/>
      <c r="N147" s="1096" t="e">
        <f t="shared" si="108"/>
        <v>#REF!</v>
      </c>
      <c r="O147" s="1098">
        <f t="shared" ref="O147:O206" si="114">I147+K147+M147</f>
        <v>0</v>
      </c>
      <c r="P147" s="1096" t="e">
        <f t="shared" si="109"/>
        <v>#REF!</v>
      </c>
      <c r="Q147" s="1098">
        <f t="shared" si="113"/>
        <v>0</v>
      </c>
      <c r="R147" s="1096" t="e">
        <f t="shared" si="112"/>
        <v>#REF!</v>
      </c>
      <c r="S147" s="1107"/>
      <c r="T147" s="1104"/>
    </row>
    <row r="148" spans="1:20" s="1108" customFormat="1" ht="46.5" hidden="1">
      <c r="A148" s="1085"/>
      <c r="B148" s="1270" t="s">
        <v>4521</v>
      </c>
      <c r="C148" s="1085" t="e">
        <f>#REF!</f>
        <v>#REF!</v>
      </c>
      <c r="E148" s="1240"/>
      <c r="F148" s="1097" t="e">
        <f t="shared" ref="F148:F211" si="115">E148*C148</f>
        <v>#REF!</v>
      </c>
      <c r="G148" s="1103"/>
      <c r="H148" s="1096" t="e">
        <f t="shared" ref="H148:H204" si="116">G148*C148</f>
        <v>#REF!</v>
      </c>
      <c r="I148" s="1103"/>
      <c r="J148" s="1096" t="e">
        <f t="shared" ref="J148:J211" si="117">I148*C148</f>
        <v>#REF!</v>
      </c>
      <c r="K148" s="1096"/>
      <c r="L148" s="1096" t="e">
        <f t="shared" ref="L148:L208" si="118">K148*C148</f>
        <v>#REF!</v>
      </c>
      <c r="M148" s="1103"/>
      <c r="N148" s="1096" t="e">
        <f t="shared" ref="N148:N211" si="119">M148*C148</f>
        <v>#REF!</v>
      </c>
      <c r="O148" s="1098">
        <f t="shared" si="114"/>
        <v>0</v>
      </c>
      <c r="P148" s="1096" t="e">
        <f t="shared" ref="P148:P206" si="120">O148*C148</f>
        <v>#REF!</v>
      </c>
      <c r="Q148" s="1098">
        <f t="shared" si="113"/>
        <v>0</v>
      </c>
      <c r="R148" s="1096" t="e">
        <f t="shared" si="112"/>
        <v>#REF!</v>
      </c>
      <c r="S148" s="1107"/>
      <c r="T148" s="1104"/>
    </row>
    <row r="149" spans="1:20" s="1108" customFormat="1" ht="69.75" hidden="1">
      <c r="A149" s="1085"/>
      <c r="B149" s="1270" t="s">
        <v>4522</v>
      </c>
      <c r="C149" s="1085" t="e">
        <f>#REF!</f>
        <v>#REF!</v>
      </c>
      <c r="E149" s="1240"/>
      <c r="F149" s="1097" t="e">
        <f t="shared" si="115"/>
        <v>#REF!</v>
      </c>
      <c r="G149" s="1103"/>
      <c r="H149" s="1096" t="e">
        <f t="shared" si="116"/>
        <v>#REF!</v>
      </c>
      <c r="I149" s="1103"/>
      <c r="J149" s="1096" t="e">
        <f t="shared" si="117"/>
        <v>#REF!</v>
      </c>
      <c r="K149" s="1096"/>
      <c r="L149" s="1096" t="e">
        <f t="shared" si="118"/>
        <v>#REF!</v>
      </c>
      <c r="M149" s="1103"/>
      <c r="N149" s="1096" t="e">
        <f t="shared" si="119"/>
        <v>#REF!</v>
      </c>
      <c r="O149" s="1098">
        <f t="shared" si="114"/>
        <v>0</v>
      </c>
      <c r="P149" s="1096" t="e">
        <f t="shared" si="120"/>
        <v>#REF!</v>
      </c>
      <c r="Q149" s="1098">
        <f t="shared" si="113"/>
        <v>0</v>
      </c>
      <c r="R149" s="1096" t="e">
        <f t="shared" si="112"/>
        <v>#REF!</v>
      </c>
      <c r="S149" s="1107"/>
      <c r="T149" s="1104"/>
    </row>
    <row r="150" spans="1:20" s="1108" customFormat="1" ht="69.75" hidden="1">
      <c r="A150" s="1085"/>
      <c r="B150" s="1270" t="s">
        <v>4523</v>
      </c>
      <c r="C150" s="1085" t="e">
        <f>#REF!</f>
        <v>#REF!</v>
      </c>
      <c r="E150" s="1240"/>
      <c r="F150" s="1097" t="e">
        <f t="shared" si="115"/>
        <v>#REF!</v>
      </c>
      <c r="G150" s="1103"/>
      <c r="H150" s="1096" t="e">
        <f t="shared" si="116"/>
        <v>#REF!</v>
      </c>
      <c r="I150" s="1103"/>
      <c r="J150" s="1096" t="e">
        <f t="shared" si="117"/>
        <v>#REF!</v>
      </c>
      <c r="K150" s="1096"/>
      <c r="L150" s="1096" t="e">
        <f t="shared" si="118"/>
        <v>#REF!</v>
      </c>
      <c r="M150" s="1103"/>
      <c r="N150" s="1096" t="e">
        <f t="shared" si="119"/>
        <v>#REF!</v>
      </c>
      <c r="O150" s="1098">
        <f t="shared" si="114"/>
        <v>0</v>
      </c>
      <c r="P150" s="1096" t="e">
        <f t="shared" si="120"/>
        <v>#REF!</v>
      </c>
      <c r="Q150" s="1098">
        <f t="shared" si="113"/>
        <v>0</v>
      </c>
      <c r="R150" s="1096" t="e">
        <f t="shared" si="112"/>
        <v>#REF!</v>
      </c>
      <c r="S150" s="1107"/>
      <c r="T150" s="1104"/>
    </row>
    <row r="151" spans="1:20" s="1108" customFormat="1" hidden="1">
      <c r="A151" s="1085"/>
      <c r="B151" s="1270" t="s">
        <v>4524</v>
      </c>
      <c r="C151" s="1085" t="e">
        <f>#REF!</f>
        <v>#REF!</v>
      </c>
      <c r="E151" s="1240"/>
      <c r="F151" s="1097" t="e">
        <f t="shared" si="115"/>
        <v>#REF!</v>
      </c>
      <c r="G151" s="1103"/>
      <c r="H151" s="1096" t="e">
        <f t="shared" si="116"/>
        <v>#REF!</v>
      </c>
      <c r="I151" s="1103"/>
      <c r="J151" s="1096" t="e">
        <f t="shared" si="117"/>
        <v>#REF!</v>
      </c>
      <c r="K151" s="1096"/>
      <c r="L151" s="1096" t="e">
        <f t="shared" si="118"/>
        <v>#REF!</v>
      </c>
      <c r="M151" s="1103"/>
      <c r="N151" s="1096" t="e">
        <f t="shared" si="119"/>
        <v>#REF!</v>
      </c>
      <c r="O151" s="1098">
        <f t="shared" si="114"/>
        <v>0</v>
      </c>
      <c r="P151" s="1096" t="e">
        <f t="shared" si="120"/>
        <v>#REF!</v>
      </c>
      <c r="Q151" s="1098">
        <f t="shared" si="113"/>
        <v>0</v>
      </c>
      <c r="R151" s="1096" t="e">
        <f t="shared" si="112"/>
        <v>#REF!</v>
      </c>
      <c r="S151" s="1107"/>
      <c r="T151" s="1104"/>
    </row>
    <row r="152" spans="1:20" s="1108" customFormat="1" hidden="1">
      <c r="A152" s="1085"/>
      <c r="B152" s="1270" t="s">
        <v>4525</v>
      </c>
      <c r="C152" s="1085" t="e">
        <f>#REF!</f>
        <v>#REF!</v>
      </c>
      <c r="E152" s="1240"/>
      <c r="F152" s="1097" t="e">
        <f t="shared" si="115"/>
        <v>#REF!</v>
      </c>
      <c r="G152" s="1103"/>
      <c r="H152" s="1096" t="e">
        <f t="shared" si="116"/>
        <v>#REF!</v>
      </c>
      <c r="I152" s="1103"/>
      <c r="J152" s="1096" t="e">
        <f t="shared" si="117"/>
        <v>#REF!</v>
      </c>
      <c r="K152" s="1096"/>
      <c r="L152" s="1096" t="e">
        <f t="shared" si="118"/>
        <v>#REF!</v>
      </c>
      <c r="M152" s="1103"/>
      <c r="N152" s="1096" t="e">
        <f t="shared" si="119"/>
        <v>#REF!</v>
      </c>
      <c r="O152" s="1098">
        <f t="shared" si="114"/>
        <v>0</v>
      </c>
      <c r="P152" s="1096" t="e">
        <f t="shared" si="120"/>
        <v>#REF!</v>
      </c>
      <c r="Q152" s="1098">
        <f t="shared" si="113"/>
        <v>0</v>
      </c>
      <c r="R152" s="1096" t="e">
        <f t="shared" si="112"/>
        <v>#REF!</v>
      </c>
      <c r="S152" s="1107"/>
      <c r="T152" s="1104"/>
    </row>
    <row r="153" spans="1:20" s="1108" customFormat="1" hidden="1">
      <c r="A153" s="1085"/>
      <c r="B153" s="1270" t="s">
        <v>4526</v>
      </c>
      <c r="C153" s="1085" t="e">
        <f>#REF!</f>
        <v>#REF!</v>
      </c>
      <c r="E153" s="1240"/>
      <c r="F153" s="1097" t="e">
        <f t="shared" si="115"/>
        <v>#REF!</v>
      </c>
      <c r="G153" s="1103"/>
      <c r="H153" s="1096" t="e">
        <f t="shared" si="116"/>
        <v>#REF!</v>
      </c>
      <c r="I153" s="1103"/>
      <c r="J153" s="1096" t="e">
        <f t="shared" si="117"/>
        <v>#REF!</v>
      </c>
      <c r="K153" s="1096"/>
      <c r="L153" s="1096" t="e">
        <f t="shared" si="118"/>
        <v>#REF!</v>
      </c>
      <c r="M153" s="1103"/>
      <c r="N153" s="1096" t="e">
        <f t="shared" si="119"/>
        <v>#REF!</v>
      </c>
      <c r="O153" s="1098">
        <f t="shared" si="114"/>
        <v>0</v>
      </c>
      <c r="P153" s="1096" t="e">
        <f t="shared" si="120"/>
        <v>#REF!</v>
      </c>
      <c r="Q153" s="1098">
        <f t="shared" si="113"/>
        <v>0</v>
      </c>
      <c r="R153" s="1096" t="e">
        <f t="shared" ref="R153:R206" si="121">Q153*C153</f>
        <v>#REF!</v>
      </c>
      <c r="S153" s="1107"/>
      <c r="T153" s="1104"/>
    </row>
    <row r="154" spans="1:20" s="1108" customFormat="1" hidden="1">
      <c r="A154" s="1085"/>
      <c r="B154" s="1270" t="s">
        <v>4527</v>
      </c>
      <c r="C154" s="1085" t="e">
        <f>#REF!</f>
        <v>#REF!</v>
      </c>
      <c r="E154" s="1240"/>
      <c r="F154" s="1097" t="e">
        <f t="shared" si="115"/>
        <v>#REF!</v>
      </c>
      <c r="G154" s="1103"/>
      <c r="H154" s="1096" t="e">
        <f t="shared" si="116"/>
        <v>#REF!</v>
      </c>
      <c r="I154" s="1103"/>
      <c r="J154" s="1096" t="e">
        <f t="shared" si="117"/>
        <v>#REF!</v>
      </c>
      <c r="K154" s="1096"/>
      <c r="L154" s="1096" t="e">
        <f t="shared" si="118"/>
        <v>#REF!</v>
      </c>
      <c r="M154" s="1103"/>
      <c r="N154" s="1096" t="e">
        <f t="shared" si="119"/>
        <v>#REF!</v>
      </c>
      <c r="O154" s="1098">
        <f t="shared" si="114"/>
        <v>0</v>
      </c>
      <c r="P154" s="1096" t="e">
        <f t="shared" si="120"/>
        <v>#REF!</v>
      </c>
      <c r="Q154" s="1098">
        <f t="shared" si="113"/>
        <v>0</v>
      </c>
      <c r="R154" s="1096" t="e">
        <f t="shared" si="121"/>
        <v>#REF!</v>
      </c>
      <c r="S154" s="1107"/>
      <c r="T154" s="1104"/>
    </row>
    <row r="155" spans="1:20" s="1108" customFormat="1" ht="116.25" hidden="1">
      <c r="A155" s="1085"/>
      <c r="B155" s="1270" t="s">
        <v>4528</v>
      </c>
      <c r="C155" s="1085" t="e">
        <f>#REF!</f>
        <v>#REF!</v>
      </c>
      <c r="E155" s="1240"/>
      <c r="F155" s="1097" t="e">
        <f t="shared" si="115"/>
        <v>#REF!</v>
      </c>
      <c r="G155" s="1103"/>
      <c r="H155" s="1096" t="e">
        <f t="shared" si="116"/>
        <v>#REF!</v>
      </c>
      <c r="I155" s="1103"/>
      <c r="J155" s="1096" t="e">
        <f t="shared" si="117"/>
        <v>#REF!</v>
      </c>
      <c r="K155" s="1096"/>
      <c r="L155" s="1096" t="e">
        <f t="shared" si="118"/>
        <v>#REF!</v>
      </c>
      <c r="M155" s="1103"/>
      <c r="N155" s="1096" t="e">
        <f t="shared" si="119"/>
        <v>#REF!</v>
      </c>
      <c r="O155" s="1098">
        <f t="shared" si="114"/>
        <v>0</v>
      </c>
      <c r="P155" s="1096" t="e">
        <f t="shared" si="120"/>
        <v>#REF!</v>
      </c>
      <c r="Q155" s="1098">
        <f t="shared" si="113"/>
        <v>0</v>
      </c>
      <c r="R155" s="1096" t="e">
        <f t="shared" si="121"/>
        <v>#REF!</v>
      </c>
      <c r="S155" s="1107"/>
      <c r="T155" s="1104"/>
    </row>
    <row r="156" spans="1:20" s="1108" customFormat="1" ht="69.75" hidden="1">
      <c r="A156" s="1085"/>
      <c r="B156" s="1270" t="s">
        <v>4529</v>
      </c>
      <c r="C156" s="1085" t="e">
        <f>#REF!</f>
        <v>#REF!</v>
      </c>
      <c r="E156" s="1240"/>
      <c r="F156" s="1097" t="e">
        <f t="shared" si="115"/>
        <v>#REF!</v>
      </c>
      <c r="G156" s="1103"/>
      <c r="H156" s="1096" t="e">
        <f t="shared" si="116"/>
        <v>#REF!</v>
      </c>
      <c r="I156" s="1103"/>
      <c r="J156" s="1096" t="e">
        <f t="shared" si="117"/>
        <v>#REF!</v>
      </c>
      <c r="K156" s="1096"/>
      <c r="L156" s="1096" t="e">
        <f t="shared" si="118"/>
        <v>#REF!</v>
      </c>
      <c r="M156" s="1103"/>
      <c r="N156" s="1096" t="e">
        <f t="shared" si="119"/>
        <v>#REF!</v>
      </c>
      <c r="O156" s="1098">
        <f t="shared" si="114"/>
        <v>0</v>
      </c>
      <c r="P156" s="1096" t="e">
        <f t="shared" si="120"/>
        <v>#REF!</v>
      </c>
      <c r="Q156" s="1098">
        <f t="shared" si="113"/>
        <v>0</v>
      </c>
      <c r="R156" s="1096" t="e">
        <f t="shared" si="121"/>
        <v>#REF!</v>
      </c>
      <c r="S156" s="1107"/>
      <c r="T156" s="1104"/>
    </row>
    <row r="157" spans="1:20" s="1108" customFormat="1" ht="46.5" hidden="1">
      <c r="A157" s="1085"/>
      <c r="B157" s="1270" t="s">
        <v>4530</v>
      </c>
      <c r="C157" s="1085" t="e">
        <f>#REF!</f>
        <v>#REF!</v>
      </c>
      <c r="E157" s="1240"/>
      <c r="F157" s="1097" t="e">
        <f t="shared" si="115"/>
        <v>#REF!</v>
      </c>
      <c r="G157" s="1103"/>
      <c r="H157" s="1096" t="e">
        <f t="shared" si="116"/>
        <v>#REF!</v>
      </c>
      <c r="I157" s="1103"/>
      <c r="J157" s="1096" t="e">
        <f t="shared" si="117"/>
        <v>#REF!</v>
      </c>
      <c r="K157" s="1096"/>
      <c r="L157" s="1096" t="e">
        <f t="shared" si="118"/>
        <v>#REF!</v>
      </c>
      <c r="M157" s="1103"/>
      <c r="N157" s="1096" t="e">
        <f t="shared" si="119"/>
        <v>#REF!</v>
      </c>
      <c r="O157" s="1098">
        <f t="shared" si="114"/>
        <v>0</v>
      </c>
      <c r="P157" s="1096" t="e">
        <f t="shared" si="120"/>
        <v>#REF!</v>
      </c>
      <c r="Q157" s="1098">
        <f t="shared" si="113"/>
        <v>0</v>
      </c>
      <c r="R157" s="1096" t="e">
        <f t="shared" si="121"/>
        <v>#REF!</v>
      </c>
      <c r="S157" s="1107"/>
      <c r="T157" s="1104"/>
    </row>
    <row r="158" spans="1:20" s="1108" customFormat="1" hidden="1">
      <c r="A158" s="1085"/>
      <c r="B158" s="1270" t="s">
        <v>4531</v>
      </c>
      <c r="C158" s="1085" t="e">
        <f>#REF!</f>
        <v>#REF!</v>
      </c>
      <c r="E158" s="1240"/>
      <c r="F158" s="1097" t="e">
        <f t="shared" si="115"/>
        <v>#REF!</v>
      </c>
      <c r="G158" s="1103"/>
      <c r="H158" s="1096" t="e">
        <f t="shared" si="116"/>
        <v>#REF!</v>
      </c>
      <c r="I158" s="1103"/>
      <c r="J158" s="1096" t="e">
        <f t="shared" si="117"/>
        <v>#REF!</v>
      </c>
      <c r="K158" s="1096"/>
      <c r="L158" s="1096" t="e">
        <f t="shared" si="118"/>
        <v>#REF!</v>
      </c>
      <c r="M158" s="1103"/>
      <c r="N158" s="1096" t="e">
        <f t="shared" si="119"/>
        <v>#REF!</v>
      </c>
      <c r="O158" s="1098">
        <f t="shared" si="114"/>
        <v>0</v>
      </c>
      <c r="P158" s="1096" t="e">
        <f t="shared" si="120"/>
        <v>#REF!</v>
      </c>
      <c r="Q158" s="1098">
        <f t="shared" si="113"/>
        <v>0</v>
      </c>
      <c r="R158" s="1096" t="e">
        <f t="shared" si="121"/>
        <v>#REF!</v>
      </c>
      <c r="S158" s="1107"/>
      <c r="T158" s="1104"/>
    </row>
    <row r="159" spans="1:20" s="1108" customFormat="1" ht="93" hidden="1">
      <c r="A159" s="1085"/>
      <c r="B159" s="1270" t="s">
        <v>4532</v>
      </c>
      <c r="C159" s="1085" t="e">
        <f>#REF!</f>
        <v>#REF!</v>
      </c>
      <c r="E159" s="1240"/>
      <c r="F159" s="1097" t="e">
        <f t="shared" si="115"/>
        <v>#REF!</v>
      </c>
      <c r="G159" s="1103"/>
      <c r="H159" s="1096" t="e">
        <f t="shared" si="116"/>
        <v>#REF!</v>
      </c>
      <c r="I159" s="1103"/>
      <c r="J159" s="1096" t="e">
        <f t="shared" si="117"/>
        <v>#REF!</v>
      </c>
      <c r="K159" s="1096"/>
      <c r="L159" s="1096" t="e">
        <f t="shared" si="118"/>
        <v>#REF!</v>
      </c>
      <c r="M159" s="1103"/>
      <c r="N159" s="1096" t="e">
        <f t="shared" si="119"/>
        <v>#REF!</v>
      </c>
      <c r="O159" s="1098">
        <f t="shared" si="114"/>
        <v>0</v>
      </c>
      <c r="P159" s="1096" t="e">
        <f t="shared" si="120"/>
        <v>#REF!</v>
      </c>
      <c r="Q159" s="1098">
        <f t="shared" si="113"/>
        <v>0</v>
      </c>
      <c r="R159" s="1096" t="e">
        <f t="shared" si="121"/>
        <v>#REF!</v>
      </c>
      <c r="S159" s="1107"/>
      <c r="T159" s="1104"/>
    </row>
    <row r="160" spans="1:20" s="1108" customFormat="1" hidden="1">
      <c r="A160" s="1085"/>
      <c r="B160" s="1270" t="s">
        <v>4533</v>
      </c>
      <c r="C160" s="1085" t="e">
        <f>#REF!</f>
        <v>#REF!</v>
      </c>
      <c r="E160" s="1240"/>
      <c r="F160" s="1097" t="e">
        <f t="shared" si="115"/>
        <v>#REF!</v>
      </c>
      <c r="G160" s="1103"/>
      <c r="H160" s="1096" t="e">
        <f t="shared" si="116"/>
        <v>#REF!</v>
      </c>
      <c r="I160" s="1103"/>
      <c r="J160" s="1096" t="e">
        <f t="shared" si="117"/>
        <v>#REF!</v>
      </c>
      <c r="K160" s="1096"/>
      <c r="L160" s="1096" t="e">
        <f t="shared" si="118"/>
        <v>#REF!</v>
      </c>
      <c r="M160" s="1103"/>
      <c r="N160" s="1096" t="e">
        <f t="shared" si="119"/>
        <v>#REF!</v>
      </c>
      <c r="O160" s="1098">
        <f t="shared" si="114"/>
        <v>0</v>
      </c>
      <c r="P160" s="1096" t="e">
        <f t="shared" si="120"/>
        <v>#REF!</v>
      </c>
      <c r="Q160" s="1098">
        <f t="shared" si="113"/>
        <v>0</v>
      </c>
      <c r="R160" s="1096" t="e">
        <f t="shared" si="121"/>
        <v>#REF!</v>
      </c>
      <c r="S160" s="1107"/>
      <c r="T160" s="1104"/>
    </row>
    <row r="161" spans="1:20" s="1108" customFormat="1" ht="46.5" hidden="1">
      <c r="A161" s="1085"/>
      <c r="B161" s="1324" t="s">
        <v>4534</v>
      </c>
      <c r="C161" s="1085" t="e">
        <f>#REF!</f>
        <v>#REF!</v>
      </c>
      <c r="E161" s="1240"/>
      <c r="F161" s="1097" t="e">
        <f t="shared" si="115"/>
        <v>#REF!</v>
      </c>
      <c r="G161" s="1103"/>
      <c r="H161" s="1096" t="e">
        <f t="shared" si="116"/>
        <v>#REF!</v>
      </c>
      <c r="I161" s="1103"/>
      <c r="J161" s="1096" t="e">
        <f t="shared" si="117"/>
        <v>#REF!</v>
      </c>
      <c r="K161" s="1096"/>
      <c r="L161" s="1096" t="e">
        <f t="shared" si="118"/>
        <v>#REF!</v>
      </c>
      <c r="M161" s="1103"/>
      <c r="N161" s="1096" t="e">
        <f t="shared" si="119"/>
        <v>#REF!</v>
      </c>
      <c r="O161" s="1098">
        <f t="shared" si="114"/>
        <v>0</v>
      </c>
      <c r="P161" s="1096" t="e">
        <f t="shared" si="120"/>
        <v>#REF!</v>
      </c>
      <c r="Q161" s="1098">
        <f t="shared" si="113"/>
        <v>0</v>
      </c>
      <c r="R161" s="1096" t="e">
        <f t="shared" si="121"/>
        <v>#REF!</v>
      </c>
      <c r="S161" s="1107"/>
      <c r="T161" s="1104"/>
    </row>
    <row r="162" spans="1:20" s="1108" customFormat="1" ht="46.5" hidden="1">
      <c r="A162" s="1085"/>
      <c r="B162" s="1270" t="s">
        <v>4535</v>
      </c>
      <c r="C162" s="1085" t="e">
        <f>#REF!</f>
        <v>#REF!</v>
      </c>
      <c r="E162" s="1240"/>
      <c r="F162" s="1097" t="e">
        <f t="shared" si="115"/>
        <v>#REF!</v>
      </c>
      <c r="G162" s="1103"/>
      <c r="H162" s="1096" t="e">
        <f t="shared" si="116"/>
        <v>#REF!</v>
      </c>
      <c r="I162" s="1103"/>
      <c r="J162" s="1096" t="e">
        <f t="shared" si="117"/>
        <v>#REF!</v>
      </c>
      <c r="K162" s="1096"/>
      <c r="L162" s="1096" t="e">
        <f t="shared" si="118"/>
        <v>#REF!</v>
      </c>
      <c r="M162" s="1103"/>
      <c r="N162" s="1096" t="e">
        <f t="shared" si="119"/>
        <v>#REF!</v>
      </c>
      <c r="O162" s="1098">
        <f t="shared" si="114"/>
        <v>0</v>
      </c>
      <c r="P162" s="1096" t="e">
        <f t="shared" si="120"/>
        <v>#REF!</v>
      </c>
      <c r="Q162" s="1098">
        <f t="shared" si="113"/>
        <v>0</v>
      </c>
      <c r="R162" s="1096" t="e">
        <f t="shared" si="121"/>
        <v>#REF!</v>
      </c>
      <c r="S162" s="1107"/>
      <c r="T162" s="1104"/>
    </row>
    <row r="163" spans="1:20" s="1108" customFormat="1" ht="69.75" hidden="1">
      <c r="A163" s="1085"/>
      <c r="B163" s="1324" t="s">
        <v>4536</v>
      </c>
      <c r="C163" s="1085" t="e">
        <f>#REF!</f>
        <v>#REF!</v>
      </c>
      <c r="E163" s="1240"/>
      <c r="F163" s="1097" t="e">
        <f t="shared" si="115"/>
        <v>#REF!</v>
      </c>
      <c r="G163" s="1103"/>
      <c r="H163" s="1096" t="e">
        <f t="shared" si="116"/>
        <v>#REF!</v>
      </c>
      <c r="I163" s="1103"/>
      <c r="J163" s="1096" t="e">
        <f t="shared" si="117"/>
        <v>#REF!</v>
      </c>
      <c r="K163" s="1096"/>
      <c r="L163" s="1096" t="e">
        <f t="shared" si="118"/>
        <v>#REF!</v>
      </c>
      <c r="M163" s="1103"/>
      <c r="N163" s="1096" t="e">
        <f t="shared" si="119"/>
        <v>#REF!</v>
      </c>
      <c r="O163" s="1098">
        <f t="shared" si="114"/>
        <v>0</v>
      </c>
      <c r="P163" s="1096" t="e">
        <f t="shared" si="120"/>
        <v>#REF!</v>
      </c>
      <c r="Q163" s="1098">
        <f t="shared" si="113"/>
        <v>0</v>
      </c>
      <c r="R163" s="1096" t="e">
        <f t="shared" si="121"/>
        <v>#REF!</v>
      </c>
      <c r="S163" s="1107"/>
      <c r="T163" s="1104"/>
    </row>
    <row r="164" spans="1:20" s="1108" customFormat="1" ht="69.75" hidden="1">
      <c r="A164" s="1085"/>
      <c r="B164" s="1324" t="s">
        <v>4537</v>
      </c>
      <c r="C164" s="1085" t="e">
        <f>#REF!</f>
        <v>#REF!</v>
      </c>
      <c r="E164" s="1240"/>
      <c r="F164" s="1097" t="e">
        <f t="shared" si="115"/>
        <v>#REF!</v>
      </c>
      <c r="G164" s="1103"/>
      <c r="H164" s="1096" t="e">
        <f t="shared" si="116"/>
        <v>#REF!</v>
      </c>
      <c r="I164" s="1103"/>
      <c r="J164" s="1096" t="e">
        <f t="shared" si="117"/>
        <v>#REF!</v>
      </c>
      <c r="K164" s="1096"/>
      <c r="L164" s="1096" t="e">
        <f t="shared" si="118"/>
        <v>#REF!</v>
      </c>
      <c r="M164" s="1103"/>
      <c r="N164" s="1096" t="e">
        <f t="shared" si="119"/>
        <v>#REF!</v>
      </c>
      <c r="O164" s="1098">
        <f t="shared" si="114"/>
        <v>0</v>
      </c>
      <c r="P164" s="1096" t="e">
        <f t="shared" si="120"/>
        <v>#REF!</v>
      </c>
      <c r="Q164" s="1098">
        <f t="shared" si="113"/>
        <v>0</v>
      </c>
      <c r="R164" s="1096" t="e">
        <f t="shared" si="121"/>
        <v>#REF!</v>
      </c>
      <c r="S164" s="1107"/>
      <c r="T164" s="1104"/>
    </row>
    <row r="165" spans="1:20" s="1108" customFormat="1" ht="69.75" hidden="1">
      <c r="A165" s="1085"/>
      <c r="B165" s="1324" t="s">
        <v>4538</v>
      </c>
      <c r="C165" s="1085" t="e">
        <f>#REF!</f>
        <v>#REF!</v>
      </c>
      <c r="E165" s="1240"/>
      <c r="F165" s="1097" t="e">
        <f t="shared" si="115"/>
        <v>#REF!</v>
      </c>
      <c r="G165" s="1240"/>
      <c r="H165" s="1096" t="e">
        <f t="shared" si="116"/>
        <v>#REF!</v>
      </c>
      <c r="I165" s="1103"/>
      <c r="J165" s="1096" t="e">
        <f t="shared" si="117"/>
        <v>#REF!</v>
      </c>
      <c r="K165" s="1096"/>
      <c r="L165" s="1096" t="e">
        <f t="shared" si="118"/>
        <v>#REF!</v>
      </c>
      <c r="M165" s="1103"/>
      <c r="N165" s="1096" t="e">
        <f t="shared" si="119"/>
        <v>#REF!</v>
      </c>
      <c r="O165" s="1098">
        <f t="shared" si="114"/>
        <v>0</v>
      </c>
      <c r="P165" s="1096" t="e">
        <f t="shared" si="120"/>
        <v>#REF!</v>
      </c>
      <c r="Q165" s="1098">
        <f t="shared" si="113"/>
        <v>0</v>
      </c>
      <c r="R165" s="1096" t="e">
        <f t="shared" si="121"/>
        <v>#REF!</v>
      </c>
      <c r="S165" s="1107"/>
      <c r="T165" s="1104"/>
    </row>
    <row r="166" spans="1:20" s="1108" customFormat="1" ht="69.75" hidden="1">
      <c r="A166" s="1085"/>
      <c r="B166" s="1324" t="s">
        <v>4539</v>
      </c>
      <c r="C166" s="1085" t="e">
        <f>#REF!</f>
        <v>#REF!</v>
      </c>
      <c r="E166" s="1240"/>
      <c r="F166" s="1097" t="e">
        <f t="shared" si="115"/>
        <v>#REF!</v>
      </c>
      <c r="G166" s="1240"/>
      <c r="H166" s="1096" t="e">
        <f t="shared" si="116"/>
        <v>#REF!</v>
      </c>
      <c r="I166" s="1103"/>
      <c r="J166" s="1096" t="e">
        <f t="shared" si="117"/>
        <v>#REF!</v>
      </c>
      <c r="K166" s="1096"/>
      <c r="L166" s="1096" t="e">
        <f t="shared" si="118"/>
        <v>#REF!</v>
      </c>
      <c r="M166" s="1103"/>
      <c r="N166" s="1096" t="e">
        <f t="shared" si="119"/>
        <v>#REF!</v>
      </c>
      <c r="O166" s="1098">
        <f t="shared" si="114"/>
        <v>0</v>
      </c>
      <c r="P166" s="1096" t="e">
        <f t="shared" si="120"/>
        <v>#REF!</v>
      </c>
      <c r="Q166" s="1098">
        <f t="shared" si="113"/>
        <v>0</v>
      </c>
      <c r="R166" s="1096" t="e">
        <f t="shared" si="121"/>
        <v>#REF!</v>
      </c>
      <c r="S166" s="1107"/>
      <c r="T166" s="1104"/>
    </row>
    <row r="167" spans="1:20" s="1108" customFormat="1" ht="46.5" hidden="1">
      <c r="A167" s="1085"/>
      <c r="B167" s="1324" t="s">
        <v>4540</v>
      </c>
      <c r="C167" s="1085" t="e">
        <f>#REF!</f>
        <v>#REF!</v>
      </c>
      <c r="E167" s="1240"/>
      <c r="F167" s="1097" t="e">
        <f t="shared" si="115"/>
        <v>#REF!</v>
      </c>
      <c r="G167" s="1240"/>
      <c r="H167" s="1096" t="e">
        <f t="shared" si="116"/>
        <v>#REF!</v>
      </c>
      <c r="I167" s="1103"/>
      <c r="J167" s="1096" t="e">
        <f t="shared" si="117"/>
        <v>#REF!</v>
      </c>
      <c r="K167" s="1096"/>
      <c r="L167" s="1096" t="e">
        <f t="shared" si="118"/>
        <v>#REF!</v>
      </c>
      <c r="M167" s="1103"/>
      <c r="N167" s="1096" t="e">
        <f t="shared" si="119"/>
        <v>#REF!</v>
      </c>
      <c r="O167" s="1098">
        <f t="shared" si="114"/>
        <v>0</v>
      </c>
      <c r="P167" s="1096" t="e">
        <f t="shared" si="120"/>
        <v>#REF!</v>
      </c>
      <c r="Q167" s="1098">
        <f t="shared" si="113"/>
        <v>0</v>
      </c>
      <c r="R167" s="1096" t="e">
        <f t="shared" si="121"/>
        <v>#REF!</v>
      </c>
      <c r="S167" s="1107"/>
      <c r="T167" s="1104"/>
    </row>
    <row r="168" spans="1:20" s="1108" customFormat="1" ht="46.5" hidden="1">
      <c r="A168" s="1085"/>
      <c r="B168" s="1270" t="s">
        <v>4541</v>
      </c>
      <c r="C168" s="1085" t="e">
        <f>#REF!</f>
        <v>#REF!</v>
      </c>
      <c r="E168" s="1240"/>
      <c r="F168" s="1097" t="e">
        <f t="shared" si="115"/>
        <v>#REF!</v>
      </c>
      <c r="G168" s="1240"/>
      <c r="H168" s="1096" t="e">
        <f t="shared" si="116"/>
        <v>#REF!</v>
      </c>
      <c r="I168" s="1103"/>
      <c r="J168" s="1096" t="e">
        <f t="shared" si="117"/>
        <v>#REF!</v>
      </c>
      <c r="K168" s="1096"/>
      <c r="L168" s="1096" t="e">
        <f t="shared" si="118"/>
        <v>#REF!</v>
      </c>
      <c r="M168" s="1103"/>
      <c r="N168" s="1096" t="e">
        <f t="shared" si="119"/>
        <v>#REF!</v>
      </c>
      <c r="O168" s="1098">
        <f t="shared" si="114"/>
        <v>0</v>
      </c>
      <c r="P168" s="1096" t="e">
        <f t="shared" si="120"/>
        <v>#REF!</v>
      </c>
      <c r="Q168" s="1098">
        <f t="shared" si="113"/>
        <v>0</v>
      </c>
      <c r="R168" s="1096" t="e">
        <f t="shared" si="121"/>
        <v>#REF!</v>
      </c>
      <c r="S168" s="1107"/>
      <c r="T168" s="1104"/>
    </row>
    <row r="169" spans="1:20" s="1108" customFormat="1" hidden="1">
      <c r="A169" s="1085"/>
      <c r="B169" s="1270" t="s">
        <v>4542</v>
      </c>
      <c r="C169" s="1085" t="e">
        <f>#REF!</f>
        <v>#REF!</v>
      </c>
      <c r="E169" s="1240"/>
      <c r="F169" s="1097" t="e">
        <f t="shared" si="115"/>
        <v>#REF!</v>
      </c>
      <c r="G169" s="1240"/>
      <c r="H169" s="1096" t="e">
        <f t="shared" si="116"/>
        <v>#REF!</v>
      </c>
      <c r="I169" s="1103"/>
      <c r="J169" s="1096" t="e">
        <f t="shared" si="117"/>
        <v>#REF!</v>
      </c>
      <c r="K169" s="1096"/>
      <c r="L169" s="1096" t="e">
        <f t="shared" si="118"/>
        <v>#REF!</v>
      </c>
      <c r="M169" s="1103"/>
      <c r="N169" s="1096" t="e">
        <f t="shared" si="119"/>
        <v>#REF!</v>
      </c>
      <c r="O169" s="1098">
        <f t="shared" si="114"/>
        <v>0</v>
      </c>
      <c r="P169" s="1096" t="e">
        <f t="shared" si="120"/>
        <v>#REF!</v>
      </c>
      <c r="Q169" s="1098">
        <f t="shared" si="113"/>
        <v>0</v>
      </c>
      <c r="R169" s="1096" t="e">
        <f t="shared" si="121"/>
        <v>#REF!</v>
      </c>
      <c r="S169" s="1107"/>
      <c r="T169" s="1104"/>
    </row>
    <row r="170" spans="1:20" s="1108" customFormat="1" hidden="1">
      <c r="A170" s="1085"/>
      <c r="B170" s="1270" t="s">
        <v>4543</v>
      </c>
      <c r="C170" s="1085" t="e">
        <f>C169+C172</f>
        <v>#REF!</v>
      </c>
      <c r="E170" s="1240"/>
      <c r="F170" s="1097" t="e">
        <f t="shared" si="115"/>
        <v>#REF!</v>
      </c>
      <c r="G170" s="1240"/>
      <c r="H170" s="1096" t="e">
        <f t="shared" si="116"/>
        <v>#REF!</v>
      </c>
      <c r="I170" s="1103"/>
      <c r="J170" s="1096" t="e">
        <f t="shared" si="117"/>
        <v>#REF!</v>
      </c>
      <c r="K170" s="1096"/>
      <c r="L170" s="1096" t="e">
        <f t="shared" si="118"/>
        <v>#REF!</v>
      </c>
      <c r="M170" s="1103"/>
      <c r="N170" s="1096" t="e">
        <f t="shared" si="119"/>
        <v>#REF!</v>
      </c>
      <c r="O170" s="1098">
        <f t="shared" si="114"/>
        <v>0</v>
      </c>
      <c r="P170" s="1096" t="e">
        <f t="shared" si="120"/>
        <v>#REF!</v>
      </c>
      <c r="Q170" s="1098">
        <f t="shared" si="113"/>
        <v>0</v>
      </c>
      <c r="R170" s="1096" t="e">
        <f t="shared" si="121"/>
        <v>#REF!</v>
      </c>
      <c r="S170" s="1107"/>
      <c r="T170" s="1104"/>
    </row>
    <row r="171" spans="1:20" s="1108" customFormat="1" hidden="1">
      <c r="A171" s="1085"/>
      <c r="B171" s="1270" t="s">
        <v>4544</v>
      </c>
      <c r="C171" s="1085" t="e">
        <f>#REF!</f>
        <v>#REF!</v>
      </c>
      <c r="E171" s="1240"/>
      <c r="F171" s="1097" t="e">
        <f t="shared" si="115"/>
        <v>#REF!</v>
      </c>
      <c r="G171" s="1240"/>
      <c r="H171" s="1096" t="e">
        <f t="shared" si="116"/>
        <v>#REF!</v>
      </c>
      <c r="I171" s="1103"/>
      <c r="J171" s="1096" t="e">
        <f t="shared" si="117"/>
        <v>#REF!</v>
      </c>
      <c r="K171" s="1096"/>
      <c r="L171" s="1096" t="e">
        <f t="shared" si="118"/>
        <v>#REF!</v>
      </c>
      <c r="M171" s="1103"/>
      <c r="N171" s="1096" t="e">
        <f t="shared" si="119"/>
        <v>#REF!</v>
      </c>
      <c r="O171" s="1098">
        <f t="shared" si="114"/>
        <v>0</v>
      </c>
      <c r="P171" s="1096" t="e">
        <f t="shared" si="120"/>
        <v>#REF!</v>
      </c>
      <c r="Q171" s="1098">
        <f t="shared" si="113"/>
        <v>0</v>
      </c>
      <c r="R171" s="1096" t="e">
        <f t="shared" si="121"/>
        <v>#REF!</v>
      </c>
      <c r="S171" s="1107"/>
      <c r="T171" s="1104"/>
    </row>
    <row r="172" spans="1:20" s="1108" customFormat="1" hidden="1">
      <c r="A172" s="1085"/>
      <c r="B172" s="1270" t="s">
        <v>4545</v>
      </c>
      <c r="C172" s="1085" t="e">
        <f>#REF!</f>
        <v>#REF!</v>
      </c>
      <c r="E172" s="1240"/>
      <c r="F172" s="1097" t="e">
        <f t="shared" si="115"/>
        <v>#REF!</v>
      </c>
      <c r="G172" s="1240"/>
      <c r="H172" s="1096" t="e">
        <f t="shared" si="116"/>
        <v>#REF!</v>
      </c>
      <c r="I172" s="1103"/>
      <c r="J172" s="1096" t="e">
        <f t="shared" si="117"/>
        <v>#REF!</v>
      </c>
      <c r="K172" s="1096"/>
      <c r="L172" s="1096" t="e">
        <f t="shared" si="118"/>
        <v>#REF!</v>
      </c>
      <c r="M172" s="1103"/>
      <c r="N172" s="1096" t="e">
        <f t="shared" si="119"/>
        <v>#REF!</v>
      </c>
      <c r="O172" s="1098">
        <f t="shared" si="114"/>
        <v>0</v>
      </c>
      <c r="P172" s="1096" t="e">
        <f t="shared" si="120"/>
        <v>#REF!</v>
      </c>
      <c r="Q172" s="1098">
        <f t="shared" si="113"/>
        <v>0</v>
      </c>
      <c r="R172" s="1096" t="e">
        <f t="shared" si="121"/>
        <v>#REF!</v>
      </c>
      <c r="S172" s="1107"/>
      <c r="T172" s="1104"/>
    </row>
    <row r="173" spans="1:20" s="1108" customFormat="1" hidden="1">
      <c r="A173" s="1085"/>
      <c r="B173" s="1270" t="s">
        <v>4546</v>
      </c>
      <c r="C173" s="1085" t="e">
        <f>#REF!</f>
        <v>#REF!</v>
      </c>
      <c r="E173" s="1240"/>
      <c r="F173" s="1097" t="e">
        <f t="shared" si="115"/>
        <v>#REF!</v>
      </c>
      <c r="G173" s="1240"/>
      <c r="H173" s="1096" t="e">
        <f t="shared" si="116"/>
        <v>#REF!</v>
      </c>
      <c r="I173" s="1103"/>
      <c r="J173" s="1096" t="e">
        <f t="shared" si="117"/>
        <v>#REF!</v>
      </c>
      <c r="K173" s="1096"/>
      <c r="L173" s="1096" t="e">
        <f t="shared" si="118"/>
        <v>#REF!</v>
      </c>
      <c r="M173" s="1103"/>
      <c r="N173" s="1096" t="e">
        <f t="shared" si="119"/>
        <v>#REF!</v>
      </c>
      <c r="O173" s="1098">
        <f t="shared" si="114"/>
        <v>0</v>
      </c>
      <c r="P173" s="1096" t="e">
        <f t="shared" si="120"/>
        <v>#REF!</v>
      </c>
      <c r="Q173" s="1098">
        <f t="shared" si="113"/>
        <v>0</v>
      </c>
      <c r="R173" s="1096" t="e">
        <f t="shared" si="121"/>
        <v>#REF!</v>
      </c>
      <c r="S173" s="1107"/>
      <c r="T173" s="1104"/>
    </row>
    <row r="174" spans="1:20" s="1108" customFormat="1" hidden="1">
      <c r="A174" s="1085"/>
      <c r="B174" s="1270" t="s">
        <v>4547</v>
      </c>
      <c r="C174" s="1085" t="e">
        <f>#REF!</f>
        <v>#REF!</v>
      </c>
      <c r="E174" s="1240"/>
      <c r="F174" s="1097" t="e">
        <f t="shared" si="115"/>
        <v>#REF!</v>
      </c>
      <c r="G174" s="1240"/>
      <c r="H174" s="1096" t="e">
        <f t="shared" si="116"/>
        <v>#REF!</v>
      </c>
      <c r="I174" s="1103"/>
      <c r="J174" s="1096" t="e">
        <f t="shared" si="117"/>
        <v>#REF!</v>
      </c>
      <c r="K174" s="1096"/>
      <c r="L174" s="1096" t="e">
        <f t="shared" si="118"/>
        <v>#REF!</v>
      </c>
      <c r="M174" s="1103"/>
      <c r="N174" s="1096" t="e">
        <f t="shared" si="119"/>
        <v>#REF!</v>
      </c>
      <c r="O174" s="1098">
        <f t="shared" si="114"/>
        <v>0</v>
      </c>
      <c r="P174" s="1096" t="e">
        <f t="shared" si="120"/>
        <v>#REF!</v>
      </c>
      <c r="Q174" s="1098">
        <f t="shared" si="113"/>
        <v>0</v>
      </c>
      <c r="R174" s="1096" t="e">
        <f t="shared" si="121"/>
        <v>#REF!</v>
      </c>
      <c r="S174" s="1107"/>
      <c r="T174" s="1104"/>
    </row>
    <row r="175" spans="1:20" s="1108" customFormat="1" hidden="1">
      <c r="A175" s="1085"/>
      <c r="B175" s="1270" t="s">
        <v>4548</v>
      </c>
      <c r="C175" s="1085" t="e">
        <f>#REF!</f>
        <v>#REF!</v>
      </c>
      <c r="E175" s="1240"/>
      <c r="F175" s="1097" t="e">
        <f t="shared" si="115"/>
        <v>#REF!</v>
      </c>
      <c r="G175" s="1240"/>
      <c r="H175" s="1096" t="e">
        <f t="shared" si="116"/>
        <v>#REF!</v>
      </c>
      <c r="I175" s="1103"/>
      <c r="J175" s="1096" t="e">
        <f t="shared" si="117"/>
        <v>#REF!</v>
      </c>
      <c r="K175" s="1096"/>
      <c r="L175" s="1096" t="e">
        <f t="shared" si="118"/>
        <v>#REF!</v>
      </c>
      <c r="M175" s="1103"/>
      <c r="N175" s="1096" t="e">
        <f t="shared" si="119"/>
        <v>#REF!</v>
      </c>
      <c r="O175" s="1098">
        <f t="shared" si="114"/>
        <v>0</v>
      </c>
      <c r="P175" s="1096" t="e">
        <f t="shared" si="120"/>
        <v>#REF!</v>
      </c>
      <c r="Q175" s="1098">
        <f t="shared" si="113"/>
        <v>0</v>
      </c>
      <c r="R175" s="1096" t="e">
        <f t="shared" si="121"/>
        <v>#REF!</v>
      </c>
      <c r="S175" s="1107"/>
      <c r="T175" s="1104"/>
    </row>
    <row r="176" spans="1:20" s="1108" customFormat="1" hidden="1">
      <c r="A176" s="1085"/>
      <c r="B176" s="1270" t="s">
        <v>4549</v>
      </c>
      <c r="C176" s="1085" t="e">
        <f>#REF!</f>
        <v>#REF!</v>
      </c>
      <c r="E176" s="1240"/>
      <c r="F176" s="1097" t="e">
        <f t="shared" si="115"/>
        <v>#REF!</v>
      </c>
      <c r="G176" s="1240"/>
      <c r="H176" s="1096" t="e">
        <f t="shared" si="116"/>
        <v>#REF!</v>
      </c>
      <c r="I176" s="1103"/>
      <c r="J176" s="1096" t="e">
        <f t="shared" si="117"/>
        <v>#REF!</v>
      </c>
      <c r="K176" s="1096"/>
      <c r="L176" s="1096" t="e">
        <f t="shared" si="118"/>
        <v>#REF!</v>
      </c>
      <c r="M176" s="1103"/>
      <c r="N176" s="1096" t="e">
        <f t="shared" si="119"/>
        <v>#REF!</v>
      </c>
      <c r="O176" s="1098">
        <f t="shared" si="114"/>
        <v>0</v>
      </c>
      <c r="P176" s="1096" t="e">
        <f t="shared" si="120"/>
        <v>#REF!</v>
      </c>
      <c r="Q176" s="1098">
        <f t="shared" si="113"/>
        <v>0</v>
      </c>
      <c r="R176" s="1096" t="e">
        <f t="shared" si="121"/>
        <v>#REF!</v>
      </c>
      <c r="S176" s="1107"/>
      <c r="T176" s="1104"/>
    </row>
    <row r="177" spans="1:20" s="1108" customFormat="1" hidden="1">
      <c r="A177" s="1085"/>
      <c r="B177" s="1322" t="s">
        <v>4550</v>
      </c>
      <c r="C177" s="1085" t="e">
        <f>#REF!</f>
        <v>#REF!</v>
      </c>
      <c r="E177" s="1240"/>
      <c r="F177" s="1097" t="e">
        <f t="shared" si="115"/>
        <v>#REF!</v>
      </c>
      <c r="G177" s="1240"/>
      <c r="H177" s="1096" t="e">
        <f t="shared" si="116"/>
        <v>#REF!</v>
      </c>
      <c r="I177" s="1103"/>
      <c r="J177" s="1096" t="e">
        <f t="shared" si="117"/>
        <v>#REF!</v>
      </c>
      <c r="K177" s="1096"/>
      <c r="L177" s="1096" t="e">
        <f t="shared" si="118"/>
        <v>#REF!</v>
      </c>
      <c r="M177" s="1103"/>
      <c r="N177" s="1096" t="e">
        <f t="shared" si="119"/>
        <v>#REF!</v>
      </c>
      <c r="O177" s="1098">
        <f t="shared" si="114"/>
        <v>0</v>
      </c>
      <c r="P177" s="1096" t="e">
        <f t="shared" si="120"/>
        <v>#REF!</v>
      </c>
      <c r="Q177" s="1098">
        <f t="shared" si="113"/>
        <v>0</v>
      </c>
      <c r="R177" s="1096" t="e">
        <f t="shared" si="121"/>
        <v>#REF!</v>
      </c>
      <c r="S177" s="1107"/>
      <c r="T177" s="1104"/>
    </row>
    <row r="178" spans="1:20" s="1108" customFormat="1" hidden="1">
      <c r="B178" s="1325" t="s">
        <v>4551</v>
      </c>
      <c r="C178" s="1108" t="e">
        <f>#REF!</f>
        <v>#REF!</v>
      </c>
      <c r="E178" s="1240"/>
      <c r="F178" s="1097" t="e">
        <f t="shared" si="115"/>
        <v>#REF!</v>
      </c>
      <c r="G178" s="1240"/>
      <c r="H178" s="1096" t="e">
        <f t="shared" si="116"/>
        <v>#REF!</v>
      </c>
      <c r="I178" s="1103"/>
      <c r="J178" s="1096" t="e">
        <f t="shared" si="117"/>
        <v>#REF!</v>
      </c>
      <c r="K178" s="1096"/>
      <c r="L178" s="1096" t="e">
        <f t="shared" si="118"/>
        <v>#REF!</v>
      </c>
      <c r="M178" s="1103"/>
      <c r="N178" s="1096" t="e">
        <f t="shared" si="119"/>
        <v>#REF!</v>
      </c>
      <c r="O178" s="1098">
        <f t="shared" si="114"/>
        <v>0</v>
      </c>
      <c r="P178" s="1096" t="e">
        <f t="shared" si="120"/>
        <v>#REF!</v>
      </c>
      <c r="Q178" s="1098">
        <f t="shared" si="113"/>
        <v>0</v>
      </c>
      <c r="R178" s="1096" t="e">
        <f t="shared" si="121"/>
        <v>#REF!</v>
      </c>
      <c r="S178" s="1107"/>
      <c r="T178" s="1104"/>
    </row>
    <row r="179" spans="1:20" s="1108" customFormat="1" hidden="1">
      <c r="B179" s="1325" t="s">
        <v>4552</v>
      </c>
      <c r="C179" s="1108" t="e">
        <f>#REF!</f>
        <v>#REF!</v>
      </c>
      <c r="E179" s="1240"/>
      <c r="F179" s="1097" t="e">
        <f t="shared" si="115"/>
        <v>#REF!</v>
      </c>
      <c r="G179" s="1240"/>
      <c r="H179" s="1096" t="e">
        <f t="shared" si="116"/>
        <v>#REF!</v>
      </c>
      <c r="I179" s="1103"/>
      <c r="J179" s="1096" t="e">
        <f t="shared" si="117"/>
        <v>#REF!</v>
      </c>
      <c r="K179" s="1096"/>
      <c r="L179" s="1096" t="e">
        <f t="shared" si="118"/>
        <v>#REF!</v>
      </c>
      <c r="M179" s="1103"/>
      <c r="N179" s="1096" t="e">
        <f t="shared" si="119"/>
        <v>#REF!</v>
      </c>
      <c r="O179" s="1098">
        <f t="shared" si="114"/>
        <v>0</v>
      </c>
      <c r="P179" s="1096" t="e">
        <f t="shared" si="120"/>
        <v>#REF!</v>
      </c>
      <c r="Q179" s="1098">
        <f t="shared" si="113"/>
        <v>0</v>
      </c>
      <c r="R179" s="1096" t="e">
        <f t="shared" si="121"/>
        <v>#REF!</v>
      </c>
      <c r="S179" s="1107"/>
      <c r="T179" s="1104"/>
    </row>
    <row r="180" spans="1:20" s="1108" customFormat="1" hidden="1">
      <c r="B180" s="1325" t="s">
        <v>4553</v>
      </c>
      <c r="C180" s="1108" t="e">
        <f>#REF!</f>
        <v>#REF!</v>
      </c>
      <c r="E180" s="1240"/>
      <c r="F180" s="1097" t="e">
        <f t="shared" si="115"/>
        <v>#REF!</v>
      </c>
      <c r="G180" s="1240"/>
      <c r="H180" s="1096" t="e">
        <f t="shared" si="116"/>
        <v>#REF!</v>
      </c>
      <c r="I180" s="1103"/>
      <c r="J180" s="1096" t="e">
        <f t="shared" si="117"/>
        <v>#REF!</v>
      </c>
      <c r="K180" s="1096"/>
      <c r="L180" s="1096" t="e">
        <f t="shared" si="118"/>
        <v>#REF!</v>
      </c>
      <c r="M180" s="1103"/>
      <c r="N180" s="1096" t="e">
        <f t="shared" si="119"/>
        <v>#REF!</v>
      </c>
      <c r="O180" s="1098">
        <f t="shared" si="114"/>
        <v>0</v>
      </c>
      <c r="P180" s="1096" t="e">
        <f t="shared" si="120"/>
        <v>#REF!</v>
      </c>
      <c r="Q180" s="1098">
        <f t="shared" si="113"/>
        <v>0</v>
      </c>
      <c r="R180" s="1096" t="e">
        <f t="shared" si="121"/>
        <v>#REF!</v>
      </c>
      <c r="S180" s="1107"/>
      <c r="T180" s="1104"/>
    </row>
    <row r="181" spans="1:20" s="1108" customFormat="1" hidden="1">
      <c r="B181" s="1325" t="s">
        <v>4554</v>
      </c>
      <c r="C181" s="1108" t="e">
        <f>#REF!</f>
        <v>#REF!</v>
      </c>
      <c r="E181" s="1240"/>
      <c r="F181" s="1097" t="e">
        <f t="shared" si="115"/>
        <v>#REF!</v>
      </c>
      <c r="G181" s="1240"/>
      <c r="H181" s="1096" t="e">
        <f t="shared" si="116"/>
        <v>#REF!</v>
      </c>
      <c r="I181" s="1103"/>
      <c r="J181" s="1096" t="e">
        <f t="shared" si="117"/>
        <v>#REF!</v>
      </c>
      <c r="K181" s="1096"/>
      <c r="L181" s="1096" t="e">
        <f t="shared" si="118"/>
        <v>#REF!</v>
      </c>
      <c r="M181" s="1103"/>
      <c r="N181" s="1096" t="e">
        <f t="shared" si="119"/>
        <v>#REF!</v>
      </c>
      <c r="O181" s="1098">
        <f t="shared" si="114"/>
        <v>0</v>
      </c>
      <c r="P181" s="1096" t="e">
        <f t="shared" si="120"/>
        <v>#REF!</v>
      </c>
      <c r="Q181" s="1098">
        <f t="shared" si="113"/>
        <v>0</v>
      </c>
      <c r="R181" s="1096" t="e">
        <f t="shared" si="121"/>
        <v>#REF!</v>
      </c>
      <c r="S181" s="1107"/>
      <c r="T181" s="1104"/>
    </row>
    <row r="182" spans="1:20" s="1108" customFormat="1" hidden="1">
      <c r="B182" s="1325" t="e">
        <f>#REF!</f>
        <v>#REF!</v>
      </c>
      <c r="C182" s="1108" t="e">
        <f>#REF!</f>
        <v>#REF!</v>
      </c>
      <c r="E182" s="1240"/>
      <c r="F182" s="1097" t="e">
        <f t="shared" si="115"/>
        <v>#REF!</v>
      </c>
      <c r="G182" s="1240"/>
      <c r="H182" s="1096" t="e">
        <f t="shared" si="116"/>
        <v>#REF!</v>
      </c>
      <c r="I182" s="1103"/>
      <c r="J182" s="1096" t="e">
        <f t="shared" si="117"/>
        <v>#REF!</v>
      </c>
      <c r="K182" s="1096"/>
      <c r="L182" s="1096" t="e">
        <f t="shared" si="118"/>
        <v>#REF!</v>
      </c>
      <c r="M182" s="1103"/>
      <c r="N182" s="1096" t="e">
        <f t="shared" si="119"/>
        <v>#REF!</v>
      </c>
      <c r="O182" s="1098">
        <f t="shared" si="114"/>
        <v>0</v>
      </c>
      <c r="P182" s="1096" t="e">
        <f t="shared" si="120"/>
        <v>#REF!</v>
      </c>
      <c r="Q182" s="1098">
        <f t="shared" si="113"/>
        <v>0</v>
      </c>
      <c r="R182" s="1096" t="e">
        <f t="shared" si="121"/>
        <v>#REF!</v>
      </c>
      <c r="S182" s="1107"/>
      <c r="T182" s="1104"/>
    </row>
    <row r="183" spans="1:20" s="1108" customFormat="1" hidden="1">
      <c r="B183" s="1325" t="e">
        <f>#REF!</f>
        <v>#REF!</v>
      </c>
      <c r="C183" s="1108" t="e">
        <f>#REF!</f>
        <v>#REF!</v>
      </c>
      <c r="E183" s="1240"/>
      <c r="F183" s="1097" t="e">
        <f t="shared" si="115"/>
        <v>#REF!</v>
      </c>
      <c r="G183" s="1240"/>
      <c r="H183" s="1096" t="e">
        <f t="shared" si="116"/>
        <v>#REF!</v>
      </c>
      <c r="I183" s="1103"/>
      <c r="J183" s="1096" t="e">
        <f t="shared" si="117"/>
        <v>#REF!</v>
      </c>
      <c r="K183" s="1096"/>
      <c r="L183" s="1096" t="e">
        <f t="shared" si="118"/>
        <v>#REF!</v>
      </c>
      <c r="M183" s="1103"/>
      <c r="N183" s="1096" t="e">
        <f t="shared" si="119"/>
        <v>#REF!</v>
      </c>
      <c r="O183" s="1098">
        <f t="shared" si="114"/>
        <v>0</v>
      </c>
      <c r="P183" s="1096" t="e">
        <f t="shared" si="120"/>
        <v>#REF!</v>
      </c>
      <c r="Q183" s="1098">
        <f t="shared" si="113"/>
        <v>0</v>
      </c>
      <c r="R183" s="1096" t="e">
        <f t="shared" si="121"/>
        <v>#REF!</v>
      </c>
      <c r="S183" s="1107"/>
      <c r="T183" s="1104"/>
    </row>
    <row r="184" spans="1:20" s="1108" customFormat="1" hidden="1">
      <c r="B184" s="1325"/>
      <c r="E184" s="1240"/>
      <c r="F184" s="1097">
        <f t="shared" si="115"/>
        <v>0</v>
      </c>
      <c r="G184" s="1240"/>
      <c r="H184" s="1096">
        <f t="shared" si="116"/>
        <v>0</v>
      </c>
      <c r="I184" s="1103"/>
      <c r="J184" s="1096">
        <f t="shared" si="117"/>
        <v>0</v>
      </c>
      <c r="K184" s="1096"/>
      <c r="L184" s="1096">
        <f t="shared" si="118"/>
        <v>0</v>
      </c>
      <c r="M184" s="1103"/>
      <c r="N184" s="1096">
        <f t="shared" si="119"/>
        <v>0</v>
      </c>
      <c r="O184" s="1098">
        <f t="shared" si="114"/>
        <v>0</v>
      </c>
      <c r="P184" s="1096">
        <f t="shared" si="120"/>
        <v>0</v>
      </c>
      <c r="Q184" s="1098">
        <f t="shared" si="113"/>
        <v>0</v>
      </c>
      <c r="R184" s="1096">
        <f t="shared" si="121"/>
        <v>0</v>
      </c>
      <c r="S184" s="1107"/>
      <c r="T184" s="1104"/>
    </row>
    <row r="185" spans="1:20" s="1108" customFormat="1" hidden="1">
      <c r="B185" s="1325"/>
      <c r="E185" s="1240"/>
      <c r="F185" s="1097">
        <f t="shared" si="115"/>
        <v>0</v>
      </c>
      <c r="G185" s="1240"/>
      <c r="H185" s="1096">
        <f t="shared" si="116"/>
        <v>0</v>
      </c>
      <c r="I185" s="1103"/>
      <c r="J185" s="1096">
        <f t="shared" si="117"/>
        <v>0</v>
      </c>
      <c r="K185" s="1096"/>
      <c r="L185" s="1096">
        <f t="shared" si="118"/>
        <v>0</v>
      </c>
      <c r="M185" s="1103"/>
      <c r="N185" s="1096">
        <f t="shared" si="119"/>
        <v>0</v>
      </c>
      <c r="O185" s="1098">
        <f t="shared" si="114"/>
        <v>0</v>
      </c>
      <c r="P185" s="1096">
        <f t="shared" si="120"/>
        <v>0</v>
      </c>
      <c r="Q185" s="1098">
        <f t="shared" si="113"/>
        <v>0</v>
      </c>
      <c r="R185" s="1096">
        <f t="shared" si="121"/>
        <v>0</v>
      </c>
      <c r="S185" s="1107"/>
      <c r="T185" s="1104"/>
    </row>
    <row r="186" spans="1:20" s="1108" customFormat="1" hidden="1">
      <c r="B186" s="1325"/>
      <c r="E186" s="1240"/>
      <c r="F186" s="1097">
        <f t="shared" si="115"/>
        <v>0</v>
      </c>
      <c r="G186" s="1240"/>
      <c r="H186" s="1096">
        <f t="shared" si="116"/>
        <v>0</v>
      </c>
      <c r="I186" s="1103"/>
      <c r="J186" s="1096">
        <f t="shared" si="117"/>
        <v>0</v>
      </c>
      <c r="K186" s="1096"/>
      <c r="L186" s="1096">
        <f t="shared" si="118"/>
        <v>0</v>
      </c>
      <c r="M186" s="1103"/>
      <c r="N186" s="1096">
        <f t="shared" si="119"/>
        <v>0</v>
      </c>
      <c r="O186" s="1098">
        <f t="shared" si="114"/>
        <v>0</v>
      </c>
      <c r="P186" s="1096">
        <f t="shared" si="120"/>
        <v>0</v>
      </c>
      <c r="Q186" s="1098">
        <f t="shared" si="113"/>
        <v>0</v>
      </c>
      <c r="R186" s="1096">
        <f t="shared" si="121"/>
        <v>0</v>
      </c>
      <c r="S186" s="1107"/>
      <c r="T186" s="1104"/>
    </row>
    <row r="187" spans="1:20" s="1108" customFormat="1" hidden="1">
      <c r="B187" s="1325"/>
      <c r="E187" s="1240"/>
      <c r="F187" s="1097">
        <f t="shared" si="115"/>
        <v>0</v>
      </c>
      <c r="G187" s="1240"/>
      <c r="H187" s="1096">
        <f t="shared" si="116"/>
        <v>0</v>
      </c>
      <c r="I187" s="1103"/>
      <c r="J187" s="1096">
        <f t="shared" si="117"/>
        <v>0</v>
      </c>
      <c r="K187" s="1096"/>
      <c r="L187" s="1096">
        <f t="shared" si="118"/>
        <v>0</v>
      </c>
      <c r="M187" s="1103"/>
      <c r="N187" s="1096">
        <f t="shared" si="119"/>
        <v>0</v>
      </c>
      <c r="O187" s="1098">
        <f t="shared" si="114"/>
        <v>0</v>
      </c>
      <c r="P187" s="1096">
        <f t="shared" si="120"/>
        <v>0</v>
      </c>
      <c r="Q187" s="1098">
        <f t="shared" si="113"/>
        <v>0</v>
      </c>
      <c r="R187" s="1096">
        <f t="shared" si="121"/>
        <v>0</v>
      </c>
      <c r="S187" s="1107"/>
      <c r="T187" s="1104"/>
    </row>
    <row r="188" spans="1:20" s="1108" customFormat="1" hidden="1">
      <c r="B188" s="1325"/>
      <c r="E188" s="1240"/>
      <c r="F188" s="1097">
        <f t="shared" si="115"/>
        <v>0</v>
      </c>
      <c r="G188" s="1240"/>
      <c r="H188" s="1096">
        <f t="shared" si="116"/>
        <v>0</v>
      </c>
      <c r="I188" s="1103"/>
      <c r="J188" s="1096">
        <f t="shared" si="117"/>
        <v>0</v>
      </c>
      <c r="K188" s="1096"/>
      <c r="L188" s="1096">
        <f t="shared" si="118"/>
        <v>0</v>
      </c>
      <c r="M188" s="1103"/>
      <c r="N188" s="1096">
        <f t="shared" si="119"/>
        <v>0</v>
      </c>
      <c r="O188" s="1098">
        <f t="shared" si="114"/>
        <v>0</v>
      </c>
      <c r="P188" s="1096">
        <f t="shared" si="120"/>
        <v>0</v>
      </c>
      <c r="Q188" s="1098">
        <f t="shared" si="113"/>
        <v>0</v>
      </c>
      <c r="R188" s="1096">
        <f t="shared" si="121"/>
        <v>0</v>
      </c>
      <c r="S188" s="1107"/>
      <c r="T188" s="1104"/>
    </row>
    <row r="189" spans="1:20" s="1108" customFormat="1" hidden="1">
      <c r="B189" s="1325"/>
      <c r="E189" s="1240"/>
      <c r="F189" s="1097">
        <f t="shared" si="115"/>
        <v>0</v>
      </c>
      <c r="G189" s="1240"/>
      <c r="H189" s="1096">
        <f t="shared" si="116"/>
        <v>0</v>
      </c>
      <c r="I189" s="1103"/>
      <c r="J189" s="1096">
        <f t="shared" si="117"/>
        <v>0</v>
      </c>
      <c r="K189" s="1096"/>
      <c r="L189" s="1096">
        <f t="shared" si="118"/>
        <v>0</v>
      </c>
      <c r="M189" s="1103"/>
      <c r="N189" s="1096">
        <f t="shared" si="119"/>
        <v>0</v>
      </c>
      <c r="O189" s="1098">
        <f t="shared" si="114"/>
        <v>0</v>
      </c>
      <c r="P189" s="1096">
        <f t="shared" si="120"/>
        <v>0</v>
      </c>
      <c r="Q189" s="1098">
        <f t="shared" si="113"/>
        <v>0</v>
      </c>
      <c r="R189" s="1096">
        <f t="shared" si="121"/>
        <v>0</v>
      </c>
      <c r="S189" s="1107"/>
      <c r="T189" s="1104"/>
    </row>
    <row r="190" spans="1:20" s="1108" customFormat="1" hidden="1">
      <c r="B190" s="1325"/>
      <c r="E190" s="1240"/>
      <c r="F190" s="1097">
        <f t="shared" si="115"/>
        <v>0</v>
      </c>
      <c r="G190" s="1240"/>
      <c r="H190" s="1096">
        <f t="shared" si="116"/>
        <v>0</v>
      </c>
      <c r="I190" s="1103"/>
      <c r="J190" s="1096">
        <f t="shared" si="117"/>
        <v>0</v>
      </c>
      <c r="K190" s="1096"/>
      <c r="L190" s="1096">
        <f t="shared" si="118"/>
        <v>0</v>
      </c>
      <c r="M190" s="1103"/>
      <c r="N190" s="1096">
        <f t="shared" si="119"/>
        <v>0</v>
      </c>
      <c r="O190" s="1098">
        <f t="shared" si="114"/>
        <v>0</v>
      </c>
      <c r="P190" s="1096">
        <f t="shared" si="120"/>
        <v>0</v>
      </c>
      <c r="Q190" s="1098">
        <f t="shared" si="113"/>
        <v>0</v>
      </c>
      <c r="R190" s="1096">
        <f t="shared" si="121"/>
        <v>0</v>
      </c>
      <c r="S190" s="1107"/>
      <c r="T190" s="1104"/>
    </row>
    <row r="191" spans="1:20" s="1108" customFormat="1" hidden="1">
      <c r="B191" s="1325"/>
      <c r="E191" s="1240"/>
      <c r="F191" s="1097">
        <f t="shared" si="115"/>
        <v>0</v>
      </c>
      <c r="G191" s="1240"/>
      <c r="H191" s="1096">
        <f t="shared" si="116"/>
        <v>0</v>
      </c>
      <c r="I191" s="1103"/>
      <c r="J191" s="1096">
        <f t="shared" si="117"/>
        <v>0</v>
      </c>
      <c r="K191" s="1096"/>
      <c r="L191" s="1096">
        <f t="shared" si="118"/>
        <v>0</v>
      </c>
      <c r="M191" s="1103"/>
      <c r="N191" s="1096">
        <f t="shared" si="119"/>
        <v>0</v>
      </c>
      <c r="O191" s="1098">
        <f t="shared" si="114"/>
        <v>0</v>
      </c>
      <c r="P191" s="1096">
        <f t="shared" si="120"/>
        <v>0</v>
      </c>
      <c r="Q191" s="1098">
        <f t="shared" si="113"/>
        <v>0</v>
      </c>
      <c r="R191" s="1096">
        <f t="shared" si="121"/>
        <v>0</v>
      </c>
      <c r="S191" s="1107"/>
      <c r="T191" s="1104"/>
    </row>
    <row r="192" spans="1:20">
      <c r="B192" s="1326"/>
      <c r="E192" s="1250"/>
      <c r="F192" s="1097">
        <f t="shared" si="115"/>
        <v>0</v>
      </c>
      <c r="G192" s="1250"/>
      <c r="H192" s="1096">
        <f t="shared" si="116"/>
        <v>0</v>
      </c>
      <c r="I192" s="1096"/>
      <c r="J192" s="1096">
        <f t="shared" si="117"/>
        <v>0</v>
      </c>
      <c r="K192" s="1096"/>
      <c r="L192" s="1096">
        <f t="shared" si="118"/>
        <v>0</v>
      </c>
      <c r="M192" s="1096"/>
      <c r="N192" s="1096">
        <f t="shared" si="119"/>
        <v>0</v>
      </c>
      <c r="O192" s="1098">
        <f t="shared" si="114"/>
        <v>0</v>
      </c>
      <c r="P192" s="1096">
        <f t="shared" si="120"/>
        <v>0</v>
      </c>
      <c r="Q192" s="1546">
        <f t="shared" si="113"/>
        <v>0</v>
      </c>
      <c r="R192" s="1096">
        <f t="shared" si="121"/>
        <v>0</v>
      </c>
      <c r="S192" s="1099"/>
      <c r="T192" s="1099"/>
    </row>
    <row r="193" spans="2:20">
      <c r="B193" s="1326"/>
      <c r="E193" s="1250"/>
      <c r="F193" s="1097">
        <f t="shared" si="115"/>
        <v>0</v>
      </c>
      <c r="G193" s="1250"/>
      <c r="H193" s="1096">
        <f t="shared" si="116"/>
        <v>0</v>
      </c>
      <c r="I193" s="1096"/>
      <c r="J193" s="1096">
        <f t="shared" si="117"/>
        <v>0</v>
      </c>
      <c r="K193" s="1096"/>
      <c r="L193" s="1096">
        <f t="shared" si="118"/>
        <v>0</v>
      </c>
      <c r="M193" s="1096"/>
      <c r="N193" s="1096">
        <f t="shared" si="119"/>
        <v>0</v>
      </c>
      <c r="O193" s="1098">
        <f t="shared" si="114"/>
        <v>0</v>
      </c>
      <c r="P193" s="1096"/>
      <c r="Q193" s="1546">
        <f t="shared" si="113"/>
        <v>0</v>
      </c>
      <c r="R193" s="1096">
        <f t="shared" si="121"/>
        <v>0</v>
      </c>
      <c r="S193" s="1099"/>
      <c r="T193" s="1099"/>
    </row>
    <row r="194" spans="2:20">
      <c r="B194" s="1326"/>
      <c r="E194" s="1250"/>
      <c r="F194" s="1097">
        <f t="shared" si="115"/>
        <v>0</v>
      </c>
      <c r="G194" s="1250"/>
      <c r="H194" s="1096">
        <f t="shared" si="116"/>
        <v>0</v>
      </c>
      <c r="I194" s="1096"/>
      <c r="J194" s="1096">
        <f t="shared" si="117"/>
        <v>0</v>
      </c>
      <c r="K194" s="1096"/>
      <c r="L194" s="1096">
        <f t="shared" si="118"/>
        <v>0</v>
      </c>
      <c r="M194" s="1096"/>
      <c r="N194" s="1096">
        <f t="shared" si="119"/>
        <v>0</v>
      </c>
      <c r="O194" s="1098">
        <f t="shared" si="114"/>
        <v>0</v>
      </c>
      <c r="P194" s="1096">
        <f>N83+L83+J83</f>
        <v>251788.02674492041</v>
      </c>
      <c r="Q194" s="1546">
        <f t="shared" si="113"/>
        <v>0</v>
      </c>
      <c r="R194" s="1096">
        <f>P83+H83+F83</f>
        <v>5551672.7582977237</v>
      </c>
      <c r="S194" s="1099"/>
      <c r="T194" s="1099"/>
    </row>
    <row r="195" spans="2:20">
      <c r="B195" s="1326"/>
      <c r="E195" s="1250"/>
      <c r="F195" s="1097">
        <f t="shared" si="115"/>
        <v>0</v>
      </c>
      <c r="G195" s="1250"/>
      <c r="H195" s="1096">
        <f t="shared" si="116"/>
        <v>0</v>
      </c>
      <c r="I195" s="1096"/>
      <c r="J195" s="1096">
        <f t="shared" si="117"/>
        <v>0</v>
      </c>
      <c r="K195" s="1096"/>
      <c r="L195" s="1096">
        <f t="shared" si="118"/>
        <v>0</v>
      </c>
      <c r="M195" s="1096"/>
      <c r="N195" s="1096">
        <f t="shared" si="119"/>
        <v>0</v>
      </c>
      <c r="O195" s="1098">
        <f t="shared" si="114"/>
        <v>0</v>
      </c>
      <c r="P195" s="1096">
        <f>P83-P194</f>
        <v>-1.0000000067520887E-2</v>
      </c>
      <c r="Q195" s="1546">
        <f t="shared" si="113"/>
        <v>0</v>
      </c>
      <c r="R195" s="1096">
        <f>R83-R194</f>
        <v>-9.9999988451600075E-3</v>
      </c>
      <c r="S195" s="1099"/>
      <c r="T195" s="1099"/>
    </row>
    <row r="196" spans="2:20">
      <c r="B196" s="1326"/>
      <c r="E196" s="1250"/>
      <c r="F196" s="1097">
        <f t="shared" si="115"/>
        <v>0</v>
      </c>
      <c r="G196" s="1250"/>
      <c r="H196" s="1096">
        <f t="shared" si="116"/>
        <v>0</v>
      </c>
      <c r="I196" s="1096"/>
      <c r="J196" s="1096">
        <f t="shared" si="117"/>
        <v>0</v>
      </c>
      <c r="K196" s="1096"/>
      <c r="L196" s="1096">
        <f t="shared" si="118"/>
        <v>0</v>
      </c>
      <c r="M196" s="1096"/>
      <c r="N196" s="1096">
        <f t="shared" si="119"/>
        <v>0</v>
      </c>
      <c r="O196" s="1098">
        <f t="shared" si="114"/>
        <v>0</v>
      </c>
      <c r="P196" s="1096">
        <f t="shared" si="120"/>
        <v>0</v>
      </c>
      <c r="Q196" s="1546">
        <f t="shared" si="113"/>
        <v>0</v>
      </c>
      <c r="R196" s="1096">
        <f t="shared" si="121"/>
        <v>0</v>
      </c>
      <c r="S196" s="1099"/>
      <c r="T196" s="1099"/>
    </row>
    <row r="197" spans="2:20">
      <c r="B197" s="1326"/>
      <c r="E197" s="1250"/>
      <c r="F197" s="1097">
        <f t="shared" si="115"/>
        <v>0</v>
      </c>
      <c r="G197" s="1250"/>
      <c r="H197" s="1096">
        <f t="shared" si="116"/>
        <v>0</v>
      </c>
      <c r="I197" s="1096"/>
      <c r="J197" s="1096">
        <f t="shared" si="117"/>
        <v>0</v>
      </c>
      <c r="K197" s="1096"/>
      <c r="L197" s="1096">
        <f t="shared" si="118"/>
        <v>0</v>
      </c>
      <c r="M197" s="1096"/>
      <c r="N197" s="1096">
        <f t="shared" si="119"/>
        <v>0</v>
      </c>
      <c r="O197" s="1098">
        <f t="shared" si="114"/>
        <v>0</v>
      </c>
      <c r="P197" s="1096">
        <f t="shared" si="120"/>
        <v>0</v>
      </c>
      <c r="Q197" s="1546">
        <f t="shared" si="113"/>
        <v>0</v>
      </c>
      <c r="R197" s="1096">
        <f t="shared" si="121"/>
        <v>0</v>
      </c>
      <c r="S197" s="1099"/>
      <c r="T197" s="1099"/>
    </row>
    <row r="198" spans="2:20">
      <c r="B198" s="1326"/>
      <c r="E198" s="1250"/>
      <c r="F198" s="1097">
        <f t="shared" si="115"/>
        <v>0</v>
      </c>
      <c r="G198" s="1250"/>
      <c r="H198" s="1096">
        <f t="shared" si="116"/>
        <v>0</v>
      </c>
      <c r="I198" s="1096"/>
      <c r="J198" s="1096">
        <f t="shared" si="117"/>
        <v>0</v>
      </c>
      <c r="K198" s="1096"/>
      <c r="L198" s="1096">
        <f t="shared" si="118"/>
        <v>0</v>
      </c>
      <c r="M198" s="1096"/>
      <c r="N198" s="1096">
        <f t="shared" si="119"/>
        <v>0</v>
      </c>
      <c r="O198" s="1098">
        <f t="shared" si="114"/>
        <v>0</v>
      </c>
      <c r="P198" s="1096">
        <f t="shared" si="120"/>
        <v>0</v>
      </c>
      <c r="Q198" s="1546">
        <f t="shared" si="113"/>
        <v>0</v>
      </c>
      <c r="R198" s="1096">
        <f t="shared" si="121"/>
        <v>0</v>
      </c>
      <c r="S198" s="1099"/>
      <c r="T198" s="1099"/>
    </row>
    <row r="199" spans="2:20">
      <c r="B199" s="1326"/>
      <c r="E199" s="1250"/>
      <c r="F199" s="1097">
        <f t="shared" si="115"/>
        <v>0</v>
      </c>
      <c r="G199" s="1250"/>
      <c r="H199" s="1096">
        <f t="shared" si="116"/>
        <v>0</v>
      </c>
      <c r="I199" s="1096"/>
      <c r="J199" s="1096">
        <f t="shared" si="117"/>
        <v>0</v>
      </c>
      <c r="K199" s="1096"/>
      <c r="L199" s="1096">
        <f t="shared" si="118"/>
        <v>0</v>
      </c>
      <c r="M199" s="1096"/>
      <c r="N199" s="1096">
        <f t="shared" si="119"/>
        <v>0</v>
      </c>
      <c r="O199" s="1098">
        <f t="shared" si="114"/>
        <v>0</v>
      </c>
      <c r="P199" s="1096">
        <f t="shared" si="120"/>
        <v>0</v>
      </c>
      <c r="Q199" s="1546">
        <f t="shared" si="113"/>
        <v>0</v>
      </c>
      <c r="R199" s="1096">
        <f t="shared" si="121"/>
        <v>0</v>
      </c>
      <c r="S199" s="1099"/>
      <c r="T199" s="1099"/>
    </row>
    <row r="200" spans="2:20">
      <c r="B200" s="1326"/>
      <c r="E200" s="1250"/>
      <c r="F200" s="1097">
        <f t="shared" si="115"/>
        <v>0</v>
      </c>
      <c r="G200" s="1250"/>
      <c r="H200" s="1096">
        <f t="shared" si="116"/>
        <v>0</v>
      </c>
      <c r="I200" s="1096"/>
      <c r="J200" s="1096">
        <f t="shared" si="117"/>
        <v>0</v>
      </c>
      <c r="K200" s="1096"/>
      <c r="L200" s="1096">
        <f t="shared" si="118"/>
        <v>0</v>
      </c>
      <c r="M200" s="1096"/>
      <c r="N200" s="1096">
        <f t="shared" si="119"/>
        <v>0</v>
      </c>
      <c r="O200" s="1098">
        <f t="shared" si="114"/>
        <v>0</v>
      </c>
      <c r="P200" s="1096">
        <f t="shared" si="120"/>
        <v>0</v>
      </c>
      <c r="Q200" s="1546">
        <f t="shared" si="113"/>
        <v>0</v>
      </c>
      <c r="R200" s="1096">
        <f t="shared" si="121"/>
        <v>0</v>
      </c>
      <c r="S200" s="1099"/>
      <c r="T200" s="1099"/>
    </row>
    <row r="201" spans="2:20">
      <c r="B201" s="1326"/>
      <c r="E201" s="1250"/>
      <c r="F201" s="1097">
        <f t="shared" si="115"/>
        <v>0</v>
      </c>
      <c r="G201" s="1250"/>
      <c r="H201" s="1096">
        <f t="shared" si="116"/>
        <v>0</v>
      </c>
      <c r="I201" s="1096"/>
      <c r="J201" s="1096">
        <f t="shared" si="117"/>
        <v>0</v>
      </c>
      <c r="K201" s="1096"/>
      <c r="L201" s="1096">
        <f t="shared" si="118"/>
        <v>0</v>
      </c>
      <c r="M201" s="1096"/>
      <c r="N201" s="1096">
        <f t="shared" si="119"/>
        <v>0</v>
      </c>
      <c r="O201" s="1098">
        <f t="shared" si="114"/>
        <v>0</v>
      </c>
      <c r="P201" s="1096">
        <f t="shared" si="120"/>
        <v>0</v>
      </c>
      <c r="Q201" s="1546">
        <f t="shared" si="113"/>
        <v>0</v>
      </c>
      <c r="R201" s="1096">
        <f t="shared" si="121"/>
        <v>0</v>
      </c>
      <c r="S201" s="1099"/>
      <c r="T201" s="1099"/>
    </row>
    <row r="202" spans="2:20">
      <c r="B202" s="1326"/>
      <c r="E202" s="1250"/>
      <c r="F202" s="1097">
        <f t="shared" si="115"/>
        <v>0</v>
      </c>
      <c r="G202" s="1250"/>
      <c r="H202" s="1096">
        <f t="shared" si="116"/>
        <v>0</v>
      </c>
      <c r="I202" s="1096"/>
      <c r="J202" s="1096">
        <f t="shared" si="117"/>
        <v>0</v>
      </c>
      <c r="K202" s="1096"/>
      <c r="L202" s="1096">
        <f t="shared" si="118"/>
        <v>0</v>
      </c>
      <c r="M202" s="1096"/>
      <c r="N202" s="1096">
        <f t="shared" si="119"/>
        <v>0</v>
      </c>
      <c r="O202" s="1098">
        <f t="shared" si="114"/>
        <v>0</v>
      </c>
      <c r="P202" s="1096">
        <f t="shared" si="120"/>
        <v>0</v>
      </c>
      <c r="Q202" s="1546">
        <f t="shared" si="113"/>
        <v>0</v>
      </c>
      <c r="R202" s="1096">
        <f t="shared" si="121"/>
        <v>0</v>
      </c>
      <c r="S202" s="1099"/>
      <c r="T202" s="1099"/>
    </row>
    <row r="203" spans="2:20">
      <c r="B203" s="1326"/>
      <c r="E203" s="1250"/>
      <c r="F203" s="1097">
        <f t="shared" si="115"/>
        <v>0</v>
      </c>
      <c r="G203" s="1250"/>
      <c r="H203" s="1096">
        <f t="shared" si="116"/>
        <v>0</v>
      </c>
      <c r="I203" s="1096"/>
      <c r="J203" s="1096">
        <f t="shared" si="117"/>
        <v>0</v>
      </c>
      <c r="K203" s="1096"/>
      <c r="L203" s="1096">
        <f t="shared" si="118"/>
        <v>0</v>
      </c>
      <c r="M203" s="1096"/>
      <c r="N203" s="1096">
        <f t="shared" si="119"/>
        <v>0</v>
      </c>
      <c r="O203" s="1098">
        <f t="shared" si="114"/>
        <v>0</v>
      </c>
      <c r="P203" s="1096">
        <f t="shared" si="120"/>
        <v>0</v>
      </c>
      <c r="Q203" s="1546">
        <f t="shared" si="113"/>
        <v>0</v>
      </c>
      <c r="R203" s="1096">
        <f t="shared" si="121"/>
        <v>0</v>
      </c>
      <c r="S203" s="1099"/>
      <c r="T203" s="1099"/>
    </row>
    <row r="204" spans="2:20">
      <c r="B204" s="1326"/>
      <c r="E204" s="1250"/>
      <c r="F204" s="1097">
        <f t="shared" si="115"/>
        <v>0</v>
      </c>
      <c r="G204" s="1250"/>
      <c r="H204" s="1096">
        <f t="shared" si="116"/>
        <v>0</v>
      </c>
      <c r="I204" s="1096"/>
      <c r="J204" s="1096">
        <f t="shared" si="117"/>
        <v>0</v>
      </c>
      <c r="K204" s="1096"/>
      <c r="L204" s="1096">
        <f t="shared" si="118"/>
        <v>0</v>
      </c>
      <c r="M204" s="1096"/>
      <c r="N204" s="1096">
        <f t="shared" si="119"/>
        <v>0</v>
      </c>
      <c r="O204" s="1098">
        <f t="shared" si="114"/>
        <v>0</v>
      </c>
      <c r="P204" s="1096">
        <f t="shared" si="120"/>
        <v>0</v>
      </c>
      <c r="Q204" s="1546">
        <f t="shared" si="113"/>
        <v>0</v>
      </c>
      <c r="R204" s="1096">
        <f t="shared" si="121"/>
        <v>0</v>
      </c>
      <c r="S204" s="1250"/>
      <c r="T204" s="1099"/>
    </row>
    <row r="205" spans="2:20">
      <c r="B205" s="1326"/>
      <c r="E205" s="1250"/>
      <c r="F205" s="1097">
        <f t="shared" si="115"/>
        <v>0</v>
      </c>
      <c r="G205" s="1250"/>
      <c r="H205" s="1096"/>
      <c r="I205" s="1096"/>
      <c r="J205" s="1096">
        <f t="shared" si="117"/>
        <v>0</v>
      </c>
      <c r="K205" s="1096"/>
      <c r="L205" s="1096">
        <f t="shared" si="118"/>
        <v>0</v>
      </c>
      <c r="M205" s="1096"/>
      <c r="N205" s="1096">
        <f t="shared" si="119"/>
        <v>0</v>
      </c>
      <c r="O205" s="1098">
        <f t="shared" si="114"/>
        <v>0</v>
      </c>
      <c r="P205" s="1096">
        <f t="shared" si="120"/>
        <v>0</v>
      </c>
      <c r="Q205" s="1546">
        <f t="shared" si="113"/>
        <v>0</v>
      </c>
      <c r="R205" s="1096">
        <f t="shared" si="121"/>
        <v>0</v>
      </c>
      <c r="S205" s="1250"/>
      <c r="T205" s="1099"/>
    </row>
    <row r="206" spans="2:20">
      <c r="B206" s="1326"/>
      <c r="E206" s="1250"/>
      <c r="F206" s="1097">
        <f t="shared" si="115"/>
        <v>0</v>
      </c>
      <c r="G206" s="1250"/>
      <c r="H206" s="1096"/>
      <c r="I206" s="1096"/>
      <c r="J206" s="1096">
        <f t="shared" si="117"/>
        <v>0</v>
      </c>
      <c r="K206" s="1096"/>
      <c r="L206" s="1096">
        <f t="shared" si="118"/>
        <v>0</v>
      </c>
      <c r="M206" s="1096"/>
      <c r="N206" s="1096">
        <f t="shared" si="119"/>
        <v>0</v>
      </c>
      <c r="O206" s="1098">
        <f t="shared" si="114"/>
        <v>0</v>
      </c>
      <c r="P206" s="1096">
        <f t="shared" si="120"/>
        <v>0</v>
      </c>
      <c r="Q206" s="1546">
        <f t="shared" si="113"/>
        <v>0</v>
      </c>
      <c r="R206" s="1096">
        <f t="shared" si="121"/>
        <v>0</v>
      </c>
      <c r="S206" s="1250"/>
      <c r="T206" s="1099"/>
    </row>
    <row r="207" spans="2:20">
      <c r="B207" s="1326"/>
      <c r="E207" s="1250"/>
      <c r="F207" s="1097">
        <f t="shared" si="115"/>
        <v>0</v>
      </c>
      <c r="G207" s="1250"/>
      <c r="H207" s="1096"/>
      <c r="I207" s="1096"/>
      <c r="J207" s="1096">
        <f t="shared" si="117"/>
        <v>0</v>
      </c>
      <c r="K207" s="1096"/>
      <c r="L207" s="1096">
        <f t="shared" si="118"/>
        <v>0</v>
      </c>
      <c r="M207" s="1096"/>
      <c r="N207" s="1096">
        <f t="shared" si="119"/>
        <v>0</v>
      </c>
      <c r="O207" s="1098"/>
      <c r="P207" s="1096"/>
      <c r="Q207" s="1546"/>
      <c r="R207" s="1096"/>
      <c r="S207" s="1250"/>
      <c r="T207" s="1099"/>
    </row>
    <row r="208" spans="2:20">
      <c r="B208" s="1326"/>
      <c r="E208" s="1250"/>
      <c r="F208" s="1097">
        <f t="shared" si="115"/>
        <v>0</v>
      </c>
      <c r="G208" s="1250"/>
      <c r="H208" s="1096"/>
      <c r="I208" s="1096"/>
      <c r="J208" s="1096">
        <f t="shared" si="117"/>
        <v>0</v>
      </c>
      <c r="K208" s="1096"/>
      <c r="L208" s="1096">
        <f t="shared" si="118"/>
        <v>0</v>
      </c>
      <c r="M208" s="1096"/>
      <c r="N208" s="1096">
        <f t="shared" si="119"/>
        <v>0</v>
      </c>
      <c r="O208" s="1098"/>
      <c r="P208" s="1096"/>
      <c r="Q208" s="1546"/>
      <c r="R208" s="1096"/>
      <c r="S208" s="1250"/>
      <c r="T208" s="1099"/>
    </row>
    <row r="209" spans="5:20">
      <c r="E209" s="1250"/>
      <c r="F209" s="1097">
        <f t="shared" si="115"/>
        <v>0</v>
      </c>
      <c r="G209" s="1250"/>
      <c r="H209" s="1096"/>
      <c r="I209" s="1096"/>
      <c r="J209" s="1096">
        <f t="shared" si="117"/>
        <v>0</v>
      </c>
      <c r="K209" s="1096"/>
      <c r="L209" s="1096"/>
      <c r="M209" s="1096"/>
      <c r="N209" s="1096">
        <f t="shared" si="119"/>
        <v>0</v>
      </c>
      <c r="O209" s="1098"/>
      <c r="P209" s="1096"/>
      <c r="Q209" s="1546"/>
      <c r="R209" s="1096"/>
      <c r="S209" s="1250"/>
      <c r="T209" s="1099"/>
    </row>
    <row r="210" spans="5:20">
      <c r="E210" s="1250"/>
      <c r="F210" s="1097">
        <f t="shared" si="115"/>
        <v>0</v>
      </c>
      <c r="G210" s="1250"/>
      <c r="H210" s="1096"/>
      <c r="I210" s="1096"/>
      <c r="J210" s="1096">
        <f t="shared" si="117"/>
        <v>0</v>
      </c>
      <c r="K210" s="1096"/>
      <c r="L210" s="1096"/>
      <c r="M210" s="1096"/>
      <c r="N210" s="1096">
        <f t="shared" si="119"/>
        <v>0</v>
      </c>
      <c r="O210" s="1098"/>
      <c r="P210" s="1096"/>
      <c r="Q210" s="1546"/>
      <c r="R210" s="1096"/>
      <c r="S210" s="1250"/>
      <c r="T210" s="1099"/>
    </row>
    <row r="211" spans="5:20">
      <c r="E211" s="1250"/>
      <c r="F211" s="1097">
        <f t="shared" si="115"/>
        <v>0</v>
      </c>
      <c r="G211" s="1250"/>
      <c r="H211" s="1096"/>
      <c r="I211" s="1096"/>
      <c r="J211" s="1096">
        <f t="shared" si="117"/>
        <v>0</v>
      </c>
      <c r="K211" s="1096"/>
      <c r="L211" s="1096"/>
      <c r="M211" s="1096"/>
      <c r="N211" s="1096">
        <f t="shared" si="119"/>
        <v>0</v>
      </c>
      <c r="O211" s="1098"/>
      <c r="P211" s="1096"/>
      <c r="Q211" s="1546"/>
      <c r="R211" s="1096"/>
      <c r="S211" s="1250"/>
      <c r="T211" s="1099"/>
    </row>
    <row r="212" spans="5:20">
      <c r="E212" s="1250"/>
      <c r="F212" s="1097">
        <f t="shared" ref="F212" si="122">E212*C212</f>
        <v>0</v>
      </c>
      <c r="G212" s="1250"/>
      <c r="H212" s="1096"/>
      <c r="I212" s="1096"/>
      <c r="J212" s="1096">
        <f t="shared" ref="J212" si="123">I212*C212</f>
        <v>0</v>
      </c>
      <c r="K212" s="1096"/>
      <c r="L212" s="1096"/>
      <c r="M212" s="1096"/>
      <c r="N212" s="1096">
        <f t="shared" ref="N212:N214" si="124">M212*C212</f>
        <v>0</v>
      </c>
      <c r="O212" s="1098"/>
      <c r="P212" s="1096"/>
      <c r="Q212" s="1546"/>
      <c r="R212" s="1096"/>
      <c r="S212" s="1250"/>
      <c r="T212" s="1099"/>
    </row>
    <row r="213" spans="5:20">
      <c r="F213" s="1097"/>
      <c r="H213" s="1096"/>
      <c r="I213" s="1096"/>
      <c r="J213" s="1092"/>
      <c r="K213" s="1092"/>
      <c r="L213" s="1092"/>
      <c r="M213" s="1092"/>
      <c r="N213" s="1096">
        <f t="shared" si="124"/>
        <v>0</v>
      </c>
      <c r="O213" s="1094"/>
      <c r="P213" s="1092"/>
      <c r="Q213" s="1546"/>
      <c r="R213" s="1096"/>
      <c r="S213" s="1084"/>
    </row>
    <row r="214" spans="5:20">
      <c r="F214" s="1097"/>
      <c r="H214" s="1096"/>
      <c r="I214" s="1096"/>
      <c r="J214" s="1092"/>
      <c r="K214" s="1092"/>
      <c r="L214" s="1092"/>
      <c r="M214" s="1092"/>
      <c r="N214" s="1096">
        <f t="shared" si="124"/>
        <v>0</v>
      </c>
      <c r="O214" s="1094"/>
      <c r="P214" s="1092"/>
      <c r="Q214" s="1546"/>
      <c r="R214" s="1096"/>
      <c r="S214" s="1084"/>
    </row>
    <row r="215" spans="5:20">
      <c r="H215" s="1096"/>
      <c r="J215" s="1092"/>
      <c r="K215" s="1254"/>
      <c r="L215" s="1254"/>
      <c r="M215" s="1254"/>
      <c r="N215" s="1254"/>
      <c r="O215" s="1255"/>
      <c r="P215" s="1254"/>
      <c r="Q215" s="1547"/>
      <c r="R215" s="1084"/>
      <c r="S215" s="1084"/>
    </row>
    <row r="216" spans="5:20">
      <c r="H216" s="1096"/>
      <c r="J216" s="1092"/>
      <c r="K216" s="1254"/>
      <c r="L216" s="1254"/>
      <c r="M216" s="1254"/>
      <c r="N216" s="1254"/>
      <c r="O216" s="1255"/>
      <c r="P216" s="1254"/>
      <c r="Q216" s="1547"/>
      <c r="R216" s="1084"/>
      <c r="S216" s="1084"/>
      <c r="T216" s="1084"/>
    </row>
    <row r="217" spans="5:20">
      <c r="Q217" s="1547"/>
      <c r="R217" s="1084"/>
      <c r="S217" s="1084"/>
      <c r="T217" s="1084"/>
    </row>
    <row r="218" spans="5:20">
      <c r="Q218" s="1547"/>
      <c r="R218" s="1084"/>
      <c r="S218" s="1084"/>
      <c r="T218" s="1084"/>
    </row>
    <row r="219" spans="5:20">
      <c r="Q219" s="1547"/>
      <c r="R219" s="1084"/>
      <c r="S219" s="1084"/>
      <c r="T219" s="1084"/>
    </row>
    <row r="220" spans="5:20">
      <c r="Q220" s="1547"/>
      <c r="R220" s="1084"/>
      <c r="S220" s="1084"/>
      <c r="T220" s="1084"/>
    </row>
    <row r="221" spans="5:20">
      <c r="Q221" s="1547"/>
      <c r="R221" s="1084"/>
      <c r="S221" s="1084"/>
      <c r="T221" s="1084"/>
    </row>
    <row r="222" spans="5:20">
      <c r="Q222" s="1547"/>
      <c r="R222" s="1084"/>
      <c r="S222" s="1084"/>
      <c r="T222" s="1084"/>
    </row>
  </sheetData>
  <autoFilter ref="A5:AB191">
    <filterColumn colId="17">
      <customFilters>
        <customFilter operator="notEqual" val=" "/>
      </customFilters>
    </filterColumn>
  </autoFilter>
  <mergeCells count="13">
    <mergeCell ref="M3:N3"/>
    <mergeCell ref="O3:P3"/>
    <mergeCell ref="Q3:R3"/>
    <mergeCell ref="A1:R1"/>
    <mergeCell ref="A2:R2"/>
    <mergeCell ref="A3:A4"/>
    <mergeCell ref="B3:B4"/>
    <mergeCell ref="C3:C4"/>
    <mergeCell ref="D3:D4"/>
    <mergeCell ref="E3:F3"/>
    <mergeCell ref="G3:H3"/>
    <mergeCell ref="I3:J3"/>
    <mergeCell ref="K3:L3"/>
  </mergeCells>
  <printOptions horizontalCentered="1"/>
  <pageMargins left="0.23622047244094491" right="0.19685039370078741" top="0.6692913385826772" bottom="0.55118110236220474" header="0.27559055118110237" footer="0.27559055118110237"/>
  <pageSetup paperSize="8" scale="35" orientation="landscape" r:id="rId1"/>
  <headerFooter alignWithMargins="0">
    <oddHeader>&amp;R&amp;P</oddHeader>
  </headerFooter>
  <drawing r:id="rId2"/>
</worksheet>
</file>

<file path=xl/worksheets/sheet18.xml><?xml version="1.0" encoding="utf-8"?>
<worksheet xmlns="http://schemas.openxmlformats.org/spreadsheetml/2006/main" xmlns:r="http://schemas.openxmlformats.org/officeDocument/2006/relationships">
  <sheetPr codeName="Sheet5">
    <tabColor rgb="FF00B050"/>
  </sheetPr>
  <dimension ref="A1:AK134"/>
  <sheetViews>
    <sheetView showZeros="0" view="pageBreakPreview" zoomScale="40" zoomScaleNormal="40" zoomScaleSheetLayoutView="40" workbookViewId="0">
      <pane xSplit="4" ySplit="4" topLeftCell="E5" activePane="bottomRight" state="frozen"/>
      <selection pane="topRight" activeCell="E1" sqref="E1"/>
      <selection pane="bottomLeft" activeCell="A5" sqref="A5"/>
      <selection pane="bottomRight" activeCell="E2" sqref="E2:F2"/>
    </sheetView>
  </sheetViews>
  <sheetFormatPr defaultColWidth="10.85546875" defaultRowHeight="23.25"/>
  <cols>
    <col min="1" max="1" width="12.28515625" style="896" customWidth="1"/>
    <col min="2" max="2" width="78.7109375" style="896" customWidth="1"/>
    <col min="3" max="3" width="20.28515625" style="913" customWidth="1"/>
    <col min="4" max="4" width="13.42578125" style="848" customWidth="1"/>
    <col min="5" max="5" width="17.140625" style="848" customWidth="1"/>
    <col min="6" max="6" width="22" style="848" customWidth="1"/>
    <col min="7" max="7" width="17.85546875" style="848" customWidth="1"/>
    <col min="8" max="8" width="21.28515625" style="848" customWidth="1"/>
    <col min="9" max="9" width="17.85546875" style="848" customWidth="1"/>
    <col min="10" max="10" width="21.28515625" style="848" customWidth="1"/>
    <col min="11" max="11" width="16.5703125" style="918" customWidth="1"/>
    <col min="12" max="12" width="20.28515625" style="913" customWidth="1"/>
    <col min="13" max="13" width="16.5703125" style="918" customWidth="1"/>
    <col min="14" max="14" width="20.28515625" style="913" customWidth="1"/>
    <col min="15" max="15" width="16.5703125" style="918" customWidth="1"/>
    <col min="16" max="20" width="20.28515625" style="913" customWidth="1"/>
    <col min="21" max="21" width="17.28515625" style="913" customWidth="1"/>
    <col min="22" max="24" width="19.42578125" style="913" customWidth="1"/>
    <col min="25" max="25" width="23.28515625" style="913" customWidth="1"/>
    <col min="26" max="26" width="19.42578125" style="913" customWidth="1"/>
    <col min="27" max="27" width="18.5703125" style="913" customWidth="1"/>
    <col min="28" max="30" width="19.7109375" style="913" customWidth="1"/>
    <col min="31" max="31" width="26.7109375" style="919" hidden="1" customWidth="1"/>
    <col min="32" max="32" width="20.5703125" style="913" hidden="1" customWidth="1"/>
    <col min="33" max="33" width="28.7109375" style="895" customWidth="1"/>
    <col min="34" max="34" width="23.7109375" style="895" customWidth="1"/>
    <col min="35" max="35" width="27.140625" style="895" bestFit="1" customWidth="1"/>
    <col min="36" max="36" width="25.7109375" style="895" bestFit="1" customWidth="1"/>
    <col min="37" max="37" width="19.42578125" style="896" bestFit="1" customWidth="1"/>
    <col min="38" max="38" width="10.85546875" style="896"/>
    <col min="39" max="39" width="16.42578125" style="896" bestFit="1" customWidth="1"/>
    <col min="40" max="40" width="10.85546875" style="896"/>
    <col min="41" max="41" width="14.42578125" style="896" bestFit="1" customWidth="1"/>
    <col min="42" max="43" width="10.85546875" style="896"/>
    <col min="44" max="44" width="14.28515625" style="896" bestFit="1" customWidth="1"/>
    <col min="45" max="272" width="10.85546875" style="896"/>
    <col min="273" max="273" width="12.28515625" style="896" customWidth="1"/>
    <col min="274" max="274" width="78.7109375" style="896" customWidth="1"/>
    <col min="275" max="275" width="20.28515625" style="896" customWidth="1"/>
    <col min="276" max="276" width="13.42578125" style="896" customWidth="1"/>
    <col min="277" max="277" width="17.140625" style="896" customWidth="1"/>
    <col min="278" max="278" width="22" style="896" customWidth="1"/>
    <col min="279" max="279" width="17.85546875" style="896" customWidth="1"/>
    <col min="280" max="280" width="21.28515625" style="896" customWidth="1"/>
    <col min="281" max="281" width="16.5703125" style="896" customWidth="1"/>
    <col min="282" max="282" width="20.28515625" style="896" customWidth="1"/>
    <col min="283" max="283" width="17.28515625" style="896" customWidth="1"/>
    <col min="284" max="284" width="19.42578125" style="896" customWidth="1"/>
    <col min="285" max="285" width="18.5703125" style="896" customWidth="1"/>
    <col min="286" max="286" width="19.7109375" style="896" customWidth="1"/>
    <col min="287" max="287" width="16" style="896" customWidth="1"/>
    <col min="288" max="288" width="20.5703125" style="896" customWidth="1"/>
    <col min="289" max="289" width="16.85546875" style="896" customWidth="1"/>
    <col min="290" max="290" width="23.7109375" style="896" customWidth="1"/>
    <col min="291" max="291" width="27.140625" style="896" bestFit="1" customWidth="1"/>
    <col min="292" max="292" width="25.7109375" style="896" bestFit="1" customWidth="1"/>
    <col min="293" max="293" width="19.42578125" style="896" bestFit="1" customWidth="1"/>
    <col min="294" max="294" width="10.85546875" style="896"/>
    <col min="295" max="295" width="16.42578125" style="896" bestFit="1" customWidth="1"/>
    <col min="296" max="296" width="10.85546875" style="896"/>
    <col min="297" max="297" width="14.42578125" style="896" bestFit="1" customWidth="1"/>
    <col min="298" max="299" width="10.85546875" style="896"/>
    <col min="300" max="300" width="14.28515625" style="896" bestFit="1" customWidth="1"/>
    <col min="301" max="528" width="10.85546875" style="896"/>
    <col min="529" max="529" width="12.28515625" style="896" customWidth="1"/>
    <col min="530" max="530" width="78.7109375" style="896" customWidth="1"/>
    <col min="531" max="531" width="20.28515625" style="896" customWidth="1"/>
    <col min="532" max="532" width="13.42578125" style="896" customWidth="1"/>
    <col min="533" max="533" width="17.140625" style="896" customWidth="1"/>
    <col min="534" max="534" width="22" style="896" customWidth="1"/>
    <col min="535" max="535" width="17.85546875" style="896" customWidth="1"/>
    <col min="536" max="536" width="21.28515625" style="896" customWidth="1"/>
    <col min="537" max="537" width="16.5703125" style="896" customWidth="1"/>
    <col min="538" max="538" width="20.28515625" style="896" customWidth="1"/>
    <col min="539" max="539" width="17.28515625" style="896" customWidth="1"/>
    <col min="540" max="540" width="19.42578125" style="896" customWidth="1"/>
    <col min="541" max="541" width="18.5703125" style="896" customWidth="1"/>
    <col min="542" max="542" width="19.7109375" style="896" customWidth="1"/>
    <col min="543" max="543" width="16" style="896" customWidth="1"/>
    <col min="544" max="544" width="20.5703125" style="896" customWidth="1"/>
    <col min="545" max="545" width="16.85546875" style="896" customWidth="1"/>
    <col min="546" max="546" width="23.7109375" style="896" customWidth="1"/>
    <col min="547" max="547" width="27.140625" style="896" bestFit="1" customWidth="1"/>
    <col min="548" max="548" width="25.7109375" style="896" bestFit="1" customWidth="1"/>
    <col min="549" max="549" width="19.42578125" style="896" bestFit="1" customWidth="1"/>
    <col min="550" max="550" width="10.85546875" style="896"/>
    <col min="551" max="551" width="16.42578125" style="896" bestFit="1" customWidth="1"/>
    <col min="552" max="552" width="10.85546875" style="896"/>
    <col min="553" max="553" width="14.42578125" style="896" bestFit="1" customWidth="1"/>
    <col min="554" max="555" width="10.85546875" style="896"/>
    <col min="556" max="556" width="14.28515625" style="896" bestFit="1" customWidth="1"/>
    <col min="557" max="784" width="10.85546875" style="896"/>
    <col min="785" max="785" width="12.28515625" style="896" customWidth="1"/>
    <col min="786" max="786" width="78.7109375" style="896" customWidth="1"/>
    <col min="787" max="787" width="20.28515625" style="896" customWidth="1"/>
    <col min="788" max="788" width="13.42578125" style="896" customWidth="1"/>
    <col min="789" max="789" width="17.140625" style="896" customWidth="1"/>
    <col min="790" max="790" width="22" style="896" customWidth="1"/>
    <col min="791" max="791" width="17.85546875" style="896" customWidth="1"/>
    <col min="792" max="792" width="21.28515625" style="896" customWidth="1"/>
    <col min="793" max="793" width="16.5703125" style="896" customWidth="1"/>
    <col min="794" max="794" width="20.28515625" style="896" customWidth="1"/>
    <col min="795" max="795" width="17.28515625" style="896" customWidth="1"/>
    <col min="796" max="796" width="19.42578125" style="896" customWidth="1"/>
    <col min="797" max="797" width="18.5703125" style="896" customWidth="1"/>
    <col min="798" max="798" width="19.7109375" style="896" customWidth="1"/>
    <col min="799" max="799" width="16" style="896" customWidth="1"/>
    <col min="800" max="800" width="20.5703125" style="896" customWidth="1"/>
    <col min="801" max="801" width="16.85546875" style="896" customWidth="1"/>
    <col min="802" max="802" width="23.7109375" style="896" customWidth="1"/>
    <col min="803" max="803" width="27.140625" style="896" bestFit="1" customWidth="1"/>
    <col min="804" max="804" width="25.7109375" style="896" bestFit="1" customWidth="1"/>
    <col min="805" max="805" width="19.42578125" style="896" bestFit="1" customWidth="1"/>
    <col min="806" max="806" width="10.85546875" style="896"/>
    <col min="807" max="807" width="16.42578125" style="896" bestFit="1" customWidth="1"/>
    <col min="808" max="808" width="10.85546875" style="896"/>
    <col min="809" max="809" width="14.42578125" style="896" bestFit="1" customWidth="1"/>
    <col min="810" max="811" width="10.85546875" style="896"/>
    <col min="812" max="812" width="14.28515625" style="896" bestFit="1" customWidth="1"/>
    <col min="813" max="1040" width="10.85546875" style="896"/>
    <col min="1041" max="1041" width="12.28515625" style="896" customWidth="1"/>
    <col min="1042" max="1042" width="78.7109375" style="896" customWidth="1"/>
    <col min="1043" max="1043" width="20.28515625" style="896" customWidth="1"/>
    <col min="1044" max="1044" width="13.42578125" style="896" customWidth="1"/>
    <col min="1045" max="1045" width="17.140625" style="896" customWidth="1"/>
    <col min="1046" max="1046" width="22" style="896" customWidth="1"/>
    <col min="1047" max="1047" width="17.85546875" style="896" customWidth="1"/>
    <col min="1048" max="1048" width="21.28515625" style="896" customWidth="1"/>
    <col min="1049" max="1049" width="16.5703125" style="896" customWidth="1"/>
    <col min="1050" max="1050" width="20.28515625" style="896" customWidth="1"/>
    <col min="1051" max="1051" width="17.28515625" style="896" customWidth="1"/>
    <col min="1052" max="1052" width="19.42578125" style="896" customWidth="1"/>
    <col min="1053" max="1053" width="18.5703125" style="896" customWidth="1"/>
    <col min="1054" max="1054" width="19.7109375" style="896" customWidth="1"/>
    <col min="1055" max="1055" width="16" style="896" customWidth="1"/>
    <col min="1056" max="1056" width="20.5703125" style="896" customWidth="1"/>
    <col min="1057" max="1057" width="16.85546875" style="896" customWidth="1"/>
    <col min="1058" max="1058" width="23.7109375" style="896" customWidth="1"/>
    <col min="1059" max="1059" width="27.140625" style="896" bestFit="1" customWidth="1"/>
    <col min="1060" max="1060" width="25.7109375" style="896" bestFit="1" customWidth="1"/>
    <col min="1061" max="1061" width="19.42578125" style="896" bestFit="1" customWidth="1"/>
    <col min="1062" max="1062" width="10.85546875" style="896"/>
    <col min="1063" max="1063" width="16.42578125" style="896" bestFit="1" customWidth="1"/>
    <col min="1064" max="1064" width="10.85546875" style="896"/>
    <col min="1065" max="1065" width="14.42578125" style="896" bestFit="1" customWidth="1"/>
    <col min="1066" max="1067" width="10.85546875" style="896"/>
    <col min="1068" max="1068" width="14.28515625" style="896" bestFit="1" customWidth="1"/>
    <col min="1069" max="1296" width="10.85546875" style="896"/>
    <col min="1297" max="1297" width="12.28515625" style="896" customWidth="1"/>
    <col min="1298" max="1298" width="78.7109375" style="896" customWidth="1"/>
    <col min="1299" max="1299" width="20.28515625" style="896" customWidth="1"/>
    <col min="1300" max="1300" width="13.42578125" style="896" customWidth="1"/>
    <col min="1301" max="1301" width="17.140625" style="896" customWidth="1"/>
    <col min="1302" max="1302" width="22" style="896" customWidth="1"/>
    <col min="1303" max="1303" width="17.85546875" style="896" customWidth="1"/>
    <col min="1304" max="1304" width="21.28515625" style="896" customWidth="1"/>
    <col min="1305" max="1305" width="16.5703125" style="896" customWidth="1"/>
    <col min="1306" max="1306" width="20.28515625" style="896" customWidth="1"/>
    <col min="1307" max="1307" width="17.28515625" style="896" customWidth="1"/>
    <col min="1308" max="1308" width="19.42578125" style="896" customWidth="1"/>
    <col min="1309" max="1309" width="18.5703125" style="896" customWidth="1"/>
    <col min="1310" max="1310" width="19.7109375" style="896" customWidth="1"/>
    <col min="1311" max="1311" width="16" style="896" customWidth="1"/>
    <col min="1312" max="1312" width="20.5703125" style="896" customWidth="1"/>
    <col min="1313" max="1313" width="16.85546875" style="896" customWidth="1"/>
    <col min="1314" max="1314" width="23.7109375" style="896" customWidth="1"/>
    <col min="1315" max="1315" width="27.140625" style="896" bestFit="1" customWidth="1"/>
    <col min="1316" max="1316" width="25.7109375" style="896" bestFit="1" customWidth="1"/>
    <col min="1317" max="1317" width="19.42578125" style="896" bestFit="1" customWidth="1"/>
    <col min="1318" max="1318" width="10.85546875" style="896"/>
    <col min="1319" max="1319" width="16.42578125" style="896" bestFit="1" customWidth="1"/>
    <col min="1320" max="1320" width="10.85546875" style="896"/>
    <col min="1321" max="1321" width="14.42578125" style="896" bestFit="1" customWidth="1"/>
    <col min="1322" max="1323" width="10.85546875" style="896"/>
    <col min="1324" max="1324" width="14.28515625" style="896" bestFit="1" customWidth="1"/>
    <col min="1325" max="1552" width="10.85546875" style="896"/>
    <col min="1553" max="1553" width="12.28515625" style="896" customWidth="1"/>
    <col min="1554" max="1554" width="78.7109375" style="896" customWidth="1"/>
    <col min="1555" max="1555" width="20.28515625" style="896" customWidth="1"/>
    <col min="1556" max="1556" width="13.42578125" style="896" customWidth="1"/>
    <col min="1557" max="1557" width="17.140625" style="896" customWidth="1"/>
    <col min="1558" max="1558" width="22" style="896" customWidth="1"/>
    <col min="1559" max="1559" width="17.85546875" style="896" customWidth="1"/>
    <col min="1560" max="1560" width="21.28515625" style="896" customWidth="1"/>
    <col min="1561" max="1561" width="16.5703125" style="896" customWidth="1"/>
    <col min="1562" max="1562" width="20.28515625" style="896" customWidth="1"/>
    <col min="1563" max="1563" width="17.28515625" style="896" customWidth="1"/>
    <col min="1564" max="1564" width="19.42578125" style="896" customWidth="1"/>
    <col min="1565" max="1565" width="18.5703125" style="896" customWidth="1"/>
    <col min="1566" max="1566" width="19.7109375" style="896" customWidth="1"/>
    <col min="1567" max="1567" width="16" style="896" customWidth="1"/>
    <col min="1568" max="1568" width="20.5703125" style="896" customWidth="1"/>
    <col min="1569" max="1569" width="16.85546875" style="896" customWidth="1"/>
    <col min="1570" max="1570" width="23.7109375" style="896" customWidth="1"/>
    <col min="1571" max="1571" width="27.140625" style="896" bestFit="1" customWidth="1"/>
    <col min="1572" max="1572" width="25.7109375" style="896" bestFit="1" customWidth="1"/>
    <col min="1573" max="1573" width="19.42578125" style="896" bestFit="1" customWidth="1"/>
    <col min="1574" max="1574" width="10.85546875" style="896"/>
    <col min="1575" max="1575" width="16.42578125" style="896" bestFit="1" customWidth="1"/>
    <col min="1576" max="1576" width="10.85546875" style="896"/>
    <col min="1577" max="1577" width="14.42578125" style="896" bestFit="1" customWidth="1"/>
    <col min="1578" max="1579" width="10.85546875" style="896"/>
    <col min="1580" max="1580" width="14.28515625" style="896" bestFit="1" customWidth="1"/>
    <col min="1581" max="1808" width="10.85546875" style="896"/>
    <col min="1809" max="1809" width="12.28515625" style="896" customWidth="1"/>
    <col min="1810" max="1810" width="78.7109375" style="896" customWidth="1"/>
    <col min="1811" max="1811" width="20.28515625" style="896" customWidth="1"/>
    <col min="1812" max="1812" width="13.42578125" style="896" customWidth="1"/>
    <col min="1813" max="1813" width="17.140625" style="896" customWidth="1"/>
    <col min="1814" max="1814" width="22" style="896" customWidth="1"/>
    <col min="1815" max="1815" width="17.85546875" style="896" customWidth="1"/>
    <col min="1816" max="1816" width="21.28515625" style="896" customWidth="1"/>
    <col min="1817" max="1817" width="16.5703125" style="896" customWidth="1"/>
    <col min="1818" max="1818" width="20.28515625" style="896" customWidth="1"/>
    <col min="1819" max="1819" width="17.28515625" style="896" customWidth="1"/>
    <col min="1820" max="1820" width="19.42578125" style="896" customWidth="1"/>
    <col min="1821" max="1821" width="18.5703125" style="896" customWidth="1"/>
    <col min="1822" max="1822" width="19.7109375" style="896" customWidth="1"/>
    <col min="1823" max="1823" width="16" style="896" customWidth="1"/>
    <col min="1824" max="1824" width="20.5703125" style="896" customWidth="1"/>
    <col min="1825" max="1825" width="16.85546875" style="896" customWidth="1"/>
    <col min="1826" max="1826" width="23.7109375" style="896" customWidth="1"/>
    <col min="1827" max="1827" width="27.140625" style="896" bestFit="1" customWidth="1"/>
    <col min="1828" max="1828" width="25.7109375" style="896" bestFit="1" customWidth="1"/>
    <col min="1829" max="1829" width="19.42578125" style="896" bestFit="1" customWidth="1"/>
    <col min="1830" max="1830" width="10.85546875" style="896"/>
    <col min="1831" max="1831" width="16.42578125" style="896" bestFit="1" customWidth="1"/>
    <col min="1832" max="1832" width="10.85546875" style="896"/>
    <col min="1833" max="1833" width="14.42578125" style="896" bestFit="1" customWidth="1"/>
    <col min="1834" max="1835" width="10.85546875" style="896"/>
    <col min="1836" max="1836" width="14.28515625" style="896" bestFit="1" customWidth="1"/>
    <col min="1837" max="2064" width="10.85546875" style="896"/>
    <col min="2065" max="2065" width="12.28515625" style="896" customWidth="1"/>
    <col min="2066" max="2066" width="78.7109375" style="896" customWidth="1"/>
    <col min="2067" max="2067" width="20.28515625" style="896" customWidth="1"/>
    <col min="2068" max="2068" width="13.42578125" style="896" customWidth="1"/>
    <col min="2069" max="2069" width="17.140625" style="896" customWidth="1"/>
    <col min="2070" max="2070" width="22" style="896" customWidth="1"/>
    <col min="2071" max="2071" width="17.85546875" style="896" customWidth="1"/>
    <col min="2072" max="2072" width="21.28515625" style="896" customWidth="1"/>
    <col min="2073" max="2073" width="16.5703125" style="896" customWidth="1"/>
    <col min="2074" max="2074" width="20.28515625" style="896" customWidth="1"/>
    <col min="2075" max="2075" width="17.28515625" style="896" customWidth="1"/>
    <col min="2076" max="2076" width="19.42578125" style="896" customWidth="1"/>
    <col min="2077" max="2077" width="18.5703125" style="896" customWidth="1"/>
    <col min="2078" max="2078" width="19.7109375" style="896" customWidth="1"/>
    <col min="2079" max="2079" width="16" style="896" customWidth="1"/>
    <col min="2080" max="2080" width="20.5703125" style="896" customWidth="1"/>
    <col min="2081" max="2081" width="16.85546875" style="896" customWidth="1"/>
    <col min="2082" max="2082" width="23.7109375" style="896" customWidth="1"/>
    <col min="2083" max="2083" width="27.140625" style="896" bestFit="1" customWidth="1"/>
    <col min="2084" max="2084" width="25.7109375" style="896" bestFit="1" customWidth="1"/>
    <col min="2085" max="2085" width="19.42578125" style="896" bestFit="1" customWidth="1"/>
    <col min="2086" max="2086" width="10.85546875" style="896"/>
    <col min="2087" max="2087" width="16.42578125" style="896" bestFit="1" customWidth="1"/>
    <col min="2088" max="2088" width="10.85546875" style="896"/>
    <col min="2089" max="2089" width="14.42578125" style="896" bestFit="1" customWidth="1"/>
    <col min="2090" max="2091" width="10.85546875" style="896"/>
    <col min="2092" max="2092" width="14.28515625" style="896" bestFit="1" customWidth="1"/>
    <col min="2093" max="2320" width="10.85546875" style="896"/>
    <col min="2321" max="2321" width="12.28515625" style="896" customWidth="1"/>
    <col min="2322" max="2322" width="78.7109375" style="896" customWidth="1"/>
    <col min="2323" max="2323" width="20.28515625" style="896" customWidth="1"/>
    <col min="2324" max="2324" width="13.42578125" style="896" customWidth="1"/>
    <col min="2325" max="2325" width="17.140625" style="896" customWidth="1"/>
    <col min="2326" max="2326" width="22" style="896" customWidth="1"/>
    <col min="2327" max="2327" width="17.85546875" style="896" customWidth="1"/>
    <col min="2328" max="2328" width="21.28515625" style="896" customWidth="1"/>
    <col min="2329" max="2329" width="16.5703125" style="896" customWidth="1"/>
    <col min="2330" max="2330" width="20.28515625" style="896" customWidth="1"/>
    <col min="2331" max="2331" width="17.28515625" style="896" customWidth="1"/>
    <col min="2332" max="2332" width="19.42578125" style="896" customWidth="1"/>
    <col min="2333" max="2333" width="18.5703125" style="896" customWidth="1"/>
    <col min="2334" max="2334" width="19.7109375" style="896" customWidth="1"/>
    <col min="2335" max="2335" width="16" style="896" customWidth="1"/>
    <col min="2336" max="2336" width="20.5703125" style="896" customWidth="1"/>
    <col min="2337" max="2337" width="16.85546875" style="896" customWidth="1"/>
    <col min="2338" max="2338" width="23.7109375" style="896" customWidth="1"/>
    <col min="2339" max="2339" width="27.140625" style="896" bestFit="1" customWidth="1"/>
    <col min="2340" max="2340" width="25.7109375" style="896" bestFit="1" customWidth="1"/>
    <col min="2341" max="2341" width="19.42578125" style="896" bestFit="1" customWidth="1"/>
    <col min="2342" max="2342" width="10.85546875" style="896"/>
    <col min="2343" max="2343" width="16.42578125" style="896" bestFit="1" customWidth="1"/>
    <col min="2344" max="2344" width="10.85546875" style="896"/>
    <col min="2345" max="2345" width="14.42578125" style="896" bestFit="1" customWidth="1"/>
    <col min="2346" max="2347" width="10.85546875" style="896"/>
    <col min="2348" max="2348" width="14.28515625" style="896" bestFit="1" customWidth="1"/>
    <col min="2349" max="2576" width="10.85546875" style="896"/>
    <col min="2577" max="2577" width="12.28515625" style="896" customWidth="1"/>
    <col min="2578" max="2578" width="78.7109375" style="896" customWidth="1"/>
    <col min="2579" max="2579" width="20.28515625" style="896" customWidth="1"/>
    <col min="2580" max="2580" width="13.42578125" style="896" customWidth="1"/>
    <col min="2581" max="2581" width="17.140625" style="896" customWidth="1"/>
    <col min="2582" max="2582" width="22" style="896" customWidth="1"/>
    <col min="2583" max="2583" width="17.85546875" style="896" customWidth="1"/>
    <col min="2584" max="2584" width="21.28515625" style="896" customWidth="1"/>
    <col min="2585" max="2585" width="16.5703125" style="896" customWidth="1"/>
    <col min="2586" max="2586" width="20.28515625" style="896" customWidth="1"/>
    <col min="2587" max="2587" width="17.28515625" style="896" customWidth="1"/>
    <col min="2588" max="2588" width="19.42578125" style="896" customWidth="1"/>
    <col min="2589" max="2589" width="18.5703125" style="896" customWidth="1"/>
    <col min="2590" max="2590" width="19.7109375" style="896" customWidth="1"/>
    <col min="2591" max="2591" width="16" style="896" customWidth="1"/>
    <col min="2592" max="2592" width="20.5703125" style="896" customWidth="1"/>
    <col min="2593" max="2593" width="16.85546875" style="896" customWidth="1"/>
    <col min="2594" max="2594" width="23.7109375" style="896" customWidth="1"/>
    <col min="2595" max="2595" width="27.140625" style="896" bestFit="1" customWidth="1"/>
    <col min="2596" max="2596" width="25.7109375" style="896" bestFit="1" customWidth="1"/>
    <col min="2597" max="2597" width="19.42578125" style="896" bestFit="1" customWidth="1"/>
    <col min="2598" max="2598" width="10.85546875" style="896"/>
    <col min="2599" max="2599" width="16.42578125" style="896" bestFit="1" customWidth="1"/>
    <col min="2600" max="2600" width="10.85546875" style="896"/>
    <col min="2601" max="2601" width="14.42578125" style="896" bestFit="1" customWidth="1"/>
    <col min="2602" max="2603" width="10.85546875" style="896"/>
    <col min="2604" max="2604" width="14.28515625" style="896" bestFit="1" customWidth="1"/>
    <col min="2605" max="2832" width="10.85546875" style="896"/>
    <col min="2833" max="2833" width="12.28515625" style="896" customWidth="1"/>
    <col min="2834" max="2834" width="78.7109375" style="896" customWidth="1"/>
    <col min="2835" max="2835" width="20.28515625" style="896" customWidth="1"/>
    <col min="2836" max="2836" width="13.42578125" style="896" customWidth="1"/>
    <col min="2837" max="2837" width="17.140625" style="896" customWidth="1"/>
    <col min="2838" max="2838" width="22" style="896" customWidth="1"/>
    <col min="2839" max="2839" width="17.85546875" style="896" customWidth="1"/>
    <col min="2840" max="2840" width="21.28515625" style="896" customWidth="1"/>
    <col min="2841" max="2841" width="16.5703125" style="896" customWidth="1"/>
    <col min="2842" max="2842" width="20.28515625" style="896" customWidth="1"/>
    <col min="2843" max="2843" width="17.28515625" style="896" customWidth="1"/>
    <col min="2844" max="2844" width="19.42578125" style="896" customWidth="1"/>
    <col min="2845" max="2845" width="18.5703125" style="896" customWidth="1"/>
    <col min="2846" max="2846" width="19.7109375" style="896" customWidth="1"/>
    <col min="2847" max="2847" width="16" style="896" customWidth="1"/>
    <col min="2848" max="2848" width="20.5703125" style="896" customWidth="1"/>
    <col min="2849" max="2849" width="16.85546875" style="896" customWidth="1"/>
    <col min="2850" max="2850" width="23.7109375" style="896" customWidth="1"/>
    <col min="2851" max="2851" width="27.140625" style="896" bestFit="1" customWidth="1"/>
    <col min="2852" max="2852" width="25.7109375" style="896" bestFit="1" customWidth="1"/>
    <col min="2853" max="2853" width="19.42578125" style="896" bestFit="1" customWidth="1"/>
    <col min="2854" max="2854" width="10.85546875" style="896"/>
    <col min="2855" max="2855" width="16.42578125" style="896" bestFit="1" customWidth="1"/>
    <col min="2856" max="2856" width="10.85546875" style="896"/>
    <col min="2857" max="2857" width="14.42578125" style="896" bestFit="1" customWidth="1"/>
    <col min="2858" max="2859" width="10.85546875" style="896"/>
    <col min="2860" max="2860" width="14.28515625" style="896" bestFit="1" customWidth="1"/>
    <col min="2861" max="3088" width="10.85546875" style="896"/>
    <col min="3089" max="3089" width="12.28515625" style="896" customWidth="1"/>
    <col min="3090" max="3090" width="78.7109375" style="896" customWidth="1"/>
    <col min="3091" max="3091" width="20.28515625" style="896" customWidth="1"/>
    <col min="3092" max="3092" width="13.42578125" style="896" customWidth="1"/>
    <col min="3093" max="3093" width="17.140625" style="896" customWidth="1"/>
    <col min="3094" max="3094" width="22" style="896" customWidth="1"/>
    <col min="3095" max="3095" width="17.85546875" style="896" customWidth="1"/>
    <col min="3096" max="3096" width="21.28515625" style="896" customWidth="1"/>
    <col min="3097" max="3097" width="16.5703125" style="896" customWidth="1"/>
    <col min="3098" max="3098" width="20.28515625" style="896" customWidth="1"/>
    <col min="3099" max="3099" width="17.28515625" style="896" customWidth="1"/>
    <col min="3100" max="3100" width="19.42578125" style="896" customWidth="1"/>
    <col min="3101" max="3101" width="18.5703125" style="896" customWidth="1"/>
    <col min="3102" max="3102" width="19.7109375" style="896" customWidth="1"/>
    <col min="3103" max="3103" width="16" style="896" customWidth="1"/>
    <col min="3104" max="3104" width="20.5703125" style="896" customWidth="1"/>
    <col min="3105" max="3105" width="16.85546875" style="896" customWidth="1"/>
    <col min="3106" max="3106" width="23.7109375" style="896" customWidth="1"/>
    <col min="3107" max="3107" width="27.140625" style="896" bestFit="1" customWidth="1"/>
    <col min="3108" max="3108" width="25.7109375" style="896" bestFit="1" customWidth="1"/>
    <col min="3109" max="3109" width="19.42578125" style="896" bestFit="1" customWidth="1"/>
    <col min="3110" max="3110" width="10.85546875" style="896"/>
    <col min="3111" max="3111" width="16.42578125" style="896" bestFit="1" customWidth="1"/>
    <col min="3112" max="3112" width="10.85546875" style="896"/>
    <col min="3113" max="3113" width="14.42578125" style="896" bestFit="1" customWidth="1"/>
    <col min="3114" max="3115" width="10.85546875" style="896"/>
    <col min="3116" max="3116" width="14.28515625" style="896" bestFit="1" customWidth="1"/>
    <col min="3117" max="3344" width="10.85546875" style="896"/>
    <col min="3345" max="3345" width="12.28515625" style="896" customWidth="1"/>
    <col min="3346" max="3346" width="78.7109375" style="896" customWidth="1"/>
    <col min="3347" max="3347" width="20.28515625" style="896" customWidth="1"/>
    <col min="3348" max="3348" width="13.42578125" style="896" customWidth="1"/>
    <col min="3349" max="3349" width="17.140625" style="896" customWidth="1"/>
    <col min="3350" max="3350" width="22" style="896" customWidth="1"/>
    <col min="3351" max="3351" width="17.85546875" style="896" customWidth="1"/>
    <col min="3352" max="3352" width="21.28515625" style="896" customWidth="1"/>
    <col min="3353" max="3353" width="16.5703125" style="896" customWidth="1"/>
    <col min="3354" max="3354" width="20.28515625" style="896" customWidth="1"/>
    <col min="3355" max="3355" width="17.28515625" style="896" customWidth="1"/>
    <col min="3356" max="3356" width="19.42578125" style="896" customWidth="1"/>
    <col min="3357" max="3357" width="18.5703125" style="896" customWidth="1"/>
    <col min="3358" max="3358" width="19.7109375" style="896" customWidth="1"/>
    <col min="3359" max="3359" width="16" style="896" customWidth="1"/>
    <col min="3360" max="3360" width="20.5703125" style="896" customWidth="1"/>
    <col min="3361" max="3361" width="16.85546875" style="896" customWidth="1"/>
    <col min="3362" max="3362" width="23.7109375" style="896" customWidth="1"/>
    <col min="3363" max="3363" width="27.140625" style="896" bestFit="1" customWidth="1"/>
    <col min="3364" max="3364" width="25.7109375" style="896" bestFit="1" customWidth="1"/>
    <col min="3365" max="3365" width="19.42578125" style="896" bestFit="1" customWidth="1"/>
    <col min="3366" max="3366" width="10.85546875" style="896"/>
    <col min="3367" max="3367" width="16.42578125" style="896" bestFit="1" customWidth="1"/>
    <col min="3368" max="3368" width="10.85546875" style="896"/>
    <col min="3369" max="3369" width="14.42578125" style="896" bestFit="1" customWidth="1"/>
    <col min="3370" max="3371" width="10.85546875" style="896"/>
    <col min="3372" max="3372" width="14.28515625" style="896" bestFit="1" customWidth="1"/>
    <col min="3373" max="3600" width="10.85546875" style="896"/>
    <col min="3601" max="3601" width="12.28515625" style="896" customWidth="1"/>
    <col min="3602" max="3602" width="78.7109375" style="896" customWidth="1"/>
    <col min="3603" max="3603" width="20.28515625" style="896" customWidth="1"/>
    <col min="3604" max="3604" width="13.42578125" style="896" customWidth="1"/>
    <col min="3605" max="3605" width="17.140625" style="896" customWidth="1"/>
    <col min="3606" max="3606" width="22" style="896" customWidth="1"/>
    <col min="3607" max="3607" width="17.85546875" style="896" customWidth="1"/>
    <col min="3608" max="3608" width="21.28515625" style="896" customWidth="1"/>
    <col min="3609" max="3609" width="16.5703125" style="896" customWidth="1"/>
    <col min="3610" max="3610" width="20.28515625" style="896" customWidth="1"/>
    <col min="3611" max="3611" width="17.28515625" style="896" customWidth="1"/>
    <col min="3612" max="3612" width="19.42578125" style="896" customWidth="1"/>
    <col min="3613" max="3613" width="18.5703125" style="896" customWidth="1"/>
    <col min="3614" max="3614" width="19.7109375" style="896" customWidth="1"/>
    <col min="3615" max="3615" width="16" style="896" customWidth="1"/>
    <col min="3616" max="3616" width="20.5703125" style="896" customWidth="1"/>
    <col min="3617" max="3617" width="16.85546875" style="896" customWidth="1"/>
    <col min="3618" max="3618" width="23.7109375" style="896" customWidth="1"/>
    <col min="3619" max="3619" width="27.140625" style="896" bestFit="1" customWidth="1"/>
    <col min="3620" max="3620" width="25.7109375" style="896" bestFit="1" customWidth="1"/>
    <col min="3621" max="3621" width="19.42578125" style="896" bestFit="1" customWidth="1"/>
    <col min="3622" max="3622" width="10.85546875" style="896"/>
    <col min="3623" max="3623" width="16.42578125" style="896" bestFit="1" customWidth="1"/>
    <col min="3624" max="3624" width="10.85546875" style="896"/>
    <col min="3625" max="3625" width="14.42578125" style="896" bestFit="1" customWidth="1"/>
    <col min="3626" max="3627" width="10.85546875" style="896"/>
    <col min="3628" max="3628" width="14.28515625" style="896" bestFit="1" customWidth="1"/>
    <col min="3629" max="3856" width="10.85546875" style="896"/>
    <col min="3857" max="3857" width="12.28515625" style="896" customWidth="1"/>
    <col min="3858" max="3858" width="78.7109375" style="896" customWidth="1"/>
    <col min="3859" max="3859" width="20.28515625" style="896" customWidth="1"/>
    <col min="3860" max="3860" width="13.42578125" style="896" customWidth="1"/>
    <col min="3861" max="3861" width="17.140625" style="896" customWidth="1"/>
    <col min="3862" max="3862" width="22" style="896" customWidth="1"/>
    <col min="3863" max="3863" width="17.85546875" style="896" customWidth="1"/>
    <col min="3864" max="3864" width="21.28515625" style="896" customWidth="1"/>
    <col min="3865" max="3865" width="16.5703125" style="896" customWidth="1"/>
    <col min="3866" max="3866" width="20.28515625" style="896" customWidth="1"/>
    <col min="3867" max="3867" width="17.28515625" style="896" customWidth="1"/>
    <col min="3868" max="3868" width="19.42578125" style="896" customWidth="1"/>
    <col min="3869" max="3869" width="18.5703125" style="896" customWidth="1"/>
    <col min="3870" max="3870" width="19.7109375" style="896" customWidth="1"/>
    <col min="3871" max="3871" width="16" style="896" customWidth="1"/>
    <col min="3872" max="3872" width="20.5703125" style="896" customWidth="1"/>
    <col min="3873" max="3873" width="16.85546875" style="896" customWidth="1"/>
    <col min="3874" max="3874" width="23.7109375" style="896" customWidth="1"/>
    <col min="3875" max="3875" width="27.140625" style="896" bestFit="1" customWidth="1"/>
    <col min="3876" max="3876" width="25.7109375" style="896" bestFit="1" customWidth="1"/>
    <col min="3877" max="3877" width="19.42578125" style="896" bestFit="1" customWidth="1"/>
    <col min="3878" max="3878" width="10.85546875" style="896"/>
    <col min="3879" max="3879" width="16.42578125" style="896" bestFit="1" customWidth="1"/>
    <col min="3880" max="3880" width="10.85546875" style="896"/>
    <col min="3881" max="3881" width="14.42578125" style="896" bestFit="1" customWidth="1"/>
    <col min="3882" max="3883" width="10.85546875" style="896"/>
    <col min="3884" max="3884" width="14.28515625" style="896" bestFit="1" customWidth="1"/>
    <col min="3885" max="4112" width="10.85546875" style="896"/>
    <col min="4113" max="4113" width="12.28515625" style="896" customWidth="1"/>
    <col min="4114" max="4114" width="78.7109375" style="896" customWidth="1"/>
    <col min="4115" max="4115" width="20.28515625" style="896" customWidth="1"/>
    <col min="4116" max="4116" width="13.42578125" style="896" customWidth="1"/>
    <col min="4117" max="4117" width="17.140625" style="896" customWidth="1"/>
    <col min="4118" max="4118" width="22" style="896" customWidth="1"/>
    <col min="4119" max="4119" width="17.85546875" style="896" customWidth="1"/>
    <col min="4120" max="4120" width="21.28515625" style="896" customWidth="1"/>
    <col min="4121" max="4121" width="16.5703125" style="896" customWidth="1"/>
    <col min="4122" max="4122" width="20.28515625" style="896" customWidth="1"/>
    <col min="4123" max="4123" width="17.28515625" style="896" customWidth="1"/>
    <col min="4124" max="4124" width="19.42578125" style="896" customWidth="1"/>
    <col min="4125" max="4125" width="18.5703125" style="896" customWidth="1"/>
    <col min="4126" max="4126" width="19.7109375" style="896" customWidth="1"/>
    <col min="4127" max="4127" width="16" style="896" customWidth="1"/>
    <col min="4128" max="4128" width="20.5703125" style="896" customWidth="1"/>
    <col min="4129" max="4129" width="16.85546875" style="896" customWidth="1"/>
    <col min="4130" max="4130" width="23.7109375" style="896" customWidth="1"/>
    <col min="4131" max="4131" width="27.140625" style="896" bestFit="1" customWidth="1"/>
    <col min="4132" max="4132" width="25.7109375" style="896" bestFit="1" customWidth="1"/>
    <col min="4133" max="4133" width="19.42578125" style="896" bestFit="1" customWidth="1"/>
    <col min="4134" max="4134" width="10.85546875" style="896"/>
    <col min="4135" max="4135" width="16.42578125" style="896" bestFit="1" customWidth="1"/>
    <col min="4136" max="4136" width="10.85546875" style="896"/>
    <col min="4137" max="4137" width="14.42578125" style="896" bestFit="1" customWidth="1"/>
    <col min="4138" max="4139" width="10.85546875" style="896"/>
    <col min="4140" max="4140" width="14.28515625" style="896" bestFit="1" customWidth="1"/>
    <col min="4141" max="4368" width="10.85546875" style="896"/>
    <col min="4369" max="4369" width="12.28515625" style="896" customWidth="1"/>
    <col min="4370" max="4370" width="78.7109375" style="896" customWidth="1"/>
    <col min="4371" max="4371" width="20.28515625" style="896" customWidth="1"/>
    <col min="4372" max="4372" width="13.42578125" style="896" customWidth="1"/>
    <col min="4373" max="4373" width="17.140625" style="896" customWidth="1"/>
    <col min="4374" max="4374" width="22" style="896" customWidth="1"/>
    <col min="4375" max="4375" width="17.85546875" style="896" customWidth="1"/>
    <col min="4376" max="4376" width="21.28515625" style="896" customWidth="1"/>
    <col min="4377" max="4377" width="16.5703125" style="896" customWidth="1"/>
    <col min="4378" max="4378" width="20.28515625" style="896" customWidth="1"/>
    <col min="4379" max="4379" width="17.28515625" style="896" customWidth="1"/>
    <col min="4380" max="4380" width="19.42578125" style="896" customWidth="1"/>
    <col min="4381" max="4381" width="18.5703125" style="896" customWidth="1"/>
    <col min="4382" max="4382" width="19.7109375" style="896" customWidth="1"/>
    <col min="4383" max="4383" width="16" style="896" customWidth="1"/>
    <col min="4384" max="4384" width="20.5703125" style="896" customWidth="1"/>
    <col min="4385" max="4385" width="16.85546875" style="896" customWidth="1"/>
    <col min="4386" max="4386" width="23.7109375" style="896" customWidth="1"/>
    <col min="4387" max="4387" width="27.140625" style="896" bestFit="1" customWidth="1"/>
    <col min="4388" max="4388" width="25.7109375" style="896" bestFit="1" customWidth="1"/>
    <col min="4389" max="4389" width="19.42578125" style="896" bestFit="1" customWidth="1"/>
    <col min="4390" max="4390" width="10.85546875" style="896"/>
    <col min="4391" max="4391" width="16.42578125" style="896" bestFit="1" customWidth="1"/>
    <col min="4392" max="4392" width="10.85546875" style="896"/>
    <col min="4393" max="4393" width="14.42578125" style="896" bestFit="1" customWidth="1"/>
    <col min="4394" max="4395" width="10.85546875" style="896"/>
    <col min="4396" max="4396" width="14.28515625" style="896" bestFit="1" customWidth="1"/>
    <col min="4397" max="4624" width="10.85546875" style="896"/>
    <col min="4625" max="4625" width="12.28515625" style="896" customWidth="1"/>
    <col min="4626" max="4626" width="78.7109375" style="896" customWidth="1"/>
    <col min="4627" max="4627" width="20.28515625" style="896" customWidth="1"/>
    <col min="4628" max="4628" width="13.42578125" style="896" customWidth="1"/>
    <col min="4629" max="4629" width="17.140625" style="896" customWidth="1"/>
    <col min="4630" max="4630" width="22" style="896" customWidth="1"/>
    <col min="4631" max="4631" width="17.85546875" style="896" customWidth="1"/>
    <col min="4632" max="4632" width="21.28515625" style="896" customWidth="1"/>
    <col min="4633" max="4633" width="16.5703125" style="896" customWidth="1"/>
    <col min="4634" max="4634" width="20.28515625" style="896" customWidth="1"/>
    <col min="4635" max="4635" width="17.28515625" style="896" customWidth="1"/>
    <col min="4636" max="4636" width="19.42578125" style="896" customWidth="1"/>
    <col min="4637" max="4637" width="18.5703125" style="896" customWidth="1"/>
    <col min="4638" max="4638" width="19.7109375" style="896" customWidth="1"/>
    <col min="4639" max="4639" width="16" style="896" customWidth="1"/>
    <col min="4640" max="4640" width="20.5703125" style="896" customWidth="1"/>
    <col min="4641" max="4641" width="16.85546875" style="896" customWidth="1"/>
    <col min="4642" max="4642" width="23.7109375" style="896" customWidth="1"/>
    <col min="4643" max="4643" width="27.140625" style="896" bestFit="1" customWidth="1"/>
    <col min="4644" max="4644" width="25.7109375" style="896" bestFit="1" customWidth="1"/>
    <col min="4645" max="4645" width="19.42578125" style="896" bestFit="1" customWidth="1"/>
    <col min="4646" max="4646" width="10.85546875" style="896"/>
    <col min="4647" max="4647" width="16.42578125" style="896" bestFit="1" customWidth="1"/>
    <col min="4648" max="4648" width="10.85546875" style="896"/>
    <col min="4649" max="4649" width="14.42578125" style="896" bestFit="1" customWidth="1"/>
    <col min="4650" max="4651" width="10.85546875" style="896"/>
    <col min="4652" max="4652" width="14.28515625" style="896" bestFit="1" customWidth="1"/>
    <col min="4653" max="4880" width="10.85546875" style="896"/>
    <col min="4881" max="4881" width="12.28515625" style="896" customWidth="1"/>
    <col min="4882" max="4882" width="78.7109375" style="896" customWidth="1"/>
    <col min="4883" max="4883" width="20.28515625" style="896" customWidth="1"/>
    <col min="4884" max="4884" width="13.42578125" style="896" customWidth="1"/>
    <col min="4885" max="4885" width="17.140625" style="896" customWidth="1"/>
    <col min="4886" max="4886" width="22" style="896" customWidth="1"/>
    <col min="4887" max="4887" width="17.85546875" style="896" customWidth="1"/>
    <col min="4888" max="4888" width="21.28515625" style="896" customWidth="1"/>
    <col min="4889" max="4889" width="16.5703125" style="896" customWidth="1"/>
    <col min="4890" max="4890" width="20.28515625" style="896" customWidth="1"/>
    <col min="4891" max="4891" width="17.28515625" style="896" customWidth="1"/>
    <col min="4892" max="4892" width="19.42578125" style="896" customWidth="1"/>
    <col min="4893" max="4893" width="18.5703125" style="896" customWidth="1"/>
    <col min="4894" max="4894" width="19.7109375" style="896" customWidth="1"/>
    <col min="4895" max="4895" width="16" style="896" customWidth="1"/>
    <col min="4896" max="4896" width="20.5703125" style="896" customWidth="1"/>
    <col min="4897" max="4897" width="16.85546875" style="896" customWidth="1"/>
    <col min="4898" max="4898" width="23.7109375" style="896" customWidth="1"/>
    <col min="4899" max="4899" width="27.140625" style="896" bestFit="1" customWidth="1"/>
    <col min="4900" max="4900" width="25.7109375" style="896" bestFit="1" customWidth="1"/>
    <col min="4901" max="4901" width="19.42578125" style="896" bestFit="1" customWidth="1"/>
    <col min="4902" max="4902" width="10.85546875" style="896"/>
    <col min="4903" max="4903" width="16.42578125" style="896" bestFit="1" customWidth="1"/>
    <col min="4904" max="4904" width="10.85546875" style="896"/>
    <col min="4905" max="4905" width="14.42578125" style="896" bestFit="1" customWidth="1"/>
    <col min="4906" max="4907" width="10.85546875" style="896"/>
    <col min="4908" max="4908" width="14.28515625" style="896" bestFit="1" customWidth="1"/>
    <col min="4909" max="5136" width="10.85546875" style="896"/>
    <col min="5137" max="5137" width="12.28515625" style="896" customWidth="1"/>
    <col min="5138" max="5138" width="78.7109375" style="896" customWidth="1"/>
    <col min="5139" max="5139" width="20.28515625" style="896" customWidth="1"/>
    <col min="5140" max="5140" width="13.42578125" style="896" customWidth="1"/>
    <col min="5141" max="5141" width="17.140625" style="896" customWidth="1"/>
    <col min="5142" max="5142" width="22" style="896" customWidth="1"/>
    <col min="5143" max="5143" width="17.85546875" style="896" customWidth="1"/>
    <col min="5144" max="5144" width="21.28515625" style="896" customWidth="1"/>
    <col min="5145" max="5145" width="16.5703125" style="896" customWidth="1"/>
    <col min="5146" max="5146" width="20.28515625" style="896" customWidth="1"/>
    <col min="5147" max="5147" width="17.28515625" style="896" customWidth="1"/>
    <col min="5148" max="5148" width="19.42578125" style="896" customWidth="1"/>
    <col min="5149" max="5149" width="18.5703125" style="896" customWidth="1"/>
    <col min="5150" max="5150" width="19.7109375" style="896" customWidth="1"/>
    <col min="5151" max="5151" width="16" style="896" customWidth="1"/>
    <col min="5152" max="5152" width="20.5703125" style="896" customWidth="1"/>
    <col min="5153" max="5153" width="16.85546875" style="896" customWidth="1"/>
    <col min="5154" max="5154" width="23.7109375" style="896" customWidth="1"/>
    <col min="5155" max="5155" width="27.140625" style="896" bestFit="1" customWidth="1"/>
    <col min="5156" max="5156" width="25.7109375" style="896" bestFit="1" customWidth="1"/>
    <col min="5157" max="5157" width="19.42578125" style="896" bestFit="1" customWidth="1"/>
    <col min="5158" max="5158" width="10.85546875" style="896"/>
    <col min="5159" max="5159" width="16.42578125" style="896" bestFit="1" customWidth="1"/>
    <col min="5160" max="5160" width="10.85546875" style="896"/>
    <col min="5161" max="5161" width="14.42578125" style="896" bestFit="1" customWidth="1"/>
    <col min="5162" max="5163" width="10.85546875" style="896"/>
    <col min="5164" max="5164" width="14.28515625" style="896" bestFit="1" customWidth="1"/>
    <col min="5165" max="5392" width="10.85546875" style="896"/>
    <col min="5393" max="5393" width="12.28515625" style="896" customWidth="1"/>
    <col min="5394" max="5394" width="78.7109375" style="896" customWidth="1"/>
    <col min="5395" max="5395" width="20.28515625" style="896" customWidth="1"/>
    <col min="5396" max="5396" width="13.42578125" style="896" customWidth="1"/>
    <col min="5397" max="5397" width="17.140625" style="896" customWidth="1"/>
    <col min="5398" max="5398" width="22" style="896" customWidth="1"/>
    <col min="5399" max="5399" width="17.85546875" style="896" customWidth="1"/>
    <col min="5400" max="5400" width="21.28515625" style="896" customWidth="1"/>
    <col min="5401" max="5401" width="16.5703125" style="896" customWidth="1"/>
    <col min="5402" max="5402" width="20.28515625" style="896" customWidth="1"/>
    <col min="5403" max="5403" width="17.28515625" style="896" customWidth="1"/>
    <col min="5404" max="5404" width="19.42578125" style="896" customWidth="1"/>
    <col min="5405" max="5405" width="18.5703125" style="896" customWidth="1"/>
    <col min="5406" max="5406" width="19.7109375" style="896" customWidth="1"/>
    <col min="5407" max="5407" width="16" style="896" customWidth="1"/>
    <col min="5408" max="5408" width="20.5703125" style="896" customWidth="1"/>
    <col min="5409" max="5409" width="16.85546875" style="896" customWidth="1"/>
    <col min="5410" max="5410" width="23.7109375" style="896" customWidth="1"/>
    <col min="5411" max="5411" width="27.140625" style="896" bestFit="1" customWidth="1"/>
    <col min="5412" max="5412" width="25.7109375" style="896" bestFit="1" customWidth="1"/>
    <col min="5413" max="5413" width="19.42578125" style="896" bestFit="1" customWidth="1"/>
    <col min="5414" max="5414" width="10.85546875" style="896"/>
    <col min="5415" max="5415" width="16.42578125" style="896" bestFit="1" customWidth="1"/>
    <col min="5416" max="5416" width="10.85546875" style="896"/>
    <col min="5417" max="5417" width="14.42578125" style="896" bestFit="1" customWidth="1"/>
    <col min="5418" max="5419" width="10.85546875" style="896"/>
    <col min="5420" max="5420" width="14.28515625" style="896" bestFit="1" customWidth="1"/>
    <col min="5421" max="5648" width="10.85546875" style="896"/>
    <col min="5649" max="5649" width="12.28515625" style="896" customWidth="1"/>
    <col min="5650" max="5650" width="78.7109375" style="896" customWidth="1"/>
    <col min="5651" max="5651" width="20.28515625" style="896" customWidth="1"/>
    <col min="5652" max="5652" width="13.42578125" style="896" customWidth="1"/>
    <col min="5653" max="5653" width="17.140625" style="896" customWidth="1"/>
    <col min="5654" max="5654" width="22" style="896" customWidth="1"/>
    <col min="5655" max="5655" width="17.85546875" style="896" customWidth="1"/>
    <col min="5656" max="5656" width="21.28515625" style="896" customWidth="1"/>
    <col min="5657" max="5657" width="16.5703125" style="896" customWidth="1"/>
    <col min="5658" max="5658" width="20.28515625" style="896" customWidth="1"/>
    <col min="5659" max="5659" width="17.28515625" style="896" customWidth="1"/>
    <col min="5660" max="5660" width="19.42578125" style="896" customWidth="1"/>
    <col min="5661" max="5661" width="18.5703125" style="896" customWidth="1"/>
    <col min="5662" max="5662" width="19.7109375" style="896" customWidth="1"/>
    <col min="5663" max="5663" width="16" style="896" customWidth="1"/>
    <col min="5664" max="5664" width="20.5703125" style="896" customWidth="1"/>
    <col min="5665" max="5665" width="16.85546875" style="896" customWidth="1"/>
    <col min="5666" max="5666" width="23.7109375" style="896" customWidth="1"/>
    <col min="5667" max="5667" width="27.140625" style="896" bestFit="1" customWidth="1"/>
    <col min="5668" max="5668" width="25.7109375" style="896" bestFit="1" customWidth="1"/>
    <col min="5669" max="5669" width="19.42578125" style="896" bestFit="1" customWidth="1"/>
    <col min="5670" max="5670" width="10.85546875" style="896"/>
    <col min="5671" max="5671" width="16.42578125" style="896" bestFit="1" customWidth="1"/>
    <col min="5672" max="5672" width="10.85546875" style="896"/>
    <col min="5673" max="5673" width="14.42578125" style="896" bestFit="1" customWidth="1"/>
    <col min="5674" max="5675" width="10.85546875" style="896"/>
    <col min="5676" max="5676" width="14.28515625" style="896" bestFit="1" customWidth="1"/>
    <col min="5677" max="5904" width="10.85546875" style="896"/>
    <col min="5905" max="5905" width="12.28515625" style="896" customWidth="1"/>
    <col min="5906" max="5906" width="78.7109375" style="896" customWidth="1"/>
    <col min="5907" max="5907" width="20.28515625" style="896" customWidth="1"/>
    <col min="5908" max="5908" width="13.42578125" style="896" customWidth="1"/>
    <col min="5909" max="5909" width="17.140625" style="896" customWidth="1"/>
    <col min="5910" max="5910" width="22" style="896" customWidth="1"/>
    <col min="5911" max="5911" width="17.85546875" style="896" customWidth="1"/>
    <col min="5912" max="5912" width="21.28515625" style="896" customWidth="1"/>
    <col min="5913" max="5913" width="16.5703125" style="896" customWidth="1"/>
    <col min="5914" max="5914" width="20.28515625" style="896" customWidth="1"/>
    <col min="5915" max="5915" width="17.28515625" style="896" customWidth="1"/>
    <col min="5916" max="5916" width="19.42578125" style="896" customWidth="1"/>
    <col min="5917" max="5917" width="18.5703125" style="896" customWidth="1"/>
    <col min="5918" max="5918" width="19.7109375" style="896" customWidth="1"/>
    <col min="5919" max="5919" width="16" style="896" customWidth="1"/>
    <col min="5920" max="5920" width="20.5703125" style="896" customWidth="1"/>
    <col min="5921" max="5921" width="16.85546875" style="896" customWidth="1"/>
    <col min="5922" max="5922" width="23.7109375" style="896" customWidth="1"/>
    <col min="5923" max="5923" width="27.140625" style="896" bestFit="1" customWidth="1"/>
    <col min="5924" max="5924" width="25.7109375" style="896" bestFit="1" customWidth="1"/>
    <col min="5925" max="5925" width="19.42578125" style="896" bestFit="1" customWidth="1"/>
    <col min="5926" max="5926" width="10.85546875" style="896"/>
    <col min="5927" max="5927" width="16.42578125" style="896" bestFit="1" customWidth="1"/>
    <col min="5928" max="5928" width="10.85546875" style="896"/>
    <col min="5929" max="5929" width="14.42578125" style="896" bestFit="1" customWidth="1"/>
    <col min="5930" max="5931" width="10.85546875" style="896"/>
    <col min="5932" max="5932" width="14.28515625" style="896" bestFit="1" customWidth="1"/>
    <col min="5933" max="6160" width="10.85546875" style="896"/>
    <col min="6161" max="6161" width="12.28515625" style="896" customWidth="1"/>
    <col min="6162" max="6162" width="78.7109375" style="896" customWidth="1"/>
    <col min="6163" max="6163" width="20.28515625" style="896" customWidth="1"/>
    <col min="6164" max="6164" width="13.42578125" style="896" customWidth="1"/>
    <col min="6165" max="6165" width="17.140625" style="896" customWidth="1"/>
    <col min="6166" max="6166" width="22" style="896" customWidth="1"/>
    <col min="6167" max="6167" width="17.85546875" style="896" customWidth="1"/>
    <col min="6168" max="6168" width="21.28515625" style="896" customWidth="1"/>
    <col min="6169" max="6169" width="16.5703125" style="896" customWidth="1"/>
    <col min="6170" max="6170" width="20.28515625" style="896" customWidth="1"/>
    <col min="6171" max="6171" width="17.28515625" style="896" customWidth="1"/>
    <col min="6172" max="6172" width="19.42578125" style="896" customWidth="1"/>
    <col min="6173" max="6173" width="18.5703125" style="896" customWidth="1"/>
    <col min="6174" max="6174" width="19.7109375" style="896" customWidth="1"/>
    <col min="6175" max="6175" width="16" style="896" customWidth="1"/>
    <col min="6176" max="6176" width="20.5703125" style="896" customWidth="1"/>
    <col min="6177" max="6177" width="16.85546875" style="896" customWidth="1"/>
    <col min="6178" max="6178" width="23.7109375" style="896" customWidth="1"/>
    <col min="6179" max="6179" width="27.140625" style="896" bestFit="1" customWidth="1"/>
    <col min="6180" max="6180" width="25.7109375" style="896" bestFit="1" customWidth="1"/>
    <col min="6181" max="6181" width="19.42578125" style="896" bestFit="1" customWidth="1"/>
    <col min="6182" max="6182" width="10.85546875" style="896"/>
    <col min="6183" max="6183" width="16.42578125" style="896" bestFit="1" customWidth="1"/>
    <col min="6184" max="6184" width="10.85546875" style="896"/>
    <col min="6185" max="6185" width="14.42578125" style="896" bestFit="1" customWidth="1"/>
    <col min="6186" max="6187" width="10.85546875" style="896"/>
    <col min="6188" max="6188" width="14.28515625" style="896" bestFit="1" customWidth="1"/>
    <col min="6189" max="6416" width="10.85546875" style="896"/>
    <col min="6417" max="6417" width="12.28515625" style="896" customWidth="1"/>
    <col min="6418" max="6418" width="78.7109375" style="896" customWidth="1"/>
    <col min="6419" max="6419" width="20.28515625" style="896" customWidth="1"/>
    <col min="6420" max="6420" width="13.42578125" style="896" customWidth="1"/>
    <col min="6421" max="6421" width="17.140625" style="896" customWidth="1"/>
    <col min="6422" max="6422" width="22" style="896" customWidth="1"/>
    <col min="6423" max="6423" width="17.85546875" style="896" customWidth="1"/>
    <col min="6424" max="6424" width="21.28515625" style="896" customWidth="1"/>
    <col min="6425" max="6425" width="16.5703125" style="896" customWidth="1"/>
    <col min="6426" max="6426" width="20.28515625" style="896" customWidth="1"/>
    <col min="6427" max="6427" width="17.28515625" style="896" customWidth="1"/>
    <col min="6428" max="6428" width="19.42578125" style="896" customWidth="1"/>
    <col min="6429" max="6429" width="18.5703125" style="896" customWidth="1"/>
    <col min="6430" max="6430" width="19.7109375" style="896" customWidth="1"/>
    <col min="6431" max="6431" width="16" style="896" customWidth="1"/>
    <col min="6432" max="6432" width="20.5703125" style="896" customWidth="1"/>
    <col min="6433" max="6433" width="16.85546875" style="896" customWidth="1"/>
    <col min="6434" max="6434" width="23.7109375" style="896" customWidth="1"/>
    <col min="6435" max="6435" width="27.140625" style="896" bestFit="1" customWidth="1"/>
    <col min="6436" max="6436" width="25.7109375" style="896" bestFit="1" customWidth="1"/>
    <col min="6437" max="6437" width="19.42578125" style="896" bestFit="1" customWidth="1"/>
    <col min="6438" max="6438" width="10.85546875" style="896"/>
    <col min="6439" max="6439" width="16.42578125" style="896" bestFit="1" customWidth="1"/>
    <col min="6440" max="6440" width="10.85546875" style="896"/>
    <col min="6441" max="6441" width="14.42578125" style="896" bestFit="1" customWidth="1"/>
    <col min="6442" max="6443" width="10.85546875" style="896"/>
    <col min="6444" max="6444" width="14.28515625" style="896" bestFit="1" customWidth="1"/>
    <col min="6445" max="6672" width="10.85546875" style="896"/>
    <col min="6673" max="6673" width="12.28515625" style="896" customWidth="1"/>
    <col min="6674" max="6674" width="78.7109375" style="896" customWidth="1"/>
    <col min="6675" max="6675" width="20.28515625" style="896" customWidth="1"/>
    <col min="6676" max="6676" width="13.42578125" style="896" customWidth="1"/>
    <col min="6677" max="6677" width="17.140625" style="896" customWidth="1"/>
    <col min="6678" max="6678" width="22" style="896" customWidth="1"/>
    <col min="6679" max="6679" width="17.85546875" style="896" customWidth="1"/>
    <col min="6680" max="6680" width="21.28515625" style="896" customWidth="1"/>
    <col min="6681" max="6681" width="16.5703125" style="896" customWidth="1"/>
    <col min="6682" max="6682" width="20.28515625" style="896" customWidth="1"/>
    <col min="6683" max="6683" width="17.28515625" style="896" customWidth="1"/>
    <col min="6684" max="6684" width="19.42578125" style="896" customWidth="1"/>
    <col min="6685" max="6685" width="18.5703125" style="896" customWidth="1"/>
    <col min="6686" max="6686" width="19.7109375" style="896" customWidth="1"/>
    <col min="6687" max="6687" width="16" style="896" customWidth="1"/>
    <col min="6688" max="6688" width="20.5703125" style="896" customWidth="1"/>
    <col min="6689" max="6689" width="16.85546875" style="896" customWidth="1"/>
    <col min="6690" max="6690" width="23.7109375" style="896" customWidth="1"/>
    <col min="6691" max="6691" width="27.140625" style="896" bestFit="1" customWidth="1"/>
    <col min="6692" max="6692" width="25.7109375" style="896" bestFit="1" customWidth="1"/>
    <col min="6693" max="6693" width="19.42578125" style="896" bestFit="1" customWidth="1"/>
    <col min="6694" max="6694" width="10.85546875" style="896"/>
    <col min="6695" max="6695" width="16.42578125" style="896" bestFit="1" customWidth="1"/>
    <col min="6696" max="6696" width="10.85546875" style="896"/>
    <col min="6697" max="6697" width="14.42578125" style="896" bestFit="1" customWidth="1"/>
    <col min="6698" max="6699" width="10.85546875" style="896"/>
    <col min="6700" max="6700" width="14.28515625" style="896" bestFit="1" customWidth="1"/>
    <col min="6701" max="6928" width="10.85546875" style="896"/>
    <col min="6929" max="6929" width="12.28515625" style="896" customWidth="1"/>
    <col min="6930" max="6930" width="78.7109375" style="896" customWidth="1"/>
    <col min="6931" max="6931" width="20.28515625" style="896" customWidth="1"/>
    <col min="6932" max="6932" width="13.42578125" style="896" customWidth="1"/>
    <col min="6933" max="6933" width="17.140625" style="896" customWidth="1"/>
    <col min="6934" max="6934" width="22" style="896" customWidth="1"/>
    <col min="6935" max="6935" width="17.85546875" style="896" customWidth="1"/>
    <col min="6936" max="6936" width="21.28515625" style="896" customWidth="1"/>
    <col min="6937" max="6937" width="16.5703125" style="896" customWidth="1"/>
    <col min="6938" max="6938" width="20.28515625" style="896" customWidth="1"/>
    <col min="6939" max="6939" width="17.28515625" style="896" customWidth="1"/>
    <col min="6940" max="6940" width="19.42578125" style="896" customWidth="1"/>
    <col min="6941" max="6941" width="18.5703125" style="896" customWidth="1"/>
    <col min="6942" max="6942" width="19.7109375" style="896" customWidth="1"/>
    <col min="6943" max="6943" width="16" style="896" customWidth="1"/>
    <col min="6944" max="6944" width="20.5703125" style="896" customWidth="1"/>
    <col min="6945" max="6945" width="16.85546875" style="896" customWidth="1"/>
    <col min="6946" max="6946" width="23.7109375" style="896" customWidth="1"/>
    <col min="6947" max="6947" width="27.140625" style="896" bestFit="1" customWidth="1"/>
    <col min="6948" max="6948" width="25.7109375" style="896" bestFit="1" customWidth="1"/>
    <col min="6949" max="6949" width="19.42578125" style="896" bestFit="1" customWidth="1"/>
    <col min="6950" max="6950" width="10.85546875" style="896"/>
    <col min="6951" max="6951" width="16.42578125" style="896" bestFit="1" customWidth="1"/>
    <col min="6952" max="6952" width="10.85546875" style="896"/>
    <col min="6953" max="6953" width="14.42578125" style="896" bestFit="1" customWidth="1"/>
    <col min="6954" max="6955" width="10.85546875" style="896"/>
    <col min="6956" max="6956" width="14.28515625" style="896" bestFit="1" customWidth="1"/>
    <col min="6957" max="7184" width="10.85546875" style="896"/>
    <col min="7185" max="7185" width="12.28515625" style="896" customWidth="1"/>
    <col min="7186" max="7186" width="78.7109375" style="896" customWidth="1"/>
    <col min="7187" max="7187" width="20.28515625" style="896" customWidth="1"/>
    <col min="7188" max="7188" width="13.42578125" style="896" customWidth="1"/>
    <col min="7189" max="7189" width="17.140625" style="896" customWidth="1"/>
    <col min="7190" max="7190" width="22" style="896" customWidth="1"/>
    <col min="7191" max="7191" width="17.85546875" style="896" customWidth="1"/>
    <col min="7192" max="7192" width="21.28515625" style="896" customWidth="1"/>
    <col min="7193" max="7193" width="16.5703125" style="896" customWidth="1"/>
    <col min="7194" max="7194" width="20.28515625" style="896" customWidth="1"/>
    <col min="7195" max="7195" width="17.28515625" style="896" customWidth="1"/>
    <col min="7196" max="7196" width="19.42578125" style="896" customWidth="1"/>
    <col min="7197" max="7197" width="18.5703125" style="896" customWidth="1"/>
    <col min="7198" max="7198" width="19.7109375" style="896" customWidth="1"/>
    <col min="7199" max="7199" width="16" style="896" customWidth="1"/>
    <col min="7200" max="7200" width="20.5703125" style="896" customWidth="1"/>
    <col min="7201" max="7201" width="16.85546875" style="896" customWidth="1"/>
    <col min="7202" max="7202" width="23.7109375" style="896" customWidth="1"/>
    <col min="7203" max="7203" width="27.140625" style="896" bestFit="1" customWidth="1"/>
    <col min="7204" max="7204" width="25.7109375" style="896" bestFit="1" customWidth="1"/>
    <col min="7205" max="7205" width="19.42578125" style="896" bestFit="1" customWidth="1"/>
    <col min="7206" max="7206" width="10.85546875" style="896"/>
    <col min="7207" max="7207" width="16.42578125" style="896" bestFit="1" customWidth="1"/>
    <col min="7208" max="7208" width="10.85546875" style="896"/>
    <col min="7209" max="7209" width="14.42578125" style="896" bestFit="1" customWidth="1"/>
    <col min="7210" max="7211" width="10.85546875" style="896"/>
    <col min="7212" max="7212" width="14.28515625" style="896" bestFit="1" customWidth="1"/>
    <col min="7213" max="7440" width="10.85546875" style="896"/>
    <col min="7441" max="7441" width="12.28515625" style="896" customWidth="1"/>
    <col min="7442" max="7442" width="78.7109375" style="896" customWidth="1"/>
    <col min="7443" max="7443" width="20.28515625" style="896" customWidth="1"/>
    <col min="7444" max="7444" width="13.42578125" style="896" customWidth="1"/>
    <col min="7445" max="7445" width="17.140625" style="896" customWidth="1"/>
    <col min="7446" max="7446" width="22" style="896" customWidth="1"/>
    <col min="7447" max="7447" width="17.85546875" style="896" customWidth="1"/>
    <col min="7448" max="7448" width="21.28515625" style="896" customWidth="1"/>
    <col min="7449" max="7449" width="16.5703125" style="896" customWidth="1"/>
    <col min="7450" max="7450" width="20.28515625" style="896" customWidth="1"/>
    <col min="7451" max="7451" width="17.28515625" style="896" customWidth="1"/>
    <col min="7452" max="7452" width="19.42578125" style="896" customWidth="1"/>
    <col min="7453" max="7453" width="18.5703125" style="896" customWidth="1"/>
    <col min="7454" max="7454" width="19.7109375" style="896" customWidth="1"/>
    <col min="7455" max="7455" width="16" style="896" customWidth="1"/>
    <col min="7456" max="7456" width="20.5703125" style="896" customWidth="1"/>
    <col min="7457" max="7457" width="16.85546875" style="896" customWidth="1"/>
    <col min="7458" max="7458" width="23.7109375" style="896" customWidth="1"/>
    <col min="7459" max="7459" width="27.140625" style="896" bestFit="1" customWidth="1"/>
    <col min="7460" max="7460" width="25.7109375" style="896" bestFit="1" customWidth="1"/>
    <col min="7461" max="7461" width="19.42578125" style="896" bestFit="1" customWidth="1"/>
    <col min="7462" max="7462" width="10.85546875" style="896"/>
    <col min="7463" max="7463" width="16.42578125" style="896" bestFit="1" customWidth="1"/>
    <col min="7464" max="7464" width="10.85546875" style="896"/>
    <col min="7465" max="7465" width="14.42578125" style="896" bestFit="1" customWidth="1"/>
    <col min="7466" max="7467" width="10.85546875" style="896"/>
    <col min="7468" max="7468" width="14.28515625" style="896" bestFit="1" customWidth="1"/>
    <col min="7469" max="7696" width="10.85546875" style="896"/>
    <col min="7697" max="7697" width="12.28515625" style="896" customWidth="1"/>
    <col min="7698" max="7698" width="78.7109375" style="896" customWidth="1"/>
    <col min="7699" max="7699" width="20.28515625" style="896" customWidth="1"/>
    <col min="7700" max="7700" width="13.42578125" style="896" customWidth="1"/>
    <col min="7701" max="7701" width="17.140625" style="896" customWidth="1"/>
    <col min="7702" max="7702" width="22" style="896" customWidth="1"/>
    <col min="7703" max="7703" width="17.85546875" style="896" customWidth="1"/>
    <col min="7704" max="7704" width="21.28515625" style="896" customWidth="1"/>
    <col min="7705" max="7705" width="16.5703125" style="896" customWidth="1"/>
    <col min="7706" max="7706" width="20.28515625" style="896" customWidth="1"/>
    <col min="7707" max="7707" width="17.28515625" style="896" customWidth="1"/>
    <col min="7708" max="7708" width="19.42578125" style="896" customWidth="1"/>
    <col min="7709" max="7709" width="18.5703125" style="896" customWidth="1"/>
    <col min="7710" max="7710" width="19.7109375" style="896" customWidth="1"/>
    <col min="7711" max="7711" width="16" style="896" customWidth="1"/>
    <col min="7712" max="7712" width="20.5703125" style="896" customWidth="1"/>
    <col min="7713" max="7713" width="16.85546875" style="896" customWidth="1"/>
    <col min="7714" max="7714" width="23.7109375" style="896" customWidth="1"/>
    <col min="7715" max="7715" width="27.140625" style="896" bestFit="1" customWidth="1"/>
    <col min="7716" max="7716" width="25.7109375" style="896" bestFit="1" customWidth="1"/>
    <col min="7717" max="7717" width="19.42578125" style="896" bestFit="1" customWidth="1"/>
    <col min="7718" max="7718" width="10.85546875" style="896"/>
    <col min="7719" max="7719" width="16.42578125" style="896" bestFit="1" customWidth="1"/>
    <col min="7720" max="7720" width="10.85546875" style="896"/>
    <col min="7721" max="7721" width="14.42578125" style="896" bestFit="1" customWidth="1"/>
    <col min="7722" max="7723" width="10.85546875" style="896"/>
    <col min="7724" max="7724" width="14.28515625" style="896" bestFit="1" customWidth="1"/>
    <col min="7725" max="7952" width="10.85546875" style="896"/>
    <col min="7953" max="7953" width="12.28515625" style="896" customWidth="1"/>
    <col min="7954" max="7954" width="78.7109375" style="896" customWidth="1"/>
    <col min="7955" max="7955" width="20.28515625" style="896" customWidth="1"/>
    <col min="7956" max="7956" width="13.42578125" style="896" customWidth="1"/>
    <col min="7957" max="7957" width="17.140625" style="896" customWidth="1"/>
    <col min="7958" max="7958" width="22" style="896" customWidth="1"/>
    <col min="7959" max="7959" width="17.85546875" style="896" customWidth="1"/>
    <col min="7960" max="7960" width="21.28515625" style="896" customWidth="1"/>
    <col min="7961" max="7961" width="16.5703125" style="896" customWidth="1"/>
    <col min="7962" max="7962" width="20.28515625" style="896" customWidth="1"/>
    <col min="7963" max="7963" width="17.28515625" style="896" customWidth="1"/>
    <col min="7964" max="7964" width="19.42578125" style="896" customWidth="1"/>
    <col min="7965" max="7965" width="18.5703125" style="896" customWidth="1"/>
    <col min="7966" max="7966" width="19.7109375" style="896" customWidth="1"/>
    <col min="7967" max="7967" width="16" style="896" customWidth="1"/>
    <col min="7968" max="7968" width="20.5703125" style="896" customWidth="1"/>
    <col min="7969" max="7969" width="16.85546875" style="896" customWidth="1"/>
    <col min="7970" max="7970" width="23.7109375" style="896" customWidth="1"/>
    <col min="7971" max="7971" width="27.140625" style="896" bestFit="1" customWidth="1"/>
    <col min="7972" max="7972" width="25.7109375" style="896" bestFit="1" customWidth="1"/>
    <col min="7973" max="7973" width="19.42578125" style="896" bestFit="1" customWidth="1"/>
    <col min="7974" max="7974" width="10.85546875" style="896"/>
    <col min="7975" max="7975" width="16.42578125" style="896" bestFit="1" customWidth="1"/>
    <col min="7976" max="7976" width="10.85546875" style="896"/>
    <col min="7977" max="7977" width="14.42578125" style="896" bestFit="1" customWidth="1"/>
    <col min="7978" max="7979" width="10.85546875" style="896"/>
    <col min="7980" max="7980" width="14.28515625" style="896" bestFit="1" customWidth="1"/>
    <col min="7981" max="8208" width="10.85546875" style="896"/>
    <col min="8209" max="8209" width="12.28515625" style="896" customWidth="1"/>
    <col min="8210" max="8210" width="78.7109375" style="896" customWidth="1"/>
    <col min="8211" max="8211" width="20.28515625" style="896" customWidth="1"/>
    <col min="8212" max="8212" width="13.42578125" style="896" customWidth="1"/>
    <col min="8213" max="8213" width="17.140625" style="896" customWidth="1"/>
    <col min="8214" max="8214" width="22" style="896" customWidth="1"/>
    <col min="8215" max="8215" width="17.85546875" style="896" customWidth="1"/>
    <col min="8216" max="8216" width="21.28515625" style="896" customWidth="1"/>
    <col min="8217" max="8217" width="16.5703125" style="896" customWidth="1"/>
    <col min="8218" max="8218" width="20.28515625" style="896" customWidth="1"/>
    <col min="8219" max="8219" width="17.28515625" style="896" customWidth="1"/>
    <col min="8220" max="8220" width="19.42578125" style="896" customWidth="1"/>
    <col min="8221" max="8221" width="18.5703125" style="896" customWidth="1"/>
    <col min="8222" max="8222" width="19.7109375" style="896" customWidth="1"/>
    <col min="8223" max="8223" width="16" style="896" customWidth="1"/>
    <col min="8224" max="8224" width="20.5703125" style="896" customWidth="1"/>
    <col min="8225" max="8225" width="16.85546875" style="896" customWidth="1"/>
    <col min="8226" max="8226" width="23.7109375" style="896" customWidth="1"/>
    <col min="8227" max="8227" width="27.140625" style="896" bestFit="1" customWidth="1"/>
    <col min="8228" max="8228" width="25.7109375" style="896" bestFit="1" customWidth="1"/>
    <col min="8229" max="8229" width="19.42578125" style="896" bestFit="1" customWidth="1"/>
    <col min="8230" max="8230" width="10.85546875" style="896"/>
    <col min="8231" max="8231" width="16.42578125" style="896" bestFit="1" customWidth="1"/>
    <col min="8232" max="8232" width="10.85546875" style="896"/>
    <col min="8233" max="8233" width="14.42578125" style="896" bestFit="1" customWidth="1"/>
    <col min="8234" max="8235" width="10.85546875" style="896"/>
    <col min="8236" max="8236" width="14.28515625" style="896" bestFit="1" customWidth="1"/>
    <col min="8237" max="8464" width="10.85546875" style="896"/>
    <col min="8465" max="8465" width="12.28515625" style="896" customWidth="1"/>
    <col min="8466" max="8466" width="78.7109375" style="896" customWidth="1"/>
    <col min="8467" max="8467" width="20.28515625" style="896" customWidth="1"/>
    <col min="8468" max="8468" width="13.42578125" style="896" customWidth="1"/>
    <col min="8469" max="8469" width="17.140625" style="896" customWidth="1"/>
    <col min="8470" max="8470" width="22" style="896" customWidth="1"/>
    <col min="8471" max="8471" width="17.85546875" style="896" customWidth="1"/>
    <col min="8472" max="8472" width="21.28515625" style="896" customWidth="1"/>
    <col min="8473" max="8473" width="16.5703125" style="896" customWidth="1"/>
    <col min="8474" max="8474" width="20.28515625" style="896" customWidth="1"/>
    <col min="8475" max="8475" width="17.28515625" style="896" customWidth="1"/>
    <col min="8476" max="8476" width="19.42578125" style="896" customWidth="1"/>
    <col min="8477" max="8477" width="18.5703125" style="896" customWidth="1"/>
    <col min="8478" max="8478" width="19.7109375" style="896" customWidth="1"/>
    <col min="8479" max="8479" width="16" style="896" customWidth="1"/>
    <col min="8480" max="8480" width="20.5703125" style="896" customWidth="1"/>
    <col min="8481" max="8481" width="16.85546875" style="896" customWidth="1"/>
    <col min="8482" max="8482" width="23.7109375" style="896" customWidth="1"/>
    <col min="8483" max="8483" width="27.140625" style="896" bestFit="1" customWidth="1"/>
    <col min="8484" max="8484" width="25.7109375" style="896" bestFit="1" customWidth="1"/>
    <col min="8485" max="8485" width="19.42578125" style="896" bestFit="1" customWidth="1"/>
    <col min="8486" max="8486" width="10.85546875" style="896"/>
    <col min="8487" max="8487" width="16.42578125" style="896" bestFit="1" customWidth="1"/>
    <col min="8488" max="8488" width="10.85546875" style="896"/>
    <col min="8489" max="8489" width="14.42578125" style="896" bestFit="1" customWidth="1"/>
    <col min="8490" max="8491" width="10.85546875" style="896"/>
    <col min="8492" max="8492" width="14.28515625" style="896" bestFit="1" customWidth="1"/>
    <col min="8493" max="8720" width="10.85546875" style="896"/>
    <col min="8721" max="8721" width="12.28515625" style="896" customWidth="1"/>
    <col min="8722" max="8722" width="78.7109375" style="896" customWidth="1"/>
    <col min="8723" max="8723" width="20.28515625" style="896" customWidth="1"/>
    <col min="8724" max="8724" width="13.42578125" style="896" customWidth="1"/>
    <col min="8725" max="8725" width="17.140625" style="896" customWidth="1"/>
    <col min="8726" max="8726" width="22" style="896" customWidth="1"/>
    <col min="8727" max="8727" width="17.85546875" style="896" customWidth="1"/>
    <col min="8728" max="8728" width="21.28515625" style="896" customWidth="1"/>
    <col min="8729" max="8729" width="16.5703125" style="896" customWidth="1"/>
    <col min="8730" max="8730" width="20.28515625" style="896" customWidth="1"/>
    <col min="8731" max="8731" width="17.28515625" style="896" customWidth="1"/>
    <col min="8732" max="8732" width="19.42578125" style="896" customWidth="1"/>
    <col min="8733" max="8733" width="18.5703125" style="896" customWidth="1"/>
    <col min="8734" max="8734" width="19.7109375" style="896" customWidth="1"/>
    <col min="8735" max="8735" width="16" style="896" customWidth="1"/>
    <col min="8736" max="8736" width="20.5703125" style="896" customWidth="1"/>
    <col min="8737" max="8737" width="16.85546875" style="896" customWidth="1"/>
    <col min="8738" max="8738" width="23.7109375" style="896" customWidth="1"/>
    <col min="8739" max="8739" width="27.140625" style="896" bestFit="1" customWidth="1"/>
    <col min="8740" max="8740" width="25.7109375" style="896" bestFit="1" customWidth="1"/>
    <col min="8741" max="8741" width="19.42578125" style="896" bestFit="1" customWidth="1"/>
    <col min="8742" max="8742" width="10.85546875" style="896"/>
    <col min="8743" max="8743" width="16.42578125" style="896" bestFit="1" customWidth="1"/>
    <col min="8744" max="8744" width="10.85546875" style="896"/>
    <col min="8745" max="8745" width="14.42578125" style="896" bestFit="1" customWidth="1"/>
    <col min="8746" max="8747" width="10.85546875" style="896"/>
    <col min="8748" max="8748" width="14.28515625" style="896" bestFit="1" customWidth="1"/>
    <col min="8749" max="8976" width="10.85546875" style="896"/>
    <col min="8977" max="8977" width="12.28515625" style="896" customWidth="1"/>
    <col min="8978" max="8978" width="78.7109375" style="896" customWidth="1"/>
    <col min="8979" max="8979" width="20.28515625" style="896" customWidth="1"/>
    <col min="8980" max="8980" width="13.42578125" style="896" customWidth="1"/>
    <col min="8981" max="8981" width="17.140625" style="896" customWidth="1"/>
    <col min="8982" max="8982" width="22" style="896" customWidth="1"/>
    <col min="8983" max="8983" width="17.85546875" style="896" customWidth="1"/>
    <col min="8984" max="8984" width="21.28515625" style="896" customWidth="1"/>
    <col min="8985" max="8985" width="16.5703125" style="896" customWidth="1"/>
    <col min="8986" max="8986" width="20.28515625" style="896" customWidth="1"/>
    <col min="8987" max="8987" width="17.28515625" style="896" customWidth="1"/>
    <col min="8988" max="8988" width="19.42578125" style="896" customWidth="1"/>
    <col min="8989" max="8989" width="18.5703125" style="896" customWidth="1"/>
    <col min="8990" max="8990" width="19.7109375" style="896" customWidth="1"/>
    <col min="8991" max="8991" width="16" style="896" customWidth="1"/>
    <col min="8992" max="8992" width="20.5703125" style="896" customWidth="1"/>
    <col min="8993" max="8993" width="16.85546875" style="896" customWidth="1"/>
    <col min="8994" max="8994" width="23.7109375" style="896" customWidth="1"/>
    <col min="8995" max="8995" width="27.140625" style="896" bestFit="1" customWidth="1"/>
    <col min="8996" max="8996" width="25.7109375" style="896" bestFit="1" customWidth="1"/>
    <col min="8997" max="8997" width="19.42578125" style="896" bestFit="1" customWidth="1"/>
    <col min="8998" max="8998" width="10.85546875" style="896"/>
    <col min="8999" max="8999" width="16.42578125" style="896" bestFit="1" customWidth="1"/>
    <col min="9000" max="9000" width="10.85546875" style="896"/>
    <col min="9001" max="9001" width="14.42578125" style="896" bestFit="1" customWidth="1"/>
    <col min="9002" max="9003" width="10.85546875" style="896"/>
    <col min="9004" max="9004" width="14.28515625" style="896" bestFit="1" customWidth="1"/>
    <col min="9005" max="9232" width="10.85546875" style="896"/>
    <col min="9233" max="9233" width="12.28515625" style="896" customWidth="1"/>
    <col min="9234" max="9234" width="78.7109375" style="896" customWidth="1"/>
    <col min="9235" max="9235" width="20.28515625" style="896" customWidth="1"/>
    <col min="9236" max="9236" width="13.42578125" style="896" customWidth="1"/>
    <col min="9237" max="9237" width="17.140625" style="896" customWidth="1"/>
    <col min="9238" max="9238" width="22" style="896" customWidth="1"/>
    <col min="9239" max="9239" width="17.85546875" style="896" customWidth="1"/>
    <col min="9240" max="9240" width="21.28515625" style="896" customWidth="1"/>
    <col min="9241" max="9241" width="16.5703125" style="896" customWidth="1"/>
    <col min="9242" max="9242" width="20.28515625" style="896" customWidth="1"/>
    <col min="9243" max="9243" width="17.28515625" style="896" customWidth="1"/>
    <col min="9244" max="9244" width="19.42578125" style="896" customWidth="1"/>
    <col min="9245" max="9245" width="18.5703125" style="896" customWidth="1"/>
    <col min="9246" max="9246" width="19.7109375" style="896" customWidth="1"/>
    <col min="9247" max="9247" width="16" style="896" customWidth="1"/>
    <col min="9248" max="9248" width="20.5703125" style="896" customWidth="1"/>
    <col min="9249" max="9249" width="16.85546875" style="896" customWidth="1"/>
    <col min="9250" max="9250" width="23.7109375" style="896" customWidth="1"/>
    <col min="9251" max="9251" width="27.140625" style="896" bestFit="1" customWidth="1"/>
    <col min="9252" max="9252" width="25.7109375" style="896" bestFit="1" customWidth="1"/>
    <col min="9253" max="9253" width="19.42578125" style="896" bestFit="1" customWidth="1"/>
    <col min="9254" max="9254" width="10.85546875" style="896"/>
    <col min="9255" max="9255" width="16.42578125" style="896" bestFit="1" customWidth="1"/>
    <col min="9256" max="9256" width="10.85546875" style="896"/>
    <col min="9257" max="9257" width="14.42578125" style="896" bestFit="1" customWidth="1"/>
    <col min="9258" max="9259" width="10.85546875" style="896"/>
    <col min="9260" max="9260" width="14.28515625" style="896" bestFit="1" customWidth="1"/>
    <col min="9261" max="9488" width="10.85546875" style="896"/>
    <col min="9489" max="9489" width="12.28515625" style="896" customWidth="1"/>
    <col min="9490" max="9490" width="78.7109375" style="896" customWidth="1"/>
    <col min="9491" max="9491" width="20.28515625" style="896" customWidth="1"/>
    <col min="9492" max="9492" width="13.42578125" style="896" customWidth="1"/>
    <col min="9493" max="9493" width="17.140625" style="896" customWidth="1"/>
    <col min="9494" max="9494" width="22" style="896" customWidth="1"/>
    <col min="9495" max="9495" width="17.85546875" style="896" customWidth="1"/>
    <col min="9496" max="9496" width="21.28515625" style="896" customWidth="1"/>
    <col min="9497" max="9497" width="16.5703125" style="896" customWidth="1"/>
    <col min="9498" max="9498" width="20.28515625" style="896" customWidth="1"/>
    <col min="9499" max="9499" width="17.28515625" style="896" customWidth="1"/>
    <col min="9500" max="9500" width="19.42578125" style="896" customWidth="1"/>
    <col min="9501" max="9501" width="18.5703125" style="896" customWidth="1"/>
    <col min="9502" max="9502" width="19.7109375" style="896" customWidth="1"/>
    <col min="9503" max="9503" width="16" style="896" customWidth="1"/>
    <col min="9504" max="9504" width="20.5703125" style="896" customWidth="1"/>
    <col min="9505" max="9505" width="16.85546875" style="896" customWidth="1"/>
    <col min="9506" max="9506" width="23.7109375" style="896" customWidth="1"/>
    <col min="9507" max="9507" width="27.140625" style="896" bestFit="1" customWidth="1"/>
    <col min="9508" max="9508" width="25.7109375" style="896" bestFit="1" customWidth="1"/>
    <col min="9509" max="9509" width="19.42578125" style="896" bestFit="1" customWidth="1"/>
    <col min="9510" max="9510" width="10.85546875" style="896"/>
    <col min="9511" max="9511" width="16.42578125" style="896" bestFit="1" customWidth="1"/>
    <col min="9512" max="9512" width="10.85546875" style="896"/>
    <col min="9513" max="9513" width="14.42578125" style="896" bestFit="1" customWidth="1"/>
    <col min="9514" max="9515" width="10.85546875" style="896"/>
    <col min="9516" max="9516" width="14.28515625" style="896" bestFit="1" customWidth="1"/>
    <col min="9517" max="9744" width="10.85546875" style="896"/>
    <col min="9745" max="9745" width="12.28515625" style="896" customWidth="1"/>
    <col min="9746" max="9746" width="78.7109375" style="896" customWidth="1"/>
    <col min="9747" max="9747" width="20.28515625" style="896" customWidth="1"/>
    <col min="9748" max="9748" width="13.42578125" style="896" customWidth="1"/>
    <col min="9749" max="9749" width="17.140625" style="896" customWidth="1"/>
    <col min="9750" max="9750" width="22" style="896" customWidth="1"/>
    <col min="9751" max="9751" width="17.85546875" style="896" customWidth="1"/>
    <col min="9752" max="9752" width="21.28515625" style="896" customWidth="1"/>
    <col min="9753" max="9753" width="16.5703125" style="896" customWidth="1"/>
    <col min="9754" max="9754" width="20.28515625" style="896" customWidth="1"/>
    <col min="9755" max="9755" width="17.28515625" style="896" customWidth="1"/>
    <col min="9756" max="9756" width="19.42578125" style="896" customWidth="1"/>
    <col min="9757" max="9757" width="18.5703125" style="896" customWidth="1"/>
    <col min="9758" max="9758" width="19.7109375" style="896" customWidth="1"/>
    <col min="9759" max="9759" width="16" style="896" customWidth="1"/>
    <col min="9760" max="9760" width="20.5703125" style="896" customWidth="1"/>
    <col min="9761" max="9761" width="16.85546875" style="896" customWidth="1"/>
    <col min="9762" max="9762" width="23.7109375" style="896" customWidth="1"/>
    <col min="9763" max="9763" width="27.140625" style="896" bestFit="1" customWidth="1"/>
    <col min="9764" max="9764" width="25.7109375" style="896" bestFit="1" customWidth="1"/>
    <col min="9765" max="9765" width="19.42578125" style="896" bestFit="1" customWidth="1"/>
    <col min="9766" max="9766" width="10.85546875" style="896"/>
    <col min="9767" max="9767" width="16.42578125" style="896" bestFit="1" customWidth="1"/>
    <col min="9768" max="9768" width="10.85546875" style="896"/>
    <col min="9769" max="9769" width="14.42578125" style="896" bestFit="1" customWidth="1"/>
    <col min="9770" max="9771" width="10.85546875" style="896"/>
    <col min="9772" max="9772" width="14.28515625" style="896" bestFit="1" customWidth="1"/>
    <col min="9773" max="10000" width="10.85546875" style="896"/>
    <col min="10001" max="10001" width="12.28515625" style="896" customWidth="1"/>
    <col min="10002" max="10002" width="78.7109375" style="896" customWidth="1"/>
    <col min="10003" max="10003" width="20.28515625" style="896" customWidth="1"/>
    <col min="10004" max="10004" width="13.42578125" style="896" customWidth="1"/>
    <col min="10005" max="10005" width="17.140625" style="896" customWidth="1"/>
    <col min="10006" max="10006" width="22" style="896" customWidth="1"/>
    <col min="10007" max="10007" width="17.85546875" style="896" customWidth="1"/>
    <col min="10008" max="10008" width="21.28515625" style="896" customWidth="1"/>
    <col min="10009" max="10009" width="16.5703125" style="896" customWidth="1"/>
    <col min="10010" max="10010" width="20.28515625" style="896" customWidth="1"/>
    <col min="10011" max="10011" width="17.28515625" style="896" customWidth="1"/>
    <col min="10012" max="10012" width="19.42578125" style="896" customWidth="1"/>
    <col min="10013" max="10013" width="18.5703125" style="896" customWidth="1"/>
    <col min="10014" max="10014" width="19.7109375" style="896" customWidth="1"/>
    <col min="10015" max="10015" width="16" style="896" customWidth="1"/>
    <col min="10016" max="10016" width="20.5703125" style="896" customWidth="1"/>
    <col min="10017" max="10017" width="16.85546875" style="896" customWidth="1"/>
    <col min="10018" max="10018" width="23.7109375" style="896" customWidth="1"/>
    <col min="10019" max="10019" width="27.140625" style="896" bestFit="1" customWidth="1"/>
    <col min="10020" max="10020" width="25.7109375" style="896" bestFit="1" customWidth="1"/>
    <col min="10021" max="10021" width="19.42578125" style="896" bestFit="1" customWidth="1"/>
    <col min="10022" max="10022" width="10.85546875" style="896"/>
    <col min="10023" max="10023" width="16.42578125" style="896" bestFit="1" customWidth="1"/>
    <col min="10024" max="10024" width="10.85546875" style="896"/>
    <col min="10025" max="10025" width="14.42578125" style="896" bestFit="1" customWidth="1"/>
    <col min="10026" max="10027" width="10.85546875" style="896"/>
    <col min="10028" max="10028" width="14.28515625" style="896" bestFit="1" customWidth="1"/>
    <col min="10029" max="10256" width="10.85546875" style="896"/>
    <col min="10257" max="10257" width="12.28515625" style="896" customWidth="1"/>
    <col min="10258" max="10258" width="78.7109375" style="896" customWidth="1"/>
    <col min="10259" max="10259" width="20.28515625" style="896" customWidth="1"/>
    <col min="10260" max="10260" width="13.42578125" style="896" customWidth="1"/>
    <col min="10261" max="10261" width="17.140625" style="896" customWidth="1"/>
    <col min="10262" max="10262" width="22" style="896" customWidth="1"/>
    <col min="10263" max="10263" width="17.85546875" style="896" customWidth="1"/>
    <col min="10264" max="10264" width="21.28515625" style="896" customWidth="1"/>
    <col min="10265" max="10265" width="16.5703125" style="896" customWidth="1"/>
    <col min="10266" max="10266" width="20.28515625" style="896" customWidth="1"/>
    <col min="10267" max="10267" width="17.28515625" style="896" customWidth="1"/>
    <col min="10268" max="10268" width="19.42578125" style="896" customWidth="1"/>
    <col min="10269" max="10269" width="18.5703125" style="896" customWidth="1"/>
    <col min="10270" max="10270" width="19.7109375" style="896" customWidth="1"/>
    <col min="10271" max="10271" width="16" style="896" customWidth="1"/>
    <col min="10272" max="10272" width="20.5703125" style="896" customWidth="1"/>
    <col min="10273" max="10273" width="16.85546875" style="896" customWidth="1"/>
    <col min="10274" max="10274" width="23.7109375" style="896" customWidth="1"/>
    <col min="10275" max="10275" width="27.140625" style="896" bestFit="1" customWidth="1"/>
    <col min="10276" max="10276" width="25.7109375" style="896" bestFit="1" customWidth="1"/>
    <col min="10277" max="10277" width="19.42578125" style="896" bestFit="1" customWidth="1"/>
    <col min="10278" max="10278" width="10.85546875" style="896"/>
    <col min="10279" max="10279" width="16.42578125" style="896" bestFit="1" customWidth="1"/>
    <col min="10280" max="10280" width="10.85546875" style="896"/>
    <col min="10281" max="10281" width="14.42578125" style="896" bestFit="1" customWidth="1"/>
    <col min="10282" max="10283" width="10.85546875" style="896"/>
    <col min="10284" max="10284" width="14.28515625" style="896" bestFit="1" customWidth="1"/>
    <col min="10285" max="10512" width="10.85546875" style="896"/>
    <col min="10513" max="10513" width="12.28515625" style="896" customWidth="1"/>
    <col min="10514" max="10514" width="78.7109375" style="896" customWidth="1"/>
    <col min="10515" max="10515" width="20.28515625" style="896" customWidth="1"/>
    <col min="10516" max="10516" width="13.42578125" style="896" customWidth="1"/>
    <col min="10517" max="10517" width="17.140625" style="896" customWidth="1"/>
    <col min="10518" max="10518" width="22" style="896" customWidth="1"/>
    <col min="10519" max="10519" width="17.85546875" style="896" customWidth="1"/>
    <col min="10520" max="10520" width="21.28515625" style="896" customWidth="1"/>
    <col min="10521" max="10521" width="16.5703125" style="896" customWidth="1"/>
    <col min="10522" max="10522" width="20.28515625" style="896" customWidth="1"/>
    <col min="10523" max="10523" width="17.28515625" style="896" customWidth="1"/>
    <col min="10524" max="10524" width="19.42578125" style="896" customWidth="1"/>
    <col min="10525" max="10525" width="18.5703125" style="896" customWidth="1"/>
    <col min="10526" max="10526" width="19.7109375" style="896" customWidth="1"/>
    <col min="10527" max="10527" width="16" style="896" customWidth="1"/>
    <col min="10528" max="10528" width="20.5703125" style="896" customWidth="1"/>
    <col min="10529" max="10529" width="16.85546875" style="896" customWidth="1"/>
    <col min="10530" max="10530" width="23.7109375" style="896" customWidth="1"/>
    <col min="10531" max="10531" width="27.140625" style="896" bestFit="1" customWidth="1"/>
    <col min="10532" max="10532" width="25.7109375" style="896" bestFit="1" customWidth="1"/>
    <col min="10533" max="10533" width="19.42578125" style="896" bestFit="1" customWidth="1"/>
    <col min="10534" max="10534" width="10.85546875" style="896"/>
    <col min="10535" max="10535" width="16.42578125" style="896" bestFit="1" customWidth="1"/>
    <col min="10536" max="10536" width="10.85546875" style="896"/>
    <col min="10537" max="10537" width="14.42578125" style="896" bestFit="1" customWidth="1"/>
    <col min="10538" max="10539" width="10.85546875" style="896"/>
    <col min="10540" max="10540" width="14.28515625" style="896" bestFit="1" customWidth="1"/>
    <col min="10541" max="10768" width="10.85546875" style="896"/>
    <col min="10769" max="10769" width="12.28515625" style="896" customWidth="1"/>
    <col min="10770" max="10770" width="78.7109375" style="896" customWidth="1"/>
    <col min="10771" max="10771" width="20.28515625" style="896" customWidth="1"/>
    <col min="10772" max="10772" width="13.42578125" style="896" customWidth="1"/>
    <col min="10773" max="10773" width="17.140625" style="896" customWidth="1"/>
    <col min="10774" max="10774" width="22" style="896" customWidth="1"/>
    <col min="10775" max="10775" width="17.85546875" style="896" customWidth="1"/>
    <col min="10776" max="10776" width="21.28515625" style="896" customWidth="1"/>
    <col min="10777" max="10777" width="16.5703125" style="896" customWidth="1"/>
    <col min="10778" max="10778" width="20.28515625" style="896" customWidth="1"/>
    <col min="10779" max="10779" width="17.28515625" style="896" customWidth="1"/>
    <col min="10780" max="10780" width="19.42578125" style="896" customWidth="1"/>
    <col min="10781" max="10781" width="18.5703125" style="896" customWidth="1"/>
    <col min="10782" max="10782" width="19.7109375" style="896" customWidth="1"/>
    <col min="10783" max="10783" width="16" style="896" customWidth="1"/>
    <col min="10784" max="10784" width="20.5703125" style="896" customWidth="1"/>
    <col min="10785" max="10785" width="16.85546875" style="896" customWidth="1"/>
    <col min="10786" max="10786" width="23.7109375" style="896" customWidth="1"/>
    <col min="10787" max="10787" width="27.140625" style="896" bestFit="1" customWidth="1"/>
    <col min="10788" max="10788" width="25.7109375" style="896" bestFit="1" customWidth="1"/>
    <col min="10789" max="10789" width="19.42578125" style="896" bestFit="1" customWidth="1"/>
    <col min="10790" max="10790" width="10.85546875" style="896"/>
    <col min="10791" max="10791" width="16.42578125" style="896" bestFit="1" customWidth="1"/>
    <col min="10792" max="10792" width="10.85546875" style="896"/>
    <col min="10793" max="10793" width="14.42578125" style="896" bestFit="1" customWidth="1"/>
    <col min="10794" max="10795" width="10.85546875" style="896"/>
    <col min="10796" max="10796" width="14.28515625" style="896" bestFit="1" customWidth="1"/>
    <col min="10797" max="11024" width="10.85546875" style="896"/>
    <col min="11025" max="11025" width="12.28515625" style="896" customWidth="1"/>
    <col min="11026" max="11026" width="78.7109375" style="896" customWidth="1"/>
    <col min="11027" max="11027" width="20.28515625" style="896" customWidth="1"/>
    <col min="11028" max="11028" width="13.42578125" style="896" customWidth="1"/>
    <col min="11029" max="11029" width="17.140625" style="896" customWidth="1"/>
    <col min="11030" max="11030" width="22" style="896" customWidth="1"/>
    <col min="11031" max="11031" width="17.85546875" style="896" customWidth="1"/>
    <col min="11032" max="11032" width="21.28515625" style="896" customWidth="1"/>
    <col min="11033" max="11033" width="16.5703125" style="896" customWidth="1"/>
    <col min="11034" max="11034" width="20.28515625" style="896" customWidth="1"/>
    <col min="11035" max="11035" width="17.28515625" style="896" customWidth="1"/>
    <col min="11036" max="11036" width="19.42578125" style="896" customWidth="1"/>
    <col min="11037" max="11037" width="18.5703125" style="896" customWidth="1"/>
    <col min="11038" max="11038" width="19.7109375" style="896" customWidth="1"/>
    <col min="11039" max="11039" width="16" style="896" customWidth="1"/>
    <col min="11040" max="11040" width="20.5703125" style="896" customWidth="1"/>
    <col min="11041" max="11041" width="16.85546875" style="896" customWidth="1"/>
    <col min="11042" max="11042" width="23.7109375" style="896" customWidth="1"/>
    <col min="11043" max="11043" width="27.140625" style="896" bestFit="1" customWidth="1"/>
    <col min="11044" max="11044" width="25.7109375" style="896" bestFit="1" customWidth="1"/>
    <col min="11045" max="11045" width="19.42578125" style="896" bestFit="1" customWidth="1"/>
    <col min="11046" max="11046" width="10.85546875" style="896"/>
    <col min="11047" max="11047" width="16.42578125" style="896" bestFit="1" customWidth="1"/>
    <col min="11048" max="11048" width="10.85546875" style="896"/>
    <col min="11049" max="11049" width="14.42578125" style="896" bestFit="1" customWidth="1"/>
    <col min="11050" max="11051" width="10.85546875" style="896"/>
    <col min="11052" max="11052" width="14.28515625" style="896" bestFit="1" customWidth="1"/>
    <col min="11053" max="11280" width="10.85546875" style="896"/>
    <col min="11281" max="11281" width="12.28515625" style="896" customWidth="1"/>
    <col min="11282" max="11282" width="78.7109375" style="896" customWidth="1"/>
    <col min="11283" max="11283" width="20.28515625" style="896" customWidth="1"/>
    <col min="11284" max="11284" width="13.42578125" style="896" customWidth="1"/>
    <col min="11285" max="11285" width="17.140625" style="896" customWidth="1"/>
    <col min="11286" max="11286" width="22" style="896" customWidth="1"/>
    <col min="11287" max="11287" width="17.85546875" style="896" customWidth="1"/>
    <col min="11288" max="11288" width="21.28515625" style="896" customWidth="1"/>
    <col min="11289" max="11289" width="16.5703125" style="896" customWidth="1"/>
    <col min="11290" max="11290" width="20.28515625" style="896" customWidth="1"/>
    <col min="11291" max="11291" width="17.28515625" style="896" customWidth="1"/>
    <col min="11292" max="11292" width="19.42578125" style="896" customWidth="1"/>
    <col min="11293" max="11293" width="18.5703125" style="896" customWidth="1"/>
    <col min="11294" max="11294" width="19.7109375" style="896" customWidth="1"/>
    <col min="11295" max="11295" width="16" style="896" customWidth="1"/>
    <col min="11296" max="11296" width="20.5703125" style="896" customWidth="1"/>
    <col min="11297" max="11297" width="16.85546875" style="896" customWidth="1"/>
    <col min="11298" max="11298" width="23.7109375" style="896" customWidth="1"/>
    <col min="11299" max="11299" width="27.140625" style="896" bestFit="1" customWidth="1"/>
    <col min="11300" max="11300" width="25.7109375" style="896" bestFit="1" customWidth="1"/>
    <col min="11301" max="11301" width="19.42578125" style="896" bestFit="1" customWidth="1"/>
    <col min="11302" max="11302" width="10.85546875" style="896"/>
    <col min="11303" max="11303" width="16.42578125" style="896" bestFit="1" customWidth="1"/>
    <col min="11304" max="11304" width="10.85546875" style="896"/>
    <col min="11305" max="11305" width="14.42578125" style="896" bestFit="1" customWidth="1"/>
    <col min="11306" max="11307" width="10.85546875" style="896"/>
    <col min="11308" max="11308" width="14.28515625" style="896" bestFit="1" customWidth="1"/>
    <col min="11309" max="11536" width="10.85546875" style="896"/>
    <col min="11537" max="11537" width="12.28515625" style="896" customWidth="1"/>
    <col min="11538" max="11538" width="78.7109375" style="896" customWidth="1"/>
    <col min="11539" max="11539" width="20.28515625" style="896" customWidth="1"/>
    <col min="11540" max="11540" width="13.42578125" style="896" customWidth="1"/>
    <col min="11541" max="11541" width="17.140625" style="896" customWidth="1"/>
    <col min="11542" max="11542" width="22" style="896" customWidth="1"/>
    <col min="11543" max="11543" width="17.85546875" style="896" customWidth="1"/>
    <col min="11544" max="11544" width="21.28515625" style="896" customWidth="1"/>
    <col min="11545" max="11545" width="16.5703125" style="896" customWidth="1"/>
    <col min="11546" max="11546" width="20.28515625" style="896" customWidth="1"/>
    <col min="11547" max="11547" width="17.28515625" style="896" customWidth="1"/>
    <col min="11548" max="11548" width="19.42578125" style="896" customWidth="1"/>
    <col min="11549" max="11549" width="18.5703125" style="896" customWidth="1"/>
    <col min="11550" max="11550" width="19.7109375" style="896" customWidth="1"/>
    <col min="11551" max="11551" width="16" style="896" customWidth="1"/>
    <col min="11552" max="11552" width="20.5703125" style="896" customWidth="1"/>
    <col min="11553" max="11553" width="16.85546875" style="896" customWidth="1"/>
    <col min="11554" max="11554" width="23.7109375" style="896" customWidth="1"/>
    <col min="11555" max="11555" width="27.140625" style="896" bestFit="1" customWidth="1"/>
    <col min="11556" max="11556" width="25.7109375" style="896" bestFit="1" customWidth="1"/>
    <col min="11557" max="11557" width="19.42578125" style="896" bestFit="1" customWidth="1"/>
    <col min="11558" max="11558" width="10.85546875" style="896"/>
    <col min="11559" max="11559" width="16.42578125" style="896" bestFit="1" customWidth="1"/>
    <col min="11560" max="11560" width="10.85546875" style="896"/>
    <col min="11561" max="11561" width="14.42578125" style="896" bestFit="1" customWidth="1"/>
    <col min="11562" max="11563" width="10.85546875" style="896"/>
    <col min="11564" max="11564" width="14.28515625" style="896" bestFit="1" customWidth="1"/>
    <col min="11565" max="11792" width="10.85546875" style="896"/>
    <col min="11793" max="11793" width="12.28515625" style="896" customWidth="1"/>
    <col min="11794" max="11794" width="78.7109375" style="896" customWidth="1"/>
    <col min="11795" max="11795" width="20.28515625" style="896" customWidth="1"/>
    <col min="11796" max="11796" width="13.42578125" style="896" customWidth="1"/>
    <col min="11797" max="11797" width="17.140625" style="896" customWidth="1"/>
    <col min="11798" max="11798" width="22" style="896" customWidth="1"/>
    <col min="11799" max="11799" width="17.85546875" style="896" customWidth="1"/>
    <col min="11800" max="11800" width="21.28515625" style="896" customWidth="1"/>
    <col min="11801" max="11801" width="16.5703125" style="896" customWidth="1"/>
    <col min="11802" max="11802" width="20.28515625" style="896" customWidth="1"/>
    <col min="11803" max="11803" width="17.28515625" style="896" customWidth="1"/>
    <col min="11804" max="11804" width="19.42578125" style="896" customWidth="1"/>
    <col min="11805" max="11805" width="18.5703125" style="896" customWidth="1"/>
    <col min="11806" max="11806" width="19.7109375" style="896" customWidth="1"/>
    <col min="11807" max="11807" width="16" style="896" customWidth="1"/>
    <col min="11808" max="11808" width="20.5703125" style="896" customWidth="1"/>
    <col min="11809" max="11809" width="16.85546875" style="896" customWidth="1"/>
    <col min="11810" max="11810" width="23.7109375" style="896" customWidth="1"/>
    <col min="11811" max="11811" width="27.140625" style="896" bestFit="1" customWidth="1"/>
    <col min="11812" max="11812" width="25.7109375" style="896" bestFit="1" customWidth="1"/>
    <col min="11813" max="11813" width="19.42578125" style="896" bestFit="1" customWidth="1"/>
    <col min="11814" max="11814" width="10.85546875" style="896"/>
    <col min="11815" max="11815" width="16.42578125" style="896" bestFit="1" customWidth="1"/>
    <col min="11816" max="11816" width="10.85546875" style="896"/>
    <col min="11817" max="11817" width="14.42578125" style="896" bestFit="1" customWidth="1"/>
    <col min="11818" max="11819" width="10.85546875" style="896"/>
    <col min="11820" max="11820" width="14.28515625" style="896" bestFit="1" customWidth="1"/>
    <col min="11821" max="12048" width="10.85546875" style="896"/>
    <col min="12049" max="12049" width="12.28515625" style="896" customWidth="1"/>
    <col min="12050" max="12050" width="78.7109375" style="896" customWidth="1"/>
    <col min="12051" max="12051" width="20.28515625" style="896" customWidth="1"/>
    <col min="12052" max="12052" width="13.42578125" style="896" customWidth="1"/>
    <col min="12053" max="12053" width="17.140625" style="896" customWidth="1"/>
    <col min="12054" max="12054" width="22" style="896" customWidth="1"/>
    <col min="12055" max="12055" width="17.85546875" style="896" customWidth="1"/>
    <col min="12056" max="12056" width="21.28515625" style="896" customWidth="1"/>
    <col min="12057" max="12057" width="16.5703125" style="896" customWidth="1"/>
    <col min="12058" max="12058" width="20.28515625" style="896" customWidth="1"/>
    <col min="12059" max="12059" width="17.28515625" style="896" customWidth="1"/>
    <col min="12060" max="12060" width="19.42578125" style="896" customWidth="1"/>
    <col min="12061" max="12061" width="18.5703125" style="896" customWidth="1"/>
    <col min="12062" max="12062" width="19.7109375" style="896" customWidth="1"/>
    <col min="12063" max="12063" width="16" style="896" customWidth="1"/>
    <col min="12064" max="12064" width="20.5703125" style="896" customWidth="1"/>
    <col min="12065" max="12065" width="16.85546875" style="896" customWidth="1"/>
    <col min="12066" max="12066" width="23.7109375" style="896" customWidth="1"/>
    <col min="12067" max="12067" width="27.140625" style="896" bestFit="1" customWidth="1"/>
    <col min="12068" max="12068" width="25.7109375" style="896" bestFit="1" customWidth="1"/>
    <col min="12069" max="12069" width="19.42578125" style="896" bestFit="1" customWidth="1"/>
    <col min="12070" max="12070" width="10.85546875" style="896"/>
    <col min="12071" max="12071" width="16.42578125" style="896" bestFit="1" customWidth="1"/>
    <col min="12072" max="12072" width="10.85546875" style="896"/>
    <col min="12073" max="12073" width="14.42578125" style="896" bestFit="1" customWidth="1"/>
    <col min="12074" max="12075" width="10.85546875" style="896"/>
    <col min="12076" max="12076" width="14.28515625" style="896" bestFit="1" customWidth="1"/>
    <col min="12077" max="12304" width="10.85546875" style="896"/>
    <col min="12305" max="12305" width="12.28515625" style="896" customWidth="1"/>
    <col min="12306" max="12306" width="78.7109375" style="896" customWidth="1"/>
    <col min="12307" max="12307" width="20.28515625" style="896" customWidth="1"/>
    <col min="12308" max="12308" width="13.42578125" style="896" customWidth="1"/>
    <col min="12309" max="12309" width="17.140625" style="896" customWidth="1"/>
    <col min="12310" max="12310" width="22" style="896" customWidth="1"/>
    <col min="12311" max="12311" width="17.85546875" style="896" customWidth="1"/>
    <col min="12312" max="12312" width="21.28515625" style="896" customWidth="1"/>
    <col min="12313" max="12313" width="16.5703125" style="896" customWidth="1"/>
    <col min="12314" max="12314" width="20.28515625" style="896" customWidth="1"/>
    <col min="12315" max="12315" width="17.28515625" style="896" customWidth="1"/>
    <col min="12316" max="12316" width="19.42578125" style="896" customWidth="1"/>
    <col min="12317" max="12317" width="18.5703125" style="896" customWidth="1"/>
    <col min="12318" max="12318" width="19.7109375" style="896" customWidth="1"/>
    <col min="12319" max="12319" width="16" style="896" customWidth="1"/>
    <col min="12320" max="12320" width="20.5703125" style="896" customWidth="1"/>
    <col min="12321" max="12321" width="16.85546875" style="896" customWidth="1"/>
    <col min="12322" max="12322" width="23.7109375" style="896" customWidth="1"/>
    <col min="12323" max="12323" width="27.140625" style="896" bestFit="1" customWidth="1"/>
    <col min="12324" max="12324" width="25.7109375" style="896" bestFit="1" customWidth="1"/>
    <col min="12325" max="12325" width="19.42578125" style="896" bestFit="1" customWidth="1"/>
    <col min="12326" max="12326" width="10.85546875" style="896"/>
    <col min="12327" max="12327" width="16.42578125" style="896" bestFit="1" customWidth="1"/>
    <col min="12328" max="12328" width="10.85546875" style="896"/>
    <col min="12329" max="12329" width="14.42578125" style="896" bestFit="1" customWidth="1"/>
    <col min="12330" max="12331" width="10.85546875" style="896"/>
    <col min="12332" max="12332" width="14.28515625" style="896" bestFit="1" customWidth="1"/>
    <col min="12333" max="12560" width="10.85546875" style="896"/>
    <col min="12561" max="12561" width="12.28515625" style="896" customWidth="1"/>
    <col min="12562" max="12562" width="78.7109375" style="896" customWidth="1"/>
    <col min="12563" max="12563" width="20.28515625" style="896" customWidth="1"/>
    <col min="12564" max="12564" width="13.42578125" style="896" customWidth="1"/>
    <col min="12565" max="12565" width="17.140625" style="896" customWidth="1"/>
    <col min="12566" max="12566" width="22" style="896" customWidth="1"/>
    <col min="12567" max="12567" width="17.85546875" style="896" customWidth="1"/>
    <col min="12568" max="12568" width="21.28515625" style="896" customWidth="1"/>
    <col min="12569" max="12569" width="16.5703125" style="896" customWidth="1"/>
    <col min="12570" max="12570" width="20.28515625" style="896" customWidth="1"/>
    <col min="12571" max="12571" width="17.28515625" style="896" customWidth="1"/>
    <col min="12572" max="12572" width="19.42578125" style="896" customWidth="1"/>
    <col min="12573" max="12573" width="18.5703125" style="896" customWidth="1"/>
    <col min="12574" max="12574" width="19.7109375" style="896" customWidth="1"/>
    <col min="12575" max="12575" width="16" style="896" customWidth="1"/>
    <col min="12576" max="12576" width="20.5703125" style="896" customWidth="1"/>
    <col min="12577" max="12577" width="16.85546875" style="896" customWidth="1"/>
    <col min="12578" max="12578" width="23.7109375" style="896" customWidth="1"/>
    <col min="12579" max="12579" width="27.140625" style="896" bestFit="1" customWidth="1"/>
    <col min="12580" max="12580" width="25.7109375" style="896" bestFit="1" customWidth="1"/>
    <col min="12581" max="12581" width="19.42578125" style="896" bestFit="1" customWidth="1"/>
    <col min="12582" max="12582" width="10.85546875" style="896"/>
    <col min="12583" max="12583" width="16.42578125" style="896" bestFit="1" customWidth="1"/>
    <col min="12584" max="12584" width="10.85546875" style="896"/>
    <col min="12585" max="12585" width="14.42578125" style="896" bestFit="1" customWidth="1"/>
    <col min="12586" max="12587" width="10.85546875" style="896"/>
    <col min="12588" max="12588" width="14.28515625" style="896" bestFit="1" customWidth="1"/>
    <col min="12589" max="12816" width="10.85546875" style="896"/>
    <col min="12817" max="12817" width="12.28515625" style="896" customWidth="1"/>
    <col min="12818" max="12818" width="78.7109375" style="896" customWidth="1"/>
    <col min="12819" max="12819" width="20.28515625" style="896" customWidth="1"/>
    <col min="12820" max="12820" width="13.42578125" style="896" customWidth="1"/>
    <col min="12821" max="12821" width="17.140625" style="896" customWidth="1"/>
    <col min="12822" max="12822" width="22" style="896" customWidth="1"/>
    <col min="12823" max="12823" width="17.85546875" style="896" customWidth="1"/>
    <col min="12824" max="12824" width="21.28515625" style="896" customWidth="1"/>
    <col min="12825" max="12825" width="16.5703125" style="896" customWidth="1"/>
    <col min="12826" max="12826" width="20.28515625" style="896" customWidth="1"/>
    <col min="12827" max="12827" width="17.28515625" style="896" customWidth="1"/>
    <col min="12828" max="12828" width="19.42578125" style="896" customWidth="1"/>
    <col min="12829" max="12829" width="18.5703125" style="896" customWidth="1"/>
    <col min="12830" max="12830" width="19.7109375" style="896" customWidth="1"/>
    <col min="12831" max="12831" width="16" style="896" customWidth="1"/>
    <col min="12832" max="12832" width="20.5703125" style="896" customWidth="1"/>
    <col min="12833" max="12833" width="16.85546875" style="896" customWidth="1"/>
    <col min="12834" max="12834" width="23.7109375" style="896" customWidth="1"/>
    <col min="12835" max="12835" width="27.140625" style="896" bestFit="1" customWidth="1"/>
    <col min="12836" max="12836" width="25.7109375" style="896" bestFit="1" customWidth="1"/>
    <col min="12837" max="12837" width="19.42578125" style="896" bestFit="1" customWidth="1"/>
    <col min="12838" max="12838" width="10.85546875" style="896"/>
    <col min="12839" max="12839" width="16.42578125" style="896" bestFit="1" customWidth="1"/>
    <col min="12840" max="12840" width="10.85546875" style="896"/>
    <col min="12841" max="12841" width="14.42578125" style="896" bestFit="1" customWidth="1"/>
    <col min="12842" max="12843" width="10.85546875" style="896"/>
    <col min="12844" max="12844" width="14.28515625" style="896" bestFit="1" customWidth="1"/>
    <col min="12845" max="13072" width="10.85546875" style="896"/>
    <col min="13073" max="13073" width="12.28515625" style="896" customWidth="1"/>
    <col min="13074" max="13074" width="78.7109375" style="896" customWidth="1"/>
    <col min="13075" max="13075" width="20.28515625" style="896" customWidth="1"/>
    <col min="13076" max="13076" width="13.42578125" style="896" customWidth="1"/>
    <col min="13077" max="13077" width="17.140625" style="896" customWidth="1"/>
    <col min="13078" max="13078" width="22" style="896" customWidth="1"/>
    <col min="13079" max="13079" width="17.85546875" style="896" customWidth="1"/>
    <col min="13080" max="13080" width="21.28515625" style="896" customWidth="1"/>
    <col min="13081" max="13081" width="16.5703125" style="896" customWidth="1"/>
    <col min="13082" max="13082" width="20.28515625" style="896" customWidth="1"/>
    <col min="13083" max="13083" width="17.28515625" style="896" customWidth="1"/>
    <col min="13084" max="13084" width="19.42578125" style="896" customWidth="1"/>
    <col min="13085" max="13085" width="18.5703125" style="896" customWidth="1"/>
    <col min="13086" max="13086" width="19.7109375" style="896" customWidth="1"/>
    <col min="13087" max="13087" width="16" style="896" customWidth="1"/>
    <col min="13088" max="13088" width="20.5703125" style="896" customWidth="1"/>
    <col min="13089" max="13089" width="16.85546875" style="896" customWidth="1"/>
    <col min="13090" max="13090" width="23.7109375" style="896" customWidth="1"/>
    <col min="13091" max="13091" width="27.140625" style="896" bestFit="1" customWidth="1"/>
    <col min="13092" max="13092" width="25.7109375" style="896" bestFit="1" customWidth="1"/>
    <col min="13093" max="13093" width="19.42578125" style="896" bestFit="1" customWidth="1"/>
    <col min="13094" max="13094" width="10.85546875" style="896"/>
    <col min="13095" max="13095" width="16.42578125" style="896" bestFit="1" customWidth="1"/>
    <col min="13096" max="13096" width="10.85546875" style="896"/>
    <col min="13097" max="13097" width="14.42578125" style="896" bestFit="1" customWidth="1"/>
    <col min="13098" max="13099" width="10.85546875" style="896"/>
    <col min="13100" max="13100" width="14.28515625" style="896" bestFit="1" customWidth="1"/>
    <col min="13101" max="13328" width="10.85546875" style="896"/>
    <col min="13329" max="13329" width="12.28515625" style="896" customWidth="1"/>
    <col min="13330" max="13330" width="78.7109375" style="896" customWidth="1"/>
    <col min="13331" max="13331" width="20.28515625" style="896" customWidth="1"/>
    <col min="13332" max="13332" width="13.42578125" style="896" customWidth="1"/>
    <col min="13333" max="13333" width="17.140625" style="896" customWidth="1"/>
    <col min="13334" max="13334" width="22" style="896" customWidth="1"/>
    <col min="13335" max="13335" width="17.85546875" style="896" customWidth="1"/>
    <col min="13336" max="13336" width="21.28515625" style="896" customWidth="1"/>
    <col min="13337" max="13337" width="16.5703125" style="896" customWidth="1"/>
    <col min="13338" max="13338" width="20.28515625" style="896" customWidth="1"/>
    <col min="13339" max="13339" width="17.28515625" style="896" customWidth="1"/>
    <col min="13340" max="13340" width="19.42578125" style="896" customWidth="1"/>
    <col min="13341" max="13341" width="18.5703125" style="896" customWidth="1"/>
    <col min="13342" max="13342" width="19.7109375" style="896" customWidth="1"/>
    <col min="13343" max="13343" width="16" style="896" customWidth="1"/>
    <col min="13344" max="13344" width="20.5703125" style="896" customWidth="1"/>
    <col min="13345" max="13345" width="16.85546875" style="896" customWidth="1"/>
    <col min="13346" max="13346" width="23.7109375" style="896" customWidth="1"/>
    <col min="13347" max="13347" width="27.140625" style="896" bestFit="1" customWidth="1"/>
    <col min="13348" max="13348" width="25.7109375" style="896" bestFit="1" customWidth="1"/>
    <col min="13349" max="13349" width="19.42578125" style="896" bestFit="1" customWidth="1"/>
    <col min="13350" max="13350" width="10.85546875" style="896"/>
    <col min="13351" max="13351" width="16.42578125" style="896" bestFit="1" customWidth="1"/>
    <col min="13352" max="13352" width="10.85546875" style="896"/>
    <col min="13353" max="13353" width="14.42578125" style="896" bestFit="1" customWidth="1"/>
    <col min="13354" max="13355" width="10.85546875" style="896"/>
    <col min="13356" max="13356" width="14.28515625" style="896" bestFit="1" customWidth="1"/>
    <col min="13357" max="13584" width="10.85546875" style="896"/>
    <col min="13585" max="13585" width="12.28515625" style="896" customWidth="1"/>
    <col min="13586" max="13586" width="78.7109375" style="896" customWidth="1"/>
    <col min="13587" max="13587" width="20.28515625" style="896" customWidth="1"/>
    <col min="13588" max="13588" width="13.42578125" style="896" customWidth="1"/>
    <col min="13589" max="13589" width="17.140625" style="896" customWidth="1"/>
    <col min="13590" max="13590" width="22" style="896" customWidth="1"/>
    <col min="13591" max="13591" width="17.85546875" style="896" customWidth="1"/>
    <col min="13592" max="13592" width="21.28515625" style="896" customWidth="1"/>
    <col min="13593" max="13593" width="16.5703125" style="896" customWidth="1"/>
    <col min="13594" max="13594" width="20.28515625" style="896" customWidth="1"/>
    <col min="13595" max="13595" width="17.28515625" style="896" customWidth="1"/>
    <col min="13596" max="13596" width="19.42578125" style="896" customWidth="1"/>
    <col min="13597" max="13597" width="18.5703125" style="896" customWidth="1"/>
    <col min="13598" max="13598" width="19.7109375" style="896" customWidth="1"/>
    <col min="13599" max="13599" width="16" style="896" customWidth="1"/>
    <col min="13600" max="13600" width="20.5703125" style="896" customWidth="1"/>
    <col min="13601" max="13601" width="16.85546875" style="896" customWidth="1"/>
    <col min="13602" max="13602" width="23.7109375" style="896" customWidth="1"/>
    <col min="13603" max="13603" width="27.140625" style="896" bestFit="1" customWidth="1"/>
    <col min="13604" max="13604" width="25.7109375" style="896" bestFit="1" customWidth="1"/>
    <col min="13605" max="13605" width="19.42578125" style="896" bestFit="1" customWidth="1"/>
    <col min="13606" max="13606" width="10.85546875" style="896"/>
    <col min="13607" max="13607" width="16.42578125" style="896" bestFit="1" customWidth="1"/>
    <col min="13608" max="13608" width="10.85546875" style="896"/>
    <col min="13609" max="13609" width="14.42578125" style="896" bestFit="1" customWidth="1"/>
    <col min="13610" max="13611" width="10.85546875" style="896"/>
    <col min="13612" max="13612" width="14.28515625" style="896" bestFit="1" customWidth="1"/>
    <col min="13613" max="13840" width="10.85546875" style="896"/>
    <col min="13841" max="13841" width="12.28515625" style="896" customWidth="1"/>
    <col min="13842" max="13842" width="78.7109375" style="896" customWidth="1"/>
    <col min="13843" max="13843" width="20.28515625" style="896" customWidth="1"/>
    <col min="13844" max="13844" width="13.42578125" style="896" customWidth="1"/>
    <col min="13845" max="13845" width="17.140625" style="896" customWidth="1"/>
    <col min="13846" max="13846" width="22" style="896" customWidth="1"/>
    <col min="13847" max="13847" width="17.85546875" style="896" customWidth="1"/>
    <col min="13848" max="13848" width="21.28515625" style="896" customWidth="1"/>
    <col min="13849" max="13849" width="16.5703125" style="896" customWidth="1"/>
    <col min="13850" max="13850" width="20.28515625" style="896" customWidth="1"/>
    <col min="13851" max="13851" width="17.28515625" style="896" customWidth="1"/>
    <col min="13852" max="13852" width="19.42578125" style="896" customWidth="1"/>
    <col min="13853" max="13853" width="18.5703125" style="896" customWidth="1"/>
    <col min="13854" max="13854" width="19.7109375" style="896" customWidth="1"/>
    <col min="13855" max="13855" width="16" style="896" customWidth="1"/>
    <col min="13856" max="13856" width="20.5703125" style="896" customWidth="1"/>
    <col min="13857" max="13857" width="16.85546875" style="896" customWidth="1"/>
    <col min="13858" max="13858" width="23.7109375" style="896" customWidth="1"/>
    <col min="13859" max="13859" width="27.140625" style="896" bestFit="1" customWidth="1"/>
    <col min="13860" max="13860" width="25.7109375" style="896" bestFit="1" customWidth="1"/>
    <col min="13861" max="13861" width="19.42578125" style="896" bestFit="1" customWidth="1"/>
    <col min="13862" max="13862" width="10.85546875" style="896"/>
    <col min="13863" max="13863" width="16.42578125" style="896" bestFit="1" customWidth="1"/>
    <col min="13864" max="13864" width="10.85546875" style="896"/>
    <col min="13865" max="13865" width="14.42578125" style="896" bestFit="1" customWidth="1"/>
    <col min="13866" max="13867" width="10.85546875" style="896"/>
    <col min="13868" max="13868" width="14.28515625" style="896" bestFit="1" customWidth="1"/>
    <col min="13869" max="14096" width="10.85546875" style="896"/>
    <col min="14097" max="14097" width="12.28515625" style="896" customWidth="1"/>
    <col min="14098" max="14098" width="78.7109375" style="896" customWidth="1"/>
    <col min="14099" max="14099" width="20.28515625" style="896" customWidth="1"/>
    <col min="14100" max="14100" width="13.42578125" style="896" customWidth="1"/>
    <col min="14101" max="14101" width="17.140625" style="896" customWidth="1"/>
    <col min="14102" max="14102" width="22" style="896" customWidth="1"/>
    <col min="14103" max="14103" width="17.85546875" style="896" customWidth="1"/>
    <col min="14104" max="14104" width="21.28515625" style="896" customWidth="1"/>
    <col min="14105" max="14105" width="16.5703125" style="896" customWidth="1"/>
    <col min="14106" max="14106" width="20.28515625" style="896" customWidth="1"/>
    <col min="14107" max="14107" width="17.28515625" style="896" customWidth="1"/>
    <col min="14108" max="14108" width="19.42578125" style="896" customWidth="1"/>
    <col min="14109" max="14109" width="18.5703125" style="896" customWidth="1"/>
    <col min="14110" max="14110" width="19.7109375" style="896" customWidth="1"/>
    <col min="14111" max="14111" width="16" style="896" customWidth="1"/>
    <col min="14112" max="14112" width="20.5703125" style="896" customWidth="1"/>
    <col min="14113" max="14113" width="16.85546875" style="896" customWidth="1"/>
    <col min="14114" max="14114" width="23.7109375" style="896" customWidth="1"/>
    <col min="14115" max="14115" width="27.140625" style="896" bestFit="1" customWidth="1"/>
    <col min="14116" max="14116" width="25.7109375" style="896" bestFit="1" customWidth="1"/>
    <col min="14117" max="14117" width="19.42578125" style="896" bestFit="1" customWidth="1"/>
    <col min="14118" max="14118" width="10.85546875" style="896"/>
    <col min="14119" max="14119" width="16.42578125" style="896" bestFit="1" customWidth="1"/>
    <col min="14120" max="14120" width="10.85546875" style="896"/>
    <col min="14121" max="14121" width="14.42578125" style="896" bestFit="1" customWidth="1"/>
    <col min="14122" max="14123" width="10.85546875" style="896"/>
    <col min="14124" max="14124" width="14.28515625" style="896" bestFit="1" customWidth="1"/>
    <col min="14125" max="14352" width="10.85546875" style="896"/>
    <col min="14353" max="14353" width="12.28515625" style="896" customWidth="1"/>
    <col min="14354" max="14354" width="78.7109375" style="896" customWidth="1"/>
    <col min="14355" max="14355" width="20.28515625" style="896" customWidth="1"/>
    <col min="14356" max="14356" width="13.42578125" style="896" customWidth="1"/>
    <col min="14357" max="14357" width="17.140625" style="896" customWidth="1"/>
    <col min="14358" max="14358" width="22" style="896" customWidth="1"/>
    <col min="14359" max="14359" width="17.85546875" style="896" customWidth="1"/>
    <col min="14360" max="14360" width="21.28515625" style="896" customWidth="1"/>
    <col min="14361" max="14361" width="16.5703125" style="896" customWidth="1"/>
    <col min="14362" max="14362" width="20.28515625" style="896" customWidth="1"/>
    <col min="14363" max="14363" width="17.28515625" style="896" customWidth="1"/>
    <col min="14364" max="14364" width="19.42578125" style="896" customWidth="1"/>
    <col min="14365" max="14365" width="18.5703125" style="896" customWidth="1"/>
    <col min="14366" max="14366" width="19.7109375" style="896" customWidth="1"/>
    <col min="14367" max="14367" width="16" style="896" customWidth="1"/>
    <col min="14368" max="14368" width="20.5703125" style="896" customWidth="1"/>
    <col min="14369" max="14369" width="16.85546875" style="896" customWidth="1"/>
    <col min="14370" max="14370" width="23.7109375" style="896" customWidth="1"/>
    <col min="14371" max="14371" width="27.140625" style="896" bestFit="1" customWidth="1"/>
    <col min="14372" max="14372" width="25.7109375" style="896" bestFit="1" customWidth="1"/>
    <col min="14373" max="14373" width="19.42578125" style="896" bestFit="1" customWidth="1"/>
    <col min="14374" max="14374" width="10.85546875" style="896"/>
    <col min="14375" max="14375" width="16.42578125" style="896" bestFit="1" customWidth="1"/>
    <col min="14376" max="14376" width="10.85546875" style="896"/>
    <col min="14377" max="14377" width="14.42578125" style="896" bestFit="1" customWidth="1"/>
    <col min="14378" max="14379" width="10.85546875" style="896"/>
    <col min="14380" max="14380" width="14.28515625" style="896" bestFit="1" customWidth="1"/>
    <col min="14381" max="14608" width="10.85546875" style="896"/>
    <col min="14609" max="14609" width="12.28515625" style="896" customWidth="1"/>
    <col min="14610" max="14610" width="78.7109375" style="896" customWidth="1"/>
    <col min="14611" max="14611" width="20.28515625" style="896" customWidth="1"/>
    <col min="14612" max="14612" width="13.42578125" style="896" customWidth="1"/>
    <col min="14613" max="14613" width="17.140625" style="896" customWidth="1"/>
    <col min="14614" max="14614" width="22" style="896" customWidth="1"/>
    <col min="14615" max="14615" width="17.85546875" style="896" customWidth="1"/>
    <col min="14616" max="14616" width="21.28515625" style="896" customWidth="1"/>
    <col min="14617" max="14617" width="16.5703125" style="896" customWidth="1"/>
    <col min="14618" max="14618" width="20.28515625" style="896" customWidth="1"/>
    <col min="14619" max="14619" width="17.28515625" style="896" customWidth="1"/>
    <col min="14620" max="14620" width="19.42578125" style="896" customWidth="1"/>
    <col min="14621" max="14621" width="18.5703125" style="896" customWidth="1"/>
    <col min="14622" max="14622" width="19.7109375" style="896" customWidth="1"/>
    <col min="14623" max="14623" width="16" style="896" customWidth="1"/>
    <col min="14624" max="14624" width="20.5703125" style="896" customWidth="1"/>
    <col min="14625" max="14625" width="16.85546875" style="896" customWidth="1"/>
    <col min="14626" max="14626" width="23.7109375" style="896" customWidth="1"/>
    <col min="14627" max="14627" width="27.140625" style="896" bestFit="1" customWidth="1"/>
    <col min="14628" max="14628" width="25.7109375" style="896" bestFit="1" customWidth="1"/>
    <col min="14629" max="14629" width="19.42578125" style="896" bestFit="1" customWidth="1"/>
    <col min="14630" max="14630" width="10.85546875" style="896"/>
    <col min="14631" max="14631" width="16.42578125" style="896" bestFit="1" customWidth="1"/>
    <col min="14632" max="14632" width="10.85546875" style="896"/>
    <col min="14633" max="14633" width="14.42578125" style="896" bestFit="1" customWidth="1"/>
    <col min="14634" max="14635" width="10.85546875" style="896"/>
    <col min="14636" max="14636" width="14.28515625" style="896" bestFit="1" customWidth="1"/>
    <col min="14637" max="14864" width="10.85546875" style="896"/>
    <col min="14865" max="14865" width="12.28515625" style="896" customWidth="1"/>
    <col min="14866" max="14866" width="78.7109375" style="896" customWidth="1"/>
    <col min="14867" max="14867" width="20.28515625" style="896" customWidth="1"/>
    <col min="14868" max="14868" width="13.42578125" style="896" customWidth="1"/>
    <col min="14869" max="14869" width="17.140625" style="896" customWidth="1"/>
    <col min="14870" max="14870" width="22" style="896" customWidth="1"/>
    <col min="14871" max="14871" width="17.85546875" style="896" customWidth="1"/>
    <col min="14872" max="14872" width="21.28515625" style="896" customWidth="1"/>
    <col min="14873" max="14873" width="16.5703125" style="896" customWidth="1"/>
    <col min="14874" max="14874" width="20.28515625" style="896" customWidth="1"/>
    <col min="14875" max="14875" width="17.28515625" style="896" customWidth="1"/>
    <col min="14876" max="14876" width="19.42578125" style="896" customWidth="1"/>
    <col min="14877" max="14877" width="18.5703125" style="896" customWidth="1"/>
    <col min="14878" max="14878" width="19.7109375" style="896" customWidth="1"/>
    <col min="14879" max="14879" width="16" style="896" customWidth="1"/>
    <col min="14880" max="14880" width="20.5703125" style="896" customWidth="1"/>
    <col min="14881" max="14881" width="16.85546875" style="896" customWidth="1"/>
    <col min="14882" max="14882" width="23.7109375" style="896" customWidth="1"/>
    <col min="14883" max="14883" width="27.140625" style="896" bestFit="1" customWidth="1"/>
    <col min="14884" max="14884" width="25.7109375" style="896" bestFit="1" customWidth="1"/>
    <col min="14885" max="14885" width="19.42578125" style="896" bestFit="1" customWidth="1"/>
    <col min="14886" max="14886" width="10.85546875" style="896"/>
    <col min="14887" max="14887" width="16.42578125" style="896" bestFit="1" customWidth="1"/>
    <col min="14888" max="14888" width="10.85546875" style="896"/>
    <col min="14889" max="14889" width="14.42578125" style="896" bestFit="1" customWidth="1"/>
    <col min="14890" max="14891" width="10.85546875" style="896"/>
    <col min="14892" max="14892" width="14.28515625" style="896" bestFit="1" customWidth="1"/>
    <col min="14893" max="15120" width="10.85546875" style="896"/>
    <col min="15121" max="15121" width="12.28515625" style="896" customWidth="1"/>
    <col min="15122" max="15122" width="78.7109375" style="896" customWidth="1"/>
    <col min="15123" max="15123" width="20.28515625" style="896" customWidth="1"/>
    <col min="15124" max="15124" width="13.42578125" style="896" customWidth="1"/>
    <col min="15125" max="15125" width="17.140625" style="896" customWidth="1"/>
    <col min="15126" max="15126" width="22" style="896" customWidth="1"/>
    <col min="15127" max="15127" width="17.85546875" style="896" customWidth="1"/>
    <col min="15128" max="15128" width="21.28515625" style="896" customWidth="1"/>
    <col min="15129" max="15129" width="16.5703125" style="896" customWidth="1"/>
    <col min="15130" max="15130" width="20.28515625" style="896" customWidth="1"/>
    <col min="15131" max="15131" width="17.28515625" style="896" customWidth="1"/>
    <col min="15132" max="15132" width="19.42578125" style="896" customWidth="1"/>
    <col min="15133" max="15133" width="18.5703125" style="896" customWidth="1"/>
    <col min="15134" max="15134" width="19.7109375" style="896" customWidth="1"/>
    <col min="15135" max="15135" width="16" style="896" customWidth="1"/>
    <col min="15136" max="15136" width="20.5703125" style="896" customWidth="1"/>
    <col min="15137" max="15137" width="16.85546875" style="896" customWidth="1"/>
    <col min="15138" max="15138" width="23.7109375" style="896" customWidth="1"/>
    <col min="15139" max="15139" width="27.140625" style="896" bestFit="1" customWidth="1"/>
    <col min="15140" max="15140" width="25.7109375" style="896" bestFit="1" customWidth="1"/>
    <col min="15141" max="15141" width="19.42578125" style="896" bestFit="1" customWidth="1"/>
    <col min="15142" max="15142" width="10.85546875" style="896"/>
    <col min="15143" max="15143" width="16.42578125" style="896" bestFit="1" customWidth="1"/>
    <col min="15144" max="15144" width="10.85546875" style="896"/>
    <col min="15145" max="15145" width="14.42578125" style="896" bestFit="1" customWidth="1"/>
    <col min="15146" max="15147" width="10.85546875" style="896"/>
    <col min="15148" max="15148" width="14.28515625" style="896" bestFit="1" customWidth="1"/>
    <col min="15149" max="15376" width="10.85546875" style="896"/>
    <col min="15377" max="15377" width="12.28515625" style="896" customWidth="1"/>
    <col min="15378" max="15378" width="78.7109375" style="896" customWidth="1"/>
    <col min="15379" max="15379" width="20.28515625" style="896" customWidth="1"/>
    <col min="15380" max="15380" width="13.42578125" style="896" customWidth="1"/>
    <col min="15381" max="15381" width="17.140625" style="896" customWidth="1"/>
    <col min="15382" max="15382" width="22" style="896" customWidth="1"/>
    <col min="15383" max="15383" width="17.85546875" style="896" customWidth="1"/>
    <col min="15384" max="15384" width="21.28515625" style="896" customWidth="1"/>
    <col min="15385" max="15385" width="16.5703125" style="896" customWidth="1"/>
    <col min="15386" max="15386" width="20.28515625" style="896" customWidth="1"/>
    <col min="15387" max="15387" width="17.28515625" style="896" customWidth="1"/>
    <col min="15388" max="15388" width="19.42578125" style="896" customWidth="1"/>
    <col min="15389" max="15389" width="18.5703125" style="896" customWidth="1"/>
    <col min="15390" max="15390" width="19.7109375" style="896" customWidth="1"/>
    <col min="15391" max="15391" width="16" style="896" customWidth="1"/>
    <col min="15392" max="15392" width="20.5703125" style="896" customWidth="1"/>
    <col min="15393" max="15393" width="16.85546875" style="896" customWidth="1"/>
    <col min="15394" max="15394" width="23.7109375" style="896" customWidth="1"/>
    <col min="15395" max="15395" width="27.140625" style="896" bestFit="1" customWidth="1"/>
    <col min="15396" max="15396" width="25.7109375" style="896" bestFit="1" customWidth="1"/>
    <col min="15397" max="15397" width="19.42578125" style="896" bestFit="1" customWidth="1"/>
    <col min="15398" max="15398" width="10.85546875" style="896"/>
    <col min="15399" max="15399" width="16.42578125" style="896" bestFit="1" customWidth="1"/>
    <col min="15400" max="15400" width="10.85546875" style="896"/>
    <col min="15401" max="15401" width="14.42578125" style="896" bestFit="1" customWidth="1"/>
    <col min="15402" max="15403" width="10.85546875" style="896"/>
    <col min="15404" max="15404" width="14.28515625" style="896" bestFit="1" customWidth="1"/>
    <col min="15405" max="15632" width="10.85546875" style="896"/>
    <col min="15633" max="15633" width="12.28515625" style="896" customWidth="1"/>
    <col min="15634" max="15634" width="78.7109375" style="896" customWidth="1"/>
    <col min="15635" max="15635" width="20.28515625" style="896" customWidth="1"/>
    <col min="15636" max="15636" width="13.42578125" style="896" customWidth="1"/>
    <col min="15637" max="15637" width="17.140625" style="896" customWidth="1"/>
    <col min="15638" max="15638" width="22" style="896" customWidth="1"/>
    <col min="15639" max="15639" width="17.85546875" style="896" customWidth="1"/>
    <col min="15640" max="15640" width="21.28515625" style="896" customWidth="1"/>
    <col min="15641" max="15641" width="16.5703125" style="896" customWidth="1"/>
    <col min="15642" max="15642" width="20.28515625" style="896" customWidth="1"/>
    <col min="15643" max="15643" width="17.28515625" style="896" customWidth="1"/>
    <col min="15644" max="15644" width="19.42578125" style="896" customWidth="1"/>
    <col min="15645" max="15645" width="18.5703125" style="896" customWidth="1"/>
    <col min="15646" max="15646" width="19.7109375" style="896" customWidth="1"/>
    <col min="15647" max="15647" width="16" style="896" customWidth="1"/>
    <col min="15648" max="15648" width="20.5703125" style="896" customWidth="1"/>
    <col min="15649" max="15649" width="16.85546875" style="896" customWidth="1"/>
    <col min="15650" max="15650" width="23.7109375" style="896" customWidth="1"/>
    <col min="15651" max="15651" width="27.140625" style="896" bestFit="1" customWidth="1"/>
    <col min="15652" max="15652" width="25.7109375" style="896" bestFit="1" customWidth="1"/>
    <col min="15653" max="15653" width="19.42578125" style="896" bestFit="1" customWidth="1"/>
    <col min="15654" max="15654" width="10.85546875" style="896"/>
    <col min="15655" max="15655" width="16.42578125" style="896" bestFit="1" customWidth="1"/>
    <col min="15656" max="15656" width="10.85546875" style="896"/>
    <col min="15657" max="15657" width="14.42578125" style="896" bestFit="1" customWidth="1"/>
    <col min="15658" max="15659" width="10.85546875" style="896"/>
    <col min="15660" max="15660" width="14.28515625" style="896" bestFit="1" customWidth="1"/>
    <col min="15661" max="15888" width="10.85546875" style="896"/>
    <col min="15889" max="15889" width="12.28515625" style="896" customWidth="1"/>
    <col min="15890" max="15890" width="78.7109375" style="896" customWidth="1"/>
    <col min="15891" max="15891" width="20.28515625" style="896" customWidth="1"/>
    <col min="15892" max="15892" width="13.42578125" style="896" customWidth="1"/>
    <col min="15893" max="15893" width="17.140625" style="896" customWidth="1"/>
    <col min="15894" max="15894" width="22" style="896" customWidth="1"/>
    <col min="15895" max="15895" width="17.85546875" style="896" customWidth="1"/>
    <col min="15896" max="15896" width="21.28515625" style="896" customWidth="1"/>
    <col min="15897" max="15897" width="16.5703125" style="896" customWidth="1"/>
    <col min="15898" max="15898" width="20.28515625" style="896" customWidth="1"/>
    <col min="15899" max="15899" width="17.28515625" style="896" customWidth="1"/>
    <col min="15900" max="15900" width="19.42578125" style="896" customWidth="1"/>
    <col min="15901" max="15901" width="18.5703125" style="896" customWidth="1"/>
    <col min="15902" max="15902" width="19.7109375" style="896" customWidth="1"/>
    <col min="15903" max="15903" width="16" style="896" customWidth="1"/>
    <col min="15904" max="15904" width="20.5703125" style="896" customWidth="1"/>
    <col min="15905" max="15905" width="16.85546875" style="896" customWidth="1"/>
    <col min="15906" max="15906" width="23.7109375" style="896" customWidth="1"/>
    <col min="15907" max="15907" width="27.140625" style="896" bestFit="1" customWidth="1"/>
    <col min="15908" max="15908" width="25.7109375" style="896" bestFit="1" customWidth="1"/>
    <col min="15909" max="15909" width="19.42578125" style="896" bestFit="1" customWidth="1"/>
    <col min="15910" max="15910" width="10.85546875" style="896"/>
    <col min="15911" max="15911" width="16.42578125" style="896" bestFit="1" customWidth="1"/>
    <col min="15912" max="15912" width="10.85546875" style="896"/>
    <col min="15913" max="15913" width="14.42578125" style="896" bestFit="1" customWidth="1"/>
    <col min="15914" max="15915" width="10.85546875" style="896"/>
    <col min="15916" max="15916" width="14.28515625" style="896" bestFit="1" customWidth="1"/>
    <col min="15917" max="16144" width="10.85546875" style="896"/>
    <col min="16145" max="16145" width="12.28515625" style="896" customWidth="1"/>
    <col min="16146" max="16146" width="78.7109375" style="896" customWidth="1"/>
    <col min="16147" max="16147" width="20.28515625" style="896" customWidth="1"/>
    <col min="16148" max="16148" width="13.42578125" style="896" customWidth="1"/>
    <col min="16149" max="16149" width="17.140625" style="896" customWidth="1"/>
    <col min="16150" max="16150" width="22" style="896" customWidth="1"/>
    <col min="16151" max="16151" width="17.85546875" style="896" customWidth="1"/>
    <col min="16152" max="16152" width="21.28515625" style="896" customWidth="1"/>
    <col min="16153" max="16153" width="16.5703125" style="896" customWidth="1"/>
    <col min="16154" max="16154" width="20.28515625" style="896" customWidth="1"/>
    <col min="16155" max="16155" width="17.28515625" style="896" customWidth="1"/>
    <col min="16156" max="16156" width="19.42578125" style="896" customWidth="1"/>
    <col min="16157" max="16157" width="18.5703125" style="896" customWidth="1"/>
    <col min="16158" max="16158" width="19.7109375" style="896" customWidth="1"/>
    <col min="16159" max="16159" width="16" style="896" customWidth="1"/>
    <col min="16160" max="16160" width="20.5703125" style="896" customWidth="1"/>
    <col min="16161" max="16161" width="16.85546875" style="896" customWidth="1"/>
    <col min="16162" max="16162" width="23.7109375" style="896" customWidth="1"/>
    <col min="16163" max="16163" width="27.140625" style="896" bestFit="1" customWidth="1"/>
    <col min="16164" max="16164" width="25.7109375" style="896" bestFit="1" customWidth="1"/>
    <col min="16165" max="16165" width="19.42578125" style="896" bestFit="1" customWidth="1"/>
    <col min="16166" max="16166" width="10.85546875" style="896"/>
    <col min="16167" max="16167" width="16.42578125" style="896" bestFit="1" customWidth="1"/>
    <col min="16168" max="16168" width="10.85546875" style="896"/>
    <col min="16169" max="16169" width="14.42578125" style="896" bestFit="1" customWidth="1"/>
    <col min="16170" max="16171" width="10.85546875" style="896"/>
    <col min="16172" max="16172" width="14.28515625" style="896" bestFit="1" customWidth="1"/>
    <col min="16173" max="16384" width="10.85546875" style="896"/>
  </cols>
  <sheetData>
    <row r="1" spans="1:36" s="847" customFormat="1" ht="72.75" customHeight="1">
      <c r="A1" s="2048" t="str">
        <f>'PC- Detail'!A2:I2</f>
        <v>Name of work: Providing Special Repair works for 5 Nos INS, 8 Nos SI, 24 Nos PC/HC Quarters  at Church Hill Ooty in the Nilgiri District</v>
      </c>
      <c r="B1" s="2049"/>
      <c r="C1" s="2049"/>
      <c r="D1" s="2049"/>
      <c r="E1" s="2049"/>
      <c r="F1" s="2049"/>
      <c r="G1" s="2049"/>
      <c r="H1" s="2049"/>
      <c r="I1" s="2049"/>
      <c r="J1" s="2049"/>
      <c r="K1" s="2049"/>
      <c r="L1" s="2049"/>
      <c r="M1" s="2049"/>
      <c r="N1" s="2049"/>
      <c r="O1" s="2049"/>
      <c r="P1" s="2049"/>
      <c r="Q1" s="2049"/>
      <c r="R1" s="2049"/>
      <c r="S1" s="2049"/>
      <c r="T1" s="2049"/>
      <c r="U1" s="2049"/>
      <c r="V1" s="2049"/>
      <c r="W1" s="2049"/>
      <c r="X1" s="2049"/>
      <c r="Y1" s="2049"/>
      <c r="Z1" s="2049"/>
      <c r="AA1" s="2049"/>
      <c r="AB1" s="2049"/>
      <c r="AC1" s="2049"/>
      <c r="AD1" s="2049"/>
      <c r="AE1" s="2049"/>
      <c r="AF1" s="2049"/>
      <c r="AG1" s="2049"/>
      <c r="AH1" s="2050"/>
      <c r="AI1" s="846"/>
      <c r="AJ1" s="846"/>
    </row>
    <row r="2" spans="1:36" s="887" customFormat="1" ht="55.9" customHeight="1">
      <c r="A2" s="2045" t="s">
        <v>3613</v>
      </c>
      <c r="B2" s="2045" t="s">
        <v>3546</v>
      </c>
      <c r="C2" s="2045" t="s">
        <v>217</v>
      </c>
      <c r="D2" s="2045" t="s">
        <v>10</v>
      </c>
      <c r="E2" s="2047" t="s">
        <v>3181</v>
      </c>
      <c r="F2" s="2047"/>
      <c r="G2" s="2047" t="s">
        <v>3197</v>
      </c>
      <c r="H2" s="2047"/>
      <c r="I2" s="2047" t="s">
        <v>3196</v>
      </c>
      <c r="J2" s="2047"/>
      <c r="K2" s="2045" t="s">
        <v>3616</v>
      </c>
      <c r="L2" s="2045"/>
      <c r="M2" s="2047" t="s">
        <v>3617</v>
      </c>
      <c r="N2" s="2047"/>
      <c r="O2" s="2045" t="s">
        <v>3618</v>
      </c>
      <c r="P2" s="2045"/>
      <c r="Q2" s="2045" t="s">
        <v>3619</v>
      </c>
      <c r="R2" s="2045"/>
      <c r="S2" s="2045" t="s">
        <v>3620</v>
      </c>
      <c r="T2" s="2045"/>
      <c r="U2" s="2045" t="s">
        <v>3621</v>
      </c>
      <c r="V2" s="2045"/>
      <c r="W2" s="2045" t="s">
        <v>3622</v>
      </c>
      <c r="X2" s="2045"/>
      <c r="Y2" s="2045" t="s">
        <v>3623</v>
      </c>
      <c r="Z2" s="2045"/>
      <c r="AA2" s="2045" t="s">
        <v>3624</v>
      </c>
      <c r="AB2" s="2045"/>
      <c r="AC2" s="2051" t="s">
        <v>3693</v>
      </c>
      <c r="AD2" s="2052"/>
      <c r="AE2" s="2045" t="s">
        <v>3614</v>
      </c>
      <c r="AF2" s="2045"/>
      <c r="AG2" s="2045" t="s">
        <v>3615</v>
      </c>
      <c r="AH2" s="2045"/>
      <c r="AJ2" s="920"/>
    </row>
    <row r="3" spans="1:36" s="887" customFormat="1" ht="31.9" customHeight="1">
      <c r="A3" s="2045"/>
      <c r="B3" s="2045"/>
      <c r="C3" s="2045"/>
      <c r="D3" s="2045"/>
      <c r="E3" s="921" t="s">
        <v>3</v>
      </c>
      <c r="F3" s="922" t="s">
        <v>218</v>
      </c>
      <c r="G3" s="921" t="s">
        <v>3</v>
      </c>
      <c r="H3" s="922" t="s">
        <v>218</v>
      </c>
      <c r="I3" s="921" t="s">
        <v>3</v>
      </c>
      <c r="J3" s="922" t="s">
        <v>218</v>
      </c>
      <c r="K3" s="921" t="s">
        <v>3</v>
      </c>
      <c r="L3" s="922" t="s">
        <v>218</v>
      </c>
      <c r="M3" s="921" t="s">
        <v>3</v>
      </c>
      <c r="N3" s="922" t="s">
        <v>218</v>
      </c>
      <c r="O3" s="921" t="s">
        <v>3</v>
      </c>
      <c r="P3" s="922" t="s">
        <v>218</v>
      </c>
      <c r="Q3" s="921" t="s">
        <v>3</v>
      </c>
      <c r="R3" s="922" t="s">
        <v>218</v>
      </c>
      <c r="S3" s="921" t="s">
        <v>3</v>
      </c>
      <c r="T3" s="922" t="s">
        <v>218</v>
      </c>
      <c r="U3" s="921" t="s">
        <v>3</v>
      </c>
      <c r="V3" s="922" t="s">
        <v>218</v>
      </c>
      <c r="W3" s="922" t="s">
        <v>3</v>
      </c>
      <c r="X3" s="922" t="s">
        <v>3625</v>
      </c>
      <c r="Y3" s="922" t="s">
        <v>3</v>
      </c>
      <c r="Z3" s="922" t="s">
        <v>3625</v>
      </c>
      <c r="AA3" s="921" t="s">
        <v>3</v>
      </c>
      <c r="AB3" s="922" t="s">
        <v>218</v>
      </c>
      <c r="AC3" s="921" t="s">
        <v>3</v>
      </c>
      <c r="AD3" s="922" t="s">
        <v>218</v>
      </c>
      <c r="AE3" s="921" t="s">
        <v>3</v>
      </c>
      <c r="AF3" s="922" t="s">
        <v>218</v>
      </c>
      <c r="AG3" s="922" t="s">
        <v>3</v>
      </c>
      <c r="AH3" s="922" t="s">
        <v>218</v>
      </c>
      <c r="AI3" s="920"/>
      <c r="AJ3" s="920"/>
    </row>
    <row r="4" spans="1:36" s="848" customFormat="1" ht="39.75" customHeight="1">
      <c r="A4" s="851"/>
      <c r="B4" s="851"/>
      <c r="C4" s="851"/>
      <c r="D4" s="851"/>
      <c r="E4" s="851"/>
      <c r="F4" s="851"/>
      <c r="G4" s="851"/>
      <c r="H4" s="851"/>
      <c r="I4" s="851"/>
      <c r="J4" s="851"/>
      <c r="K4" s="852"/>
      <c r="L4" s="851"/>
      <c r="M4" s="852"/>
      <c r="N4" s="851"/>
      <c r="O4" s="852"/>
      <c r="P4" s="851"/>
      <c r="Q4" s="851"/>
      <c r="R4" s="851"/>
      <c r="S4" s="851"/>
      <c r="T4" s="851"/>
      <c r="U4" s="851"/>
      <c r="V4" s="851"/>
      <c r="W4" s="851"/>
      <c r="X4" s="851"/>
      <c r="Y4" s="851"/>
      <c r="Z4" s="851"/>
      <c r="AA4" s="851"/>
      <c r="AB4" s="851"/>
      <c r="AC4" s="851"/>
      <c r="AD4" s="851"/>
      <c r="AE4" s="850"/>
      <c r="AF4" s="851"/>
      <c r="AG4" s="851"/>
      <c r="AH4" s="851"/>
      <c r="AI4" s="849"/>
      <c r="AJ4" s="849"/>
    </row>
    <row r="5" spans="1:36" ht="50.25" customHeight="1">
      <c r="A5" s="853"/>
      <c r="B5" s="854" t="e">
        <f>'PC - Abs'!C6</f>
        <v>#REF!</v>
      </c>
      <c r="C5" s="854"/>
      <c r="D5" s="855"/>
      <c r="E5" s="856"/>
      <c r="F5" s="856"/>
      <c r="G5" s="856"/>
      <c r="H5" s="856"/>
      <c r="I5" s="856"/>
      <c r="J5" s="856"/>
      <c r="K5" s="856"/>
      <c r="L5" s="856"/>
      <c r="M5" s="856"/>
      <c r="N5" s="856"/>
      <c r="O5" s="856"/>
      <c r="P5" s="856"/>
      <c r="Q5" s="856"/>
      <c r="R5" s="856"/>
      <c r="S5" s="856"/>
      <c r="T5" s="856"/>
      <c r="U5" s="856"/>
      <c r="V5" s="856"/>
      <c r="W5" s="856"/>
      <c r="X5" s="856"/>
      <c r="Y5" s="856"/>
      <c r="Z5" s="856"/>
      <c r="AA5" s="856"/>
      <c r="AB5" s="856"/>
      <c r="AC5" s="856"/>
      <c r="AD5" s="856"/>
      <c r="AE5" s="857"/>
      <c r="AF5" s="856"/>
      <c r="AG5" s="858"/>
      <c r="AH5" s="858"/>
    </row>
    <row r="6" spans="1:36" ht="50.25" customHeight="1">
      <c r="A6" s="853"/>
      <c r="B6" s="897" t="s">
        <v>3633</v>
      </c>
      <c r="C6" s="854"/>
      <c r="D6" s="855"/>
      <c r="E6" s="855">
        <f>'INS - Abs '!B6</f>
        <v>7.2</v>
      </c>
      <c r="F6" s="855" t="e">
        <f>'INS - Abs '!F6</f>
        <v>#REF!</v>
      </c>
      <c r="G6" s="856" t="e">
        <f>'SI - Abs'!B6</f>
        <v>#REF!</v>
      </c>
      <c r="H6" s="856" t="e">
        <f>'SI - Abs'!F6</f>
        <v>#REF!</v>
      </c>
      <c r="I6" s="856" t="e">
        <f>'PC - Abs'!B6</f>
        <v>#REF!</v>
      </c>
      <c r="J6" s="856" t="e">
        <f>'PC - Abs'!F6</f>
        <v>#REF!</v>
      </c>
      <c r="K6" s="856">
        <f>'INS -PP- Abs '!B5</f>
        <v>6.75</v>
      </c>
      <c r="L6" s="856">
        <f>'INS -PP- Abs '!F5</f>
        <v>1679.8724999999999</v>
      </c>
      <c r="M6" s="856">
        <f>'SI -PP- Abs '!B5</f>
        <v>10.799999999999999</v>
      </c>
      <c r="N6" s="856">
        <f>'SI -PP- Abs '!F5</f>
        <v>2687.7959999999998</v>
      </c>
      <c r="O6" s="856">
        <f>'PC -PP- Abs'!B5</f>
        <v>5.1499999999999986</v>
      </c>
      <c r="P6" s="856">
        <f>'PC -PP- Abs'!F5</f>
        <v>1281.6804999999997</v>
      </c>
      <c r="Q6" s="856">
        <f>'INS - Sullage - Abs '!C6</f>
        <v>9.6</v>
      </c>
      <c r="R6" s="856" t="e">
        <f>'INS - Sullage - Abs '!F6</f>
        <v>#REF!</v>
      </c>
      <c r="S6" s="856">
        <f>'SI - Sullage - Abs'!C6</f>
        <v>10.8</v>
      </c>
      <c r="T6" s="856" t="e">
        <f>'SI - Sullage - Abs'!F6</f>
        <v>#REF!</v>
      </c>
      <c r="U6" s="856">
        <f>'PC - Sullage - Abs'!C6</f>
        <v>13.7</v>
      </c>
      <c r="V6" s="856" t="e">
        <f>'PC - Sullage - Abs'!F6</f>
        <v>#REF!</v>
      </c>
      <c r="W6" s="856"/>
      <c r="X6" s="856"/>
      <c r="Y6" s="856"/>
      <c r="Z6" s="856"/>
      <c r="AA6" s="856"/>
      <c r="AB6" s="856"/>
      <c r="AC6" s="856" t="e">
        <f>'sump abs'!C6</f>
        <v>#REF!</v>
      </c>
      <c r="AD6" s="856">
        <f>'sump abs'!D6</f>
        <v>286.15999999999997</v>
      </c>
      <c r="AE6" s="857"/>
      <c r="AF6" s="856"/>
      <c r="AG6" s="858" t="e">
        <f>E6+G6+I6+K6+M6+O6+Q6+S6+U6+AC6</f>
        <v>#REF!</v>
      </c>
      <c r="AH6" s="858" t="e">
        <f>AD6+V6+T6+R6+P6+N6+L6+J6+H6+F6</f>
        <v>#REF!</v>
      </c>
    </row>
    <row r="7" spans="1:36" ht="50.25" customHeight="1">
      <c r="A7" s="853"/>
      <c r="B7" s="897" t="s">
        <v>3636</v>
      </c>
      <c r="C7" s="854"/>
      <c r="D7" s="855"/>
      <c r="E7" s="855"/>
      <c r="F7" s="855"/>
      <c r="G7" s="856"/>
      <c r="H7" s="856"/>
      <c r="I7" s="856"/>
      <c r="J7" s="856"/>
      <c r="K7" s="856"/>
      <c r="L7" s="856"/>
      <c r="M7" s="859"/>
      <c r="N7" s="856"/>
      <c r="O7" s="856"/>
      <c r="P7" s="856"/>
      <c r="Q7" s="856"/>
      <c r="R7" s="856"/>
      <c r="S7" s="856"/>
      <c r="T7" s="856"/>
      <c r="U7" s="856"/>
      <c r="V7" s="856"/>
      <c r="W7" s="856"/>
      <c r="X7" s="856"/>
      <c r="Y7" s="856"/>
      <c r="Z7" s="856"/>
      <c r="AA7" s="856"/>
      <c r="AB7" s="856"/>
      <c r="AC7" s="856" t="e">
        <f>'sump abs'!C7</f>
        <v>#REF!</v>
      </c>
      <c r="AD7" s="856">
        <f>'sump abs'!D7</f>
        <v>299.18</v>
      </c>
      <c r="AE7" s="857"/>
      <c r="AF7" s="856"/>
      <c r="AG7" s="858" t="e">
        <f t="shared" ref="AG7:AG72" si="0">E7+G7+I7+K7+M7+O7+Q7+S7+U7+AC7</f>
        <v>#REF!</v>
      </c>
      <c r="AH7" s="858">
        <f t="shared" ref="AH7:AH72" si="1">AD7+V7+T7+R7+P7+N7+L7+J7+H7+F7</f>
        <v>299.18</v>
      </c>
    </row>
    <row r="8" spans="1:36" ht="60" customHeight="1">
      <c r="A8" s="853"/>
      <c r="B8" s="854" t="str">
        <f>'PC - Abs'!C7</f>
        <v xml:space="preserve">PCC 1:5:10 using 40mm jelly including cost of materials and labours etc.., completed </v>
      </c>
      <c r="C8" s="856"/>
      <c r="D8" s="855"/>
      <c r="E8" s="855">
        <f>'INS - Abs '!B7</f>
        <v>9.15</v>
      </c>
      <c r="F8" s="855" t="e">
        <f>'INS - Abs '!F7</f>
        <v>#REF!</v>
      </c>
      <c r="G8" s="856">
        <f>'SI - Abs'!B7</f>
        <v>23</v>
      </c>
      <c r="H8" s="856" t="e">
        <f>'SI - Abs'!F7</f>
        <v>#REF!</v>
      </c>
      <c r="I8" s="856">
        <f>'PC - Abs'!B7</f>
        <v>15.7</v>
      </c>
      <c r="J8" s="856" t="e">
        <f>'PC - Abs'!F7</f>
        <v>#REF!</v>
      </c>
      <c r="K8" s="856">
        <f>'INS -PP- Abs '!B6</f>
        <v>3.375</v>
      </c>
      <c r="L8" s="856">
        <f>'INS -PP- Abs '!F6</f>
        <v>20783.418750000001</v>
      </c>
      <c r="M8" s="860">
        <f>'SI -PP- Abs '!B6</f>
        <v>5.4</v>
      </c>
      <c r="N8" s="860">
        <f>'SI -PP- Abs '!F6</f>
        <v>33253.47</v>
      </c>
      <c r="O8" s="860">
        <f>'PC -PP- Abs'!B6</f>
        <v>2.5949999999999998</v>
      </c>
      <c r="P8" s="856">
        <f>'PC -PP- Abs'!F6</f>
        <v>15980.139749999998</v>
      </c>
      <c r="Q8" s="856">
        <f>'INS - Sullage - Abs '!C8</f>
        <v>2.4</v>
      </c>
      <c r="R8" s="856" t="e">
        <f>'INS - Sullage - Abs '!F8</f>
        <v>#REF!</v>
      </c>
      <c r="S8" s="856">
        <f>'SI - Sullage - Abs'!C8</f>
        <v>2.7</v>
      </c>
      <c r="T8" s="856" t="e">
        <f>'SI - Sullage - Abs'!F7</f>
        <v>#REF!</v>
      </c>
      <c r="U8" s="860">
        <f>'PC - Sullage - Abs'!C8</f>
        <v>3.4499999999999997</v>
      </c>
      <c r="V8" s="860" t="e">
        <f>'PC - Sullage - Abs'!F8</f>
        <v>#REF!</v>
      </c>
      <c r="W8" s="860"/>
      <c r="X8" s="860"/>
      <c r="Y8" s="860"/>
      <c r="Z8" s="860"/>
      <c r="AA8" s="860"/>
      <c r="AB8" s="860"/>
      <c r="AC8" s="860" t="e">
        <f>'sump abs'!C9</f>
        <v>#REF!</v>
      </c>
      <c r="AD8" s="860">
        <f>'sump abs'!D9</f>
        <v>6158.05</v>
      </c>
      <c r="AE8" s="861"/>
      <c r="AF8" s="860"/>
      <c r="AG8" s="858" t="e">
        <f t="shared" si="0"/>
        <v>#REF!</v>
      </c>
      <c r="AH8" s="858" t="e">
        <f t="shared" si="1"/>
        <v>#REF!</v>
      </c>
      <c r="AI8" s="898"/>
      <c r="AJ8" s="898"/>
    </row>
    <row r="9" spans="1:36" s="875" customFormat="1" ht="48.75" customHeight="1">
      <c r="A9" s="853"/>
      <c r="B9" s="854" t="str">
        <f>'PC - Abs'!C8</f>
        <v xml:space="preserve">PCC 1:2:4 using 20mm jelly including cost of materials and labours etc.., completed </v>
      </c>
      <c r="C9" s="899"/>
      <c r="D9" s="900"/>
      <c r="E9" s="855">
        <f>'INS - Abs '!B8</f>
        <v>6.48</v>
      </c>
      <c r="F9" s="855" t="e">
        <f>'INS - Abs '!F8</f>
        <v>#REF!</v>
      </c>
      <c r="G9" s="856">
        <f>'SI - Abs'!B8</f>
        <v>22.54</v>
      </c>
      <c r="H9" s="856" t="e">
        <f>'SI - Abs'!F8</f>
        <v>#REF!</v>
      </c>
      <c r="I9" s="856">
        <f>'PC - Abs'!B8</f>
        <v>11.052999999999999</v>
      </c>
      <c r="J9" s="856" t="e">
        <f>'PC - Abs'!F8</f>
        <v>#REF!</v>
      </c>
      <c r="K9" s="860"/>
      <c r="L9" s="860"/>
      <c r="M9" s="860"/>
      <c r="N9" s="860"/>
      <c r="O9" s="860"/>
      <c r="P9" s="860"/>
      <c r="Q9" s="860"/>
      <c r="R9" s="860"/>
      <c r="S9" s="860"/>
      <c r="T9" s="860"/>
      <c r="U9" s="860"/>
      <c r="V9" s="860"/>
      <c r="W9" s="860"/>
      <c r="X9" s="860"/>
      <c r="Y9" s="860"/>
      <c r="Z9" s="860"/>
      <c r="AA9" s="860"/>
      <c r="AB9" s="860"/>
      <c r="AC9" s="860"/>
      <c r="AD9" s="860"/>
      <c r="AE9" s="861"/>
      <c r="AF9" s="860"/>
      <c r="AG9" s="858">
        <f t="shared" si="0"/>
        <v>40.073</v>
      </c>
      <c r="AH9" s="858" t="e">
        <f t="shared" si="1"/>
        <v>#REF!</v>
      </c>
      <c r="AI9" s="901"/>
      <c r="AJ9" s="901"/>
    </row>
    <row r="10" spans="1:36" ht="99" customHeight="1">
      <c r="A10" s="853"/>
      <c r="B10" s="854" t="str">
        <f>'PC - Abs'!C9</f>
        <v>Brickwork in CM 1:5 using Chamber burn bricks in foundation including cost of materials and labours etc.., completed ,a)Foundation and basement etc complete</v>
      </c>
      <c r="C10" s="863"/>
      <c r="D10" s="855"/>
      <c r="E10" s="855">
        <f>'INS - Abs '!B9</f>
        <v>4.7494999999999994</v>
      </c>
      <c r="F10" s="855" t="e">
        <f>'INS - Abs '!F9</f>
        <v>#REF!</v>
      </c>
      <c r="G10" s="856">
        <f>'SI - Abs'!B9</f>
        <v>4</v>
      </c>
      <c r="H10" s="856" t="e">
        <f>'SI - Abs'!F9</f>
        <v>#REF!</v>
      </c>
      <c r="I10" s="856">
        <f>'PC - Abs'!B9</f>
        <v>7.7</v>
      </c>
      <c r="J10" s="856" t="e">
        <f>'PC - Abs'!F9</f>
        <v>#REF!</v>
      </c>
      <c r="K10" s="860"/>
      <c r="L10" s="860"/>
      <c r="M10" s="860"/>
      <c r="N10" s="860"/>
      <c r="O10" s="860"/>
      <c r="P10" s="860"/>
      <c r="Q10" s="860">
        <f>'INS - Sullage - Abs '!C9</f>
        <v>0.2</v>
      </c>
      <c r="R10" s="860" t="e">
        <f>'INS - Sullage - Abs '!F9</f>
        <v>#REF!</v>
      </c>
      <c r="S10" s="860">
        <f>'SI - Sullage - Abs'!C9</f>
        <v>0.35</v>
      </c>
      <c r="T10" s="860" t="e">
        <f>'SI - Sullage - Abs'!F9</f>
        <v>#REF!</v>
      </c>
      <c r="U10" s="860">
        <f>'PC - Sullage - Abs'!C9</f>
        <v>0.35</v>
      </c>
      <c r="V10" s="860" t="e">
        <f>'PC - Sullage - Abs'!F9</f>
        <v>#REF!</v>
      </c>
      <c r="W10" s="860"/>
      <c r="X10" s="860"/>
      <c r="Y10" s="860"/>
      <c r="Z10" s="860"/>
      <c r="AA10" s="860"/>
      <c r="AB10" s="860"/>
      <c r="AC10" s="860"/>
      <c r="AD10" s="860"/>
      <c r="AE10" s="861"/>
      <c r="AF10" s="860"/>
      <c r="AG10" s="858">
        <f t="shared" si="0"/>
        <v>17.349500000000003</v>
      </c>
      <c r="AH10" s="858" t="e">
        <f t="shared" si="1"/>
        <v>#REF!</v>
      </c>
      <c r="AI10" s="898"/>
      <c r="AJ10" s="901"/>
    </row>
    <row r="11" spans="1:36" ht="55.15" customHeight="1">
      <c r="A11" s="853"/>
      <c r="B11" s="854" t="str">
        <f>'PC -PP- Abs'!C7</f>
        <v>Brick work in C.M. 1:6 using chmaber burn bricks of size 23 x 11.4 x 7.5 cm (9" x 4 1/2"x 3")</v>
      </c>
      <c r="C11" s="863"/>
      <c r="D11" s="855"/>
      <c r="E11" s="855"/>
      <c r="F11" s="855"/>
      <c r="G11" s="856"/>
      <c r="H11" s="856"/>
      <c r="I11" s="856"/>
      <c r="J11" s="856"/>
      <c r="K11" s="860">
        <f>'INS -PP- Abs '!B7</f>
        <v>1.0827232142857144</v>
      </c>
      <c r="L11" s="860">
        <f>'INS -PP- Abs '!F7</f>
        <v>8079.8977772321432</v>
      </c>
      <c r="M11" s="860">
        <f>'SI -PP- Abs '!B7</f>
        <v>1.7</v>
      </c>
      <c r="N11" s="860">
        <f>'SI -PP- Abs '!F7</f>
        <v>12686.368999999999</v>
      </c>
      <c r="O11" s="860">
        <f>'PC -PP- Abs'!B7</f>
        <v>0.84766964285714308</v>
      </c>
      <c r="P11" s="860">
        <f>'PC -PP- Abs'!F7</f>
        <v>6325.7940466964301</v>
      </c>
      <c r="Q11" s="860"/>
      <c r="R11" s="860"/>
      <c r="S11" s="860"/>
      <c r="T11" s="860"/>
      <c r="U11" s="860"/>
      <c r="V11" s="860"/>
      <c r="W11" s="860"/>
      <c r="X11" s="860"/>
      <c r="Y11" s="860"/>
      <c r="Z11" s="860"/>
      <c r="AA11" s="860"/>
      <c r="AB11" s="860"/>
      <c r="AC11" s="860"/>
      <c r="AD11" s="860"/>
      <c r="AE11" s="861"/>
      <c r="AF11" s="860"/>
      <c r="AG11" s="858">
        <f t="shared" si="0"/>
        <v>3.6303928571428576</v>
      </c>
      <c r="AH11" s="858">
        <f t="shared" si="1"/>
        <v>27092.060823928572</v>
      </c>
      <c r="AI11" s="898"/>
      <c r="AJ11" s="901"/>
    </row>
    <row r="12" spans="1:36" ht="55.15" customHeight="1">
      <c r="A12" s="853"/>
      <c r="B12" s="854" t="str">
        <f>'PC -PP- Abs'!C8</f>
        <v>Brickwork partition wall in CM 1:4, 114mm thick using fchmaber burn brick of size 9"x41/2"x3" for superstructure</v>
      </c>
      <c r="C12" s="863"/>
      <c r="D12" s="855"/>
      <c r="E12" s="855"/>
      <c r="F12" s="855"/>
      <c r="G12" s="856"/>
      <c r="H12" s="856"/>
      <c r="I12" s="856"/>
      <c r="J12" s="856"/>
      <c r="K12" s="860">
        <f>'INS -PP- Abs '!B8</f>
        <v>51.669464285714284</v>
      </c>
      <c r="L12" s="860">
        <f>'INS -PP- Abs '!F8</f>
        <v>48477.84147678571</v>
      </c>
      <c r="M12" s="860">
        <f>'SI -PP- Abs '!B8</f>
        <v>82.647142857142867</v>
      </c>
      <c r="N12" s="860">
        <f>'SI -PP- Abs '!F8</f>
        <v>77542.028842857151</v>
      </c>
      <c r="O12" s="860">
        <f>'PC -PP- Abs'!B8</f>
        <v>39.248392857142854</v>
      </c>
      <c r="P12" s="860">
        <f>'PC -PP- Abs'!F8</f>
        <v>36824.019630357143</v>
      </c>
      <c r="Q12" s="860">
        <f>'INS - Sullage - Abs '!C10</f>
        <v>48</v>
      </c>
      <c r="R12" s="860" t="e">
        <f>'INS - Sullage - Abs '!F10</f>
        <v>#REF!</v>
      </c>
      <c r="S12" s="860">
        <f>'SI - Sullage - Abs'!C10</f>
        <v>108</v>
      </c>
      <c r="T12" s="860" t="e">
        <f>'SI - Sullage - Abs'!F10</f>
        <v>#REF!</v>
      </c>
      <c r="U12" s="860">
        <f>'PC - Sullage - Abs'!C10</f>
        <v>136.80000000000001</v>
      </c>
      <c r="V12" s="860" t="e">
        <f>'PC - Sullage - Abs'!F10</f>
        <v>#REF!</v>
      </c>
      <c r="W12" s="860"/>
      <c r="X12" s="860"/>
      <c r="Y12" s="860"/>
      <c r="Z12" s="860"/>
      <c r="AA12" s="860"/>
      <c r="AB12" s="860"/>
      <c r="AC12" s="860" t="e">
        <f>'sump abs'!C11</f>
        <v>#REF!</v>
      </c>
      <c r="AD12" s="860" t="e">
        <f>'sump abs'!D11</f>
        <v>#REF!</v>
      </c>
      <c r="AE12" s="861"/>
      <c r="AF12" s="860"/>
      <c r="AG12" s="858" t="e">
        <f t="shared" si="0"/>
        <v>#REF!</v>
      </c>
      <c r="AH12" s="858" t="e">
        <f t="shared" si="1"/>
        <v>#REF!</v>
      </c>
      <c r="AI12" s="898"/>
      <c r="AJ12" s="901"/>
    </row>
    <row r="13" spans="1:36" ht="55.15" customHeight="1">
      <c r="A13" s="853"/>
      <c r="B13" s="854" t="str">
        <f>'PC -PP- Abs'!C9</f>
        <v>Filling the Basement with excavated earth in layers of 150mm thick</v>
      </c>
      <c r="C13" s="863"/>
      <c r="D13" s="855"/>
      <c r="E13" s="855"/>
      <c r="F13" s="855"/>
      <c r="G13" s="856"/>
      <c r="H13" s="856"/>
      <c r="I13" s="856"/>
      <c r="J13" s="856"/>
      <c r="K13" s="860">
        <f>'INS -PP- Abs '!B9</f>
        <v>17.298125000000002</v>
      </c>
      <c r="L13" s="860">
        <f>'INS -PP- Abs '!F9</f>
        <v>709.56908750000014</v>
      </c>
      <c r="M13" s="860">
        <f>'SI -PP- Abs '!B9</f>
        <v>27.645</v>
      </c>
      <c r="N13" s="860">
        <f>'SI -PP- Abs '!F9</f>
        <v>1133.9979000000001</v>
      </c>
      <c r="O13" s="860">
        <f>'PC -PP- Abs'!B9</f>
        <v>13.151374999999998</v>
      </c>
      <c r="P13" s="860">
        <f>'PC -PP- Abs'!F9</f>
        <v>539.4694025</v>
      </c>
      <c r="Q13" s="860"/>
      <c r="R13" s="860"/>
      <c r="S13" s="860"/>
      <c r="T13" s="860"/>
      <c r="U13" s="860"/>
      <c r="V13" s="860"/>
      <c r="W13" s="860"/>
      <c r="X13" s="860"/>
      <c r="Y13" s="860"/>
      <c r="Z13" s="860"/>
      <c r="AA13" s="860"/>
      <c r="AB13" s="860"/>
      <c r="AC13" s="860" t="e">
        <f>'sump abs'!C12</f>
        <v>#REF!</v>
      </c>
      <c r="AD13" s="860">
        <f>'sump abs'!D12</f>
        <v>41.02</v>
      </c>
      <c r="AE13" s="861"/>
      <c r="AF13" s="860"/>
      <c r="AG13" s="858" t="e">
        <f t="shared" si="0"/>
        <v>#REF!</v>
      </c>
      <c r="AH13" s="858">
        <f t="shared" si="1"/>
        <v>2424.0563900000002</v>
      </c>
      <c r="AI13" s="898"/>
      <c r="AJ13" s="901"/>
    </row>
    <row r="14" spans="1:36" ht="55.15" customHeight="1">
      <c r="A14" s="853"/>
      <c r="B14" s="854" t="str">
        <f>'PC -PP- Abs'!C10</f>
        <v>Supplying and filling in foundation and basement with filling sand in layers of 150mm thk</v>
      </c>
      <c r="C14" s="863"/>
      <c r="D14" s="855"/>
      <c r="E14" s="855"/>
      <c r="F14" s="855"/>
      <c r="G14" s="856"/>
      <c r="H14" s="856"/>
      <c r="I14" s="856"/>
      <c r="J14" s="856"/>
      <c r="K14" s="860">
        <f>'INS -PP- Abs '!B10</f>
        <v>2.7581249999999997</v>
      </c>
      <c r="L14" s="860">
        <f>'INS -PP- Abs '!F10</f>
        <v>6889.7962499999994</v>
      </c>
      <c r="M14" s="860">
        <f>'SI -PP- Abs '!B10</f>
        <v>4.3950000000000005</v>
      </c>
      <c r="N14" s="860">
        <f>'SI -PP- Abs '!F10</f>
        <v>10978.710000000001</v>
      </c>
      <c r="O14" s="860">
        <f>'PC -PP- Abs'!B10</f>
        <v>2.1033749999999998</v>
      </c>
      <c r="P14" s="860">
        <f>'PC -PP- Abs'!F10</f>
        <v>5254.2307499999997</v>
      </c>
      <c r="Q14" s="860">
        <f>'INS - Sullage - Abs '!C7</f>
        <v>2.4</v>
      </c>
      <c r="R14" s="860" t="e">
        <f>'INS - Sullage - Abs '!F7</f>
        <v>#REF!</v>
      </c>
      <c r="S14" s="860">
        <f>'SI - Sullage - Abs'!C7</f>
        <v>2.7</v>
      </c>
      <c r="T14" s="860" t="e">
        <f>'SI - Sullage - Abs'!F7</f>
        <v>#REF!</v>
      </c>
      <c r="U14" s="860">
        <f>'PC - Sullage - Abs'!C7</f>
        <v>3.4499999999999997</v>
      </c>
      <c r="V14" s="860" t="e">
        <f>'PC - Sullage - Abs'!F7</f>
        <v>#REF!</v>
      </c>
      <c r="W14" s="860"/>
      <c r="X14" s="860"/>
      <c r="Y14" s="860"/>
      <c r="Z14" s="860"/>
      <c r="AA14" s="860"/>
      <c r="AB14" s="860"/>
      <c r="AC14" s="860" t="e">
        <f>'sump abs'!C8</f>
        <v>#REF!</v>
      </c>
      <c r="AD14" s="860">
        <f>'sump abs'!D8</f>
        <v>2498</v>
      </c>
      <c r="AE14" s="861"/>
      <c r="AF14" s="860"/>
      <c r="AG14" s="858" t="e">
        <f t="shared" si="0"/>
        <v>#REF!</v>
      </c>
      <c r="AH14" s="858" t="e">
        <f t="shared" si="1"/>
        <v>#REF!</v>
      </c>
      <c r="AI14" s="898"/>
      <c r="AJ14" s="901"/>
    </row>
    <row r="15" spans="1:36" ht="55.15" customHeight="1">
      <c r="A15" s="853"/>
      <c r="B15" s="854" t="str">
        <f>'PC -PP- Abs'!C11</f>
        <v xml:space="preserve">Precast slab 50mm thk in PCC1:3:6 mixed with fibre including laying </v>
      </c>
      <c r="C15" s="863"/>
      <c r="D15" s="855"/>
      <c r="E15" s="855"/>
      <c r="F15" s="855"/>
      <c r="G15" s="856"/>
      <c r="H15" s="856"/>
      <c r="I15" s="856"/>
      <c r="J15" s="856"/>
      <c r="K15" s="860">
        <f>'INS -PP- Abs '!B11</f>
        <v>45</v>
      </c>
      <c r="L15" s="860">
        <f>'INS -PP- Abs '!F11</f>
        <v>21568.5</v>
      </c>
      <c r="M15" s="860">
        <f>'SI -PP- Abs '!B11</f>
        <v>72</v>
      </c>
      <c r="N15" s="860">
        <f>'SI -PP- Abs '!F11</f>
        <v>34509.599999999999</v>
      </c>
      <c r="O15" s="860">
        <f>'PC -PP- Abs'!B11</f>
        <v>34.199999999999996</v>
      </c>
      <c r="P15" s="860">
        <f>'PC -PP- Abs'!F11</f>
        <v>16392.059999999998</v>
      </c>
      <c r="Q15" s="860"/>
      <c r="R15" s="860"/>
      <c r="S15" s="860"/>
      <c r="T15" s="860"/>
      <c r="U15" s="860"/>
      <c r="V15" s="860"/>
      <c r="W15" s="860"/>
      <c r="X15" s="860"/>
      <c r="Y15" s="860"/>
      <c r="Z15" s="860"/>
      <c r="AA15" s="860"/>
      <c r="AB15" s="860"/>
      <c r="AC15" s="860"/>
      <c r="AD15" s="860"/>
      <c r="AE15" s="861"/>
      <c r="AF15" s="860"/>
      <c r="AG15" s="858">
        <f t="shared" si="0"/>
        <v>151.19999999999999</v>
      </c>
      <c r="AH15" s="858">
        <f t="shared" si="1"/>
        <v>72470.16</v>
      </c>
      <c r="AI15" s="898"/>
      <c r="AJ15" s="901"/>
    </row>
    <row r="16" spans="1:36" ht="123" customHeight="1">
      <c r="A16" s="853"/>
      <c r="B16" s="854" t="str">
        <f>'PC - Abs'!C10</f>
        <v>Clean removel of the old cement plastering both inside and outside from the existing walls of brick masonry without damageing the existing structure and surroundings and clearing the debries away from the site including all cost etc.,</v>
      </c>
      <c r="C16" s="863"/>
      <c r="D16" s="855"/>
      <c r="E16" s="855">
        <f>'INS - Abs '!B10</f>
        <v>75.349999999999994</v>
      </c>
      <c r="F16" s="855">
        <f>'INS - Abs '!F10</f>
        <v>701.50850000000003</v>
      </c>
      <c r="G16" s="856">
        <f>'SI - Abs'!B10</f>
        <v>32.200000000000003</v>
      </c>
      <c r="H16" s="856">
        <f>'SI - Abs'!F10</f>
        <v>299.78200000000004</v>
      </c>
      <c r="I16" s="856">
        <f>'PC - Abs'!B10</f>
        <v>45.1</v>
      </c>
      <c r="J16" s="856">
        <f>'PC - Abs'!F10</f>
        <v>419.88100000000003</v>
      </c>
      <c r="K16" s="860"/>
      <c r="L16" s="860"/>
      <c r="M16" s="860"/>
      <c r="N16" s="860"/>
      <c r="O16" s="860"/>
      <c r="P16" s="860"/>
      <c r="Q16" s="860"/>
      <c r="R16" s="860"/>
      <c r="S16" s="860"/>
      <c r="T16" s="860"/>
      <c r="U16" s="860"/>
      <c r="V16" s="860"/>
      <c r="W16" s="860"/>
      <c r="X16" s="860"/>
      <c r="Y16" s="860"/>
      <c r="Z16" s="860"/>
      <c r="AA16" s="860"/>
      <c r="AB16" s="860"/>
      <c r="AC16" s="860"/>
      <c r="AD16" s="860"/>
      <c r="AE16" s="861"/>
      <c r="AF16" s="860"/>
      <c r="AG16" s="858">
        <f t="shared" si="0"/>
        <v>152.65</v>
      </c>
      <c r="AH16" s="858">
        <f t="shared" si="1"/>
        <v>1421.1714999999999</v>
      </c>
      <c r="AI16" s="898"/>
      <c r="AJ16" s="901"/>
    </row>
    <row r="17" spans="1:37" ht="48.6" customHeight="1">
      <c r="A17" s="853"/>
      <c r="B17" s="854" t="str">
        <f>'PC - Abs'!C11</f>
        <v xml:space="preserve">Special celing plasering in CM 1:3,10 mm tk including cost of materials and labours etc.., completed </v>
      </c>
      <c r="C17" s="902"/>
      <c r="D17" s="903"/>
      <c r="E17" s="855">
        <f>'INS - Abs '!B11</f>
        <v>28.9</v>
      </c>
      <c r="F17" s="855" t="e">
        <f>'INS - Abs '!F11</f>
        <v>#REF!</v>
      </c>
      <c r="G17" s="856">
        <f>'SI - Abs'!B11</f>
        <v>20.8</v>
      </c>
      <c r="H17" s="856" t="e">
        <f>'SI - Abs'!F11</f>
        <v>#REF!</v>
      </c>
      <c r="I17" s="856">
        <f>'PC - Abs'!B11</f>
        <v>39.5</v>
      </c>
      <c r="J17" s="856" t="e">
        <f>'PC - Abs'!F11</f>
        <v>#REF!</v>
      </c>
      <c r="K17" s="862">
        <f>'INS -PP- Abs '!B12</f>
        <v>37.5</v>
      </c>
      <c r="L17" s="860">
        <f>'INS -PP- Abs '!F12</f>
        <v>10390.125</v>
      </c>
      <c r="M17" s="862">
        <f>'SI -PP- Abs '!B12</f>
        <v>60</v>
      </c>
      <c r="N17" s="860">
        <f>'SI -PP- Abs '!F12</f>
        <v>16624.2</v>
      </c>
      <c r="O17" s="862">
        <f>'PC -PP- Abs'!B12</f>
        <v>28.5</v>
      </c>
      <c r="P17" s="860">
        <f>'PC -PP- Abs'!F12</f>
        <v>7896.4949999999999</v>
      </c>
      <c r="Q17" s="862">
        <f>'INS - Sullage - Abs '!C12</f>
        <v>58.849999999999994</v>
      </c>
      <c r="R17" s="862" t="e">
        <f>'INS - Sullage - Abs '!F12</f>
        <v>#REF!</v>
      </c>
      <c r="S17" s="862">
        <f>'SI - Sullage - Abs'!C12</f>
        <v>67.149999999999991</v>
      </c>
      <c r="T17" s="862" t="e">
        <f>'SI - Sullage - Abs'!F12</f>
        <v>#REF!</v>
      </c>
      <c r="U17" s="862">
        <f>'PC - Sullage - Abs'!C12</f>
        <v>84.350000000000009</v>
      </c>
      <c r="V17" s="860" t="e">
        <f>'PC - Sullage - Abs'!F12</f>
        <v>#REF!</v>
      </c>
      <c r="W17" s="862"/>
      <c r="X17" s="862"/>
      <c r="Y17" s="862"/>
      <c r="Z17" s="862"/>
      <c r="AA17" s="862"/>
      <c r="AB17" s="860"/>
      <c r="AC17" s="860" t="e">
        <f>'sump abs'!C13</f>
        <v>#REF!</v>
      </c>
      <c r="AD17" s="860" t="e">
        <f>'sump abs'!D13</f>
        <v>#REF!</v>
      </c>
      <c r="AE17" s="861"/>
      <c r="AF17" s="860"/>
      <c r="AG17" s="858" t="e">
        <f t="shared" si="0"/>
        <v>#REF!</v>
      </c>
      <c r="AH17" s="858" t="e">
        <f t="shared" si="1"/>
        <v>#REF!</v>
      </c>
      <c r="AI17" s="898"/>
      <c r="AJ17" s="901"/>
    </row>
    <row r="18" spans="1:37" s="875" customFormat="1" ht="49.9" customHeight="1">
      <c r="A18" s="853"/>
      <c r="B18" s="854" t="str">
        <f>'PC - Abs'!C12</f>
        <v xml:space="preserve">Plastering in CM 1:4, 12mm thick including cost of materials and labours etc.., completed </v>
      </c>
      <c r="C18" s="856"/>
      <c r="D18" s="855"/>
      <c r="E18" s="855">
        <f>'INS - Abs '!B12</f>
        <v>12</v>
      </c>
      <c r="F18" s="855" t="e">
        <f>'INS - Abs '!F12</f>
        <v>#REF!</v>
      </c>
      <c r="G18" s="856">
        <f>'SI - Abs'!B12</f>
        <v>12</v>
      </c>
      <c r="H18" s="856" t="e">
        <f>'SI - Abs'!F12</f>
        <v>#REF!</v>
      </c>
      <c r="I18" s="856">
        <f>'PC - Abs'!B12</f>
        <v>24</v>
      </c>
      <c r="J18" s="856" t="e">
        <f>'PC - Abs'!F12</f>
        <v>#REF!</v>
      </c>
      <c r="K18" s="860"/>
      <c r="L18" s="860"/>
      <c r="M18" s="860"/>
      <c r="N18" s="860"/>
      <c r="O18" s="860"/>
      <c r="P18" s="860"/>
      <c r="Q18" s="860">
        <f>'INS - Sullage - Abs '!C13</f>
        <v>48</v>
      </c>
      <c r="R18" s="860" t="e">
        <f>'INS - Sullage - Abs '!F13</f>
        <v>#REF!</v>
      </c>
      <c r="S18" s="860">
        <f>'SI - Sullage - Abs'!C13</f>
        <v>108</v>
      </c>
      <c r="T18" s="860" t="e">
        <f>'SI - Sullage - Abs'!F13</f>
        <v>#REF!</v>
      </c>
      <c r="U18" s="860">
        <f>'PC - Sullage - Abs'!C13</f>
        <v>136.80000000000001</v>
      </c>
      <c r="V18" s="860" t="e">
        <f>'PC - Sullage - Abs'!F13</f>
        <v>#REF!</v>
      </c>
      <c r="W18" s="860"/>
      <c r="X18" s="860"/>
      <c r="Y18" s="860"/>
      <c r="Z18" s="860"/>
      <c r="AA18" s="860"/>
      <c r="AB18" s="860"/>
      <c r="AC18" s="860"/>
      <c r="AD18" s="860"/>
      <c r="AE18" s="861"/>
      <c r="AF18" s="860"/>
      <c r="AG18" s="858">
        <f t="shared" si="0"/>
        <v>340.8</v>
      </c>
      <c r="AH18" s="858" t="e">
        <f t="shared" si="1"/>
        <v>#REF!</v>
      </c>
      <c r="AI18" s="901"/>
      <c r="AJ18" s="901"/>
    </row>
    <row r="19" spans="1:37" s="875" customFormat="1" ht="49.9" customHeight="1">
      <c r="A19" s="853"/>
      <c r="B19" s="854" t="str">
        <f>'sump abs'!B14</f>
        <v>Plastering with CM 1:3, 12mm with WPC</v>
      </c>
      <c r="C19" s="856"/>
      <c r="D19" s="855"/>
      <c r="E19" s="855"/>
      <c r="F19" s="855"/>
      <c r="G19" s="856"/>
      <c r="H19" s="856"/>
      <c r="I19" s="856"/>
      <c r="J19" s="856"/>
      <c r="K19" s="860"/>
      <c r="L19" s="860"/>
      <c r="M19" s="860"/>
      <c r="N19" s="860"/>
      <c r="O19" s="860"/>
      <c r="P19" s="860"/>
      <c r="Q19" s="860"/>
      <c r="R19" s="860"/>
      <c r="S19" s="860"/>
      <c r="T19" s="860"/>
      <c r="U19" s="860"/>
      <c r="V19" s="860"/>
      <c r="W19" s="860"/>
      <c r="X19" s="860"/>
      <c r="Y19" s="860"/>
      <c r="Z19" s="860"/>
      <c r="AA19" s="860"/>
      <c r="AB19" s="860"/>
      <c r="AC19" s="860" t="e">
        <f>'sump abs'!C14</f>
        <v>#REF!</v>
      </c>
      <c r="AD19" s="860">
        <f>'sump abs'!D14</f>
        <v>315.83972000000006</v>
      </c>
      <c r="AE19" s="861"/>
      <c r="AF19" s="860"/>
      <c r="AG19" s="858" t="e">
        <f t="shared" si="0"/>
        <v>#REF!</v>
      </c>
      <c r="AH19" s="858">
        <f t="shared" si="1"/>
        <v>315.83972000000006</v>
      </c>
      <c r="AI19" s="901"/>
      <c r="AJ19" s="901"/>
    </row>
    <row r="20" spans="1:37" s="875" customFormat="1" ht="31.15" customHeight="1">
      <c r="A20" s="853"/>
      <c r="B20" s="854" t="str">
        <f>'PC - Abs'!C13</f>
        <v>Supplying and fixing of 4mm thick plain glasses etc.,</v>
      </c>
      <c r="C20" s="863"/>
      <c r="D20" s="855"/>
      <c r="E20" s="855">
        <f>'INS - Abs '!B13</f>
        <v>9</v>
      </c>
      <c r="F20" s="855" t="e">
        <f>'INS - Abs '!F13</f>
        <v>#REF!</v>
      </c>
      <c r="G20" s="856">
        <f>'SI - Abs'!B13</f>
        <v>7.25</v>
      </c>
      <c r="H20" s="856" t="e">
        <f>'SI - Abs'!F13</f>
        <v>#REF!</v>
      </c>
      <c r="I20" s="856">
        <f>'PC - Abs'!B13</f>
        <v>20</v>
      </c>
      <c r="J20" s="856" t="e">
        <f>'PC - Abs'!F13</f>
        <v>#REF!</v>
      </c>
      <c r="K20" s="860"/>
      <c r="L20" s="860"/>
      <c r="M20" s="860"/>
      <c r="N20" s="860"/>
      <c r="O20" s="860"/>
      <c r="P20" s="860"/>
      <c r="Q20" s="860"/>
      <c r="R20" s="860"/>
      <c r="S20" s="860"/>
      <c r="T20" s="860"/>
      <c r="U20" s="860"/>
      <c r="V20" s="860"/>
      <c r="W20" s="860"/>
      <c r="X20" s="860"/>
      <c r="Y20" s="860"/>
      <c r="Z20" s="860"/>
      <c r="AA20" s="860"/>
      <c r="AB20" s="860"/>
      <c r="AC20" s="860"/>
      <c r="AD20" s="860"/>
      <c r="AE20" s="861"/>
      <c r="AF20" s="860"/>
      <c r="AG20" s="858">
        <f t="shared" si="0"/>
        <v>36.25</v>
      </c>
      <c r="AH20" s="858" t="e">
        <f t="shared" si="1"/>
        <v>#REF!</v>
      </c>
      <c r="AI20" s="901"/>
      <c r="AJ20" s="901"/>
    </row>
    <row r="21" spans="1:37" ht="51" customHeight="1">
      <c r="A21" s="853"/>
      <c r="B21" s="854" t="str">
        <f>'PC - Abs'!C14</f>
        <v>Dismantling and clearing away the Pressed tiles etc.,</v>
      </c>
      <c r="C21" s="899"/>
      <c r="D21" s="900"/>
      <c r="E21" s="855">
        <f>'INS - Abs '!B14</f>
        <v>87.25</v>
      </c>
      <c r="F21" s="855">
        <f>'INS - Abs '!F14</f>
        <v>3149.7249999999999</v>
      </c>
      <c r="G21" s="856">
        <f>'SI - Abs'!B14</f>
        <v>110.8</v>
      </c>
      <c r="H21" s="856">
        <f>'SI - Abs'!F14</f>
        <v>3999.88</v>
      </c>
      <c r="I21" s="856">
        <f>'PC - Abs'!B14</f>
        <v>171.3</v>
      </c>
      <c r="J21" s="856">
        <f>'PC - Abs'!F14</f>
        <v>6183.93</v>
      </c>
      <c r="K21" s="860"/>
      <c r="L21" s="860"/>
      <c r="M21" s="860"/>
      <c r="N21" s="860"/>
      <c r="O21" s="860"/>
      <c r="P21" s="860"/>
      <c r="Q21" s="860"/>
      <c r="R21" s="860"/>
      <c r="S21" s="860"/>
      <c r="T21" s="860"/>
      <c r="U21" s="860"/>
      <c r="V21" s="860"/>
      <c r="W21" s="860"/>
      <c r="X21" s="860"/>
      <c r="Y21" s="860"/>
      <c r="Z21" s="860"/>
      <c r="AA21" s="860"/>
      <c r="AB21" s="860"/>
      <c r="AC21" s="860"/>
      <c r="AD21" s="860"/>
      <c r="AE21" s="861"/>
      <c r="AF21" s="860"/>
      <c r="AG21" s="858">
        <f t="shared" si="0"/>
        <v>369.35</v>
      </c>
      <c r="AH21" s="858">
        <f t="shared" si="1"/>
        <v>13333.535000000002</v>
      </c>
      <c r="AI21" s="898"/>
      <c r="AJ21" s="901"/>
    </row>
    <row r="22" spans="1:37" ht="39" customHeight="1">
      <c r="A22" s="853"/>
      <c r="B22" s="854" t="str">
        <f>'PC - Abs'!C15</f>
        <v>Supplying and laying of hydraulic pressed tiles etc.,</v>
      </c>
      <c r="C22" s="863"/>
      <c r="D22" s="855"/>
      <c r="E22" s="855">
        <f>'INS - Abs '!B15</f>
        <v>87.25</v>
      </c>
      <c r="F22" s="855" t="e">
        <f>'INS - Abs '!F15</f>
        <v>#REF!</v>
      </c>
      <c r="G22" s="856">
        <f>'SI - Abs'!B15</f>
        <v>110.8</v>
      </c>
      <c r="H22" s="856" t="e">
        <f>'SI - Abs'!F15</f>
        <v>#REF!</v>
      </c>
      <c r="I22" s="856">
        <f>'PC - Abs'!B15</f>
        <v>171.3</v>
      </c>
      <c r="J22" s="856" t="e">
        <f>'PC - Abs'!F15</f>
        <v>#REF!</v>
      </c>
      <c r="K22" s="860"/>
      <c r="L22" s="860"/>
      <c r="M22" s="860"/>
      <c r="N22" s="860"/>
      <c r="O22" s="860"/>
      <c r="P22" s="860"/>
      <c r="Q22" s="860"/>
      <c r="R22" s="860"/>
      <c r="S22" s="860"/>
      <c r="T22" s="860"/>
      <c r="U22" s="860"/>
      <c r="V22" s="860"/>
      <c r="W22" s="860"/>
      <c r="X22" s="860"/>
      <c r="Y22" s="860"/>
      <c r="Z22" s="860"/>
      <c r="AA22" s="860"/>
      <c r="AB22" s="860"/>
      <c r="AC22" s="860"/>
      <c r="AD22" s="860"/>
      <c r="AE22" s="861"/>
      <c r="AF22" s="860"/>
      <c r="AG22" s="858">
        <f t="shared" si="0"/>
        <v>369.35</v>
      </c>
      <c r="AH22" s="858" t="e">
        <f t="shared" si="1"/>
        <v>#REF!</v>
      </c>
      <c r="AI22" s="898"/>
      <c r="AJ22" s="901"/>
    </row>
    <row r="23" spans="1:37" ht="34.9" customHeight="1">
      <c r="A23" s="853"/>
      <c r="B23" s="854" t="str">
        <f>'PC - Abs'!C16</f>
        <v>Providing Polymer Coating (Water Proof Coating ) for over roof pressed tiles  area.</v>
      </c>
      <c r="C23" s="863"/>
      <c r="D23" s="855"/>
      <c r="E23" s="855">
        <f>'INS - Abs '!B16</f>
        <v>174.5</v>
      </c>
      <c r="F23" s="855" t="e">
        <f>'INS - Abs '!F16</f>
        <v>#REF!</v>
      </c>
      <c r="G23" s="856" t="e">
        <f>'SI - Abs'!B16</f>
        <v>#REF!</v>
      </c>
      <c r="H23" s="856" t="e">
        <f>'SI - Abs'!F16</f>
        <v>#REF!</v>
      </c>
      <c r="I23" s="856">
        <f>'PC - Abs'!B16</f>
        <v>342.6</v>
      </c>
      <c r="J23" s="856" t="e">
        <f>'PC - Abs'!F16</f>
        <v>#REF!</v>
      </c>
      <c r="K23" s="860"/>
      <c r="L23" s="860"/>
      <c r="M23" s="860"/>
      <c r="N23" s="860"/>
      <c r="O23" s="860"/>
      <c r="P23" s="860"/>
      <c r="Q23" s="860"/>
      <c r="R23" s="860"/>
      <c r="S23" s="860"/>
      <c r="T23" s="860"/>
      <c r="U23" s="860"/>
      <c r="V23" s="860"/>
      <c r="W23" s="860"/>
      <c r="X23" s="860"/>
      <c r="Y23" s="860"/>
      <c r="Z23" s="860"/>
      <c r="AA23" s="860"/>
      <c r="AB23" s="860"/>
      <c r="AC23" s="860"/>
      <c r="AD23" s="860"/>
      <c r="AE23" s="861"/>
      <c r="AF23" s="860"/>
      <c r="AG23" s="858" t="e">
        <f t="shared" si="0"/>
        <v>#REF!</v>
      </c>
      <c r="AH23" s="858" t="e">
        <f t="shared" si="1"/>
        <v>#REF!</v>
      </c>
      <c r="AI23" s="898"/>
      <c r="AJ23" s="901"/>
    </row>
    <row r="24" spans="1:37" ht="32.450000000000003" customHeight="1">
      <c r="A24" s="853"/>
      <c r="B24" s="854" t="str">
        <f>'PC - Abs'!C17</f>
        <v>Supply and laying of ceramic(anti-skid) tiles etc.,</v>
      </c>
      <c r="C24" s="902"/>
      <c r="D24" s="903"/>
      <c r="E24" s="855">
        <f>'INS - Abs '!B17</f>
        <v>12.95</v>
      </c>
      <c r="F24" s="855" t="e">
        <f>'INS - Abs '!F17</f>
        <v>#REF!</v>
      </c>
      <c r="G24" s="856">
        <f>'SI - Abs'!B17</f>
        <v>17.3</v>
      </c>
      <c r="H24" s="856" t="e">
        <f>'SI - Abs'!F17</f>
        <v>#REF!</v>
      </c>
      <c r="I24" s="856">
        <f>'PC - Abs'!B17</f>
        <v>57.3</v>
      </c>
      <c r="J24" s="856" t="e">
        <f>'PC - Abs'!F17</f>
        <v>#REF!</v>
      </c>
      <c r="K24" s="862"/>
      <c r="L24" s="860"/>
      <c r="M24" s="862"/>
      <c r="N24" s="860"/>
      <c r="O24" s="862"/>
      <c r="P24" s="860"/>
      <c r="Q24" s="862"/>
      <c r="R24" s="862"/>
      <c r="S24" s="862"/>
      <c r="T24" s="862"/>
      <c r="U24" s="862"/>
      <c r="V24" s="860"/>
      <c r="W24" s="862"/>
      <c r="X24" s="862"/>
      <c r="Y24" s="862"/>
      <c r="Z24" s="862"/>
      <c r="AA24" s="862"/>
      <c r="AB24" s="860"/>
      <c r="AC24" s="860"/>
      <c r="AD24" s="860"/>
      <c r="AE24" s="861"/>
      <c r="AF24" s="860"/>
      <c r="AG24" s="858">
        <f t="shared" si="0"/>
        <v>87.55</v>
      </c>
      <c r="AH24" s="858" t="e">
        <f t="shared" si="1"/>
        <v>#REF!</v>
      </c>
      <c r="AI24" s="898"/>
      <c r="AJ24" s="901"/>
    </row>
    <row r="25" spans="1:37" ht="31.15" customHeight="1">
      <c r="A25" s="853"/>
      <c r="B25" s="854" t="str">
        <f>'PC - Abs'!C18</f>
        <v>Supplying and laying of glazed tiles etc.,</v>
      </c>
      <c r="C25" s="856"/>
      <c r="D25" s="855"/>
      <c r="E25" s="855">
        <f>'INS - Abs '!B18</f>
        <v>30.45</v>
      </c>
      <c r="F25" s="855" t="e">
        <f>'INS - Abs '!F18</f>
        <v>#REF!</v>
      </c>
      <c r="G25" s="856">
        <f>'SI - Abs'!B18</f>
        <v>44.7</v>
      </c>
      <c r="H25" s="856" t="e">
        <f>'SI - Abs'!F18</f>
        <v>#REF!</v>
      </c>
      <c r="I25" s="856">
        <f>'PC - Abs'!B18</f>
        <v>134</v>
      </c>
      <c r="J25" s="856" t="e">
        <f>'PC - Abs'!F18</f>
        <v>#REF!</v>
      </c>
      <c r="K25" s="860"/>
      <c r="L25" s="860"/>
      <c r="M25" s="860"/>
      <c r="N25" s="860"/>
      <c r="O25" s="860"/>
      <c r="P25" s="860"/>
      <c r="Q25" s="860"/>
      <c r="R25" s="860"/>
      <c r="S25" s="860"/>
      <c r="T25" s="860"/>
      <c r="U25" s="860"/>
      <c r="V25" s="860"/>
      <c r="W25" s="860"/>
      <c r="X25" s="860"/>
      <c r="Y25" s="860"/>
      <c r="Z25" s="860"/>
      <c r="AA25" s="860"/>
      <c r="AB25" s="860"/>
      <c r="AC25" s="860"/>
      <c r="AD25" s="860"/>
      <c r="AE25" s="861"/>
      <c r="AF25" s="860"/>
      <c r="AG25" s="858">
        <f t="shared" si="0"/>
        <v>209.15</v>
      </c>
      <c r="AH25" s="858" t="e">
        <f t="shared" si="1"/>
        <v>#REF!</v>
      </c>
      <c r="AI25" s="888"/>
      <c r="AJ25" s="898"/>
      <c r="AK25" s="904"/>
    </row>
    <row r="26" spans="1:37" ht="58.9" customHeight="1">
      <c r="A26" s="853"/>
      <c r="B26" s="854" t="str">
        <f>'PC - Abs'!C19</f>
        <v>Supply and fixing of IWC including all special and labour charges etc., complete</v>
      </c>
      <c r="C26" s="856"/>
      <c r="D26" s="855"/>
      <c r="E26" s="855">
        <f>'INS - Abs '!B19</f>
        <v>0</v>
      </c>
      <c r="F26" s="855">
        <f>'INS - Abs '!F19</f>
        <v>0</v>
      </c>
      <c r="G26" s="856">
        <f>'SI - Abs'!B19</f>
        <v>0</v>
      </c>
      <c r="H26" s="856">
        <f>'SI - Abs'!F19</f>
        <v>0</v>
      </c>
      <c r="I26" s="856">
        <f>'PC - Abs'!B19</f>
        <v>0</v>
      </c>
      <c r="J26" s="856">
        <f>'PC - Abs'!F19</f>
        <v>0</v>
      </c>
      <c r="K26" s="860"/>
      <c r="L26" s="860"/>
      <c r="M26" s="860"/>
      <c r="N26" s="860"/>
      <c r="O26" s="860"/>
      <c r="P26" s="860"/>
      <c r="Q26" s="860"/>
      <c r="R26" s="860"/>
      <c r="S26" s="860"/>
      <c r="T26" s="860"/>
      <c r="U26" s="860"/>
      <c r="V26" s="860"/>
      <c r="W26" s="860"/>
      <c r="X26" s="860"/>
      <c r="Y26" s="860"/>
      <c r="Z26" s="860"/>
      <c r="AA26" s="860"/>
      <c r="AB26" s="860"/>
      <c r="AC26" s="860"/>
      <c r="AD26" s="860"/>
      <c r="AE26" s="861"/>
      <c r="AF26" s="860"/>
      <c r="AG26" s="858">
        <f t="shared" si="0"/>
        <v>0</v>
      </c>
      <c r="AH26" s="858">
        <f t="shared" si="1"/>
        <v>0</v>
      </c>
      <c r="AI26" s="898"/>
      <c r="AJ26" s="898"/>
    </row>
    <row r="27" spans="1:37" ht="34.9" customHeight="1">
      <c r="A27" s="853"/>
      <c r="B27" s="854" t="str">
        <f>'PC - Abs'!C20</f>
        <v>a)In .G.F</v>
      </c>
      <c r="C27" s="863"/>
      <c r="D27" s="855"/>
      <c r="E27" s="855">
        <f>'INS - Abs '!B20</f>
        <v>3</v>
      </c>
      <c r="F27" s="855" t="e">
        <f>'INS - Abs '!F20</f>
        <v>#REF!</v>
      </c>
      <c r="G27" s="856">
        <f>'SI - Abs'!B20</f>
        <v>5</v>
      </c>
      <c r="H27" s="856" t="e">
        <f>'SI - Abs'!F20</f>
        <v>#REF!</v>
      </c>
      <c r="I27" s="856">
        <f>'PC - Abs'!B20</f>
        <v>12</v>
      </c>
      <c r="J27" s="856" t="e">
        <f>'PC - Abs'!F20</f>
        <v>#REF!</v>
      </c>
      <c r="K27" s="860"/>
      <c r="L27" s="860"/>
      <c r="M27" s="860"/>
      <c r="N27" s="860"/>
      <c r="O27" s="860"/>
      <c r="P27" s="860"/>
      <c r="Q27" s="860"/>
      <c r="R27" s="860"/>
      <c r="S27" s="860"/>
      <c r="T27" s="860"/>
      <c r="U27" s="860"/>
      <c r="V27" s="860"/>
      <c r="W27" s="860"/>
      <c r="X27" s="860"/>
      <c r="Y27" s="860"/>
      <c r="Z27" s="860"/>
      <c r="AA27" s="860"/>
      <c r="AB27" s="860"/>
      <c r="AC27" s="860"/>
      <c r="AD27" s="860"/>
      <c r="AE27" s="861"/>
      <c r="AF27" s="860"/>
      <c r="AG27" s="858">
        <f t="shared" si="0"/>
        <v>20</v>
      </c>
      <c r="AH27" s="858" t="e">
        <f t="shared" si="1"/>
        <v>#REF!</v>
      </c>
      <c r="AI27" s="898"/>
      <c r="AJ27" s="898"/>
    </row>
    <row r="28" spans="1:37" ht="39" customHeight="1">
      <c r="A28" s="853"/>
      <c r="B28" s="854" t="str">
        <f>'PC - Abs'!C21</f>
        <v>b)In other than G.F</v>
      </c>
      <c r="C28" s="863"/>
      <c r="D28" s="855"/>
      <c r="E28" s="855">
        <f>'INS - Abs '!B21</f>
        <v>2</v>
      </c>
      <c r="F28" s="855" t="e">
        <f>'INS - Abs '!F21</f>
        <v>#REF!</v>
      </c>
      <c r="G28" s="856">
        <f>'SI - Abs'!B21</f>
        <v>3</v>
      </c>
      <c r="H28" s="856" t="e">
        <f>'SI - Abs'!F21</f>
        <v>#REF!</v>
      </c>
      <c r="I28" s="856">
        <f>'PC - Abs'!B21</f>
        <v>12</v>
      </c>
      <c r="J28" s="856" t="e">
        <f>'PC - Abs'!F21</f>
        <v>#REF!</v>
      </c>
      <c r="K28" s="860"/>
      <c r="L28" s="860"/>
      <c r="M28" s="860"/>
      <c r="N28" s="860"/>
      <c r="O28" s="860"/>
      <c r="P28" s="860"/>
      <c r="Q28" s="860"/>
      <c r="R28" s="860"/>
      <c r="S28" s="860"/>
      <c r="T28" s="860"/>
      <c r="U28" s="860"/>
      <c r="V28" s="860"/>
      <c r="W28" s="860"/>
      <c r="X28" s="860"/>
      <c r="Y28" s="860"/>
      <c r="Z28" s="860"/>
      <c r="AA28" s="860"/>
      <c r="AB28" s="860"/>
      <c r="AC28" s="860"/>
      <c r="AD28" s="860"/>
      <c r="AE28" s="861"/>
      <c r="AF28" s="860"/>
      <c r="AG28" s="858">
        <f t="shared" si="0"/>
        <v>17</v>
      </c>
      <c r="AH28" s="858" t="e">
        <f t="shared" si="1"/>
        <v>#REF!</v>
      </c>
      <c r="AI28" s="898"/>
      <c r="AJ28" s="901"/>
    </row>
    <row r="29" spans="1:37" ht="55.15" customHeight="1">
      <c r="A29" s="853"/>
      <c r="B29" s="854" t="str">
        <f>'PC - Abs'!C22</f>
        <v>Removing of doors and windows shutter etc.,PWD SOR P-22 Item No.29</v>
      </c>
      <c r="C29" s="902"/>
      <c r="D29" s="903"/>
      <c r="E29" s="855">
        <f>'INS - Abs '!B22</f>
        <v>7.5</v>
      </c>
      <c r="F29" s="855">
        <f>'INS - Abs '!F22</f>
        <v>1264.2</v>
      </c>
      <c r="G29" s="856">
        <f>'SI - Abs'!B22</f>
        <v>24</v>
      </c>
      <c r="H29" s="856">
        <f>'SI - Abs'!F22</f>
        <v>4045.44</v>
      </c>
      <c r="I29" s="856">
        <f>'PC - Abs'!B22</f>
        <v>21</v>
      </c>
      <c r="J29" s="856">
        <f>'PC - Abs'!F22</f>
        <v>3539.76</v>
      </c>
      <c r="K29" s="862"/>
      <c r="L29" s="860"/>
      <c r="M29" s="862"/>
      <c r="N29" s="860"/>
      <c r="O29" s="862"/>
      <c r="P29" s="860"/>
      <c r="Q29" s="862"/>
      <c r="R29" s="862"/>
      <c r="S29" s="862"/>
      <c r="T29" s="862"/>
      <c r="U29" s="862"/>
      <c r="V29" s="860"/>
      <c r="W29" s="862"/>
      <c r="X29" s="862"/>
      <c r="Y29" s="862"/>
      <c r="Z29" s="862"/>
      <c r="AA29" s="862"/>
      <c r="AB29" s="860"/>
      <c r="AC29" s="860"/>
      <c r="AD29" s="860"/>
      <c r="AE29" s="861"/>
      <c r="AF29" s="860"/>
      <c r="AG29" s="858">
        <f t="shared" si="0"/>
        <v>52.5</v>
      </c>
      <c r="AH29" s="858">
        <f t="shared" si="1"/>
        <v>8849.4000000000015</v>
      </c>
      <c r="AI29" s="898"/>
      <c r="AJ29" s="901"/>
    </row>
    <row r="30" spans="1:37" ht="54" customHeight="1">
      <c r="A30" s="853"/>
      <c r="B30" s="854" t="str">
        <f>'PC - Abs'!C23</f>
        <v>Supplying and fixing of  solid panel door with frame  ( SR pg.No.43 item No.125a)</v>
      </c>
      <c r="C30" s="856"/>
      <c r="D30" s="855"/>
      <c r="E30" s="855">
        <f>'INS - Abs '!B23</f>
        <v>7.5</v>
      </c>
      <c r="F30" s="855">
        <f>'INS - Abs '!F23</f>
        <v>23752.5</v>
      </c>
      <c r="G30" s="856">
        <f>'SI - Abs'!B23</f>
        <v>24</v>
      </c>
      <c r="H30" s="856">
        <f>'SI - Abs'!F23</f>
        <v>76008</v>
      </c>
      <c r="I30" s="856">
        <f>'PC - Abs'!B23</f>
        <v>36</v>
      </c>
      <c r="J30" s="856">
        <f>'PC - Abs'!F23</f>
        <v>114012</v>
      </c>
      <c r="K30" s="860"/>
      <c r="L30" s="860"/>
      <c r="M30" s="860"/>
      <c r="N30" s="860"/>
      <c r="O30" s="860"/>
      <c r="P30" s="860"/>
      <c r="Q30" s="860"/>
      <c r="R30" s="860"/>
      <c r="S30" s="860"/>
      <c r="T30" s="860"/>
      <c r="U30" s="860"/>
      <c r="V30" s="860"/>
      <c r="W30" s="860"/>
      <c r="X30" s="860"/>
      <c r="Y30" s="860"/>
      <c r="Z30" s="860"/>
      <c r="AA30" s="860"/>
      <c r="AB30" s="860"/>
      <c r="AC30" s="860"/>
      <c r="AD30" s="860"/>
      <c r="AE30" s="861"/>
      <c r="AF30" s="860"/>
      <c r="AG30" s="858">
        <f t="shared" si="0"/>
        <v>67.5</v>
      </c>
      <c r="AH30" s="858">
        <f t="shared" si="1"/>
        <v>213772.5</v>
      </c>
      <c r="AI30" s="898"/>
      <c r="AJ30" s="901"/>
    </row>
    <row r="31" spans="1:37" ht="99" customHeight="1">
      <c r="A31" s="853"/>
      <c r="B31" s="854" t="str">
        <f>'PC - Abs'!C24</f>
        <v>Chipping of concrete and rougheing of surface including cost of materials and labours etc.., completed                                   PWD SOR 2021-22 p-22 item No.38A</v>
      </c>
      <c r="C31" s="856"/>
      <c r="D31" s="855"/>
      <c r="E31" s="855">
        <f>'INS - Abs '!B24</f>
        <v>84.3</v>
      </c>
      <c r="F31" s="855">
        <f>'INS - Abs '!F24</f>
        <v>3741.2339999999999</v>
      </c>
      <c r="G31" s="856">
        <f>'SI - Abs'!B24</f>
        <v>196.45</v>
      </c>
      <c r="H31" s="856">
        <f>'SI - Abs'!F24</f>
        <v>8718.4509999999991</v>
      </c>
      <c r="I31" s="856">
        <f>'PC - Abs'!B24</f>
        <v>160.5</v>
      </c>
      <c r="J31" s="856">
        <f>'PC - Abs'!F24</f>
        <v>7122.9900000000007</v>
      </c>
      <c r="K31" s="860"/>
      <c r="L31" s="860"/>
      <c r="M31" s="860"/>
      <c r="N31" s="860"/>
      <c r="O31" s="860"/>
      <c r="P31" s="860"/>
      <c r="Q31" s="860"/>
      <c r="R31" s="860"/>
      <c r="S31" s="860"/>
      <c r="T31" s="860"/>
      <c r="U31" s="860"/>
      <c r="V31" s="860"/>
      <c r="W31" s="860"/>
      <c r="X31" s="860"/>
      <c r="Y31" s="860"/>
      <c r="Z31" s="860"/>
      <c r="AA31" s="860"/>
      <c r="AB31" s="860"/>
      <c r="AC31" s="860"/>
      <c r="AD31" s="860"/>
      <c r="AE31" s="861"/>
      <c r="AF31" s="860"/>
      <c r="AG31" s="858">
        <f t="shared" si="0"/>
        <v>441.25</v>
      </c>
      <c r="AH31" s="858">
        <f t="shared" si="1"/>
        <v>19582.674999999999</v>
      </c>
      <c r="AI31" s="898"/>
      <c r="AJ31" s="901"/>
    </row>
    <row r="32" spans="1:37" ht="56.45" customHeight="1">
      <c r="A32" s="853"/>
      <c r="B32" s="854" t="str">
        <f>'PC - Abs'!C25</f>
        <v>Floor plastering in CM 1:4, 20mm thick  including neat cement, etc all complete</v>
      </c>
      <c r="C32" s="905"/>
      <c r="D32" s="900"/>
      <c r="E32" s="855">
        <f>'INS - Abs '!B25</f>
        <v>87.4</v>
      </c>
      <c r="F32" s="855" t="e">
        <f>'INS - Abs '!F25</f>
        <v>#REF!</v>
      </c>
      <c r="G32" s="856">
        <f>'SI - Abs'!B25</f>
        <v>180</v>
      </c>
      <c r="H32" s="856" t="e">
        <f>'SI - Abs'!F25</f>
        <v>#REF!</v>
      </c>
      <c r="I32" s="856">
        <f>'PC - Abs'!B25</f>
        <v>131.30000000000001</v>
      </c>
      <c r="J32" s="856" t="e">
        <f>'PC - Abs'!F25</f>
        <v>#REF!</v>
      </c>
      <c r="K32" s="860"/>
      <c r="L32" s="860"/>
      <c r="M32" s="860"/>
      <c r="N32" s="860"/>
      <c r="O32" s="860"/>
      <c r="P32" s="860"/>
      <c r="Q32" s="860">
        <f>'INS - Sullage - Abs '!C11</f>
        <v>8.4</v>
      </c>
      <c r="R32" s="860" t="e">
        <f>'INS - Sullage - Abs '!F11</f>
        <v>#REF!</v>
      </c>
      <c r="S32" s="860">
        <f>'SI - Sullage - Abs'!C11</f>
        <v>8.4</v>
      </c>
      <c r="T32" s="860" t="e">
        <f>'PC - Sullage - Abs'!F11</f>
        <v>#REF!</v>
      </c>
      <c r="U32" s="860">
        <f>'PC - Sullage - Abs'!C11</f>
        <v>8.4</v>
      </c>
      <c r="V32" s="860" t="e">
        <f>'PC - Sullage - Abs'!F11</f>
        <v>#REF!</v>
      </c>
      <c r="W32" s="860"/>
      <c r="X32" s="860"/>
      <c r="Y32" s="860"/>
      <c r="Z32" s="860"/>
      <c r="AA32" s="860"/>
      <c r="AB32" s="860"/>
      <c r="AC32" s="860"/>
      <c r="AD32" s="860"/>
      <c r="AE32" s="861"/>
      <c r="AF32" s="860"/>
      <c r="AG32" s="858">
        <f t="shared" si="0"/>
        <v>423.89999999999992</v>
      </c>
      <c r="AH32" s="858" t="e">
        <f t="shared" si="1"/>
        <v>#REF!</v>
      </c>
      <c r="AI32" s="898"/>
      <c r="AJ32" s="901"/>
    </row>
    <row r="33" spans="1:36" ht="77.45" customHeight="1">
      <c r="A33" s="853"/>
      <c r="B33" s="854" t="str">
        <f>'PC - Abs'!C26</f>
        <v>Supply ,laying &amp; jointing the following pipes as per ASTM D 1785 of schedule   PVC Specials etc.,a)25 mm  Pipe</v>
      </c>
      <c r="C33" s="863"/>
      <c r="D33" s="855"/>
      <c r="E33" s="855">
        <f>'INS - Abs '!B26</f>
        <v>90</v>
      </c>
      <c r="F33" s="855" t="e">
        <f>'INS - Abs '!F26</f>
        <v>#REF!</v>
      </c>
      <c r="G33" s="856">
        <f>'SI - Abs'!B26</f>
        <v>120</v>
      </c>
      <c r="H33" s="856" t="e">
        <f>'SI - Abs'!F26</f>
        <v>#REF!</v>
      </c>
      <c r="I33" s="856">
        <f>'PC - Abs'!B26</f>
        <v>300</v>
      </c>
      <c r="J33" s="856" t="e">
        <f>'PC - Abs'!F26</f>
        <v>#REF!</v>
      </c>
      <c r="K33" s="860"/>
      <c r="L33" s="860"/>
      <c r="M33" s="860"/>
      <c r="N33" s="860"/>
      <c r="O33" s="860"/>
      <c r="P33" s="860"/>
      <c r="Q33" s="860"/>
      <c r="R33" s="860"/>
      <c r="S33" s="860"/>
      <c r="T33" s="860"/>
      <c r="U33" s="860"/>
      <c r="V33" s="860"/>
      <c r="W33" s="860"/>
      <c r="X33" s="860"/>
      <c r="Y33" s="860"/>
      <c r="Z33" s="860"/>
      <c r="AA33" s="860"/>
      <c r="AB33" s="860"/>
      <c r="AC33" s="860"/>
      <c r="AD33" s="860"/>
      <c r="AE33" s="861"/>
      <c r="AF33" s="860"/>
      <c r="AG33" s="858">
        <f t="shared" si="0"/>
        <v>510</v>
      </c>
      <c r="AH33" s="858" t="e">
        <f t="shared" si="1"/>
        <v>#REF!</v>
      </c>
      <c r="AI33" s="898"/>
      <c r="AJ33" s="901"/>
    </row>
    <row r="34" spans="1:36" ht="75" customHeight="1">
      <c r="A34" s="853"/>
      <c r="B34" s="854" t="str">
        <f>'PC - Abs'!C27</f>
        <v>Supplying and laying of 32 mm dia ASTM etc all complete including and labour charges etc., complete</v>
      </c>
      <c r="C34" s="863"/>
      <c r="D34" s="855"/>
      <c r="E34" s="855">
        <f>'INS - Abs '!B27</f>
        <v>30</v>
      </c>
      <c r="F34" s="855">
        <f>'INS - Abs '!F27</f>
        <v>5100</v>
      </c>
      <c r="G34" s="856">
        <f>'SI - Abs'!B27</f>
        <v>72</v>
      </c>
      <c r="H34" s="856">
        <f>'SI - Abs'!F27</f>
        <v>12240</v>
      </c>
      <c r="I34" s="856">
        <f>'PC - Abs'!B27</f>
        <v>50</v>
      </c>
      <c r="J34" s="856">
        <f>'PC - Abs'!F27</f>
        <v>8500</v>
      </c>
      <c r="K34" s="860"/>
      <c r="L34" s="860"/>
      <c r="M34" s="860"/>
      <c r="N34" s="860"/>
      <c r="O34" s="860"/>
      <c r="P34" s="860"/>
      <c r="Q34" s="860"/>
      <c r="R34" s="860"/>
      <c r="S34" s="860"/>
      <c r="T34" s="860"/>
      <c r="U34" s="860"/>
      <c r="V34" s="860"/>
      <c r="W34" s="860"/>
      <c r="X34" s="860"/>
      <c r="Y34" s="860"/>
      <c r="Z34" s="860"/>
      <c r="AA34" s="860"/>
      <c r="AB34" s="860"/>
      <c r="AC34" s="860"/>
      <c r="AD34" s="860"/>
      <c r="AE34" s="861"/>
      <c r="AF34" s="860"/>
      <c r="AG34" s="858">
        <f t="shared" si="0"/>
        <v>152</v>
      </c>
      <c r="AH34" s="858">
        <f t="shared" si="1"/>
        <v>25840</v>
      </c>
      <c r="AI34" s="898"/>
      <c r="AJ34" s="901"/>
    </row>
    <row r="35" spans="1:36" ht="76.150000000000006" customHeight="1">
      <c r="A35" s="853"/>
      <c r="B35" s="854" t="str">
        <f>'PC - Abs'!C28</f>
        <v>Supplying and laying of 40 mm dia PVC  (Below Ground level) etc all complete including and labour charges etc., complete</v>
      </c>
      <c r="C35" s="902"/>
      <c r="D35" s="903"/>
      <c r="E35" s="855">
        <f>'INS - Abs '!B28</f>
        <v>70</v>
      </c>
      <c r="F35" s="855">
        <f>'INS - Abs '!F28</f>
        <v>30450</v>
      </c>
      <c r="G35" s="856">
        <f>'SI - Abs'!B28</f>
        <v>50</v>
      </c>
      <c r="H35" s="856">
        <f>'SI - Abs'!F28</f>
        <v>21750</v>
      </c>
      <c r="I35" s="856">
        <f>'PC - Abs'!B28</f>
        <v>80</v>
      </c>
      <c r="J35" s="856">
        <f>'PC - Abs'!F28</f>
        <v>34800</v>
      </c>
      <c r="K35" s="862"/>
      <c r="L35" s="860"/>
      <c r="M35" s="862"/>
      <c r="N35" s="860"/>
      <c r="O35" s="862"/>
      <c r="P35" s="860"/>
      <c r="Q35" s="862"/>
      <c r="R35" s="862"/>
      <c r="S35" s="862"/>
      <c r="T35" s="862"/>
      <c r="U35" s="862"/>
      <c r="V35" s="860"/>
      <c r="W35" s="862"/>
      <c r="X35" s="862"/>
      <c r="Y35" s="862"/>
      <c r="Z35" s="862"/>
      <c r="AA35" s="862"/>
      <c r="AB35" s="860"/>
      <c r="AC35" s="860"/>
      <c r="AD35" s="860"/>
      <c r="AE35" s="861"/>
      <c r="AF35" s="860"/>
      <c r="AG35" s="858">
        <f t="shared" si="0"/>
        <v>200</v>
      </c>
      <c r="AH35" s="858">
        <f t="shared" si="1"/>
        <v>87000</v>
      </c>
      <c r="AI35" s="898"/>
      <c r="AJ35" s="901"/>
    </row>
    <row r="36" spans="1:36" ht="80.45" customHeight="1">
      <c r="A36" s="853"/>
      <c r="B36" s="854" t="str">
        <f>'PC - Abs'!C29</f>
        <v>Supply and Fixing of 15mm dia half turn CP tap (LONG BODY) including all special and labour charges etc., complete</v>
      </c>
      <c r="C36" s="856"/>
      <c r="D36" s="855"/>
      <c r="E36" s="855">
        <f>'INS - Abs '!B29</f>
        <v>20</v>
      </c>
      <c r="F36" s="855" t="e">
        <f>'INS - Abs '!F29</f>
        <v>#REF!</v>
      </c>
      <c r="G36" s="856">
        <f>'SI - Abs'!B29</f>
        <v>24</v>
      </c>
      <c r="H36" s="856" t="e">
        <f>'SI - Abs'!F29</f>
        <v>#REF!</v>
      </c>
      <c r="I36" s="856">
        <f>'PC - Abs'!B29</f>
        <v>54</v>
      </c>
      <c r="J36" s="856" t="e">
        <f>'PC - Abs'!F29</f>
        <v>#REF!</v>
      </c>
      <c r="K36" s="860"/>
      <c r="L36" s="860"/>
      <c r="M36" s="860"/>
      <c r="N36" s="860"/>
      <c r="O36" s="860"/>
      <c r="P36" s="860"/>
      <c r="Q36" s="860"/>
      <c r="R36" s="860"/>
      <c r="S36" s="860"/>
      <c r="T36" s="860"/>
      <c r="U36" s="860"/>
      <c r="V36" s="860"/>
      <c r="W36" s="860"/>
      <c r="X36" s="860"/>
      <c r="Y36" s="860"/>
      <c r="Z36" s="860"/>
      <c r="AA36" s="860"/>
      <c r="AB36" s="860"/>
      <c r="AC36" s="860"/>
      <c r="AD36" s="860"/>
      <c r="AE36" s="861"/>
      <c r="AF36" s="860"/>
      <c r="AG36" s="858">
        <f t="shared" si="0"/>
        <v>98</v>
      </c>
      <c r="AH36" s="858" t="e">
        <f t="shared" si="1"/>
        <v>#REF!</v>
      </c>
      <c r="AI36" s="898"/>
      <c r="AJ36" s="901"/>
    </row>
    <row r="37" spans="1:36" s="907" customFormat="1" ht="80.45" customHeight="1">
      <c r="A37" s="853"/>
      <c r="B37" s="854" t="str">
        <f>'PC - Abs'!C30</f>
        <v>Supply and Fixing of 15mm dia half turn CP tap (SHORT BODY) including all special and labour charges etc., complete</v>
      </c>
      <c r="C37" s="863"/>
      <c r="D37" s="855"/>
      <c r="E37" s="855">
        <f>'INS - Abs '!B30</f>
        <v>8</v>
      </c>
      <c r="F37" s="855" t="e">
        <f>'INS - Abs '!F30</f>
        <v>#REF!</v>
      </c>
      <c r="G37" s="856">
        <f>'SI - Abs'!B30</f>
        <v>13</v>
      </c>
      <c r="H37" s="856" t="e">
        <f>'SI - Abs'!F30</f>
        <v>#REF!</v>
      </c>
      <c r="I37" s="856">
        <f>'PC - Abs'!B30</f>
        <v>24</v>
      </c>
      <c r="J37" s="856" t="e">
        <f>'PC - Abs'!F30</f>
        <v>#REF!</v>
      </c>
      <c r="K37" s="860"/>
      <c r="L37" s="860"/>
      <c r="M37" s="860"/>
      <c r="N37" s="860"/>
      <c r="O37" s="860"/>
      <c r="P37" s="860"/>
      <c r="Q37" s="860"/>
      <c r="R37" s="860"/>
      <c r="S37" s="860"/>
      <c r="T37" s="860"/>
      <c r="U37" s="860"/>
      <c r="V37" s="860"/>
      <c r="W37" s="860"/>
      <c r="X37" s="860"/>
      <c r="Y37" s="860"/>
      <c r="Z37" s="860"/>
      <c r="AA37" s="860"/>
      <c r="AB37" s="860"/>
      <c r="AC37" s="860"/>
      <c r="AD37" s="860"/>
      <c r="AE37" s="861"/>
      <c r="AF37" s="860"/>
      <c r="AG37" s="858">
        <f t="shared" si="0"/>
        <v>45</v>
      </c>
      <c r="AH37" s="858" t="e">
        <f t="shared" si="1"/>
        <v>#REF!</v>
      </c>
      <c r="AI37" s="906"/>
      <c r="AJ37" s="901"/>
    </row>
    <row r="38" spans="1:36" ht="55.15" customHeight="1">
      <c r="A38" s="853"/>
      <c r="B38" s="854" t="str">
        <f>'PC - Abs'!C31</f>
        <v>Supplying and fixing of PVC SWR 110 mm dia with ISI mark type- A for Rain water down fall pipe</v>
      </c>
      <c r="C38" s="863"/>
      <c r="D38" s="855"/>
      <c r="E38" s="855">
        <f>'INS - Abs '!B31</f>
        <v>72</v>
      </c>
      <c r="F38" s="855" t="e">
        <f>'INS - Abs '!F31</f>
        <v>#REF!</v>
      </c>
      <c r="G38" s="856">
        <f>'SI - Abs'!B31</f>
        <v>120</v>
      </c>
      <c r="H38" s="856" t="e">
        <f>'SI - Abs'!F31</f>
        <v>#REF!</v>
      </c>
      <c r="I38" s="856">
        <f>'PC - Abs'!B31</f>
        <v>144</v>
      </c>
      <c r="J38" s="856" t="e">
        <f>'PC - Abs'!F31</f>
        <v>#REF!</v>
      </c>
      <c r="K38" s="860"/>
      <c r="L38" s="860"/>
      <c r="M38" s="860"/>
      <c r="N38" s="860"/>
      <c r="O38" s="860"/>
      <c r="P38" s="860"/>
      <c r="Q38" s="860"/>
      <c r="R38" s="860"/>
      <c r="S38" s="860"/>
      <c r="T38" s="860"/>
      <c r="U38" s="860"/>
      <c r="V38" s="860"/>
      <c r="W38" s="860"/>
      <c r="X38" s="860"/>
      <c r="Y38" s="860"/>
      <c r="Z38" s="860"/>
      <c r="AA38" s="860"/>
      <c r="AB38" s="860"/>
      <c r="AC38" s="860"/>
      <c r="AD38" s="860"/>
      <c r="AE38" s="861"/>
      <c r="AF38" s="860"/>
      <c r="AG38" s="858">
        <f t="shared" si="0"/>
        <v>336</v>
      </c>
      <c r="AH38" s="858" t="e">
        <f t="shared" si="1"/>
        <v>#REF!</v>
      </c>
      <c r="AI38" s="898"/>
      <c r="AJ38" s="901"/>
    </row>
    <row r="39" spans="1:36" ht="56.45" customHeight="1">
      <c r="A39" s="853"/>
      <c r="B39" s="854" t="str">
        <f>'PC - Abs'!C32</f>
        <v>Supply and laying of SWR Pipes including cost of materials and labours etc.., completed</v>
      </c>
      <c r="C39" s="863"/>
      <c r="D39" s="855"/>
      <c r="E39" s="855">
        <f>'INS - Abs '!B32</f>
        <v>0</v>
      </c>
      <c r="F39" s="855">
        <f>'INS - Abs '!F32</f>
        <v>0</v>
      </c>
      <c r="G39" s="856">
        <f>'SI - Abs'!B32</f>
        <v>0</v>
      </c>
      <c r="H39" s="856">
        <f>'SI - Abs'!F32</f>
        <v>0</v>
      </c>
      <c r="I39" s="856">
        <f>'PC - Abs'!B32</f>
        <v>0</v>
      </c>
      <c r="J39" s="856">
        <f>'PC - Abs'!F32</f>
        <v>0</v>
      </c>
      <c r="K39" s="860"/>
      <c r="L39" s="860"/>
      <c r="M39" s="860"/>
      <c r="N39" s="860"/>
      <c r="O39" s="860"/>
      <c r="P39" s="860"/>
      <c r="Q39" s="860"/>
      <c r="R39" s="860"/>
      <c r="S39" s="860"/>
      <c r="T39" s="860"/>
      <c r="U39" s="860"/>
      <c r="V39" s="860"/>
      <c r="W39" s="860"/>
      <c r="X39" s="860"/>
      <c r="Y39" s="860"/>
      <c r="Z39" s="860"/>
      <c r="AA39" s="860"/>
      <c r="AB39" s="860"/>
      <c r="AC39" s="860"/>
      <c r="AD39" s="860"/>
      <c r="AE39" s="861"/>
      <c r="AF39" s="860"/>
      <c r="AG39" s="858">
        <f t="shared" si="0"/>
        <v>0</v>
      </c>
      <c r="AH39" s="858">
        <f t="shared" si="1"/>
        <v>0</v>
      </c>
      <c r="AI39" s="898"/>
      <c r="AJ39" s="901"/>
    </row>
    <row r="40" spans="1:36" ht="34.9" customHeight="1">
      <c r="A40" s="853"/>
      <c r="B40" s="854" t="str">
        <f>'PC - Abs'!C33</f>
        <v xml:space="preserve"> 110 MM DIA </v>
      </c>
      <c r="C40" s="863"/>
      <c r="D40" s="855"/>
      <c r="E40" s="855">
        <f>'INS - Abs '!B33</f>
        <v>24</v>
      </c>
      <c r="F40" s="855" t="e">
        <f>'INS - Abs '!F33</f>
        <v>#REF!</v>
      </c>
      <c r="G40" s="856">
        <f>'SI - Abs'!B33</f>
        <v>96</v>
      </c>
      <c r="H40" s="856" t="e">
        <f>'SI - Abs'!F33</f>
        <v>#REF!</v>
      </c>
      <c r="I40" s="856">
        <f>'PC - Abs'!B33</f>
        <v>48</v>
      </c>
      <c r="J40" s="856" t="e">
        <f>'PC - Abs'!F33</f>
        <v>#REF!</v>
      </c>
      <c r="K40" s="860"/>
      <c r="L40" s="860"/>
      <c r="M40" s="860"/>
      <c r="N40" s="860"/>
      <c r="O40" s="860"/>
      <c r="P40" s="860"/>
      <c r="Q40" s="860"/>
      <c r="R40" s="860"/>
      <c r="S40" s="860"/>
      <c r="T40" s="860"/>
      <c r="U40" s="860"/>
      <c r="V40" s="860"/>
      <c r="W40" s="860"/>
      <c r="X40" s="860"/>
      <c r="Y40" s="860"/>
      <c r="Z40" s="860"/>
      <c r="AA40" s="860"/>
      <c r="AB40" s="860"/>
      <c r="AC40" s="860"/>
      <c r="AD40" s="860"/>
      <c r="AE40" s="861"/>
      <c r="AF40" s="860"/>
      <c r="AG40" s="858">
        <f t="shared" si="0"/>
        <v>168</v>
      </c>
      <c r="AH40" s="858" t="e">
        <f t="shared" si="1"/>
        <v>#REF!</v>
      </c>
      <c r="AI40" s="898"/>
      <c r="AJ40" s="901"/>
    </row>
    <row r="41" spans="1:36" ht="99" customHeight="1">
      <c r="A41" s="853"/>
      <c r="B41" s="854" t="str">
        <f>'PC - Abs'!C34</f>
        <v>Supplying and fixing of following SN8 160mm dia  Pvc pipe  with ISI mark including cost of materials and convenience and earth work excavation and refilling trenches etc.., Below ground level .</v>
      </c>
      <c r="C41" s="863"/>
      <c r="D41" s="855"/>
      <c r="E41" s="855">
        <f>'INS - Abs '!B34</f>
        <v>30</v>
      </c>
      <c r="F41" s="855" t="e">
        <f>'INS - Abs '!F34</f>
        <v>#REF!</v>
      </c>
      <c r="G41" s="856">
        <f>'SI - Abs'!B34</f>
        <v>100</v>
      </c>
      <c r="H41" s="856" t="e">
        <f>'SI - Abs'!F34</f>
        <v>#REF!</v>
      </c>
      <c r="I41" s="856">
        <f>'PC - Abs'!B34</f>
        <v>50</v>
      </c>
      <c r="J41" s="856" t="e">
        <f>'PC - Abs'!F34</f>
        <v>#REF!</v>
      </c>
      <c r="K41" s="860"/>
      <c r="L41" s="860"/>
      <c r="M41" s="860"/>
      <c r="N41" s="860"/>
      <c r="O41" s="860"/>
      <c r="P41" s="860"/>
      <c r="Q41" s="860"/>
      <c r="R41" s="860"/>
      <c r="S41" s="860"/>
      <c r="T41" s="860"/>
      <c r="U41" s="860"/>
      <c r="V41" s="860"/>
      <c r="W41" s="860"/>
      <c r="X41" s="860"/>
      <c r="Y41" s="860"/>
      <c r="Z41" s="860"/>
      <c r="AA41" s="860"/>
      <c r="AB41" s="860"/>
      <c r="AC41" s="860"/>
      <c r="AD41" s="860"/>
      <c r="AE41" s="861"/>
      <c r="AF41" s="860"/>
      <c r="AG41" s="858">
        <f t="shared" si="0"/>
        <v>180</v>
      </c>
      <c r="AH41" s="858" t="e">
        <f t="shared" si="1"/>
        <v>#REF!</v>
      </c>
      <c r="AI41" s="898"/>
      <c r="AJ41" s="901"/>
    </row>
    <row r="42" spans="1:36" ht="99" customHeight="1">
      <c r="A42" s="853"/>
      <c r="B42" s="854" t="str">
        <f>'PC - Abs'!C35</f>
        <v>Supplying and fixing of following SN8 110mm dia  Pvc pipe  with ISI mark including cost of materials and convenience and earth work excavation and refilling trenches etc.., Below ground level .</v>
      </c>
      <c r="C42" s="863"/>
      <c r="D42" s="855"/>
      <c r="E42" s="855">
        <f>'INS - Abs '!B35</f>
        <v>30</v>
      </c>
      <c r="F42" s="855" t="e">
        <f>'INS - Abs '!F35</f>
        <v>#REF!</v>
      </c>
      <c r="G42" s="856">
        <f>'SI - Abs'!B35</f>
        <v>75</v>
      </c>
      <c r="H42" s="856" t="e">
        <f>'SI - Abs'!F35</f>
        <v>#REF!</v>
      </c>
      <c r="I42" s="856">
        <f>'PC - Abs'!B35</f>
        <v>20</v>
      </c>
      <c r="J42" s="856" t="e">
        <f>'PC - Abs'!F35</f>
        <v>#REF!</v>
      </c>
      <c r="K42" s="860"/>
      <c r="L42" s="860"/>
      <c r="M42" s="860"/>
      <c r="N42" s="860"/>
      <c r="O42" s="860"/>
      <c r="P42" s="860"/>
      <c r="Q42" s="860"/>
      <c r="R42" s="860"/>
      <c r="S42" s="860"/>
      <c r="T42" s="860"/>
      <c r="U42" s="860"/>
      <c r="V42" s="860"/>
      <c r="W42" s="860"/>
      <c r="X42" s="860"/>
      <c r="Y42" s="860"/>
      <c r="Z42" s="860"/>
      <c r="AA42" s="860"/>
      <c r="AB42" s="860"/>
      <c r="AC42" s="860"/>
      <c r="AD42" s="860"/>
      <c r="AE42" s="861"/>
      <c r="AF42" s="860"/>
      <c r="AG42" s="858">
        <f t="shared" si="0"/>
        <v>125</v>
      </c>
      <c r="AH42" s="858" t="e">
        <f t="shared" si="1"/>
        <v>#REF!</v>
      </c>
      <c r="AI42" s="898"/>
      <c r="AJ42" s="901"/>
    </row>
    <row r="43" spans="1:36" ht="56.45" customHeight="1">
      <c r="A43" s="853"/>
      <c r="B43" s="854" t="str">
        <f>'PC - Abs'!C36</f>
        <v xml:space="preserve">Painting White washing  two coats including cost of materials and labours etc.., completed </v>
      </c>
      <c r="C43" s="863"/>
      <c r="D43" s="855"/>
      <c r="E43" s="855">
        <f>'INS - Abs '!B36</f>
        <v>288</v>
      </c>
      <c r="F43" s="855" t="e">
        <f>'INS - Abs '!F36</f>
        <v>#REF!</v>
      </c>
      <c r="G43" s="856">
        <f>'SI - Abs'!B36</f>
        <v>246</v>
      </c>
      <c r="H43" s="856" t="e">
        <f>'SI - Abs'!F36</f>
        <v>#REF!</v>
      </c>
      <c r="I43" s="856">
        <f>'PC - Abs'!B36</f>
        <v>756</v>
      </c>
      <c r="J43" s="856" t="e">
        <f>'PC - Abs'!F36</f>
        <v>#REF!</v>
      </c>
      <c r="K43" s="860"/>
      <c r="L43" s="860"/>
      <c r="M43" s="860"/>
      <c r="N43" s="860"/>
      <c r="O43" s="860"/>
      <c r="P43" s="860"/>
      <c r="Q43" s="860"/>
      <c r="R43" s="860"/>
      <c r="S43" s="860"/>
      <c r="T43" s="860"/>
      <c r="U43" s="860"/>
      <c r="V43" s="860"/>
      <c r="W43" s="860"/>
      <c r="X43" s="860"/>
      <c r="Y43" s="860"/>
      <c r="Z43" s="860"/>
      <c r="AA43" s="860"/>
      <c r="AB43" s="860"/>
      <c r="AC43" s="860"/>
      <c r="AD43" s="860"/>
      <c r="AE43" s="861"/>
      <c r="AF43" s="860"/>
      <c r="AG43" s="858">
        <f t="shared" si="0"/>
        <v>1290</v>
      </c>
      <c r="AH43" s="858" t="e">
        <f t="shared" si="1"/>
        <v>#REF!</v>
      </c>
      <c r="AI43" s="898"/>
      <c r="AJ43" s="901"/>
    </row>
    <row r="44" spans="1:36" ht="77.45" customHeight="1">
      <c r="A44" s="853"/>
      <c r="B44" s="854" t="str">
        <f>'PC - Abs'!C37</f>
        <v xml:space="preserve">Painting Two coat of OBD over one coat white cement for inner walls  including cost of materials and labours etc.., completed </v>
      </c>
      <c r="C44" s="863"/>
      <c r="D44" s="855"/>
      <c r="E44" s="855">
        <f>'INS - Abs '!B37</f>
        <v>1138</v>
      </c>
      <c r="F44" s="855" t="e">
        <f>'INS - Abs '!F37</f>
        <v>#REF!</v>
      </c>
      <c r="G44" s="856">
        <f>'SI - Abs'!B37</f>
        <v>731</v>
      </c>
      <c r="H44" s="856" t="e">
        <f>'SI - Abs'!F37</f>
        <v>#REF!</v>
      </c>
      <c r="I44" s="856">
        <f>'PC - Abs'!B37</f>
        <v>3777.1</v>
      </c>
      <c r="J44" s="856" t="e">
        <f>'PC - Abs'!F37</f>
        <v>#REF!</v>
      </c>
      <c r="K44" s="860"/>
      <c r="L44" s="860"/>
      <c r="M44" s="860"/>
      <c r="N44" s="860"/>
      <c r="O44" s="860"/>
      <c r="P44" s="860"/>
      <c r="Q44" s="860"/>
      <c r="R44" s="860"/>
      <c r="S44" s="860"/>
      <c r="T44" s="860"/>
      <c r="U44" s="860"/>
      <c r="V44" s="860"/>
      <c r="W44" s="860"/>
      <c r="X44" s="860"/>
      <c r="Y44" s="860"/>
      <c r="Z44" s="860"/>
      <c r="AA44" s="860"/>
      <c r="AB44" s="860"/>
      <c r="AC44" s="860"/>
      <c r="AD44" s="860"/>
      <c r="AE44" s="861"/>
      <c r="AF44" s="860"/>
      <c r="AG44" s="858">
        <f t="shared" si="0"/>
        <v>5646.1</v>
      </c>
      <c r="AH44" s="858" t="e">
        <f t="shared" si="1"/>
        <v>#REF!</v>
      </c>
      <c r="AI44" s="898"/>
      <c r="AJ44" s="901"/>
    </row>
    <row r="45" spans="1:36" ht="55.15" customHeight="1">
      <c r="A45" s="853"/>
      <c r="B45" s="854" t="str">
        <f>'PC - Abs'!C38</f>
        <v xml:space="preserve">Plastic Emulsion paint two coat of Old walls including cost of materials and labours etc.., completed </v>
      </c>
      <c r="C45" s="863"/>
      <c r="D45" s="855"/>
      <c r="E45" s="855">
        <f>'INS - Abs '!B38</f>
        <v>1813.1</v>
      </c>
      <c r="F45" s="855" t="e">
        <f>'INS - Abs '!F38</f>
        <v>#REF!</v>
      </c>
      <c r="G45" s="856">
        <f>'SI - Abs'!B38</f>
        <v>1207</v>
      </c>
      <c r="H45" s="856" t="e">
        <f>'SI - Abs'!F38</f>
        <v>#REF!</v>
      </c>
      <c r="I45" s="856">
        <f>'PC - Abs'!B38</f>
        <v>3422.3</v>
      </c>
      <c r="J45" s="856" t="e">
        <f>'PC - Abs'!F38</f>
        <v>#REF!</v>
      </c>
      <c r="K45" s="860"/>
      <c r="L45" s="860"/>
      <c r="M45" s="860"/>
      <c r="N45" s="860"/>
      <c r="O45" s="860"/>
      <c r="P45" s="860"/>
      <c r="Q45" s="860"/>
      <c r="R45" s="860"/>
      <c r="S45" s="860"/>
      <c r="T45" s="860"/>
      <c r="U45" s="860"/>
      <c r="V45" s="860"/>
      <c r="W45" s="860"/>
      <c r="X45" s="860"/>
      <c r="Y45" s="860"/>
      <c r="Z45" s="860"/>
      <c r="AA45" s="860"/>
      <c r="AB45" s="860"/>
      <c r="AC45" s="860"/>
      <c r="AD45" s="860"/>
      <c r="AE45" s="861"/>
      <c r="AF45" s="860"/>
      <c r="AG45" s="858">
        <f t="shared" si="0"/>
        <v>6442.4</v>
      </c>
      <c r="AH45" s="858" t="e">
        <f t="shared" si="1"/>
        <v>#REF!</v>
      </c>
      <c r="AI45" s="898"/>
      <c r="AJ45" s="901"/>
    </row>
    <row r="46" spans="1:36" s="907" customFormat="1" ht="53.45" customHeight="1">
      <c r="A46" s="853"/>
      <c r="B46" s="854" t="str">
        <f>'PC - Abs'!C39</f>
        <v xml:space="preserve">Painting the old wood work two coats including cost of materials and labours etc.., completed </v>
      </c>
      <c r="C46" s="856"/>
      <c r="D46" s="855"/>
      <c r="E46" s="855">
        <f>'INS - Abs '!B39</f>
        <v>203.2</v>
      </c>
      <c r="F46" s="855" t="e">
        <f>'INS - Abs '!F39</f>
        <v>#REF!</v>
      </c>
      <c r="G46" s="856">
        <f>'SI - Abs'!B39</f>
        <v>383.1</v>
      </c>
      <c r="H46" s="856" t="e">
        <f>'SI - Abs'!F39</f>
        <v>#REF!</v>
      </c>
      <c r="I46" s="856">
        <f>'PC - Abs'!B39</f>
        <v>1014</v>
      </c>
      <c r="J46" s="856" t="e">
        <f>'PC - Abs'!F39</f>
        <v>#REF!</v>
      </c>
      <c r="K46" s="860"/>
      <c r="L46" s="860"/>
      <c r="M46" s="860"/>
      <c r="N46" s="860"/>
      <c r="O46" s="860"/>
      <c r="P46" s="860"/>
      <c r="Q46" s="860"/>
      <c r="R46" s="860"/>
      <c r="S46" s="860"/>
      <c r="T46" s="860"/>
      <c r="U46" s="860"/>
      <c r="V46" s="860"/>
      <c r="W46" s="860"/>
      <c r="X46" s="860"/>
      <c r="Y46" s="860"/>
      <c r="Z46" s="860"/>
      <c r="AA46" s="860"/>
      <c r="AB46" s="860"/>
      <c r="AC46" s="860"/>
      <c r="AD46" s="860"/>
      <c r="AE46" s="861"/>
      <c r="AF46" s="860"/>
      <c r="AG46" s="858">
        <f t="shared" si="0"/>
        <v>1600.3</v>
      </c>
      <c r="AH46" s="858" t="e">
        <f t="shared" si="1"/>
        <v>#REF!</v>
      </c>
      <c r="AI46" s="898"/>
      <c r="AJ46" s="898"/>
    </row>
    <row r="47" spans="1:36" ht="67.150000000000006" customHeight="1">
      <c r="A47" s="853"/>
      <c r="B47" s="854" t="e">
        <f>'PC - Abs'!C40</f>
        <v>#REF!</v>
      </c>
      <c r="C47" s="905"/>
      <c r="D47" s="900"/>
      <c r="E47" s="855" t="e">
        <f>'INS - Abs '!B40</f>
        <v>#REF!</v>
      </c>
      <c r="F47" s="855" t="e">
        <f>'INS - Abs '!F40</f>
        <v>#REF!</v>
      </c>
      <c r="G47" s="856" t="e">
        <f>'SI - Abs'!B40</f>
        <v>#REF!</v>
      </c>
      <c r="H47" s="856" t="e">
        <f>'SI - Abs'!F40</f>
        <v>#REF!</v>
      </c>
      <c r="I47" s="856" t="e">
        <f>'PC - Abs'!B40</f>
        <v>#REF!</v>
      </c>
      <c r="J47" s="856" t="e">
        <f>'PC - Abs'!F40</f>
        <v>#REF!</v>
      </c>
      <c r="K47" s="860"/>
      <c r="L47" s="860"/>
      <c r="M47" s="860"/>
      <c r="N47" s="860"/>
      <c r="O47" s="860"/>
      <c r="P47" s="860"/>
      <c r="Q47" s="860"/>
      <c r="R47" s="860"/>
      <c r="S47" s="860"/>
      <c r="T47" s="860"/>
      <c r="U47" s="860"/>
      <c r="V47" s="860"/>
      <c r="W47" s="860"/>
      <c r="X47" s="860"/>
      <c r="Y47" s="860"/>
      <c r="Z47" s="860"/>
      <c r="AA47" s="860"/>
      <c r="AB47" s="860"/>
      <c r="AC47" s="860"/>
      <c r="AD47" s="860"/>
      <c r="AE47" s="861"/>
      <c r="AF47" s="860"/>
      <c r="AG47" s="858" t="e">
        <f t="shared" si="0"/>
        <v>#REF!</v>
      </c>
      <c r="AH47" s="858" t="e">
        <f t="shared" si="1"/>
        <v>#REF!</v>
      </c>
      <c r="AI47" s="898"/>
      <c r="AJ47" s="901"/>
    </row>
    <row r="48" spans="1:36" s="875" customFormat="1" ht="99" customHeight="1">
      <c r="A48" s="853"/>
      <c r="B48" s="854" t="str">
        <f>'PC - Abs'!C41</f>
        <v>Precast Slab For chamber cover slab ( SFRC Slabof size 600 x 600mm with frame) Including Cost of materials etc.., (SR.Pg.No.77 item no.284.a)</v>
      </c>
      <c r="C48" s="863"/>
      <c r="D48" s="855"/>
      <c r="E48" s="855">
        <f>'INS - Abs '!B41</f>
        <v>5</v>
      </c>
      <c r="F48" s="855">
        <f>'INS - Abs '!F41</f>
        <v>13500</v>
      </c>
      <c r="G48" s="856">
        <f>'SI - Abs'!B41</f>
        <v>5</v>
      </c>
      <c r="H48" s="856">
        <f>'SI - Abs'!F41</f>
        <v>13500</v>
      </c>
      <c r="I48" s="856">
        <f>'PC - Abs'!B41</f>
        <v>10</v>
      </c>
      <c r="J48" s="856">
        <f>'PC - Abs'!F41</f>
        <v>27000</v>
      </c>
      <c r="K48" s="860"/>
      <c r="L48" s="860"/>
      <c r="M48" s="860"/>
      <c r="N48" s="860"/>
      <c r="O48" s="860"/>
      <c r="P48" s="860"/>
      <c r="Q48" s="860"/>
      <c r="R48" s="860"/>
      <c r="S48" s="860"/>
      <c r="T48" s="860"/>
      <c r="U48" s="860"/>
      <c r="V48" s="860"/>
      <c r="W48" s="860"/>
      <c r="X48" s="860"/>
      <c r="Y48" s="860"/>
      <c r="Z48" s="860"/>
      <c r="AA48" s="860"/>
      <c r="AB48" s="860"/>
      <c r="AC48" s="860"/>
      <c r="AD48" s="860"/>
      <c r="AE48" s="861" t="s">
        <v>3626</v>
      </c>
      <c r="AF48" s="860"/>
      <c r="AG48" s="858">
        <f t="shared" si="0"/>
        <v>20</v>
      </c>
      <c r="AH48" s="858">
        <f t="shared" si="1"/>
        <v>54000</v>
      </c>
      <c r="AI48" s="901"/>
      <c r="AJ48" s="901"/>
    </row>
    <row r="49" spans="1:36" s="875" customFormat="1" ht="72" customHeight="1">
      <c r="A49" s="853"/>
      <c r="B49" s="854" t="str">
        <f>'PC - Abs'!C42</f>
        <v>Supplyying and fixing of pvc sintex tank of 700cum capacity of pvc tank etc., all complete( SR Pg.No.50 item no.180)</v>
      </c>
      <c r="C49" s="863"/>
      <c r="D49" s="855"/>
      <c r="E49" s="855">
        <f>'INS - Abs '!B42</f>
        <v>5</v>
      </c>
      <c r="F49" s="855">
        <f>'INS - Abs '!F42</f>
        <v>36000</v>
      </c>
      <c r="G49" s="856">
        <f>'SI - Abs'!B42</f>
        <v>8</v>
      </c>
      <c r="H49" s="856">
        <f>'SI - Abs'!F42</f>
        <v>57600</v>
      </c>
      <c r="I49" s="856">
        <f>'PC - Abs'!B42</f>
        <v>24</v>
      </c>
      <c r="J49" s="856">
        <f>'PC - Abs'!F42</f>
        <v>172800</v>
      </c>
      <c r="K49" s="860"/>
      <c r="L49" s="860"/>
      <c r="M49" s="860"/>
      <c r="N49" s="860"/>
      <c r="O49" s="860"/>
      <c r="P49" s="860"/>
      <c r="Q49" s="860"/>
      <c r="R49" s="860"/>
      <c r="S49" s="860"/>
      <c r="T49" s="860"/>
      <c r="U49" s="860"/>
      <c r="V49" s="860"/>
      <c r="W49" s="860"/>
      <c r="X49" s="860"/>
      <c r="Y49" s="860"/>
      <c r="Z49" s="860"/>
      <c r="AA49" s="860"/>
      <c r="AB49" s="860"/>
      <c r="AC49" s="860"/>
      <c r="AD49" s="860"/>
      <c r="AE49" s="861"/>
      <c r="AF49" s="860"/>
      <c r="AG49" s="858">
        <f t="shared" si="0"/>
        <v>37</v>
      </c>
      <c r="AH49" s="858">
        <f t="shared" si="1"/>
        <v>266400</v>
      </c>
      <c r="AI49" s="901"/>
      <c r="AJ49" s="901"/>
    </row>
    <row r="50" spans="1:36" ht="72" customHeight="1">
      <c r="A50" s="853"/>
      <c r="B50" s="854" t="str">
        <f>'PC - Abs'!C43</f>
        <v xml:space="preserve">Supplying and fixing of TW single leaf glazed window shutter  for frame of overall height 135cm </v>
      </c>
      <c r="C50" s="863"/>
      <c r="D50" s="855"/>
      <c r="E50" s="855">
        <f>'INS - Abs '!B43</f>
        <v>11.16</v>
      </c>
      <c r="F50" s="855" t="e">
        <f>'INS - Abs '!F43</f>
        <v>#REF!</v>
      </c>
      <c r="G50" s="856">
        <f>'SI - Abs'!B43</f>
        <v>7.5150000000000006</v>
      </c>
      <c r="H50" s="856" t="e">
        <f>'SI - Abs'!F43</f>
        <v>#REF!</v>
      </c>
      <c r="I50" s="856">
        <f>'PC - Abs'!B43</f>
        <v>18</v>
      </c>
      <c r="J50" s="856" t="e">
        <f>'PC - Abs'!F43</f>
        <v>#REF!</v>
      </c>
      <c r="K50" s="860"/>
      <c r="L50" s="860"/>
      <c r="M50" s="860"/>
      <c r="N50" s="860"/>
      <c r="O50" s="860"/>
      <c r="P50" s="860"/>
      <c r="Q50" s="860"/>
      <c r="R50" s="860"/>
      <c r="S50" s="860"/>
      <c r="T50" s="860"/>
      <c r="U50" s="860"/>
      <c r="V50" s="860"/>
      <c r="W50" s="860"/>
      <c r="X50" s="860"/>
      <c r="Y50" s="860"/>
      <c r="Z50" s="860"/>
      <c r="AA50" s="860"/>
      <c r="AB50" s="860"/>
      <c r="AC50" s="860"/>
      <c r="AD50" s="860"/>
      <c r="AE50" s="861"/>
      <c r="AF50" s="860"/>
      <c r="AG50" s="858">
        <f t="shared" si="0"/>
        <v>36.674999999999997</v>
      </c>
      <c r="AH50" s="858" t="e">
        <f t="shared" si="1"/>
        <v>#REF!</v>
      </c>
      <c r="AI50" s="898"/>
      <c r="AJ50" s="901"/>
    </row>
    <row r="51" spans="1:36" ht="72" customHeight="1">
      <c r="A51" s="853"/>
      <c r="B51" s="854" t="str">
        <f>'PC - Abs'!C44</f>
        <v xml:space="preserve">Supply and fixing of Wash basin including cost of materials and labours etc.., completed </v>
      </c>
      <c r="C51" s="856"/>
      <c r="D51" s="855"/>
      <c r="E51" s="855">
        <f>'INS - Abs '!B44</f>
        <v>5</v>
      </c>
      <c r="F51" s="855" t="e">
        <f>'INS - Abs '!F44</f>
        <v>#REF!</v>
      </c>
      <c r="G51" s="856">
        <f>'SI - Abs'!B44</f>
        <v>8</v>
      </c>
      <c r="H51" s="856" t="e">
        <f>'SI - Abs'!F44</f>
        <v>#REF!</v>
      </c>
      <c r="I51" s="856">
        <f>'PC - Abs'!B44</f>
        <v>24</v>
      </c>
      <c r="J51" s="856" t="e">
        <f>'PC - Abs'!F44</f>
        <v>#REF!</v>
      </c>
      <c r="K51" s="860"/>
      <c r="L51" s="860"/>
      <c r="M51" s="860"/>
      <c r="N51" s="860"/>
      <c r="O51" s="860"/>
      <c r="P51" s="860"/>
      <c r="Q51" s="860"/>
      <c r="R51" s="860"/>
      <c r="S51" s="860"/>
      <c r="T51" s="860"/>
      <c r="U51" s="860"/>
      <c r="V51" s="860"/>
      <c r="W51" s="860"/>
      <c r="X51" s="860"/>
      <c r="Y51" s="860"/>
      <c r="Z51" s="860"/>
      <c r="AA51" s="860"/>
      <c r="AB51" s="860"/>
      <c r="AC51" s="860"/>
      <c r="AD51" s="860"/>
      <c r="AE51" s="861"/>
      <c r="AF51" s="860"/>
      <c r="AG51" s="858">
        <f t="shared" si="0"/>
        <v>37</v>
      </c>
      <c r="AH51" s="858" t="e">
        <f t="shared" si="1"/>
        <v>#REF!</v>
      </c>
      <c r="AI51" s="898"/>
      <c r="AJ51" s="901"/>
    </row>
    <row r="52" spans="1:36" ht="72" customHeight="1">
      <c r="A52" s="853"/>
      <c r="B52" s="854" t="str">
        <f>'PC- Detail'!B296</f>
        <v xml:space="preserve">S&amp;F of Bevelled edge mirror 500 x 400 x 5.5mm including cost of materials and labours etc.., completed </v>
      </c>
      <c r="C52" s="856"/>
      <c r="D52" s="855"/>
      <c r="E52" s="855">
        <f>'INS - Abs '!B45</f>
        <v>5</v>
      </c>
      <c r="F52" s="855">
        <f>'INS - Abs '!F45</f>
        <v>2356</v>
      </c>
      <c r="G52" s="856">
        <f>'SI - Abs'!B45</f>
        <v>8</v>
      </c>
      <c r="H52" s="856">
        <f>'SI - Abs'!D45</f>
        <v>471.2</v>
      </c>
      <c r="I52" s="856">
        <f>'PC - Abs'!B45</f>
        <v>24</v>
      </c>
      <c r="J52" s="856">
        <f>'PC - Abs'!F45</f>
        <v>11308.8</v>
      </c>
      <c r="K52" s="860"/>
      <c r="L52" s="860"/>
      <c r="M52" s="860"/>
      <c r="N52" s="860"/>
      <c r="O52" s="860"/>
      <c r="P52" s="860"/>
      <c r="Q52" s="860"/>
      <c r="R52" s="860"/>
      <c r="S52" s="860"/>
      <c r="T52" s="860"/>
      <c r="U52" s="860"/>
      <c r="V52" s="860"/>
      <c r="W52" s="860"/>
      <c r="X52" s="860"/>
      <c r="Y52" s="860"/>
      <c r="Z52" s="860"/>
      <c r="AA52" s="860"/>
      <c r="AB52" s="860"/>
      <c r="AC52" s="860"/>
      <c r="AD52" s="860"/>
      <c r="AE52" s="861"/>
      <c r="AF52" s="860"/>
      <c r="AG52" s="858"/>
      <c r="AH52" s="858"/>
      <c r="AI52" s="898"/>
      <c r="AJ52" s="901"/>
    </row>
    <row r="53" spans="1:36" ht="72" customHeight="1">
      <c r="A53" s="853"/>
      <c r="B53" s="854" t="str">
        <f>'PC- Detail'!B299</f>
        <v xml:space="preserve">Painting the New wood work two coats including cost of materials and labours etc.., completed </v>
      </c>
      <c r="C53" s="856"/>
      <c r="D53" s="855"/>
      <c r="E53" s="855">
        <f>'INS - Abs '!B46</f>
        <v>17.650000000000006</v>
      </c>
      <c r="F53" s="855">
        <f>'INS - Abs '!F46</f>
        <v>4668.9545000000007</v>
      </c>
      <c r="G53" s="856">
        <f>'SI - Abs'!B46</f>
        <v>6.1500000000000012</v>
      </c>
      <c r="H53" s="856">
        <f>'SI - Abs'!D46</f>
        <v>264.52999999999997</v>
      </c>
      <c r="I53" s="856">
        <f>'PC - Abs'!B46</f>
        <v>16.354000000000003</v>
      </c>
      <c r="J53" s="856">
        <f>'PC - Abs'!F46</f>
        <v>4326.1236200000003</v>
      </c>
      <c r="K53" s="860"/>
      <c r="L53" s="860"/>
      <c r="M53" s="860"/>
      <c r="N53" s="860"/>
      <c r="O53" s="860"/>
      <c r="P53" s="860"/>
      <c r="Q53" s="860"/>
      <c r="R53" s="860"/>
      <c r="S53" s="860"/>
      <c r="T53" s="860"/>
      <c r="U53" s="860"/>
      <c r="V53" s="860"/>
      <c r="W53" s="860"/>
      <c r="X53" s="860"/>
      <c r="Y53" s="860"/>
      <c r="Z53" s="860"/>
      <c r="AA53" s="860"/>
      <c r="AB53" s="860"/>
      <c r="AC53" s="860"/>
      <c r="AD53" s="860"/>
      <c r="AE53" s="861"/>
      <c r="AF53" s="860"/>
      <c r="AG53" s="858"/>
      <c r="AH53" s="858"/>
      <c r="AI53" s="898"/>
      <c r="AJ53" s="901"/>
    </row>
    <row r="54" spans="1:36" ht="72" customHeight="1">
      <c r="A54" s="853"/>
      <c r="B54" s="854" t="str">
        <f>'sump abs'!B10</f>
        <v>Standardised concrete Mix M20 Grade Concrete for foundation and Basement</v>
      </c>
      <c r="C54" s="856"/>
      <c r="D54" s="855"/>
      <c r="E54" s="855"/>
      <c r="F54" s="855"/>
      <c r="G54" s="856"/>
      <c r="H54" s="856"/>
      <c r="I54" s="856"/>
      <c r="J54" s="856"/>
      <c r="K54" s="860"/>
      <c r="L54" s="860"/>
      <c r="M54" s="860"/>
      <c r="N54" s="860"/>
      <c r="O54" s="860"/>
      <c r="P54" s="860"/>
      <c r="Q54" s="860"/>
      <c r="R54" s="860"/>
      <c r="S54" s="860"/>
      <c r="T54" s="860"/>
      <c r="U54" s="860"/>
      <c r="V54" s="860"/>
      <c r="W54" s="860"/>
      <c r="X54" s="860"/>
      <c r="Y54" s="860"/>
      <c r="Z54" s="860"/>
      <c r="AA54" s="860"/>
      <c r="AB54" s="860"/>
      <c r="AC54" s="860"/>
      <c r="AD54" s="860"/>
      <c r="AE54" s="861"/>
      <c r="AF54" s="860"/>
      <c r="AG54" s="858">
        <f t="shared" si="0"/>
        <v>0</v>
      </c>
      <c r="AH54" s="858">
        <f t="shared" si="1"/>
        <v>0</v>
      </c>
      <c r="AI54" s="898"/>
      <c r="AJ54" s="901"/>
    </row>
    <row r="55" spans="1:36" ht="46.9" customHeight="1">
      <c r="A55" s="853"/>
      <c r="B55" s="854" t="s">
        <v>3694</v>
      </c>
      <c r="C55" s="856"/>
      <c r="D55" s="855"/>
      <c r="E55" s="855"/>
      <c r="F55" s="855"/>
      <c r="G55" s="856"/>
      <c r="H55" s="856"/>
      <c r="I55" s="856"/>
      <c r="J55" s="856"/>
      <c r="K55" s="860"/>
      <c r="L55" s="860"/>
      <c r="M55" s="860"/>
      <c r="N55" s="860"/>
      <c r="O55" s="860"/>
      <c r="P55" s="860"/>
      <c r="Q55" s="860"/>
      <c r="R55" s="860"/>
      <c r="S55" s="860"/>
      <c r="T55" s="860"/>
      <c r="U55" s="860"/>
      <c r="V55" s="860"/>
      <c r="W55" s="860"/>
      <c r="X55" s="860"/>
      <c r="Y55" s="860"/>
      <c r="Z55" s="860"/>
      <c r="AA55" s="860"/>
      <c r="AB55" s="860"/>
      <c r="AC55" s="860">
        <f>'sump abs'!C10</f>
        <v>5.6</v>
      </c>
      <c r="AD55" s="860">
        <f>'sump abs'!D10</f>
        <v>9466.0664780999996</v>
      </c>
      <c r="AE55" s="861"/>
      <c r="AF55" s="860"/>
      <c r="AG55" s="858">
        <f t="shared" si="0"/>
        <v>5.6</v>
      </c>
      <c r="AH55" s="858">
        <f t="shared" si="1"/>
        <v>9466.0664780999996</v>
      </c>
      <c r="AI55" s="898"/>
      <c r="AJ55" s="901"/>
    </row>
    <row r="56" spans="1:36" ht="46.9" customHeight="1">
      <c r="A56" s="853"/>
      <c r="B56" s="854" t="s">
        <v>3695</v>
      </c>
      <c r="C56" s="856"/>
      <c r="D56" s="855"/>
      <c r="E56" s="855"/>
      <c r="F56" s="855"/>
      <c r="G56" s="856"/>
      <c r="H56" s="856"/>
      <c r="I56" s="856"/>
      <c r="J56" s="856"/>
      <c r="K56" s="860"/>
      <c r="L56" s="860"/>
      <c r="M56" s="860"/>
      <c r="N56" s="860"/>
      <c r="O56" s="860"/>
      <c r="P56" s="860"/>
      <c r="Q56" s="860"/>
      <c r="R56" s="860"/>
      <c r="S56" s="860"/>
      <c r="T56" s="860"/>
      <c r="U56" s="860"/>
      <c r="V56" s="860"/>
      <c r="W56" s="860"/>
      <c r="X56" s="860"/>
      <c r="Y56" s="860"/>
      <c r="Z56" s="860"/>
      <c r="AA56" s="860"/>
      <c r="AB56" s="860"/>
      <c r="AC56" s="860"/>
      <c r="AD56" s="860"/>
      <c r="AE56" s="861"/>
      <c r="AF56" s="860"/>
      <c r="AG56" s="858">
        <f t="shared" si="0"/>
        <v>0</v>
      </c>
      <c r="AH56" s="858">
        <f t="shared" si="1"/>
        <v>0</v>
      </c>
      <c r="AI56" s="898"/>
      <c r="AJ56" s="901"/>
    </row>
    <row r="57" spans="1:36" ht="46.9" customHeight="1">
      <c r="A57" s="853"/>
      <c r="B57" s="854" t="s">
        <v>3696</v>
      </c>
      <c r="C57" s="856"/>
      <c r="D57" s="855"/>
      <c r="E57" s="855"/>
      <c r="F57" s="855"/>
      <c r="G57" s="856"/>
      <c r="H57" s="856"/>
      <c r="I57" s="856"/>
      <c r="J57" s="856"/>
      <c r="K57" s="860"/>
      <c r="L57" s="860"/>
      <c r="M57" s="860"/>
      <c r="N57" s="860"/>
      <c r="O57" s="860"/>
      <c r="P57" s="860"/>
      <c r="Q57" s="860"/>
      <c r="R57" s="860"/>
      <c r="S57" s="860"/>
      <c r="T57" s="860"/>
      <c r="U57" s="860"/>
      <c r="V57" s="860"/>
      <c r="W57" s="860"/>
      <c r="X57" s="860"/>
      <c r="Y57" s="860"/>
      <c r="Z57" s="860"/>
      <c r="AA57" s="860"/>
      <c r="AB57" s="860"/>
      <c r="AC57" s="860"/>
      <c r="AD57" s="860"/>
      <c r="AE57" s="861"/>
      <c r="AF57" s="860"/>
      <c r="AG57" s="858">
        <f t="shared" si="0"/>
        <v>0</v>
      </c>
      <c r="AH57" s="858">
        <f t="shared" si="1"/>
        <v>0</v>
      </c>
      <c r="AI57" s="898"/>
      <c r="AJ57" s="901"/>
    </row>
    <row r="58" spans="1:36" ht="46.9" customHeight="1">
      <c r="A58" s="853"/>
      <c r="B58" s="854" t="str">
        <f>'sump abs'!B16</f>
        <v>Form work using MS Sheet</v>
      </c>
      <c r="C58" s="856"/>
      <c r="D58" s="855"/>
      <c r="E58" s="855"/>
      <c r="F58" s="855"/>
      <c r="G58" s="856"/>
      <c r="H58" s="856"/>
      <c r="I58" s="856"/>
      <c r="J58" s="856"/>
      <c r="K58" s="860"/>
      <c r="L58" s="860"/>
      <c r="M58" s="860"/>
      <c r="N58" s="860"/>
      <c r="O58" s="860"/>
      <c r="P58" s="860"/>
      <c r="Q58" s="860"/>
      <c r="R58" s="860"/>
      <c r="S58" s="860"/>
      <c r="T58" s="860"/>
      <c r="U58" s="860"/>
      <c r="V58" s="860"/>
      <c r="W58" s="860"/>
      <c r="X58" s="860"/>
      <c r="Y58" s="860"/>
      <c r="Z58" s="860"/>
      <c r="AA58" s="860"/>
      <c r="AB58" s="860"/>
      <c r="AC58" s="860"/>
      <c r="AD58" s="860"/>
      <c r="AE58" s="861"/>
      <c r="AF58" s="860"/>
      <c r="AG58" s="858">
        <f t="shared" si="0"/>
        <v>0</v>
      </c>
      <c r="AH58" s="858">
        <f t="shared" si="1"/>
        <v>0</v>
      </c>
      <c r="AI58" s="898"/>
      <c r="AJ58" s="901"/>
    </row>
    <row r="59" spans="1:36" ht="46.9" customHeight="1">
      <c r="A59" s="853"/>
      <c r="B59" s="854" t="e">
        <f>'sump abs'!B17</f>
        <v>#REF!</v>
      </c>
      <c r="C59" s="856"/>
      <c r="D59" s="855"/>
      <c r="E59" s="855"/>
      <c r="F59" s="855"/>
      <c r="G59" s="856"/>
      <c r="H59" s="856"/>
      <c r="I59" s="856"/>
      <c r="J59" s="856"/>
      <c r="K59" s="860"/>
      <c r="L59" s="860"/>
      <c r="M59" s="860"/>
      <c r="N59" s="860"/>
      <c r="O59" s="860"/>
      <c r="P59" s="860"/>
      <c r="Q59" s="860"/>
      <c r="R59" s="860"/>
      <c r="S59" s="860"/>
      <c r="T59" s="860"/>
      <c r="U59" s="860"/>
      <c r="V59" s="860"/>
      <c r="W59" s="860"/>
      <c r="X59" s="860"/>
      <c r="Y59" s="860"/>
      <c r="Z59" s="860"/>
      <c r="AA59" s="860"/>
      <c r="AB59" s="860"/>
      <c r="AC59" s="860" t="e">
        <f>'sump abs'!C17</f>
        <v>#REF!</v>
      </c>
      <c r="AD59" s="860">
        <f>'sump abs'!D17</f>
        <v>1001.4532549999999</v>
      </c>
      <c r="AE59" s="861"/>
      <c r="AF59" s="860"/>
      <c r="AG59" s="858" t="e">
        <f t="shared" si="0"/>
        <v>#REF!</v>
      </c>
      <c r="AH59" s="858">
        <f t="shared" si="1"/>
        <v>1001.4532549999999</v>
      </c>
      <c r="AI59" s="898"/>
      <c r="AJ59" s="901"/>
    </row>
    <row r="60" spans="1:36" ht="46.9" customHeight="1">
      <c r="A60" s="853"/>
      <c r="B60" s="854" t="e">
        <f>'sump abs'!B18</f>
        <v>#REF!</v>
      </c>
      <c r="C60" s="856"/>
      <c r="D60" s="855"/>
      <c r="E60" s="855"/>
      <c r="F60" s="855"/>
      <c r="G60" s="856"/>
      <c r="H60" s="856"/>
      <c r="I60" s="856"/>
      <c r="J60" s="856"/>
      <c r="K60" s="860"/>
      <c r="L60" s="860"/>
      <c r="M60" s="860"/>
      <c r="N60" s="860"/>
      <c r="O60" s="860"/>
      <c r="P60" s="860"/>
      <c r="Q60" s="860"/>
      <c r="R60" s="860"/>
      <c r="S60" s="860"/>
      <c r="T60" s="860"/>
      <c r="U60" s="860"/>
      <c r="V60" s="860"/>
      <c r="W60" s="860"/>
      <c r="X60" s="860"/>
      <c r="Y60" s="860"/>
      <c r="Z60" s="860"/>
      <c r="AA60" s="860"/>
      <c r="AB60" s="860"/>
      <c r="AC60" s="860" t="e">
        <f>'sump abs'!C18</f>
        <v>#REF!</v>
      </c>
      <c r="AD60" s="860">
        <f>'sump abs'!D18</f>
        <v>1221.18</v>
      </c>
      <c r="AE60" s="861"/>
      <c r="AF60" s="860"/>
      <c r="AG60" s="858" t="e">
        <f t="shared" si="0"/>
        <v>#REF!</v>
      </c>
      <c r="AH60" s="858">
        <f t="shared" si="1"/>
        <v>1221.18</v>
      </c>
      <c r="AI60" s="898"/>
      <c r="AJ60" s="901"/>
    </row>
    <row r="61" spans="1:36" ht="46.9" customHeight="1">
      <c r="A61" s="853"/>
      <c r="B61" s="854" t="str">
        <f>'sump abs'!B15</f>
        <v>Supplying and fixing of CI Steps (5Kg)</v>
      </c>
      <c r="C61" s="856"/>
      <c r="D61" s="855"/>
      <c r="E61" s="855"/>
      <c r="F61" s="855"/>
      <c r="G61" s="856"/>
      <c r="H61" s="856"/>
      <c r="I61" s="856"/>
      <c r="J61" s="856"/>
      <c r="K61" s="860"/>
      <c r="L61" s="860"/>
      <c r="M61" s="860"/>
      <c r="N61" s="860"/>
      <c r="O61" s="860"/>
      <c r="P61" s="860"/>
      <c r="Q61" s="860"/>
      <c r="R61" s="860"/>
      <c r="S61" s="860"/>
      <c r="T61" s="860"/>
      <c r="U61" s="860"/>
      <c r="V61" s="860"/>
      <c r="W61" s="860"/>
      <c r="X61" s="860"/>
      <c r="Y61" s="860"/>
      <c r="Z61" s="860"/>
      <c r="AA61" s="860"/>
      <c r="AB61" s="860"/>
      <c r="AC61" s="860" t="e">
        <f>'sump abs'!C15</f>
        <v>#REF!</v>
      </c>
      <c r="AD61" s="860">
        <f>'sump abs'!D15</f>
        <v>30</v>
      </c>
      <c r="AE61" s="861"/>
      <c r="AF61" s="860"/>
      <c r="AG61" s="858" t="e">
        <f t="shared" si="0"/>
        <v>#REF!</v>
      </c>
      <c r="AH61" s="858">
        <f t="shared" si="1"/>
        <v>30</v>
      </c>
      <c r="AI61" s="898"/>
      <c r="AJ61" s="901"/>
    </row>
    <row r="62" spans="1:36" ht="46.9" customHeight="1">
      <c r="A62" s="853"/>
      <c r="B62" s="854" t="str">
        <f>'sump abs'!B19</f>
        <v xml:space="preserve">Supplying ,fbrication and placing in position of MS/RTS Grills </v>
      </c>
      <c r="C62" s="856"/>
      <c r="D62" s="855"/>
      <c r="E62" s="855"/>
      <c r="F62" s="855"/>
      <c r="G62" s="856"/>
      <c r="H62" s="856"/>
      <c r="I62" s="856"/>
      <c r="J62" s="856"/>
      <c r="K62" s="860"/>
      <c r="L62" s="860"/>
      <c r="M62" s="860"/>
      <c r="N62" s="860"/>
      <c r="O62" s="860"/>
      <c r="P62" s="860"/>
      <c r="Q62" s="860"/>
      <c r="R62" s="860"/>
      <c r="S62" s="860"/>
      <c r="T62" s="860"/>
      <c r="U62" s="860"/>
      <c r="V62" s="860"/>
      <c r="W62" s="860"/>
      <c r="X62" s="860"/>
      <c r="Y62" s="860"/>
      <c r="Z62" s="860"/>
      <c r="AA62" s="860"/>
      <c r="AB62" s="860"/>
      <c r="AC62" s="860" t="e">
        <f>'sump abs'!C19</f>
        <v>#REF!</v>
      </c>
      <c r="AD62" s="860">
        <f>'sump abs'!D19</f>
        <v>88856</v>
      </c>
      <c r="AE62" s="861"/>
      <c r="AF62" s="860"/>
      <c r="AG62" s="858" t="e">
        <f t="shared" si="0"/>
        <v>#REF!</v>
      </c>
      <c r="AH62" s="858">
        <f t="shared" si="1"/>
        <v>88856</v>
      </c>
      <c r="AI62" s="898"/>
      <c r="AJ62" s="901"/>
    </row>
    <row r="63" spans="1:36" ht="46.9" customHeight="1">
      <c r="A63" s="853"/>
      <c r="B63" s="854" t="str">
        <f>'sump abs'!B20</f>
        <v>Supplying and fixing of CI Man Hole cover slab 60 x 60</v>
      </c>
      <c r="C63" s="856"/>
      <c r="D63" s="855"/>
      <c r="E63" s="855"/>
      <c r="F63" s="855"/>
      <c r="G63" s="856"/>
      <c r="H63" s="856"/>
      <c r="I63" s="856"/>
      <c r="J63" s="856"/>
      <c r="K63" s="860"/>
      <c r="L63" s="860"/>
      <c r="M63" s="860"/>
      <c r="N63" s="860"/>
      <c r="O63" s="860"/>
      <c r="P63" s="860"/>
      <c r="Q63" s="860"/>
      <c r="R63" s="860"/>
      <c r="S63" s="860"/>
      <c r="T63" s="860"/>
      <c r="U63" s="860"/>
      <c r="V63" s="860"/>
      <c r="W63" s="860"/>
      <c r="X63" s="860"/>
      <c r="Y63" s="860"/>
      <c r="Z63" s="860"/>
      <c r="AA63" s="860"/>
      <c r="AB63" s="860"/>
      <c r="AC63" s="860" t="e">
        <f>'sump abs'!C20</f>
        <v>#REF!</v>
      </c>
      <c r="AD63" s="860">
        <f>'sump abs'!D20</f>
        <v>1846</v>
      </c>
      <c r="AE63" s="861"/>
      <c r="AF63" s="860"/>
      <c r="AG63" s="858" t="e">
        <f t="shared" si="0"/>
        <v>#REF!</v>
      </c>
      <c r="AH63" s="858">
        <f t="shared" si="1"/>
        <v>1846</v>
      </c>
      <c r="AI63" s="898"/>
      <c r="AJ63" s="901"/>
    </row>
    <row r="64" spans="1:36" ht="69.75">
      <c r="A64" s="864"/>
      <c r="B64" s="854" t="str">
        <f>'IN- Elec - Abs '!C6</f>
        <v xml:space="preserve">Wiring with 1.5sqmm pvc multistrand copper cable including cost of materials and labours etc.., completed </v>
      </c>
      <c r="C64" s="856"/>
      <c r="D64" s="855"/>
      <c r="E64" s="860"/>
      <c r="F64" s="865"/>
      <c r="G64" s="860"/>
      <c r="H64" s="860"/>
      <c r="I64" s="860"/>
      <c r="J64" s="860"/>
      <c r="K64" s="860"/>
      <c r="L64" s="860"/>
      <c r="M64" s="860"/>
      <c r="N64" s="860"/>
      <c r="O64" s="860"/>
      <c r="P64" s="860"/>
      <c r="Q64" s="860"/>
      <c r="R64" s="860"/>
      <c r="S64" s="860"/>
      <c r="T64" s="860"/>
      <c r="U64" s="860"/>
      <c r="V64" s="860"/>
      <c r="W64" s="860"/>
      <c r="X64" s="860"/>
      <c r="Y64" s="860"/>
      <c r="Z64" s="860"/>
      <c r="AA64" s="860"/>
      <c r="AB64" s="860"/>
      <c r="AC64" s="860"/>
      <c r="AD64" s="860"/>
      <c r="AE64" s="861"/>
      <c r="AF64" s="860"/>
      <c r="AG64" s="858">
        <f t="shared" si="0"/>
        <v>0</v>
      </c>
      <c r="AH64" s="858">
        <f t="shared" si="1"/>
        <v>0</v>
      </c>
      <c r="AI64" s="898"/>
      <c r="AJ64" s="898"/>
    </row>
    <row r="65" spans="1:36" ht="36" customHeight="1">
      <c r="A65" s="864"/>
      <c r="B65" s="854" t="str">
        <f>'IN- Elec - Abs '!C7</f>
        <v>a)Light point with ceiling rose</v>
      </c>
      <c r="C65" s="856"/>
      <c r="D65" s="855"/>
      <c r="E65" s="860"/>
      <c r="F65" s="865"/>
      <c r="G65" s="860"/>
      <c r="H65" s="860"/>
      <c r="I65" s="860"/>
      <c r="J65" s="860"/>
      <c r="K65" s="860"/>
      <c r="L65" s="860"/>
      <c r="M65" s="860"/>
      <c r="N65" s="860"/>
      <c r="O65" s="860"/>
      <c r="P65" s="860"/>
      <c r="Q65" s="860"/>
      <c r="R65" s="860"/>
      <c r="S65" s="860"/>
      <c r="T65" s="860"/>
      <c r="U65" s="860"/>
      <c r="V65" s="860"/>
      <c r="W65" s="860">
        <f>'IN- Elec - Abs '!B7</f>
        <v>45</v>
      </c>
      <c r="X65" s="860" t="e">
        <f>'IN- Elec - Abs '!F7</f>
        <v>#REF!</v>
      </c>
      <c r="Y65" s="860">
        <f>'SI- Elec - Abs  '!B7</f>
        <v>66</v>
      </c>
      <c r="Z65" s="860" t="e">
        <f>'SI- Elec - Abs  '!F7</f>
        <v>#REF!</v>
      </c>
      <c r="AA65" s="860">
        <f>'PC- Elec - Abs'!B7</f>
        <v>144</v>
      </c>
      <c r="AB65" s="860" t="e">
        <f>'PC- Elec - Abs'!F7</f>
        <v>#REF!</v>
      </c>
      <c r="AC65" s="860"/>
      <c r="AD65" s="860"/>
      <c r="AE65" s="861"/>
      <c r="AF65" s="860"/>
      <c r="AG65" s="858">
        <f t="shared" si="0"/>
        <v>0</v>
      </c>
      <c r="AH65" s="858">
        <f t="shared" si="1"/>
        <v>0</v>
      </c>
      <c r="AI65" s="898"/>
      <c r="AJ65" s="901"/>
    </row>
    <row r="66" spans="1:36" ht="32.450000000000003" customHeight="1">
      <c r="A66" s="864"/>
      <c r="B66" s="854" t="str">
        <f>'IN- Elec - Abs '!C8</f>
        <v>b) light point with pattern type bakelite holder</v>
      </c>
      <c r="C66" s="863"/>
      <c r="D66" s="855"/>
      <c r="E66" s="860"/>
      <c r="F66" s="865"/>
      <c r="G66" s="860"/>
      <c r="H66" s="860"/>
      <c r="I66" s="860"/>
      <c r="J66" s="860"/>
      <c r="K66" s="860"/>
      <c r="L66" s="860"/>
      <c r="M66" s="860"/>
      <c r="N66" s="860"/>
      <c r="O66" s="860"/>
      <c r="P66" s="860"/>
      <c r="Q66" s="860"/>
      <c r="R66" s="860"/>
      <c r="S66" s="860"/>
      <c r="T66" s="860"/>
      <c r="U66" s="860"/>
      <c r="V66" s="860"/>
      <c r="W66" s="860">
        <f>'IN- Elec - Abs '!B8</f>
        <v>25</v>
      </c>
      <c r="X66" s="860" t="e">
        <f>'IN- Elec - Abs '!F8</f>
        <v>#REF!</v>
      </c>
      <c r="Y66" s="860">
        <f>'SI- Elec - Abs  '!B8</f>
        <v>24</v>
      </c>
      <c r="Z66" s="860" t="e">
        <f>'SI- Elec - Abs  '!F8</f>
        <v>#REF!</v>
      </c>
      <c r="AA66" s="860">
        <f>'PC- Elec - Abs'!B8</f>
        <v>96</v>
      </c>
      <c r="AB66" s="860" t="e">
        <f>'PC- Elec - Abs'!F8</f>
        <v>#REF!</v>
      </c>
      <c r="AC66" s="860"/>
      <c r="AD66" s="860"/>
      <c r="AE66" s="861"/>
      <c r="AF66" s="860"/>
      <c r="AG66" s="858">
        <f t="shared" si="0"/>
        <v>0</v>
      </c>
      <c r="AH66" s="858">
        <f t="shared" si="1"/>
        <v>0</v>
      </c>
      <c r="AI66" s="898"/>
      <c r="AJ66" s="901"/>
    </row>
    <row r="67" spans="1:36" ht="25.5" customHeight="1">
      <c r="A67" s="864"/>
      <c r="B67" s="854" t="str">
        <f>'IN- Elec - Abs '!C9</f>
        <v xml:space="preserve">Supply and fixing for 5 amps 5pinplug for switch board itself including cost of materials and labours etc.., completed </v>
      </c>
      <c r="C67" s="863"/>
      <c r="D67" s="855"/>
      <c r="E67" s="860"/>
      <c r="F67" s="865"/>
      <c r="G67" s="860"/>
      <c r="H67" s="860"/>
      <c r="I67" s="860"/>
      <c r="J67" s="860"/>
      <c r="K67" s="860"/>
      <c r="L67" s="860"/>
      <c r="M67" s="860"/>
      <c r="N67" s="860"/>
      <c r="O67" s="860"/>
      <c r="P67" s="860"/>
      <c r="Q67" s="860"/>
      <c r="R67" s="860"/>
      <c r="S67" s="860"/>
      <c r="T67" s="860"/>
      <c r="U67" s="860"/>
      <c r="V67" s="860"/>
      <c r="W67" s="860">
        <f>'IN- Elec - Abs '!B9</f>
        <v>5</v>
      </c>
      <c r="X67" s="860" t="e">
        <f>'IN- Elec - Abs '!F9</f>
        <v>#REF!</v>
      </c>
      <c r="Y67" s="860" t="e">
        <f>'SI- Elec - Abs  '!B9</f>
        <v>#REF!</v>
      </c>
      <c r="Z67" s="860" t="e">
        <f>'SI- Elec - Abs  '!F9</f>
        <v>#REF!</v>
      </c>
      <c r="AA67" s="860">
        <f>'PC- Elec - Abs'!B9</f>
        <v>72</v>
      </c>
      <c r="AB67" s="860" t="e">
        <f>'PC- Elec - Abs'!F9</f>
        <v>#REF!</v>
      </c>
      <c r="AC67" s="860"/>
      <c r="AD67" s="860"/>
      <c r="AE67" s="861"/>
      <c r="AF67" s="860"/>
      <c r="AG67" s="858">
        <f t="shared" si="0"/>
        <v>0</v>
      </c>
      <c r="AH67" s="858">
        <f t="shared" si="1"/>
        <v>0</v>
      </c>
      <c r="AI67" s="898"/>
      <c r="AJ67" s="901"/>
    </row>
    <row r="68" spans="1:36" ht="76.150000000000006" customHeight="1">
      <c r="A68" s="864"/>
      <c r="B68" s="854" t="str">
        <f>'IN- Elec - Abs '!C10</f>
        <v xml:space="preserve">Supply and fixing for 5 amps 5 pin plug for convenient places including cost of materials and labours etc.., completed </v>
      </c>
      <c r="C68" s="863"/>
      <c r="D68" s="855"/>
      <c r="E68" s="860"/>
      <c r="F68" s="865"/>
      <c r="G68" s="860"/>
      <c r="H68" s="860"/>
      <c r="I68" s="860"/>
      <c r="J68" s="860"/>
      <c r="K68" s="860"/>
      <c r="L68" s="860"/>
      <c r="M68" s="860"/>
      <c r="N68" s="860"/>
      <c r="O68" s="860"/>
      <c r="P68" s="860"/>
      <c r="Q68" s="860"/>
      <c r="R68" s="860"/>
      <c r="S68" s="860"/>
      <c r="T68" s="860"/>
      <c r="U68" s="860"/>
      <c r="V68" s="860"/>
      <c r="W68" s="860">
        <f>'IN- Elec - Abs '!B10</f>
        <v>20</v>
      </c>
      <c r="X68" s="860" t="e">
        <f>'IN- Elec - Abs '!F10</f>
        <v>#REF!</v>
      </c>
      <c r="Y68" s="860">
        <f>'SI- Elec - Abs  '!B10</f>
        <v>24</v>
      </c>
      <c r="Z68" s="860" t="e">
        <f>'SI- Elec - Abs  '!F10</f>
        <v>#REF!</v>
      </c>
      <c r="AA68" s="860">
        <f>'PC- Elec - Abs'!B10</f>
        <v>72</v>
      </c>
      <c r="AB68" s="860" t="e">
        <f>'PC- Elec - Abs'!F10</f>
        <v>#REF!</v>
      </c>
      <c r="AC68" s="860"/>
      <c r="AD68" s="860"/>
      <c r="AE68" s="861"/>
      <c r="AF68" s="860"/>
      <c r="AG68" s="858">
        <f t="shared" si="0"/>
        <v>0</v>
      </c>
      <c r="AH68" s="858">
        <f t="shared" si="1"/>
        <v>0</v>
      </c>
      <c r="AI68" s="898"/>
      <c r="AJ68" s="901"/>
    </row>
    <row r="69" spans="1:36" ht="64.150000000000006" customHeight="1">
      <c r="A69" s="864"/>
      <c r="B69" s="854" t="str">
        <f>'IN- Elec - Abs '!C11</f>
        <v xml:space="preserve">Supply and fixing 15 amps power plug including cost of materials and labours etc.., completed </v>
      </c>
      <c r="C69" s="863"/>
      <c r="D69" s="855"/>
      <c r="E69" s="860"/>
      <c r="F69" s="865"/>
      <c r="G69" s="860"/>
      <c r="H69" s="860"/>
      <c r="I69" s="860"/>
      <c r="J69" s="860"/>
      <c r="K69" s="860"/>
      <c r="L69" s="860"/>
      <c r="M69" s="860"/>
      <c r="N69" s="860"/>
      <c r="O69" s="860"/>
      <c r="P69" s="860"/>
      <c r="Q69" s="860"/>
      <c r="R69" s="860"/>
      <c r="S69" s="860"/>
      <c r="T69" s="860"/>
      <c r="U69" s="860"/>
      <c r="V69" s="860"/>
      <c r="W69" s="860">
        <f>'IN- Elec - Abs '!B11</f>
        <v>25</v>
      </c>
      <c r="X69" s="860" t="e">
        <f>'IN- Elec - Abs '!F11</f>
        <v>#REF!</v>
      </c>
      <c r="Y69" s="860">
        <f>'SI- Elec - Abs  '!B11</f>
        <v>34</v>
      </c>
      <c r="Z69" s="860" t="e">
        <f>'SI- Elec - Abs  '!F11</f>
        <v>#REF!</v>
      </c>
      <c r="AA69" s="860">
        <f>'PC- Elec - Abs'!B11</f>
        <v>120</v>
      </c>
      <c r="AB69" s="860" t="e">
        <f>'PC- Elec - Abs'!F11</f>
        <v>#REF!</v>
      </c>
      <c r="AC69" s="860"/>
      <c r="AD69" s="860"/>
      <c r="AE69" s="861"/>
      <c r="AF69" s="860"/>
      <c r="AG69" s="858">
        <f t="shared" si="0"/>
        <v>0</v>
      </c>
      <c r="AH69" s="858">
        <f t="shared" si="1"/>
        <v>0</v>
      </c>
      <c r="AI69" s="898"/>
      <c r="AJ69" s="901"/>
    </row>
    <row r="70" spans="1:36" ht="54" customHeight="1">
      <c r="A70" s="864"/>
      <c r="B70" s="854" t="str">
        <f>'IN- Elec - Abs '!C12</f>
        <v xml:space="preserve">Supplying and fixing of bulkhead fittings including cost of materials and labours etc.., completed </v>
      </c>
      <c r="C70" s="856"/>
      <c r="D70" s="855"/>
      <c r="E70" s="860"/>
      <c r="F70" s="865"/>
      <c r="G70" s="860"/>
      <c r="H70" s="860"/>
      <c r="I70" s="860"/>
      <c r="J70" s="860"/>
      <c r="K70" s="860"/>
      <c r="L70" s="860"/>
      <c r="M70" s="860"/>
      <c r="N70" s="860"/>
      <c r="O70" s="860"/>
      <c r="P70" s="860"/>
      <c r="Q70" s="860"/>
      <c r="R70" s="860"/>
      <c r="S70" s="860"/>
      <c r="T70" s="860"/>
      <c r="U70" s="860"/>
      <c r="V70" s="860"/>
      <c r="W70" s="860">
        <f>'IN- Elec - Abs '!B12</f>
        <v>10</v>
      </c>
      <c r="X70" s="860" t="e">
        <f>'IN- Elec - Abs '!F12</f>
        <v>#REF!</v>
      </c>
      <c r="Y70" s="860">
        <f>'SI- Elec - Abs  '!B12</f>
        <v>8</v>
      </c>
      <c r="Z70" s="860" t="e">
        <f>'SI- Elec - Abs  '!F12</f>
        <v>#REF!</v>
      </c>
      <c r="AA70" s="860">
        <f>'PC- Elec - Abs'!B12</f>
        <v>24</v>
      </c>
      <c r="AB70" s="860" t="e">
        <f>'PC- Elec - Abs'!F12</f>
        <v>#REF!</v>
      </c>
      <c r="AC70" s="860"/>
      <c r="AD70" s="860"/>
      <c r="AE70" s="861"/>
      <c r="AF70" s="860"/>
      <c r="AG70" s="858">
        <f t="shared" si="0"/>
        <v>0</v>
      </c>
      <c r="AH70" s="858">
        <f t="shared" si="1"/>
        <v>0</v>
      </c>
      <c r="AI70" s="898"/>
      <c r="AJ70" s="901"/>
    </row>
    <row r="71" spans="1:36" ht="66.599999999999994" customHeight="1">
      <c r="A71" s="864"/>
      <c r="B71" s="854" t="str">
        <f>'IN- Elec - Abs '!C13</f>
        <v xml:space="preserve">Supplying and fixing of LED Bulbs  including cost of materials and labours etc.., completed </v>
      </c>
      <c r="C71" s="856"/>
      <c r="D71" s="855"/>
      <c r="E71" s="860"/>
      <c r="F71" s="865"/>
      <c r="G71" s="860"/>
      <c r="H71" s="860"/>
      <c r="I71" s="860"/>
      <c r="J71" s="860"/>
      <c r="K71" s="860"/>
      <c r="L71" s="860"/>
      <c r="M71" s="860"/>
      <c r="N71" s="860"/>
      <c r="O71" s="860"/>
      <c r="P71" s="860"/>
      <c r="Q71" s="860"/>
      <c r="R71" s="860"/>
      <c r="S71" s="860"/>
      <c r="T71" s="860"/>
      <c r="U71" s="860"/>
      <c r="V71" s="860"/>
      <c r="W71" s="860">
        <f>'IN- Elec - Abs '!B13</f>
        <v>0</v>
      </c>
      <c r="X71" s="860">
        <f>'IN- Elec - Abs '!F13</f>
        <v>0</v>
      </c>
      <c r="Y71" s="860">
        <f>'SI- Elec - Abs  '!B13</f>
        <v>0</v>
      </c>
      <c r="Z71" s="860">
        <f>'SI- Elec - Abs  '!F13</f>
        <v>0</v>
      </c>
      <c r="AA71" s="860">
        <f>'PC- Elec - Abs'!B13</f>
        <v>0</v>
      </c>
      <c r="AB71" s="860">
        <f>'PC- Elec - Abs'!F13</f>
        <v>0</v>
      </c>
      <c r="AC71" s="860"/>
      <c r="AD71" s="860"/>
      <c r="AE71" s="861"/>
      <c r="AF71" s="860"/>
      <c r="AG71" s="858">
        <f t="shared" si="0"/>
        <v>0</v>
      </c>
      <c r="AH71" s="858">
        <f t="shared" si="1"/>
        <v>0</v>
      </c>
      <c r="AI71" s="898"/>
      <c r="AJ71" s="901"/>
    </row>
    <row r="72" spans="1:36" s="875" customFormat="1" ht="45" customHeight="1">
      <c r="A72" s="864"/>
      <c r="B72" s="854" t="str">
        <f>'IN- Elec - Abs '!C14</f>
        <v>12 watts</v>
      </c>
      <c r="C72" s="856"/>
      <c r="D72" s="855"/>
      <c r="E72" s="860"/>
      <c r="F72" s="865"/>
      <c r="G72" s="860"/>
      <c r="H72" s="860"/>
      <c r="I72" s="860"/>
      <c r="J72" s="860"/>
      <c r="K72" s="860"/>
      <c r="L72" s="860"/>
      <c r="M72" s="860"/>
      <c r="N72" s="860"/>
      <c r="O72" s="860"/>
      <c r="P72" s="860"/>
      <c r="Q72" s="860"/>
      <c r="R72" s="860"/>
      <c r="S72" s="860"/>
      <c r="T72" s="860"/>
      <c r="U72" s="860"/>
      <c r="V72" s="860"/>
      <c r="W72" s="860">
        <f>'IN- Elec - Abs '!B14</f>
        <v>14</v>
      </c>
      <c r="X72" s="860">
        <f>'IN- Elec - Abs '!F14</f>
        <v>2380</v>
      </c>
      <c r="Y72" s="860">
        <f>'SI- Elec - Abs  '!B14</f>
        <v>16</v>
      </c>
      <c r="Z72" s="860">
        <f>'SI- Elec - Abs  '!F14</f>
        <v>2720</v>
      </c>
      <c r="AA72" s="860">
        <f>'PC- Elec - Abs'!B14</f>
        <v>30</v>
      </c>
      <c r="AB72" s="860">
        <f>'PC- Elec - Abs'!F14</f>
        <v>5100</v>
      </c>
      <c r="AC72" s="860"/>
      <c r="AD72" s="860"/>
      <c r="AE72" s="861"/>
      <c r="AF72" s="860"/>
      <c r="AG72" s="858">
        <f t="shared" si="0"/>
        <v>0</v>
      </c>
      <c r="AH72" s="858">
        <f t="shared" si="1"/>
        <v>0</v>
      </c>
      <c r="AI72" s="901"/>
      <c r="AJ72" s="901"/>
    </row>
    <row r="73" spans="1:36" ht="69.75" customHeight="1">
      <c r="A73" s="864"/>
      <c r="B73" s="854" t="str">
        <f>'IN- Elec - Abs '!C15</f>
        <v xml:space="preserve">Suplying and Fixing of LED 4'-18 watts Tube Light including cost of materials and labours etc.., completed </v>
      </c>
      <c r="C73" s="863"/>
      <c r="D73" s="855"/>
      <c r="E73" s="860"/>
      <c r="F73" s="865"/>
      <c r="G73" s="860"/>
      <c r="H73" s="860"/>
      <c r="I73" s="860"/>
      <c r="J73" s="860"/>
      <c r="K73" s="860"/>
      <c r="L73" s="860"/>
      <c r="M73" s="860"/>
      <c r="N73" s="860"/>
      <c r="O73" s="860"/>
      <c r="P73" s="860"/>
      <c r="Q73" s="860"/>
      <c r="R73" s="860"/>
      <c r="S73" s="860"/>
      <c r="T73" s="860"/>
      <c r="U73" s="860"/>
      <c r="V73" s="860"/>
      <c r="W73" s="860">
        <f>'IN- Elec - Abs '!B15</f>
        <v>25</v>
      </c>
      <c r="X73" s="860">
        <f>'IN- Elec - Abs '!F15</f>
        <v>15875</v>
      </c>
      <c r="Y73" s="860">
        <f>'SI- Elec - Abs  '!B15</f>
        <v>32</v>
      </c>
      <c r="Z73" s="860">
        <f>'SI- Elec - Abs  '!F15</f>
        <v>20320</v>
      </c>
      <c r="AA73" s="860">
        <f>'PC- Elec - Abs'!B15</f>
        <v>96</v>
      </c>
      <c r="AB73" s="860">
        <f>'PC- Elec - Abs'!F15</f>
        <v>60960</v>
      </c>
      <c r="AC73" s="860"/>
      <c r="AD73" s="860"/>
      <c r="AE73" s="861"/>
      <c r="AF73" s="860"/>
      <c r="AG73" s="858">
        <f t="shared" ref="AG73:AG84" si="2">E73+G73+I73+K73+M73+O73+Q73+S73+U73+AC73</f>
        <v>0</v>
      </c>
      <c r="AH73" s="858">
        <f t="shared" ref="AH73:AH84" si="3">AD73+V73+T73+R73+P73+N73+L73+J73+H73+F73</f>
        <v>0</v>
      </c>
      <c r="AI73" s="898"/>
      <c r="AJ73" s="901"/>
    </row>
    <row r="74" spans="1:36" ht="69" customHeight="1">
      <c r="A74" s="864"/>
      <c r="B74" s="854" t="str">
        <f>'IN- Elec - Abs '!C16</f>
        <v xml:space="preserve">Supplying and fixing of 25W LED street light fittings including cost of materials and labours etc.., completed </v>
      </c>
      <c r="C74" s="856"/>
      <c r="D74" s="855"/>
      <c r="E74" s="860"/>
      <c r="F74" s="865"/>
      <c r="G74" s="860"/>
      <c r="H74" s="860"/>
      <c r="I74" s="860"/>
      <c r="J74" s="860"/>
      <c r="K74" s="860"/>
      <c r="L74" s="860"/>
      <c r="M74" s="860"/>
      <c r="N74" s="860"/>
      <c r="O74" s="860"/>
      <c r="P74" s="860"/>
      <c r="Q74" s="860"/>
      <c r="R74" s="860"/>
      <c r="S74" s="860"/>
      <c r="T74" s="860"/>
      <c r="U74" s="860"/>
      <c r="V74" s="860"/>
      <c r="W74" s="860">
        <f>'IN- Elec - Abs '!B16</f>
        <v>10</v>
      </c>
      <c r="X74" s="860" t="e">
        <f>'IN- Elec - Abs '!F16</f>
        <v>#REF!</v>
      </c>
      <c r="Y74" s="860">
        <f>'SI- Elec - Abs  '!B16</f>
        <v>10</v>
      </c>
      <c r="Z74" s="860" t="e">
        <f>'SI- Elec - Abs  '!F16</f>
        <v>#REF!</v>
      </c>
      <c r="AA74" s="860">
        <f>'PC- Elec - Abs'!B16</f>
        <v>18</v>
      </c>
      <c r="AB74" s="860" t="e">
        <f>'PC- Elec - Abs'!F16</f>
        <v>#REF!</v>
      </c>
      <c r="AC74" s="860"/>
      <c r="AD74" s="860"/>
      <c r="AE74" s="861"/>
      <c r="AF74" s="860"/>
      <c r="AG74" s="858">
        <f t="shared" si="2"/>
        <v>0</v>
      </c>
      <c r="AH74" s="858">
        <f t="shared" si="3"/>
        <v>0</v>
      </c>
      <c r="AI74" s="898"/>
      <c r="AJ74" s="898"/>
    </row>
    <row r="75" spans="1:36" ht="69.75" customHeight="1">
      <c r="A75" s="864"/>
      <c r="B75" s="854" t="str">
        <f>'IN- Elec - Abs '!C17</f>
        <v xml:space="preserve">Run off  2 wire of 2.5 sq mm multi strand flexible cable including cost of materials and labours etc.., completed </v>
      </c>
      <c r="C75" s="863"/>
      <c r="D75" s="855"/>
      <c r="E75" s="860"/>
      <c r="F75" s="865"/>
      <c r="G75" s="860"/>
      <c r="H75" s="860"/>
      <c r="I75" s="860"/>
      <c r="J75" s="860"/>
      <c r="K75" s="860"/>
      <c r="L75" s="860"/>
      <c r="M75" s="860"/>
      <c r="N75" s="860"/>
      <c r="O75" s="860"/>
      <c r="P75" s="860"/>
      <c r="Q75" s="860"/>
      <c r="R75" s="860"/>
      <c r="S75" s="860"/>
      <c r="T75" s="860"/>
      <c r="U75" s="860"/>
      <c r="V75" s="860"/>
      <c r="W75" s="860">
        <f>'IN- Elec - Abs '!B17</f>
        <v>200</v>
      </c>
      <c r="X75" s="860" t="e">
        <f>'IN- Elec - Abs '!F17</f>
        <v>#REF!</v>
      </c>
      <c r="Y75" s="860">
        <f>'SI- Elec - Abs  '!B17</f>
        <v>400</v>
      </c>
      <c r="Z75" s="860" t="e">
        <f>'SI- Elec - Abs  '!F17</f>
        <v>#REF!</v>
      </c>
      <c r="AA75" s="860">
        <f>'PC- Elec - Abs'!B17</f>
        <v>840</v>
      </c>
      <c r="AB75" s="860" t="e">
        <f>'PC- Elec - Abs'!F17</f>
        <v>#REF!</v>
      </c>
      <c r="AC75" s="860"/>
      <c r="AD75" s="860"/>
      <c r="AE75" s="861"/>
      <c r="AF75" s="860"/>
      <c r="AG75" s="858">
        <f t="shared" si="2"/>
        <v>0</v>
      </c>
      <c r="AH75" s="858">
        <f t="shared" si="3"/>
        <v>0</v>
      </c>
      <c r="AI75" s="898"/>
      <c r="AJ75" s="901"/>
    </row>
    <row r="76" spans="1:36" ht="75" customHeight="1">
      <c r="A76" s="864"/>
      <c r="B76" s="854" t="str">
        <f>'IN- Elec - Abs '!C18</f>
        <v>Run off 4 x 4  Sq mm copper PVC insulated unsheathed single core cable for Single phase EB service connection</v>
      </c>
      <c r="C76" s="863"/>
      <c r="D76" s="855"/>
      <c r="E76" s="860"/>
      <c r="F76" s="865"/>
      <c r="G76" s="860"/>
      <c r="H76" s="860"/>
      <c r="I76" s="860"/>
      <c r="J76" s="860"/>
      <c r="K76" s="860"/>
      <c r="L76" s="860"/>
      <c r="M76" s="860"/>
      <c r="N76" s="860"/>
      <c r="O76" s="860"/>
      <c r="P76" s="860"/>
      <c r="Q76" s="860"/>
      <c r="R76" s="860"/>
      <c r="S76" s="860"/>
      <c r="T76" s="860"/>
      <c r="U76" s="860"/>
      <c r="V76" s="860"/>
      <c r="W76" s="860">
        <f>'IN- Elec - Abs '!B18</f>
        <v>175</v>
      </c>
      <c r="X76" s="860">
        <f>'IN- Elec - Abs '!F18</f>
        <v>40425</v>
      </c>
      <c r="Y76" s="860">
        <f>'SI- Elec - Abs  '!B18</f>
        <v>280</v>
      </c>
      <c r="Z76" s="860">
        <f>'SI- Elec - Abs  '!F18</f>
        <v>64680</v>
      </c>
      <c r="AA76" s="860">
        <f>'PC- Elec - Abs'!B18</f>
        <v>720</v>
      </c>
      <c r="AB76" s="860">
        <f>'PC- Elec - Abs'!F18</f>
        <v>166320</v>
      </c>
      <c r="AC76" s="860"/>
      <c r="AD76" s="860"/>
      <c r="AE76" s="861"/>
      <c r="AF76" s="860"/>
      <c r="AG76" s="858">
        <f t="shared" si="2"/>
        <v>0</v>
      </c>
      <c r="AH76" s="858">
        <f t="shared" si="3"/>
        <v>0</v>
      </c>
      <c r="AI76" s="898"/>
      <c r="AJ76" s="901"/>
    </row>
    <row r="77" spans="1:36" s="875" customFormat="1" ht="133.9" customHeight="1">
      <c r="A77" s="864"/>
      <c r="B77" s="854" t="str">
        <f>'IN- Elec - Abs '!C19</f>
        <v>Supply and fixing of Three Phase Distribution Board with 4 way TPN double door MCB DB 40 Amps 4 Pole ELCB - 1, 6Amps to 32 amps SP MCB - 12 No's   with necessary cutting work etc., including cost of all materials and fixing charges all complete. CER NO.267/2018-19</v>
      </c>
      <c r="C77" s="856"/>
      <c r="D77" s="855"/>
      <c r="E77" s="860"/>
      <c r="F77" s="865"/>
      <c r="G77" s="860"/>
      <c r="H77" s="860"/>
      <c r="I77" s="860"/>
      <c r="J77" s="860"/>
      <c r="K77" s="860"/>
      <c r="L77" s="860"/>
      <c r="M77" s="860"/>
      <c r="N77" s="860"/>
      <c r="O77" s="860"/>
      <c r="P77" s="860"/>
      <c r="Q77" s="860"/>
      <c r="R77" s="860"/>
      <c r="S77" s="860"/>
      <c r="T77" s="860"/>
      <c r="U77" s="860"/>
      <c r="V77" s="860"/>
      <c r="W77" s="860">
        <f>'IN- Elec - Abs '!B19</f>
        <v>5</v>
      </c>
      <c r="X77" s="860">
        <f>'IN- Elec - Abs '!F19</f>
        <v>58750</v>
      </c>
      <c r="Y77" s="860">
        <f>'SI- Elec - Abs  '!B19</f>
        <v>8</v>
      </c>
      <c r="Z77" s="860">
        <f>'SI- Elec - Abs  '!F19</f>
        <v>94000</v>
      </c>
      <c r="AA77" s="860">
        <f>'PC- Elec - Abs'!B19</f>
        <v>24</v>
      </c>
      <c r="AB77" s="860">
        <f>'PC- Elec - Abs'!F19</f>
        <v>282000</v>
      </c>
      <c r="AC77" s="860"/>
      <c r="AD77" s="860"/>
      <c r="AE77" s="861"/>
      <c r="AF77" s="860"/>
      <c r="AG77" s="858">
        <f t="shared" si="2"/>
        <v>0</v>
      </c>
      <c r="AH77" s="858">
        <f t="shared" si="3"/>
        <v>0</v>
      </c>
      <c r="AI77" s="901"/>
      <c r="AJ77" s="901"/>
    </row>
    <row r="78" spans="1:36" ht="69.75" customHeight="1">
      <c r="A78" s="864"/>
      <c r="B78" s="854" t="str">
        <f>'IN- Elec - Abs '!C20</f>
        <v xml:space="preserve">Supplying and fixing of Stair Case light point two way including cost of materials and labours etc.., completed </v>
      </c>
      <c r="C78" s="905"/>
      <c r="D78" s="900"/>
      <c r="E78" s="860"/>
      <c r="F78" s="865"/>
      <c r="G78" s="860"/>
      <c r="H78" s="860"/>
      <c r="I78" s="860"/>
      <c r="J78" s="860"/>
      <c r="K78" s="860"/>
      <c r="L78" s="860"/>
      <c r="M78" s="860"/>
      <c r="N78" s="860"/>
      <c r="O78" s="860"/>
      <c r="P78" s="860"/>
      <c r="Q78" s="860"/>
      <c r="R78" s="860"/>
      <c r="S78" s="860"/>
      <c r="T78" s="860"/>
      <c r="U78" s="860"/>
      <c r="V78" s="860"/>
      <c r="W78" s="860">
        <f>'IN- Elec - Abs '!B20</f>
        <v>4</v>
      </c>
      <c r="X78" s="860" t="e">
        <f>'IN- Elec - Abs '!F20</f>
        <v>#REF!</v>
      </c>
      <c r="Y78" s="860">
        <f>'SI- Elec - Abs  '!B20</f>
        <v>8</v>
      </c>
      <c r="Z78" s="860" t="e">
        <f>'SI- Elec - Abs  '!F20</f>
        <v>#REF!</v>
      </c>
      <c r="AA78" s="860">
        <f>'PC- Elec - Abs'!B20</f>
        <v>6</v>
      </c>
      <c r="AB78" s="860" t="e">
        <f>'PC- Elec - Abs'!F20</f>
        <v>#REF!</v>
      </c>
      <c r="AC78" s="860"/>
      <c r="AD78" s="860"/>
      <c r="AE78" s="861"/>
      <c r="AF78" s="860"/>
      <c r="AG78" s="858">
        <f t="shared" si="2"/>
        <v>0</v>
      </c>
      <c r="AH78" s="858">
        <f t="shared" si="3"/>
        <v>0</v>
      </c>
      <c r="AI78" s="898"/>
      <c r="AJ78" s="901"/>
    </row>
    <row r="79" spans="1:36" ht="46.5" customHeight="1">
      <c r="A79" s="864"/>
      <c r="B79" s="854" t="str">
        <f>'IN- Elec - Abs '!C21</f>
        <v xml:space="preserve">Supply and fixing ofTNEB Meter board suitable for 3 phase 63 A service connection made up of suitable angle </v>
      </c>
      <c r="C79" s="863"/>
      <c r="D79" s="855"/>
      <c r="E79" s="860"/>
      <c r="F79" s="865"/>
      <c r="G79" s="860"/>
      <c r="H79" s="860"/>
      <c r="I79" s="860"/>
      <c r="J79" s="860"/>
      <c r="K79" s="860"/>
      <c r="L79" s="860"/>
      <c r="M79" s="860"/>
      <c r="N79" s="860"/>
      <c r="O79" s="860"/>
      <c r="P79" s="860"/>
      <c r="Q79" s="860"/>
      <c r="R79" s="860"/>
      <c r="S79" s="860"/>
      <c r="T79" s="860"/>
      <c r="U79" s="860"/>
      <c r="V79" s="860"/>
      <c r="W79" s="860">
        <f>'IN- Elec - Abs '!B21</f>
        <v>5</v>
      </c>
      <c r="X79" s="860" t="e">
        <f>'IN- Elec - Abs '!F21</f>
        <v>#REF!</v>
      </c>
      <c r="Y79" s="860" t="e">
        <f>'SI- Elec - Abs  '!B21</f>
        <v>#REF!</v>
      </c>
      <c r="Z79" s="860" t="e">
        <f>'SI- Elec - Abs  '!F21</f>
        <v>#REF!</v>
      </c>
      <c r="AA79" s="860">
        <f>'PC- Elec - Abs'!B21</f>
        <v>24</v>
      </c>
      <c r="AB79" s="860" t="e">
        <f>'PC- Elec - Abs'!F21</f>
        <v>#REF!</v>
      </c>
      <c r="AC79" s="860"/>
      <c r="AD79" s="860"/>
      <c r="AE79" s="861"/>
      <c r="AF79" s="860"/>
      <c r="AG79" s="858">
        <f t="shared" si="2"/>
        <v>0</v>
      </c>
      <c r="AH79" s="858">
        <f t="shared" si="3"/>
        <v>0</v>
      </c>
      <c r="AI79" s="898"/>
      <c r="AJ79" s="901"/>
    </row>
    <row r="80" spans="1:36" ht="54" customHeight="1">
      <c r="A80" s="864"/>
      <c r="B80" s="854" t="e">
        <f>'IN- Elec - Abs '!C22</f>
        <v>#REF!</v>
      </c>
      <c r="C80" s="856"/>
      <c r="D80" s="855"/>
      <c r="E80" s="860"/>
      <c r="F80" s="865"/>
      <c r="G80" s="860"/>
      <c r="H80" s="860"/>
      <c r="I80" s="860"/>
      <c r="J80" s="860"/>
      <c r="K80" s="860"/>
      <c r="L80" s="860"/>
      <c r="M80" s="860"/>
      <c r="N80" s="860"/>
      <c r="O80" s="860"/>
      <c r="P80" s="860"/>
      <c r="Q80" s="860"/>
      <c r="R80" s="860"/>
      <c r="S80" s="860"/>
      <c r="T80" s="860"/>
      <c r="U80" s="860"/>
      <c r="V80" s="860"/>
      <c r="W80" s="860" t="e">
        <f>'IN- Elec - Abs '!B22</f>
        <v>#REF!</v>
      </c>
      <c r="X80" s="860" t="e">
        <f>'IN- Elec - Abs '!F22</f>
        <v>#REF!</v>
      </c>
      <c r="Y80" s="860">
        <f>'SI- Elec - Abs  '!B23</f>
        <v>0</v>
      </c>
      <c r="Z80" s="860" t="e">
        <f>'SI- Elec - Abs  '!F23</f>
        <v>#REF!</v>
      </c>
      <c r="AA80" s="860" t="e">
        <f>'PC- Elec - Abs'!B22</f>
        <v>#REF!</v>
      </c>
      <c r="AB80" s="860" t="e">
        <f>'PC- Elec - Abs'!F22</f>
        <v>#REF!</v>
      </c>
      <c r="AC80" s="860"/>
      <c r="AD80" s="860"/>
      <c r="AE80" s="861"/>
      <c r="AF80" s="860"/>
      <c r="AG80" s="858">
        <f t="shared" si="2"/>
        <v>0</v>
      </c>
      <c r="AH80" s="858">
        <f t="shared" si="3"/>
        <v>0</v>
      </c>
      <c r="AI80" s="898"/>
      <c r="AJ80" s="898"/>
    </row>
    <row r="81" spans="1:36" ht="54" customHeight="1">
      <c r="A81" s="864"/>
      <c r="B81" s="866" t="e">
        <f>'sump abs'!B21</f>
        <v>#REF!</v>
      </c>
      <c r="C81" s="908"/>
      <c r="D81" s="909"/>
      <c r="E81" s="867"/>
      <c r="F81" s="865"/>
      <c r="G81" s="867"/>
      <c r="H81" s="860"/>
      <c r="I81" s="867"/>
      <c r="J81" s="860"/>
      <c r="K81" s="860"/>
      <c r="L81" s="860"/>
      <c r="M81" s="860"/>
      <c r="N81" s="860"/>
      <c r="O81" s="860"/>
      <c r="P81" s="860"/>
      <c r="Q81" s="860"/>
      <c r="R81" s="860"/>
      <c r="S81" s="860"/>
      <c r="T81" s="860"/>
      <c r="U81" s="860"/>
      <c r="V81" s="868"/>
      <c r="W81" s="869"/>
      <c r="X81" s="869"/>
      <c r="Y81" s="869"/>
      <c r="Z81" s="869"/>
      <c r="AA81" s="869"/>
      <c r="AB81" s="869"/>
      <c r="AC81" s="869">
        <f>'sump abs'!C21</f>
        <v>1</v>
      </c>
      <c r="AD81" s="870">
        <f>'sump abs'!D21</f>
        <v>0</v>
      </c>
      <c r="AE81" s="871"/>
      <c r="AF81" s="869"/>
      <c r="AG81" s="858">
        <f t="shared" si="2"/>
        <v>1</v>
      </c>
      <c r="AH81" s="858">
        <f t="shared" si="3"/>
        <v>0</v>
      </c>
      <c r="AI81" s="898"/>
      <c r="AJ81" s="898"/>
    </row>
    <row r="82" spans="1:36" ht="164.45" customHeight="1">
      <c r="A82" s="864"/>
      <c r="B82" s="866" t="e">
        <f>'sump abs'!B22</f>
        <v>#REF!</v>
      </c>
      <c r="C82" s="908"/>
      <c r="D82" s="909"/>
      <c r="E82" s="867"/>
      <c r="F82" s="865"/>
      <c r="G82" s="867"/>
      <c r="H82" s="860"/>
      <c r="I82" s="867"/>
      <c r="J82" s="860"/>
      <c r="K82" s="860"/>
      <c r="L82" s="860"/>
      <c r="M82" s="860"/>
      <c r="N82" s="860"/>
      <c r="O82" s="860"/>
      <c r="P82" s="860"/>
      <c r="Q82" s="860"/>
      <c r="R82" s="860"/>
      <c r="S82" s="860"/>
      <c r="T82" s="860"/>
      <c r="U82" s="860"/>
      <c r="V82" s="868"/>
      <c r="W82" s="869"/>
      <c r="X82" s="869"/>
      <c r="Y82" s="869"/>
      <c r="Z82" s="869"/>
      <c r="AA82" s="869"/>
      <c r="AB82" s="869"/>
      <c r="AC82" s="869" t="e">
        <f>'sump abs'!C22</f>
        <v>#REF!</v>
      </c>
      <c r="AD82" s="869">
        <f>'sump abs'!D22</f>
        <v>22938</v>
      </c>
      <c r="AE82" s="871"/>
      <c r="AF82" s="869"/>
      <c r="AG82" s="858" t="e">
        <f t="shared" si="2"/>
        <v>#REF!</v>
      </c>
      <c r="AH82" s="858">
        <f t="shared" si="3"/>
        <v>22938</v>
      </c>
      <c r="AI82" s="898"/>
      <c r="AJ82" s="898"/>
    </row>
    <row r="83" spans="1:36" ht="132.6" customHeight="1">
      <c r="A83" s="864"/>
      <c r="B83" s="866" t="e">
        <f>'sump abs'!B23</f>
        <v>#REF!</v>
      </c>
      <c r="C83" s="908"/>
      <c r="D83" s="909"/>
      <c r="E83" s="867"/>
      <c r="F83" s="865"/>
      <c r="G83" s="867"/>
      <c r="H83" s="860"/>
      <c r="I83" s="867"/>
      <c r="J83" s="860"/>
      <c r="K83" s="860"/>
      <c r="L83" s="860"/>
      <c r="M83" s="860"/>
      <c r="N83" s="860"/>
      <c r="O83" s="860"/>
      <c r="P83" s="860"/>
      <c r="Q83" s="860"/>
      <c r="R83" s="860"/>
      <c r="S83" s="860"/>
      <c r="T83" s="860"/>
      <c r="U83" s="860"/>
      <c r="V83" s="868"/>
      <c r="W83" s="869"/>
      <c r="X83" s="869"/>
      <c r="Y83" s="869"/>
      <c r="Z83" s="869"/>
      <c r="AA83" s="869"/>
      <c r="AB83" s="869"/>
      <c r="AC83" s="869" t="e">
        <f>'sump abs'!C23</f>
        <v>#REF!</v>
      </c>
      <c r="AD83" s="869">
        <f>'sump abs'!D23</f>
        <v>11148</v>
      </c>
      <c r="AE83" s="871"/>
      <c r="AF83" s="869"/>
      <c r="AG83" s="858" t="e">
        <f t="shared" si="2"/>
        <v>#REF!</v>
      </c>
      <c r="AH83" s="858">
        <f t="shared" si="3"/>
        <v>11148</v>
      </c>
      <c r="AI83" s="898"/>
      <c r="AJ83" s="898"/>
    </row>
    <row r="84" spans="1:36" ht="54" customHeight="1">
      <c r="A84" s="864"/>
      <c r="B84" s="866" t="e">
        <f>'sump abs'!B24</f>
        <v>#REF!</v>
      </c>
      <c r="C84" s="908"/>
      <c r="D84" s="909"/>
      <c r="E84" s="867"/>
      <c r="F84" s="865"/>
      <c r="G84" s="867"/>
      <c r="H84" s="860"/>
      <c r="I84" s="867"/>
      <c r="J84" s="860"/>
      <c r="K84" s="860"/>
      <c r="L84" s="860"/>
      <c r="M84" s="860"/>
      <c r="N84" s="860"/>
      <c r="O84" s="860"/>
      <c r="P84" s="860"/>
      <c r="Q84" s="860"/>
      <c r="R84" s="860"/>
      <c r="S84" s="860"/>
      <c r="T84" s="860"/>
      <c r="U84" s="860"/>
      <c r="V84" s="868"/>
      <c r="W84" s="869"/>
      <c r="X84" s="869"/>
      <c r="Y84" s="869"/>
      <c r="Z84" s="869"/>
      <c r="AA84" s="869"/>
      <c r="AB84" s="872"/>
      <c r="AC84" s="872" t="e">
        <f>'sump abs'!C24</f>
        <v>#REF!</v>
      </c>
      <c r="AD84" s="872">
        <f>'sump abs'!D24</f>
        <v>125</v>
      </c>
      <c r="AE84" s="873"/>
      <c r="AF84" s="872"/>
      <c r="AG84" s="874" t="e">
        <f t="shared" si="2"/>
        <v>#REF!</v>
      </c>
      <c r="AH84" s="874">
        <f t="shared" si="3"/>
        <v>125</v>
      </c>
      <c r="AI84" s="898"/>
      <c r="AJ84" s="898"/>
    </row>
    <row r="85" spans="1:36" ht="48" customHeight="1">
      <c r="A85" s="875"/>
      <c r="B85" s="876" t="str">
        <f>'PC- Elec - Abs'!C23</f>
        <v xml:space="preserve">Run off  2 wire of 4 sq mm multi strand flexible cable including cost of materials and labours etc.., completed </v>
      </c>
      <c r="C85" s="877"/>
      <c r="D85" s="910"/>
      <c r="E85" s="911"/>
      <c r="F85" s="865"/>
      <c r="G85" s="911"/>
      <c r="H85" s="860"/>
      <c r="I85" s="911"/>
      <c r="J85" s="860"/>
      <c r="K85" s="860"/>
      <c r="L85" s="860"/>
      <c r="M85" s="860"/>
      <c r="N85" s="860"/>
      <c r="O85" s="860"/>
      <c r="P85" s="860"/>
      <c r="Q85" s="860"/>
      <c r="R85" s="860"/>
      <c r="S85" s="860"/>
      <c r="T85" s="860"/>
      <c r="U85" s="860"/>
      <c r="V85" s="868"/>
      <c r="W85" s="869" t="e">
        <f>'IN- Elec - Abs '!B22</f>
        <v>#REF!</v>
      </c>
      <c r="X85" s="869" t="e">
        <f>'IN- Elec - Abs '!F22</f>
        <v>#REF!</v>
      </c>
      <c r="Y85" s="869">
        <f>'SI - Abs'!B46</f>
        <v>6.1500000000000012</v>
      </c>
      <c r="Z85" s="869">
        <f>'SI - Abs'!F46</f>
        <v>1626.8595000000003</v>
      </c>
      <c r="AA85" s="869">
        <f>'PC- Elec - Abs'!B23</f>
        <v>120</v>
      </c>
      <c r="AB85" s="867">
        <f>'PC- Elec - Abs'!F23</f>
        <v>29604</v>
      </c>
      <c r="AC85" s="2044" t="s">
        <v>223</v>
      </c>
      <c r="AD85" s="2044"/>
      <c r="AE85" s="2044"/>
      <c r="AF85" s="2044"/>
      <c r="AG85" s="2044"/>
      <c r="AH85" s="878" t="e">
        <f>SUM(AH5:AH84)</f>
        <v>#REF!</v>
      </c>
      <c r="AI85" s="898"/>
      <c r="AJ85" s="901"/>
    </row>
    <row r="86" spans="1:36">
      <c r="A86" s="875"/>
      <c r="B86" s="876"/>
      <c r="C86" s="877"/>
      <c r="D86" s="910"/>
      <c r="E86" s="911"/>
      <c r="F86" s="865"/>
      <c r="G86" s="911"/>
      <c r="H86" s="860"/>
      <c r="I86" s="911"/>
      <c r="J86" s="860"/>
      <c r="K86" s="860"/>
      <c r="L86" s="860"/>
      <c r="M86" s="860"/>
      <c r="N86" s="860"/>
      <c r="O86" s="860"/>
      <c r="P86" s="860"/>
      <c r="Q86" s="860"/>
      <c r="R86" s="860"/>
      <c r="S86" s="860"/>
      <c r="T86" s="860"/>
      <c r="U86" s="860"/>
      <c r="V86" s="860"/>
      <c r="W86" s="860"/>
      <c r="X86" s="860"/>
      <c r="Y86" s="860"/>
      <c r="Z86" s="860"/>
      <c r="AA86" s="868"/>
      <c r="AB86" s="867"/>
      <c r="AC86" s="2046" t="s">
        <v>3697</v>
      </c>
      <c r="AD86" s="2046"/>
      <c r="AE86" s="879" t="s">
        <v>382</v>
      </c>
      <c r="AF86" s="2043" t="s">
        <v>226</v>
      </c>
      <c r="AG86" s="2043"/>
      <c r="AH86" s="880" t="e">
        <f>AH85*12%</f>
        <v>#REF!</v>
      </c>
      <c r="AI86" s="898"/>
      <c r="AJ86" s="901"/>
    </row>
    <row r="87" spans="1:36">
      <c r="A87" s="875"/>
      <c r="B87" s="876"/>
      <c r="C87" s="877"/>
      <c r="D87" s="910"/>
      <c r="E87" s="911"/>
      <c r="F87" s="865"/>
      <c r="G87" s="911"/>
      <c r="H87" s="860"/>
      <c r="I87" s="911"/>
      <c r="J87" s="860"/>
      <c r="K87" s="860"/>
      <c r="L87" s="860"/>
      <c r="M87" s="860"/>
      <c r="N87" s="860"/>
      <c r="O87" s="860"/>
      <c r="P87" s="860"/>
      <c r="Q87" s="860"/>
      <c r="R87" s="860"/>
      <c r="S87" s="860"/>
      <c r="T87" s="860"/>
      <c r="U87" s="860"/>
      <c r="V87" s="860"/>
      <c r="W87" s="860"/>
      <c r="X87" s="860"/>
      <c r="Y87" s="860"/>
      <c r="Z87" s="860"/>
      <c r="AA87" s="868"/>
      <c r="AB87" s="867"/>
      <c r="AC87" s="2044" t="s">
        <v>3454</v>
      </c>
      <c r="AD87" s="2044"/>
      <c r="AE87" s="2044"/>
      <c r="AF87" s="2044"/>
      <c r="AG87" s="2044"/>
      <c r="AH87" s="878" t="e">
        <f>SUM(AH85:AH86)</f>
        <v>#REF!</v>
      </c>
      <c r="AI87" s="898"/>
      <c r="AJ87" s="901"/>
    </row>
    <row r="88" spans="1:36" ht="45.6" customHeight="1">
      <c r="A88" s="875"/>
      <c r="B88" s="876"/>
      <c r="C88" s="877"/>
      <c r="D88" s="910"/>
      <c r="E88" s="911"/>
      <c r="F88" s="865"/>
      <c r="G88" s="911"/>
      <c r="H88" s="860"/>
      <c r="I88" s="911"/>
      <c r="J88" s="860"/>
      <c r="K88" s="860"/>
      <c r="L88" s="860"/>
      <c r="M88" s="860"/>
      <c r="N88" s="860"/>
      <c r="O88" s="860"/>
      <c r="P88" s="860"/>
      <c r="Q88" s="860"/>
      <c r="R88" s="860"/>
      <c r="S88" s="860"/>
      <c r="T88" s="860"/>
      <c r="U88" s="860"/>
      <c r="V88" s="860"/>
      <c r="W88" s="860"/>
      <c r="X88" s="860"/>
      <c r="Y88" s="860"/>
      <c r="Z88" s="860"/>
      <c r="AA88" s="868"/>
      <c r="AB88" s="867"/>
      <c r="AC88" s="2043" t="s">
        <v>224</v>
      </c>
      <c r="AD88" s="2043"/>
      <c r="AE88" s="881" t="s">
        <v>224</v>
      </c>
      <c r="AF88" s="2043" t="s">
        <v>226</v>
      </c>
      <c r="AG88" s="2043"/>
      <c r="AH88" s="880" t="e">
        <f>AH87*1%</f>
        <v>#REF!</v>
      </c>
      <c r="AI88" s="898"/>
      <c r="AJ88" s="901"/>
    </row>
    <row r="89" spans="1:36" ht="46.5">
      <c r="A89" s="875"/>
      <c r="B89" s="875"/>
      <c r="C89" s="877"/>
      <c r="D89" s="910"/>
      <c r="E89" s="911"/>
      <c r="F89" s="865"/>
      <c r="G89" s="911"/>
      <c r="H89" s="860"/>
      <c r="I89" s="911"/>
      <c r="J89" s="860"/>
      <c r="K89" s="860"/>
      <c r="L89" s="860"/>
      <c r="M89" s="860"/>
      <c r="N89" s="860"/>
      <c r="O89" s="860"/>
      <c r="P89" s="860"/>
      <c r="Q89" s="860"/>
      <c r="R89" s="860"/>
      <c r="S89" s="860"/>
      <c r="T89" s="860"/>
      <c r="U89" s="860"/>
      <c r="V89" s="860"/>
      <c r="W89" s="860"/>
      <c r="X89" s="860"/>
      <c r="Y89" s="860"/>
      <c r="Z89" s="860"/>
      <c r="AA89" s="868"/>
      <c r="AB89" s="867"/>
      <c r="AC89" s="2043" t="s">
        <v>225</v>
      </c>
      <c r="AD89" s="2043"/>
      <c r="AE89" s="881" t="s">
        <v>225</v>
      </c>
      <c r="AF89" s="2043" t="s">
        <v>226</v>
      </c>
      <c r="AG89" s="2043"/>
      <c r="AH89" s="880" t="e">
        <f>AH87*7.5%</f>
        <v>#REF!</v>
      </c>
      <c r="AI89" s="898"/>
      <c r="AJ89" s="901"/>
    </row>
    <row r="90" spans="1:36" ht="46.5">
      <c r="A90" s="875"/>
      <c r="B90" s="875"/>
      <c r="C90" s="877"/>
      <c r="D90" s="910"/>
      <c r="E90" s="911"/>
      <c r="F90" s="865"/>
      <c r="G90" s="911"/>
      <c r="H90" s="860"/>
      <c r="I90" s="911"/>
      <c r="J90" s="860"/>
      <c r="K90" s="860"/>
      <c r="L90" s="860"/>
      <c r="M90" s="860"/>
      <c r="N90" s="860"/>
      <c r="O90" s="860"/>
      <c r="P90" s="860"/>
      <c r="Q90" s="860"/>
      <c r="R90" s="860"/>
      <c r="S90" s="860"/>
      <c r="T90" s="860"/>
      <c r="U90" s="860"/>
      <c r="V90" s="860"/>
      <c r="W90" s="860"/>
      <c r="X90" s="860"/>
      <c r="Y90" s="860"/>
      <c r="Z90" s="860"/>
      <c r="AA90" s="868"/>
      <c r="AB90" s="867"/>
      <c r="AC90" s="2043" t="s">
        <v>3698</v>
      </c>
      <c r="AD90" s="2043"/>
      <c r="AE90" s="879" t="s">
        <v>3558</v>
      </c>
      <c r="AF90" s="2043" t="s">
        <v>226</v>
      </c>
      <c r="AG90" s="2043"/>
      <c r="AH90" s="880">
        <f>37*5000</f>
        <v>185000</v>
      </c>
      <c r="AI90" s="898"/>
      <c r="AJ90" s="901"/>
    </row>
    <row r="91" spans="1:36">
      <c r="A91" s="875"/>
      <c r="B91" s="875"/>
      <c r="C91" s="877"/>
      <c r="D91" s="910"/>
      <c r="E91" s="911"/>
      <c r="F91" s="865"/>
      <c r="G91" s="911"/>
      <c r="H91" s="860"/>
      <c r="I91" s="911"/>
      <c r="J91" s="860"/>
      <c r="K91" s="860"/>
      <c r="L91" s="860"/>
      <c r="M91" s="860"/>
      <c r="N91" s="860"/>
      <c r="O91" s="860"/>
      <c r="P91" s="860"/>
      <c r="Q91" s="860"/>
      <c r="R91" s="860"/>
      <c r="S91" s="860"/>
      <c r="T91" s="860"/>
      <c r="U91" s="860"/>
      <c r="V91" s="860"/>
      <c r="W91" s="860"/>
      <c r="X91" s="860"/>
      <c r="Y91" s="860"/>
      <c r="Z91" s="860"/>
      <c r="AA91" s="868"/>
      <c r="AB91" s="860"/>
      <c r="AC91" s="867"/>
      <c r="AD91" s="867"/>
      <c r="AE91" s="2044" t="s">
        <v>227</v>
      </c>
      <c r="AF91" s="2044"/>
      <c r="AG91" s="2044"/>
      <c r="AH91" s="878" t="e">
        <f>SUM(AH87:AH90)</f>
        <v>#REF!</v>
      </c>
      <c r="AI91" s="898"/>
      <c r="AJ91" s="901"/>
    </row>
    <row r="92" spans="1:36">
      <c r="A92" s="875"/>
      <c r="B92" s="875"/>
      <c r="C92" s="877"/>
      <c r="D92" s="910"/>
      <c r="E92" s="911"/>
      <c r="F92" s="865"/>
      <c r="G92" s="911"/>
      <c r="H92" s="860"/>
      <c r="I92" s="911"/>
      <c r="J92" s="860"/>
      <c r="K92" s="860"/>
      <c r="L92" s="860"/>
      <c r="M92" s="860"/>
      <c r="N92" s="860"/>
      <c r="O92" s="860"/>
      <c r="P92" s="860"/>
      <c r="Q92" s="860"/>
      <c r="R92" s="860"/>
      <c r="S92" s="860"/>
      <c r="T92" s="860"/>
      <c r="U92" s="860"/>
      <c r="V92" s="860"/>
      <c r="W92" s="860"/>
      <c r="X92" s="860"/>
      <c r="Y92" s="860"/>
      <c r="Z92" s="860"/>
      <c r="AA92" s="868"/>
      <c r="AB92" s="867"/>
      <c r="AC92" s="867"/>
      <c r="AD92" s="867"/>
      <c r="AE92" s="882"/>
      <c r="AF92" s="882"/>
      <c r="AG92" s="883" t="s">
        <v>9</v>
      </c>
      <c r="AH92" s="878"/>
      <c r="AI92" s="898"/>
      <c r="AJ92" s="901"/>
    </row>
    <row r="93" spans="1:36">
      <c r="A93" s="875"/>
      <c r="B93" s="875"/>
      <c r="C93" s="877"/>
      <c r="D93" s="910"/>
      <c r="E93" s="911"/>
      <c r="F93" s="865"/>
      <c r="G93" s="911"/>
      <c r="H93" s="860"/>
      <c r="I93" s="911"/>
      <c r="J93" s="860"/>
      <c r="K93" s="860"/>
      <c r="L93" s="860"/>
      <c r="M93" s="860"/>
      <c r="N93" s="860"/>
      <c r="O93" s="860"/>
      <c r="P93" s="860"/>
      <c r="Q93" s="860"/>
      <c r="R93" s="860"/>
      <c r="S93" s="860"/>
      <c r="T93" s="860"/>
      <c r="U93" s="860"/>
      <c r="V93" s="860"/>
      <c r="W93" s="860"/>
      <c r="X93" s="860"/>
      <c r="Y93" s="860"/>
      <c r="Z93" s="860"/>
      <c r="AA93" s="860"/>
      <c r="AB93" s="884"/>
      <c r="AC93" s="884"/>
      <c r="AD93" s="884"/>
      <c r="AE93" s="885"/>
      <c r="AF93" s="884"/>
      <c r="AG93" s="885"/>
      <c r="AH93" s="884"/>
      <c r="AI93" s="898"/>
      <c r="AJ93" s="901"/>
    </row>
    <row r="94" spans="1:36">
      <c r="A94" s="875"/>
      <c r="B94" s="875"/>
      <c r="C94" s="877"/>
      <c r="D94" s="910"/>
      <c r="E94" s="911"/>
      <c r="F94" s="865"/>
      <c r="G94" s="911"/>
      <c r="H94" s="860"/>
      <c r="I94" s="911"/>
      <c r="J94" s="860"/>
      <c r="K94" s="860"/>
      <c r="L94" s="860"/>
      <c r="M94" s="860"/>
      <c r="N94" s="860"/>
      <c r="O94" s="860"/>
      <c r="P94" s="860"/>
      <c r="Q94" s="860"/>
      <c r="R94" s="860"/>
      <c r="S94" s="860"/>
      <c r="T94" s="860"/>
      <c r="U94" s="860"/>
      <c r="V94" s="860"/>
      <c r="W94" s="860"/>
      <c r="X94" s="860"/>
      <c r="Y94" s="860"/>
      <c r="Z94" s="860"/>
      <c r="AA94" s="860"/>
      <c r="AB94" s="860"/>
      <c r="AC94" s="860"/>
      <c r="AD94" s="860"/>
      <c r="AE94" s="861"/>
      <c r="AF94" s="860"/>
      <c r="AG94" s="861"/>
      <c r="AH94" s="860"/>
      <c r="AI94" s="898"/>
      <c r="AJ94" s="901"/>
    </row>
    <row r="95" spans="1:36">
      <c r="A95" s="875"/>
      <c r="B95" s="875"/>
      <c r="C95" s="877"/>
      <c r="D95" s="910"/>
      <c r="E95" s="911"/>
      <c r="F95" s="865"/>
      <c r="G95" s="911"/>
      <c r="H95" s="860"/>
      <c r="I95" s="911"/>
      <c r="J95" s="860"/>
      <c r="K95" s="860"/>
      <c r="L95" s="860"/>
      <c r="M95" s="860"/>
      <c r="N95" s="860"/>
      <c r="O95" s="860"/>
      <c r="P95" s="860"/>
      <c r="Q95" s="860"/>
      <c r="R95" s="860"/>
      <c r="S95" s="860"/>
      <c r="T95" s="860"/>
      <c r="U95" s="860"/>
      <c r="V95" s="860"/>
      <c r="W95" s="860"/>
      <c r="X95" s="860"/>
      <c r="Y95" s="860"/>
      <c r="Z95" s="860"/>
      <c r="AA95" s="860"/>
      <c r="AB95" s="860"/>
      <c r="AC95" s="860"/>
      <c r="AD95" s="860"/>
      <c r="AE95" s="861"/>
      <c r="AF95" s="860"/>
      <c r="AG95" s="861"/>
      <c r="AH95" s="860"/>
      <c r="AI95" s="898"/>
      <c r="AJ95" s="901"/>
    </row>
    <row r="96" spans="1:36">
      <c r="A96" s="912"/>
      <c r="B96" s="875"/>
      <c r="C96" s="877"/>
      <c r="D96" s="910"/>
      <c r="E96" s="911"/>
      <c r="F96" s="865"/>
      <c r="G96" s="911"/>
      <c r="H96" s="860"/>
      <c r="I96" s="911"/>
      <c r="J96" s="860"/>
      <c r="K96" s="860"/>
      <c r="L96" s="860"/>
      <c r="M96" s="860"/>
      <c r="N96" s="860"/>
      <c r="O96" s="860"/>
      <c r="P96" s="860"/>
      <c r="Q96" s="860"/>
      <c r="R96" s="860"/>
      <c r="S96" s="860"/>
      <c r="T96" s="860"/>
      <c r="U96" s="860"/>
      <c r="V96" s="860"/>
      <c r="W96" s="860"/>
      <c r="X96" s="860"/>
      <c r="Y96" s="886"/>
      <c r="Z96" s="860"/>
      <c r="AA96" s="860"/>
      <c r="AB96" s="860"/>
      <c r="AC96" s="860"/>
      <c r="AD96" s="860"/>
      <c r="AE96" s="861"/>
      <c r="AF96" s="860"/>
      <c r="AG96" s="861"/>
      <c r="AH96" s="860"/>
      <c r="AI96" s="898"/>
      <c r="AJ96" s="901"/>
    </row>
    <row r="97" spans="1:36">
      <c r="A97" s="912"/>
      <c r="B97" s="875"/>
      <c r="C97" s="877"/>
      <c r="D97" s="910"/>
      <c r="E97" s="911"/>
      <c r="F97" s="865"/>
      <c r="G97" s="911"/>
      <c r="H97" s="860"/>
      <c r="I97" s="911"/>
      <c r="J97" s="860"/>
      <c r="K97" s="860"/>
      <c r="L97" s="860"/>
      <c r="M97" s="860"/>
      <c r="N97" s="860"/>
      <c r="O97" s="860"/>
      <c r="P97" s="860"/>
      <c r="Q97" s="860"/>
      <c r="R97" s="860"/>
      <c r="S97" s="860"/>
      <c r="T97" s="860"/>
      <c r="U97" s="860"/>
      <c r="V97" s="860"/>
      <c r="W97" s="860"/>
      <c r="X97" s="860"/>
      <c r="Y97" s="860"/>
      <c r="Z97" s="860"/>
      <c r="AA97" s="860"/>
      <c r="AB97" s="860"/>
      <c r="AC97" s="860"/>
      <c r="AD97" s="860"/>
      <c r="AE97" s="861"/>
      <c r="AF97" s="860"/>
      <c r="AG97" s="861"/>
      <c r="AH97" s="860"/>
      <c r="AI97" s="898"/>
      <c r="AJ97" s="901"/>
    </row>
    <row r="98" spans="1:36">
      <c r="A98" s="912"/>
      <c r="B98" s="875"/>
      <c r="C98" s="877"/>
      <c r="D98" s="910"/>
      <c r="E98" s="911"/>
      <c r="F98" s="865"/>
      <c r="G98" s="911"/>
      <c r="H98" s="860"/>
      <c r="I98" s="911"/>
      <c r="J98" s="860"/>
      <c r="K98" s="860"/>
      <c r="L98" s="860"/>
      <c r="M98" s="860"/>
      <c r="N98" s="860"/>
      <c r="O98" s="860"/>
      <c r="P98" s="860"/>
      <c r="Q98" s="860"/>
      <c r="R98" s="860"/>
      <c r="S98" s="860"/>
      <c r="T98" s="860"/>
      <c r="U98" s="860"/>
      <c r="V98" s="860"/>
      <c r="W98" s="860"/>
      <c r="X98" s="860"/>
      <c r="Y98" s="860"/>
      <c r="Z98" s="860"/>
      <c r="AA98" s="860"/>
      <c r="AB98" s="860"/>
      <c r="AC98" s="860"/>
      <c r="AD98" s="860"/>
      <c r="AE98" s="861"/>
      <c r="AF98" s="860"/>
      <c r="AG98" s="861"/>
      <c r="AH98" s="860"/>
      <c r="AI98" s="898"/>
      <c r="AJ98" s="901"/>
    </row>
    <row r="99" spans="1:36">
      <c r="A99" s="912"/>
      <c r="B99" s="875"/>
      <c r="C99" s="877"/>
      <c r="D99" s="910"/>
      <c r="E99" s="911"/>
      <c r="F99" s="865"/>
      <c r="G99" s="911"/>
      <c r="H99" s="860"/>
      <c r="I99" s="911"/>
      <c r="J99" s="860"/>
      <c r="K99" s="860"/>
      <c r="L99" s="860"/>
      <c r="M99" s="860"/>
      <c r="N99" s="860"/>
      <c r="O99" s="860"/>
      <c r="P99" s="860"/>
      <c r="Q99" s="860"/>
      <c r="R99" s="860"/>
      <c r="S99" s="860"/>
      <c r="T99" s="860"/>
      <c r="U99" s="860"/>
      <c r="V99" s="860"/>
      <c r="W99" s="860"/>
      <c r="X99" s="860"/>
      <c r="Y99" s="860"/>
      <c r="Z99" s="860"/>
      <c r="AA99" s="860"/>
      <c r="AB99" s="860"/>
      <c r="AC99" s="860"/>
      <c r="AD99" s="860"/>
      <c r="AE99" s="861"/>
      <c r="AF99" s="860"/>
      <c r="AG99" s="861"/>
      <c r="AH99" s="860"/>
      <c r="AI99" s="898"/>
      <c r="AJ99" s="901"/>
    </row>
    <row r="100" spans="1:36">
      <c r="A100" s="912"/>
      <c r="B100" s="875"/>
      <c r="C100" s="877"/>
      <c r="D100" s="910"/>
      <c r="E100" s="911"/>
      <c r="F100" s="865"/>
      <c r="G100" s="911"/>
      <c r="H100" s="860"/>
      <c r="I100" s="911"/>
      <c r="J100" s="860"/>
      <c r="K100" s="860"/>
      <c r="L100" s="860"/>
      <c r="M100" s="860"/>
      <c r="N100" s="860"/>
      <c r="O100" s="860"/>
      <c r="P100" s="860"/>
      <c r="Q100" s="860"/>
      <c r="R100" s="860"/>
      <c r="S100" s="860"/>
      <c r="T100" s="860"/>
      <c r="U100" s="860"/>
      <c r="V100" s="860"/>
      <c r="W100" s="860"/>
      <c r="X100" s="860"/>
      <c r="Y100" s="860"/>
      <c r="Z100" s="860"/>
      <c r="AA100" s="860"/>
      <c r="AB100" s="860"/>
      <c r="AC100" s="860"/>
      <c r="AD100" s="860"/>
      <c r="AE100" s="861"/>
      <c r="AF100" s="860"/>
      <c r="AG100" s="861"/>
      <c r="AH100" s="860"/>
      <c r="AI100" s="898"/>
      <c r="AJ100" s="901"/>
    </row>
    <row r="101" spans="1:36">
      <c r="A101" s="912"/>
      <c r="B101" s="875"/>
      <c r="C101" s="877"/>
      <c r="D101" s="910"/>
      <c r="E101" s="911"/>
      <c r="F101" s="865"/>
      <c r="G101" s="911"/>
      <c r="H101" s="860"/>
      <c r="I101" s="911"/>
      <c r="J101" s="860"/>
      <c r="K101" s="860"/>
      <c r="L101" s="860"/>
      <c r="M101" s="860"/>
      <c r="N101" s="860"/>
      <c r="O101" s="860"/>
      <c r="P101" s="860"/>
      <c r="Q101" s="860"/>
      <c r="R101" s="860"/>
      <c r="S101" s="860"/>
      <c r="T101" s="860"/>
      <c r="U101" s="860"/>
      <c r="V101" s="860"/>
      <c r="W101" s="860"/>
      <c r="X101" s="860"/>
      <c r="Y101" s="860"/>
      <c r="Z101" s="860"/>
      <c r="AA101" s="860"/>
      <c r="AB101" s="860"/>
      <c r="AC101" s="860"/>
      <c r="AD101" s="860"/>
      <c r="AE101" s="861"/>
      <c r="AF101" s="860"/>
      <c r="AG101" s="861"/>
      <c r="AH101" s="860"/>
      <c r="AI101" s="898"/>
      <c r="AJ101" s="901"/>
    </row>
    <row r="102" spans="1:36">
      <c r="A102" s="912"/>
      <c r="B102" s="875"/>
      <c r="C102" s="877"/>
      <c r="D102" s="910"/>
      <c r="E102" s="911"/>
      <c r="F102" s="865"/>
      <c r="G102" s="911"/>
      <c r="H102" s="860"/>
      <c r="I102" s="911"/>
      <c r="J102" s="860"/>
      <c r="K102" s="860"/>
      <c r="L102" s="860"/>
      <c r="M102" s="860"/>
      <c r="N102" s="860"/>
      <c r="O102" s="860"/>
      <c r="P102" s="860"/>
      <c r="Q102" s="860"/>
      <c r="R102" s="860"/>
      <c r="S102" s="860"/>
      <c r="T102" s="860"/>
      <c r="U102" s="860"/>
      <c r="V102" s="860"/>
      <c r="W102" s="860"/>
      <c r="X102" s="860"/>
      <c r="Y102" s="860"/>
      <c r="Z102" s="860"/>
      <c r="AA102" s="860"/>
      <c r="AB102" s="860"/>
      <c r="AC102" s="860"/>
      <c r="AD102" s="860"/>
      <c r="AE102" s="861"/>
      <c r="AF102" s="860"/>
      <c r="AG102" s="861"/>
      <c r="AH102" s="860"/>
      <c r="AI102" s="898"/>
      <c r="AJ102" s="901"/>
    </row>
    <row r="103" spans="1:36">
      <c r="A103" s="912"/>
      <c r="B103" s="875"/>
      <c r="C103" s="877"/>
      <c r="D103" s="910"/>
      <c r="E103" s="911"/>
      <c r="F103" s="865"/>
      <c r="G103" s="911"/>
      <c r="H103" s="860"/>
      <c r="I103" s="911"/>
      <c r="J103" s="860"/>
      <c r="K103" s="860"/>
      <c r="L103" s="860"/>
      <c r="M103" s="860"/>
      <c r="N103" s="860"/>
      <c r="O103" s="860"/>
      <c r="P103" s="860"/>
      <c r="Q103" s="860"/>
      <c r="R103" s="860"/>
      <c r="S103" s="860"/>
      <c r="T103" s="860"/>
      <c r="U103" s="860"/>
      <c r="V103" s="860"/>
      <c r="W103" s="860"/>
      <c r="X103" s="860"/>
      <c r="Y103" s="860"/>
      <c r="Z103" s="860"/>
      <c r="AA103" s="860"/>
      <c r="AB103" s="860"/>
      <c r="AC103" s="860"/>
      <c r="AD103" s="860"/>
      <c r="AE103" s="861"/>
      <c r="AF103" s="860"/>
      <c r="AG103" s="861"/>
      <c r="AH103" s="860"/>
      <c r="AI103" s="898"/>
      <c r="AJ103" s="901"/>
    </row>
    <row r="104" spans="1:36">
      <c r="A104" s="875"/>
      <c r="B104" s="875"/>
      <c r="C104" s="877"/>
      <c r="D104" s="910"/>
      <c r="E104" s="911"/>
      <c r="F104" s="865"/>
      <c r="G104" s="911"/>
      <c r="H104" s="860"/>
      <c r="I104" s="911"/>
      <c r="J104" s="860"/>
      <c r="K104" s="860"/>
      <c r="L104" s="860"/>
      <c r="M104" s="860"/>
      <c r="N104" s="860"/>
      <c r="O104" s="860"/>
      <c r="P104" s="860"/>
      <c r="Q104" s="860"/>
      <c r="R104" s="860"/>
      <c r="S104" s="860"/>
      <c r="T104" s="860"/>
      <c r="U104" s="860"/>
      <c r="V104" s="860"/>
      <c r="W104" s="860"/>
      <c r="X104" s="860"/>
      <c r="Y104" s="860"/>
      <c r="Z104" s="860"/>
      <c r="AA104" s="860"/>
      <c r="AB104" s="860"/>
      <c r="AC104" s="860"/>
      <c r="AD104" s="860"/>
      <c r="AE104" s="861"/>
      <c r="AF104" s="860"/>
      <c r="AG104" s="861"/>
      <c r="AH104" s="860"/>
      <c r="AI104" s="898"/>
      <c r="AJ104" s="898"/>
    </row>
    <row r="105" spans="1:36">
      <c r="A105" s="875"/>
      <c r="B105" s="875"/>
      <c r="C105" s="877"/>
      <c r="D105" s="910"/>
      <c r="E105" s="911"/>
      <c r="F105" s="865"/>
      <c r="G105" s="911"/>
      <c r="H105" s="860"/>
      <c r="I105" s="911"/>
      <c r="J105" s="860"/>
      <c r="K105" s="860"/>
      <c r="L105" s="860"/>
      <c r="M105" s="860"/>
      <c r="N105" s="860"/>
      <c r="O105" s="860"/>
      <c r="P105" s="860"/>
      <c r="Q105" s="860"/>
      <c r="R105" s="860"/>
      <c r="S105" s="860"/>
      <c r="T105" s="860"/>
      <c r="U105" s="860"/>
      <c r="V105" s="860"/>
      <c r="W105" s="860"/>
      <c r="X105" s="860"/>
      <c r="Y105" s="860"/>
      <c r="Z105" s="860"/>
      <c r="AA105" s="860"/>
      <c r="AB105" s="860"/>
      <c r="AC105" s="860"/>
      <c r="AD105" s="860"/>
      <c r="AE105" s="861"/>
      <c r="AF105" s="860"/>
      <c r="AG105" s="861"/>
      <c r="AH105" s="860"/>
      <c r="AI105" s="898"/>
      <c r="AJ105" s="898"/>
    </row>
    <row r="106" spans="1:36">
      <c r="A106" s="875"/>
      <c r="B106" s="875"/>
      <c r="C106" s="877"/>
      <c r="D106" s="910"/>
      <c r="E106" s="911"/>
      <c r="F106" s="865"/>
      <c r="G106" s="911"/>
      <c r="H106" s="860"/>
      <c r="I106" s="911"/>
      <c r="J106" s="860"/>
      <c r="K106" s="860"/>
      <c r="L106" s="860"/>
      <c r="M106" s="860"/>
      <c r="N106" s="860"/>
      <c r="O106" s="860"/>
      <c r="P106" s="860"/>
      <c r="Q106" s="860"/>
      <c r="R106" s="860"/>
      <c r="S106" s="860"/>
      <c r="T106" s="860"/>
      <c r="U106" s="860"/>
      <c r="V106" s="860"/>
      <c r="W106" s="860"/>
      <c r="X106" s="860"/>
      <c r="Y106" s="860"/>
      <c r="Z106" s="860"/>
      <c r="AA106" s="860"/>
      <c r="AB106" s="860"/>
      <c r="AC106" s="860"/>
      <c r="AD106" s="860"/>
      <c r="AE106" s="861"/>
      <c r="AF106" s="860"/>
      <c r="AG106" s="861"/>
      <c r="AH106" s="860"/>
      <c r="AI106" s="898"/>
      <c r="AJ106" s="898"/>
    </row>
    <row r="107" spans="1:36">
      <c r="A107" s="875"/>
      <c r="B107" s="875"/>
      <c r="C107" s="877"/>
      <c r="D107" s="910"/>
      <c r="E107" s="911"/>
      <c r="F107" s="865"/>
      <c r="G107" s="911"/>
      <c r="H107" s="860"/>
      <c r="I107" s="911"/>
      <c r="J107" s="860"/>
      <c r="K107" s="860"/>
      <c r="L107" s="860"/>
      <c r="M107" s="860"/>
      <c r="N107" s="860"/>
      <c r="O107" s="860"/>
      <c r="P107" s="860"/>
      <c r="Q107" s="860"/>
      <c r="R107" s="860"/>
      <c r="S107" s="860"/>
      <c r="T107" s="860"/>
      <c r="U107" s="860"/>
      <c r="V107" s="860"/>
      <c r="W107" s="860"/>
      <c r="X107" s="860"/>
      <c r="Y107" s="860"/>
      <c r="Z107" s="860"/>
      <c r="AA107" s="860"/>
      <c r="AB107" s="860"/>
      <c r="AC107" s="860"/>
      <c r="AD107" s="860"/>
      <c r="AE107" s="861"/>
      <c r="AF107" s="860"/>
      <c r="AG107" s="861"/>
      <c r="AH107" s="860"/>
      <c r="AI107" s="898"/>
      <c r="AJ107" s="898"/>
    </row>
    <row r="108" spans="1:36">
      <c r="A108" s="875"/>
      <c r="B108" s="875"/>
      <c r="C108" s="877"/>
      <c r="D108" s="910"/>
      <c r="E108" s="911"/>
      <c r="F108" s="865"/>
      <c r="G108" s="911"/>
      <c r="H108" s="860"/>
      <c r="I108" s="911"/>
      <c r="J108" s="860"/>
      <c r="K108" s="860"/>
      <c r="L108" s="860"/>
      <c r="M108" s="860"/>
      <c r="N108" s="860"/>
      <c r="O108" s="860"/>
      <c r="P108" s="860"/>
      <c r="Q108" s="860"/>
      <c r="R108" s="860"/>
      <c r="S108" s="860"/>
      <c r="T108" s="860"/>
      <c r="U108" s="860"/>
      <c r="V108" s="860"/>
      <c r="W108" s="860"/>
      <c r="X108" s="860"/>
      <c r="Y108" s="860"/>
      <c r="Z108" s="860"/>
      <c r="AA108" s="860"/>
      <c r="AB108" s="860"/>
      <c r="AC108" s="860"/>
      <c r="AD108" s="860"/>
      <c r="AE108" s="861"/>
      <c r="AF108" s="860"/>
      <c r="AG108" s="861"/>
      <c r="AH108" s="860"/>
      <c r="AI108" s="898"/>
      <c r="AJ108" s="898"/>
    </row>
    <row r="109" spans="1:36">
      <c r="A109" s="875"/>
      <c r="B109" s="875"/>
      <c r="C109" s="877"/>
      <c r="D109" s="910"/>
      <c r="E109" s="911"/>
      <c r="F109" s="865"/>
      <c r="G109" s="911"/>
      <c r="H109" s="860"/>
      <c r="I109" s="911"/>
      <c r="J109" s="860"/>
      <c r="K109" s="860"/>
      <c r="L109" s="860"/>
      <c r="M109" s="860"/>
      <c r="N109" s="860"/>
      <c r="O109" s="860"/>
      <c r="P109" s="860"/>
      <c r="Q109" s="860"/>
      <c r="R109" s="860"/>
      <c r="S109" s="860"/>
      <c r="T109" s="860"/>
      <c r="U109" s="860"/>
      <c r="V109" s="860"/>
      <c r="W109" s="860"/>
      <c r="X109" s="860"/>
      <c r="Y109" s="860"/>
      <c r="Z109" s="860"/>
      <c r="AA109" s="860"/>
      <c r="AB109" s="860"/>
      <c r="AC109" s="860"/>
      <c r="AD109" s="860"/>
      <c r="AE109" s="861"/>
      <c r="AF109" s="860"/>
      <c r="AG109" s="861"/>
      <c r="AH109" s="860"/>
      <c r="AI109" s="898"/>
      <c r="AJ109" s="898"/>
    </row>
    <row r="110" spans="1:36">
      <c r="E110" s="914"/>
      <c r="F110" s="888">
        <f t="shared" ref="F110:F124" si="4">E110*C110</f>
        <v>0</v>
      </c>
      <c r="G110" s="914"/>
      <c r="H110" s="889">
        <f t="shared" ref="H110:H116" si="5">G110*A110</f>
        <v>0</v>
      </c>
      <c r="I110" s="914"/>
      <c r="J110" s="889">
        <f t="shared" ref="J110:J116" si="6">I110*C110</f>
        <v>0</v>
      </c>
      <c r="K110" s="889"/>
      <c r="L110" s="889">
        <f t="shared" ref="L110:L124" si="7">K110*C110</f>
        <v>0</v>
      </c>
      <c r="M110" s="889"/>
      <c r="N110" s="889">
        <f t="shared" ref="N110:N124" si="8">M110*E110</f>
        <v>0</v>
      </c>
      <c r="O110" s="889"/>
      <c r="P110" s="889">
        <f t="shared" ref="P110:P124" si="9">O110*G110</f>
        <v>0</v>
      </c>
      <c r="Q110" s="889"/>
      <c r="R110" s="889"/>
      <c r="S110" s="889"/>
      <c r="T110" s="889"/>
      <c r="U110" s="889"/>
      <c r="V110" s="889">
        <f t="shared" ref="V110:V120" si="10">U110*C110</f>
        <v>0</v>
      </c>
      <c r="W110" s="889"/>
      <c r="X110" s="889"/>
      <c r="Y110" s="889"/>
      <c r="Z110" s="889"/>
      <c r="AA110" s="889"/>
      <c r="AB110" s="889">
        <f t="shared" ref="AB110:AB126" si="11">AA110*C110</f>
        <v>0</v>
      </c>
      <c r="AC110" s="889"/>
      <c r="AD110" s="889"/>
      <c r="AE110" s="890">
        <f t="shared" ref="AE110:AE118" si="12">K110+U110+AA110</f>
        <v>0</v>
      </c>
      <c r="AF110" s="889">
        <f t="shared" ref="AF110:AF118" si="13">AE110*C110</f>
        <v>0</v>
      </c>
      <c r="AG110" s="890">
        <f t="shared" ref="AG110:AG118" si="14">AE110+E110+I110</f>
        <v>0</v>
      </c>
      <c r="AH110" s="889">
        <f t="shared" ref="AH110:AH118" si="15">AG110*C110</f>
        <v>0</v>
      </c>
      <c r="AI110" s="898"/>
      <c r="AJ110" s="898"/>
    </row>
    <row r="111" spans="1:36">
      <c r="E111" s="914"/>
      <c r="F111" s="888">
        <f t="shared" si="4"/>
        <v>0</v>
      </c>
      <c r="G111" s="914"/>
      <c r="H111" s="889">
        <f t="shared" si="5"/>
        <v>0</v>
      </c>
      <c r="I111" s="914"/>
      <c r="J111" s="889">
        <f t="shared" si="6"/>
        <v>0</v>
      </c>
      <c r="K111" s="889"/>
      <c r="L111" s="889">
        <f t="shared" si="7"/>
        <v>0</v>
      </c>
      <c r="M111" s="889"/>
      <c r="N111" s="889">
        <f t="shared" si="8"/>
        <v>0</v>
      </c>
      <c r="O111" s="889"/>
      <c r="P111" s="889">
        <f t="shared" si="9"/>
        <v>0</v>
      </c>
      <c r="Q111" s="889"/>
      <c r="R111" s="889"/>
      <c r="S111" s="889"/>
      <c r="T111" s="889"/>
      <c r="U111" s="889"/>
      <c r="V111" s="889">
        <f t="shared" si="10"/>
        <v>0</v>
      </c>
      <c r="W111" s="889"/>
      <c r="X111" s="889"/>
      <c r="Y111" s="889"/>
      <c r="Z111" s="889"/>
      <c r="AA111" s="889"/>
      <c r="AB111" s="889">
        <f t="shared" si="11"/>
        <v>0</v>
      </c>
      <c r="AC111" s="889"/>
      <c r="AD111" s="889"/>
      <c r="AE111" s="890">
        <f t="shared" si="12"/>
        <v>0</v>
      </c>
      <c r="AF111" s="889">
        <f t="shared" si="13"/>
        <v>0</v>
      </c>
      <c r="AG111" s="890">
        <f t="shared" si="14"/>
        <v>0</v>
      </c>
      <c r="AH111" s="889">
        <f t="shared" si="15"/>
        <v>0</v>
      </c>
      <c r="AI111" s="898"/>
      <c r="AJ111" s="898"/>
    </row>
    <row r="112" spans="1:36">
      <c r="E112" s="914"/>
      <c r="F112" s="888">
        <f t="shared" si="4"/>
        <v>0</v>
      </c>
      <c r="G112" s="914"/>
      <c r="H112" s="889">
        <f t="shared" si="5"/>
        <v>0</v>
      </c>
      <c r="I112" s="914"/>
      <c r="J112" s="889">
        <f t="shared" si="6"/>
        <v>0</v>
      </c>
      <c r="K112" s="889"/>
      <c r="L112" s="889">
        <f t="shared" si="7"/>
        <v>0</v>
      </c>
      <c r="M112" s="889"/>
      <c r="N112" s="889">
        <f t="shared" si="8"/>
        <v>0</v>
      </c>
      <c r="O112" s="889"/>
      <c r="P112" s="889">
        <f t="shared" si="9"/>
        <v>0</v>
      </c>
      <c r="Q112" s="889"/>
      <c r="R112" s="889"/>
      <c r="S112" s="889"/>
      <c r="T112" s="889"/>
      <c r="U112" s="889"/>
      <c r="V112" s="889">
        <f t="shared" si="10"/>
        <v>0</v>
      </c>
      <c r="W112" s="889"/>
      <c r="X112" s="889"/>
      <c r="Y112" s="889"/>
      <c r="Z112" s="889"/>
      <c r="AA112" s="889"/>
      <c r="AB112" s="889">
        <f t="shared" si="11"/>
        <v>0</v>
      </c>
      <c r="AC112" s="889"/>
      <c r="AD112" s="889"/>
      <c r="AE112" s="890">
        <f t="shared" si="12"/>
        <v>0</v>
      </c>
      <c r="AF112" s="889">
        <f t="shared" si="13"/>
        <v>0</v>
      </c>
      <c r="AG112" s="890">
        <f t="shared" si="14"/>
        <v>0</v>
      </c>
      <c r="AH112" s="889">
        <f t="shared" si="15"/>
        <v>0</v>
      </c>
      <c r="AI112" s="898"/>
      <c r="AJ112" s="898"/>
    </row>
    <row r="113" spans="3:36">
      <c r="E113" s="914"/>
      <c r="F113" s="888">
        <f t="shared" si="4"/>
        <v>0</v>
      </c>
      <c r="G113" s="914"/>
      <c r="H113" s="889">
        <f t="shared" si="5"/>
        <v>0</v>
      </c>
      <c r="I113" s="914"/>
      <c r="J113" s="889">
        <f t="shared" si="6"/>
        <v>0</v>
      </c>
      <c r="K113" s="889"/>
      <c r="L113" s="889">
        <f t="shared" si="7"/>
        <v>0</v>
      </c>
      <c r="M113" s="889"/>
      <c r="N113" s="889">
        <f t="shared" si="8"/>
        <v>0</v>
      </c>
      <c r="O113" s="889"/>
      <c r="P113" s="889">
        <f t="shared" si="9"/>
        <v>0</v>
      </c>
      <c r="Q113" s="889"/>
      <c r="R113" s="889"/>
      <c r="S113" s="889"/>
      <c r="T113" s="889"/>
      <c r="U113" s="889"/>
      <c r="V113" s="889">
        <f t="shared" si="10"/>
        <v>0</v>
      </c>
      <c r="W113" s="889"/>
      <c r="X113" s="889"/>
      <c r="Y113" s="889"/>
      <c r="Z113" s="889"/>
      <c r="AA113" s="889"/>
      <c r="AB113" s="889">
        <f t="shared" si="11"/>
        <v>0</v>
      </c>
      <c r="AC113" s="889"/>
      <c r="AD113" s="889"/>
      <c r="AE113" s="890">
        <f t="shared" si="12"/>
        <v>0</v>
      </c>
      <c r="AF113" s="889">
        <f t="shared" si="13"/>
        <v>0</v>
      </c>
      <c r="AG113" s="890">
        <f t="shared" si="14"/>
        <v>0</v>
      </c>
      <c r="AH113" s="889">
        <f t="shared" si="15"/>
        <v>0</v>
      </c>
      <c r="AI113" s="898"/>
      <c r="AJ113" s="898"/>
    </row>
    <row r="114" spans="3:36">
      <c r="E114" s="914"/>
      <c r="F114" s="888">
        <f t="shared" si="4"/>
        <v>0</v>
      </c>
      <c r="G114" s="914"/>
      <c r="H114" s="889">
        <f t="shared" si="5"/>
        <v>0</v>
      </c>
      <c r="I114" s="914"/>
      <c r="J114" s="889">
        <f t="shared" si="6"/>
        <v>0</v>
      </c>
      <c r="K114" s="889"/>
      <c r="L114" s="889">
        <f t="shared" si="7"/>
        <v>0</v>
      </c>
      <c r="M114" s="889"/>
      <c r="N114" s="889">
        <f t="shared" si="8"/>
        <v>0</v>
      </c>
      <c r="O114" s="889"/>
      <c r="P114" s="889">
        <f t="shared" si="9"/>
        <v>0</v>
      </c>
      <c r="Q114" s="889"/>
      <c r="R114" s="889"/>
      <c r="S114" s="889"/>
      <c r="T114" s="889"/>
      <c r="U114" s="889"/>
      <c r="V114" s="889">
        <f t="shared" si="10"/>
        <v>0</v>
      </c>
      <c r="W114" s="889"/>
      <c r="X114" s="889"/>
      <c r="Y114" s="889"/>
      <c r="Z114" s="889"/>
      <c r="AA114" s="889"/>
      <c r="AB114" s="889">
        <f t="shared" si="11"/>
        <v>0</v>
      </c>
      <c r="AC114" s="889"/>
      <c r="AD114" s="889"/>
      <c r="AE114" s="890">
        <f t="shared" si="12"/>
        <v>0</v>
      </c>
      <c r="AF114" s="889">
        <f t="shared" si="13"/>
        <v>0</v>
      </c>
      <c r="AG114" s="890">
        <f t="shared" si="14"/>
        <v>0</v>
      </c>
      <c r="AH114" s="889">
        <f t="shared" si="15"/>
        <v>0</v>
      </c>
      <c r="AI114" s="898"/>
      <c r="AJ114" s="898"/>
    </row>
    <row r="115" spans="3:36">
      <c r="E115" s="914"/>
      <c r="F115" s="888">
        <f t="shared" si="4"/>
        <v>0</v>
      </c>
      <c r="G115" s="914"/>
      <c r="H115" s="889">
        <f t="shared" si="5"/>
        <v>0</v>
      </c>
      <c r="I115" s="914"/>
      <c r="J115" s="889">
        <f t="shared" si="6"/>
        <v>0</v>
      </c>
      <c r="K115" s="889"/>
      <c r="L115" s="889">
        <f t="shared" si="7"/>
        <v>0</v>
      </c>
      <c r="M115" s="889"/>
      <c r="N115" s="889">
        <f t="shared" si="8"/>
        <v>0</v>
      </c>
      <c r="O115" s="889"/>
      <c r="P115" s="889">
        <f t="shared" si="9"/>
        <v>0</v>
      </c>
      <c r="Q115" s="889"/>
      <c r="R115" s="889"/>
      <c r="S115" s="889"/>
      <c r="T115" s="889"/>
      <c r="U115" s="889"/>
      <c r="V115" s="889">
        <f t="shared" si="10"/>
        <v>0</v>
      </c>
      <c r="W115" s="889"/>
      <c r="X115" s="889"/>
      <c r="Y115" s="889"/>
      <c r="Z115" s="889"/>
      <c r="AA115" s="889"/>
      <c r="AB115" s="889">
        <f t="shared" si="11"/>
        <v>0</v>
      </c>
      <c r="AC115" s="889"/>
      <c r="AD115" s="889"/>
      <c r="AE115" s="890">
        <f t="shared" si="12"/>
        <v>0</v>
      </c>
      <c r="AF115" s="889">
        <f t="shared" si="13"/>
        <v>0</v>
      </c>
      <c r="AG115" s="890">
        <f t="shared" si="14"/>
        <v>0</v>
      </c>
      <c r="AH115" s="889">
        <f t="shared" si="15"/>
        <v>0</v>
      </c>
      <c r="AI115" s="898"/>
      <c r="AJ115" s="898"/>
    </row>
    <row r="116" spans="3:36">
      <c r="C116" s="896"/>
      <c r="D116" s="896"/>
      <c r="E116" s="915"/>
      <c r="F116" s="888">
        <f t="shared" si="4"/>
        <v>0</v>
      </c>
      <c r="G116" s="915"/>
      <c r="H116" s="889">
        <f t="shared" si="5"/>
        <v>0</v>
      </c>
      <c r="I116" s="915"/>
      <c r="J116" s="889">
        <f t="shared" si="6"/>
        <v>0</v>
      </c>
      <c r="K116" s="889"/>
      <c r="L116" s="889">
        <f t="shared" si="7"/>
        <v>0</v>
      </c>
      <c r="M116" s="889"/>
      <c r="N116" s="889">
        <f t="shared" si="8"/>
        <v>0</v>
      </c>
      <c r="O116" s="889"/>
      <c r="P116" s="889">
        <f t="shared" si="9"/>
        <v>0</v>
      </c>
      <c r="Q116" s="889"/>
      <c r="R116" s="889"/>
      <c r="S116" s="889"/>
      <c r="T116" s="889"/>
      <c r="U116" s="889"/>
      <c r="V116" s="889">
        <f t="shared" si="10"/>
        <v>0</v>
      </c>
      <c r="W116" s="889"/>
      <c r="X116" s="889"/>
      <c r="Y116" s="889"/>
      <c r="Z116" s="889"/>
      <c r="AA116" s="889"/>
      <c r="AB116" s="889">
        <f t="shared" si="11"/>
        <v>0</v>
      </c>
      <c r="AC116" s="889"/>
      <c r="AD116" s="889"/>
      <c r="AE116" s="890">
        <f t="shared" si="12"/>
        <v>0</v>
      </c>
      <c r="AF116" s="889">
        <f t="shared" si="13"/>
        <v>0</v>
      </c>
      <c r="AG116" s="890">
        <f t="shared" si="14"/>
        <v>0</v>
      </c>
      <c r="AH116" s="889">
        <f t="shared" si="15"/>
        <v>0</v>
      </c>
      <c r="AI116" s="915"/>
      <c r="AJ116" s="898"/>
    </row>
    <row r="117" spans="3:36">
      <c r="C117" s="896"/>
      <c r="D117" s="896"/>
      <c r="E117" s="915"/>
      <c r="F117" s="888">
        <f t="shared" si="4"/>
        <v>0</v>
      </c>
      <c r="G117" s="915"/>
      <c r="H117" s="889"/>
      <c r="I117" s="915"/>
      <c r="J117" s="889"/>
      <c r="K117" s="889"/>
      <c r="L117" s="889">
        <f t="shared" si="7"/>
        <v>0</v>
      </c>
      <c r="M117" s="889"/>
      <c r="N117" s="889">
        <f t="shared" si="8"/>
        <v>0</v>
      </c>
      <c r="O117" s="889"/>
      <c r="P117" s="889">
        <f t="shared" si="9"/>
        <v>0</v>
      </c>
      <c r="Q117" s="889"/>
      <c r="R117" s="889"/>
      <c r="S117" s="889"/>
      <c r="T117" s="889"/>
      <c r="U117" s="889"/>
      <c r="V117" s="889">
        <f t="shared" si="10"/>
        <v>0</v>
      </c>
      <c r="W117" s="889"/>
      <c r="X117" s="889"/>
      <c r="Y117" s="889"/>
      <c r="Z117" s="889"/>
      <c r="AA117" s="889"/>
      <c r="AB117" s="889">
        <f t="shared" si="11"/>
        <v>0</v>
      </c>
      <c r="AC117" s="889"/>
      <c r="AD117" s="889"/>
      <c r="AE117" s="890">
        <f t="shared" si="12"/>
        <v>0</v>
      </c>
      <c r="AF117" s="889">
        <f t="shared" si="13"/>
        <v>0</v>
      </c>
      <c r="AG117" s="890">
        <f t="shared" si="14"/>
        <v>0</v>
      </c>
      <c r="AH117" s="889">
        <f t="shared" si="15"/>
        <v>0</v>
      </c>
      <c r="AI117" s="915"/>
      <c r="AJ117" s="898"/>
    </row>
    <row r="118" spans="3:36">
      <c r="C118" s="896"/>
      <c r="D118" s="896"/>
      <c r="E118" s="915"/>
      <c r="F118" s="888">
        <f t="shared" si="4"/>
        <v>0</v>
      </c>
      <c r="G118" s="915"/>
      <c r="H118" s="889"/>
      <c r="I118" s="915"/>
      <c r="J118" s="889"/>
      <c r="K118" s="889"/>
      <c r="L118" s="889">
        <f t="shared" si="7"/>
        <v>0</v>
      </c>
      <c r="M118" s="889"/>
      <c r="N118" s="889">
        <f t="shared" si="8"/>
        <v>0</v>
      </c>
      <c r="O118" s="889"/>
      <c r="P118" s="889">
        <f t="shared" si="9"/>
        <v>0</v>
      </c>
      <c r="Q118" s="889"/>
      <c r="R118" s="889"/>
      <c r="S118" s="889"/>
      <c r="T118" s="889"/>
      <c r="U118" s="889"/>
      <c r="V118" s="889">
        <f t="shared" si="10"/>
        <v>0</v>
      </c>
      <c r="W118" s="889"/>
      <c r="X118" s="889"/>
      <c r="Y118" s="889"/>
      <c r="Z118" s="889"/>
      <c r="AA118" s="889"/>
      <c r="AB118" s="889">
        <f t="shared" si="11"/>
        <v>0</v>
      </c>
      <c r="AC118" s="889"/>
      <c r="AD118" s="889"/>
      <c r="AE118" s="890">
        <f t="shared" si="12"/>
        <v>0</v>
      </c>
      <c r="AF118" s="889">
        <f t="shared" si="13"/>
        <v>0</v>
      </c>
      <c r="AG118" s="890">
        <f t="shared" si="14"/>
        <v>0</v>
      </c>
      <c r="AH118" s="889">
        <f t="shared" si="15"/>
        <v>0</v>
      </c>
      <c r="AI118" s="915"/>
      <c r="AJ118" s="898"/>
    </row>
    <row r="119" spans="3:36">
      <c r="C119" s="896"/>
      <c r="D119" s="896"/>
      <c r="E119" s="915"/>
      <c r="F119" s="888">
        <f t="shared" si="4"/>
        <v>0</v>
      </c>
      <c r="G119" s="915"/>
      <c r="H119" s="889"/>
      <c r="I119" s="915"/>
      <c r="J119" s="889"/>
      <c r="K119" s="889"/>
      <c r="L119" s="889">
        <f t="shared" si="7"/>
        <v>0</v>
      </c>
      <c r="M119" s="889"/>
      <c r="N119" s="889">
        <f t="shared" si="8"/>
        <v>0</v>
      </c>
      <c r="O119" s="889"/>
      <c r="P119" s="889">
        <f t="shared" si="9"/>
        <v>0</v>
      </c>
      <c r="Q119" s="889"/>
      <c r="R119" s="889"/>
      <c r="S119" s="889"/>
      <c r="T119" s="889"/>
      <c r="U119" s="889"/>
      <c r="V119" s="889">
        <f t="shared" si="10"/>
        <v>0</v>
      </c>
      <c r="W119" s="889"/>
      <c r="X119" s="889"/>
      <c r="Y119" s="889"/>
      <c r="Z119" s="889"/>
      <c r="AA119" s="889"/>
      <c r="AB119" s="889">
        <f t="shared" si="11"/>
        <v>0</v>
      </c>
      <c r="AC119" s="889"/>
      <c r="AD119" s="889"/>
      <c r="AE119" s="890"/>
      <c r="AF119" s="889"/>
      <c r="AG119" s="890"/>
      <c r="AH119" s="889"/>
      <c r="AI119" s="915"/>
      <c r="AJ119" s="898"/>
    </row>
    <row r="120" spans="3:36">
      <c r="C120" s="896"/>
      <c r="D120" s="896"/>
      <c r="E120" s="915"/>
      <c r="F120" s="888">
        <f t="shared" si="4"/>
        <v>0</v>
      </c>
      <c r="G120" s="915"/>
      <c r="H120" s="889"/>
      <c r="I120" s="915"/>
      <c r="J120" s="889"/>
      <c r="K120" s="889"/>
      <c r="L120" s="889">
        <f t="shared" si="7"/>
        <v>0</v>
      </c>
      <c r="M120" s="889"/>
      <c r="N120" s="889">
        <f t="shared" si="8"/>
        <v>0</v>
      </c>
      <c r="O120" s="889"/>
      <c r="P120" s="889">
        <f t="shared" si="9"/>
        <v>0</v>
      </c>
      <c r="Q120" s="889"/>
      <c r="R120" s="889"/>
      <c r="S120" s="889"/>
      <c r="T120" s="889"/>
      <c r="U120" s="889"/>
      <c r="V120" s="889">
        <f t="shared" si="10"/>
        <v>0</v>
      </c>
      <c r="W120" s="889"/>
      <c r="X120" s="889"/>
      <c r="Y120" s="889"/>
      <c r="Z120" s="889"/>
      <c r="AA120" s="889"/>
      <c r="AB120" s="889">
        <f t="shared" si="11"/>
        <v>0</v>
      </c>
      <c r="AC120" s="889"/>
      <c r="AD120" s="889"/>
      <c r="AE120" s="890"/>
      <c r="AF120" s="889"/>
      <c r="AG120" s="890"/>
      <c r="AH120" s="889"/>
      <c r="AI120" s="915"/>
      <c r="AJ120" s="898"/>
    </row>
    <row r="121" spans="3:36">
      <c r="C121" s="896"/>
      <c r="D121" s="896"/>
      <c r="E121" s="915"/>
      <c r="F121" s="888">
        <f t="shared" si="4"/>
        <v>0</v>
      </c>
      <c r="G121" s="915"/>
      <c r="H121" s="889"/>
      <c r="I121" s="915"/>
      <c r="J121" s="889"/>
      <c r="K121" s="889"/>
      <c r="L121" s="889">
        <f t="shared" si="7"/>
        <v>0</v>
      </c>
      <c r="M121" s="889"/>
      <c r="N121" s="889">
        <f t="shared" si="8"/>
        <v>0</v>
      </c>
      <c r="O121" s="889"/>
      <c r="P121" s="889">
        <f t="shared" si="9"/>
        <v>0</v>
      </c>
      <c r="Q121" s="889"/>
      <c r="R121" s="889"/>
      <c r="S121" s="889"/>
      <c r="T121" s="889"/>
      <c r="U121" s="889"/>
      <c r="V121" s="889"/>
      <c r="W121" s="889"/>
      <c r="X121" s="889"/>
      <c r="Y121" s="889"/>
      <c r="Z121" s="889"/>
      <c r="AA121" s="889"/>
      <c r="AB121" s="889">
        <f t="shared" si="11"/>
        <v>0</v>
      </c>
      <c r="AC121" s="889"/>
      <c r="AD121" s="889"/>
      <c r="AE121" s="890"/>
      <c r="AF121" s="889"/>
      <c r="AG121" s="889"/>
      <c r="AH121" s="889"/>
      <c r="AI121" s="915"/>
      <c r="AJ121" s="898"/>
    </row>
    <row r="122" spans="3:36">
      <c r="C122" s="896"/>
      <c r="D122" s="896"/>
      <c r="E122" s="915"/>
      <c r="F122" s="888">
        <f t="shared" si="4"/>
        <v>0</v>
      </c>
      <c r="G122" s="915"/>
      <c r="H122" s="889"/>
      <c r="I122" s="915"/>
      <c r="J122" s="889"/>
      <c r="K122" s="889"/>
      <c r="L122" s="889">
        <f t="shared" si="7"/>
        <v>0</v>
      </c>
      <c r="M122" s="889"/>
      <c r="N122" s="889">
        <f t="shared" si="8"/>
        <v>0</v>
      </c>
      <c r="O122" s="889"/>
      <c r="P122" s="889">
        <f t="shared" si="9"/>
        <v>0</v>
      </c>
      <c r="Q122" s="889"/>
      <c r="R122" s="889"/>
      <c r="S122" s="889"/>
      <c r="T122" s="889"/>
      <c r="U122" s="889"/>
      <c r="V122" s="889"/>
      <c r="W122" s="889"/>
      <c r="X122" s="889"/>
      <c r="Y122" s="889"/>
      <c r="Z122" s="889"/>
      <c r="AA122" s="889"/>
      <c r="AB122" s="889">
        <f t="shared" si="11"/>
        <v>0</v>
      </c>
      <c r="AC122" s="889"/>
      <c r="AD122" s="889"/>
      <c r="AE122" s="890"/>
      <c r="AF122" s="889"/>
      <c r="AG122" s="889"/>
      <c r="AH122" s="889"/>
      <c r="AI122" s="915"/>
      <c r="AJ122" s="898"/>
    </row>
    <row r="123" spans="3:36">
      <c r="C123" s="896"/>
      <c r="D123" s="896"/>
      <c r="E123" s="915"/>
      <c r="F123" s="888">
        <f t="shared" si="4"/>
        <v>0</v>
      </c>
      <c r="G123" s="915"/>
      <c r="H123" s="889"/>
      <c r="I123" s="915"/>
      <c r="J123" s="889"/>
      <c r="K123" s="889"/>
      <c r="L123" s="889">
        <f t="shared" si="7"/>
        <v>0</v>
      </c>
      <c r="M123" s="889"/>
      <c r="N123" s="889">
        <f t="shared" si="8"/>
        <v>0</v>
      </c>
      <c r="O123" s="889"/>
      <c r="P123" s="889">
        <f t="shared" si="9"/>
        <v>0</v>
      </c>
      <c r="Q123" s="889"/>
      <c r="R123" s="889"/>
      <c r="S123" s="889"/>
      <c r="T123" s="889"/>
      <c r="U123" s="889"/>
      <c r="V123" s="889"/>
      <c r="W123" s="889"/>
      <c r="X123" s="889"/>
      <c r="Y123" s="889"/>
      <c r="Z123" s="889"/>
      <c r="AA123" s="889"/>
      <c r="AB123" s="889">
        <f t="shared" si="11"/>
        <v>0</v>
      </c>
      <c r="AC123" s="889"/>
      <c r="AD123" s="889"/>
      <c r="AE123" s="890"/>
      <c r="AF123" s="889"/>
      <c r="AG123" s="889"/>
      <c r="AH123" s="889"/>
      <c r="AI123" s="915"/>
      <c r="AJ123" s="898"/>
    </row>
    <row r="124" spans="3:36">
      <c r="C124" s="896"/>
      <c r="D124" s="896"/>
      <c r="E124" s="915"/>
      <c r="F124" s="888">
        <f t="shared" si="4"/>
        <v>0</v>
      </c>
      <c r="G124" s="915"/>
      <c r="H124" s="889"/>
      <c r="I124" s="915"/>
      <c r="J124" s="889"/>
      <c r="K124" s="889"/>
      <c r="L124" s="889">
        <f t="shared" si="7"/>
        <v>0</v>
      </c>
      <c r="M124" s="889"/>
      <c r="N124" s="889">
        <f t="shared" si="8"/>
        <v>0</v>
      </c>
      <c r="O124" s="889"/>
      <c r="P124" s="889">
        <f t="shared" si="9"/>
        <v>0</v>
      </c>
      <c r="Q124" s="889"/>
      <c r="R124" s="889"/>
      <c r="S124" s="889"/>
      <c r="T124" s="889"/>
      <c r="U124" s="889"/>
      <c r="V124" s="889"/>
      <c r="W124" s="889"/>
      <c r="X124" s="889"/>
      <c r="Y124" s="889"/>
      <c r="Z124" s="889"/>
      <c r="AA124" s="889"/>
      <c r="AB124" s="889">
        <f t="shared" si="11"/>
        <v>0</v>
      </c>
      <c r="AC124" s="889"/>
      <c r="AD124" s="889"/>
      <c r="AE124" s="890"/>
      <c r="AF124" s="889"/>
      <c r="AG124" s="889"/>
      <c r="AH124" s="889"/>
      <c r="AI124" s="915"/>
      <c r="AJ124" s="898"/>
    </row>
    <row r="125" spans="3:36">
      <c r="C125" s="896"/>
      <c r="D125" s="896"/>
      <c r="E125" s="896"/>
      <c r="F125" s="888"/>
      <c r="G125" s="896"/>
      <c r="H125" s="889"/>
      <c r="I125" s="896"/>
      <c r="J125" s="889"/>
      <c r="K125" s="889"/>
      <c r="L125" s="891"/>
      <c r="M125" s="889"/>
      <c r="N125" s="891"/>
      <c r="O125" s="889"/>
      <c r="P125" s="891"/>
      <c r="Q125" s="891"/>
      <c r="R125" s="891"/>
      <c r="S125" s="891"/>
      <c r="T125" s="891"/>
      <c r="U125" s="891"/>
      <c r="V125" s="891"/>
      <c r="W125" s="891"/>
      <c r="X125" s="891"/>
      <c r="Y125" s="891"/>
      <c r="Z125" s="891"/>
      <c r="AA125" s="891"/>
      <c r="AB125" s="889">
        <f t="shared" si="11"/>
        <v>0</v>
      </c>
      <c r="AC125" s="889"/>
      <c r="AD125" s="889"/>
      <c r="AE125" s="892"/>
      <c r="AF125" s="891"/>
      <c r="AG125" s="889"/>
      <c r="AH125" s="889"/>
      <c r="AI125" s="896"/>
    </row>
    <row r="126" spans="3:36">
      <c r="C126" s="896"/>
      <c r="D126" s="896"/>
      <c r="E126" s="896"/>
      <c r="F126" s="888"/>
      <c r="G126" s="896"/>
      <c r="H126" s="889"/>
      <c r="I126" s="896"/>
      <c r="J126" s="889"/>
      <c r="K126" s="889"/>
      <c r="L126" s="891"/>
      <c r="M126" s="889"/>
      <c r="N126" s="891"/>
      <c r="O126" s="889"/>
      <c r="P126" s="891"/>
      <c r="Q126" s="891"/>
      <c r="R126" s="891"/>
      <c r="S126" s="891"/>
      <c r="T126" s="891"/>
      <c r="U126" s="891"/>
      <c r="V126" s="891"/>
      <c r="W126" s="891"/>
      <c r="X126" s="891"/>
      <c r="Y126" s="891"/>
      <c r="Z126" s="891"/>
      <c r="AA126" s="891"/>
      <c r="AB126" s="889">
        <f t="shared" si="11"/>
        <v>0</v>
      </c>
      <c r="AC126" s="889"/>
      <c r="AD126" s="889"/>
      <c r="AE126" s="892"/>
      <c r="AF126" s="891"/>
      <c r="AG126" s="889"/>
      <c r="AH126" s="889"/>
      <c r="AI126" s="896"/>
    </row>
    <row r="127" spans="3:36">
      <c r="C127" s="896"/>
      <c r="D127" s="896"/>
      <c r="E127" s="896"/>
      <c r="F127" s="896"/>
      <c r="G127" s="896"/>
      <c r="H127" s="889"/>
      <c r="I127" s="896"/>
      <c r="J127" s="889"/>
      <c r="K127" s="916"/>
      <c r="L127" s="891"/>
      <c r="M127" s="916"/>
      <c r="N127" s="891"/>
      <c r="O127" s="916"/>
      <c r="P127" s="891"/>
      <c r="Q127" s="893"/>
      <c r="R127" s="893"/>
      <c r="S127" s="893"/>
      <c r="T127" s="893"/>
      <c r="U127" s="893"/>
      <c r="V127" s="893"/>
      <c r="W127" s="893"/>
      <c r="X127" s="893"/>
      <c r="Y127" s="893"/>
      <c r="Z127" s="893"/>
      <c r="AA127" s="893"/>
      <c r="AB127" s="893"/>
      <c r="AC127" s="893"/>
      <c r="AD127" s="893"/>
      <c r="AE127" s="894"/>
      <c r="AF127" s="893"/>
      <c r="AG127" s="896"/>
      <c r="AH127" s="896"/>
      <c r="AI127" s="896"/>
    </row>
    <row r="128" spans="3:36">
      <c r="C128" s="896"/>
      <c r="D128" s="896"/>
      <c r="E128" s="896"/>
      <c r="F128" s="896"/>
      <c r="G128" s="896"/>
      <c r="H128" s="889"/>
      <c r="I128" s="896"/>
      <c r="J128" s="889"/>
      <c r="K128" s="916"/>
      <c r="L128" s="891"/>
      <c r="M128" s="916"/>
      <c r="N128" s="891"/>
      <c r="O128" s="916"/>
      <c r="P128" s="891"/>
      <c r="Q128" s="893"/>
      <c r="R128" s="893"/>
      <c r="S128" s="893"/>
      <c r="T128" s="893"/>
      <c r="U128" s="893"/>
      <c r="V128" s="893"/>
      <c r="W128" s="893"/>
      <c r="X128" s="893"/>
      <c r="Y128" s="893"/>
      <c r="Z128" s="893"/>
      <c r="AA128" s="893"/>
      <c r="AB128" s="893"/>
      <c r="AC128" s="893"/>
      <c r="AD128" s="893"/>
      <c r="AE128" s="894"/>
      <c r="AF128" s="893"/>
      <c r="AG128" s="896"/>
      <c r="AH128" s="896"/>
      <c r="AI128" s="896"/>
      <c r="AJ128" s="896"/>
    </row>
    <row r="129" spans="3:36">
      <c r="C129" s="896"/>
      <c r="D129" s="896"/>
      <c r="E129" s="896"/>
      <c r="F129" s="896"/>
      <c r="G129" s="896"/>
      <c r="H129" s="896"/>
      <c r="I129" s="896"/>
      <c r="J129" s="896"/>
      <c r="K129" s="916"/>
      <c r="L129" s="896"/>
      <c r="M129" s="916"/>
      <c r="N129" s="896"/>
      <c r="O129" s="916"/>
      <c r="P129" s="896"/>
      <c r="Q129" s="896"/>
      <c r="R129" s="896"/>
      <c r="S129" s="896"/>
      <c r="T129" s="896"/>
      <c r="U129" s="896"/>
      <c r="V129" s="896"/>
      <c r="W129" s="896"/>
      <c r="X129" s="896"/>
      <c r="Y129" s="896"/>
      <c r="Z129" s="896"/>
      <c r="AA129" s="896"/>
      <c r="AB129" s="896"/>
      <c r="AC129" s="896"/>
      <c r="AD129" s="896"/>
      <c r="AE129" s="917"/>
      <c r="AF129" s="896"/>
      <c r="AG129" s="896"/>
      <c r="AH129" s="896"/>
      <c r="AI129" s="896"/>
      <c r="AJ129" s="896"/>
    </row>
    <row r="130" spans="3:36">
      <c r="C130" s="896"/>
      <c r="D130" s="896"/>
      <c r="E130" s="896"/>
      <c r="F130" s="896"/>
      <c r="G130" s="896"/>
      <c r="H130" s="896"/>
      <c r="I130" s="896"/>
      <c r="J130" s="896"/>
      <c r="K130" s="916"/>
      <c r="L130" s="896"/>
      <c r="M130" s="916"/>
      <c r="N130" s="896"/>
      <c r="O130" s="916"/>
      <c r="P130" s="896"/>
      <c r="Q130" s="896"/>
      <c r="R130" s="896"/>
      <c r="S130" s="896"/>
      <c r="T130" s="896"/>
      <c r="U130" s="896"/>
      <c r="V130" s="896"/>
      <c r="W130" s="896"/>
      <c r="X130" s="896"/>
      <c r="Y130" s="896"/>
      <c r="Z130" s="896"/>
      <c r="AA130" s="896"/>
      <c r="AB130" s="896"/>
      <c r="AC130" s="896"/>
      <c r="AD130" s="896"/>
      <c r="AE130" s="917"/>
      <c r="AF130" s="896"/>
      <c r="AG130" s="896"/>
      <c r="AH130" s="896"/>
      <c r="AI130" s="896"/>
      <c r="AJ130" s="896"/>
    </row>
    <row r="131" spans="3:36">
      <c r="C131" s="896"/>
      <c r="D131" s="896"/>
      <c r="E131" s="896"/>
      <c r="F131" s="896"/>
      <c r="G131" s="896"/>
      <c r="H131" s="896"/>
      <c r="I131" s="896"/>
      <c r="J131" s="896"/>
      <c r="K131" s="916"/>
      <c r="L131" s="896"/>
      <c r="M131" s="916"/>
      <c r="N131" s="896"/>
      <c r="O131" s="916"/>
      <c r="P131" s="896"/>
      <c r="Q131" s="896"/>
      <c r="R131" s="896"/>
      <c r="S131" s="896"/>
      <c r="T131" s="896"/>
      <c r="U131" s="896"/>
      <c r="V131" s="896"/>
      <c r="W131" s="896"/>
      <c r="X131" s="896"/>
      <c r="Y131" s="896"/>
      <c r="Z131" s="896"/>
      <c r="AA131" s="896"/>
      <c r="AB131" s="896"/>
      <c r="AC131" s="896"/>
      <c r="AD131" s="896"/>
      <c r="AE131" s="917"/>
      <c r="AF131" s="896"/>
      <c r="AG131" s="896"/>
      <c r="AH131" s="896"/>
      <c r="AI131" s="896"/>
      <c r="AJ131" s="896"/>
    </row>
    <row r="132" spans="3:36">
      <c r="C132" s="896"/>
      <c r="D132" s="896"/>
      <c r="E132" s="896"/>
      <c r="F132" s="896"/>
      <c r="G132" s="896"/>
      <c r="H132" s="896"/>
      <c r="I132" s="896"/>
      <c r="J132" s="896"/>
      <c r="K132" s="916"/>
      <c r="L132" s="896"/>
      <c r="M132" s="916"/>
      <c r="N132" s="896"/>
      <c r="O132" s="916"/>
      <c r="P132" s="896"/>
      <c r="Q132" s="896"/>
      <c r="R132" s="896"/>
      <c r="S132" s="896"/>
      <c r="T132" s="896"/>
      <c r="U132" s="896"/>
      <c r="V132" s="896"/>
      <c r="W132" s="896"/>
      <c r="X132" s="896"/>
      <c r="Y132" s="896"/>
      <c r="Z132" s="896"/>
      <c r="AA132" s="896"/>
      <c r="AB132" s="896"/>
      <c r="AC132" s="896"/>
      <c r="AD132" s="896"/>
      <c r="AE132" s="917"/>
      <c r="AF132" s="896"/>
      <c r="AG132" s="896"/>
      <c r="AH132" s="896"/>
      <c r="AI132" s="896"/>
      <c r="AJ132" s="896"/>
    </row>
    <row r="133" spans="3:36">
      <c r="C133" s="896"/>
      <c r="D133" s="896"/>
      <c r="E133" s="896"/>
      <c r="F133" s="896"/>
      <c r="G133" s="896"/>
      <c r="H133" s="896"/>
      <c r="I133" s="896"/>
      <c r="J133" s="896"/>
      <c r="K133" s="916"/>
      <c r="L133" s="896"/>
      <c r="M133" s="916"/>
      <c r="N133" s="896"/>
      <c r="O133" s="916"/>
      <c r="P133" s="896"/>
      <c r="Q133" s="896"/>
      <c r="R133" s="896"/>
      <c r="S133" s="896"/>
      <c r="T133" s="896"/>
      <c r="U133" s="896"/>
      <c r="V133" s="896"/>
      <c r="W133" s="896"/>
      <c r="X133" s="896"/>
      <c r="Y133" s="896"/>
      <c r="Z133" s="896"/>
      <c r="AA133" s="896"/>
      <c r="AB133" s="896"/>
      <c r="AC133" s="896"/>
      <c r="AD133" s="896"/>
      <c r="AE133" s="917"/>
      <c r="AF133" s="896"/>
      <c r="AG133" s="896"/>
      <c r="AH133" s="896"/>
      <c r="AI133" s="896"/>
      <c r="AJ133" s="896"/>
    </row>
    <row r="134" spans="3:36">
      <c r="C134" s="896"/>
      <c r="D134" s="896"/>
      <c r="E134" s="896"/>
      <c r="F134" s="896"/>
      <c r="G134" s="896"/>
      <c r="H134" s="896"/>
      <c r="I134" s="896"/>
      <c r="J134" s="896"/>
      <c r="K134" s="916"/>
      <c r="L134" s="896"/>
      <c r="M134" s="916"/>
      <c r="N134" s="896"/>
      <c r="O134" s="916"/>
      <c r="P134" s="896"/>
      <c r="Q134" s="896"/>
      <c r="R134" s="896"/>
      <c r="S134" s="896"/>
      <c r="T134" s="896"/>
      <c r="U134" s="896"/>
      <c r="V134" s="896"/>
      <c r="W134" s="896"/>
      <c r="X134" s="896"/>
      <c r="Y134" s="896"/>
      <c r="Z134" s="896"/>
      <c r="AA134" s="896"/>
      <c r="AB134" s="896"/>
      <c r="AC134" s="896"/>
      <c r="AD134" s="896"/>
      <c r="AE134" s="917"/>
      <c r="AF134" s="896"/>
      <c r="AG134" s="896"/>
      <c r="AH134" s="896"/>
      <c r="AI134" s="896"/>
      <c r="AJ134" s="896"/>
    </row>
  </sheetData>
  <autoFilter ref="A4:AR103"/>
  <mergeCells count="31">
    <mergeCell ref="G2:H2"/>
    <mergeCell ref="A1:AH1"/>
    <mergeCell ref="A2:A3"/>
    <mergeCell ref="B2:B3"/>
    <mergeCell ref="C2:C3"/>
    <mergeCell ref="D2:D3"/>
    <mergeCell ref="E2:F2"/>
    <mergeCell ref="I2:J2"/>
    <mergeCell ref="K2:L2"/>
    <mergeCell ref="U2:V2"/>
    <mergeCell ref="AA2:AB2"/>
    <mergeCell ref="M2:N2"/>
    <mergeCell ref="O2:P2"/>
    <mergeCell ref="AC2:AD2"/>
    <mergeCell ref="Q2:R2"/>
    <mergeCell ref="S2:T2"/>
    <mergeCell ref="AF90:AG90"/>
    <mergeCell ref="AE91:AG91"/>
    <mergeCell ref="W2:X2"/>
    <mergeCell ref="Y2:Z2"/>
    <mergeCell ref="AE2:AF2"/>
    <mergeCell ref="AG2:AH2"/>
    <mergeCell ref="AC85:AG85"/>
    <mergeCell ref="AC86:AD86"/>
    <mergeCell ref="AC87:AG87"/>
    <mergeCell ref="AC88:AD88"/>
    <mergeCell ref="AC89:AD89"/>
    <mergeCell ref="AC90:AD90"/>
    <mergeCell ref="AF86:AG86"/>
    <mergeCell ref="AF88:AG88"/>
    <mergeCell ref="AF89:AG89"/>
  </mergeCells>
  <printOptions horizontalCentered="1"/>
  <pageMargins left="0.23622047244094491" right="0.19685039370078741" top="0.6692913385826772" bottom="0.55118110236220474" header="0.27559055118110237" footer="0.27559055118110237"/>
  <pageSetup paperSize="8" scale="19" orientation="landscape" r:id="rId1"/>
  <headerFooter alignWithMargins="0">
    <oddHeader>&amp;R&amp;P</oddHeader>
  </headerFooter>
  <drawing r:id="rId2"/>
</worksheet>
</file>

<file path=xl/worksheets/sheet19.xml><?xml version="1.0" encoding="utf-8"?>
<worksheet xmlns="http://schemas.openxmlformats.org/spreadsheetml/2006/main" xmlns:r="http://schemas.openxmlformats.org/officeDocument/2006/relationships">
  <sheetPr codeName="Sheet12">
    <tabColor rgb="FF00B050"/>
  </sheetPr>
  <dimension ref="A1:O399"/>
  <sheetViews>
    <sheetView view="pageBreakPreview" topLeftCell="A43" zoomScale="90" zoomScaleNormal="90" zoomScaleSheetLayoutView="90" workbookViewId="0">
      <selection activeCell="K20" sqref="K20"/>
    </sheetView>
  </sheetViews>
  <sheetFormatPr defaultColWidth="9.28515625" defaultRowHeight="15.75"/>
  <cols>
    <col min="1" max="1" width="5.28515625" style="780" customWidth="1"/>
    <col min="2" max="2" width="36.7109375" style="29" customWidth="1"/>
    <col min="3" max="4" width="5.42578125" style="780" customWidth="1"/>
    <col min="5" max="5" width="9.5703125" style="781" customWidth="1"/>
    <col min="6" max="7" width="7.7109375" style="781" customWidth="1"/>
    <col min="8" max="8" width="10.28515625" style="782" customWidth="1"/>
    <col min="9" max="9" width="5.7109375" style="780" customWidth="1"/>
    <col min="10" max="13" width="9.28515625" style="29"/>
    <col min="14" max="14" width="12.7109375" style="29" bestFit="1" customWidth="1"/>
    <col min="15" max="16384" width="9.28515625" style="29"/>
  </cols>
  <sheetData>
    <row r="1" spans="1:9">
      <c r="A1" s="2040" t="s">
        <v>241</v>
      </c>
      <c r="B1" s="2040"/>
      <c r="C1" s="2040"/>
      <c r="D1" s="2040"/>
      <c r="E1" s="2040"/>
      <c r="F1" s="2040"/>
      <c r="G1" s="2040"/>
      <c r="H1" s="2040"/>
      <c r="I1" s="2040"/>
    </row>
    <row r="2" spans="1:9" ht="34.15" customHeight="1">
      <c r="A2" s="2040" t="s">
        <v>3699</v>
      </c>
      <c r="B2" s="2040"/>
      <c r="C2" s="2040"/>
      <c r="D2" s="2040"/>
      <c r="E2" s="2040"/>
      <c r="F2" s="2040"/>
      <c r="G2" s="2040"/>
      <c r="H2" s="2040"/>
      <c r="I2" s="2040"/>
    </row>
    <row r="3" spans="1:9" ht="20.45" customHeight="1">
      <c r="A3" s="1999" t="s">
        <v>3739</v>
      </c>
      <c r="B3" s="2000"/>
      <c r="C3" s="2000"/>
      <c r="D3" s="2000"/>
      <c r="E3" s="2000"/>
      <c r="F3" s="2000"/>
      <c r="G3" s="2000"/>
      <c r="H3" s="2000"/>
      <c r="I3" s="2001"/>
    </row>
    <row r="4" spans="1:9" ht="18.600000000000001" customHeight="1">
      <c r="A4" s="1999" t="s">
        <v>14</v>
      </c>
      <c r="B4" s="2000"/>
      <c r="C4" s="2000"/>
      <c r="D4" s="2000"/>
      <c r="E4" s="2000"/>
      <c r="F4" s="2000"/>
      <c r="G4" s="2000"/>
      <c r="H4" s="2000"/>
      <c r="I4" s="2001"/>
    </row>
    <row r="5" spans="1:9" ht="33.6" customHeight="1">
      <c r="A5" s="785" t="s">
        <v>12</v>
      </c>
      <c r="B5" s="785" t="s">
        <v>11</v>
      </c>
      <c r="C5" s="2040" t="s">
        <v>4</v>
      </c>
      <c r="D5" s="2040"/>
      <c r="E5" s="724" t="s">
        <v>5</v>
      </c>
      <c r="F5" s="724" t="s">
        <v>6</v>
      </c>
      <c r="G5" s="724" t="s">
        <v>7</v>
      </c>
      <c r="H5" s="724" t="s">
        <v>3</v>
      </c>
      <c r="I5" s="724" t="s">
        <v>10</v>
      </c>
    </row>
    <row r="6" spans="1:9" ht="49.15" customHeight="1">
      <c r="A6" s="725">
        <v>1</v>
      </c>
      <c r="B6" s="726" t="s">
        <v>3413</v>
      </c>
      <c r="C6" s="727"/>
      <c r="D6" s="727"/>
      <c r="E6" s="728"/>
      <c r="F6" s="727"/>
      <c r="G6" s="727"/>
      <c r="H6" s="729"/>
      <c r="I6" s="724"/>
    </row>
    <row r="7" spans="1:9" s="733" customFormat="1" ht="22.15" customHeight="1">
      <c r="A7" s="787"/>
      <c r="B7" s="12" t="s">
        <v>3464</v>
      </c>
      <c r="C7" s="30">
        <v>1</v>
      </c>
      <c r="D7" s="730">
        <v>5</v>
      </c>
      <c r="E7" s="731">
        <v>1.2</v>
      </c>
      <c r="F7" s="731">
        <v>1.2</v>
      </c>
      <c r="G7" s="731">
        <v>1</v>
      </c>
      <c r="H7" s="32">
        <f>PRODUCT(C7:G7)</f>
        <v>7.1999999999999993</v>
      </c>
      <c r="I7" s="732"/>
    </row>
    <row r="8" spans="1:9" ht="16.899999999999999" customHeight="1">
      <c r="A8" s="785"/>
      <c r="B8" s="31"/>
      <c r="C8" s="30"/>
      <c r="D8" s="30"/>
      <c r="E8" s="34"/>
      <c r="F8" s="34"/>
      <c r="G8" s="728" t="s">
        <v>9</v>
      </c>
      <c r="H8" s="734">
        <v>7.2</v>
      </c>
      <c r="I8" s="34" t="s">
        <v>276</v>
      </c>
    </row>
    <row r="9" spans="1:9" ht="47.45" customHeight="1">
      <c r="A9" s="1382">
        <v>2</v>
      </c>
      <c r="B9" s="1383" t="s">
        <v>5329</v>
      </c>
      <c r="C9" s="30"/>
      <c r="D9" s="30"/>
      <c r="E9" s="34"/>
      <c r="F9" s="34"/>
      <c r="G9" s="728"/>
      <c r="H9" s="734"/>
      <c r="I9" s="34"/>
    </row>
    <row r="10" spans="1:9" ht="25.15" customHeight="1">
      <c r="A10" s="785"/>
      <c r="B10" s="31" t="s">
        <v>5330</v>
      </c>
      <c r="C10" s="30">
        <v>1</v>
      </c>
      <c r="D10" s="30">
        <v>4</v>
      </c>
      <c r="E10" s="34">
        <v>7.2</v>
      </c>
      <c r="F10" s="34">
        <v>3</v>
      </c>
      <c r="G10" s="34">
        <v>0.5</v>
      </c>
      <c r="H10" s="32">
        <f>PRODUCT(C10:G10)</f>
        <v>43.2</v>
      </c>
      <c r="I10" s="34"/>
    </row>
    <row r="11" spans="1:9" ht="16.899999999999999" customHeight="1">
      <c r="A11" s="1382"/>
      <c r="B11" s="31"/>
      <c r="C11" s="30"/>
      <c r="D11" s="30"/>
      <c r="E11" s="34"/>
      <c r="F11" s="34"/>
      <c r="G11" s="728" t="s">
        <v>9</v>
      </c>
      <c r="H11" s="734">
        <v>24</v>
      </c>
      <c r="I11" s="34" t="s">
        <v>313</v>
      </c>
    </row>
    <row r="12" spans="1:9" ht="49.15" customHeight="1">
      <c r="A12" s="725">
        <f>A9+1</f>
        <v>3</v>
      </c>
      <c r="B12" s="735" t="s">
        <v>3414</v>
      </c>
      <c r="C12" s="727"/>
      <c r="D12" s="727"/>
      <c r="E12" s="728"/>
      <c r="F12" s="728"/>
      <c r="G12" s="728"/>
      <c r="H12" s="729"/>
      <c r="I12" s="34"/>
    </row>
    <row r="13" spans="1:9" ht="22.15" customHeight="1">
      <c r="A13" s="736"/>
      <c r="B13" s="31" t="s">
        <v>5330</v>
      </c>
      <c r="C13" s="738">
        <v>1</v>
      </c>
      <c r="D13" s="738">
        <v>4</v>
      </c>
      <c r="E13" s="739">
        <v>7.2</v>
      </c>
      <c r="F13" s="739">
        <v>3</v>
      </c>
      <c r="G13" s="739">
        <v>0.1</v>
      </c>
      <c r="H13" s="32">
        <f>PRODUCT(C13:G13)</f>
        <v>8.64</v>
      </c>
      <c r="I13" s="34"/>
    </row>
    <row r="14" spans="1:9" s="733" customFormat="1">
      <c r="A14" s="787"/>
      <c r="B14" s="12" t="s">
        <v>3463</v>
      </c>
      <c r="C14" s="30">
        <v>1</v>
      </c>
      <c r="D14" s="730">
        <v>5</v>
      </c>
      <c r="E14" s="731">
        <v>0.8</v>
      </c>
      <c r="F14" s="731">
        <v>0.8</v>
      </c>
      <c r="G14" s="731">
        <v>0.15</v>
      </c>
      <c r="H14" s="740">
        <f>PRODUCT(C14:G14)</f>
        <v>0.48</v>
      </c>
      <c r="I14" s="741"/>
    </row>
    <row r="15" spans="1:9" ht="19.899999999999999" customHeight="1">
      <c r="A15" s="725"/>
      <c r="B15" s="742"/>
      <c r="C15" s="727"/>
      <c r="D15" s="727"/>
      <c r="E15" s="728"/>
      <c r="F15" s="728"/>
      <c r="G15" s="728"/>
      <c r="H15" s="729">
        <f>SUM(H13:H14)</f>
        <v>9.120000000000001</v>
      </c>
      <c r="I15" s="34"/>
    </row>
    <row r="16" spans="1:9" ht="19.899999999999999" customHeight="1">
      <c r="A16" s="725"/>
      <c r="B16" s="743"/>
      <c r="C16" s="727"/>
      <c r="D16" s="727"/>
      <c r="E16" s="728"/>
      <c r="F16" s="728"/>
      <c r="G16" s="728" t="s">
        <v>9</v>
      </c>
      <c r="H16" s="734">
        <v>9.15</v>
      </c>
      <c r="I16" s="34" t="s">
        <v>313</v>
      </c>
    </row>
    <row r="17" spans="1:9" ht="47.25">
      <c r="A17" s="725">
        <f>A12+1</f>
        <v>4</v>
      </c>
      <c r="B17" s="735" t="s">
        <v>3477</v>
      </c>
      <c r="C17" s="30"/>
      <c r="D17" s="30"/>
      <c r="E17" s="34"/>
      <c r="F17" s="34"/>
      <c r="G17" s="34"/>
      <c r="H17" s="42"/>
      <c r="I17" s="30"/>
    </row>
    <row r="18" spans="1:9">
      <c r="A18" s="30"/>
      <c r="B18" s="31" t="s">
        <v>5330</v>
      </c>
      <c r="C18" s="738">
        <v>1</v>
      </c>
      <c r="D18" s="738">
        <v>4</v>
      </c>
      <c r="E18" s="739">
        <v>7.2</v>
      </c>
      <c r="F18" s="739">
        <v>3</v>
      </c>
      <c r="G18" s="744">
        <v>7.4999999999999997E-2</v>
      </c>
      <c r="H18" s="32">
        <f>PRODUCT(C18:G18)</f>
        <v>6.48</v>
      </c>
      <c r="I18" s="30"/>
    </row>
    <row r="19" spans="1:9">
      <c r="A19" s="30"/>
      <c r="B19" s="31"/>
      <c r="C19" s="30"/>
      <c r="D19" s="30"/>
      <c r="E19" s="34"/>
      <c r="F19" s="34"/>
      <c r="G19" s="34" t="s">
        <v>9</v>
      </c>
      <c r="H19" s="43">
        <f>SUM(H18:H18)</f>
        <v>6.48</v>
      </c>
      <c r="I19" s="30" t="s">
        <v>313</v>
      </c>
    </row>
    <row r="20" spans="1:9" ht="78" customHeight="1">
      <c r="A20" s="725">
        <v>5</v>
      </c>
      <c r="B20" s="745" t="s">
        <v>5272</v>
      </c>
      <c r="C20" s="727"/>
      <c r="D20" s="727"/>
      <c r="E20" s="728"/>
      <c r="F20" s="728"/>
      <c r="G20" s="728"/>
      <c r="H20" s="729"/>
      <c r="I20" s="34"/>
    </row>
    <row r="21" spans="1:9" s="733" customFormat="1">
      <c r="A21" s="787"/>
      <c r="B21" s="12" t="s">
        <v>3464</v>
      </c>
      <c r="C21" s="30">
        <v>1</v>
      </c>
      <c r="D21" s="730">
        <v>5</v>
      </c>
      <c r="E21" s="731">
        <v>3.32</v>
      </c>
      <c r="F21" s="731">
        <v>0.23</v>
      </c>
      <c r="G21" s="731">
        <v>1</v>
      </c>
      <c r="H21" s="746">
        <f>PRODUCT(C21:G21)</f>
        <v>3.8179999999999996</v>
      </c>
      <c r="I21" s="747"/>
    </row>
    <row r="22" spans="1:9" s="733" customFormat="1">
      <c r="A22" s="1385"/>
      <c r="B22" s="12" t="s">
        <v>5359</v>
      </c>
      <c r="C22" s="30">
        <v>3</v>
      </c>
      <c r="D22" s="1386">
        <v>5</v>
      </c>
      <c r="E22" s="731">
        <v>0.45</v>
      </c>
      <c r="F22" s="731">
        <v>0.23</v>
      </c>
      <c r="G22" s="731">
        <v>0.6</v>
      </c>
      <c r="H22" s="746">
        <f>PRODUCT(C22:G22)</f>
        <v>0.93149999999999999</v>
      </c>
      <c r="I22" s="747"/>
    </row>
    <row r="23" spans="1:9" ht="25.15" customHeight="1">
      <c r="A23" s="725"/>
      <c r="B23" s="742" t="s">
        <v>3420</v>
      </c>
      <c r="C23" s="727"/>
      <c r="D23" s="727"/>
      <c r="E23" s="728"/>
      <c r="F23" s="728"/>
      <c r="G23" s="728"/>
      <c r="H23" s="729"/>
      <c r="I23" s="34"/>
    </row>
    <row r="24" spans="1:9" ht="19.149999999999999" customHeight="1">
      <c r="A24" s="725"/>
      <c r="B24" s="743"/>
      <c r="C24" s="727"/>
      <c r="D24" s="727"/>
      <c r="E24" s="728"/>
      <c r="F24" s="728"/>
      <c r="G24" s="728" t="s">
        <v>9</v>
      </c>
      <c r="H24" s="734">
        <f>SUM(H21:H23)</f>
        <v>4.7494999999999994</v>
      </c>
      <c r="I24" s="34" t="s">
        <v>313</v>
      </c>
    </row>
    <row r="25" spans="1:9" ht="107.45" customHeight="1">
      <c r="A25" s="725">
        <v>6</v>
      </c>
      <c r="B25" s="748" t="s">
        <v>3424</v>
      </c>
      <c r="C25" s="727"/>
      <c r="D25" s="727"/>
      <c r="E25" s="728"/>
      <c r="F25" s="728"/>
      <c r="G25" s="728"/>
      <c r="H25" s="729"/>
      <c r="I25" s="34"/>
    </row>
    <row r="26" spans="1:9" ht="25.15" customHeight="1">
      <c r="A26" s="725"/>
      <c r="B26" s="745" t="s">
        <v>3425</v>
      </c>
      <c r="C26" s="727"/>
      <c r="D26" s="727"/>
      <c r="E26" s="728"/>
      <c r="F26" s="728"/>
      <c r="G26" s="728"/>
      <c r="H26" s="729"/>
      <c r="I26" s="34"/>
    </row>
    <row r="27" spans="1:9" ht="19.899999999999999" customHeight="1">
      <c r="A27" s="727"/>
      <c r="B27" s="749" t="s">
        <v>5339</v>
      </c>
      <c r="C27" s="727">
        <v>2</v>
      </c>
      <c r="D27" s="727">
        <v>1</v>
      </c>
      <c r="E27" s="728">
        <v>2.8</v>
      </c>
      <c r="F27" s="728">
        <v>0.75</v>
      </c>
      <c r="G27" s="728" t="s">
        <v>21</v>
      </c>
      <c r="H27" s="746">
        <f>PRODUCT(C27:G27)</f>
        <v>4.1999999999999993</v>
      </c>
      <c r="I27" s="34"/>
    </row>
    <row r="28" spans="1:9" ht="19.899999999999999" customHeight="1">
      <c r="A28" s="727"/>
      <c r="B28" s="749" t="s">
        <v>5338</v>
      </c>
      <c r="C28" s="727">
        <v>1</v>
      </c>
      <c r="D28" s="727">
        <v>4</v>
      </c>
      <c r="E28" s="728">
        <v>2.8</v>
      </c>
      <c r="F28" s="728">
        <v>0.75</v>
      </c>
      <c r="G28" s="728" t="s">
        <v>21</v>
      </c>
      <c r="H28" s="746">
        <f t="shared" ref="H28:H44" si="0">PRODUCT(C28:G28)</f>
        <v>8.3999999999999986</v>
      </c>
      <c r="I28" s="34"/>
    </row>
    <row r="29" spans="1:9" ht="19.899999999999999" customHeight="1">
      <c r="A29" s="727"/>
      <c r="B29" s="749" t="s">
        <v>5337</v>
      </c>
      <c r="C29" s="727">
        <v>1</v>
      </c>
      <c r="D29" s="727">
        <v>5</v>
      </c>
      <c r="E29" s="728">
        <v>2.8</v>
      </c>
      <c r="F29" s="728">
        <v>0.05</v>
      </c>
      <c r="G29" s="728" t="s">
        <v>21</v>
      </c>
      <c r="H29" s="746">
        <f t="shared" si="0"/>
        <v>0.70000000000000007</v>
      </c>
      <c r="I29" s="34"/>
    </row>
    <row r="30" spans="1:9" ht="19.899999999999999" customHeight="1">
      <c r="A30" s="727"/>
      <c r="B30" s="749" t="s">
        <v>5331</v>
      </c>
      <c r="C30" s="727">
        <v>1</v>
      </c>
      <c r="D30" s="727">
        <v>2</v>
      </c>
      <c r="E30" s="728">
        <v>1.05</v>
      </c>
      <c r="F30" s="728">
        <v>0.45</v>
      </c>
      <c r="G30" s="728" t="s">
        <v>21</v>
      </c>
      <c r="H30" s="746">
        <f t="shared" si="0"/>
        <v>0.94500000000000006</v>
      </c>
      <c r="I30" s="34"/>
    </row>
    <row r="31" spans="1:9" ht="19.899999999999999" customHeight="1">
      <c r="A31" s="727"/>
      <c r="B31" s="749" t="s">
        <v>5332</v>
      </c>
      <c r="C31" s="727">
        <v>1</v>
      </c>
      <c r="D31" s="727">
        <v>1</v>
      </c>
      <c r="E31" s="728">
        <v>1.05</v>
      </c>
      <c r="F31" s="728">
        <v>0.05</v>
      </c>
      <c r="G31" s="728" t="s">
        <v>21</v>
      </c>
      <c r="H31" s="746">
        <f t="shared" si="0"/>
        <v>5.2500000000000005E-2</v>
      </c>
      <c r="I31" s="34"/>
    </row>
    <row r="32" spans="1:9" ht="19.899999999999999" customHeight="1">
      <c r="A32" s="727"/>
      <c r="B32" s="749" t="s">
        <v>5333</v>
      </c>
      <c r="C32" s="727">
        <v>1</v>
      </c>
      <c r="D32" s="727">
        <v>1</v>
      </c>
      <c r="E32" s="728">
        <v>1.05</v>
      </c>
      <c r="F32" s="728">
        <v>0.45</v>
      </c>
      <c r="G32" s="728" t="s">
        <v>21</v>
      </c>
      <c r="H32" s="746">
        <f t="shared" si="0"/>
        <v>0.47250000000000003</v>
      </c>
      <c r="I32" s="34"/>
    </row>
    <row r="33" spans="1:9" ht="19.899999999999999" customHeight="1">
      <c r="A33" s="727"/>
      <c r="B33" s="749" t="s">
        <v>5332</v>
      </c>
      <c r="C33" s="727">
        <v>1</v>
      </c>
      <c r="D33" s="727">
        <v>1</v>
      </c>
      <c r="E33" s="728">
        <v>1.05</v>
      </c>
      <c r="F33" s="728">
        <v>0.05</v>
      </c>
      <c r="G33" s="728" t="s">
        <v>21</v>
      </c>
      <c r="H33" s="746">
        <f t="shared" si="0"/>
        <v>5.2500000000000005E-2</v>
      </c>
      <c r="I33" s="34"/>
    </row>
    <row r="34" spans="1:9" ht="19.899999999999999" customHeight="1">
      <c r="A34" s="727"/>
      <c r="B34" s="749" t="s">
        <v>5334</v>
      </c>
      <c r="C34" s="727">
        <v>1</v>
      </c>
      <c r="D34" s="727">
        <v>4</v>
      </c>
      <c r="E34" s="728">
        <v>6.2</v>
      </c>
      <c r="F34" s="728">
        <v>0.45</v>
      </c>
      <c r="G34" s="728" t="s">
        <v>21</v>
      </c>
      <c r="H34" s="746">
        <f t="shared" si="0"/>
        <v>11.16</v>
      </c>
      <c r="I34" s="34"/>
    </row>
    <row r="35" spans="1:9" ht="18.600000000000001" customHeight="1">
      <c r="A35" s="727"/>
      <c r="B35" s="749" t="s">
        <v>5335</v>
      </c>
      <c r="C35" s="727">
        <v>1</v>
      </c>
      <c r="D35" s="727">
        <v>4</v>
      </c>
      <c r="E35" s="728">
        <v>6</v>
      </c>
      <c r="F35" s="728">
        <v>0.8</v>
      </c>
      <c r="G35" s="728" t="s">
        <v>21</v>
      </c>
      <c r="H35" s="746">
        <f t="shared" si="0"/>
        <v>19.200000000000003</v>
      </c>
      <c r="I35" s="34"/>
    </row>
    <row r="36" spans="1:9" ht="18.600000000000001" customHeight="1">
      <c r="A36" s="727"/>
      <c r="B36" s="749" t="s">
        <v>5336</v>
      </c>
      <c r="C36" s="727">
        <v>1</v>
      </c>
      <c r="D36" s="727">
        <v>1</v>
      </c>
      <c r="E36" s="728">
        <v>6.2</v>
      </c>
      <c r="F36" s="728">
        <v>0.05</v>
      </c>
      <c r="G36" s="728" t="s">
        <v>21</v>
      </c>
      <c r="H36" s="746">
        <f t="shared" si="0"/>
        <v>0.31000000000000005</v>
      </c>
      <c r="I36" s="34"/>
    </row>
    <row r="37" spans="1:9" ht="18.600000000000001" customHeight="1">
      <c r="A37" s="727"/>
      <c r="B37" s="749" t="s">
        <v>5340</v>
      </c>
      <c r="C37" s="727">
        <v>1</v>
      </c>
      <c r="D37" s="727">
        <v>3</v>
      </c>
      <c r="E37" s="728">
        <v>4.4000000000000004</v>
      </c>
      <c r="F37" s="728">
        <v>0.45</v>
      </c>
      <c r="G37" s="728" t="s">
        <v>21</v>
      </c>
      <c r="H37" s="746">
        <f t="shared" si="0"/>
        <v>5.94</v>
      </c>
      <c r="I37" s="34"/>
    </row>
    <row r="38" spans="1:9" ht="18.600000000000001" customHeight="1">
      <c r="A38" s="738"/>
      <c r="B38" s="737" t="s">
        <v>5341</v>
      </c>
      <c r="C38" s="738">
        <v>1</v>
      </c>
      <c r="D38" s="738">
        <v>3</v>
      </c>
      <c r="E38" s="739">
        <v>4.2</v>
      </c>
      <c r="F38" s="739">
        <v>0.8</v>
      </c>
      <c r="G38" s="739" t="s">
        <v>21</v>
      </c>
      <c r="H38" s="746">
        <f t="shared" si="0"/>
        <v>10.080000000000002</v>
      </c>
      <c r="I38" s="34"/>
    </row>
    <row r="39" spans="1:9" ht="18.600000000000001" customHeight="1">
      <c r="A39" s="725"/>
      <c r="B39" s="749" t="s">
        <v>5342</v>
      </c>
      <c r="C39" s="727">
        <v>1</v>
      </c>
      <c r="D39" s="727">
        <v>2</v>
      </c>
      <c r="E39" s="728">
        <v>1.05</v>
      </c>
      <c r="F39" s="728">
        <v>0.45</v>
      </c>
      <c r="G39" s="728" t="s">
        <v>21</v>
      </c>
      <c r="H39" s="746">
        <f t="shared" si="0"/>
        <v>0.94500000000000006</v>
      </c>
      <c r="I39" s="34"/>
    </row>
    <row r="40" spans="1:9" ht="18.600000000000001" customHeight="1">
      <c r="A40" s="725"/>
      <c r="B40" s="749" t="s">
        <v>5344</v>
      </c>
      <c r="C40" s="727">
        <v>1</v>
      </c>
      <c r="D40" s="727">
        <v>2</v>
      </c>
      <c r="E40" s="728">
        <v>1.05</v>
      </c>
      <c r="F40" s="728">
        <v>0.05</v>
      </c>
      <c r="G40" s="728" t="s">
        <v>21</v>
      </c>
      <c r="H40" s="746">
        <f t="shared" si="0"/>
        <v>0.10500000000000001</v>
      </c>
      <c r="I40" s="34"/>
    </row>
    <row r="41" spans="1:9" ht="18.600000000000001" customHeight="1">
      <c r="A41" s="725"/>
      <c r="B41" s="749" t="s">
        <v>5343</v>
      </c>
      <c r="C41" s="727">
        <v>2</v>
      </c>
      <c r="D41" s="727">
        <v>1</v>
      </c>
      <c r="E41" s="728">
        <v>3.35</v>
      </c>
      <c r="F41" s="728">
        <v>0.9</v>
      </c>
      <c r="G41" s="728" t="s">
        <v>21</v>
      </c>
      <c r="H41" s="746">
        <f t="shared" si="0"/>
        <v>6.03</v>
      </c>
      <c r="I41" s="34"/>
    </row>
    <row r="42" spans="1:9" ht="18.600000000000001" customHeight="1">
      <c r="A42" s="725"/>
      <c r="B42" s="749" t="s">
        <v>5346</v>
      </c>
      <c r="C42" s="727">
        <v>1</v>
      </c>
      <c r="D42" s="727">
        <v>1</v>
      </c>
      <c r="E42" s="728">
        <v>3.35</v>
      </c>
      <c r="F42" s="728">
        <v>0.05</v>
      </c>
      <c r="G42" s="728" t="s">
        <v>21</v>
      </c>
      <c r="H42" s="746">
        <f t="shared" si="0"/>
        <v>0.16750000000000001</v>
      </c>
      <c r="I42" s="34"/>
    </row>
    <row r="43" spans="1:9" ht="18.600000000000001" customHeight="1">
      <c r="A43" s="725"/>
      <c r="B43" s="749" t="s">
        <v>5345</v>
      </c>
      <c r="C43" s="727">
        <v>1</v>
      </c>
      <c r="D43" s="727">
        <v>1</v>
      </c>
      <c r="E43" s="728">
        <v>7.7</v>
      </c>
      <c r="F43" s="728">
        <v>0.8</v>
      </c>
      <c r="G43" s="728" t="s">
        <v>21</v>
      </c>
      <c r="H43" s="746">
        <f t="shared" si="0"/>
        <v>6.16</v>
      </c>
      <c r="I43" s="34"/>
    </row>
    <row r="44" spans="1:9" ht="18.600000000000001" customHeight="1">
      <c r="A44" s="725"/>
      <c r="B44" s="749" t="s">
        <v>5347</v>
      </c>
      <c r="C44" s="727">
        <v>1</v>
      </c>
      <c r="D44" s="727">
        <v>1</v>
      </c>
      <c r="E44" s="728">
        <v>7.7</v>
      </c>
      <c r="F44" s="728">
        <v>0.05</v>
      </c>
      <c r="G44" s="728" t="s">
        <v>21</v>
      </c>
      <c r="H44" s="746">
        <f t="shared" si="0"/>
        <v>0.38500000000000001</v>
      </c>
      <c r="I44" s="34"/>
    </row>
    <row r="45" spans="1:9" ht="18.600000000000001" customHeight="1">
      <c r="A45" s="725"/>
      <c r="B45" s="749"/>
      <c r="C45" s="727"/>
      <c r="D45" s="727"/>
      <c r="E45" s="728"/>
      <c r="F45" s="728"/>
      <c r="G45" s="728"/>
      <c r="H45" s="746">
        <f>SUM(H27:H44)</f>
        <v>75.305000000000007</v>
      </c>
      <c r="I45" s="34"/>
    </row>
    <row r="46" spans="1:9" ht="18.600000000000001" customHeight="1">
      <c r="A46" s="725"/>
      <c r="B46" s="750"/>
      <c r="C46" s="727"/>
      <c r="D46" s="727"/>
      <c r="E46" s="728"/>
      <c r="F46" s="728"/>
      <c r="G46" s="728" t="s">
        <v>9</v>
      </c>
      <c r="H46" s="734">
        <v>75.349999999999994</v>
      </c>
      <c r="I46" s="34" t="s">
        <v>306</v>
      </c>
    </row>
    <row r="47" spans="1:9" ht="52.15" customHeight="1">
      <c r="A47" s="725">
        <v>7</v>
      </c>
      <c r="B47" s="1327" t="s">
        <v>5285</v>
      </c>
      <c r="C47" s="727"/>
      <c r="D47" s="727"/>
      <c r="E47" s="728"/>
      <c r="F47" s="728"/>
      <c r="G47" s="728"/>
      <c r="H47" s="729"/>
      <c r="I47" s="34"/>
    </row>
    <row r="48" spans="1:9" ht="25.15" customHeight="1">
      <c r="A48" s="725"/>
      <c r="B48" s="745" t="s">
        <v>3425</v>
      </c>
      <c r="C48" s="727"/>
      <c r="D48" s="727"/>
      <c r="E48" s="728"/>
      <c r="F48" s="728"/>
      <c r="G48" s="728"/>
      <c r="H48" s="729"/>
      <c r="I48" s="34"/>
    </row>
    <row r="49" spans="1:9" ht="19.899999999999999" customHeight="1">
      <c r="A49" s="727"/>
      <c r="B49" s="749" t="s">
        <v>5339</v>
      </c>
      <c r="C49" s="727">
        <v>2</v>
      </c>
      <c r="D49" s="727">
        <v>1</v>
      </c>
      <c r="E49" s="728">
        <v>2.8</v>
      </c>
      <c r="F49" s="728">
        <v>0.75</v>
      </c>
      <c r="G49" s="728" t="s">
        <v>21</v>
      </c>
      <c r="H49" s="746">
        <f>PRODUCT(C49:G49)</f>
        <v>4.1999999999999993</v>
      </c>
      <c r="I49" s="34"/>
    </row>
    <row r="50" spans="1:9" ht="19.899999999999999" customHeight="1">
      <c r="A50" s="727"/>
      <c r="B50" s="749" t="s">
        <v>5338</v>
      </c>
      <c r="C50" s="727">
        <v>1</v>
      </c>
      <c r="D50" s="727">
        <v>4</v>
      </c>
      <c r="E50" s="728">
        <v>2.8</v>
      </c>
      <c r="F50" s="728">
        <v>0.75</v>
      </c>
      <c r="G50" s="728" t="s">
        <v>21</v>
      </c>
      <c r="H50" s="746">
        <f t="shared" ref="H50:H66" si="1">PRODUCT(C50:G50)</f>
        <v>8.3999999999999986</v>
      </c>
      <c r="I50" s="34"/>
    </row>
    <row r="51" spans="1:9" ht="19.899999999999999" customHeight="1">
      <c r="A51" s="727"/>
      <c r="B51" s="749" t="s">
        <v>5337</v>
      </c>
      <c r="C51" s="727">
        <v>1</v>
      </c>
      <c r="D51" s="727">
        <v>5</v>
      </c>
      <c r="E51" s="728">
        <v>2.8</v>
      </c>
      <c r="F51" s="728">
        <v>0.05</v>
      </c>
      <c r="G51" s="728" t="s">
        <v>21</v>
      </c>
      <c r="H51" s="746">
        <f t="shared" si="1"/>
        <v>0.70000000000000007</v>
      </c>
      <c r="I51" s="34"/>
    </row>
    <row r="52" spans="1:9" ht="19.899999999999999" customHeight="1">
      <c r="A52" s="727"/>
      <c r="B52" s="749" t="s">
        <v>5331</v>
      </c>
      <c r="C52" s="727">
        <v>1</v>
      </c>
      <c r="D52" s="727">
        <v>2</v>
      </c>
      <c r="E52" s="728">
        <v>1.05</v>
      </c>
      <c r="F52" s="728">
        <v>0.45</v>
      </c>
      <c r="G52" s="728" t="s">
        <v>21</v>
      </c>
      <c r="H52" s="746">
        <f t="shared" si="1"/>
        <v>0.94500000000000006</v>
      </c>
      <c r="I52" s="34"/>
    </row>
    <row r="53" spans="1:9" ht="19.899999999999999" customHeight="1">
      <c r="A53" s="727"/>
      <c r="B53" s="749" t="s">
        <v>5332</v>
      </c>
      <c r="C53" s="727">
        <v>1</v>
      </c>
      <c r="D53" s="727">
        <v>1</v>
      </c>
      <c r="E53" s="728">
        <v>1.05</v>
      </c>
      <c r="F53" s="728">
        <v>0.05</v>
      </c>
      <c r="G53" s="728" t="s">
        <v>21</v>
      </c>
      <c r="H53" s="746">
        <f t="shared" si="1"/>
        <v>5.2500000000000005E-2</v>
      </c>
      <c r="I53" s="34"/>
    </row>
    <row r="54" spans="1:9" ht="19.899999999999999" customHeight="1">
      <c r="A54" s="727"/>
      <c r="B54" s="749" t="s">
        <v>5333</v>
      </c>
      <c r="C54" s="727">
        <v>1</v>
      </c>
      <c r="D54" s="727">
        <v>1</v>
      </c>
      <c r="E54" s="728">
        <v>1.05</v>
      </c>
      <c r="F54" s="728">
        <v>0.45</v>
      </c>
      <c r="G54" s="728" t="s">
        <v>21</v>
      </c>
      <c r="H54" s="746">
        <f t="shared" si="1"/>
        <v>0.47250000000000003</v>
      </c>
      <c r="I54" s="34"/>
    </row>
    <row r="55" spans="1:9" ht="19.899999999999999" customHeight="1">
      <c r="A55" s="727"/>
      <c r="B55" s="749" t="s">
        <v>5332</v>
      </c>
      <c r="C55" s="727">
        <v>1</v>
      </c>
      <c r="D55" s="727">
        <v>1</v>
      </c>
      <c r="E55" s="728">
        <v>1.05</v>
      </c>
      <c r="F55" s="728">
        <v>0.05</v>
      </c>
      <c r="G55" s="728" t="s">
        <v>21</v>
      </c>
      <c r="H55" s="746">
        <f t="shared" si="1"/>
        <v>5.2500000000000005E-2</v>
      </c>
      <c r="I55" s="34"/>
    </row>
    <row r="56" spans="1:9" ht="19.899999999999999" customHeight="1">
      <c r="A56" s="727"/>
      <c r="B56" s="749" t="s">
        <v>5334</v>
      </c>
      <c r="C56" s="727">
        <v>1</v>
      </c>
      <c r="D56" s="727">
        <v>4</v>
      </c>
      <c r="E56" s="728">
        <v>6.2</v>
      </c>
      <c r="F56" s="728">
        <v>0.45</v>
      </c>
      <c r="G56" s="728" t="s">
        <v>21</v>
      </c>
      <c r="H56" s="746">
        <f t="shared" si="1"/>
        <v>11.16</v>
      </c>
      <c r="I56" s="34"/>
    </row>
    <row r="57" spans="1:9" ht="18.600000000000001" customHeight="1">
      <c r="A57" s="727"/>
      <c r="B57" s="749" t="s">
        <v>5335</v>
      </c>
      <c r="C57" s="727">
        <v>1</v>
      </c>
      <c r="D57" s="727">
        <v>4</v>
      </c>
      <c r="E57" s="728">
        <v>6</v>
      </c>
      <c r="F57" s="728">
        <v>0.8</v>
      </c>
      <c r="G57" s="728" t="s">
        <v>21</v>
      </c>
      <c r="H57" s="746">
        <f t="shared" si="1"/>
        <v>19.200000000000003</v>
      </c>
      <c r="I57" s="34"/>
    </row>
    <row r="58" spans="1:9" ht="18.600000000000001" customHeight="1">
      <c r="A58" s="727"/>
      <c r="B58" s="749" t="s">
        <v>5336</v>
      </c>
      <c r="C58" s="727">
        <v>1</v>
      </c>
      <c r="D58" s="727">
        <v>1</v>
      </c>
      <c r="E58" s="728">
        <v>6.2</v>
      </c>
      <c r="F58" s="728">
        <v>0.05</v>
      </c>
      <c r="G58" s="728" t="s">
        <v>21</v>
      </c>
      <c r="H58" s="746">
        <f t="shared" si="1"/>
        <v>0.31000000000000005</v>
      </c>
      <c r="I58" s="34"/>
    </row>
    <row r="59" spans="1:9" ht="18.600000000000001" customHeight="1">
      <c r="A59" s="727"/>
      <c r="B59" s="749" t="s">
        <v>5340</v>
      </c>
      <c r="C59" s="727">
        <v>1</v>
      </c>
      <c r="D59" s="727">
        <v>3</v>
      </c>
      <c r="E59" s="728">
        <v>4.4000000000000004</v>
      </c>
      <c r="F59" s="728">
        <v>0.45</v>
      </c>
      <c r="G59" s="728" t="s">
        <v>21</v>
      </c>
      <c r="H59" s="746">
        <f t="shared" si="1"/>
        <v>5.94</v>
      </c>
      <c r="I59" s="34"/>
    </row>
    <row r="60" spans="1:9" ht="18.600000000000001" customHeight="1">
      <c r="A60" s="738"/>
      <c r="B60" s="737" t="s">
        <v>5341</v>
      </c>
      <c r="C60" s="738">
        <v>1</v>
      </c>
      <c r="D60" s="738">
        <v>3</v>
      </c>
      <c r="E60" s="739">
        <v>4.2</v>
      </c>
      <c r="F60" s="739">
        <v>0.8</v>
      </c>
      <c r="G60" s="739" t="s">
        <v>21</v>
      </c>
      <c r="H60" s="746">
        <f t="shared" si="1"/>
        <v>10.080000000000002</v>
      </c>
      <c r="I60" s="34"/>
    </row>
    <row r="61" spans="1:9" ht="18.600000000000001" customHeight="1">
      <c r="A61" s="725"/>
      <c r="B61" s="749" t="s">
        <v>5342</v>
      </c>
      <c r="C61" s="727">
        <v>1</v>
      </c>
      <c r="D61" s="727">
        <v>2</v>
      </c>
      <c r="E61" s="728">
        <v>1.05</v>
      </c>
      <c r="F61" s="728">
        <v>0.45</v>
      </c>
      <c r="G61" s="728" t="s">
        <v>21</v>
      </c>
      <c r="H61" s="746">
        <f t="shared" si="1"/>
        <v>0.94500000000000006</v>
      </c>
      <c r="I61" s="34"/>
    </row>
    <row r="62" spans="1:9" ht="18.600000000000001" customHeight="1">
      <c r="A62" s="725"/>
      <c r="B62" s="749" t="s">
        <v>5344</v>
      </c>
      <c r="C62" s="727">
        <v>1</v>
      </c>
      <c r="D62" s="727">
        <v>2</v>
      </c>
      <c r="E62" s="728">
        <v>1.05</v>
      </c>
      <c r="F62" s="728">
        <v>0.05</v>
      </c>
      <c r="G62" s="728" t="s">
        <v>21</v>
      </c>
      <c r="H62" s="746">
        <f t="shared" si="1"/>
        <v>0.10500000000000001</v>
      </c>
      <c r="I62" s="34"/>
    </row>
    <row r="63" spans="1:9" ht="18.600000000000001" customHeight="1">
      <c r="A63" s="725"/>
      <c r="B63" s="749" t="s">
        <v>5343</v>
      </c>
      <c r="C63" s="727">
        <v>2</v>
      </c>
      <c r="D63" s="727">
        <v>1</v>
      </c>
      <c r="E63" s="728">
        <v>3.35</v>
      </c>
      <c r="F63" s="728">
        <v>0.9</v>
      </c>
      <c r="G63" s="728" t="s">
        <v>21</v>
      </c>
      <c r="H63" s="746">
        <f t="shared" si="1"/>
        <v>6.03</v>
      </c>
      <c r="I63" s="34"/>
    </row>
    <row r="64" spans="1:9" ht="18.600000000000001" customHeight="1">
      <c r="A64" s="725"/>
      <c r="B64" s="749" t="s">
        <v>5346</v>
      </c>
      <c r="C64" s="727">
        <v>1</v>
      </c>
      <c r="D64" s="727">
        <v>1</v>
      </c>
      <c r="E64" s="728">
        <v>3.35</v>
      </c>
      <c r="F64" s="728">
        <v>0.05</v>
      </c>
      <c r="G64" s="728" t="s">
        <v>21</v>
      </c>
      <c r="H64" s="746">
        <f t="shared" si="1"/>
        <v>0.16750000000000001</v>
      </c>
      <c r="I64" s="34"/>
    </row>
    <row r="65" spans="1:15" ht="18.600000000000001" customHeight="1">
      <c r="A65" s="725"/>
      <c r="B65" s="749" t="s">
        <v>5345</v>
      </c>
      <c r="C65" s="727">
        <v>1</v>
      </c>
      <c r="D65" s="727">
        <v>1</v>
      </c>
      <c r="E65" s="728">
        <v>7.7</v>
      </c>
      <c r="F65" s="728">
        <v>0.8</v>
      </c>
      <c r="G65" s="728" t="s">
        <v>21</v>
      </c>
      <c r="H65" s="746">
        <f t="shared" si="1"/>
        <v>6.16</v>
      </c>
      <c r="I65" s="34"/>
    </row>
    <row r="66" spans="1:15" ht="18.600000000000001" customHeight="1">
      <c r="A66" s="725"/>
      <c r="B66" s="749" t="s">
        <v>5347</v>
      </c>
      <c r="C66" s="727">
        <v>1</v>
      </c>
      <c r="D66" s="727">
        <v>1</v>
      </c>
      <c r="E66" s="728">
        <v>7.7</v>
      </c>
      <c r="F66" s="728">
        <v>0.05</v>
      </c>
      <c r="G66" s="728" t="s">
        <v>21</v>
      </c>
      <c r="H66" s="746">
        <f t="shared" si="1"/>
        <v>0.38500000000000001</v>
      </c>
      <c r="I66" s="34"/>
    </row>
    <row r="67" spans="1:15" ht="18.600000000000001" customHeight="1">
      <c r="A67" s="725"/>
      <c r="B67" s="749"/>
      <c r="C67" s="727"/>
      <c r="D67" s="727"/>
      <c r="E67" s="728"/>
      <c r="F67" s="728"/>
      <c r="G67" s="728"/>
      <c r="H67" s="746">
        <f>SUM(H49:H66)</f>
        <v>75.305000000000007</v>
      </c>
      <c r="I67" s="34"/>
    </row>
    <row r="68" spans="1:15" ht="18.600000000000001" customHeight="1">
      <c r="A68" s="725"/>
      <c r="B68" s="750"/>
      <c r="C68" s="727"/>
      <c r="D68" s="727"/>
      <c r="E68" s="728"/>
      <c r="F68" s="728"/>
      <c r="G68" s="728" t="s">
        <v>9</v>
      </c>
      <c r="H68" s="734">
        <v>75.349999999999994</v>
      </c>
      <c r="I68" s="34" t="s">
        <v>306</v>
      </c>
    </row>
    <row r="69" spans="1:15" ht="49.15" customHeight="1">
      <c r="A69" s="725">
        <v>8</v>
      </c>
      <c r="B69" s="1327" t="s">
        <v>3440</v>
      </c>
      <c r="C69" s="727"/>
      <c r="D69" s="727"/>
      <c r="E69" s="728"/>
      <c r="F69" s="728"/>
      <c r="G69" s="728"/>
      <c r="H69" s="729"/>
      <c r="I69" s="34"/>
    </row>
    <row r="70" spans="1:15" ht="21" customHeight="1">
      <c r="A70" s="725"/>
      <c r="B70" s="751" t="s">
        <v>3467</v>
      </c>
      <c r="C70" s="30">
        <v>1</v>
      </c>
      <c r="D70" s="730">
        <v>5</v>
      </c>
      <c r="E70" s="731">
        <v>4.24</v>
      </c>
      <c r="F70" s="731" t="s">
        <v>21</v>
      </c>
      <c r="G70" s="731">
        <v>0.5</v>
      </c>
      <c r="H70" s="729">
        <f t="shared" ref="H70:H73" si="2">PRODUCT(C70:G70)</f>
        <v>10.600000000000001</v>
      </c>
      <c r="I70" s="34"/>
    </row>
    <row r="71" spans="1:15" ht="21" customHeight="1">
      <c r="A71" s="725"/>
      <c r="B71" s="751" t="s">
        <v>3468</v>
      </c>
      <c r="C71" s="30">
        <v>1</v>
      </c>
      <c r="D71" s="730">
        <v>5</v>
      </c>
      <c r="E71" s="731">
        <v>3.32</v>
      </c>
      <c r="F71" s="731">
        <v>0.23</v>
      </c>
      <c r="G71" s="731" t="s">
        <v>21</v>
      </c>
      <c r="H71" s="729">
        <f t="shared" si="2"/>
        <v>3.8179999999999996</v>
      </c>
      <c r="I71" s="34"/>
    </row>
    <row r="72" spans="1:15" ht="21" customHeight="1">
      <c r="A72" s="725"/>
      <c r="B72" s="751" t="s">
        <v>5360</v>
      </c>
      <c r="C72" s="30">
        <v>6</v>
      </c>
      <c r="D72" s="1386">
        <v>5</v>
      </c>
      <c r="E72" s="731">
        <v>0.45</v>
      </c>
      <c r="F72" s="731" t="s">
        <v>21</v>
      </c>
      <c r="G72" s="731">
        <v>0.6</v>
      </c>
      <c r="H72" s="729">
        <f t="shared" si="2"/>
        <v>8.1</v>
      </c>
      <c r="I72" s="34"/>
    </row>
    <row r="73" spans="1:15" ht="21" customHeight="1">
      <c r="A73" s="725"/>
      <c r="B73" s="750" t="s">
        <v>5348</v>
      </c>
      <c r="C73" s="727">
        <v>1</v>
      </c>
      <c r="D73" s="727">
        <v>3</v>
      </c>
      <c r="E73" s="728">
        <v>4.24</v>
      </c>
      <c r="F73" s="728" t="s">
        <v>21</v>
      </c>
      <c r="G73" s="728">
        <v>0.5</v>
      </c>
      <c r="H73" s="729">
        <f t="shared" si="2"/>
        <v>6.36</v>
      </c>
      <c r="I73" s="34"/>
    </row>
    <row r="74" spans="1:15" ht="21" customHeight="1">
      <c r="A74" s="725"/>
      <c r="B74" s="750"/>
      <c r="C74" s="727"/>
      <c r="D74" s="727"/>
      <c r="E74" s="728"/>
      <c r="F74" s="728"/>
      <c r="G74" s="728"/>
      <c r="H74" s="729">
        <f>SUM(H70:H73)</f>
        <v>28.878</v>
      </c>
      <c r="I74" s="34"/>
    </row>
    <row r="75" spans="1:15" ht="21" customHeight="1">
      <c r="A75" s="725"/>
      <c r="B75" s="750"/>
      <c r="C75" s="727"/>
      <c r="D75" s="727"/>
      <c r="E75" s="728"/>
      <c r="F75" s="728"/>
      <c r="G75" s="728" t="s">
        <v>3093</v>
      </c>
      <c r="H75" s="734">
        <v>28.9</v>
      </c>
      <c r="I75" s="34"/>
    </row>
    <row r="76" spans="1:15" ht="56.45" customHeight="1">
      <c r="A76" s="725">
        <v>9</v>
      </c>
      <c r="B76" s="745" t="s">
        <v>3441</v>
      </c>
      <c r="C76" s="727"/>
      <c r="D76" s="727"/>
      <c r="E76" s="728"/>
      <c r="F76" s="728"/>
      <c r="G76" s="728"/>
      <c r="H76" s="734"/>
      <c r="I76" s="34"/>
    </row>
    <row r="77" spans="1:15" s="733" customFormat="1">
      <c r="A77" s="787"/>
      <c r="B77" s="752" t="s">
        <v>5328</v>
      </c>
      <c r="C77" s="30">
        <v>1</v>
      </c>
      <c r="D77" s="730">
        <v>5</v>
      </c>
      <c r="E77" s="731">
        <v>2.4</v>
      </c>
      <c r="F77" s="731" t="s">
        <v>21</v>
      </c>
      <c r="G77" s="731">
        <v>1</v>
      </c>
      <c r="H77" s="740">
        <f>PRODUCT(C77:G77)</f>
        <v>12</v>
      </c>
      <c r="I77" s="753"/>
    </row>
    <row r="78" spans="1:15" ht="25.15" customHeight="1">
      <c r="A78" s="725"/>
      <c r="B78" s="750"/>
      <c r="C78" s="727"/>
      <c r="D78" s="727"/>
      <c r="E78" s="728"/>
      <c r="F78" s="728"/>
      <c r="G78" s="728" t="s">
        <v>9</v>
      </c>
      <c r="H78" s="734">
        <v>12</v>
      </c>
      <c r="I78" s="34"/>
    </row>
    <row r="79" spans="1:15" ht="40.5" customHeight="1">
      <c r="A79" s="785">
        <v>10</v>
      </c>
      <c r="B79" s="754" t="s">
        <v>3552</v>
      </c>
      <c r="C79" s="785"/>
      <c r="D79" s="785"/>
      <c r="E79" s="724"/>
      <c r="F79" s="724"/>
      <c r="G79" s="724"/>
      <c r="H79" s="724"/>
      <c r="I79" s="724"/>
      <c r="O79" s="754"/>
    </row>
    <row r="80" spans="1:15" ht="18.600000000000001" customHeight="1">
      <c r="A80" s="785"/>
      <c r="B80" s="755" t="s">
        <v>3569</v>
      </c>
      <c r="C80" s="30">
        <v>25</v>
      </c>
      <c r="D80" s="30">
        <v>1</v>
      </c>
      <c r="E80" s="34">
        <v>0.4</v>
      </c>
      <c r="F80" s="34" t="s">
        <v>21</v>
      </c>
      <c r="G80" s="34">
        <v>0.35</v>
      </c>
      <c r="H80" s="42">
        <f>PRODUCT(C80:G80)</f>
        <v>3.5</v>
      </c>
      <c r="I80" s="724"/>
    </row>
    <row r="81" spans="1:9" ht="18.600000000000001" customHeight="1">
      <c r="A81" s="785"/>
      <c r="B81" s="755" t="s">
        <v>3570</v>
      </c>
      <c r="C81" s="30">
        <v>10</v>
      </c>
      <c r="D81" s="30">
        <v>1</v>
      </c>
      <c r="E81" s="34">
        <v>0.45</v>
      </c>
      <c r="F81" s="34" t="s">
        <v>21</v>
      </c>
      <c r="G81" s="34">
        <v>0.3</v>
      </c>
      <c r="H81" s="42">
        <f>PRODUCT(C81:G81)</f>
        <v>1.3499999999999999</v>
      </c>
      <c r="I81" s="724"/>
    </row>
    <row r="82" spans="1:9" ht="18.600000000000001" customHeight="1">
      <c r="A82" s="785"/>
      <c r="B82" s="755" t="s">
        <v>3205</v>
      </c>
      <c r="C82" s="30">
        <v>7</v>
      </c>
      <c r="D82" s="30">
        <v>1</v>
      </c>
      <c r="E82" s="34">
        <v>0.7</v>
      </c>
      <c r="F82" s="34" t="s">
        <v>21</v>
      </c>
      <c r="G82" s="34">
        <v>0.8</v>
      </c>
      <c r="H82" s="42">
        <f>PRODUCT(C82:G82)</f>
        <v>3.92</v>
      </c>
      <c r="I82" s="724"/>
    </row>
    <row r="83" spans="1:9" ht="18.600000000000001" customHeight="1">
      <c r="A83" s="785"/>
      <c r="B83" s="30"/>
      <c r="C83" s="30"/>
      <c r="D83" s="30"/>
      <c r="E83" s="34"/>
      <c r="F83" s="34"/>
      <c r="G83" s="34"/>
      <c r="H83" s="42">
        <f>SUM(H80:H82)</f>
        <v>8.77</v>
      </c>
      <c r="I83" s="724"/>
    </row>
    <row r="84" spans="1:9" ht="18.600000000000001" customHeight="1">
      <c r="A84" s="785"/>
      <c r="B84" s="30"/>
      <c r="C84" s="30"/>
      <c r="D84" s="30"/>
      <c r="E84" s="34"/>
      <c r="F84" s="34"/>
      <c r="G84" s="34" t="s">
        <v>9</v>
      </c>
      <c r="H84" s="43">
        <v>9</v>
      </c>
      <c r="I84" s="30" t="s">
        <v>26</v>
      </c>
    </row>
    <row r="85" spans="1:9" ht="31.5">
      <c r="A85" s="785">
        <v>11</v>
      </c>
      <c r="B85" s="754" t="s">
        <v>508</v>
      </c>
      <c r="C85" s="30"/>
      <c r="D85" s="30"/>
      <c r="E85" s="34"/>
      <c r="F85" s="34"/>
      <c r="G85" s="34"/>
      <c r="H85" s="42"/>
      <c r="I85" s="30"/>
    </row>
    <row r="86" spans="1:9">
      <c r="A86" s="30"/>
      <c r="B86" s="31" t="s">
        <v>3171</v>
      </c>
      <c r="C86" s="30"/>
      <c r="D86" s="30"/>
      <c r="E86" s="34"/>
      <c r="F86" s="34"/>
      <c r="G86" s="34"/>
      <c r="H86" s="42"/>
      <c r="I86" s="30"/>
    </row>
    <row r="87" spans="1:9">
      <c r="A87" s="30"/>
      <c r="B87" s="31" t="s">
        <v>3571</v>
      </c>
      <c r="C87" s="30">
        <v>1</v>
      </c>
      <c r="D87" s="30">
        <v>1</v>
      </c>
      <c r="E87" s="34">
        <v>9.16</v>
      </c>
      <c r="F87" s="34">
        <v>2.3199999999999998</v>
      </c>
      <c r="G87" s="34" t="s">
        <v>21</v>
      </c>
      <c r="H87" s="42">
        <f>PRODUCT(C87:G87)</f>
        <v>21.251199999999997</v>
      </c>
      <c r="I87" s="30"/>
    </row>
    <row r="88" spans="1:9">
      <c r="A88" s="30"/>
      <c r="B88" s="31" t="s">
        <v>3572</v>
      </c>
      <c r="C88" s="30">
        <v>1</v>
      </c>
      <c r="D88" s="30">
        <v>1</v>
      </c>
      <c r="E88" s="34">
        <v>5.68</v>
      </c>
      <c r="F88" s="34">
        <v>2.1</v>
      </c>
      <c r="G88" s="34" t="s">
        <v>21</v>
      </c>
      <c r="H88" s="42">
        <f>PRODUCT(C88:G88)</f>
        <v>11.927999999999999</v>
      </c>
      <c r="I88" s="30"/>
    </row>
    <row r="89" spans="1:9">
      <c r="A89" s="30"/>
      <c r="B89" s="31" t="s">
        <v>129</v>
      </c>
      <c r="C89" s="30">
        <v>1</v>
      </c>
      <c r="D89" s="30">
        <v>2</v>
      </c>
      <c r="E89" s="34">
        <v>4.5</v>
      </c>
      <c r="F89" s="34">
        <v>3.5</v>
      </c>
      <c r="G89" s="34" t="s">
        <v>21</v>
      </c>
      <c r="H89" s="42">
        <f>PRODUCT(C89:G89)</f>
        <v>31.5</v>
      </c>
      <c r="I89" s="30"/>
    </row>
    <row r="90" spans="1:9">
      <c r="A90" s="30"/>
      <c r="B90" s="31" t="s">
        <v>3573</v>
      </c>
      <c r="C90" s="30">
        <v>1</v>
      </c>
      <c r="D90" s="30">
        <v>1</v>
      </c>
      <c r="E90" s="34">
        <v>4.63</v>
      </c>
      <c r="F90" s="34">
        <v>3.65</v>
      </c>
      <c r="G90" s="34" t="s">
        <v>21</v>
      </c>
      <c r="H90" s="42">
        <f>PRODUCT(C90:G90)</f>
        <v>16.8995</v>
      </c>
      <c r="I90" s="30"/>
    </row>
    <row r="91" spans="1:9">
      <c r="A91" s="30"/>
      <c r="B91" s="31" t="s">
        <v>3574</v>
      </c>
      <c r="C91" s="30">
        <v>1</v>
      </c>
      <c r="D91" s="30">
        <v>1</v>
      </c>
      <c r="E91" s="34">
        <v>2.2999999999999998</v>
      </c>
      <c r="F91" s="34">
        <v>2.4500000000000002</v>
      </c>
      <c r="G91" s="34" t="s">
        <v>21</v>
      </c>
      <c r="H91" s="42">
        <f>PRODUCT(C91:G91)</f>
        <v>5.6349999999999998</v>
      </c>
      <c r="I91" s="30"/>
    </row>
    <row r="92" spans="1:9">
      <c r="A92" s="30"/>
      <c r="B92" s="31"/>
      <c r="C92" s="30"/>
      <c r="D92" s="30"/>
      <c r="E92" s="34"/>
      <c r="F92" s="34"/>
      <c r="G92" s="34"/>
      <c r="H92" s="42">
        <f>SUM(H86:H91)</f>
        <v>87.213700000000003</v>
      </c>
      <c r="I92" s="30"/>
    </row>
    <row r="93" spans="1:9" ht="18.75">
      <c r="A93" s="30"/>
      <c r="B93" s="31"/>
      <c r="C93" s="30"/>
      <c r="D93" s="30"/>
      <c r="E93" s="34"/>
      <c r="F93" s="34"/>
      <c r="G93" s="34" t="s">
        <v>9</v>
      </c>
      <c r="H93" s="43">
        <v>87.25</v>
      </c>
      <c r="I93" s="30" t="s">
        <v>26</v>
      </c>
    </row>
    <row r="94" spans="1:9" ht="31.5">
      <c r="A94" s="30">
        <v>12</v>
      </c>
      <c r="B94" s="754" t="s">
        <v>509</v>
      </c>
      <c r="C94" s="30"/>
      <c r="D94" s="30"/>
      <c r="E94" s="34"/>
      <c r="F94" s="34"/>
      <c r="G94" s="34"/>
      <c r="H94" s="42"/>
      <c r="I94" s="30"/>
    </row>
    <row r="95" spans="1:9">
      <c r="A95" s="30"/>
      <c r="B95" s="31" t="s">
        <v>3171</v>
      </c>
      <c r="C95" s="30"/>
      <c r="D95" s="30"/>
      <c r="E95" s="34"/>
      <c r="F95" s="34"/>
      <c r="G95" s="34"/>
      <c r="H95" s="42"/>
      <c r="I95" s="30"/>
    </row>
    <row r="96" spans="1:9">
      <c r="A96" s="30"/>
      <c r="B96" s="31" t="s">
        <v>3571</v>
      </c>
      <c r="C96" s="30">
        <v>1</v>
      </c>
      <c r="D96" s="30">
        <v>1</v>
      </c>
      <c r="E96" s="34">
        <v>9.16</v>
      </c>
      <c r="F96" s="34">
        <v>2.3199999999999998</v>
      </c>
      <c r="G96" s="34" t="s">
        <v>21</v>
      </c>
      <c r="H96" s="42">
        <f>PRODUCT(C96:G96)</f>
        <v>21.251199999999997</v>
      </c>
      <c r="I96" s="30"/>
    </row>
    <row r="97" spans="1:9">
      <c r="A97" s="30"/>
      <c r="B97" s="31" t="s">
        <v>3572</v>
      </c>
      <c r="C97" s="30">
        <v>1</v>
      </c>
      <c r="D97" s="30">
        <v>1</v>
      </c>
      <c r="E97" s="34">
        <v>5.68</v>
      </c>
      <c r="F97" s="34">
        <v>2.1</v>
      </c>
      <c r="G97" s="34" t="s">
        <v>21</v>
      </c>
      <c r="H97" s="42">
        <f>PRODUCT(C97:G97)</f>
        <v>11.927999999999999</v>
      </c>
      <c r="I97" s="30"/>
    </row>
    <row r="98" spans="1:9">
      <c r="A98" s="30"/>
      <c r="B98" s="31" t="s">
        <v>129</v>
      </c>
      <c r="C98" s="30">
        <v>1</v>
      </c>
      <c r="D98" s="30">
        <v>2</v>
      </c>
      <c r="E98" s="34">
        <v>4.5</v>
      </c>
      <c r="F98" s="34">
        <v>3.5</v>
      </c>
      <c r="G98" s="34" t="s">
        <v>21</v>
      </c>
      <c r="H98" s="42">
        <f>PRODUCT(C98:G98)</f>
        <v>31.5</v>
      </c>
      <c r="I98" s="30"/>
    </row>
    <row r="99" spans="1:9">
      <c r="A99" s="30"/>
      <c r="B99" s="31" t="s">
        <v>3573</v>
      </c>
      <c r="C99" s="30">
        <v>1</v>
      </c>
      <c r="D99" s="30">
        <v>1</v>
      </c>
      <c r="E99" s="34">
        <v>4.63</v>
      </c>
      <c r="F99" s="34">
        <v>3.65</v>
      </c>
      <c r="G99" s="34" t="s">
        <v>21</v>
      </c>
      <c r="H99" s="42">
        <f>PRODUCT(C99:G99)</f>
        <v>16.8995</v>
      </c>
      <c r="I99" s="30"/>
    </row>
    <row r="100" spans="1:9">
      <c r="A100" s="30"/>
      <c r="B100" s="31" t="s">
        <v>3574</v>
      </c>
      <c r="C100" s="30">
        <v>1</v>
      </c>
      <c r="D100" s="30">
        <v>1</v>
      </c>
      <c r="E100" s="34">
        <v>2.2999999999999998</v>
      </c>
      <c r="F100" s="34">
        <v>2.4500000000000002</v>
      </c>
      <c r="G100" s="34" t="s">
        <v>21</v>
      </c>
      <c r="H100" s="42">
        <f>PRODUCT(C100:G100)</f>
        <v>5.6349999999999998</v>
      </c>
      <c r="I100" s="30"/>
    </row>
    <row r="101" spans="1:9">
      <c r="A101" s="30"/>
      <c r="B101" s="31"/>
      <c r="C101" s="30"/>
      <c r="D101" s="30"/>
      <c r="E101" s="34"/>
      <c r="F101" s="34"/>
      <c r="G101" s="34"/>
      <c r="H101" s="42">
        <f>SUM(H95:H100)</f>
        <v>87.213700000000003</v>
      </c>
      <c r="I101" s="30"/>
    </row>
    <row r="102" spans="1:9" ht="21" customHeight="1">
      <c r="A102" s="30"/>
      <c r="B102" s="31"/>
      <c r="C102" s="30"/>
      <c r="D102" s="30"/>
      <c r="E102" s="34"/>
      <c r="F102" s="34"/>
      <c r="G102" s="34" t="s">
        <v>9</v>
      </c>
      <c r="H102" s="43">
        <v>87.25</v>
      </c>
      <c r="I102" s="30" t="s">
        <v>26</v>
      </c>
    </row>
    <row r="103" spans="1:9" ht="40.9" customHeight="1">
      <c r="A103" s="30">
        <v>13</v>
      </c>
      <c r="B103" s="754" t="s">
        <v>5376</v>
      </c>
      <c r="C103" s="30"/>
      <c r="D103" s="30"/>
      <c r="E103" s="34"/>
      <c r="F103" s="34"/>
      <c r="G103" s="34"/>
      <c r="H103" s="42"/>
      <c r="I103" s="30"/>
    </row>
    <row r="104" spans="1:9">
      <c r="A104" s="30"/>
      <c r="B104" s="31" t="s">
        <v>3171</v>
      </c>
      <c r="C104" s="30"/>
      <c r="D104" s="30"/>
      <c r="E104" s="34"/>
      <c r="F104" s="34"/>
      <c r="G104" s="34"/>
      <c r="H104" s="42"/>
      <c r="I104" s="30"/>
    </row>
    <row r="105" spans="1:9">
      <c r="A105" s="30"/>
      <c r="B105" s="31" t="s">
        <v>3571</v>
      </c>
      <c r="C105" s="30">
        <v>2</v>
      </c>
      <c r="D105" s="30">
        <v>1</v>
      </c>
      <c r="E105" s="34">
        <v>9.16</v>
      </c>
      <c r="F105" s="34">
        <v>2.3199999999999998</v>
      </c>
      <c r="G105" s="34" t="s">
        <v>21</v>
      </c>
      <c r="H105" s="42">
        <f>PRODUCT(C105:G105)</f>
        <v>42.502399999999994</v>
      </c>
      <c r="I105" s="30"/>
    </row>
    <row r="106" spans="1:9">
      <c r="A106" s="30"/>
      <c r="B106" s="31" t="s">
        <v>3572</v>
      </c>
      <c r="C106" s="30">
        <v>2</v>
      </c>
      <c r="D106" s="30">
        <v>1</v>
      </c>
      <c r="E106" s="34">
        <v>5.68</v>
      </c>
      <c r="F106" s="34">
        <v>2.1</v>
      </c>
      <c r="G106" s="34" t="s">
        <v>21</v>
      </c>
      <c r="H106" s="42">
        <f>PRODUCT(C106:G106)</f>
        <v>23.855999999999998</v>
      </c>
      <c r="I106" s="30"/>
    </row>
    <row r="107" spans="1:9">
      <c r="A107" s="30"/>
      <c r="B107" s="31" t="s">
        <v>129</v>
      </c>
      <c r="C107" s="30">
        <v>2</v>
      </c>
      <c r="D107" s="30">
        <v>2</v>
      </c>
      <c r="E107" s="34">
        <v>4.5</v>
      </c>
      <c r="F107" s="34">
        <v>3.5</v>
      </c>
      <c r="G107" s="34" t="s">
        <v>21</v>
      </c>
      <c r="H107" s="42">
        <f>PRODUCT(C107:G107)</f>
        <v>63</v>
      </c>
      <c r="I107" s="30"/>
    </row>
    <row r="108" spans="1:9">
      <c r="A108" s="30"/>
      <c r="B108" s="31" t="s">
        <v>3573</v>
      </c>
      <c r="C108" s="30">
        <v>2</v>
      </c>
      <c r="D108" s="30">
        <v>1</v>
      </c>
      <c r="E108" s="34">
        <v>4.63</v>
      </c>
      <c r="F108" s="34">
        <v>3.65</v>
      </c>
      <c r="G108" s="34" t="s">
        <v>21</v>
      </c>
      <c r="H108" s="42">
        <f>PRODUCT(C108:G108)</f>
        <v>33.798999999999999</v>
      </c>
      <c r="I108" s="30"/>
    </row>
    <row r="109" spans="1:9">
      <c r="A109" s="30"/>
      <c r="B109" s="31" t="s">
        <v>3574</v>
      </c>
      <c r="C109" s="30">
        <v>2</v>
      </c>
      <c r="D109" s="30">
        <v>1</v>
      </c>
      <c r="E109" s="34">
        <v>2.2999999999999998</v>
      </c>
      <c r="F109" s="34">
        <v>2.4500000000000002</v>
      </c>
      <c r="G109" s="34" t="s">
        <v>21</v>
      </c>
      <c r="H109" s="42">
        <f>PRODUCT(C109:G109)</f>
        <v>11.27</v>
      </c>
      <c r="I109" s="30"/>
    </row>
    <row r="110" spans="1:9">
      <c r="A110" s="30"/>
      <c r="B110" s="31"/>
      <c r="C110" s="30"/>
      <c r="D110" s="30"/>
      <c r="E110" s="34"/>
      <c r="F110" s="34"/>
      <c r="G110" s="34"/>
      <c r="H110" s="42">
        <f>SUM(H104:H109)</f>
        <v>174.42740000000001</v>
      </c>
      <c r="I110" s="30"/>
    </row>
    <row r="111" spans="1:9" ht="18.75">
      <c r="A111" s="30"/>
      <c r="B111" s="31"/>
      <c r="C111" s="30"/>
      <c r="D111" s="30"/>
      <c r="E111" s="34"/>
      <c r="F111" s="34"/>
      <c r="G111" s="34" t="s">
        <v>9</v>
      </c>
      <c r="H111" s="43">
        <v>174.5</v>
      </c>
      <c r="I111" s="30" t="s">
        <v>26</v>
      </c>
    </row>
    <row r="112" spans="1:9" ht="31.5">
      <c r="A112" s="30">
        <v>14</v>
      </c>
      <c r="B112" s="754" t="s">
        <v>3186</v>
      </c>
      <c r="C112" s="30"/>
      <c r="D112" s="30"/>
      <c r="E112" s="34"/>
      <c r="F112" s="34"/>
      <c r="G112" s="34"/>
      <c r="H112" s="42"/>
      <c r="I112" s="30"/>
    </row>
    <row r="113" spans="1:9">
      <c r="A113" s="30"/>
      <c r="B113" s="31" t="s">
        <v>3190</v>
      </c>
      <c r="C113" s="30">
        <v>1</v>
      </c>
      <c r="D113" s="30">
        <v>1</v>
      </c>
      <c r="E113" s="34">
        <v>1</v>
      </c>
      <c r="F113" s="34">
        <v>1.3</v>
      </c>
      <c r="G113" s="34" t="s">
        <v>21</v>
      </c>
      <c r="H113" s="42">
        <f t="shared" ref="H113:H118" si="3">PRODUCT(C113:G113)</f>
        <v>1.3</v>
      </c>
      <c r="I113" s="30"/>
    </row>
    <row r="114" spans="1:9">
      <c r="A114" s="30"/>
      <c r="B114" s="31" t="s">
        <v>3190</v>
      </c>
      <c r="C114" s="30">
        <v>2</v>
      </c>
      <c r="D114" s="30">
        <v>2</v>
      </c>
      <c r="E114" s="34">
        <v>1</v>
      </c>
      <c r="F114" s="34">
        <v>1.3</v>
      </c>
      <c r="G114" s="34" t="s">
        <v>21</v>
      </c>
      <c r="H114" s="42">
        <f t="shared" si="3"/>
        <v>5.2</v>
      </c>
      <c r="I114" s="30"/>
    </row>
    <row r="115" spans="1:9">
      <c r="A115" s="30"/>
      <c r="B115" s="31" t="s">
        <v>3188</v>
      </c>
      <c r="C115" s="30">
        <v>-1</v>
      </c>
      <c r="D115" s="30">
        <v>1</v>
      </c>
      <c r="E115" s="34">
        <v>0.45</v>
      </c>
      <c r="F115" s="34">
        <v>0.6</v>
      </c>
      <c r="G115" s="34" t="s">
        <v>21</v>
      </c>
      <c r="H115" s="42">
        <f t="shared" si="3"/>
        <v>-0.27</v>
      </c>
      <c r="I115" s="30"/>
    </row>
    <row r="116" spans="1:9">
      <c r="A116" s="30"/>
      <c r="B116" s="31" t="s">
        <v>3188</v>
      </c>
      <c r="C116" s="30">
        <v>-2</v>
      </c>
      <c r="D116" s="30">
        <v>2</v>
      </c>
      <c r="E116" s="34">
        <v>0.45</v>
      </c>
      <c r="F116" s="34">
        <v>0.6</v>
      </c>
      <c r="G116" s="34" t="s">
        <v>21</v>
      </c>
      <c r="H116" s="42">
        <f t="shared" si="3"/>
        <v>-1.08</v>
      </c>
      <c r="I116" s="30"/>
    </row>
    <row r="117" spans="1:9">
      <c r="A117" s="30"/>
      <c r="B117" s="31" t="s">
        <v>3191</v>
      </c>
      <c r="C117" s="30">
        <v>1</v>
      </c>
      <c r="D117" s="30">
        <v>1</v>
      </c>
      <c r="E117" s="34">
        <v>1.2</v>
      </c>
      <c r="F117" s="34">
        <v>1.3</v>
      </c>
      <c r="G117" s="34" t="s">
        <v>21</v>
      </c>
      <c r="H117" s="42">
        <f t="shared" si="3"/>
        <v>1.56</v>
      </c>
      <c r="I117" s="30"/>
    </row>
    <row r="118" spans="1:9">
      <c r="A118" s="30"/>
      <c r="B118" s="31" t="s">
        <v>3191</v>
      </c>
      <c r="C118" s="30">
        <v>2</v>
      </c>
      <c r="D118" s="30">
        <v>2</v>
      </c>
      <c r="E118" s="34">
        <v>1.2</v>
      </c>
      <c r="F118" s="34">
        <v>1.3</v>
      </c>
      <c r="G118" s="34" t="s">
        <v>21</v>
      </c>
      <c r="H118" s="42">
        <f t="shared" si="3"/>
        <v>6.24</v>
      </c>
      <c r="I118" s="30"/>
    </row>
    <row r="119" spans="1:9">
      <c r="A119" s="30"/>
      <c r="B119" s="31"/>
      <c r="C119" s="30"/>
      <c r="D119" s="30"/>
      <c r="E119" s="34"/>
      <c r="F119" s="34"/>
      <c r="G119" s="34"/>
      <c r="H119" s="42">
        <f>SUM(H113:H118)</f>
        <v>12.950000000000001</v>
      </c>
      <c r="I119" s="30"/>
    </row>
    <row r="120" spans="1:9" ht="18.75">
      <c r="A120" s="30"/>
      <c r="B120" s="31"/>
      <c r="C120" s="30"/>
      <c r="D120" s="30"/>
      <c r="E120" s="34"/>
      <c r="F120" s="34"/>
      <c r="G120" s="34" t="s">
        <v>9</v>
      </c>
      <c r="H120" s="43">
        <v>12.95</v>
      </c>
      <c r="I120" s="30" t="s">
        <v>26</v>
      </c>
    </row>
    <row r="121" spans="1:9" ht="31.5">
      <c r="A121" s="30">
        <v>15</v>
      </c>
      <c r="B121" s="754" t="s">
        <v>3192</v>
      </c>
      <c r="C121" s="30"/>
      <c r="D121" s="30"/>
      <c r="E121" s="34"/>
      <c r="F121" s="34"/>
      <c r="G121" s="34"/>
      <c r="H121" s="42"/>
      <c r="I121" s="30"/>
    </row>
    <row r="122" spans="1:9">
      <c r="A122" s="30"/>
      <c r="B122" s="31" t="s">
        <v>3190</v>
      </c>
      <c r="C122" s="30">
        <v>1</v>
      </c>
      <c r="D122" s="30">
        <v>1</v>
      </c>
      <c r="E122" s="34">
        <v>1.3</v>
      </c>
      <c r="F122" s="34">
        <v>1.5</v>
      </c>
      <c r="G122" s="34" t="s">
        <v>21</v>
      </c>
      <c r="H122" s="42">
        <f t="shared" ref="H122:H129" si="4">PRODUCT(C122:G122)</f>
        <v>1.9500000000000002</v>
      </c>
      <c r="I122" s="30"/>
    </row>
    <row r="123" spans="1:9">
      <c r="A123" s="30"/>
      <c r="B123" s="31" t="s">
        <v>3190</v>
      </c>
      <c r="C123" s="30">
        <v>2</v>
      </c>
      <c r="D123" s="30">
        <v>2</v>
      </c>
      <c r="E123" s="34">
        <v>1.3</v>
      </c>
      <c r="F123" s="34">
        <v>1.5</v>
      </c>
      <c r="G123" s="34" t="s">
        <v>21</v>
      </c>
      <c r="H123" s="42">
        <f t="shared" si="4"/>
        <v>7.8000000000000007</v>
      </c>
      <c r="I123" s="30"/>
    </row>
    <row r="124" spans="1:9">
      <c r="A124" s="30"/>
      <c r="B124" s="31" t="s">
        <v>3191</v>
      </c>
      <c r="C124" s="30">
        <v>1</v>
      </c>
      <c r="D124" s="30">
        <v>1</v>
      </c>
      <c r="E124" s="34">
        <v>1.56</v>
      </c>
      <c r="F124" s="34">
        <v>1.5</v>
      </c>
      <c r="G124" s="34" t="s">
        <v>21</v>
      </c>
      <c r="H124" s="42">
        <f t="shared" si="4"/>
        <v>2.34</v>
      </c>
      <c r="I124" s="30"/>
    </row>
    <row r="125" spans="1:9">
      <c r="A125" s="30"/>
      <c r="B125" s="31" t="s">
        <v>3191</v>
      </c>
      <c r="C125" s="30">
        <v>2</v>
      </c>
      <c r="D125" s="30">
        <v>2</v>
      </c>
      <c r="E125" s="34">
        <v>1.56</v>
      </c>
      <c r="F125" s="34">
        <v>1.5</v>
      </c>
      <c r="G125" s="34" t="s">
        <v>21</v>
      </c>
      <c r="H125" s="42">
        <f t="shared" si="4"/>
        <v>9.36</v>
      </c>
      <c r="I125" s="30"/>
    </row>
    <row r="126" spans="1:9">
      <c r="A126" s="30"/>
      <c r="B126" s="31" t="s">
        <v>3555</v>
      </c>
      <c r="C126" s="30">
        <v>1</v>
      </c>
      <c r="D126" s="30">
        <v>1</v>
      </c>
      <c r="E126" s="34">
        <v>2.4</v>
      </c>
      <c r="F126" s="34">
        <v>0.6</v>
      </c>
      <c r="G126" s="34" t="s">
        <v>21</v>
      </c>
      <c r="H126" s="42">
        <f t="shared" si="4"/>
        <v>1.44</v>
      </c>
      <c r="I126" s="30"/>
    </row>
    <row r="127" spans="1:9">
      <c r="A127" s="30"/>
      <c r="B127" s="31" t="s">
        <v>3555</v>
      </c>
      <c r="C127" s="30">
        <v>2</v>
      </c>
      <c r="D127" s="30">
        <v>2</v>
      </c>
      <c r="E127" s="34">
        <v>2.4</v>
      </c>
      <c r="F127" s="34">
        <v>0.6</v>
      </c>
      <c r="G127" s="34" t="s">
        <v>21</v>
      </c>
      <c r="H127" s="42">
        <f t="shared" si="4"/>
        <v>5.76</v>
      </c>
      <c r="I127" s="30"/>
    </row>
    <row r="128" spans="1:9">
      <c r="A128" s="30"/>
      <c r="B128" s="31" t="s">
        <v>3556</v>
      </c>
      <c r="C128" s="30">
        <v>1</v>
      </c>
      <c r="D128" s="30">
        <v>1</v>
      </c>
      <c r="E128" s="34">
        <v>0.6</v>
      </c>
      <c r="F128" s="34">
        <v>0.6</v>
      </c>
      <c r="G128" s="34" t="s">
        <v>21</v>
      </c>
      <c r="H128" s="42">
        <f t="shared" si="4"/>
        <v>0.36</v>
      </c>
      <c r="I128" s="30"/>
    </row>
    <row r="129" spans="1:9">
      <c r="A129" s="30"/>
      <c r="B129" s="31" t="s">
        <v>3556</v>
      </c>
      <c r="C129" s="30">
        <v>2</v>
      </c>
      <c r="D129" s="30">
        <v>2</v>
      </c>
      <c r="E129" s="34">
        <v>0.6</v>
      </c>
      <c r="F129" s="34">
        <v>0.6</v>
      </c>
      <c r="G129" s="34" t="s">
        <v>21</v>
      </c>
      <c r="H129" s="42">
        <f t="shared" si="4"/>
        <v>1.44</v>
      </c>
      <c r="I129" s="30"/>
    </row>
    <row r="130" spans="1:9" ht="16.149999999999999" customHeight="1">
      <c r="A130" s="756"/>
      <c r="B130" s="31"/>
      <c r="C130" s="30"/>
      <c r="D130" s="30"/>
      <c r="E130" s="34"/>
      <c r="F130" s="34"/>
      <c r="G130" s="34"/>
      <c r="H130" s="42">
        <f>SUM(H122:H129)</f>
        <v>30.45</v>
      </c>
      <c r="I130" s="40"/>
    </row>
    <row r="131" spans="1:9" ht="18.75">
      <c r="A131" s="756"/>
      <c r="B131" s="38"/>
      <c r="C131" s="756"/>
      <c r="D131" s="757"/>
      <c r="E131" s="758"/>
      <c r="F131" s="758"/>
      <c r="G131" s="34" t="s">
        <v>9</v>
      </c>
      <c r="H131" s="43">
        <v>30.45</v>
      </c>
      <c r="I131" s="30" t="s">
        <v>26</v>
      </c>
    </row>
    <row r="132" spans="1:9" ht="47.25">
      <c r="A132" s="756">
        <v>16</v>
      </c>
      <c r="B132" s="735" t="s">
        <v>3194</v>
      </c>
      <c r="C132" s="756"/>
      <c r="D132" s="757"/>
      <c r="E132" s="758"/>
      <c r="F132" s="758"/>
      <c r="G132" s="760"/>
      <c r="H132" s="761"/>
      <c r="I132" s="40"/>
    </row>
    <row r="133" spans="1:9">
      <c r="A133" s="762"/>
      <c r="B133" s="763" t="s">
        <v>3195</v>
      </c>
      <c r="C133" s="764"/>
      <c r="D133" s="764"/>
      <c r="E133" s="765"/>
      <c r="F133" s="765"/>
      <c r="G133" s="765"/>
      <c r="H133" s="766"/>
      <c r="I133" s="40"/>
    </row>
    <row r="134" spans="1:9">
      <c r="A134" s="762"/>
      <c r="B134" s="38" t="s">
        <v>3181</v>
      </c>
      <c r="C134" s="756">
        <v>1</v>
      </c>
      <c r="D134" s="759">
        <v>3</v>
      </c>
      <c r="E134" s="731" t="s">
        <v>21</v>
      </c>
      <c r="F134" s="731" t="s">
        <v>21</v>
      </c>
      <c r="G134" s="731" t="s">
        <v>21</v>
      </c>
      <c r="H134" s="42">
        <f>PRODUCT(C134:G134)</f>
        <v>3</v>
      </c>
      <c r="I134" s="40"/>
    </row>
    <row r="135" spans="1:9">
      <c r="A135" s="756"/>
      <c r="B135" s="12"/>
      <c r="C135" s="756"/>
      <c r="D135" s="756"/>
      <c r="E135" s="731"/>
      <c r="F135" s="731"/>
      <c r="G135" s="767"/>
      <c r="H135" s="43">
        <f>SUM(H134:H134)</f>
        <v>3</v>
      </c>
      <c r="I135" s="730" t="s">
        <v>340</v>
      </c>
    </row>
    <row r="136" spans="1:9">
      <c r="A136" s="756"/>
      <c r="B136" s="763" t="s">
        <v>3198</v>
      </c>
      <c r="C136" s="756"/>
      <c r="D136" s="759"/>
      <c r="E136" s="759"/>
      <c r="F136" s="731"/>
      <c r="G136" s="767"/>
      <c r="H136" s="42"/>
      <c r="I136" s="730"/>
    </row>
    <row r="137" spans="1:9">
      <c r="A137" s="756"/>
      <c r="B137" s="38" t="s">
        <v>3181</v>
      </c>
      <c r="C137" s="756">
        <v>1</v>
      </c>
      <c r="D137" s="759">
        <v>2</v>
      </c>
      <c r="E137" s="731" t="s">
        <v>21</v>
      </c>
      <c r="F137" s="731" t="s">
        <v>21</v>
      </c>
      <c r="G137" s="731" t="s">
        <v>21</v>
      </c>
      <c r="H137" s="42">
        <f>PRODUCT(C137:G137)</f>
        <v>2</v>
      </c>
      <c r="I137" s="40"/>
    </row>
    <row r="138" spans="1:9">
      <c r="A138" s="756"/>
      <c r="B138" s="41"/>
      <c r="C138" s="756"/>
      <c r="D138" s="756"/>
      <c r="E138" s="768"/>
      <c r="F138" s="768"/>
      <c r="G138" s="768"/>
      <c r="H138" s="43">
        <f>SUM(H137:H137)</f>
        <v>2</v>
      </c>
      <c r="I138" s="730" t="s">
        <v>340</v>
      </c>
    </row>
    <row r="139" spans="1:9" ht="47.25">
      <c r="A139" s="756">
        <v>17</v>
      </c>
      <c r="B139" s="754" t="s">
        <v>3563</v>
      </c>
      <c r="C139" s="756"/>
      <c r="D139" s="756"/>
      <c r="E139" s="768"/>
      <c r="F139" s="768"/>
      <c r="G139" s="768"/>
      <c r="H139" s="43"/>
      <c r="I139" s="730"/>
    </row>
    <row r="140" spans="1:9">
      <c r="A140" s="756"/>
      <c r="B140" s="769" t="s">
        <v>3202</v>
      </c>
      <c r="C140" s="756">
        <v>1</v>
      </c>
      <c r="D140" s="756">
        <v>5</v>
      </c>
      <c r="E140" s="768">
        <v>0.75</v>
      </c>
      <c r="F140" s="768">
        <v>2</v>
      </c>
      <c r="G140" s="770" t="s">
        <v>21</v>
      </c>
      <c r="H140" s="42">
        <f>PRODUCT(C140:G140)</f>
        <v>7.5</v>
      </c>
      <c r="I140" s="730"/>
    </row>
    <row r="141" spans="1:9">
      <c r="A141" s="756"/>
      <c r="B141" s="41"/>
      <c r="C141" s="756"/>
      <c r="D141" s="756"/>
      <c r="E141" s="768"/>
      <c r="F141" s="768"/>
      <c r="G141" s="768"/>
      <c r="H141" s="43">
        <f>SUM(H140:H140)</f>
        <v>7.5</v>
      </c>
      <c r="I141" s="30" t="s">
        <v>306</v>
      </c>
    </row>
    <row r="142" spans="1:9" ht="57.6" customHeight="1">
      <c r="A142" s="756">
        <v>18</v>
      </c>
      <c r="B142" s="771" t="s">
        <v>3199</v>
      </c>
      <c r="C142" s="756"/>
      <c r="D142" s="756"/>
      <c r="E142" s="768"/>
      <c r="F142" s="768"/>
      <c r="G142" s="768"/>
      <c r="H142" s="768"/>
      <c r="I142" s="730"/>
    </row>
    <row r="143" spans="1:9">
      <c r="A143" s="756"/>
      <c r="B143" s="769" t="s">
        <v>3202</v>
      </c>
      <c r="C143" s="756">
        <v>1</v>
      </c>
      <c r="D143" s="756">
        <v>5</v>
      </c>
      <c r="E143" s="768">
        <v>0.75</v>
      </c>
      <c r="F143" s="768">
        <v>2</v>
      </c>
      <c r="G143" s="770" t="s">
        <v>21</v>
      </c>
      <c r="H143" s="42">
        <f>PRODUCT(C143:G143)</f>
        <v>7.5</v>
      </c>
      <c r="I143" s="730"/>
    </row>
    <row r="144" spans="1:9">
      <c r="A144" s="30"/>
      <c r="B144" s="31"/>
      <c r="C144" s="30"/>
      <c r="D144" s="30"/>
      <c r="E144" s="34"/>
      <c r="F144" s="34"/>
      <c r="G144" s="34"/>
      <c r="H144" s="43">
        <f>SUM(H143:H143)</f>
        <v>7.5</v>
      </c>
      <c r="I144" s="30" t="s">
        <v>306</v>
      </c>
    </row>
    <row r="145" spans="1:9" ht="78.75">
      <c r="A145" s="30">
        <v>19</v>
      </c>
      <c r="B145" s="735" t="s">
        <v>3208</v>
      </c>
      <c r="C145" s="30"/>
      <c r="D145" s="30"/>
      <c r="E145" s="34"/>
      <c r="F145" s="34"/>
      <c r="G145" s="34"/>
      <c r="H145" s="34"/>
      <c r="I145" s="30"/>
    </row>
    <row r="146" spans="1:9">
      <c r="A146" s="30"/>
      <c r="B146" s="31" t="s">
        <v>3209</v>
      </c>
      <c r="C146" s="30">
        <v>1</v>
      </c>
      <c r="D146" s="30">
        <v>1</v>
      </c>
      <c r="E146" s="34">
        <v>1.2</v>
      </c>
      <c r="F146" s="34">
        <v>1.3</v>
      </c>
      <c r="G146" s="34" t="s">
        <v>21</v>
      </c>
      <c r="H146" s="42">
        <f t="shared" ref="H146:H156" si="5">PRODUCT(C146:G146)</f>
        <v>1.56</v>
      </c>
      <c r="I146" s="30"/>
    </row>
    <row r="147" spans="1:9">
      <c r="A147" s="30"/>
      <c r="B147" s="31" t="s">
        <v>3209</v>
      </c>
      <c r="C147" s="30">
        <v>2</v>
      </c>
      <c r="D147" s="30">
        <v>2</v>
      </c>
      <c r="E147" s="34">
        <v>1.2</v>
      </c>
      <c r="F147" s="34">
        <v>1.3</v>
      </c>
      <c r="G147" s="34" t="s">
        <v>21</v>
      </c>
      <c r="H147" s="42">
        <f t="shared" ref="H147" si="6">PRODUCT(C147:G147)</f>
        <v>6.24</v>
      </c>
      <c r="I147" s="30"/>
    </row>
    <row r="148" spans="1:9">
      <c r="A148" s="30"/>
      <c r="B148" s="31" t="s">
        <v>3210</v>
      </c>
      <c r="C148" s="30">
        <v>1</v>
      </c>
      <c r="D148" s="30">
        <v>1</v>
      </c>
      <c r="E148" s="34">
        <v>1</v>
      </c>
      <c r="F148" s="34">
        <v>1.3</v>
      </c>
      <c r="G148" s="34" t="s">
        <v>21</v>
      </c>
      <c r="H148" s="42">
        <f t="shared" si="5"/>
        <v>1.3</v>
      </c>
      <c r="I148" s="30"/>
    </row>
    <row r="149" spans="1:9">
      <c r="A149" s="30"/>
      <c r="B149" s="31" t="s">
        <v>3210</v>
      </c>
      <c r="C149" s="30">
        <v>2</v>
      </c>
      <c r="D149" s="30">
        <v>2</v>
      </c>
      <c r="E149" s="34">
        <v>1</v>
      </c>
      <c r="F149" s="34">
        <v>1.3</v>
      </c>
      <c r="G149" s="34" t="s">
        <v>21</v>
      </c>
      <c r="H149" s="42">
        <f t="shared" ref="H149" si="7">PRODUCT(C149:G149)</f>
        <v>5.2</v>
      </c>
      <c r="I149" s="30"/>
    </row>
    <row r="150" spans="1:9" ht="17.45" customHeight="1">
      <c r="A150" s="30"/>
      <c r="B150" s="31" t="s">
        <v>3215</v>
      </c>
      <c r="C150" s="30">
        <v>2</v>
      </c>
      <c r="D150" s="30">
        <v>1</v>
      </c>
      <c r="E150" s="34">
        <v>2.2999999999999998</v>
      </c>
      <c r="F150" s="34">
        <v>1</v>
      </c>
      <c r="G150" s="34" t="s">
        <v>21</v>
      </c>
      <c r="H150" s="42">
        <f t="shared" si="5"/>
        <v>4.5999999999999996</v>
      </c>
      <c r="I150" s="30"/>
    </row>
    <row r="151" spans="1:9" ht="17.45" customHeight="1">
      <c r="A151" s="30"/>
      <c r="B151" s="31" t="s">
        <v>3554</v>
      </c>
      <c r="C151" s="30">
        <v>2</v>
      </c>
      <c r="D151" s="30">
        <v>1</v>
      </c>
      <c r="E151" s="34">
        <v>4.25</v>
      </c>
      <c r="F151" s="34">
        <v>3.65</v>
      </c>
      <c r="G151" s="34" t="s">
        <v>21</v>
      </c>
      <c r="H151" s="42">
        <f t="shared" si="5"/>
        <v>31.024999999999999</v>
      </c>
      <c r="I151" s="30"/>
    </row>
    <row r="152" spans="1:9" ht="17.45" customHeight="1">
      <c r="A152" s="30"/>
      <c r="B152" s="31" t="s">
        <v>3246</v>
      </c>
      <c r="C152" s="30">
        <v>1</v>
      </c>
      <c r="D152" s="30">
        <v>1</v>
      </c>
      <c r="E152" s="34">
        <v>3.5</v>
      </c>
      <c r="F152" s="34">
        <v>2.1</v>
      </c>
      <c r="G152" s="34" t="s">
        <v>21</v>
      </c>
      <c r="H152" s="42">
        <f t="shared" si="5"/>
        <v>7.3500000000000005</v>
      </c>
      <c r="I152" s="30"/>
    </row>
    <row r="153" spans="1:9" ht="17.45" customHeight="1">
      <c r="A153" s="30"/>
      <c r="B153" s="31" t="s">
        <v>129</v>
      </c>
      <c r="C153" s="30">
        <v>1</v>
      </c>
      <c r="D153" s="30">
        <v>1</v>
      </c>
      <c r="E153" s="34">
        <v>4.5</v>
      </c>
      <c r="F153" s="34">
        <v>3.5</v>
      </c>
      <c r="G153" s="34" t="s">
        <v>21</v>
      </c>
      <c r="H153" s="42">
        <f t="shared" si="5"/>
        <v>15.75</v>
      </c>
      <c r="I153" s="30"/>
    </row>
    <row r="154" spans="1:9" ht="17.45" customHeight="1">
      <c r="A154" s="30"/>
      <c r="B154" s="31" t="s">
        <v>5349</v>
      </c>
      <c r="C154" s="30">
        <v>1</v>
      </c>
      <c r="D154" s="30">
        <v>15</v>
      </c>
      <c r="E154" s="34">
        <v>0.75</v>
      </c>
      <c r="F154" s="34">
        <v>0.45</v>
      </c>
      <c r="G154" s="34" t="s">
        <v>21</v>
      </c>
      <c r="H154" s="42">
        <f t="shared" si="5"/>
        <v>5.0625</v>
      </c>
      <c r="I154" s="30"/>
    </row>
    <row r="155" spans="1:9" ht="17.45" customHeight="1">
      <c r="A155" s="30"/>
      <c r="B155" s="31" t="s">
        <v>5350</v>
      </c>
      <c r="C155" s="30">
        <v>1</v>
      </c>
      <c r="D155" s="30">
        <v>3</v>
      </c>
      <c r="E155" s="34">
        <v>1.8</v>
      </c>
      <c r="F155" s="34">
        <v>0.85</v>
      </c>
      <c r="G155" s="34" t="s">
        <v>21</v>
      </c>
      <c r="H155" s="42">
        <f t="shared" si="5"/>
        <v>4.59</v>
      </c>
      <c r="I155" s="30"/>
    </row>
    <row r="156" spans="1:9" ht="17.45" customHeight="1">
      <c r="A156" s="30"/>
      <c r="B156" s="31" t="s">
        <v>5351</v>
      </c>
      <c r="C156" s="30">
        <v>2</v>
      </c>
      <c r="D156" s="30">
        <v>2</v>
      </c>
      <c r="E156" s="34">
        <v>0.9</v>
      </c>
      <c r="F156" s="34">
        <v>0.45</v>
      </c>
      <c r="G156" s="34" t="s">
        <v>21</v>
      </c>
      <c r="H156" s="42">
        <f t="shared" si="5"/>
        <v>1.62</v>
      </c>
      <c r="I156" s="30"/>
    </row>
    <row r="157" spans="1:9">
      <c r="A157" s="30"/>
      <c r="B157" s="31"/>
      <c r="C157" s="30"/>
      <c r="D157" s="30"/>
      <c r="E157" s="34"/>
      <c r="F157" s="34"/>
      <c r="G157" s="34"/>
      <c r="H157" s="42">
        <f>SUM(H146:H156)</f>
        <v>84.297500000000014</v>
      </c>
      <c r="I157" s="30"/>
    </row>
    <row r="158" spans="1:9" ht="18.75">
      <c r="A158" s="30"/>
      <c r="B158" s="31"/>
      <c r="C158" s="30"/>
      <c r="D158" s="30"/>
      <c r="E158" s="34"/>
      <c r="F158" s="34"/>
      <c r="G158" s="34" t="s">
        <v>9</v>
      </c>
      <c r="H158" s="43">
        <v>84.3</v>
      </c>
      <c r="I158" s="30" t="s">
        <v>26</v>
      </c>
    </row>
    <row r="159" spans="1:9" ht="47.25">
      <c r="A159" s="30">
        <v>20</v>
      </c>
      <c r="B159" s="735" t="s">
        <v>3216</v>
      </c>
      <c r="C159" s="30"/>
      <c r="D159" s="30"/>
      <c r="E159" s="34"/>
      <c r="F159" s="34"/>
      <c r="G159" s="34"/>
      <c r="H159" s="724"/>
      <c r="I159" s="30"/>
    </row>
    <row r="160" spans="1:9">
      <c r="A160" s="30"/>
      <c r="B160" s="31" t="s">
        <v>3209</v>
      </c>
      <c r="C160" s="30">
        <v>1</v>
      </c>
      <c r="D160" s="30">
        <v>1</v>
      </c>
      <c r="E160" s="34">
        <v>1.2</v>
      </c>
      <c r="F160" s="34">
        <v>1.3</v>
      </c>
      <c r="G160" s="34" t="s">
        <v>21</v>
      </c>
      <c r="H160" s="42">
        <f t="shared" ref="H160:H170" si="8">PRODUCT(C160:G160)</f>
        <v>1.56</v>
      </c>
      <c r="I160" s="30"/>
    </row>
    <row r="161" spans="1:9">
      <c r="A161" s="30"/>
      <c r="B161" s="31" t="s">
        <v>3209</v>
      </c>
      <c r="C161" s="30">
        <v>2</v>
      </c>
      <c r="D161" s="30">
        <v>2</v>
      </c>
      <c r="E161" s="34">
        <v>1.2</v>
      </c>
      <c r="F161" s="34">
        <v>1.3</v>
      </c>
      <c r="G161" s="34" t="s">
        <v>21</v>
      </c>
      <c r="H161" s="42">
        <f t="shared" si="8"/>
        <v>6.24</v>
      </c>
      <c r="I161" s="30"/>
    </row>
    <row r="162" spans="1:9">
      <c r="A162" s="30"/>
      <c r="B162" s="31" t="s">
        <v>3210</v>
      </c>
      <c r="C162" s="30">
        <v>1</v>
      </c>
      <c r="D162" s="30">
        <v>1</v>
      </c>
      <c r="E162" s="34">
        <v>1</v>
      </c>
      <c r="F162" s="34">
        <v>1.3</v>
      </c>
      <c r="G162" s="34" t="s">
        <v>21</v>
      </c>
      <c r="H162" s="42">
        <f t="shared" si="8"/>
        <v>1.3</v>
      </c>
      <c r="I162" s="30"/>
    </row>
    <row r="163" spans="1:9">
      <c r="A163" s="30"/>
      <c r="B163" s="31" t="s">
        <v>3210</v>
      </c>
      <c r="C163" s="30">
        <v>2</v>
      </c>
      <c r="D163" s="30">
        <v>2</v>
      </c>
      <c r="E163" s="34">
        <v>1</v>
      </c>
      <c r="F163" s="34">
        <v>1.3</v>
      </c>
      <c r="G163" s="34" t="s">
        <v>21</v>
      </c>
      <c r="H163" s="42">
        <f t="shared" si="8"/>
        <v>5.2</v>
      </c>
      <c r="I163" s="30"/>
    </row>
    <row r="164" spans="1:9" ht="17.45" customHeight="1">
      <c r="A164" s="30"/>
      <c r="B164" s="31" t="s">
        <v>3215</v>
      </c>
      <c r="C164" s="30">
        <v>2</v>
      </c>
      <c r="D164" s="30">
        <v>1</v>
      </c>
      <c r="E164" s="34">
        <v>2.2999999999999998</v>
      </c>
      <c r="F164" s="34">
        <v>1</v>
      </c>
      <c r="G164" s="34" t="s">
        <v>21</v>
      </c>
      <c r="H164" s="42">
        <f t="shared" si="8"/>
        <v>4.5999999999999996</v>
      </c>
      <c r="I164" s="30"/>
    </row>
    <row r="165" spans="1:9" ht="17.45" customHeight="1">
      <c r="A165" s="30"/>
      <c r="B165" s="31" t="s">
        <v>3554</v>
      </c>
      <c r="C165" s="30">
        <v>2</v>
      </c>
      <c r="D165" s="30">
        <v>1</v>
      </c>
      <c r="E165" s="34">
        <v>4.25</v>
      </c>
      <c r="F165" s="34">
        <v>3.65</v>
      </c>
      <c r="G165" s="34" t="s">
        <v>21</v>
      </c>
      <c r="H165" s="42">
        <f t="shared" si="8"/>
        <v>31.024999999999999</v>
      </c>
      <c r="I165" s="30"/>
    </row>
    <row r="166" spans="1:9" ht="17.45" customHeight="1">
      <c r="A166" s="30"/>
      <c r="B166" s="31" t="s">
        <v>3246</v>
      </c>
      <c r="C166" s="30">
        <v>1</v>
      </c>
      <c r="D166" s="30">
        <v>1</v>
      </c>
      <c r="E166" s="34">
        <v>3.5</v>
      </c>
      <c r="F166" s="34">
        <v>2.1</v>
      </c>
      <c r="G166" s="34" t="s">
        <v>21</v>
      </c>
      <c r="H166" s="42">
        <f t="shared" si="8"/>
        <v>7.3500000000000005</v>
      </c>
      <c r="I166" s="30"/>
    </row>
    <row r="167" spans="1:9" ht="17.45" customHeight="1">
      <c r="A167" s="30"/>
      <c r="B167" s="31" t="s">
        <v>129</v>
      </c>
      <c r="C167" s="30">
        <v>1</v>
      </c>
      <c r="D167" s="30">
        <v>1</v>
      </c>
      <c r="E167" s="34">
        <v>4.5</v>
      </c>
      <c r="F167" s="34">
        <v>3.5</v>
      </c>
      <c r="G167" s="34" t="s">
        <v>21</v>
      </c>
      <c r="H167" s="42">
        <f t="shared" si="8"/>
        <v>15.75</v>
      </c>
      <c r="I167" s="30"/>
    </row>
    <row r="168" spans="1:9" ht="17.45" customHeight="1">
      <c r="A168" s="30"/>
      <c r="B168" s="31" t="s">
        <v>5349</v>
      </c>
      <c r="C168" s="30">
        <v>1</v>
      </c>
      <c r="D168" s="30">
        <v>15</v>
      </c>
      <c r="E168" s="34">
        <v>0.75</v>
      </c>
      <c r="F168" s="34">
        <v>0.45</v>
      </c>
      <c r="G168" s="34" t="s">
        <v>21</v>
      </c>
      <c r="H168" s="42">
        <f t="shared" si="8"/>
        <v>5.0625</v>
      </c>
      <c r="I168" s="30"/>
    </row>
    <row r="169" spans="1:9" ht="17.45" customHeight="1">
      <c r="A169" s="30"/>
      <c r="B169" s="31" t="s">
        <v>5350</v>
      </c>
      <c r="C169" s="30">
        <v>1</v>
      </c>
      <c r="D169" s="30">
        <v>3</v>
      </c>
      <c r="E169" s="34">
        <v>1.8</v>
      </c>
      <c r="F169" s="34">
        <v>0.85</v>
      </c>
      <c r="G169" s="34" t="s">
        <v>21</v>
      </c>
      <c r="H169" s="42">
        <f t="shared" si="8"/>
        <v>4.59</v>
      </c>
      <c r="I169" s="30"/>
    </row>
    <row r="170" spans="1:9" ht="17.45" customHeight="1">
      <c r="A170" s="30"/>
      <c r="B170" s="31" t="s">
        <v>5351</v>
      </c>
      <c r="C170" s="30">
        <v>1</v>
      </c>
      <c r="D170" s="30">
        <v>2</v>
      </c>
      <c r="E170" s="34">
        <v>1.2</v>
      </c>
      <c r="F170" s="34">
        <v>0.45</v>
      </c>
      <c r="G170" s="34" t="s">
        <v>21</v>
      </c>
      <c r="H170" s="42">
        <f t="shared" si="8"/>
        <v>1.08</v>
      </c>
      <c r="I170" s="30"/>
    </row>
    <row r="171" spans="1:9" s="733" customFormat="1">
      <c r="A171" s="730"/>
      <c r="B171" s="772" t="s">
        <v>3465</v>
      </c>
      <c r="C171" s="30">
        <v>1</v>
      </c>
      <c r="D171" s="730">
        <v>10</v>
      </c>
      <c r="E171" s="731">
        <v>0.6</v>
      </c>
      <c r="F171" s="731">
        <v>0.6</v>
      </c>
      <c r="G171" s="731" t="s">
        <v>21</v>
      </c>
      <c r="H171" s="740">
        <f>PRODUCT(C171:G171)</f>
        <v>3.5999999999999996</v>
      </c>
      <c r="I171" s="732"/>
    </row>
    <row r="172" spans="1:9">
      <c r="A172" s="30"/>
      <c r="B172" s="31"/>
      <c r="C172" s="30"/>
      <c r="D172" s="30"/>
      <c r="E172" s="34"/>
      <c r="F172" s="34"/>
      <c r="G172" s="34"/>
      <c r="H172" s="42">
        <f>SUM(H160:H171)</f>
        <v>87.357500000000002</v>
      </c>
      <c r="I172" s="30"/>
    </row>
    <row r="173" spans="1:9" ht="18.75">
      <c r="A173" s="30"/>
      <c r="B173" s="31"/>
      <c r="C173" s="30"/>
      <c r="D173" s="30"/>
      <c r="E173" s="34"/>
      <c r="F173" s="34"/>
      <c r="G173" s="34" t="s">
        <v>9</v>
      </c>
      <c r="H173" s="43">
        <v>87.4</v>
      </c>
      <c r="I173" s="30" t="s">
        <v>26</v>
      </c>
    </row>
    <row r="174" spans="1:9" ht="63">
      <c r="A174" s="30">
        <v>21</v>
      </c>
      <c r="B174" s="754" t="s">
        <v>3470</v>
      </c>
      <c r="C174" s="30"/>
      <c r="D174" s="30"/>
      <c r="E174" s="34"/>
      <c r="F174" s="34"/>
      <c r="G174" s="34"/>
      <c r="H174" s="34"/>
      <c r="I174" s="30"/>
    </row>
    <row r="175" spans="1:9" ht="31.5">
      <c r="A175" s="30"/>
      <c r="B175" s="31" t="s">
        <v>5352</v>
      </c>
      <c r="C175" s="30">
        <v>1</v>
      </c>
      <c r="D175" s="30">
        <v>1</v>
      </c>
      <c r="E175" s="34">
        <v>90</v>
      </c>
      <c r="F175" s="34" t="s">
        <v>21</v>
      </c>
      <c r="G175" s="34" t="s">
        <v>21</v>
      </c>
      <c r="H175" s="42">
        <f>PRODUCT(C175:G175)</f>
        <v>90</v>
      </c>
      <c r="I175" s="30"/>
    </row>
    <row r="176" spans="1:9">
      <c r="A176" s="30"/>
      <c r="B176" s="31"/>
      <c r="C176" s="30"/>
      <c r="D176" s="30"/>
      <c r="E176" s="34"/>
      <c r="F176" s="34"/>
      <c r="G176" s="34"/>
      <c r="H176" s="43">
        <f>SUM(H175:H175)</f>
        <v>90</v>
      </c>
      <c r="I176" s="30" t="s">
        <v>303</v>
      </c>
    </row>
    <row r="177" spans="1:15" ht="61.9" customHeight="1">
      <c r="A177" s="30">
        <v>22</v>
      </c>
      <c r="B177" s="1328" t="s">
        <v>5281</v>
      </c>
      <c r="C177" s="30"/>
      <c r="D177" s="30"/>
      <c r="E177" s="34"/>
      <c r="F177" s="34"/>
      <c r="G177" s="34"/>
      <c r="H177" s="724"/>
      <c r="I177" s="30"/>
    </row>
    <row r="178" spans="1:15">
      <c r="A178" s="30"/>
      <c r="B178" s="31" t="s">
        <v>5353</v>
      </c>
      <c r="C178" s="30">
        <v>1</v>
      </c>
      <c r="D178" s="30">
        <v>1</v>
      </c>
      <c r="E178" s="34">
        <v>30</v>
      </c>
      <c r="F178" s="34" t="s">
        <v>21</v>
      </c>
      <c r="G178" s="34" t="s">
        <v>21</v>
      </c>
      <c r="H178" s="42">
        <f>PRODUCT(C178:G178)</f>
        <v>30</v>
      </c>
      <c r="I178" s="30"/>
    </row>
    <row r="179" spans="1:15" ht="17.45" customHeight="1">
      <c r="A179" s="30"/>
      <c r="B179" s="773"/>
      <c r="C179" s="30"/>
      <c r="D179" s="30"/>
      <c r="E179" s="34"/>
      <c r="F179" s="34"/>
      <c r="G179" s="34"/>
      <c r="H179" s="43">
        <f>SUM(H177:H178)</f>
        <v>30</v>
      </c>
      <c r="I179" s="30" t="s">
        <v>303</v>
      </c>
    </row>
    <row r="180" spans="1:15" ht="63">
      <c r="A180" s="30">
        <v>23</v>
      </c>
      <c r="B180" s="1328" t="s">
        <v>5305</v>
      </c>
      <c r="C180" s="30"/>
      <c r="D180" s="30"/>
      <c r="E180" s="34"/>
      <c r="F180" s="34"/>
      <c r="G180" s="34"/>
      <c r="H180" s="42"/>
      <c r="I180" s="30"/>
    </row>
    <row r="181" spans="1:15">
      <c r="A181" s="30"/>
      <c r="B181" s="31" t="s">
        <v>3229</v>
      </c>
      <c r="C181" s="30">
        <v>1</v>
      </c>
      <c r="D181" s="30">
        <v>1</v>
      </c>
      <c r="E181" s="34">
        <v>70</v>
      </c>
      <c r="F181" s="34" t="s">
        <v>21</v>
      </c>
      <c r="G181" s="34" t="s">
        <v>21</v>
      </c>
      <c r="H181" s="43">
        <f>PRODUCT(C181:G181)</f>
        <v>70</v>
      </c>
      <c r="I181" s="785" t="s">
        <v>303</v>
      </c>
    </row>
    <row r="182" spans="1:15">
      <c r="A182" s="30"/>
      <c r="B182" s="31"/>
      <c r="C182" s="30"/>
      <c r="D182" s="30"/>
      <c r="E182" s="34"/>
      <c r="F182" s="34"/>
      <c r="G182" s="34"/>
      <c r="H182" s="42"/>
      <c r="I182" s="30"/>
    </row>
    <row r="183" spans="1:15">
      <c r="A183" s="30"/>
      <c r="B183" s="31"/>
      <c r="C183" s="30"/>
      <c r="D183" s="30"/>
      <c r="E183" s="34"/>
      <c r="F183" s="34"/>
      <c r="G183" s="34"/>
      <c r="H183" s="42"/>
      <c r="I183" s="30"/>
    </row>
    <row r="184" spans="1:15" ht="63">
      <c r="A184" s="30">
        <v>24</v>
      </c>
      <c r="B184" s="735" t="s">
        <v>3230</v>
      </c>
      <c r="C184" s="30"/>
      <c r="D184" s="30"/>
      <c r="E184" s="34"/>
      <c r="F184" s="34"/>
      <c r="G184" s="34"/>
      <c r="H184" s="42"/>
      <c r="I184" s="30"/>
      <c r="O184" s="774"/>
    </row>
    <row r="185" spans="1:15">
      <c r="A185" s="30"/>
      <c r="B185" s="31" t="s">
        <v>3627</v>
      </c>
      <c r="C185" s="30">
        <v>5</v>
      </c>
      <c r="D185" s="30">
        <v>4</v>
      </c>
      <c r="E185" s="34" t="s">
        <v>21</v>
      </c>
      <c r="F185" s="34" t="s">
        <v>21</v>
      </c>
      <c r="G185" s="34" t="s">
        <v>21</v>
      </c>
      <c r="H185" s="42">
        <f>PRODUCT(C185:G185)</f>
        <v>20</v>
      </c>
      <c r="I185" s="30"/>
    </row>
    <row r="186" spans="1:15">
      <c r="A186" s="30"/>
      <c r="B186" s="31"/>
      <c r="C186" s="30"/>
      <c r="D186" s="30"/>
      <c r="E186" s="34"/>
      <c r="F186" s="34"/>
      <c r="G186" s="34"/>
      <c r="H186" s="43">
        <f>SUM(H185:H185)</f>
        <v>20</v>
      </c>
      <c r="I186" s="785" t="s">
        <v>340</v>
      </c>
    </row>
    <row r="187" spans="1:15" ht="63">
      <c r="A187" s="30">
        <v>25</v>
      </c>
      <c r="B187" s="735" t="s">
        <v>3231</v>
      </c>
      <c r="C187" s="30"/>
      <c r="D187" s="30"/>
      <c r="E187" s="34"/>
      <c r="F187" s="34"/>
      <c r="G187" s="34"/>
      <c r="H187" s="42"/>
      <c r="I187" s="30"/>
    </row>
    <row r="188" spans="1:15">
      <c r="A188" s="30"/>
      <c r="B188" s="31" t="s">
        <v>3628</v>
      </c>
      <c r="C188" s="30">
        <v>5</v>
      </c>
      <c r="D188" s="30">
        <v>1</v>
      </c>
      <c r="E188" s="34" t="s">
        <v>21</v>
      </c>
      <c r="F188" s="34" t="s">
        <v>21</v>
      </c>
      <c r="G188" s="34" t="s">
        <v>21</v>
      </c>
      <c r="H188" s="42">
        <f>PRODUCT(C188:G188)</f>
        <v>5</v>
      </c>
      <c r="I188" s="30"/>
    </row>
    <row r="189" spans="1:15">
      <c r="A189" s="30"/>
      <c r="B189" s="31" t="s">
        <v>5287</v>
      </c>
      <c r="C189" s="30">
        <v>3</v>
      </c>
      <c r="D189" s="30">
        <v>1</v>
      </c>
      <c r="E189" s="34" t="s">
        <v>21</v>
      </c>
      <c r="F189" s="34" t="s">
        <v>21</v>
      </c>
      <c r="G189" s="34" t="s">
        <v>21</v>
      </c>
      <c r="H189" s="42">
        <f>PRODUCT(C189:G189)</f>
        <v>3</v>
      </c>
      <c r="I189" s="30"/>
    </row>
    <row r="190" spans="1:15">
      <c r="A190" s="30"/>
      <c r="B190" s="31"/>
      <c r="C190" s="30"/>
      <c r="D190" s="30"/>
      <c r="E190" s="34"/>
      <c r="F190" s="34"/>
      <c r="G190" s="34"/>
      <c r="H190" s="43">
        <f>SUM(H188:H189)</f>
        <v>8</v>
      </c>
      <c r="I190" s="785" t="s">
        <v>340</v>
      </c>
    </row>
    <row r="191" spans="1:15" ht="55.15" customHeight="1">
      <c r="A191" s="30">
        <v>26</v>
      </c>
      <c r="B191" s="754" t="s">
        <v>511</v>
      </c>
      <c r="C191" s="30"/>
      <c r="D191" s="30"/>
      <c r="E191" s="34"/>
      <c r="F191" s="34"/>
      <c r="G191" s="34"/>
      <c r="H191" s="42"/>
      <c r="I191" s="30"/>
    </row>
    <row r="192" spans="1:15">
      <c r="A192" s="30"/>
      <c r="B192" s="31" t="s">
        <v>3206</v>
      </c>
      <c r="C192" s="30">
        <v>3</v>
      </c>
      <c r="D192" s="30">
        <v>4</v>
      </c>
      <c r="E192" s="34">
        <v>6</v>
      </c>
      <c r="F192" s="34" t="s">
        <v>21</v>
      </c>
      <c r="G192" s="34" t="s">
        <v>21</v>
      </c>
      <c r="H192" s="42">
        <f>PRODUCT(C192:G192)</f>
        <v>72</v>
      </c>
      <c r="I192" s="30"/>
    </row>
    <row r="193" spans="1:9">
      <c r="A193" s="30"/>
      <c r="B193" s="31"/>
      <c r="C193" s="30"/>
      <c r="D193" s="30"/>
      <c r="E193" s="34"/>
      <c r="F193" s="34"/>
      <c r="G193" s="34"/>
      <c r="H193" s="43">
        <f>SUM(H192:H192)</f>
        <v>72</v>
      </c>
      <c r="I193" s="785" t="s">
        <v>303</v>
      </c>
    </row>
    <row r="194" spans="1:9" ht="58.15" customHeight="1">
      <c r="A194" s="30">
        <v>27</v>
      </c>
      <c r="B194" s="735" t="s">
        <v>3239</v>
      </c>
      <c r="C194" s="30"/>
      <c r="D194" s="30"/>
      <c r="E194" s="34"/>
      <c r="F194" s="34"/>
      <c r="G194" s="34"/>
      <c r="H194" s="42"/>
      <c r="I194" s="30"/>
    </row>
    <row r="195" spans="1:9">
      <c r="A195" s="30"/>
      <c r="B195" s="742" t="s">
        <v>5274</v>
      </c>
      <c r="C195" s="30"/>
      <c r="D195" s="30"/>
      <c r="E195" s="34"/>
      <c r="F195" s="34"/>
      <c r="G195" s="34"/>
      <c r="H195" s="42"/>
      <c r="I195" s="30"/>
    </row>
    <row r="196" spans="1:9">
      <c r="A196" s="30"/>
      <c r="B196" s="31" t="s">
        <v>3206</v>
      </c>
      <c r="C196" s="30">
        <v>3</v>
      </c>
      <c r="D196" s="30">
        <v>1</v>
      </c>
      <c r="E196" s="34">
        <v>8</v>
      </c>
      <c r="F196" s="34" t="s">
        <v>21</v>
      </c>
      <c r="G196" s="34" t="s">
        <v>21</v>
      </c>
      <c r="H196" s="42">
        <f>PRODUCT(C196:G196)</f>
        <v>24</v>
      </c>
      <c r="I196" s="30"/>
    </row>
    <row r="197" spans="1:9">
      <c r="A197" s="30"/>
      <c r="B197" s="31" t="s">
        <v>5273</v>
      </c>
      <c r="C197" s="30"/>
      <c r="D197" s="30"/>
      <c r="E197" s="34"/>
      <c r="F197" s="34"/>
      <c r="G197" s="34"/>
      <c r="H197" s="43">
        <f>SUM(H196:H196)</f>
        <v>24</v>
      </c>
      <c r="I197" s="785" t="s">
        <v>303</v>
      </c>
    </row>
    <row r="198" spans="1:9">
      <c r="A198" s="30"/>
      <c r="B198" s="31" t="s">
        <v>3206</v>
      </c>
      <c r="C198" s="30">
        <v>3</v>
      </c>
      <c r="D198" s="30">
        <v>1</v>
      </c>
      <c r="E198" s="34">
        <v>12</v>
      </c>
      <c r="F198" s="34" t="s">
        <v>21</v>
      </c>
      <c r="G198" s="34" t="s">
        <v>21</v>
      </c>
      <c r="H198" s="42">
        <f>PRODUCT(C198:G198)</f>
        <v>36</v>
      </c>
      <c r="I198" s="30"/>
    </row>
    <row r="199" spans="1:9">
      <c r="A199" s="30"/>
      <c r="B199" s="31"/>
      <c r="C199" s="30"/>
      <c r="D199" s="30"/>
      <c r="E199" s="34"/>
      <c r="F199" s="34"/>
      <c r="G199" s="34"/>
      <c r="H199" s="43">
        <f>SUM(H198:H198)</f>
        <v>36</v>
      </c>
      <c r="I199" s="924" t="s">
        <v>303</v>
      </c>
    </row>
    <row r="200" spans="1:9" ht="94.5">
      <c r="A200" s="30">
        <v>29</v>
      </c>
      <c r="B200" s="775" t="s">
        <v>3460</v>
      </c>
      <c r="C200" s="30"/>
      <c r="D200" s="30"/>
      <c r="E200" s="34"/>
      <c r="F200" s="34"/>
      <c r="G200" s="34"/>
      <c r="H200" s="42"/>
      <c r="I200" s="30"/>
    </row>
    <row r="201" spans="1:9">
      <c r="A201" s="30"/>
      <c r="B201" s="776" t="s">
        <v>3459</v>
      </c>
      <c r="C201" s="30">
        <v>1</v>
      </c>
      <c r="D201" s="30">
        <v>1</v>
      </c>
      <c r="E201" s="34">
        <v>30</v>
      </c>
      <c r="F201" s="34" t="s">
        <v>21</v>
      </c>
      <c r="G201" s="34" t="s">
        <v>21</v>
      </c>
      <c r="H201" s="43">
        <f>PRODUCT(C201:G201)</f>
        <v>30</v>
      </c>
      <c r="I201" s="30" t="s">
        <v>303</v>
      </c>
    </row>
    <row r="202" spans="1:9">
      <c r="A202" s="30"/>
      <c r="B202" s="776"/>
      <c r="C202" s="30"/>
      <c r="D202" s="30"/>
      <c r="E202" s="34"/>
      <c r="F202" s="34"/>
      <c r="G202" s="34"/>
      <c r="H202" s="43"/>
      <c r="I202" s="30"/>
    </row>
    <row r="203" spans="1:9" ht="94.5">
      <c r="A203" s="30">
        <v>30</v>
      </c>
      <c r="B203" s="775" t="s">
        <v>3557</v>
      </c>
      <c r="C203" s="30"/>
      <c r="D203" s="30"/>
      <c r="E203" s="34"/>
      <c r="F203" s="34"/>
      <c r="G203" s="34"/>
      <c r="H203" s="42"/>
      <c r="I203" s="30"/>
    </row>
    <row r="204" spans="1:9">
      <c r="A204" s="30"/>
      <c r="B204" s="776" t="s">
        <v>3459</v>
      </c>
      <c r="C204" s="30">
        <v>1</v>
      </c>
      <c r="D204" s="30">
        <v>1</v>
      </c>
      <c r="E204" s="34">
        <v>30</v>
      </c>
      <c r="F204" s="34" t="s">
        <v>21</v>
      </c>
      <c r="G204" s="34" t="s">
        <v>21</v>
      </c>
      <c r="H204" s="43">
        <f>PRODUCT(C204:G204)</f>
        <v>30</v>
      </c>
      <c r="I204" s="30" t="s">
        <v>303</v>
      </c>
    </row>
    <row r="205" spans="1:9">
      <c r="A205" s="30"/>
      <c r="B205" s="776"/>
      <c r="C205" s="30"/>
      <c r="D205" s="30"/>
      <c r="E205" s="34"/>
      <c r="F205" s="34"/>
      <c r="G205" s="34"/>
      <c r="H205" s="43"/>
      <c r="I205" s="30"/>
    </row>
    <row r="206" spans="1:9" ht="47.25">
      <c r="A206" s="30">
        <v>31</v>
      </c>
      <c r="B206" s="777" t="s">
        <v>3266</v>
      </c>
      <c r="C206" s="30"/>
      <c r="D206" s="30"/>
      <c r="E206" s="34"/>
      <c r="F206" s="34"/>
      <c r="G206" s="34"/>
      <c r="H206" s="42"/>
      <c r="I206" s="30"/>
    </row>
    <row r="207" spans="1:9">
      <c r="A207" s="30"/>
      <c r="B207" s="31" t="s">
        <v>74</v>
      </c>
      <c r="C207" s="30">
        <v>5</v>
      </c>
      <c r="D207" s="30">
        <v>1</v>
      </c>
      <c r="E207" s="34">
        <v>2.1</v>
      </c>
      <c r="F207" s="34">
        <v>1.9</v>
      </c>
      <c r="G207" s="34" t="s">
        <v>21</v>
      </c>
      <c r="H207" s="42">
        <f t="shared" ref="H207:H215" si="9">PRODUCT(C207:G207)</f>
        <v>19.95</v>
      </c>
      <c r="I207" s="30"/>
    </row>
    <row r="208" spans="1:9">
      <c r="A208" s="30"/>
      <c r="B208" s="31" t="s">
        <v>129</v>
      </c>
      <c r="C208" s="30">
        <v>5</v>
      </c>
      <c r="D208" s="30">
        <v>1</v>
      </c>
      <c r="E208" s="34">
        <v>4.5</v>
      </c>
      <c r="F208" s="34">
        <v>3.5</v>
      </c>
      <c r="G208" s="34" t="s">
        <v>21</v>
      </c>
      <c r="H208" s="42">
        <f t="shared" si="9"/>
        <v>78.75</v>
      </c>
      <c r="I208" s="30"/>
    </row>
    <row r="209" spans="1:9">
      <c r="A209" s="30"/>
      <c r="B209" s="31" t="s">
        <v>3246</v>
      </c>
      <c r="C209" s="30">
        <v>5</v>
      </c>
      <c r="D209" s="30">
        <v>1</v>
      </c>
      <c r="E209" s="34">
        <v>3.5</v>
      </c>
      <c r="F209" s="34">
        <v>2.1</v>
      </c>
      <c r="G209" s="34" t="s">
        <v>21</v>
      </c>
      <c r="H209" s="42">
        <f t="shared" si="9"/>
        <v>36.75</v>
      </c>
      <c r="I209" s="30"/>
    </row>
    <row r="210" spans="1:9">
      <c r="A210" s="30"/>
      <c r="B210" s="31" t="s">
        <v>3269</v>
      </c>
      <c r="C210" s="30">
        <v>2</v>
      </c>
      <c r="D210" s="30">
        <v>1</v>
      </c>
      <c r="E210" s="34">
        <v>3.2</v>
      </c>
      <c r="F210" s="34">
        <v>1.8</v>
      </c>
      <c r="G210" s="34" t="s">
        <v>21</v>
      </c>
      <c r="H210" s="42">
        <f t="shared" si="9"/>
        <v>11.520000000000001</v>
      </c>
      <c r="I210" s="30"/>
    </row>
    <row r="211" spans="1:9">
      <c r="A211" s="30"/>
      <c r="B211" s="31" t="s">
        <v>3270</v>
      </c>
      <c r="C211" s="30">
        <v>5</v>
      </c>
      <c r="D211" s="30">
        <v>1</v>
      </c>
      <c r="E211" s="34">
        <v>4.25</v>
      </c>
      <c r="F211" s="34">
        <v>3.65</v>
      </c>
      <c r="G211" s="34" t="s">
        <v>21</v>
      </c>
      <c r="H211" s="42">
        <f t="shared" si="9"/>
        <v>77.5625</v>
      </c>
      <c r="I211" s="30"/>
    </row>
    <row r="212" spans="1:9">
      <c r="A212" s="30"/>
      <c r="B212" s="31" t="s">
        <v>3185</v>
      </c>
      <c r="C212" s="30">
        <v>5</v>
      </c>
      <c r="D212" s="30">
        <v>1</v>
      </c>
      <c r="E212" s="34">
        <v>2.8</v>
      </c>
      <c r="F212" s="34">
        <v>2.7</v>
      </c>
      <c r="G212" s="34" t="s">
        <v>21</v>
      </c>
      <c r="H212" s="42">
        <f t="shared" si="9"/>
        <v>37.800000000000004</v>
      </c>
      <c r="I212" s="30"/>
    </row>
    <row r="213" spans="1:9">
      <c r="A213" s="30"/>
      <c r="B213" s="31" t="s">
        <v>79</v>
      </c>
      <c r="C213" s="30">
        <v>5</v>
      </c>
      <c r="D213" s="30">
        <v>1</v>
      </c>
      <c r="E213" s="34">
        <v>2.35</v>
      </c>
      <c r="F213" s="34">
        <v>1</v>
      </c>
      <c r="G213" s="34" t="s">
        <v>21</v>
      </c>
      <c r="H213" s="42">
        <f t="shared" si="9"/>
        <v>11.75</v>
      </c>
      <c r="I213" s="30"/>
    </row>
    <row r="214" spans="1:9">
      <c r="A214" s="30"/>
      <c r="B214" s="31" t="s">
        <v>3268</v>
      </c>
      <c r="C214" s="30">
        <v>5</v>
      </c>
      <c r="D214" s="30">
        <v>1</v>
      </c>
      <c r="E214" s="34">
        <v>1.3</v>
      </c>
      <c r="F214" s="34">
        <v>1.2</v>
      </c>
      <c r="G214" s="34" t="s">
        <v>21</v>
      </c>
      <c r="H214" s="42">
        <f t="shared" si="9"/>
        <v>7.8</v>
      </c>
      <c r="I214" s="30"/>
    </row>
    <row r="215" spans="1:9">
      <c r="A215" s="30"/>
      <c r="B215" s="31" t="s">
        <v>1</v>
      </c>
      <c r="C215" s="30">
        <v>5</v>
      </c>
      <c r="D215" s="30">
        <v>1</v>
      </c>
      <c r="E215" s="34">
        <v>1.2</v>
      </c>
      <c r="F215" s="34">
        <v>1</v>
      </c>
      <c r="G215" s="34" t="s">
        <v>21</v>
      </c>
      <c r="H215" s="42">
        <f t="shared" si="9"/>
        <v>6</v>
      </c>
      <c r="I215" s="30"/>
    </row>
    <row r="216" spans="1:9">
      <c r="A216" s="30"/>
      <c r="B216" s="31"/>
      <c r="C216" s="30"/>
      <c r="D216" s="30"/>
      <c r="E216" s="34"/>
      <c r="F216" s="34"/>
      <c r="G216" s="34"/>
      <c r="H216" s="42">
        <f>SUM(H207:H215)</f>
        <v>287.88249999999999</v>
      </c>
      <c r="I216" s="30"/>
    </row>
    <row r="217" spans="1:9">
      <c r="A217" s="30"/>
      <c r="B217" s="31"/>
      <c r="C217" s="30"/>
      <c r="D217" s="30"/>
      <c r="E217" s="34"/>
      <c r="F217" s="34"/>
      <c r="G217" s="34" t="s">
        <v>9</v>
      </c>
      <c r="H217" s="43">
        <v>288</v>
      </c>
      <c r="I217" s="30" t="s">
        <v>306</v>
      </c>
    </row>
    <row r="218" spans="1:9" ht="63">
      <c r="A218" s="30">
        <v>32</v>
      </c>
      <c r="B218" s="735" t="s">
        <v>3271</v>
      </c>
      <c r="C218" s="30"/>
      <c r="D218" s="30"/>
      <c r="E218" s="34"/>
      <c r="F218" s="34"/>
      <c r="G218" s="34"/>
      <c r="H218" s="42"/>
      <c r="I218" s="30"/>
    </row>
    <row r="219" spans="1:9">
      <c r="A219" s="30"/>
      <c r="B219" s="754" t="s">
        <v>3181</v>
      </c>
      <c r="C219" s="30"/>
      <c r="D219" s="30"/>
      <c r="E219" s="34"/>
      <c r="F219" s="34"/>
      <c r="G219" s="34"/>
      <c r="H219" s="42"/>
      <c r="I219" s="30"/>
    </row>
    <row r="220" spans="1:9">
      <c r="A220" s="30"/>
      <c r="B220" s="754" t="s">
        <v>3244</v>
      </c>
      <c r="C220" s="30"/>
      <c r="D220" s="30"/>
      <c r="E220" s="34"/>
      <c r="F220" s="34"/>
      <c r="G220" s="34"/>
      <c r="H220" s="42"/>
      <c r="I220" s="30"/>
    </row>
    <row r="221" spans="1:9">
      <c r="A221" s="30"/>
      <c r="B221" s="31" t="s">
        <v>3282</v>
      </c>
      <c r="C221" s="30">
        <v>3</v>
      </c>
      <c r="D221" s="30">
        <v>1</v>
      </c>
      <c r="E221" s="34">
        <v>8</v>
      </c>
      <c r="F221" s="34" t="s">
        <v>21</v>
      </c>
      <c r="G221" s="34">
        <v>2.85</v>
      </c>
      <c r="H221" s="42">
        <f t="shared" ref="H221:H231" si="10">PRODUCT(C221:G221)</f>
        <v>68.400000000000006</v>
      </c>
      <c r="I221" s="30"/>
    </row>
    <row r="222" spans="1:9">
      <c r="A222" s="30"/>
      <c r="B222" s="31" t="s">
        <v>129</v>
      </c>
      <c r="C222" s="30">
        <v>3</v>
      </c>
      <c r="D222" s="30">
        <v>1</v>
      </c>
      <c r="E222" s="34">
        <v>16</v>
      </c>
      <c r="F222" s="34" t="s">
        <v>21</v>
      </c>
      <c r="G222" s="34">
        <v>2.85</v>
      </c>
      <c r="H222" s="42">
        <f t="shared" si="10"/>
        <v>136.80000000000001</v>
      </c>
      <c r="I222" s="30"/>
    </row>
    <row r="223" spans="1:9">
      <c r="A223" s="30"/>
      <c r="B223" s="31" t="s">
        <v>3185</v>
      </c>
      <c r="C223" s="30">
        <v>3</v>
      </c>
      <c r="D223" s="30">
        <v>1</v>
      </c>
      <c r="E223" s="34">
        <v>11</v>
      </c>
      <c r="F223" s="34" t="s">
        <v>21</v>
      </c>
      <c r="G223" s="34">
        <v>2.85</v>
      </c>
      <c r="H223" s="42">
        <f t="shared" si="10"/>
        <v>94.05</v>
      </c>
      <c r="I223" s="30"/>
    </row>
    <row r="224" spans="1:9">
      <c r="A224" s="30"/>
      <c r="B224" s="31" t="s">
        <v>3250</v>
      </c>
      <c r="C224" s="30">
        <v>3</v>
      </c>
      <c r="D224" s="30">
        <v>1</v>
      </c>
      <c r="E224" s="34">
        <v>15.8</v>
      </c>
      <c r="F224" s="34" t="s">
        <v>21</v>
      </c>
      <c r="G224" s="34">
        <v>2.85</v>
      </c>
      <c r="H224" s="42">
        <f t="shared" si="10"/>
        <v>135.09000000000003</v>
      </c>
      <c r="I224" s="30"/>
    </row>
    <row r="225" spans="1:9">
      <c r="A225" s="30"/>
      <c r="B225" s="31" t="s">
        <v>0</v>
      </c>
      <c r="C225" s="30">
        <v>3</v>
      </c>
      <c r="D225" s="30">
        <v>1</v>
      </c>
      <c r="E225" s="34">
        <v>11.8</v>
      </c>
      <c r="F225" s="34" t="s">
        <v>21</v>
      </c>
      <c r="G225" s="34">
        <v>2.85</v>
      </c>
      <c r="H225" s="42">
        <f t="shared" si="10"/>
        <v>100.89000000000001</v>
      </c>
      <c r="I225" s="30"/>
    </row>
    <row r="226" spans="1:9">
      <c r="A226" s="30"/>
      <c r="B226" s="31" t="s">
        <v>79</v>
      </c>
      <c r="C226" s="30">
        <v>3</v>
      </c>
      <c r="D226" s="30">
        <v>1</v>
      </c>
      <c r="E226" s="34">
        <v>6.6</v>
      </c>
      <c r="F226" s="34" t="s">
        <v>21</v>
      </c>
      <c r="G226" s="34">
        <v>2.85</v>
      </c>
      <c r="H226" s="42">
        <f t="shared" si="10"/>
        <v>56.429999999999993</v>
      </c>
      <c r="I226" s="30"/>
    </row>
    <row r="227" spans="1:9">
      <c r="A227" s="30"/>
      <c r="B227" s="31" t="s">
        <v>3575</v>
      </c>
      <c r="C227" s="30">
        <v>2</v>
      </c>
      <c r="D227" s="30">
        <v>1</v>
      </c>
      <c r="E227" s="34">
        <v>10</v>
      </c>
      <c r="F227" s="34" t="s">
        <v>21</v>
      </c>
      <c r="G227" s="34">
        <v>3</v>
      </c>
      <c r="H227" s="42">
        <f t="shared" si="10"/>
        <v>60</v>
      </c>
      <c r="I227" s="30"/>
    </row>
    <row r="228" spans="1:9">
      <c r="A228" s="30"/>
      <c r="B228" s="31" t="s">
        <v>3576</v>
      </c>
      <c r="C228" s="30">
        <v>-3</v>
      </c>
      <c r="D228" s="30">
        <v>7</v>
      </c>
      <c r="E228" s="34">
        <v>0.9</v>
      </c>
      <c r="F228" s="34">
        <v>2.25</v>
      </c>
      <c r="G228" s="30" t="s">
        <v>21</v>
      </c>
      <c r="H228" s="42">
        <f>PRODUCT(C228:G228)</f>
        <v>-42.525000000000006</v>
      </c>
      <c r="I228" s="30"/>
    </row>
    <row r="229" spans="1:9">
      <c r="A229" s="30"/>
      <c r="B229" s="31" t="s">
        <v>3274</v>
      </c>
      <c r="C229" s="30">
        <v>-3</v>
      </c>
      <c r="D229" s="30">
        <v>2</v>
      </c>
      <c r="E229" s="34">
        <v>0.75</v>
      </c>
      <c r="F229" s="34">
        <v>2</v>
      </c>
      <c r="G229" s="30" t="s">
        <v>21</v>
      </c>
      <c r="H229" s="42">
        <f t="shared" si="10"/>
        <v>-9</v>
      </c>
      <c r="I229" s="30"/>
    </row>
    <row r="230" spans="1:9">
      <c r="A230" s="30"/>
      <c r="B230" s="31" t="s">
        <v>3276</v>
      </c>
      <c r="C230" s="30">
        <v>-3</v>
      </c>
      <c r="D230" s="30">
        <v>5</v>
      </c>
      <c r="E230" s="34">
        <v>1.05</v>
      </c>
      <c r="F230" s="34">
        <v>1.5</v>
      </c>
      <c r="G230" s="30" t="s">
        <v>21</v>
      </c>
      <c r="H230" s="42">
        <f t="shared" si="10"/>
        <v>-23.625</v>
      </c>
      <c r="I230" s="30"/>
    </row>
    <row r="231" spans="1:9">
      <c r="A231" s="30"/>
      <c r="B231" s="31" t="s">
        <v>3278</v>
      </c>
      <c r="C231" s="30">
        <v>-3</v>
      </c>
      <c r="D231" s="30">
        <v>1</v>
      </c>
      <c r="E231" s="34">
        <v>0.9</v>
      </c>
      <c r="F231" s="34">
        <v>1.35</v>
      </c>
      <c r="G231" s="30" t="s">
        <v>21</v>
      </c>
      <c r="H231" s="42">
        <f t="shared" si="10"/>
        <v>-3.6450000000000005</v>
      </c>
      <c r="I231" s="30"/>
    </row>
    <row r="232" spans="1:9">
      <c r="A232" s="30"/>
      <c r="B232" s="31" t="s">
        <v>3577</v>
      </c>
      <c r="C232" s="30">
        <v>-3</v>
      </c>
      <c r="D232" s="30">
        <v>1</v>
      </c>
      <c r="E232" s="34">
        <v>0.6</v>
      </c>
      <c r="F232" s="34">
        <v>1.35</v>
      </c>
      <c r="G232" s="30" t="s">
        <v>21</v>
      </c>
      <c r="H232" s="42">
        <f>PRODUCT(C232:G232)</f>
        <v>-2.4299999999999997</v>
      </c>
      <c r="I232" s="30"/>
    </row>
    <row r="233" spans="1:9">
      <c r="A233" s="30"/>
      <c r="B233" s="31" t="s">
        <v>3744</v>
      </c>
      <c r="C233" s="30">
        <v>-3</v>
      </c>
      <c r="D233" s="30">
        <v>1</v>
      </c>
      <c r="E233" s="34">
        <v>1.5</v>
      </c>
      <c r="F233" s="34">
        <v>1.5</v>
      </c>
      <c r="G233" s="30" t="s">
        <v>21</v>
      </c>
      <c r="H233" s="42">
        <f>PRODUCT(C233:G233)</f>
        <v>-6.75</v>
      </c>
      <c r="I233" s="30"/>
    </row>
    <row r="234" spans="1:9">
      <c r="A234" s="30"/>
      <c r="B234" s="31" t="s">
        <v>3707</v>
      </c>
      <c r="C234" s="30">
        <v>3</v>
      </c>
      <c r="D234" s="30">
        <v>5</v>
      </c>
      <c r="E234" s="34">
        <v>5.0999999999999996</v>
      </c>
      <c r="F234" s="34" t="s">
        <v>21</v>
      </c>
      <c r="G234" s="30">
        <v>0.33</v>
      </c>
      <c r="H234" s="42">
        <f t="shared" ref="H234" si="11">PRODUCT(C234:G234)</f>
        <v>25.245000000000001</v>
      </c>
      <c r="I234" s="30"/>
    </row>
    <row r="235" spans="1:9" ht="17.45" customHeight="1">
      <c r="A235" s="30"/>
      <c r="B235" s="31" t="s">
        <v>3705</v>
      </c>
      <c r="C235" s="30">
        <v>3</v>
      </c>
      <c r="D235" s="30">
        <v>1</v>
      </c>
      <c r="E235" s="34">
        <v>4.8</v>
      </c>
      <c r="F235" s="34" t="s">
        <v>21</v>
      </c>
      <c r="G235" s="34">
        <v>0.9</v>
      </c>
      <c r="H235" s="42">
        <f t="shared" ref="H235:H236" si="12">PRODUCT(C235:F235)</f>
        <v>14.399999999999999</v>
      </c>
      <c r="I235" s="30"/>
    </row>
    <row r="236" spans="1:9">
      <c r="A236" s="30"/>
      <c r="B236" s="31" t="s">
        <v>3706</v>
      </c>
      <c r="C236" s="30">
        <v>3</v>
      </c>
      <c r="D236" s="30">
        <v>4</v>
      </c>
      <c r="E236" s="34">
        <v>0.9</v>
      </c>
      <c r="F236" s="34" t="s">
        <v>21</v>
      </c>
      <c r="G236" s="34">
        <v>0.8</v>
      </c>
      <c r="H236" s="42">
        <f t="shared" si="12"/>
        <v>10.8</v>
      </c>
      <c r="I236" s="30"/>
    </row>
    <row r="237" spans="1:9">
      <c r="A237" s="30"/>
      <c r="B237" s="31" t="s">
        <v>3559</v>
      </c>
      <c r="C237" s="30">
        <v>3</v>
      </c>
      <c r="D237" s="30">
        <v>1</v>
      </c>
      <c r="E237" s="34">
        <v>1.1000000000000001</v>
      </c>
      <c r="F237" s="34" t="s">
        <v>21</v>
      </c>
      <c r="G237" s="34">
        <v>2.75</v>
      </c>
      <c r="H237" s="42">
        <f>PRODUCT(C237:G237)</f>
        <v>9.0750000000000011</v>
      </c>
      <c r="I237" s="30"/>
    </row>
    <row r="238" spans="1:9">
      <c r="A238" s="30"/>
      <c r="B238" s="31" t="s">
        <v>3559</v>
      </c>
      <c r="C238" s="30">
        <v>3</v>
      </c>
      <c r="D238" s="30">
        <v>1</v>
      </c>
      <c r="E238" s="34">
        <v>0.75</v>
      </c>
      <c r="F238" s="34" t="s">
        <v>21</v>
      </c>
      <c r="G238" s="34">
        <v>1.4</v>
      </c>
      <c r="H238" s="42">
        <f>PRODUCT(C238:G238)</f>
        <v>3.15</v>
      </c>
      <c r="I238" s="30"/>
    </row>
    <row r="239" spans="1:9">
      <c r="A239" s="30"/>
      <c r="B239" s="31" t="s">
        <v>3702</v>
      </c>
      <c r="C239" s="30">
        <v>3</v>
      </c>
      <c r="D239" s="30">
        <v>1</v>
      </c>
      <c r="E239" s="34">
        <v>4.8</v>
      </c>
      <c r="F239" s="34" t="s">
        <v>21</v>
      </c>
      <c r="G239" s="34">
        <v>0.35</v>
      </c>
      <c r="H239" s="42">
        <f t="shared" ref="H239:H245" si="13">PRODUCT(C239:G239)</f>
        <v>5.0399999999999991</v>
      </c>
      <c r="I239" s="30"/>
    </row>
    <row r="240" spans="1:9">
      <c r="A240" s="30"/>
      <c r="B240" s="31" t="s">
        <v>3703</v>
      </c>
      <c r="C240" s="30">
        <v>3</v>
      </c>
      <c r="D240" s="30">
        <v>5</v>
      </c>
      <c r="E240" s="34">
        <v>0.75</v>
      </c>
      <c r="F240" s="34" t="s">
        <v>21</v>
      </c>
      <c r="G240" s="34">
        <v>1</v>
      </c>
      <c r="H240" s="42">
        <f t="shared" si="13"/>
        <v>11.25</v>
      </c>
      <c r="I240" s="30"/>
    </row>
    <row r="241" spans="1:9">
      <c r="A241" s="30"/>
      <c r="B241" s="31" t="s">
        <v>3714</v>
      </c>
      <c r="C241" s="30">
        <v>3</v>
      </c>
      <c r="D241" s="30">
        <v>2</v>
      </c>
      <c r="E241" s="34">
        <v>2.7</v>
      </c>
      <c r="F241" s="34" t="s">
        <v>21</v>
      </c>
      <c r="G241" s="34">
        <v>0.2</v>
      </c>
      <c r="H241" s="42">
        <f t="shared" si="13"/>
        <v>3.2400000000000007</v>
      </c>
      <c r="I241" s="30"/>
    </row>
    <row r="242" spans="1:9">
      <c r="A242" s="30"/>
      <c r="B242" s="31" t="s">
        <v>3745</v>
      </c>
      <c r="C242" s="30">
        <v>3</v>
      </c>
      <c r="D242" s="30">
        <v>1</v>
      </c>
      <c r="E242" s="34">
        <v>3.5</v>
      </c>
      <c r="F242" s="34" t="s">
        <v>21</v>
      </c>
      <c r="G242" s="30">
        <v>0.33</v>
      </c>
      <c r="H242" s="42">
        <f t="shared" si="13"/>
        <v>3.4650000000000003</v>
      </c>
      <c r="I242" s="30"/>
    </row>
    <row r="243" spans="1:9">
      <c r="A243" s="30"/>
      <c r="B243" s="31" t="s">
        <v>3746</v>
      </c>
      <c r="C243" s="30">
        <v>1</v>
      </c>
      <c r="D243" s="30">
        <v>2</v>
      </c>
      <c r="E243" s="34">
        <v>7</v>
      </c>
      <c r="F243" s="34" t="s">
        <v>21</v>
      </c>
      <c r="G243" s="34">
        <v>1.95</v>
      </c>
      <c r="H243" s="42">
        <f t="shared" si="13"/>
        <v>27.3</v>
      </c>
      <c r="I243" s="30"/>
    </row>
    <row r="244" spans="1:9">
      <c r="A244" s="30"/>
      <c r="B244" s="31" t="s">
        <v>5354</v>
      </c>
      <c r="C244" s="30">
        <v>2</v>
      </c>
      <c r="D244" s="30">
        <v>2</v>
      </c>
      <c r="E244" s="34">
        <v>7</v>
      </c>
      <c r="F244" s="34" t="s">
        <v>21</v>
      </c>
      <c r="G244" s="34">
        <v>0.9</v>
      </c>
      <c r="H244" s="42">
        <f t="shared" si="13"/>
        <v>25.2</v>
      </c>
      <c r="I244" s="30"/>
    </row>
    <row r="245" spans="1:9">
      <c r="A245" s="30"/>
      <c r="B245" s="31" t="s">
        <v>5355</v>
      </c>
      <c r="C245" s="30">
        <v>2</v>
      </c>
      <c r="D245" s="30">
        <v>3</v>
      </c>
      <c r="E245" s="34">
        <v>1.8</v>
      </c>
      <c r="F245" s="34">
        <v>0.8</v>
      </c>
      <c r="G245" s="34" t="s">
        <v>21</v>
      </c>
      <c r="H245" s="42">
        <f t="shared" si="13"/>
        <v>8.64</v>
      </c>
      <c r="I245" s="30"/>
    </row>
    <row r="246" spans="1:9">
      <c r="A246" s="30"/>
      <c r="B246" s="754" t="s">
        <v>3280</v>
      </c>
      <c r="C246" s="30"/>
      <c r="D246" s="30"/>
      <c r="E246" s="34"/>
      <c r="F246" s="34"/>
      <c r="G246" s="34"/>
      <c r="H246" s="42"/>
      <c r="I246" s="30"/>
    </row>
    <row r="247" spans="1:9">
      <c r="A247" s="30"/>
      <c r="B247" s="31" t="s">
        <v>3282</v>
      </c>
      <c r="C247" s="30">
        <v>2</v>
      </c>
      <c r="D247" s="30">
        <v>1</v>
      </c>
      <c r="E247" s="34">
        <v>8</v>
      </c>
      <c r="F247" s="34" t="s">
        <v>21</v>
      </c>
      <c r="G247" s="34">
        <v>2.85</v>
      </c>
      <c r="H247" s="42">
        <f t="shared" ref="H247:H253" si="14">PRODUCT(C247:G247)</f>
        <v>45.6</v>
      </c>
      <c r="I247" s="30"/>
    </row>
    <row r="248" spans="1:9">
      <c r="A248" s="30"/>
      <c r="B248" s="31" t="s">
        <v>129</v>
      </c>
      <c r="C248" s="30">
        <v>2</v>
      </c>
      <c r="D248" s="30">
        <v>1</v>
      </c>
      <c r="E248" s="34">
        <v>16</v>
      </c>
      <c r="F248" s="34" t="s">
        <v>21</v>
      </c>
      <c r="G248" s="34">
        <v>2.85</v>
      </c>
      <c r="H248" s="42">
        <f t="shared" si="14"/>
        <v>91.2</v>
      </c>
      <c r="I248" s="30"/>
    </row>
    <row r="249" spans="1:9">
      <c r="A249" s="30"/>
      <c r="B249" s="31" t="s">
        <v>3185</v>
      </c>
      <c r="C249" s="30">
        <v>2</v>
      </c>
      <c r="D249" s="30">
        <v>1</v>
      </c>
      <c r="E249" s="34">
        <v>11</v>
      </c>
      <c r="F249" s="34" t="s">
        <v>21</v>
      </c>
      <c r="G249" s="34">
        <v>2.85</v>
      </c>
      <c r="H249" s="42">
        <f t="shared" si="14"/>
        <v>62.7</v>
      </c>
      <c r="I249" s="30"/>
    </row>
    <row r="250" spans="1:9">
      <c r="A250" s="30"/>
      <c r="B250" s="31" t="s">
        <v>3250</v>
      </c>
      <c r="C250" s="30">
        <v>2</v>
      </c>
      <c r="D250" s="30">
        <v>1</v>
      </c>
      <c r="E250" s="34">
        <v>15.8</v>
      </c>
      <c r="F250" s="34" t="s">
        <v>21</v>
      </c>
      <c r="G250" s="34">
        <v>2.85</v>
      </c>
      <c r="H250" s="42">
        <f t="shared" si="14"/>
        <v>90.06</v>
      </c>
      <c r="I250" s="30"/>
    </row>
    <row r="251" spans="1:9">
      <c r="A251" s="30"/>
      <c r="B251" s="31" t="s">
        <v>0</v>
      </c>
      <c r="C251" s="30">
        <v>2</v>
      </c>
      <c r="D251" s="30">
        <v>1</v>
      </c>
      <c r="E251" s="34">
        <v>11.8</v>
      </c>
      <c r="F251" s="34" t="s">
        <v>21</v>
      </c>
      <c r="G251" s="34">
        <v>2.85</v>
      </c>
      <c r="H251" s="42">
        <f t="shared" si="14"/>
        <v>67.260000000000005</v>
      </c>
      <c r="I251" s="30"/>
    </row>
    <row r="252" spans="1:9">
      <c r="A252" s="30"/>
      <c r="B252" s="31" t="s">
        <v>79</v>
      </c>
      <c r="C252" s="30">
        <v>2</v>
      </c>
      <c r="D252" s="30">
        <v>1</v>
      </c>
      <c r="E252" s="34">
        <v>6.6</v>
      </c>
      <c r="F252" s="34" t="s">
        <v>21</v>
      </c>
      <c r="G252" s="34">
        <v>2.85</v>
      </c>
      <c r="H252" s="42">
        <f t="shared" si="14"/>
        <v>37.619999999999997</v>
      </c>
      <c r="I252" s="30"/>
    </row>
    <row r="253" spans="1:9">
      <c r="A253" s="30"/>
      <c r="B253" s="31" t="s">
        <v>3575</v>
      </c>
      <c r="C253" s="30">
        <v>1</v>
      </c>
      <c r="D253" s="30">
        <v>1</v>
      </c>
      <c r="E253" s="34">
        <v>10</v>
      </c>
      <c r="F253" s="34" t="s">
        <v>21</v>
      </c>
      <c r="G253" s="34">
        <v>3</v>
      </c>
      <c r="H253" s="42">
        <f t="shared" si="14"/>
        <v>30</v>
      </c>
      <c r="I253" s="30"/>
    </row>
    <row r="254" spans="1:9">
      <c r="A254" s="30"/>
      <c r="B254" s="31" t="s">
        <v>3576</v>
      </c>
      <c r="C254" s="30">
        <v>-2</v>
      </c>
      <c r="D254" s="30">
        <v>7</v>
      </c>
      <c r="E254" s="34">
        <v>0.9</v>
      </c>
      <c r="F254" s="34">
        <v>2.25</v>
      </c>
      <c r="G254" s="30" t="s">
        <v>21</v>
      </c>
      <c r="H254" s="42">
        <f t="shared" ref="H254:H259" si="15">PRODUCT(C254:G254)</f>
        <v>-28.349999999999998</v>
      </c>
      <c r="I254" s="30"/>
    </row>
    <row r="255" spans="1:9">
      <c r="A255" s="30"/>
      <c r="B255" s="31" t="s">
        <v>3274</v>
      </c>
      <c r="C255" s="30">
        <v>-2</v>
      </c>
      <c r="D255" s="30">
        <v>2</v>
      </c>
      <c r="E255" s="34">
        <v>0.75</v>
      </c>
      <c r="F255" s="34">
        <v>2</v>
      </c>
      <c r="G255" s="30" t="s">
        <v>21</v>
      </c>
      <c r="H255" s="42">
        <f t="shared" si="15"/>
        <v>-6</v>
      </c>
      <c r="I255" s="30"/>
    </row>
    <row r="256" spans="1:9">
      <c r="A256" s="30"/>
      <c r="B256" s="31" t="s">
        <v>3276</v>
      </c>
      <c r="C256" s="30">
        <v>-2</v>
      </c>
      <c r="D256" s="30">
        <v>5</v>
      </c>
      <c r="E256" s="34">
        <v>1.05</v>
      </c>
      <c r="F256" s="34">
        <v>1.5</v>
      </c>
      <c r="G256" s="30" t="s">
        <v>21</v>
      </c>
      <c r="H256" s="42">
        <f t="shared" si="15"/>
        <v>-15.75</v>
      </c>
      <c r="I256" s="30"/>
    </row>
    <row r="257" spans="1:9">
      <c r="A257" s="30"/>
      <c r="B257" s="31" t="s">
        <v>3278</v>
      </c>
      <c r="C257" s="30">
        <v>-2</v>
      </c>
      <c r="D257" s="30">
        <v>1</v>
      </c>
      <c r="E257" s="34">
        <v>0.9</v>
      </c>
      <c r="F257" s="34">
        <v>1.35</v>
      </c>
      <c r="G257" s="30" t="s">
        <v>21</v>
      </c>
      <c r="H257" s="42">
        <f t="shared" si="15"/>
        <v>-2.4300000000000002</v>
      </c>
      <c r="I257" s="30"/>
    </row>
    <row r="258" spans="1:9">
      <c r="A258" s="30"/>
      <c r="B258" s="31" t="s">
        <v>3577</v>
      </c>
      <c r="C258" s="30">
        <v>-2</v>
      </c>
      <c r="D258" s="30">
        <v>1</v>
      </c>
      <c r="E258" s="34">
        <v>0.6</v>
      </c>
      <c r="F258" s="34">
        <v>1.35</v>
      </c>
      <c r="G258" s="30" t="s">
        <v>21</v>
      </c>
      <c r="H258" s="42">
        <f t="shared" si="15"/>
        <v>-1.62</v>
      </c>
      <c r="I258" s="30"/>
    </row>
    <row r="259" spans="1:9">
      <c r="A259" s="30"/>
      <c r="B259" s="31" t="s">
        <v>3707</v>
      </c>
      <c r="C259" s="30">
        <v>2</v>
      </c>
      <c r="D259" s="30">
        <v>5</v>
      </c>
      <c r="E259" s="34">
        <v>5.0999999999999996</v>
      </c>
      <c r="F259" s="34" t="s">
        <v>21</v>
      </c>
      <c r="G259" s="30">
        <v>0.33</v>
      </c>
      <c r="H259" s="42">
        <f t="shared" si="15"/>
        <v>16.830000000000002</v>
      </c>
      <c r="I259" s="30"/>
    </row>
    <row r="260" spans="1:9" ht="17.45" customHeight="1">
      <c r="A260" s="30"/>
      <c r="B260" s="31" t="s">
        <v>3705</v>
      </c>
      <c r="C260" s="30">
        <v>2</v>
      </c>
      <c r="D260" s="30">
        <v>1</v>
      </c>
      <c r="E260" s="34">
        <v>4.8</v>
      </c>
      <c r="F260" s="34" t="s">
        <v>21</v>
      </c>
      <c r="G260" s="34">
        <v>0.9</v>
      </c>
      <c r="H260" s="42">
        <f t="shared" ref="H260:H261" si="16">PRODUCT(C260:F260)</f>
        <v>9.6</v>
      </c>
      <c r="I260" s="30"/>
    </row>
    <row r="261" spans="1:9">
      <c r="A261" s="30"/>
      <c r="B261" s="31" t="s">
        <v>3706</v>
      </c>
      <c r="C261" s="30">
        <v>2</v>
      </c>
      <c r="D261" s="30">
        <v>4</v>
      </c>
      <c r="E261" s="34">
        <v>0.9</v>
      </c>
      <c r="F261" s="34" t="s">
        <v>21</v>
      </c>
      <c r="G261" s="34">
        <v>0.8</v>
      </c>
      <c r="H261" s="42">
        <f t="shared" si="16"/>
        <v>7.2</v>
      </c>
      <c r="I261" s="30"/>
    </row>
    <row r="262" spans="1:9">
      <c r="A262" s="30"/>
      <c r="B262" s="31" t="s">
        <v>3559</v>
      </c>
      <c r="C262" s="30">
        <v>2</v>
      </c>
      <c r="D262" s="30">
        <v>1</v>
      </c>
      <c r="E262" s="34">
        <v>1.1000000000000001</v>
      </c>
      <c r="F262" s="34" t="s">
        <v>21</v>
      </c>
      <c r="G262" s="34">
        <v>2.75</v>
      </c>
      <c r="H262" s="42">
        <f>PRODUCT(C262:G262)</f>
        <v>6.0500000000000007</v>
      </c>
      <c r="I262" s="30"/>
    </row>
    <row r="263" spans="1:9">
      <c r="A263" s="30"/>
      <c r="B263" s="31" t="s">
        <v>3559</v>
      </c>
      <c r="C263" s="30">
        <v>2</v>
      </c>
      <c r="D263" s="30">
        <v>1</v>
      </c>
      <c r="E263" s="34">
        <v>0.75</v>
      </c>
      <c r="F263" s="34" t="s">
        <v>21</v>
      </c>
      <c r="G263" s="34">
        <v>1.4</v>
      </c>
      <c r="H263" s="42">
        <f>PRODUCT(C263:G263)</f>
        <v>2.0999999999999996</v>
      </c>
      <c r="I263" s="30"/>
    </row>
    <row r="264" spans="1:9">
      <c r="A264" s="30"/>
      <c r="B264" s="31" t="s">
        <v>3702</v>
      </c>
      <c r="C264" s="30">
        <v>2</v>
      </c>
      <c r="D264" s="30">
        <v>1</v>
      </c>
      <c r="E264" s="34">
        <v>4.8</v>
      </c>
      <c r="F264" s="34" t="s">
        <v>21</v>
      </c>
      <c r="G264" s="34">
        <v>0.35</v>
      </c>
      <c r="H264" s="42">
        <f t="shared" ref="H264:H267" si="17">PRODUCT(C264:G264)</f>
        <v>3.36</v>
      </c>
      <c r="I264" s="30"/>
    </row>
    <row r="265" spans="1:9">
      <c r="A265" s="30"/>
      <c r="B265" s="31" t="s">
        <v>3703</v>
      </c>
      <c r="C265" s="30">
        <v>2</v>
      </c>
      <c r="D265" s="30">
        <v>5</v>
      </c>
      <c r="E265" s="34">
        <v>0.75</v>
      </c>
      <c r="F265" s="34" t="s">
        <v>21</v>
      </c>
      <c r="G265" s="34">
        <v>1</v>
      </c>
      <c r="H265" s="42">
        <f t="shared" si="17"/>
        <v>7.5</v>
      </c>
      <c r="I265" s="30"/>
    </row>
    <row r="266" spans="1:9">
      <c r="A266" s="30"/>
      <c r="B266" s="31" t="s">
        <v>3714</v>
      </c>
      <c r="C266" s="30">
        <v>2</v>
      </c>
      <c r="D266" s="30">
        <v>2</v>
      </c>
      <c r="E266" s="34">
        <v>2.7</v>
      </c>
      <c r="F266" s="34" t="s">
        <v>21</v>
      </c>
      <c r="G266" s="34">
        <v>0.2</v>
      </c>
      <c r="H266" s="42">
        <f t="shared" si="17"/>
        <v>2.16</v>
      </c>
      <c r="I266" s="30"/>
    </row>
    <row r="267" spans="1:9">
      <c r="A267" s="30"/>
      <c r="B267" s="31" t="s">
        <v>3745</v>
      </c>
      <c r="C267" s="30">
        <v>2</v>
      </c>
      <c r="D267" s="30">
        <v>1</v>
      </c>
      <c r="E267" s="34">
        <v>3.5</v>
      </c>
      <c r="F267" s="34" t="s">
        <v>21</v>
      </c>
      <c r="G267" s="30">
        <v>0.33</v>
      </c>
      <c r="H267" s="42">
        <f t="shared" si="17"/>
        <v>2.31</v>
      </c>
      <c r="I267" s="30"/>
    </row>
    <row r="268" spans="1:9">
      <c r="A268" s="30"/>
      <c r="B268" s="31"/>
      <c r="C268" s="30"/>
      <c r="D268" s="30"/>
      <c r="E268" s="34"/>
      <c r="F268" s="34"/>
      <c r="G268" s="34"/>
      <c r="H268" s="42">
        <f>SUM(H221:H267)</f>
        <v>1137.8899999999999</v>
      </c>
      <c r="I268" s="30"/>
    </row>
    <row r="269" spans="1:9">
      <c r="A269" s="30"/>
      <c r="B269" s="31"/>
      <c r="C269" s="30"/>
      <c r="D269" s="30"/>
      <c r="E269" s="34"/>
      <c r="F269" s="34"/>
      <c r="G269" s="34" t="s">
        <v>9</v>
      </c>
      <c r="H269" s="43">
        <v>1138</v>
      </c>
      <c r="I269" s="30" t="s">
        <v>306</v>
      </c>
    </row>
    <row r="270" spans="1:9" ht="47.25">
      <c r="A270" s="30">
        <v>33</v>
      </c>
      <c r="B270" s="777" t="s">
        <v>3284</v>
      </c>
      <c r="C270" s="30"/>
      <c r="D270" s="30"/>
      <c r="E270" s="34"/>
      <c r="F270" s="34"/>
      <c r="G270" s="34"/>
      <c r="H270" s="42"/>
      <c r="I270" s="30"/>
    </row>
    <row r="271" spans="1:9">
      <c r="A271" s="30"/>
      <c r="B271" s="754" t="s">
        <v>3181</v>
      </c>
      <c r="C271" s="30"/>
      <c r="D271" s="30"/>
      <c r="E271" s="34"/>
      <c r="F271" s="34"/>
      <c r="G271" s="34"/>
      <c r="H271" s="42"/>
      <c r="I271" s="30"/>
    </row>
    <row r="272" spans="1:9">
      <c r="A272" s="30"/>
      <c r="B272" s="31" t="s">
        <v>5356</v>
      </c>
      <c r="C272" s="30">
        <v>2</v>
      </c>
      <c r="D272" s="30">
        <v>1</v>
      </c>
      <c r="E272" s="34">
        <v>9.3000000000000007</v>
      </c>
      <c r="F272" s="34" t="s">
        <v>21</v>
      </c>
      <c r="G272" s="34">
        <v>7</v>
      </c>
      <c r="H272" s="42">
        <f t="shared" ref="H272:H280" si="18">PRODUCT(C272:G272)</f>
        <v>130.20000000000002</v>
      </c>
      <c r="I272" s="30"/>
    </row>
    <row r="273" spans="1:9">
      <c r="A273" s="30"/>
      <c r="B273" s="31" t="s">
        <v>3304</v>
      </c>
      <c r="C273" s="30">
        <v>2</v>
      </c>
      <c r="D273" s="30">
        <v>1</v>
      </c>
      <c r="E273" s="34">
        <v>6.06</v>
      </c>
      <c r="F273" s="34" t="s">
        <v>21</v>
      </c>
      <c r="G273" s="34">
        <v>7</v>
      </c>
      <c r="H273" s="42">
        <f t="shared" si="18"/>
        <v>84.839999999999989</v>
      </c>
      <c r="I273" s="30"/>
    </row>
    <row r="274" spans="1:9">
      <c r="A274" s="30"/>
      <c r="B274" s="31" t="s">
        <v>3305</v>
      </c>
      <c r="C274" s="30">
        <v>2</v>
      </c>
      <c r="D274" s="30">
        <v>1</v>
      </c>
      <c r="E274" s="34">
        <v>3.08</v>
      </c>
      <c r="F274" s="34" t="s">
        <v>21</v>
      </c>
      <c r="G274" s="34">
        <v>7</v>
      </c>
      <c r="H274" s="42">
        <f t="shared" si="18"/>
        <v>43.120000000000005</v>
      </c>
      <c r="I274" s="30"/>
    </row>
    <row r="275" spans="1:9">
      <c r="A275" s="30"/>
      <c r="B275" s="31" t="s">
        <v>3306</v>
      </c>
      <c r="C275" s="30">
        <v>22</v>
      </c>
      <c r="D275" s="30">
        <v>1</v>
      </c>
      <c r="E275" s="34">
        <v>7.14</v>
      </c>
      <c r="F275" s="34" t="s">
        <v>21</v>
      </c>
      <c r="G275" s="34">
        <v>7</v>
      </c>
      <c r="H275" s="42">
        <f t="shared" si="18"/>
        <v>1099.56</v>
      </c>
      <c r="I275" s="30"/>
    </row>
    <row r="276" spans="1:9">
      <c r="A276" s="30"/>
      <c r="B276" s="31" t="s">
        <v>3307</v>
      </c>
      <c r="C276" s="30">
        <v>2</v>
      </c>
      <c r="D276" s="30">
        <v>1</v>
      </c>
      <c r="E276" s="34">
        <v>3.2</v>
      </c>
      <c r="F276" s="34" t="s">
        <v>21</v>
      </c>
      <c r="G276" s="34">
        <v>7</v>
      </c>
      <c r="H276" s="42">
        <f t="shared" si="18"/>
        <v>44.800000000000004</v>
      </c>
      <c r="I276" s="30"/>
    </row>
    <row r="277" spans="1:9">
      <c r="A277" s="30"/>
      <c r="B277" s="31" t="s">
        <v>3308</v>
      </c>
      <c r="C277" s="30">
        <v>2</v>
      </c>
      <c r="D277" s="30">
        <v>1</v>
      </c>
      <c r="E277" s="34">
        <v>3.5</v>
      </c>
      <c r="F277" s="34" t="s">
        <v>21</v>
      </c>
      <c r="G277" s="34">
        <v>7</v>
      </c>
      <c r="H277" s="42">
        <f t="shared" si="18"/>
        <v>49</v>
      </c>
      <c r="I277" s="30"/>
    </row>
    <row r="278" spans="1:9">
      <c r="A278" s="30"/>
      <c r="B278" s="31" t="s">
        <v>3309</v>
      </c>
      <c r="C278" s="30">
        <v>2</v>
      </c>
      <c r="D278" s="30">
        <v>1</v>
      </c>
      <c r="E278" s="34">
        <v>1.1000000000000001</v>
      </c>
      <c r="F278" s="34" t="s">
        <v>21</v>
      </c>
      <c r="G278" s="34">
        <v>7</v>
      </c>
      <c r="H278" s="42">
        <f t="shared" si="18"/>
        <v>15.400000000000002</v>
      </c>
      <c r="I278" s="30"/>
    </row>
    <row r="279" spans="1:9">
      <c r="A279" s="30"/>
      <c r="B279" s="31" t="s">
        <v>3309</v>
      </c>
      <c r="C279" s="30">
        <v>2</v>
      </c>
      <c r="D279" s="30">
        <v>1</v>
      </c>
      <c r="E279" s="34">
        <v>0.9</v>
      </c>
      <c r="F279" s="34" t="s">
        <v>21</v>
      </c>
      <c r="G279" s="34">
        <v>7</v>
      </c>
      <c r="H279" s="42">
        <f t="shared" si="18"/>
        <v>12.6</v>
      </c>
      <c r="I279" s="30"/>
    </row>
    <row r="280" spans="1:9">
      <c r="A280" s="30"/>
      <c r="B280" s="31" t="s">
        <v>3309</v>
      </c>
      <c r="C280" s="30">
        <v>2</v>
      </c>
      <c r="D280" s="30">
        <v>1</v>
      </c>
      <c r="E280" s="34">
        <v>0.8</v>
      </c>
      <c r="F280" s="34" t="s">
        <v>21</v>
      </c>
      <c r="G280" s="34">
        <v>7</v>
      </c>
      <c r="H280" s="42">
        <f t="shared" si="18"/>
        <v>11.200000000000001</v>
      </c>
      <c r="I280" s="30"/>
    </row>
    <row r="281" spans="1:9">
      <c r="A281" s="30"/>
      <c r="B281" s="31" t="s">
        <v>5356</v>
      </c>
      <c r="C281" s="30">
        <v>1</v>
      </c>
      <c r="D281" s="30">
        <v>1</v>
      </c>
      <c r="E281" s="34">
        <v>9.3000000000000007</v>
      </c>
      <c r="F281" s="34" t="s">
        <v>21</v>
      </c>
      <c r="G281" s="34">
        <v>4</v>
      </c>
      <c r="H281" s="42">
        <f t="shared" ref="H281:H290" si="19">PRODUCT(C281:G281)</f>
        <v>37.200000000000003</v>
      </c>
      <c r="I281" s="30"/>
    </row>
    <row r="282" spans="1:9">
      <c r="A282" s="30"/>
      <c r="B282" s="31" t="s">
        <v>3304</v>
      </c>
      <c r="C282" s="30">
        <v>1</v>
      </c>
      <c r="D282" s="30">
        <v>1</v>
      </c>
      <c r="E282" s="34">
        <v>6.06</v>
      </c>
      <c r="F282" s="34" t="s">
        <v>21</v>
      </c>
      <c r="G282" s="34">
        <v>4</v>
      </c>
      <c r="H282" s="42">
        <f t="shared" si="19"/>
        <v>24.24</v>
      </c>
      <c r="I282" s="30"/>
    </row>
    <row r="283" spans="1:9">
      <c r="A283" s="30"/>
      <c r="B283" s="31" t="s">
        <v>3305</v>
      </c>
      <c r="C283" s="30">
        <v>1</v>
      </c>
      <c r="D283" s="30">
        <v>1</v>
      </c>
      <c r="E283" s="34">
        <v>3.08</v>
      </c>
      <c r="F283" s="34" t="s">
        <v>21</v>
      </c>
      <c r="G283" s="34">
        <v>4</v>
      </c>
      <c r="H283" s="42">
        <f t="shared" si="19"/>
        <v>12.32</v>
      </c>
      <c r="I283" s="30"/>
    </row>
    <row r="284" spans="1:9">
      <c r="A284" s="30"/>
      <c r="B284" s="31" t="s">
        <v>3306</v>
      </c>
      <c r="C284" s="30">
        <v>1</v>
      </c>
      <c r="D284" s="30">
        <v>1</v>
      </c>
      <c r="E284" s="34">
        <v>7.14</v>
      </c>
      <c r="F284" s="34" t="s">
        <v>21</v>
      </c>
      <c r="G284" s="34">
        <v>4</v>
      </c>
      <c r="H284" s="42">
        <f t="shared" si="19"/>
        <v>28.56</v>
      </c>
      <c r="I284" s="30"/>
    </row>
    <row r="285" spans="1:9">
      <c r="A285" s="30"/>
      <c r="B285" s="31" t="s">
        <v>3307</v>
      </c>
      <c r="C285" s="30">
        <v>1</v>
      </c>
      <c r="D285" s="30">
        <v>1</v>
      </c>
      <c r="E285" s="34">
        <v>3.2</v>
      </c>
      <c r="F285" s="34" t="s">
        <v>21</v>
      </c>
      <c r="G285" s="34">
        <v>4</v>
      </c>
      <c r="H285" s="42">
        <f t="shared" si="19"/>
        <v>12.8</v>
      </c>
      <c r="I285" s="30"/>
    </row>
    <row r="286" spans="1:9">
      <c r="A286" s="30"/>
      <c r="B286" s="31" t="s">
        <v>3308</v>
      </c>
      <c r="C286" s="30">
        <v>1</v>
      </c>
      <c r="D286" s="30">
        <v>1</v>
      </c>
      <c r="E286" s="34">
        <v>3.5</v>
      </c>
      <c r="F286" s="34" t="s">
        <v>21</v>
      </c>
      <c r="G286" s="34">
        <v>4</v>
      </c>
      <c r="H286" s="42">
        <f t="shared" si="19"/>
        <v>14</v>
      </c>
      <c r="I286" s="30"/>
    </row>
    <row r="287" spans="1:9">
      <c r="A287" s="30"/>
      <c r="B287" s="31" t="s">
        <v>5357</v>
      </c>
      <c r="C287" s="30">
        <v>1</v>
      </c>
      <c r="D287" s="30">
        <v>1</v>
      </c>
      <c r="E287" s="34">
        <v>1.1000000000000001</v>
      </c>
      <c r="F287" s="34" t="s">
        <v>21</v>
      </c>
      <c r="G287" s="34">
        <v>4</v>
      </c>
      <c r="H287" s="42">
        <f t="shared" si="19"/>
        <v>4.4000000000000004</v>
      </c>
      <c r="I287" s="30"/>
    </row>
    <row r="288" spans="1:9">
      <c r="A288" s="30"/>
      <c r="B288" s="31" t="s">
        <v>5357</v>
      </c>
      <c r="C288" s="30">
        <v>1</v>
      </c>
      <c r="D288" s="30">
        <v>1</v>
      </c>
      <c r="E288" s="34">
        <v>0.9</v>
      </c>
      <c r="F288" s="34" t="s">
        <v>21</v>
      </c>
      <c r="G288" s="34">
        <v>4</v>
      </c>
      <c r="H288" s="42">
        <f t="shared" si="19"/>
        <v>3.6</v>
      </c>
      <c r="I288" s="30"/>
    </row>
    <row r="289" spans="1:9">
      <c r="A289" s="30"/>
      <c r="B289" s="31" t="s">
        <v>5357</v>
      </c>
      <c r="C289" s="30">
        <v>1</v>
      </c>
      <c r="D289" s="30">
        <v>1</v>
      </c>
      <c r="E289" s="34">
        <v>0.8</v>
      </c>
      <c r="F289" s="34" t="s">
        <v>21</v>
      </c>
      <c r="G289" s="34">
        <v>4</v>
      </c>
      <c r="H289" s="42">
        <f t="shared" si="19"/>
        <v>3.2</v>
      </c>
      <c r="I289" s="30"/>
    </row>
    <row r="290" spans="1:9">
      <c r="A290" s="30"/>
      <c r="B290" s="31" t="s">
        <v>3748</v>
      </c>
      <c r="C290" s="30">
        <v>-5</v>
      </c>
      <c r="D290" s="30">
        <v>1</v>
      </c>
      <c r="E290" s="34">
        <v>0.9</v>
      </c>
      <c r="F290" s="34" t="s">
        <v>21</v>
      </c>
      <c r="G290" s="34">
        <v>2.1</v>
      </c>
      <c r="H290" s="42">
        <f t="shared" si="19"/>
        <v>-9.4500000000000011</v>
      </c>
      <c r="I290" s="30"/>
    </row>
    <row r="291" spans="1:9" ht="15" customHeight="1">
      <c r="A291" s="30"/>
      <c r="B291" s="31" t="s">
        <v>3283</v>
      </c>
      <c r="C291" s="30">
        <v>-5</v>
      </c>
      <c r="D291" s="30">
        <v>2</v>
      </c>
      <c r="E291" s="34">
        <v>0.9</v>
      </c>
      <c r="F291" s="34" t="s">
        <v>21</v>
      </c>
      <c r="G291" s="34">
        <v>2.25</v>
      </c>
      <c r="H291" s="42">
        <f t="shared" ref="H291:H308" si="20">PRODUCT(C291:G291)</f>
        <v>-20.25</v>
      </c>
      <c r="I291" s="30"/>
    </row>
    <row r="292" spans="1:9" ht="15" customHeight="1">
      <c r="A292" s="30"/>
      <c r="B292" s="31" t="s">
        <v>3747</v>
      </c>
      <c r="C292" s="30">
        <v>-5</v>
      </c>
      <c r="D292" s="30">
        <v>1</v>
      </c>
      <c r="E292" s="34">
        <v>0.75</v>
      </c>
      <c r="F292" s="34" t="s">
        <v>21</v>
      </c>
      <c r="G292" s="34">
        <v>1.8</v>
      </c>
      <c r="H292" s="42">
        <f t="shared" si="20"/>
        <v>-6.75</v>
      </c>
      <c r="I292" s="30"/>
    </row>
    <row r="293" spans="1:9">
      <c r="A293" s="30"/>
      <c r="B293" s="31" t="s">
        <v>3295</v>
      </c>
      <c r="C293" s="30">
        <v>-5</v>
      </c>
      <c r="D293" s="30">
        <v>3</v>
      </c>
      <c r="E293" s="34">
        <v>1.05</v>
      </c>
      <c r="F293" s="34" t="s">
        <v>21</v>
      </c>
      <c r="G293" s="34">
        <v>1.5</v>
      </c>
      <c r="H293" s="42">
        <f t="shared" si="20"/>
        <v>-23.625</v>
      </c>
      <c r="I293" s="30"/>
    </row>
    <row r="294" spans="1:9">
      <c r="A294" s="30"/>
      <c r="B294" s="31" t="s">
        <v>3296</v>
      </c>
      <c r="C294" s="30">
        <v>-5</v>
      </c>
      <c r="D294" s="30">
        <v>2</v>
      </c>
      <c r="E294" s="34">
        <v>0.9</v>
      </c>
      <c r="F294" s="34" t="s">
        <v>21</v>
      </c>
      <c r="G294" s="34">
        <v>1.35</v>
      </c>
      <c r="H294" s="42">
        <f t="shared" si="20"/>
        <v>-12.15</v>
      </c>
      <c r="I294" s="30"/>
    </row>
    <row r="295" spans="1:9">
      <c r="A295" s="30"/>
      <c r="B295" s="31" t="s">
        <v>3577</v>
      </c>
      <c r="C295" s="30">
        <v>-5</v>
      </c>
      <c r="D295" s="30">
        <v>2</v>
      </c>
      <c r="E295" s="34">
        <v>0.6</v>
      </c>
      <c r="F295" s="34" t="s">
        <v>21</v>
      </c>
      <c r="G295" s="34">
        <v>1.35</v>
      </c>
      <c r="H295" s="42">
        <f t="shared" si="20"/>
        <v>-8.1000000000000014</v>
      </c>
      <c r="I295" s="30"/>
    </row>
    <row r="296" spans="1:9">
      <c r="A296" s="30"/>
      <c r="B296" s="31" t="s">
        <v>3297</v>
      </c>
      <c r="C296" s="30">
        <v>-5</v>
      </c>
      <c r="D296" s="30">
        <v>4</v>
      </c>
      <c r="E296" s="34">
        <v>0.6</v>
      </c>
      <c r="F296" s="34" t="s">
        <v>21</v>
      </c>
      <c r="G296" s="34">
        <v>0.9</v>
      </c>
      <c r="H296" s="42">
        <f t="shared" si="20"/>
        <v>-10.8</v>
      </c>
      <c r="I296" s="30"/>
    </row>
    <row r="297" spans="1:9">
      <c r="A297" s="30"/>
      <c r="B297" s="31" t="s">
        <v>3744</v>
      </c>
      <c r="C297" s="30">
        <v>-2</v>
      </c>
      <c r="D297" s="30">
        <v>1</v>
      </c>
      <c r="E297" s="34">
        <v>1.5</v>
      </c>
      <c r="F297" s="34" t="s">
        <v>21</v>
      </c>
      <c r="G297" s="34">
        <v>1.5</v>
      </c>
      <c r="H297" s="42">
        <f t="shared" si="20"/>
        <v>-4.5</v>
      </c>
      <c r="I297" s="30"/>
    </row>
    <row r="298" spans="1:9">
      <c r="A298" s="30"/>
      <c r="B298" s="31" t="s">
        <v>3749</v>
      </c>
      <c r="C298" s="30">
        <v>5</v>
      </c>
      <c r="D298" s="30">
        <v>1</v>
      </c>
      <c r="E298" s="34">
        <v>2.7</v>
      </c>
      <c r="F298" s="34" t="s">
        <v>21</v>
      </c>
      <c r="G298" s="34">
        <v>1.2</v>
      </c>
      <c r="H298" s="42">
        <f t="shared" si="20"/>
        <v>16.2</v>
      </c>
      <c r="I298" s="30"/>
    </row>
    <row r="299" spans="1:9">
      <c r="A299" s="30"/>
      <c r="B299" s="31" t="s">
        <v>3750</v>
      </c>
      <c r="C299" s="30">
        <v>5</v>
      </c>
      <c r="D299" s="30">
        <v>3</v>
      </c>
      <c r="E299" s="34">
        <v>5.3</v>
      </c>
      <c r="F299" s="34" t="s">
        <v>21</v>
      </c>
      <c r="G299" s="34">
        <v>0.9</v>
      </c>
      <c r="H299" s="42">
        <f t="shared" si="20"/>
        <v>71.55</v>
      </c>
      <c r="I299" s="30"/>
    </row>
    <row r="300" spans="1:9">
      <c r="A300" s="30"/>
      <c r="B300" s="31" t="s">
        <v>3751</v>
      </c>
      <c r="C300" s="30">
        <v>5</v>
      </c>
      <c r="D300" s="30">
        <v>3</v>
      </c>
      <c r="E300" s="34">
        <v>5.0999999999999996</v>
      </c>
      <c r="F300" s="34" t="s">
        <v>21</v>
      </c>
      <c r="G300" s="34">
        <v>0.33</v>
      </c>
      <c r="H300" s="42">
        <f t="shared" si="20"/>
        <v>25.245000000000001</v>
      </c>
      <c r="I300" s="30"/>
    </row>
    <row r="301" spans="1:9" ht="25.15" customHeight="1">
      <c r="A301" s="30"/>
      <c r="B301" s="31" t="s">
        <v>3752</v>
      </c>
      <c r="C301" s="30">
        <v>5</v>
      </c>
      <c r="D301" s="30">
        <v>2</v>
      </c>
      <c r="E301" s="34">
        <v>4.7</v>
      </c>
      <c r="F301" s="34" t="s">
        <v>21</v>
      </c>
      <c r="G301" s="34">
        <v>0.9</v>
      </c>
      <c r="H301" s="42">
        <f t="shared" si="20"/>
        <v>42.300000000000004</v>
      </c>
      <c r="I301" s="30"/>
    </row>
    <row r="302" spans="1:9">
      <c r="A302" s="30"/>
      <c r="B302" s="31" t="s">
        <v>3753</v>
      </c>
      <c r="C302" s="30">
        <v>5</v>
      </c>
      <c r="D302" s="30">
        <v>2</v>
      </c>
      <c r="E302" s="34">
        <v>4.5</v>
      </c>
      <c r="F302" s="34" t="s">
        <v>21</v>
      </c>
      <c r="G302" s="34">
        <v>0.33</v>
      </c>
      <c r="H302" s="42">
        <f t="shared" si="20"/>
        <v>14.850000000000001</v>
      </c>
      <c r="I302" s="30"/>
    </row>
    <row r="303" spans="1:9">
      <c r="A303" s="30"/>
      <c r="B303" s="31" t="s">
        <v>3754</v>
      </c>
      <c r="C303" s="30">
        <v>5</v>
      </c>
      <c r="D303" s="30">
        <v>2</v>
      </c>
      <c r="E303" s="34">
        <v>4.0999999999999996</v>
      </c>
      <c r="F303" s="34" t="s">
        <v>21</v>
      </c>
      <c r="G303" s="34">
        <v>0.9</v>
      </c>
      <c r="H303" s="42">
        <f t="shared" si="20"/>
        <v>36.9</v>
      </c>
      <c r="I303" s="30"/>
    </row>
    <row r="304" spans="1:9">
      <c r="A304" s="30"/>
      <c r="B304" s="31" t="s">
        <v>3755</v>
      </c>
      <c r="C304" s="30">
        <v>5</v>
      </c>
      <c r="D304" s="30">
        <v>2</v>
      </c>
      <c r="E304" s="34">
        <v>3.9</v>
      </c>
      <c r="F304" s="34" t="s">
        <v>21</v>
      </c>
      <c r="G304" s="34">
        <v>0.33</v>
      </c>
      <c r="H304" s="42">
        <f t="shared" si="20"/>
        <v>12.870000000000001</v>
      </c>
      <c r="I304" s="30"/>
    </row>
    <row r="305" spans="1:13">
      <c r="A305" s="30"/>
      <c r="B305" s="31" t="s">
        <v>3756</v>
      </c>
      <c r="C305" s="30">
        <v>5</v>
      </c>
      <c r="D305" s="30">
        <v>4</v>
      </c>
      <c r="E305" s="34">
        <v>3.6</v>
      </c>
      <c r="F305" s="34" t="s">
        <v>21</v>
      </c>
      <c r="G305" s="34">
        <v>0.2</v>
      </c>
      <c r="H305" s="42">
        <f t="shared" si="20"/>
        <v>14.4</v>
      </c>
      <c r="I305" s="30"/>
    </row>
    <row r="306" spans="1:13" ht="17.45" customHeight="1">
      <c r="A306" s="30"/>
      <c r="B306" s="31" t="s">
        <v>3704</v>
      </c>
      <c r="C306" s="30">
        <v>5</v>
      </c>
      <c r="D306" s="30">
        <v>2</v>
      </c>
      <c r="E306" s="34">
        <v>5.0999999999999996</v>
      </c>
      <c r="F306" s="34" t="s">
        <v>21</v>
      </c>
      <c r="G306" s="34">
        <v>0.33</v>
      </c>
      <c r="H306" s="42">
        <f t="shared" si="20"/>
        <v>16.830000000000002</v>
      </c>
      <c r="I306" s="30"/>
    </row>
    <row r="307" spans="1:13">
      <c r="A307" s="30"/>
      <c r="B307" s="31" t="s">
        <v>3757</v>
      </c>
      <c r="C307" s="30">
        <v>5</v>
      </c>
      <c r="D307" s="30">
        <v>2</v>
      </c>
      <c r="E307" s="34">
        <v>2.5</v>
      </c>
      <c r="F307" s="34" t="s">
        <v>21</v>
      </c>
      <c r="G307" s="34">
        <v>0.9</v>
      </c>
      <c r="H307" s="31">
        <f t="shared" si="20"/>
        <v>22.5</v>
      </c>
      <c r="I307" s="30"/>
    </row>
    <row r="308" spans="1:13">
      <c r="A308" s="30"/>
      <c r="B308" s="31" t="s">
        <v>3761</v>
      </c>
      <c r="C308" s="30">
        <v>2</v>
      </c>
      <c r="D308" s="30">
        <v>1</v>
      </c>
      <c r="E308" s="34">
        <v>4.3499999999999996</v>
      </c>
      <c r="F308" s="34" t="s">
        <v>21</v>
      </c>
      <c r="G308" s="34">
        <v>0.33</v>
      </c>
      <c r="H308" s="32">
        <f t="shared" si="20"/>
        <v>2.871</v>
      </c>
      <c r="I308" s="30"/>
    </row>
    <row r="309" spans="1:13" ht="31.5">
      <c r="A309" s="30"/>
      <c r="B309" s="31" t="s">
        <v>3758</v>
      </c>
      <c r="C309" s="30">
        <v>2</v>
      </c>
      <c r="D309" s="30">
        <v>1</v>
      </c>
      <c r="E309" s="34" t="s">
        <v>3759</v>
      </c>
      <c r="F309" s="34" t="s">
        <v>21</v>
      </c>
      <c r="G309" s="34">
        <v>0.9</v>
      </c>
      <c r="H309" s="31">
        <f>M309</f>
        <v>1.1700000000000002</v>
      </c>
      <c r="I309" s="30"/>
      <c r="K309" s="29">
        <f>0.9+0.4</f>
        <v>1.3</v>
      </c>
      <c r="L309" s="29">
        <f>K309/2</f>
        <v>0.65</v>
      </c>
      <c r="M309" s="29">
        <f>L309*C309*G309</f>
        <v>1.1700000000000002</v>
      </c>
    </row>
    <row r="310" spans="1:13">
      <c r="A310" s="30"/>
      <c r="B310" s="31" t="s">
        <v>3758</v>
      </c>
      <c r="C310" s="30">
        <v>2</v>
      </c>
      <c r="D310" s="30">
        <v>1</v>
      </c>
      <c r="E310" s="34">
        <v>2.6</v>
      </c>
      <c r="F310" s="34" t="s">
        <v>21</v>
      </c>
      <c r="G310" s="793">
        <v>1.2</v>
      </c>
      <c r="H310" s="31">
        <f>PRODUCT(C310:G310)</f>
        <v>6.24</v>
      </c>
      <c r="I310" s="30"/>
    </row>
    <row r="311" spans="1:13">
      <c r="A311" s="30"/>
      <c r="B311" s="31"/>
      <c r="C311" s="30"/>
      <c r="D311" s="30"/>
      <c r="E311" s="34"/>
      <c r="F311" s="34"/>
      <c r="G311" s="34"/>
      <c r="H311" s="42">
        <f>SUM(H272:H309)</f>
        <v>1813.1009999999999</v>
      </c>
      <c r="I311" s="30"/>
    </row>
    <row r="312" spans="1:13">
      <c r="A312" s="30"/>
      <c r="B312" s="31"/>
      <c r="C312" s="30"/>
      <c r="D312" s="30"/>
      <c r="E312" s="34"/>
      <c r="F312" s="34"/>
      <c r="G312" s="34" t="s">
        <v>9</v>
      </c>
      <c r="H312" s="43">
        <v>1813.1</v>
      </c>
      <c r="I312" s="30" t="s">
        <v>306</v>
      </c>
    </row>
    <row r="313" spans="1:13" ht="47.25">
      <c r="A313" s="30">
        <v>34</v>
      </c>
      <c r="B313" s="735" t="s">
        <v>3311</v>
      </c>
      <c r="C313" s="30"/>
      <c r="D313" s="30"/>
      <c r="E313" s="34"/>
      <c r="F313" s="34"/>
      <c r="G313" s="34"/>
      <c r="H313" s="42"/>
      <c r="I313" s="30"/>
    </row>
    <row r="314" spans="1:13">
      <c r="A314" s="30"/>
      <c r="B314" s="735" t="s">
        <v>3181</v>
      </c>
      <c r="C314" s="30"/>
      <c r="D314" s="30"/>
      <c r="E314" s="34"/>
      <c r="F314" s="34"/>
      <c r="G314" s="34"/>
      <c r="H314" s="42"/>
      <c r="I314" s="30"/>
    </row>
    <row r="315" spans="1:13">
      <c r="A315" s="30"/>
      <c r="B315" s="31" t="s">
        <v>3312</v>
      </c>
      <c r="C315" s="30">
        <v>4</v>
      </c>
      <c r="D315" s="30">
        <v>6</v>
      </c>
      <c r="E315" s="34">
        <v>0.9</v>
      </c>
      <c r="F315" s="34">
        <v>2.6</v>
      </c>
      <c r="G315" s="34">
        <v>2.25</v>
      </c>
      <c r="H315" s="42">
        <f t="shared" ref="H315:H321" si="21">PRODUCT(C315:G315)</f>
        <v>126.36000000000001</v>
      </c>
      <c r="I315" s="30"/>
    </row>
    <row r="316" spans="1:13">
      <c r="A316" s="30"/>
      <c r="B316" s="31" t="s">
        <v>3313</v>
      </c>
      <c r="C316" s="30">
        <v>4</v>
      </c>
      <c r="D316" s="30">
        <v>2</v>
      </c>
      <c r="E316" s="34">
        <v>0.75</v>
      </c>
      <c r="F316" s="34">
        <v>2.6</v>
      </c>
      <c r="G316" s="34">
        <v>2</v>
      </c>
      <c r="H316" s="42">
        <f t="shared" si="21"/>
        <v>31.200000000000003</v>
      </c>
      <c r="I316" s="30"/>
    </row>
    <row r="317" spans="1:13">
      <c r="A317" s="30"/>
      <c r="B317" s="31" t="s">
        <v>3760</v>
      </c>
      <c r="C317" s="30">
        <v>2</v>
      </c>
      <c r="D317" s="30">
        <v>1</v>
      </c>
      <c r="E317" s="34">
        <v>0.75</v>
      </c>
      <c r="F317" s="34">
        <v>2.6</v>
      </c>
      <c r="G317" s="34">
        <v>1.8</v>
      </c>
      <c r="H317" s="42">
        <f t="shared" si="21"/>
        <v>7.0200000000000005</v>
      </c>
      <c r="I317" s="30"/>
    </row>
    <row r="318" spans="1:13">
      <c r="A318" s="30"/>
      <c r="B318" s="31" t="s">
        <v>29</v>
      </c>
      <c r="C318" s="30">
        <v>4</v>
      </c>
      <c r="D318" s="30">
        <v>5</v>
      </c>
      <c r="E318" s="34">
        <v>1.05</v>
      </c>
      <c r="F318" s="34">
        <v>0.8</v>
      </c>
      <c r="G318" s="34">
        <v>1.5</v>
      </c>
      <c r="H318" s="42">
        <f t="shared" si="21"/>
        <v>25.200000000000003</v>
      </c>
      <c r="I318" s="30"/>
    </row>
    <row r="319" spans="1:13">
      <c r="A319" s="30"/>
      <c r="B319" s="31" t="s">
        <v>3315</v>
      </c>
      <c r="C319" s="30">
        <v>4</v>
      </c>
      <c r="D319" s="30">
        <v>1</v>
      </c>
      <c r="E319" s="34">
        <v>0.9</v>
      </c>
      <c r="F319" s="34">
        <v>0.8</v>
      </c>
      <c r="G319" s="34">
        <v>1.35</v>
      </c>
      <c r="H319" s="42">
        <f t="shared" si="21"/>
        <v>3.8880000000000008</v>
      </c>
      <c r="I319" s="30"/>
    </row>
    <row r="320" spans="1:13">
      <c r="A320" s="30"/>
      <c r="B320" s="31" t="s">
        <v>3314</v>
      </c>
      <c r="C320" s="30">
        <v>4</v>
      </c>
      <c r="D320" s="30">
        <v>1</v>
      </c>
      <c r="E320" s="34">
        <v>0.6</v>
      </c>
      <c r="F320" s="34">
        <v>0.8</v>
      </c>
      <c r="G320" s="34">
        <v>1.35</v>
      </c>
      <c r="H320" s="42">
        <f t="shared" si="21"/>
        <v>2.5920000000000001</v>
      </c>
      <c r="I320" s="30"/>
    </row>
    <row r="321" spans="1:9">
      <c r="A321" s="30"/>
      <c r="B321" s="31" t="s">
        <v>3317</v>
      </c>
      <c r="C321" s="30">
        <v>4</v>
      </c>
      <c r="D321" s="30">
        <v>4</v>
      </c>
      <c r="E321" s="34">
        <v>0.6</v>
      </c>
      <c r="F321" s="34">
        <v>0.8</v>
      </c>
      <c r="G321" s="34">
        <v>0.9</v>
      </c>
      <c r="H321" s="42">
        <f t="shared" si="21"/>
        <v>6.9119999999999999</v>
      </c>
      <c r="I321" s="30"/>
    </row>
    <row r="322" spans="1:9">
      <c r="A322" s="30"/>
      <c r="B322" s="31"/>
      <c r="C322" s="30"/>
      <c r="D322" s="30"/>
      <c r="E322" s="34"/>
      <c r="F322" s="34"/>
      <c r="G322" s="34"/>
      <c r="H322" s="43">
        <f>SUM(H315:H321)</f>
        <v>203.17200000000005</v>
      </c>
      <c r="I322" s="30"/>
    </row>
    <row r="323" spans="1:9">
      <c r="A323" s="30"/>
      <c r="B323" s="31"/>
      <c r="C323" s="30"/>
      <c r="D323" s="30"/>
      <c r="E323" s="34"/>
      <c r="F323" s="34"/>
      <c r="G323" s="34"/>
      <c r="H323" s="43">
        <v>203.2</v>
      </c>
      <c r="I323" s="30" t="s">
        <v>306</v>
      </c>
    </row>
    <row r="324" spans="1:9" ht="78.75">
      <c r="A324" s="30">
        <v>35</v>
      </c>
      <c r="B324" s="754" t="s">
        <v>3451</v>
      </c>
      <c r="C324" s="727"/>
      <c r="D324" s="727"/>
      <c r="E324" s="728"/>
      <c r="F324" s="728"/>
      <c r="G324" s="728"/>
      <c r="H324" s="734"/>
      <c r="I324" s="30"/>
    </row>
    <row r="325" spans="1:9">
      <c r="A325" s="30"/>
      <c r="B325" s="750" t="s">
        <v>3452</v>
      </c>
      <c r="C325" s="727">
        <v>1</v>
      </c>
      <c r="D325" s="727">
        <v>5</v>
      </c>
      <c r="E325" s="728" t="s">
        <v>21</v>
      </c>
      <c r="F325" s="728" t="s">
        <v>21</v>
      </c>
      <c r="G325" s="728" t="s">
        <v>21</v>
      </c>
      <c r="H325" s="734">
        <f>PRODUCT(C325:G325)</f>
        <v>5</v>
      </c>
      <c r="I325" s="30" t="s">
        <v>340</v>
      </c>
    </row>
    <row r="326" spans="1:9">
      <c r="A326" s="30"/>
      <c r="B326" s="31"/>
      <c r="C326" s="30"/>
      <c r="D326" s="30"/>
      <c r="E326" s="34"/>
      <c r="F326" s="34"/>
      <c r="G326" s="34"/>
      <c r="H326" s="42"/>
      <c r="I326" s="30"/>
    </row>
    <row r="327" spans="1:9" ht="58.9" customHeight="1">
      <c r="A327" s="30">
        <v>36</v>
      </c>
      <c r="B327" s="754" t="s">
        <v>5275</v>
      </c>
      <c r="C327" s="30"/>
      <c r="D327" s="30"/>
      <c r="E327" s="34"/>
      <c r="F327" s="34"/>
      <c r="G327" s="34"/>
      <c r="H327" s="42"/>
      <c r="I327" s="30"/>
    </row>
    <row r="328" spans="1:9">
      <c r="A328" s="30"/>
      <c r="B328" s="31" t="s">
        <v>3181</v>
      </c>
      <c r="C328" s="30">
        <v>1</v>
      </c>
      <c r="D328" s="30">
        <v>5</v>
      </c>
      <c r="E328" s="34" t="s">
        <v>21</v>
      </c>
      <c r="F328" s="34" t="s">
        <v>21</v>
      </c>
      <c r="G328" s="34" t="s">
        <v>21</v>
      </c>
      <c r="H328" s="42">
        <f>PRODUCT(C328:G328)</f>
        <v>5</v>
      </c>
      <c r="I328" s="30"/>
    </row>
    <row r="329" spans="1:9">
      <c r="A329" s="30"/>
      <c r="B329" s="31"/>
      <c r="C329" s="30"/>
      <c r="D329" s="30"/>
      <c r="E329" s="34"/>
      <c r="F329" s="34"/>
      <c r="G329" s="34"/>
      <c r="H329" s="43">
        <f>SUM(H328:H328)</f>
        <v>5</v>
      </c>
      <c r="I329" s="30" t="s">
        <v>340</v>
      </c>
    </row>
    <row r="330" spans="1:9" ht="47.25">
      <c r="A330" s="30">
        <v>37</v>
      </c>
      <c r="B330" s="754" t="s">
        <v>3566</v>
      </c>
      <c r="C330" s="30"/>
      <c r="D330" s="30"/>
      <c r="E330" s="34"/>
      <c r="F330" s="34"/>
      <c r="G330" s="34"/>
      <c r="H330" s="42"/>
      <c r="I330" s="30"/>
    </row>
    <row r="331" spans="1:9">
      <c r="A331" s="30"/>
      <c r="B331" s="31" t="s">
        <v>3567</v>
      </c>
      <c r="C331" s="30">
        <v>2</v>
      </c>
      <c r="D331" s="30">
        <v>2</v>
      </c>
      <c r="E331" s="34">
        <v>1.05</v>
      </c>
      <c r="F331" s="34">
        <v>1.5</v>
      </c>
      <c r="G331" s="34" t="s">
        <v>21</v>
      </c>
      <c r="H331" s="42">
        <f>PRODUCT(C331:G331)</f>
        <v>6.3000000000000007</v>
      </c>
      <c r="I331" s="30"/>
    </row>
    <row r="332" spans="1:9">
      <c r="A332" s="30"/>
      <c r="B332" s="31" t="s">
        <v>3315</v>
      </c>
      <c r="C332" s="30">
        <v>2</v>
      </c>
      <c r="D332" s="30">
        <v>2</v>
      </c>
      <c r="E332" s="34">
        <v>0.9</v>
      </c>
      <c r="F332" s="34">
        <v>1.35</v>
      </c>
      <c r="G332" s="34" t="s">
        <v>21</v>
      </c>
      <c r="H332" s="42">
        <f>PRODUCT(C332:G332)</f>
        <v>4.8600000000000003</v>
      </c>
      <c r="I332" s="30"/>
    </row>
    <row r="333" spans="1:9">
      <c r="A333" s="30"/>
      <c r="B333" s="31"/>
      <c r="C333" s="30"/>
      <c r="D333" s="30"/>
      <c r="E333" s="34"/>
      <c r="F333" s="34"/>
      <c r="G333" s="34"/>
      <c r="H333" s="42">
        <f>SUM(H331:H332)</f>
        <v>11.16</v>
      </c>
      <c r="I333" s="30"/>
    </row>
    <row r="334" spans="1:9" ht="58.9" hidden="1" customHeight="1">
      <c r="A334" s="30">
        <v>36</v>
      </c>
      <c r="B334" s="754" t="s">
        <v>3578</v>
      </c>
      <c r="C334" s="30"/>
      <c r="D334" s="30"/>
      <c r="E334" s="34"/>
      <c r="F334" s="34"/>
      <c r="G334" s="34"/>
      <c r="H334" s="42"/>
      <c r="I334" s="30"/>
    </row>
    <row r="335" spans="1:9" hidden="1">
      <c r="A335" s="30"/>
      <c r="B335" s="31" t="s">
        <v>3579</v>
      </c>
      <c r="C335" s="30">
        <v>1</v>
      </c>
      <c r="D335" s="30">
        <v>1</v>
      </c>
      <c r="E335" s="34" t="s">
        <v>21</v>
      </c>
      <c r="F335" s="34" t="s">
        <v>21</v>
      </c>
      <c r="G335" s="34" t="s">
        <v>21</v>
      </c>
      <c r="H335" s="43">
        <f>PRODUCT(C335:G335)</f>
        <v>1</v>
      </c>
      <c r="I335" s="785" t="s">
        <v>340</v>
      </c>
    </row>
    <row r="336" spans="1:9" hidden="1">
      <c r="A336" s="30"/>
      <c r="B336" s="31"/>
      <c r="C336" s="30"/>
      <c r="D336" s="30"/>
      <c r="E336" s="34"/>
      <c r="F336" s="34"/>
      <c r="G336" s="34"/>
      <c r="H336" s="42"/>
      <c r="I336" s="30"/>
    </row>
    <row r="337" spans="1:9" ht="63" hidden="1">
      <c r="A337" s="30">
        <v>37</v>
      </c>
      <c r="B337" s="745" t="s">
        <v>3417</v>
      </c>
      <c r="C337" s="30"/>
      <c r="D337" s="30"/>
      <c r="E337" s="34"/>
      <c r="F337" s="34"/>
      <c r="G337" s="34"/>
      <c r="H337" s="42"/>
      <c r="I337" s="30"/>
    </row>
    <row r="338" spans="1:9" hidden="1">
      <c r="A338" s="30"/>
      <c r="B338" s="31" t="s">
        <v>3580</v>
      </c>
      <c r="C338" s="30"/>
      <c r="D338" s="30"/>
      <c r="E338" s="34"/>
      <c r="F338" s="34"/>
      <c r="G338" s="34"/>
      <c r="H338" s="42"/>
      <c r="I338" s="30"/>
    </row>
    <row r="339" spans="1:9" hidden="1">
      <c r="A339" s="30"/>
      <c r="B339" s="31" t="s">
        <v>3581</v>
      </c>
      <c r="C339" s="30">
        <v>1</v>
      </c>
      <c r="D339" s="30">
        <v>4</v>
      </c>
      <c r="E339" s="34">
        <v>0.6</v>
      </c>
      <c r="F339" s="34" t="s">
        <v>21</v>
      </c>
      <c r="G339" s="34">
        <v>0.75</v>
      </c>
      <c r="H339" s="43">
        <f>PRODUCT(C339:G339)</f>
        <v>1.7999999999999998</v>
      </c>
      <c r="I339" s="30" t="s">
        <v>306</v>
      </c>
    </row>
    <row r="340" spans="1:9" hidden="1">
      <c r="A340" s="30"/>
      <c r="B340" s="31"/>
      <c r="C340" s="30"/>
      <c r="D340" s="30"/>
      <c r="E340" s="34"/>
      <c r="F340" s="34"/>
      <c r="G340" s="34"/>
      <c r="H340" s="42"/>
      <c r="I340" s="30"/>
    </row>
    <row r="341" spans="1:9" ht="189" hidden="1">
      <c r="A341" s="30">
        <v>38</v>
      </c>
      <c r="B341" s="778" t="s">
        <v>3583</v>
      </c>
      <c r="C341" s="30"/>
      <c r="D341" s="30"/>
      <c r="E341" s="34"/>
      <c r="F341" s="34"/>
      <c r="G341" s="34"/>
      <c r="H341" s="42"/>
      <c r="I341" s="30"/>
    </row>
    <row r="342" spans="1:9" hidden="1">
      <c r="A342" s="30"/>
      <c r="B342" s="31" t="s">
        <v>3584</v>
      </c>
      <c r="C342" s="30"/>
      <c r="D342" s="30"/>
      <c r="E342" s="34"/>
      <c r="F342" s="34"/>
      <c r="G342" s="34"/>
      <c r="H342" s="42"/>
      <c r="I342" s="30"/>
    </row>
    <row r="343" spans="1:9" hidden="1">
      <c r="A343" s="30"/>
      <c r="B343" s="31"/>
      <c r="C343" s="30"/>
      <c r="D343" s="30"/>
      <c r="E343" s="34"/>
      <c r="F343" s="34"/>
      <c r="G343" s="34"/>
      <c r="H343" s="42"/>
      <c r="I343" s="30"/>
    </row>
    <row r="344" spans="1:9" hidden="1">
      <c r="A344" s="30"/>
      <c r="B344" s="31"/>
      <c r="C344" s="30"/>
      <c r="D344" s="30"/>
      <c r="E344" s="34"/>
      <c r="F344" s="34"/>
      <c r="G344" s="34"/>
      <c r="H344" s="42"/>
      <c r="I344" s="30"/>
    </row>
    <row r="345" spans="1:9" hidden="1">
      <c r="A345" s="30"/>
      <c r="B345" s="31"/>
      <c r="C345" s="30"/>
      <c r="D345" s="30"/>
      <c r="E345" s="34"/>
      <c r="F345" s="34"/>
      <c r="G345" s="34"/>
      <c r="H345" s="42"/>
      <c r="I345" s="30"/>
    </row>
    <row r="346" spans="1:9" hidden="1">
      <c r="A346" s="30"/>
      <c r="B346" s="31"/>
      <c r="C346" s="30"/>
      <c r="D346" s="30"/>
      <c r="E346" s="34"/>
      <c r="F346" s="34"/>
      <c r="G346" s="34"/>
      <c r="H346" s="42"/>
      <c r="I346" s="30"/>
    </row>
    <row r="347" spans="1:9" ht="126" hidden="1">
      <c r="A347" s="30">
        <v>38</v>
      </c>
      <c r="B347" s="779" t="s">
        <v>3582</v>
      </c>
      <c r="C347" s="30"/>
      <c r="D347" s="30"/>
      <c r="E347" s="34"/>
      <c r="F347" s="34"/>
      <c r="G347" s="34"/>
      <c r="H347" s="42"/>
      <c r="I347" s="30"/>
    </row>
    <row r="348" spans="1:9" hidden="1">
      <c r="A348" s="30"/>
      <c r="B348" s="31"/>
      <c r="C348" s="30"/>
      <c r="D348" s="30"/>
      <c r="E348" s="34"/>
      <c r="F348" s="34"/>
      <c r="G348" s="34"/>
      <c r="H348" s="42"/>
      <c r="I348" s="30"/>
    </row>
    <row r="349" spans="1:9" hidden="1">
      <c r="A349" s="30"/>
      <c r="B349" s="31"/>
      <c r="C349" s="30"/>
      <c r="D349" s="30"/>
      <c r="E349" s="34"/>
      <c r="F349" s="34"/>
      <c r="G349" s="34"/>
      <c r="H349" s="42"/>
      <c r="I349" s="30"/>
    </row>
    <row r="350" spans="1:9" hidden="1">
      <c r="A350" s="30"/>
      <c r="B350" s="31"/>
      <c r="C350" s="30"/>
      <c r="D350" s="30"/>
      <c r="E350" s="34"/>
      <c r="F350" s="34"/>
      <c r="G350" s="34"/>
      <c r="H350" s="42"/>
      <c r="I350" s="30"/>
    </row>
    <row r="351" spans="1:9" hidden="1">
      <c r="A351" s="30"/>
      <c r="B351" s="31"/>
      <c r="C351" s="30"/>
      <c r="D351" s="30"/>
      <c r="E351" s="34"/>
      <c r="F351" s="34"/>
      <c r="G351" s="34"/>
      <c r="H351" s="42"/>
      <c r="I351" s="30"/>
    </row>
    <row r="352" spans="1:9" hidden="1">
      <c r="A352" s="30"/>
      <c r="B352" s="31"/>
      <c r="C352" s="30"/>
      <c r="D352" s="30"/>
      <c r="E352" s="34"/>
      <c r="F352" s="34"/>
      <c r="G352" s="34"/>
      <c r="H352" s="42"/>
      <c r="I352" s="30"/>
    </row>
    <row r="353" spans="1:9" hidden="1">
      <c r="A353" s="30"/>
      <c r="B353" s="31"/>
      <c r="C353" s="30"/>
      <c r="D353" s="30"/>
      <c r="E353" s="34"/>
      <c r="F353" s="34"/>
      <c r="G353" s="34"/>
      <c r="H353" s="42"/>
      <c r="I353" s="30"/>
    </row>
    <row r="354" spans="1:9" hidden="1">
      <c r="A354" s="30"/>
      <c r="B354" s="31"/>
      <c r="C354" s="30"/>
      <c r="D354" s="30"/>
      <c r="E354" s="34"/>
      <c r="F354" s="34"/>
      <c r="G354" s="34"/>
      <c r="H354" s="42"/>
      <c r="I354" s="30"/>
    </row>
    <row r="355" spans="1:9" hidden="1">
      <c r="A355" s="30"/>
      <c r="B355" s="31"/>
      <c r="C355" s="30"/>
      <c r="D355" s="30"/>
      <c r="E355" s="34"/>
      <c r="F355" s="34"/>
      <c r="G355" s="34"/>
      <c r="H355" s="42"/>
      <c r="I355" s="30"/>
    </row>
    <row r="356" spans="1:9" hidden="1">
      <c r="A356" s="30"/>
      <c r="B356" s="31"/>
      <c r="C356" s="30"/>
      <c r="D356" s="30"/>
      <c r="E356" s="34"/>
      <c r="F356" s="34"/>
      <c r="G356" s="34"/>
      <c r="H356" s="42"/>
      <c r="I356" s="30"/>
    </row>
    <row r="357" spans="1:9" hidden="1">
      <c r="A357" s="30"/>
      <c r="B357" s="31"/>
      <c r="C357" s="30"/>
      <c r="D357" s="30"/>
      <c r="E357" s="34"/>
      <c r="F357" s="34"/>
      <c r="G357" s="34"/>
      <c r="H357" s="42"/>
      <c r="I357" s="30"/>
    </row>
    <row r="358" spans="1:9" hidden="1">
      <c r="A358" s="30"/>
      <c r="B358" s="31"/>
      <c r="C358" s="30"/>
      <c r="D358" s="30"/>
      <c r="E358" s="34"/>
      <c r="F358" s="34"/>
      <c r="G358" s="34"/>
      <c r="H358" s="42"/>
      <c r="I358" s="30"/>
    </row>
    <row r="359" spans="1:9" hidden="1">
      <c r="A359" s="30"/>
      <c r="B359" s="31"/>
      <c r="C359" s="30"/>
      <c r="D359" s="30"/>
      <c r="E359" s="34"/>
      <c r="F359" s="34"/>
      <c r="G359" s="34"/>
      <c r="H359" s="42"/>
      <c r="I359" s="30"/>
    </row>
    <row r="360" spans="1:9" hidden="1">
      <c r="A360" s="30"/>
      <c r="B360" s="31"/>
      <c r="C360" s="30"/>
      <c r="D360" s="30"/>
      <c r="E360" s="34"/>
      <c r="F360" s="34"/>
      <c r="G360" s="34"/>
      <c r="H360" s="42"/>
      <c r="I360" s="30"/>
    </row>
    <row r="361" spans="1:9" hidden="1"/>
    <row r="362" spans="1:9" hidden="1"/>
    <row r="363" spans="1:9" hidden="1"/>
    <row r="364" spans="1:9" hidden="1"/>
    <row r="365" spans="1:9" hidden="1"/>
    <row r="366" spans="1:9" hidden="1"/>
    <row r="367" spans="1:9" hidden="1"/>
    <row r="368" spans="1:9" hidden="1"/>
    <row r="369" spans="1:9" hidden="1"/>
    <row r="370" spans="1:9" hidden="1"/>
    <row r="371" spans="1:9" hidden="1"/>
    <row r="372" spans="1:9" hidden="1"/>
    <row r="373" spans="1:9" hidden="1"/>
    <row r="374" spans="1:9" hidden="1"/>
    <row r="375" spans="1:9" hidden="1"/>
    <row r="376" spans="1:9">
      <c r="A376" s="30"/>
      <c r="B376" s="31"/>
      <c r="C376" s="30"/>
      <c r="D376" s="30"/>
      <c r="E376" s="34"/>
      <c r="F376" s="34"/>
      <c r="G376" s="34" t="s">
        <v>9</v>
      </c>
      <c r="H376" s="43">
        <v>11.2</v>
      </c>
      <c r="I376" s="780" t="s">
        <v>306</v>
      </c>
    </row>
    <row r="377" spans="1:9" ht="29.45" customHeight="1">
      <c r="A377" s="30">
        <v>38</v>
      </c>
      <c r="B377" s="754" t="s">
        <v>5389</v>
      </c>
      <c r="C377" s="30"/>
      <c r="D377" s="30"/>
      <c r="E377" s="34"/>
      <c r="F377" s="34"/>
      <c r="G377" s="34"/>
      <c r="H377" s="43"/>
      <c r="I377" s="30"/>
    </row>
    <row r="378" spans="1:9">
      <c r="A378" s="30"/>
      <c r="B378" s="31" t="s">
        <v>41</v>
      </c>
      <c r="C378" s="30">
        <v>1</v>
      </c>
      <c r="D378" s="30">
        <v>8</v>
      </c>
      <c r="E378" s="34">
        <v>0.45</v>
      </c>
      <c r="F378" s="34">
        <v>0.6</v>
      </c>
      <c r="G378" s="34" t="s">
        <v>21</v>
      </c>
      <c r="H378" s="42">
        <f>PRODUCT(C378:G378)</f>
        <v>2.16</v>
      </c>
      <c r="I378" s="30"/>
    </row>
    <row r="379" spans="1:9">
      <c r="A379" s="30"/>
      <c r="B379" s="31"/>
      <c r="C379" s="30"/>
      <c r="D379" s="30"/>
      <c r="E379" s="34"/>
      <c r="F379" s="34"/>
      <c r="G379" s="34" t="s">
        <v>9</v>
      </c>
      <c r="H379" s="43">
        <v>2.2000000000000002</v>
      </c>
      <c r="I379" s="30" t="s">
        <v>306</v>
      </c>
    </row>
    <row r="380" spans="1:9" ht="47.25">
      <c r="A380" s="30">
        <v>39</v>
      </c>
      <c r="B380" s="735" t="s">
        <v>3602</v>
      </c>
      <c r="C380" s="30"/>
      <c r="D380" s="30"/>
      <c r="E380" s="34"/>
      <c r="F380" s="34"/>
      <c r="G380" s="34"/>
      <c r="H380" s="42"/>
      <c r="I380" s="30"/>
    </row>
    <row r="381" spans="1:9">
      <c r="A381" s="30"/>
      <c r="B381" s="31" t="s">
        <v>3206</v>
      </c>
      <c r="C381" s="30">
        <v>1</v>
      </c>
      <c r="D381" s="30">
        <v>5</v>
      </c>
      <c r="E381" s="34" t="s">
        <v>21</v>
      </c>
      <c r="F381" s="34" t="s">
        <v>21</v>
      </c>
      <c r="G381" s="34" t="s">
        <v>21</v>
      </c>
      <c r="H381" s="43">
        <f>PRODUCT(C381:G381)</f>
        <v>5</v>
      </c>
      <c r="I381" s="30" t="s">
        <v>340</v>
      </c>
    </row>
    <row r="382" spans="1:9" ht="64.150000000000006" customHeight="1">
      <c r="A382" s="30">
        <v>40</v>
      </c>
      <c r="B382" s="754" t="s">
        <v>5276</v>
      </c>
      <c r="C382" s="30"/>
      <c r="D382" s="30"/>
      <c r="E382" s="34"/>
      <c r="F382" s="34"/>
      <c r="G382" s="34"/>
      <c r="H382" s="42"/>
      <c r="I382" s="30"/>
    </row>
    <row r="383" spans="1:9">
      <c r="A383" s="30"/>
      <c r="B383" s="31" t="s">
        <v>3206</v>
      </c>
      <c r="C383" s="30">
        <v>1</v>
      </c>
      <c r="D383" s="30">
        <v>5</v>
      </c>
      <c r="E383" s="34" t="s">
        <v>21</v>
      </c>
      <c r="F383" s="34" t="s">
        <v>21</v>
      </c>
      <c r="G383" s="34" t="s">
        <v>21</v>
      </c>
      <c r="H383" s="43">
        <f>PRODUCT(C383:G383)</f>
        <v>5</v>
      </c>
      <c r="I383" s="30" t="s">
        <v>340</v>
      </c>
    </row>
    <row r="384" spans="1:9" ht="47.25">
      <c r="A384" s="30">
        <v>41</v>
      </c>
      <c r="B384" s="735" t="s">
        <v>3720</v>
      </c>
      <c r="C384" s="30"/>
      <c r="D384" s="30"/>
      <c r="E384" s="34"/>
      <c r="F384" s="34"/>
      <c r="G384" s="34"/>
      <c r="H384" s="42"/>
      <c r="I384" s="30"/>
    </row>
    <row r="385" spans="1:9">
      <c r="A385" s="30"/>
      <c r="B385" s="31" t="s">
        <v>3567</v>
      </c>
      <c r="C385" s="30">
        <v>4</v>
      </c>
      <c r="D385" s="30">
        <v>2</v>
      </c>
      <c r="E385" s="34">
        <v>1.05</v>
      </c>
      <c r="F385" s="34">
        <v>0.8</v>
      </c>
      <c r="G385" s="34">
        <v>1.5</v>
      </c>
      <c r="H385" s="42">
        <f>PRODUCT(C385:G385)</f>
        <v>10.080000000000002</v>
      </c>
      <c r="I385" s="30"/>
    </row>
    <row r="386" spans="1:9">
      <c r="A386" s="30"/>
      <c r="B386" s="31" t="s">
        <v>3315</v>
      </c>
      <c r="C386" s="30">
        <v>3</v>
      </c>
      <c r="D386" s="30">
        <v>2</v>
      </c>
      <c r="E386" s="34">
        <v>0.9</v>
      </c>
      <c r="F386" s="34">
        <v>0.8</v>
      </c>
      <c r="G386" s="34">
        <v>1.35</v>
      </c>
      <c r="H386" s="42">
        <f>PRODUCT(C386:G386)</f>
        <v>5.8320000000000007</v>
      </c>
      <c r="I386" s="30"/>
    </row>
    <row r="387" spans="1:9">
      <c r="A387" s="30"/>
      <c r="B387" s="31" t="s">
        <v>5358</v>
      </c>
      <c r="C387" s="30">
        <v>1</v>
      </c>
      <c r="D387" s="30">
        <v>8</v>
      </c>
      <c r="E387" s="34">
        <v>0.45</v>
      </c>
      <c r="F387" s="34">
        <v>0.8</v>
      </c>
      <c r="G387" s="34">
        <v>0.6</v>
      </c>
      <c r="H387" s="42">
        <f>PRODUCT(C387:G387)</f>
        <v>1.7280000000000002</v>
      </c>
      <c r="I387" s="30"/>
    </row>
    <row r="388" spans="1:9">
      <c r="A388" s="30"/>
      <c r="B388" s="31"/>
      <c r="C388" s="30"/>
      <c r="D388" s="30"/>
      <c r="E388" s="34"/>
      <c r="F388" s="34"/>
      <c r="G388" s="34"/>
      <c r="H388" s="42">
        <v>0.01</v>
      </c>
      <c r="I388" s="30"/>
    </row>
    <row r="389" spans="1:9">
      <c r="A389" s="30"/>
      <c r="B389" s="31"/>
      <c r="C389" s="30"/>
      <c r="D389" s="30"/>
      <c r="E389" s="34"/>
      <c r="F389" s="34"/>
      <c r="G389" s="34"/>
      <c r="H389" s="43">
        <f>SUM(H385:H388)</f>
        <v>17.650000000000006</v>
      </c>
      <c r="I389" s="30" t="s">
        <v>306</v>
      </c>
    </row>
    <row r="390" spans="1:9" ht="45.6" customHeight="1">
      <c r="A390" s="30">
        <v>42</v>
      </c>
      <c r="B390" s="1387" t="s">
        <v>5361</v>
      </c>
      <c r="C390" s="30"/>
      <c r="D390" s="30"/>
      <c r="E390" s="34"/>
      <c r="F390" s="34"/>
      <c r="G390" s="34"/>
      <c r="H390" s="42"/>
      <c r="I390" s="30"/>
    </row>
    <row r="391" spans="1:9">
      <c r="A391" s="30"/>
      <c r="B391" s="754" t="s">
        <v>5362</v>
      </c>
      <c r="C391" s="30"/>
      <c r="D391" s="30"/>
      <c r="E391" s="34"/>
      <c r="F391" s="34"/>
      <c r="G391" s="34"/>
      <c r="H391" s="42"/>
      <c r="I391" s="30"/>
    </row>
    <row r="392" spans="1:9">
      <c r="A392" s="30"/>
      <c r="B392" s="31" t="s">
        <v>5363</v>
      </c>
      <c r="C392" s="30">
        <v>1</v>
      </c>
      <c r="D392" s="30">
        <v>3</v>
      </c>
      <c r="E392" s="34">
        <v>2.2999999999999998</v>
      </c>
      <c r="F392" s="34">
        <v>0.45</v>
      </c>
      <c r="G392" s="34" t="s">
        <v>21</v>
      </c>
      <c r="H392" s="42">
        <f>PRODUCT(C392:G392)</f>
        <v>3.105</v>
      </c>
      <c r="I392" s="30"/>
    </row>
    <row r="393" spans="1:9">
      <c r="A393" s="30"/>
      <c r="B393" s="31"/>
      <c r="C393" s="30"/>
      <c r="D393" s="30"/>
      <c r="E393" s="34"/>
      <c r="F393" s="34"/>
      <c r="G393" s="34" t="s">
        <v>9</v>
      </c>
      <c r="H393" s="43">
        <v>3.15</v>
      </c>
      <c r="I393" s="30"/>
    </row>
    <row r="394" spans="1:9">
      <c r="A394" s="30"/>
      <c r="B394" s="754" t="s">
        <v>5364</v>
      </c>
      <c r="C394" s="30"/>
      <c r="D394" s="30"/>
      <c r="E394" s="34"/>
      <c r="F394" s="34"/>
      <c r="G394" s="34"/>
      <c r="H394" s="42"/>
      <c r="I394" s="30"/>
    </row>
    <row r="395" spans="1:9">
      <c r="A395" s="30"/>
      <c r="B395" s="31" t="s">
        <v>5363</v>
      </c>
      <c r="C395" s="30">
        <v>1</v>
      </c>
      <c r="D395" s="30">
        <v>2</v>
      </c>
      <c r="E395" s="34">
        <v>2.2999999999999998</v>
      </c>
      <c r="F395" s="34">
        <v>0.45</v>
      </c>
      <c r="G395" s="34" t="s">
        <v>21</v>
      </c>
      <c r="H395" s="42">
        <f>PRODUCT(C395:G395)</f>
        <v>2.0699999999999998</v>
      </c>
      <c r="I395" s="30"/>
    </row>
    <row r="396" spans="1:9">
      <c r="A396" s="30"/>
      <c r="B396" s="31"/>
      <c r="C396" s="30"/>
      <c r="D396" s="30"/>
      <c r="E396" s="34"/>
      <c r="F396" s="34"/>
      <c r="G396" s="34" t="s">
        <v>9</v>
      </c>
      <c r="H396" s="43">
        <v>2.1</v>
      </c>
      <c r="I396" s="30"/>
    </row>
    <row r="397" spans="1:9" ht="48" customHeight="1">
      <c r="A397" s="30">
        <v>43</v>
      </c>
      <c r="B397" s="754" t="s">
        <v>5805</v>
      </c>
      <c r="C397" s="30"/>
      <c r="D397" s="30"/>
      <c r="E397" s="34"/>
      <c r="F397" s="34"/>
      <c r="G397" s="34"/>
      <c r="H397" s="42"/>
      <c r="I397" s="30"/>
    </row>
    <row r="398" spans="1:9">
      <c r="A398" s="30"/>
      <c r="B398" s="31" t="s">
        <v>5806</v>
      </c>
      <c r="C398" s="30">
        <v>1</v>
      </c>
      <c r="D398" s="30">
        <v>5</v>
      </c>
      <c r="E398" s="34">
        <v>1.2</v>
      </c>
      <c r="F398" s="34"/>
      <c r="G398" s="34">
        <v>2.1</v>
      </c>
      <c r="H398" s="42">
        <f>PRODUCT(C398:G398)</f>
        <v>12.600000000000001</v>
      </c>
      <c r="I398" s="30"/>
    </row>
    <row r="399" spans="1:9">
      <c r="A399" s="30"/>
      <c r="B399" s="31"/>
      <c r="C399" s="30"/>
      <c r="D399" s="30"/>
      <c r="E399" s="34"/>
      <c r="F399" s="34"/>
      <c r="G399" s="34"/>
      <c r="H399" s="42"/>
      <c r="I399" s="30"/>
    </row>
  </sheetData>
  <mergeCells count="5">
    <mergeCell ref="A1:I1"/>
    <mergeCell ref="A2:I2"/>
    <mergeCell ref="A4:I4"/>
    <mergeCell ref="C5:D5"/>
    <mergeCell ref="A3:I3"/>
  </mergeCells>
  <pageMargins left="0.23622047244094491" right="0.23622047244094491" top="0.47244094488188981" bottom="0.39370078740157483" header="0.31496062992125984" footer="0.31496062992125984"/>
  <pageSetup paperSize="9" orientation="portrait" r:id="rId1"/>
</worksheet>
</file>

<file path=xl/worksheets/sheet20.xml><?xml version="1.0" encoding="utf-8"?>
<worksheet xmlns="http://schemas.openxmlformats.org/spreadsheetml/2006/main" xmlns:r="http://schemas.openxmlformats.org/officeDocument/2006/relationships">
  <sheetPr codeName="Sheet13"/>
  <dimension ref="A1:I55"/>
  <sheetViews>
    <sheetView topLeftCell="A36" zoomScaleSheetLayoutView="100" workbookViewId="0">
      <selection activeCell="H41" sqref="H41"/>
    </sheetView>
  </sheetViews>
  <sheetFormatPr defaultColWidth="9.28515625" defaultRowHeight="15.75"/>
  <cols>
    <col min="1" max="1" width="5" style="49" customWidth="1"/>
    <col min="2" max="2" width="11.7109375" style="559" customWidth="1"/>
    <col min="3" max="3" width="32.5703125" style="49" customWidth="1"/>
    <col min="4" max="4" width="14.28515625" style="559" customWidth="1"/>
    <col min="5" max="5" width="9.28515625" style="49"/>
    <col min="6" max="6" width="17.7109375" style="559" customWidth="1"/>
    <col min="7" max="7" width="13.28515625" style="9" bestFit="1" customWidth="1"/>
    <col min="8" max="8" width="9.28515625" style="9"/>
    <col min="9" max="9" width="13.28515625" style="9" bestFit="1" customWidth="1"/>
    <col min="10" max="16384" width="9.28515625" style="9"/>
  </cols>
  <sheetData>
    <row r="1" spans="1:6" ht="21.75" customHeight="1">
      <c r="A1" s="1954" t="s">
        <v>241</v>
      </c>
      <c r="B1" s="1954"/>
      <c r="C1" s="1954"/>
      <c r="D1" s="1954"/>
      <c r="E1" s="1954"/>
      <c r="F1" s="1954"/>
    </row>
    <row r="2" spans="1:6" ht="47.45" customHeight="1">
      <c r="A2" s="1954" t="str">
        <f>'INS- Detail '!A2:I2</f>
        <v>Name of work: Providing Special Repair works for 5 Nos INS, 8 Nos SI, 24 Nos PC/HC Quarters  at Church Hill Ooty in the Nilgiri District</v>
      </c>
      <c r="B2" s="1954"/>
      <c r="C2" s="1954"/>
      <c r="D2" s="1954"/>
      <c r="E2" s="1954"/>
      <c r="F2" s="1954"/>
    </row>
    <row r="3" spans="1:6" ht="47.45" customHeight="1">
      <c r="A3" s="1955" t="s">
        <v>3739</v>
      </c>
      <c r="B3" s="1956"/>
      <c r="C3" s="1956"/>
      <c r="D3" s="1956"/>
      <c r="E3" s="1956"/>
      <c r="F3" s="1957"/>
    </row>
    <row r="4" spans="1:6" ht="15.6" customHeight="1">
      <c r="A4" s="1951" t="s">
        <v>351</v>
      </c>
      <c r="B4" s="1952"/>
      <c r="C4" s="1952"/>
      <c r="D4" s="1952"/>
      <c r="E4" s="1952"/>
      <c r="F4" s="1953"/>
    </row>
    <row r="5" spans="1:6" ht="31.5">
      <c r="A5" s="2" t="s">
        <v>219</v>
      </c>
      <c r="B5" s="21" t="s">
        <v>3</v>
      </c>
      <c r="C5" s="784" t="s">
        <v>11</v>
      </c>
      <c r="D5" s="21" t="s">
        <v>217</v>
      </c>
      <c r="E5" s="784" t="s">
        <v>10</v>
      </c>
      <c r="F5" s="21" t="s">
        <v>218</v>
      </c>
    </row>
    <row r="6" spans="1:6" ht="47.25">
      <c r="A6" s="2">
        <v>1</v>
      </c>
      <c r="B6" s="3">
        <f>'INS- Detail '!H8</f>
        <v>7.2</v>
      </c>
      <c r="C6" s="12" t="str">
        <f>'INS- Detail '!B6</f>
        <v>Earthwork excavation in all soils and subsoils, etc all complete (including refilling)</v>
      </c>
      <c r="D6" s="3" t="e">
        <f>#REF!</f>
        <v>#REF!</v>
      </c>
      <c r="E6" s="2" t="s">
        <v>313</v>
      </c>
      <c r="F6" s="13" t="e">
        <f>B6*D6</f>
        <v>#REF!</v>
      </c>
    </row>
    <row r="7" spans="1:6" ht="47.25">
      <c r="A7" s="2">
        <v>2</v>
      </c>
      <c r="B7" s="3">
        <f>'INS- Detail '!H16</f>
        <v>9.15</v>
      </c>
      <c r="C7" s="12" t="str">
        <f>'INS- Detail '!B12</f>
        <v xml:space="preserve">PCC 1:5:10 using 40mm jelly including cost of materials and labours etc.., completed </v>
      </c>
      <c r="D7" s="3" t="e">
        <f>#REF!</f>
        <v>#REF!</v>
      </c>
      <c r="E7" s="2" t="s">
        <v>313</v>
      </c>
      <c r="F7" s="13" t="e">
        <f t="shared" ref="F7:F46" si="0">B7*D7</f>
        <v>#REF!</v>
      </c>
    </row>
    <row r="8" spans="1:6" ht="75.599999999999994" customHeight="1">
      <c r="A8" s="2">
        <v>3</v>
      </c>
      <c r="B8" s="3">
        <f>'INS- Detail '!H19</f>
        <v>6.48</v>
      </c>
      <c r="C8" s="31" t="str">
        <f>'INS- Detail '!B17</f>
        <v xml:space="preserve">PCC 1:2:4 using 20mm jelly including cost of materials and labours etc.., completed </v>
      </c>
      <c r="D8" s="3" t="e">
        <f>#REF!</f>
        <v>#REF!</v>
      </c>
      <c r="E8" s="30" t="s">
        <v>313</v>
      </c>
      <c r="F8" s="13" t="e">
        <f>B8*D8</f>
        <v>#REF!</v>
      </c>
    </row>
    <row r="9" spans="1:6" ht="94.5">
      <c r="A9" s="2">
        <v>4</v>
      </c>
      <c r="B9" s="3">
        <f>'INS- Detail '!H24</f>
        <v>4.7494999999999994</v>
      </c>
      <c r="C9" s="12" t="str">
        <f>'INS- Detail '!B20</f>
        <v>Brickwork in CM 1:5 using Chamber burn bricks in foundation including cost of materials and labours etc.., completed ,a)Foundation and basement etc complete</v>
      </c>
      <c r="D9" s="3" t="e">
        <f>#REF!</f>
        <v>#REF!</v>
      </c>
      <c r="E9" s="2" t="s">
        <v>313</v>
      </c>
      <c r="F9" s="13" t="e">
        <f t="shared" si="0"/>
        <v>#REF!</v>
      </c>
    </row>
    <row r="10" spans="1:6" ht="110.25">
      <c r="A10" s="2">
        <v>5</v>
      </c>
      <c r="B10" s="3">
        <f>'INS- Detail '!H46</f>
        <v>75.349999999999994</v>
      </c>
      <c r="C10" s="12" t="str">
        <f>'INS- Detail '!B25</f>
        <v>Clean removel of the old cement plastering both inside and outside from the existing walls of brick masonry without damageing the existing structure and surroundings and clearing the debries away from the site including all cost etc.,</v>
      </c>
      <c r="D10" s="3">
        <v>9.31</v>
      </c>
      <c r="E10" s="30" t="s">
        <v>306</v>
      </c>
      <c r="F10" s="13">
        <f t="shared" si="0"/>
        <v>701.50850000000003</v>
      </c>
    </row>
    <row r="11" spans="1:6" ht="63">
      <c r="A11" s="2">
        <v>6</v>
      </c>
      <c r="B11" s="3">
        <f>'INS- Detail '!H75</f>
        <v>28.9</v>
      </c>
      <c r="C11" s="12" t="str">
        <f>'INS- Detail '!B47</f>
        <v xml:space="preserve">Special celing plasering in CM 1:3,10 mm tk including cost of materials and labours etc.., completed </v>
      </c>
      <c r="D11" s="3" t="e">
        <f>#REF!</f>
        <v>#REF!</v>
      </c>
      <c r="E11" s="30" t="s">
        <v>306</v>
      </c>
      <c r="F11" s="13" t="e">
        <f t="shared" si="0"/>
        <v>#REF!</v>
      </c>
    </row>
    <row r="12" spans="1:6" ht="47.25">
      <c r="A12" s="2">
        <v>7</v>
      </c>
      <c r="B12" s="3">
        <f>'INS- Detail '!H78</f>
        <v>12</v>
      </c>
      <c r="C12" s="12" t="str">
        <f>'INS- Detail '!B76</f>
        <v xml:space="preserve">Plastering in CM 1:4, 12mm thick including cost of materials and labours etc.., completed </v>
      </c>
      <c r="D12" s="3" t="e">
        <f>#REF!</f>
        <v>#REF!</v>
      </c>
      <c r="E12" s="30" t="s">
        <v>306</v>
      </c>
      <c r="F12" s="13" t="e">
        <f t="shared" si="0"/>
        <v>#REF!</v>
      </c>
    </row>
    <row r="13" spans="1:6" ht="31.5">
      <c r="A13" s="2">
        <v>8</v>
      </c>
      <c r="B13" s="3">
        <f>'INS- Detail '!H84</f>
        <v>9</v>
      </c>
      <c r="C13" s="31" t="str">
        <f>'INS- Detail '!B79</f>
        <v>Supplying and fixing of 4mm thick plain glasses etc.,</v>
      </c>
      <c r="D13" s="34" t="e">
        <f>#REF!</f>
        <v>#REF!</v>
      </c>
      <c r="E13" s="30" t="s">
        <v>306</v>
      </c>
      <c r="F13" s="13" t="e">
        <f t="shared" si="0"/>
        <v>#REF!</v>
      </c>
    </row>
    <row r="14" spans="1:6" ht="31.5">
      <c r="A14" s="2">
        <v>9</v>
      </c>
      <c r="B14" s="3">
        <f>'INS- Detail '!H93</f>
        <v>87.25</v>
      </c>
      <c r="C14" s="31" t="str">
        <f>'INS- Detail '!B85</f>
        <v>Dismantling and clearing away the Pressed tiles etc.,</v>
      </c>
      <c r="D14" s="34">
        <v>36.1</v>
      </c>
      <c r="E14" s="40" t="s">
        <v>306</v>
      </c>
      <c r="F14" s="13">
        <f t="shared" si="0"/>
        <v>3149.7249999999999</v>
      </c>
    </row>
    <row r="15" spans="1:6" ht="31.5">
      <c r="A15" s="2">
        <v>10</v>
      </c>
      <c r="B15" s="3">
        <f>'INS- Detail '!H102</f>
        <v>87.25</v>
      </c>
      <c r="C15" s="31" t="str">
        <f>'INS- Detail '!B94</f>
        <v>Supplying and laying of hydraulic pressed tiles etc.,</v>
      </c>
      <c r="D15" s="34" t="e">
        <f>#REF!</f>
        <v>#REF!</v>
      </c>
      <c r="E15" s="40" t="s">
        <v>306</v>
      </c>
      <c r="F15" s="13" t="e">
        <f t="shared" si="0"/>
        <v>#REF!</v>
      </c>
    </row>
    <row r="16" spans="1:6" ht="47.25">
      <c r="A16" s="2">
        <v>11</v>
      </c>
      <c r="B16" s="3">
        <f>'INS- Detail '!H111</f>
        <v>174.5</v>
      </c>
      <c r="C16" s="31" t="str">
        <f>'INS- Detail '!B103</f>
        <v>Providing Polymer Coating (Water Proof Coating ) for over roof pressed tiles  area.</v>
      </c>
      <c r="D16" s="34" t="e">
        <f>#REF!</f>
        <v>#REF!</v>
      </c>
      <c r="E16" s="40" t="s">
        <v>306</v>
      </c>
      <c r="F16" s="13" t="e">
        <f t="shared" si="0"/>
        <v>#REF!</v>
      </c>
    </row>
    <row r="17" spans="1:9" ht="31.5">
      <c r="A17" s="2">
        <v>12</v>
      </c>
      <c r="B17" s="3">
        <f>'INS- Detail '!H120</f>
        <v>12.95</v>
      </c>
      <c r="C17" s="31" t="str">
        <f>'INS- Detail '!B112</f>
        <v>Supply and laying of ceramic(anti-skid) tiles etc.,</v>
      </c>
      <c r="D17" s="3" t="e">
        <f>#REF!</f>
        <v>#REF!</v>
      </c>
      <c r="E17" s="40" t="s">
        <v>306</v>
      </c>
      <c r="F17" s="13" t="e">
        <f t="shared" si="0"/>
        <v>#REF!</v>
      </c>
    </row>
    <row r="18" spans="1:9" ht="31.5">
      <c r="A18" s="2">
        <v>13</v>
      </c>
      <c r="B18" s="3">
        <f>'INS- Detail '!H131</f>
        <v>30.45</v>
      </c>
      <c r="C18" s="37" t="str">
        <f>'INS- Detail '!B121</f>
        <v>Supplying and laying of glazed tiles etc.,</v>
      </c>
      <c r="D18" s="3" t="e">
        <f>#REF!</f>
        <v>#REF!</v>
      </c>
      <c r="E18" s="40" t="s">
        <v>306</v>
      </c>
      <c r="F18" s="13" t="e">
        <f t="shared" si="0"/>
        <v>#REF!</v>
      </c>
    </row>
    <row r="19" spans="1:9" ht="47.25">
      <c r="A19" s="2">
        <v>14</v>
      </c>
      <c r="B19" s="3"/>
      <c r="C19" s="38" t="str">
        <f>'INS- Detail '!B132</f>
        <v>Supply and fixing of IWC including all special and labour charges etc., complete</v>
      </c>
      <c r="D19" s="3"/>
      <c r="E19" s="30"/>
      <c r="F19" s="13"/>
    </row>
    <row r="20" spans="1:9">
      <c r="A20" s="2"/>
      <c r="B20" s="3">
        <f>'INS- Detail '!H135</f>
        <v>3</v>
      </c>
      <c r="C20" s="38" t="str">
        <f>'INS- Detail '!B133</f>
        <v>a)In .G.F</v>
      </c>
      <c r="D20" s="3" t="e">
        <f>#REF!</f>
        <v>#REF!</v>
      </c>
      <c r="E20" s="2" t="s">
        <v>340</v>
      </c>
      <c r="F20" s="13" t="e">
        <f t="shared" si="0"/>
        <v>#REF!</v>
      </c>
    </row>
    <row r="21" spans="1:9">
      <c r="A21" s="2"/>
      <c r="B21" s="3">
        <f>'INS- Detail '!H138</f>
        <v>2</v>
      </c>
      <c r="C21" s="38" t="str">
        <f>'INS- Detail '!B136</f>
        <v>b)In other than G.F</v>
      </c>
      <c r="D21" s="47" t="e">
        <f>#REF!</f>
        <v>#REF!</v>
      </c>
      <c r="E21" s="2" t="s">
        <v>340</v>
      </c>
      <c r="F21" s="13" t="e">
        <f t="shared" si="0"/>
        <v>#REF!</v>
      </c>
    </row>
    <row r="22" spans="1:9" ht="47.25">
      <c r="A22" s="2">
        <v>15</v>
      </c>
      <c r="B22" s="3">
        <f>'INS- Detail '!H141</f>
        <v>7.5</v>
      </c>
      <c r="C22" s="700" t="str">
        <f>'INS- Detail '!B139</f>
        <v>Removing of doors and windows shutter etc.,PWD SOR P-22 Item No.29</v>
      </c>
      <c r="D22" s="34">
        <f>I22</f>
        <v>168.56</v>
      </c>
      <c r="E22" s="40" t="s">
        <v>306</v>
      </c>
      <c r="F22" s="13">
        <f t="shared" si="0"/>
        <v>1264.2</v>
      </c>
      <c r="G22" s="9">
        <v>120.4</v>
      </c>
      <c r="H22" s="9">
        <f>G22*40%</f>
        <v>48.160000000000004</v>
      </c>
      <c r="I22" s="9">
        <f>G22+H22</f>
        <v>168.56</v>
      </c>
    </row>
    <row r="23" spans="1:9" ht="47.25">
      <c r="A23" s="2">
        <v>16</v>
      </c>
      <c r="B23" s="3">
        <f>'INS- Detail '!H144</f>
        <v>7.5</v>
      </c>
      <c r="C23" s="39" t="str">
        <f>'INS- Detail '!B142</f>
        <v>Supplying and fixing of  solid panel door with frame  ( SR pg.No.43 item No.125a)</v>
      </c>
      <c r="D23" s="3">
        <v>3167</v>
      </c>
      <c r="E23" s="40" t="s">
        <v>306</v>
      </c>
      <c r="F23" s="13">
        <f t="shared" si="0"/>
        <v>23752.5</v>
      </c>
    </row>
    <row r="24" spans="1:9" ht="94.5">
      <c r="A24" s="2">
        <v>17</v>
      </c>
      <c r="B24" s="3">
        <f>'INS- Detail '!H158</f>
        <v>84.3</v>
      </c>
      <c r="C24" s="12" t="str">
        <f>'INS- Detail '!B145</f>
        <v>Chipping of concrete and rougheing of surface including cost of materials and labours etc.., completed                                   PWD SOR 2021-22 p-22 item No.38A</v>
      </c>
      <c r="D24" s="3">
        <v>44.38</v>
      </c>
      <c r="E24" s="40" t="s">
        <v>306</v>
      </c>
      <c r="F24" s="13">
        <f t="shared" si="0"/>
        <v>3741.2339999999999</v>
      </c>
    </row>
    <row r="25" spans="1:9" ht="47.25">
      <c r="A25" s="2">
        <v>18</v>
      </c>
      <c r="B25" s="3">
        <f>'INS- Detail '!H173</f>
        <v>87.4</v>
      </c>
      <c r="C25" s="41" t="str">
        <f>'INS- Detail '!B159</f>
        <v>Floor plastering in CM 1:4, 20mm thick  including neat cement, etc all complete</v>
      </c>
      <c r="D25" s="3" t="e">
        <f>#REF!</f>
        <v>#REF!</v>
      </c>
      <c r="E25" s="2" t="s">
        <v>306</v>
      </c>
      <c r="F25" s="13" t="e">
        <f t="shared" si="0"/>
        <v>#REF!</v>
      </c>
    </row>
    <row r="26" spans="1:9" ht="63">
      <c r="A26" s="2">
        <v>19</v>
      </c>
      <c r="B26" s="3">
        <f>'INS- Detail '!H176</f>
        <v>90</v>
      </c>
      <c r="C26" s="31" t="str">
        <f>'INS- Detail '!B174</f>
        <v>Supply ,laying &amp; jointing the following pipes as per ASTM D 1785 of schedule   PVC Specials etc.,a)25 mm  Pipe</v>
      </c>
      <c r="D26" s="34" t="e">
        <f>#REF!</f>
        <v>#REF!</v>
      </c>
      <c r="E26" s="2" t="s">
        <v>303</v>
      </c>
      <c r="F26" s="13" t="e">
        <f t="shared" si="0"/>
        <v>#REF!</v>
      </c>
    </row>
    <row r="27" spans="1:9" ht="47.25">
      <c r="A27" s="2">
        <v>20</v>
      </c>
      <c r="B27" s="3">
        <f>'INS- Detail '!H179</f>
        <v>30</v>
      </c>
      <c r="C27" s="31" t="str">
        <f>'INS- Detail '!B177</f>
        <v>Supplying and laying of 32 mm dia ASTM  etc all complete including and labour charges etc., complete</v>
      </c>
      <c r="D27" s="34">
        <v>170</v>
      </c>
      <c r="E27" s="2" t="s">
        <v>303</v>
      </c>
      <c r="F27" s="13">
        <f t="shared" si="0"/>
        <v>5100</v>
      </c>
    </row>
    <row r="28" spans="1:9" ht="63">
      <c r="A28" s="2">
        <v>21</v>
      </c>
      <c r="B28" s="3">
        <f>'INS- Detail '!H181</f>
        <v>70</v>
      </c>
      <c r="C28" s="31" t="str">
        <f>'INS- Detail '!B180</f>
        <v>Supplying and laying of 40 mm dia PVC ( Below ground level0 etc all complete including and labour charges etc., complete</v>
      </c>
      <c r="D28" s="34">
        <v>435</v>
      </c>
      <c r="E28" s="2" t="s">
        <v>303</v>
      </c>
      <c r="F28" s="13">
        <f t="shared" si="0"/>
        <v>30450</v>
      </c>
    </row>
    <row r="29" spans="1:9" ht="63">
      <c r="A29" s="2">
        <v>22</v>
      </c>
      <c r="B29" s="3">
        <f>'INS- Detail '!H186</f>
        <v>20</v>
      </c>
      <c r="C29" s="31" t="str">
        <f>'INS- Detail '!B184</f>
        <v>Supply and Fixing of 15mm dia half turn CP tap (LONG BODY) including all special and labour charges etc., complete</v>
      </c>
      <c r="D29" s="3" t="e">
        <f>#REF!</f>
        <v>#REF!</v>
      </c>
      <c r="E29" s="30" t="s">
        <v>340</v>
      </c>
      <c r="F29" s="13" t="e">
        <f t="shared" si="0"/>
        <v>#REF!</v>
      </c>
    </row>
    <row r="30" spans="1:9" ht="63">
      <c r="A30" s="2">
        <v>23</v>
      </c>
      <c r="B30" s="3">
        <f>'INS- Detail '!H190</f>
        <v>8</v>
      </c>
      <c r="C30" s="31" t="str">
        <f>'INS- Detail '!B187</f>
        <v>Supply and Fixing of 15mm dia half turn CP tap (SHORT BODY) including all special and labour charges etc., complete</v>
      </c>
      <c r="D30" s="3" t="e">
        <f>#REF!</f>
        <v>#REF!</v>
      </c>
      <c r="E30" s="30" t="s">
        <v>340</v>
      </c>
      <c r="F30" s="13" t="e">
        <f t="shared" si="0"/>
        <v>#REF!</v>
      </c>
    </row>
    <row r="31" spans="1:9" ht="47.25">
      <c r="A31" s="2">
        <v>24</v>
      </c>
      <c r="B31" s="3">
        <f>'INS- Detail '!H193</f>
        <v>72</v>
      </c>
      <c r="C31" s="31" t="str">
        <f>'INS- Detail '!B191</f>
        <v>Supplying and fixing of PVC SWR 110 mm dia with ISI mark type- A for Rain water down fall pipe</v>
      </c>
      <c r="D31" s="3" t="e">
        <f>#REF!</f>
        <v>#REF!</v>
      </c>
      <c r="E31" s="30" t="s">
        <v>303</v>
      </c>
      <c r="F31" s="13" t="e">
        <f t="shared" si="0"/>
        <v>#REF!</v>
      </c>
    </row>
    <row r="32" spans="1:9" ht="47.25">
      <c r="A32" s="2">
        <v>25</v>
      </c>
      <c r="B32" s="3"/>
      <c r="C32" s="31" t="str">
        <f>'INS- Detail '!B194</f>
        <v>Supply and laying of SWR Pipes including cost of materials and labours etc.., completed</v>
      </c>
      <c r="D32" s="3"/>
      <c r="E32" s="30"/>
      <c r="F32" s="13"/>
    </row>
    <row r="33" spans="1:8">
      <c r="A33" s="2"/>
      <c r="B33" s="3">
        <f>'INS- Detail '!H197</f>
        <v>24</v>
      </c>
      <c r="C33" s="31" t="str">
        <f>'INS- Detail '!B195</f>
        <v xml:space="preserve"> 110 mm DIA </v>
      </c>
      <c r="D33" s="3" t="e">
        <f>#REF!</f>
        <v>#REF!</v>
      </c>
      <c r="E33" s="30" t="s">
        <v>303</v>
      </c>
      <c r="F33" s="13" t="e">
        <f t="shared" si="0"/>
        <v>#REF!</v>
      </c>
    </row>
    <row r="34" spans="1:8" ht="105.6" customHeight="1">
      <c r="A34" s="2">
        <v>26</v>
      </c>
      <c r="B34" s="3">
        <f>'INS- Detail '!H201</f>
        <v>30</v>
      </c>
      <c r="C34" s="32" t="str">
        <f>'INS- Detail '!B200</f>
        <v>Supplying and fixing of following SN8 160mm dia  Pvc pipe  with ISI mark including cost of materials and convenience and earth work excavation and refilling trenches etc.., Below ground level .</v>
      </c>
      <c r="D34" s="34" t="e">
        <f>#REF!</f>
        <v>#REF!</v>
      </c>
      <c r="E34" s="30" t="s">
        <v>303</v>
      </c>
      <c r="F34" s="13" t="e">
        <f t="shared" si="0"/>
        <v>#REF!</v>
      </c>
    </row>
    <row r="35" spans="1:8" ht="105.6" customHeight="1">
      <c r="A35" s="2">
        <v>27</v>
      </c>
      <c r="B35" s="3">
        <f>'INS- Detail '!H204</f>
        <v>30</v>
      </c>
      <c r="C35" s="32" t="str">
        <f>'INS- Detail '!B203</f>
        <v>Supplying and fixing of following SN8 110mm dia  Pvc pipe  with ISI mark including cost of materials and convenience and earth work excavation and refilling trenches etc.., Below ground level .</v>
      </c>
      <c r="D35" s="34" t="e">
        <f>#REF!</f>
        <v>#REF!</v>
      </c>
      <c r="E35" s="30" t="s">
        <v>303</v>
      </c>
      <c r="F35" s="13" t="e">
        <f t="shared" si="0"/>
        <v>#REF!</v>
      </c>
    </row>
    <row r="36" spans="1:8" ht="65.45" customHeight="1">
      <c r="A36" s="2">
        <v>28</v>
      </c>
      <c r="B36" s="3">
        <f>'INS- Detail '!H217</f>
        <v>288</v>
      </c>
      <c r="C36" s="31" t="str">
        <f>'INS- Detail '!B206</f>
        <v xml:space="preserve">Painting White washing  two coats including cost of materials and labours etc.., completed </v>
      </c>
      <c r="D36" s="3" t="e">
        <f>#REF!</f>
        <v>#REF!</v>
      </c>
      <c r="E36" s="30" t="s">
        <v>306</v>
      </c>
      <c r="F36" s="13" t="e">
        <f t="shared" si="0"/>
        <v>#REF!</v>
      </c>
    </row>
    <row r="37" spans="1:8" ht="73.900000000000006" customHeight="1">
      <c r="A37" s="2">
        <v>29</v>
      </c>
      <c r="B37" s="3">
        <f>'INS- Detail '!H269</f>
        <v>1138</v>
      </c>
      <c r="C37" s="31" t="str">
        <f>'INS- Detail '!B218</f>
        <v xml:space="preserve">Painting Two coat of OBD over one coat white cement for inner walls  including cost of materials and labours etc.., completed </v>
      </c>
      <c r="D37" s="3" t="e">
        <f>#REF!</f>
        <v>#REF!</v>
      </c>
      <c r="E37" s="30" t="s">
        <v>306</v>
      </c>
      <c r="F37" s="13" t="e">
        <f t="shared" si="0"/>
        <v>#REF!</v>
      </c>
    </row>
    <row r="38" spans="1:8" ht="73.150000000000006" customHeight="1">
      <c r="A38" s="2">
        <v>30</v>
      </c>
      <c r="B38" s="3">
        <f>'INS- Detail '!H312</f>
        <v>1813.1</v>
      </c>
      <c r="C38" s="31" t="str">
        <f>'INS- Detail '!B270</f>
        <v xml:space="preserve">Plastic Emulsion paint two coat of Old walls including cost of materials and labours etc.., completed </v>
      </c>
      <c r="D38" s="3" t="e">
        <f>#REF!</f>
        <v>#REF!</v>
      </c>
      <c r="E38" s="30" t="s">
        <v>306</v>
      </c>
      <c r="F38" s="13" t="e">
        <f t="shared" si="0"/>
        <v>#REF!</v>
      </c>
    </row>
    <row r="39" spans="1:8" ht="56.45" customHeight="1">
      <c r="A39" s="2">
        <v>31</v>
      </c>
      <c r="B39" s="3">
        <f>'INS- Detail '!H323</f>
        <v>203.2</v>
      </c>
      <c r="C39" s="31" t="str">
        <f>'INS- Detail '!B313</f>
        <v xml:space="preserve">Painting the old wood work two coats including cost of materials and labours etc.., completed </v>
      </c>
      <c r="D39" s="3" t="e">
        <f>#REF!</f>
        <v>#REF!</v>
      </c>
      <c r="E39" s="30" t="s">
        <v>306</v>
      </c>
      <c r="F39" s="13" t="e">
        <f t="shared" si="0"/>
        <v>#REF!</v>
      </c>
    </row>
    <row r="40" spans="1:8" ht="56.45" customHeight="1">
      <c r="A40" s="2">
        <v>32</v>
      </c>
      <c r="B40" s="3" t="e">
        <f>'INS- Detail '!#REF!</f>
        <v>#REF!</v>
      </c>
      <c r="C40" s="31" t="e">
        <f>'INS- Detail '!#REF!</f>
        <v>#REF!</v>
      </c>
      <c r="D40" s="34" t="e">
        <f>#REF!</f>
        <v>#REF!</v>
      </c>
      <c r="E40" s="30" t="s">
        <v>306</v>
      </c>
      <c r="F40" s="13" t="e">
        <f t="shared" si="0"/>
        <v>#REF!</v>
      </c>
    </row>
    <row r="41" spans="1:8" ht="75.599999999999994" customHeight="1">
      <c r="A41" s="2">
        <v>33</v>
      </c>
      <c r="B41" s="3">
        <f>'INS- Detail '!H325</f>
        <v>5</v>
      </c>
      <c r="C41" s="31" t="str">
        <f>'INS- Detail '!B324</f>
        <v>Precast Slab For chamber cover slab ( SFRC Slabof size 600 x 600mm with frame) Including Cost of materials etc.., (SR.Pg.No.77 item no.284.a)</v>
      </c>
      <c r="D41" s="3">
        <v>2700</v>
      </c>
      <c r="E41" s="30" t="s">
        <v>340</v>
      </c>
      <c r="F41" s="13">
        <f t="shared" si="0"/>
        <v>13500</v>
      </c>
    </row>
    <row r="42" spans="1:8" ht="75.599999999999994" customHeight="1">
      <c r="A42" s="2">
        <v>34</v>
      </c>
      <c r="B42" s="3">
        <f>'INS- Detail '!H329</f>
        <v>5</v>
      </c>
      <c r="C42" s="31" t="str">
        <f>'INS- Detail '!B327</f>
        <v>Supplyying and fixing of pvc sintex tank of 700cum capacity of pvc tank etc., all complete( SR Pg.No.50 item no.180)</v>
      </c>
      <c r="D42" s="3">
        <f>H42</f>
        <v>7200</v>
      </c>
      <c r="E42" s="30" t="s">
        <v>325</v>
      </c>
      <c r="F42" s="13">
        <f t="shared" si="0"/>
        <v>36000</v>
      </c>
      <c r="G42" s="9">
        <f>9.6</f>
        <v>9.6</v>
      </c>
      <c r="H42" s="9">
        <f>G42*750</f>
        <v>7200</v>
      </c>
    </row>
    <row r="43" spans="1:8" ht="75.599999999999994" customHeight="1">
      <c r="A43" s="2">
        <v>35</v>
      </c>
      <c r="B43" s="3">
        <f>'INS- Detail '!H333</f>
        <v>11.16</v>
      </c>
      <c r="C43" s="31" t="str">
        <f>'INS- Detail '!B330</f>
        <v xml:space="preserve">Supplying and fixing of TW single leaf glazed window shutter  for frame of overall height 135cm </v>
      </c>
      <c r="D43" s="3" t="e">
        <f>#REF!</f>
        <v>#REF!</v>
      </c>
      <c r="E43" s="30" t="s">
        <v>306</v>
      </c>
      <c r="F43" s="13" t="e">
        <f t="shared" si="0"/>
        <v>#REF!</v>
      </c>
    </row>
    <row r="44" spans="1:8" ht="75.599999999999994" customHeight="1">
      <c r="A44" s="2">
        <v>36</v>
      </c>
      <c r="B44" s="3">
        <f>'INS- Detail '!H381</f>
        <v>5</v>
      </c>
      <c r="C44" s="31" t="str">
        <f>'INS- Detail '!B380</f>
        <v xml:space="preserve">Supply and fixing of Wash basin including cost of materials and labours etc.., completed </v>
      </c>
      <c r="D44" s="3" t="e">
        <f>'PC - Abs'!D44</f>
        <v>#REF!</v>
      </c>
      <c r="E44" s="30" t="s">
        <v>340</v>
      </c>
      <c r="F44" s="13" t="e">
        <f t="shared" si="0"/>
        <v>#REF!</v>
      </c>
    </row>
    <row r="45" spans="1:8" ht="75.599999999999994" customHeight="1">
      <c r="A45" s="2">
        <v>37</v>
      </c>
      <c r="B45" s="3">
        <f>'INS- Detail '!H383</f>
        <v>5</v>
      </c>
      <c r="C45" s="31" t="str">
        <f>'INS- Detail '!B382</f>
        <v xml:space="preserve">S&amp;F of Bevelled edge mirror 500 x 400 x 5.5mm including cost of materials and labours etc.., completed </v>
      </c>
      <c r="D45" s="3">
        <f>'SI - Abs'!D45</f>
        <v>471.2</v>
      </c>
      <c r="E45" s="30" t="s">
        <v>340</v>
      </c>
      <c r="F45" s="13">
        <f t="shared" si="0"/>
        <v>2356</v>
      </c>
    </row>
    <row r="46" spans="1:8" ht="75.599999999999994" customHeight="1">
      <c r="A46" s="2">
        <v>38</v>
      </c>
      <c r="B46" s="3">
        <f>'INS- Detail '!H389</f>
        <v>17.650000000000006</v>
      </c>
      <c r="C46" s="31" t="str">
        <f>'INS- Detail '!B384</f>
        <v xml:space="preserve">Painting the New wood work two coats including cost of materials and labours etc.., completed </v>
      </c>
      <c r="D46" s="3">
        <f>'SI - Abs'!D46</f>
        <v>264.52999999999997</v>
      </c>
      <c r="E46" s="30" t="s">
        <v>306</v>
      </c>
      <c r="F46" s="13">
        <f t="shared" si="0"/>
        <v>4668.9545000000007</v>
      </c>
    </row>
    <row r="47" spans="1:8">
      <c r="A47" s="2"/>
      <c r="B47" s="3"/>
      <c r="C47" s="1954" t="s">
        <v>223</v>
      </c>
      <c r="D47" s="1954"/>
      <c r="E47" s="1954"/>
      <c r="F47" s="17" t="e">
        <f>SUM(F6:F46)</f>
        <v>#REF!</v>
      </c>
    </row>
    <row r="48" spans="1:8" ht="19.5" customHeight="1">
      <c r="A48" s="2"/>
      <c r="B48" s="3"/>
      <c r="C48" s="33" t="s">
        <v>382</v>
      </c>
      <c r="D48" s="1948" t="s">
        <v>226</v>
      </c>
      <c r="E48" s="1949"/>
      <c r="F48" s="16" t="e">
        <f>F47*12%</f>
        <v>#REF!</v>
      </c>
      <c r="G48" s="28"/>
    </row>
    <row r="49" spans="1:7">
      <c r="A49" s="2"/>
      <c r="B49" s="3"/>
      <c r="C49" s="1955" t="s">
        <v>3454</v>
      </c>
      <c r="D49" s="1956"/>
      <c r="E49" s="1957"/>
      <c r="F49" s="17" t="e">
        <f>SUM(F47:F48)</f>
        <v>#REF!</v>
      </c>
      <c r="G49" s="28"/>
    </row>
    <row r="50" spans="1:7" ht="21.75" customHeight="1">
      <c r="A50" s="2"/>
      <c r="B50" s="3"/>
      <c r="C50" s="12" t="s">
        <v>224</v>
      </c>
      <c r="D50" s="1948" t="s">
        <v>226</v>
      </c>
      <c r="E50" s="1949"/>
      <c r="F50" s="16" t="e">
        <f>F49*1%</f>
        <v>#REF!</v>
      </c>
    </row>
    <row r="51" spans="1:7" ht="20.25" customHeight="1">
      <c r="A51" s="2"/>
      <c r="B51" s="3"/>
      <c r="C51" s="12" t="s">
        <v>225</v>
      </c>
      <c r="D51" s="1948" t="s">
        <v>226</v>
      </c>
      <c r="E51" s="1949"/>
      <c r="F51" s="16" t="e">
        <f>F49*7.5%</f>
        <v>#REF!</v>
      </c>
    </row>
    <row r="52" spans="1:7" ht="19.5" customHeight="1">
      <c r="A52" s="2"/>
      <c r="B52" s="3"/>
      <c r="C52" s="571" t="s">
        <v>3558</v>
      </c>
      <c r="D52" s="1948" t="s">
        <v>226</v>
      </c>
      <c r="E52" s="1949"/>
      <c r="F52" s="16">
        <v>100000</v>
      </c>
      <c r="G52" s="28"/>
    </row>
    <row r="53" spans="1:7">
      <c r="A53" s="2"/>
      <c r="B53" s="3"/>
      <c r="C53" s="1955" t="s">
        <v>227</v>
      </c>
      <c r="D53" s="1956"/>
      <c r="E53" s="1957"/>
      <c r="F53" s="17" t="e">
        <f>SUM(F49:F52)</f>
        <v>#REF!</v>
      </c>
    </row>
    <row r="54" spans="1:7" ht="21" customHeight="1">
      <c r="A54" s="2"/>
      <c r="B54" s="3"/>
      <c r="C54" s="784"/>
      <c r="D54" s="784"/>
      <c r="E54" s="14" t="s">
        <v>9</v>
      </c>
      <c r="F54" s="17"/>
    </row>
    <row r="55" spans="1:7">
      <c r="D55" s="19"/>
      <c r="E55" s="1947"/>
      <c r="F55" s="1947"/>
    </row>
  </sheetData>
  <mergeCells count="12">
    <mergeCell ref="D50:E50"/>
    <mergeCell ref="D51:E51"/>
    <mergeCell ref="D52:E52"/>
    <mergeCell ref="C53:E53"/>
    <mergeCell ref="E55:F55"/>
    <mergeCell ref="C49:E49"/>
    <mergeCell ref="A1:F1"/>
    <mergeCell ref="A2:F2"/>
    <mergeCell ref="A4:F4"/>
    <mergeCell ref="C47:E47"/>
    <mergeCell ref="D48:E48"/>
    <mergeCell ref="A3:F3"/>
  </mergeCells>
  <pageMargins left="0.7" right="0.7" top="0.75" bottom="0.75" header="0.3" footer="0.3"/>
  <pageSetup paperSize="9" scale="94" orientation="portrait" r:id="rId1"/>
</worksheet>
</file>

<file path=xl/worksheets/sheet21.xml><?xml version="1.0" encoding="utf-8"?>
<worksheet xmlns="http://schemas.openxmlformats.org/spreadsheetml/2006/main" xmlns:r="http://schemas.openxmlformats.org/officeDocument/2006/relationships">
  <sheetPr codeName="Sheet14">
    <tabColor rgb="FF00B050"/>
  </sheetPr>
  <dimension ref="A1:I87"/>
  <sheetViews>
    <sheetView view="pageBreakPreview" topLeftCell="A45" zoomScale="90" zoomScaleNormal="90" zoomScaleSheetLayoutView="90" workbookViewId="0">
      <selection activeCell="H57" sqref="H57"/>
    </sheetView>
  </sheetViews>
  <sheetFormatPr defaultColWidth="9.28515625" defaultRowHeight="15.75"/>
  <cols>
    <col min="1" max="1" width="5.28515625" style="780" customWidth="1"/>
    <col min="2" max="2" width="36.7109375" style="29" customWidth="1"/>
    <col min="3" max="4" width="5.42578125" style="780" customWidth="1"/>
    <col min="5" max="5" width="9.5703125" style="781" customWidth="1"/>
    <col min="6" max="7" width="7.7109375" style="781" customWidth="1"/>
    <col min="8" max="8" width="10.28515625" style="782" customWidth="1"/>
    <col min="9" max="9" width="8.7109375" style="780" customWidth="1"/>
    <col min="10" max="13" width="9.28515625" style="29"/>
    <col min="14" max="14" width="12.7109375" style="29" bestFit="1" customWidth="1"/>
    <col min="15" max="16384" width="9.28515625" style="29"/>
  </cols>
  <sheetData>
    <row r="1" spans="1:9">
      <c r="A1" s="2040" t="s">
        <v>241</v>
      </c>
      <c r="B1" s="2040"/>
      <c r="C1" s="2040"/>
      <c r="D1" s="2040"/>
      <c r="E1" s="2040"/>
      <c r="F1" s="2040"/>
      <c r="G1" s="2040"/>
      <c r="H1" s="2040"/>
      <c r="I1" s="2040"/>
    </row>
    <row r="2" spans="1:9" ht="42.6" customHeight="1">
      <c r="A2" s="2040" t="s">
        <v>3699</v>
      </c>
      <c r="B2" s="2040"/>
      <c r="C2" s="2040"/>
      <c r="D2" s="2040"/>
      <c r="E2" s="2040"/>
      <c r="F2" s="2040"/>
      <c r="G2" s="2040"/>
      <c r="H2" s="2040"/>
      <c r="I2" s="2040"/>
    </row>
    <row r="3" spans="1:9" ht="20.45" customHeight="1">
      <c r="A3" s="1999" t="s">
        <v>3741</v>
      </c>
      <c r="B3" s="2000"/>
      <c r="C3" s="2000"/>
      <c r="D3" s="2000"/>
      <c r="E3" s="2000"/>
      <c r="F3" s="2000"/>
      <c r="G3" s="2000"/>
      <c r="H3" s="2000"/>
      <c r="I3" s="2001"/>
    </row>
    <row r="4" spans="1:9" ht="22.5" customHeight="1">
      <c r="A4" s="1999" t="s">
        <v>5390</v>
      </c>
      <c r="B4" s="2000"/>
      <c r="C4" s="2000"/>
      <c r="D4" s="2000"/>
      <c r="E4" s="2000"/>
      <c r="F4" s="2000"/>
      <c r="G4" s="2000"/>
      <c r="H4" s="2000"/>
      <c r="I4" s="2001"/>
    </row>
    <row r="5" spans="1:9" ht="40.5" customHeight="1">
      <c r="A5" s="785" t="s">
        <v>12</v>
      </c>
      <c r="B5" s="785" t="s">
        <v>11</v>
      </c>
      <c r="C5" s="2040" t="s">
        <v>4</v>
      </c>
      <c r="D5" s="2040"/>
      <c r="E5" s="724" t="s">
        <v>5</v>
      </c>
      <c r="F5" s="724" t="s">
        <v>6</v>
      </c>
      <c r="G5" s="724" t="s">
        <v>7</v>
      </c>
      <c r="H5" s="724" t="s">
        <v>3</v>
      </c>
      <c r="I5" s="724" t="s">
        <v>10</v>
      </c>
    </row>
    <row r="6" spans="1:9" ht="67.150000000000006" customHeight="1">
      <c r="A6" s="30">
        <v>1</v>
      </c>
      <c r="B6" s="726" t="s">
        <v>3242</v>
      </c>
      <c r="C6" s="30"/>
      <c r="D6" s="30"/>
      <c r="E6" s="34"/>
      <c r="F6" s="34"/>
      <c r="G6" s="34"/>
      <c r="H6" s="42"/>
      <c r="I6" s="30"/>
    </row>
    <row r="7" spans="1:9">
      <c r="A7" s="30"/>
      <c r="B7" s="794" t="s">
        <v>3243</v>
      </c>
      <c r="C7" s="30"/>
      <c r="D7" s="30"/>
      <c r="E7" s="34"/>
      <c r="F7" s="34"/>
      <c r="G7" s="34"/>
      <c r="H7" s="42"/>
      <c r="I7" s="30"/>
    </row>
    <row r="8" spans="1:9">
      <c r="A8" s="30"/>
      <c r="B8" s="31" t="s">
        <v>3248</v>
      </c>
      <c r="C8" s="30"/>
      <c r="D8" s="30"/>
      <c r="E8" s="34"/>
      <c r="F8" s="34"/>
      <c r="G8" s="34"/>
      <c r="H8" s="42"/>
      <c r="I8" s="30"/>
    </row>
    <row r="9" spans="1:9">
      <c r="A9" s="30"/>
      <c r="B9" s="31" t="s">
        <v>3245</v>
      </c>
      <c r="C9" s="30">
        <v>5</v>
      </c>
      <c r="D9" s="30">
        <v>1</v>
      </c>
      <c r="E9" s="34" t="s">
        <v>21</v>
      </c>
      <c r="F9" s="34" t="s">
        <v>21</v>
      </c>
      <c r="G9" s="34" t="s">
        <v>21</v>
      </c>
      <c r="H9" s="42">
        <f t="shared" ref="H9:H12" si="0">PRODUCT(C9:G9)</f>
        <v>5</v>
      </c>
      <c r="I9" s="30"/>
    </row>
    <row r="10" spans="1:9">
      <c r="A10" s="30"/>
      <c r="B10" s="31" t="s">
        <v>129</v>
      </c>
      <c r="C10" s="30">
        <v>5</v>
      </c>
      <c r="D10" s="30">
        <v>1</v>
      </c>
      <c r="E10" s="34" t="s">
        <v>21</v>
      </c>
      <c r="F10" s="34" t="s">
        <v>21</v>
      </c>
      <c r="G10" s="34" t="s">
        <v>21</v>
      </c>
      <c r="H10" s="42">
        <f t="shared" si="0"/>
        <v>5</v>
      </c>
      <c r="I10" s="30"/>
    </row>
    <row r="11" spans="1:9">
      <c r="A11" s="30"/>
      <c r="B11" s="31" t="s">
        <v>3185</v>
      </c>
      <c r="C11" s="30">
        <v>5</v>
      </c>
      <c r="D11" s="30">
        <v>1</v>
      </c>
      <c r="E11" s="34" t="s">
        <v>21</v>
      </c>
      <c r="F11" s="34" t="s">
        <v>21</v>
      </c>
      <c r="G11" s="34" t="s">
        <v>21</v>
      </c>
      <c r="H11" s="42">
        <f t="shared" si="0"/>
        <v>5</v>
      </c>
      <c r="I11" s="30"/>
    </row>
    <row r="12" spans="1:9">
      <c r="A12" s="30"/>
      <c r="B12" s="31" t="s">
        <v>3246</v>
      </c>
      <c r="C12" s="30">
        <v>5</v>
      </c>
      <c r="D12" s="30">
        <v>1</v>
      </c>
      <c r="E12" s="34" t="s">
        <v>21</v>
      </c>
      <c r="F12" s="34" t="s">
        <v>21</v>
      </c>
      <c r="G12" s="34" t="s">
        <v>21</v>
      </c>
      <c r="H12" s="42">
        <f t="shared" si="0"/>
        <v>5</v>
      </c>
      <c r="I12" s="30"/>
    </row>
    <row r="13" spans="1:9">
      <c r="A13" s="30"/>
      <c r="B13" s="31" t="s">
        <v>3250</v>
      </c>
      <c r="C13" s="30">
        <v>5</v>
      </c>
      <c r="D13" s="30">
        <v>1</v>
      </c>
      <c r="E13" s="34" t="s">
        <v>21</v>
      </c>
      <c r="F13" s="34" t="s">
        <v>21</v>
      </c>
      <c r="G13" s="34" t="s">
        <v>21</v>
      </c>
      <c r="H13" s="42">
        <f>PRODUCT(C13:G13)</f>
        <v>5</v>
      </c>
      <c r="I13" s="30"/>
    </row>
    <row r="14" spans="1:9">
      <c r="A14" s="30"/>
      <c r="B14" s="31" t="s">
        <v>3474</v>
      </c>
      <c r="C14" s="30">
        <v>5</v>
      </c>
      <c r="D14" s="30">
        <v>2</v>
      </c>
      <c r="E14" s="34" t="s">
        <v>21</v>
      </c>
      <c r="F14" s="34" t="s">
        <v>21</v>
      </c>
      <c r="G14" s="34" t="s">
        <v>21</v>
      </c>
      <c r="H14" s="42">
        <f t="shared" ref="H14:H15" si="1">PRODUCT(C14:G14)</f>
        <v>10</v>
      </c>
      <c r="I14" s="30"/>
    </row>
    <row r="15" spans="1:9">
      <c r="A15" s="30"/>
      <c r="B15" s="31" t="s">
        <v>3475</v>
      </c>
      <c r="C15" s="30">
        <v>5</v>
      </c>
      <c r="D15" s="30">
        <v>2</v>
      </c>
      <c r="E15" s="34" t="s">
        <v>21</v>
      </c>
      <c r="F15" s="34" t="s">
        <v>21</v>
      </c>
      <c r="G15" s="34" t="s">
        <v>21</v>
      </c>
      <c r="H15" s="42">
        <f t="shared" si="1"/>
        <v>10</v>
      </c>
      <c r="I15" s="30"/>
    </row>
    <row r="16" spans="1:9">
      <c r="A16" s="30"/>
      <c r="B16" s="31"/>
      <c r="C16" s="30"/>
      <c r="D16" s="30"/>
      <c r="E16" s="34"/>
      <c r="F16" s="34"/>
      <c r="G16" s="34"/>
      <c r="H16" s="43">
        <f>SUM(H9:H15)</f>
        <v>45</v>
      </c>
      <c r="I16" s="30" t="s">
        <v>340</v>
      </c>
    </row>
    <row r="17" spans="1:9" ht="31.5">
      <c r="A17" s="30"/>
      <c r="B17" s="745" t="s">
        <v>3251</v>
      </c>
      <c r="C17" s="30"/>
      <c r="D17" s="30"/>
      <c r="E17" s="34"/>
      <c r="F17" s="34"/>
      <c r="G17" s="34"/>
      <c r="H17" s="42"/>
      <c r="I17" s="30"/>
    </row>
    <row r="18" spans="1:9">
      <c r="A18" s="30"/>
      <c r="B18" s="31" t="s">
        <v>79</v>
      </c>
      <c r="C18" s="30">
        <v>5</v>
      </c>
      <c r="D18" s="30">
        <v>1</v>
      </c>
      <c r="E18" s="34" t="s">
        <v>21</v>
      </c>
      <c r="F18" s="34" t="s">
        <v>21</v>
      </c>
      <c r="G18" s="34" t="s">
        <v>21</v>
      </c>
      <c r="H18" s="42">
        <f>PRODUCT(C18:G18)</f>
        <v>5</v>
      </c>
      <c r="I18" s="30"/>
    </row>
    <row r="19" spans="1:9">
      <c r="A19" s="30"/>
      <c r="B19" s="31" t="s">
        <v>1</v>
      </c>
      <c r="C19" s="30">
        <v>5</v>
      </c>
      <c r="D19" s="30">
        <v>2</v>
      </c>
      <c r="E19" s="34" t="s">
        <v>21</v>
      </c>
      <c r="F19" s="34" t="s">
        <v>21</v>
      </c>
      <c r="G19" s="34" t="s">
        <v>21</v>
      </c>
      <c r="H19" s="42">
        <f>PRODUCT(C19:G19)</f>
        <v>10</v>
      </c>
      <c r="I19" s="30"/>
    </row>
    <row r="20" spans="1:9">
      <c r="A20" s="30"/>
      <c r="B20" s="31" t="s">
        <v>129</v>
      </c>
      <c r="C20" s="30">
        <v>5</v>
      </c>
      <c r="D20" s="30">
        <v>1</v>
      </c>
      <c r="E20" s="34" t="s">
        <v>21</v>
      </c>
      <c r="F20" s="34" t="s">
        <v>21</v>
      </c>
      <c r="G20" s="34" t="s">
        <v>21</v>
      </c>
      <c r="H20" s="42">
        <f t="shared" ref="H20" si="2">PRODUCT(C20:G20)</f>
        <v>5</v>
      </c>
      <c r="I20" s="30"/>
    </row>
    <row r="21" spans="1:9">
      <c r="A21" s="30"/>
      <c r="B21" s="31" t="s">
        <v>3185</v>
      </c>
      <c r="C21" s="30">
        <v>5</v>
      </c>
      <c r="D21" s="30">
        <v>1</v>
      </c>
      <c r="E21" s="34" t="s">
        <v>21</v>
      </c>
      <c r="F21" s="34" t="s">
        <v>21</v>
      </c>
      <c r="G21" s="34" t="s">
        <v>21</v>
      </c>
      <c r="H21" s="42">
        <f>PRODUCT(C21:G21)</f>
        <v>5</v>
      </c>
      <c r="I21" s="30"/>
    </row>
    <row r="22" spans="1:9">
      <c r="A22" s="30"/>
      <c r="B22" s="31"/>
      <c r="C22" s="30"/>
      <c r="D22" s="30"/>
      <c r="E22" s="34"/>
      <c r="F22" s="34"/>
      <c r="G22" s="34"/>
      <c r="H22" s="43">
        <f>SUM(H18:H21)</f>
        <v>25</v>
      </c>
      <c r="I22" s="30" t="s">
        <v>340</v>
      </c>
    </row>
    <row r="23" spans="1:9" ht="63">
      <c r="A23" s="30">
        <v>2</v>
      </c>
      <c r="B23" s="745" t="s">
        <v>3253</v>
      </c>
      <c r="C23" s="30"/>
      <c r="D23" s="30"/>
      <c r="E23" s="34"/>
      <c r="F23" s="34"/>
      <c r="G23" s="34"/>
      <c r="H23" s="42"/>
      <c r="I23" s="30"/>
    </row>
    <row r="24" spans="1:9">
      <c r="A24" s="30"/>
      <c r="B24" s="31" t="s">
        <v>3181</v>
      </c>
      <c r="C24" s="30"/>
      <c r="D24" s="30"/>
      <c r="E24" s="34"/>
      <c r="F24" s="34"/>
      <c r="G24" s="34"/>
      <c r="H24" s="42"/>
      <c r="I24" s="30"/>
    </row>
    <row r="25" spans="1:9">
      <c r="A25" s="30"/>
      <c r="B25" s="31" t="s">
        <v>129</v>
      </c>
      <c r="C25" s="30">
        <v>5</v>
      </c>
      <c r="D25" s="30">
        <v>1</v>
      </c>
      <c r="E25" s="34" t="s">
        <v>21</v>
      </c>
      <c r="F25" s="34" t="s">
        <v>21</v>
      </c>
      <c r="G25" s="34" t="s">
        <v>21</v>
      </c>
      <c r="H25" s="42">
        <f>PRODUCT(C25:G25)</f>
        <v>5</v>
      </c>
      <c r="I25" s="30"/>
    </row>
    <row r="26" spans="1:9">
      <c r="A26" s="30"/>
      <c r="B26" s="31" t="s">
        <v>3185</v>
      </c>
      <c r="C26" s="30">
        <v>5</v>
      </c>
      <c r="D26" s="30">
        <v>1</v>
      </c>
      <c r="E26" s="34" t="s">
        <v>21</v>
      </c>
      <c r="F26" s="34" t="s">
        <v>21</v>
      </c>
      <c r="G26" s="34" t="s">
        <v>21</v>
      </c>
      <c r="H26" s="42">
        <f>PRODUCT(C26:G26)</f>
        <v>5</v>
      </c>
      <c r="I26" s="30"/>
    </row>
    <row r="27" spans="1:9">
      <c r="A27" s="30"/>
      <c r="B27" s="31" t="s">
        <v>3246</v>
      </c>
      <c r="C27" s="30">
        <v>5</v>
      </c>
      <c r="D27" s="30">
        <v>1</v>
      </c>
      <c r="E27" s="34" t="s">
        <v>21</v>
      </c>
      <c r="F27" s="34" t="s">
        <v>21</v>
      </c>
      <c r="G27" s="34" t="s">
        <v>21</v>
      </c>
      <c r="H27" s="42">
        <f>PRODUCT(C27:G27)</f>
        <v>5</v>
      </c>
      <c r="I27" s="30"/>
    </row>
    <row r="28" spans="1:9">
      <c r="A28" s="30"/>
      <c r="B28" s="31" t="s">
        <v>5282</v>
      </c>
      <c r="C28" s="30">
        <v>5</v>
      </c>
      <c r="D28" s="30">
        <v>1</v>
      </c>
      <c r="E28" s="34" t="s">
        <v>21</v>
      </c>
      <c r="F28" s="34" t="s">
        <v>21</v>
      </c>
      <c r="G28" s="34" t="s">
        <v>21</v>
      </c>
      <c r="H28" s="42">
        <f>PRODUCT(C28:G28)</f>
        <v>5</v>
      </c>
      <c r="I28" s="30"/>
    </row>
    <row r="29" spans="1:9">
      <c r="A29" s="30"/>
      <c r="B29" s="31" t="s">
        <v>3250</v>
      </c>
      <c r="C29" s="30">
        <v>5</v>
      </c>
      <c r="D29" s="30">
        <v>1</v>
      </c>
      <c r="E29" s="34" t="s">
        <v>21</v>
      </c>
      <c r="F29" s="34" t="s">
        <v>21</v>
      </c>
      <c r="G29" s="34" t="s">
        <v>21</v>
      </c>
      <c r="H29" s="42">
        <f>PRODUCT(C29:G29)</f>
        <v>5</v>
      </c>
      <c r="I29" s="30"/>
    </row>
    <row r="30" spans="1:9">
      <c r="A30" s="30"/>
      <c r="B30" s="31"/>
      <c r="C30" s="30"/>
      <c r="D30" s="30"/>
      <c r="E30" s="34"/>
      <c r="F30" s="34"/>
      <c r="G30" s="34"/>
      <c r="H30" s="43">
        <f>SUM(H25:H29)</f>
        <v>25</v>
      </c>
      <c r="I30" s="30" t="s">
        <v>340</v>
      </c>
    </row>
    <row r="31" spans="1:9" ht="63">
      <c r="A31" s="30">
        <v>3</v>
      </c>
      <c r="B31" s="745" t="s">
        <v>3254</v>
      </c>
      <c r="C31" s="30"/>
      <c r="D31" s="30"/>
      <c r="E31" s="34"/>
      <c r="F31" s="34"/>
      <c r="G31" s="34"/>
      <c r="H31" s="42"/>
      <c r="I31" s="30"/>
    </row>
    <row r="32" spans="1:9">
      <c r="A32" s="30"/>
      <c r="B32" s="31" t="s">
        <v>3181</v>
      </c>
      <c r="C32" s="30"/>
      <c r="D32" s="30"/>
      <c r="E32" s="34"/>
      <c r="F32" s="34"/>
      <c r="G32" s="34"/>
      <c r="H32" s="42"/>
      <c r="I32" s="30"/>
    </row>
    <row r="33" spans="1:9">
      <c r="A33" s="30"/>
      <c r="B33" s="31" t="s">
        <v>129</v>
      </c>
      <c r="C33" s="30">
        <v>5</v>
      </c>
      <c r="D33" s="30">
        <v>1</v>
      </c>
      <c r="E33" s="34" t="s">
        <v>21</v>
      </c>
      <c r="F33" s="34" t="s">
        <v>21</v>
      </c>
      <c r="G33" s="34" t="s">
        <v>21</v>
      </c>
      <c r="H33" s="42">
        <f>PRODUCT(C33:G33)</f>
        <v>5</v>
      </c>
      <c r="I33" s="30"/>
    </row>
    <row r="34" spans="1:9">
      <c r="A34" s="30"/>
      <c r="B34" s="31" t="s">
        <v>3185</v>
      </c>
      <c r="C34" s="30">
        <v>5</v>
      </c>
      <c r="D34" s="30">
        <v>1</v>
      </c>
      <c r="E34" s="34" t="s">
        <v>21</v>
      </c>
      <c r="F34" s="34" t="s">
        <v>21</v>
      </c>
      <c r="G34" s="34" t="s">
        <v>21</v>
      </c>
      <c r="H34" s="42">
        <f>PRODUCT(C34:G34)</f>
        <v>5</v>
      </c>
      <c r="I34" s="30"/>
    </row>
    <row r="35" spans="1:9">
      <c r="A35" s="30"/>
      <c r="B35" s="31" t="s">
        <v>3246</v>
      </c>
      <c r="C35" s="30">
        <v>5</v>
      </c>
      <c r="D35" s="30">
        <v>1</v>
      </c>
      <c r="E35" s="34" t="s">
        <v>21</v>
      </c>
      <c r="F35" s="34" t="s">
        <v>21</v>
      </c>
      <c r="G35" s="34" t="s">
        <v>21</v>
      </c>
      <c r="H35" s="42">
        <f>PRODUCT(C35:G35)</f>
        <v>5</v>
      </c>
      <c r="I35" s="30"/>
    </row>
    <row r="36" spans="1:9">
      <c r="A36" s="30"/>
      <c r="B36" s="31" t="s">
        <v>3250</v>
      </c>
      <c r="C36" s="30">
        <v>5</v>
      </c>
      <c r="D36" s="30">
        <v>1</v>
      </c>
      <c r="E36" s="34" t="s">
        <v>21</v>
      </c>
      <c r="F36" s="34" t="s">
        <v>21</v>
      </c>
      <c r="G36" s="34" t="s">
        <v>21</v>
      </c>
      <c r="H36" s="42">
        <f>PRODUCT(C36:G36)</f>
        <v>5</v>
      </c>
      <c r="I36" s="30"/>
    </row>
    <row r="37" spans="1:9">
      <c r="A37" s="30"/>
      <c r="B37" s="31"/>
      <c r="C37" s="30"/>
      <c r="D37" s="30"/>
      <c r="E37" s="34"/>
      <c r="F37" s="34"/>
      <c r="G37" s="34"/>
      <c r="H37" s="43">
        <f>SUM(H32:H36)</f>
        <v>20</v>
      </c>
      <c r="I37" s="30" t="s">
        <v>340</v>
      </c>
    </row>
    <row r="38" spans="1:9" ht="47.25">
      <c r="A38" s="30">
        <v>4</v>
      </c>
      <c r="B38" s="726" t="s">
        <v>3255</v>
      </c>
      <c r="C38" s="30"/>
      <c r="D38" s="30"/>
      <c r="E38" s="34"/>
      <c r="F38" s="34"/>
      <c r="G38" s="34"/>
      <c r="H38" s="42"/>
      <c r="I38" s="30"/>
    </row>
    <row r="39" spans="1:9">
      <c r="A39" s="30"/>
      <c r="B39" s="31" t="s">
        <v>3181</v>
      </c>
      <c r="C39" s="30"/>
      <c r="D39" s="30"/>
      <c r="E39" s="34"/>
      <c r="F39" s="34"/>
      <c r="G39" s="34"/>
      <c r="H39" s="42"/>
      <c r="I39" s="30"/>
    </row>
    <row r="40" spans="1:9">
      <c r="A40" s="30"/>
      <c r="B40" s="31" t="s">
        <v>129</v>
      </c>
      <c r="C40" s="30">
        <v>5</v>
      </c>
      <c r="D40" s="30">
        <v>1</v>
      </c>
      <c r="E40" s="34" t="s">
        <v>21</v>
      </c>
      <c r="F40" s="34" t="s">
        <v>21</v>
      </c>
      <c r="G40" s="34" t="s">
        <v>21</v>
      </c>
      <c r="H40" s="42">
        <f>PRODUCT(C40:G40)</f>
        <v>5</v>
      </c>
      <c r="I40" s="30"/>
    </row>
    <row r="41" spans="1:9">
      <c r="A41" s="30"/>
      <c r="B41" s="31" t="s">
        <v>3738</v>
      </c>
      <c r="C41" s="30">
        <v>5</v>
      </c>
      <c r="D41" s="30">
        <v>1</v>
      </c>
      <c r="E41" s="34" t="s">
        <v>21</v>
      </c>
      <c r="F41" s="34" t="s">
        <v>21</v>
      </c>
      <c r="G41" s="34" t="s">
        <v>21</v>
      </c>
      <c r="H41" s="42">
        <f>PRODUCT(C41:G41)</f>
        <v>5</v>
      </c>
      <c r="I41" s="30"/>
    </row>
    <row r="42" spans="1:9">
      <c r="A42" s="30"/>
      <c r="B42" s="31" t="s">
        <v>5282</v>
      </c>
      <c r="C42" s="30">
        <v>5</v>
      </c>
      <c r="D42" s="30">
        <v>1</v>
      </c>
      <c r="E42" s="34" t="s">
        <v>21</v>
      </c>
      <c r="F42" s="34" t="s">
        <v>21</v>
      </c>
      <c r="G42" s="34" t="s">
        <v>21</v>
      </c>
      <c r="H42" s="42">
        <f>PRODUCT(C42:G42)</f>
        <v>5</v>
      </c>
      <c r="I42" s="30"/>
    </row>
    <row r="43" spans="1:9">
      <c r="A43" s="30"/>
      <c r="B43" s="31" t="s">
        <v>3246</v>
      </c>
      <c r="C43" s="30">
        <v>5</v>
      </c>
      <c r="D43" s="30">
        <v>2</v>
      </c>
      <c r="E43" s="34" t="s">
        <v>21</v>
      </c>
      <c r="F43" s="34" t="s">
        <v>21</v>
      </c>
      <c r="G43" s="34" t="s">
        <v>21</v>
      </c>
      <c r="H43" s="42">
        <f>PRODUCT(C43:G43)</f>
        <v>10</v>
      </c>
      <c r="I43" s="30"/>
    </row>
    <row r="44" spans="1:9">
      <c r="A44" s="30"/>
      <c r="B44" s="31"/>
      <c r="C44" s="30"/>
      <c r="D44" s="30"/>
      <c r="E44" s="34"/>
      <c r="F44" s="34"/>
      <c r="G44" s="34"/>
      <c r="H44" s="43">
        <f>SUM(H39:H43)</f>
        <v>25</v>
      </c>
      <c r="I44" s="30" t="s">
        <v>340</v>
      </c>
    </row>
    <row r="45" spans="1:9" ht="64.150000000000006" customHeight="1">
      <c r="A45" s="30">
        <v>5</v>
      </c>
      <c r="B45" s="726" t="s">
        <v>3256</v>
      </c>
      <c r="C45" s="30"/>
      <c r="D45" s="30"/>
      <c r="E45" s="34"/>
      <c r="F45" s="34"/>
      <c r="G45" s="34"/>
      <c r="H45" s="42"/>
      <c r="I45" s="30"/>
    </row>
    <row r="46" spans="1:9">
      <c r="A46" s="30"/>
      <c r="B46" s="31" t="s">
        <v>5283</v>
      </c>
      <c r="C46" s="30">
        <v>5</v>
      </c>
      <c r="D46" s="30">
        <v>2</v>
      </c>
      <c r="E46" s="34" t="s">
        <v>21</v>
      </c>
      <c r="F46" s="34" t="s">
        <v>21</v>
      </c>
      <c r="G46" s="34" t="s">
        <v>21</v>
      </c>
      <c r="H46" s="43">
        <f>PRODUCT(C46:G46)</f>
        <v>10</v>
      </c>
      <c r="I46" s="30" t="s">
        <v>340</v>
      </c>
    </row>
    <row r="47" spans="1:9" ht="54" customHeight="1">
      <c r="A47" s="30">
        <v>6</v>
      </c>
      <c r="B47" s="726" t="s">
        <v>3258</v>
      </c>
      <c r="C47" s="30"/>
      <c r="D47" s="30"/>
      <c r="E47" s="34"/>
      <c r="F47" s="34"/>
      <c r="G47" s="34"/>
      <c r="H47" s="42"/>
      <c r="I47" s="30"/>
    </row>
    <row r="48" spans="1:9" ht="13.15" customHeight="1">
      <c r="A48" s="30"/>
      <c r="B48" s="726" t="s">
        <v>5288</v>
      </c>
      <c r="C48" s="30"/>
      <c r="D48" s="30"/>
      <c r="E48" s="34"/>
      <c r="F48" s="34"/>
      <c r="G48" s="34"/>
      <c r="H48" s="42"/>
      <c r="I48" s="30"/>
    </row>
    <row r="49" spans="1:9">
      <c r="A49" s="30"/>
      <c r="B49" s="31" t="s">
        <v>79</v>
      </c>
      <c r="C49" s="30">
        <v>5</v>
      </c>
      <c r="D49" s="30">
        <v>1</v>
      </c>
      <c r="E49" s="34" t="s">
        <v>21</v>
      </c>
      <c r="F49" s="34" t="s">
        <v>21</v>
      </c>
      <c r="G49" s="34" t="s">
        <v>21</v>
      </c>
      <c r="H49" s="42">
        <f>PRODUCT(C49:G49)</f>
        <v>5</v>
      </c>
      <c r="I49" s="30"/>
    </row>
    <row r="50" spans="1:9">
      <c r="A50" s="30"/>
      <c r="B50" s="31" t="s">
        <v>5301</v>
      </c>
      <c r="C50" s="30">
        <v>5</v>
      </c>
      <c r="D50" s="30">
        <v>2</v>
      </c>
      <c r="E50" s="34" t="s">
        <v>21</v>
      </c>
      <c r="F50" s="34" t="s">
        <v>21</v>
      </c>
      <c r="G50" s="34" t="s">
        <v>21</v>
      </c>
      <c r="H50" s="42">
        <f>PRODUCT(C50:G50)</f>
        <v>10</v>
      </c>
      <c r="I50" s="30"/>
    </row>
    <row r="51" spans="1:9">
      <c r="A51" s="30"/>
      <c r="B51" s="31" t="s">
        <v>129</v>
      </c>
      <c r="C51" s="30">
        <v>5</v>
      </c>
      <c r="D51" s="30">
        <v>1</v>
      </c>
      <c r="E51" s="34" t="s">
        <v>21</v>
      </c>
      <c r="F51" s="34" t="s">
        <v>21</v>
      </c>
      <c r="G51" s="34" t="s">
        <v>21</v>
      </c>
      <c r="H51" s="42">
        <f t="shared" ref="H51" si="3">PRODUCT(C51:G51)</f>
        <v>5</v>
      </c>
      <c r="I51" s="30"/>
    </row>
    <row r="52" spans="1:9">
      <c r="A52" s="30"/>
      <c r="B52" s="31" t="s">
        <v>3185</v>
      </c>
      <c r="C52" s="30">
        <v>5</v>
      </c>
      <c r="D52" s="30">
        <v>1</v>
      </c>
      <c r="E52" s="34" t="s">
        <v>21</v>
      </c>
      <c r="F52" s="34" t="s">
        <v>21</v>
      </c>
      <c r="G52" s="34" t="s">
        <v>21</v>
      </c>
      <c r="H52" s="42">
        <f>PRODUCT(C52:G52)</f>
        <v>5</v>
      </c>
      <c r="I52" s="30"/>
    </row>
    <row r="53" spans="1:9" ht="20.45" customHeight="1">
      <c r="A53" s="30"/>
      <c r="B53" s="726"/>
      <c r="C53" s="30"/>
      <c r="D53" s="30"/>
      <c r="E53" s="34"/>
      <c r="F53" s="34"/>
      <c r="G53" s="34"/>
      <c r="H53" s="43">
        <f>SUM(H49:H52)</f>
        <v>25</v>
      </c>
      <c r="I53" s="30" t="s">
        <v>340</v>
      </c>
    </row>
    <row r="54" spans="1:9">
      <c r="A54" s="30"/>
      <c r="B54" s="726" t="s">
        <v>3259</v>
      </c>
      <c r="C54" s="30"/>
      <c r="D54" s="30"/>
      <c r="E54" s="34"/>
      <c r="F54" s="34"/>
      <c r="G54" s="34"/>
      <c r="H54" s="42"/>
      <c r="I54" s="30"/>
    </row>
    <row r="55" spans="1:9">
      <c r="A55" s="30"/>
      <c r="B55" s="31" t="s">
        <v>5283</v>
      </c>
      <c r="C55" s="30">
        <v>5</v>
      </c>
      <c r="D55" s="30">
        <v>2</v>
      </c>
      <c r="E55" s="34" t="s">
        <v>21</v>
      </c>
      <c r="F55" s="34" t="s">
        <v>21</v>
      </c>
      <c r="G55" s="34" t="s">
        <v>21</v>
      </c>
      <c r="H55" s="42">
        <f>PRODUCT(C55:G55)</f>
        <v>10</v>
      </c>
      <c r="I55" s="30"/>
    </row>
    <row r="56" spans="1:9">
      <c r="A56" s="30"/>
      <c r="B56" s="31" t="s">
        <v>3485</v>
      </c>
      <c r="C56" s="30">
        <v>2</v>
      </c>
      <c r="D56" s="30">
        <v>2</v>
      </c>
      <c r="E56" s="34" t="s">
        <v>21</v>
      </c>
      <c r="F56" s="34" t="s">
        <v>21</v>
      </c>
      <c r="G56" s="34" t="s">
        <v>21</v>
      </c>
      <c r="H56" s="32">
        <f>PRODUCT(C56:G56)</f>
        <v>4</v>
      </c>
      <c r="I56" s="30"/>
    </row>
    <row r="57" spans="1:9">
      <c r="A57" s="30"/>
      <c r="B57" s="31"/>
      <c r="C57" s="30"/>
      <c r="D57" s="30"/>
      <c r="E57" s="34"/>
      <c r="F57" s="34"/>
      <c r="G57" s="34"/>
      <c r="H57" s="43">
        <f>SUM(H55:H56)</f>
        <v>14</v>
      </c>
      <c r="I57" s="30" t="s">
        <v>340</v>
      </c>
    </row>
    <row r="58" spans="1:9" ht="61.15" customHeight="1">
      <c r="A58" s="30">
        <v>7</v>
      </c>
      <c r="B58" s="726" t="s">
        <v>3260</v>
      </c>
      <c r="C58" s="30"/>
      <c r="D58" s="30"/>
      <c r="E58" s="34"/>
      <c r="F58" s="34"/>
      <c r="G58" s="34"/>
      <c r="H58" s="42"/>
      <c r="I58" s="30"/>
    </row>
    <row r="59" spans="1:9">
      <c r="A59" s="30"/>
      <c r="B59" s="31" t="s">
        <v>3181</v>
      </c>
      <c r="C59" s="30"/>
      <c r="D59" s="30"/>
      <c r="E59" s="34"/>
      <c r="F59" s="34"/>
      <c r="G59" s="34"/>
      <c r="H59" s="42"/>
      <c r="I59" s="30"/>
    </row>
    <row r="60" spans="1:9">
      <c r="A60" s="30"/>
      <c r="B60" s="31" t="s">
        <v>3249</v>
      </c>
      <c r="C60" s="30">
        <v>5</v>
      </c>
      <c r="D60" s="30">
        <v>1</v>
      </c>
      <c r="E60" s="34" t="s">
        <v>21</v>
      </c>
      <c r="F60" s="34" t="s">
        <v>21</v>
      </c>
      <c r="G60" s="34" t="s">
        <v>21</v>
      </c>
      <c r="H60" s="42">
        <f>PRODUCT(C60:G60)</f>
        <v>5</v>
      </c>
      <c r="I60" s="30"/>
    </row>
    <row r="61" spans="1:9">
      <c r="A61" s="30"/>
      <c r="B61" s="31" t="s">
        <v>129</v>
      </c>
      <c r="C61" s="30">
        <v>5</v>
      </c>
      <c r="D61" s="30">
        <v>1</v>
      </c>
      <c r="E61" s="34" t="s">
        <v>21</v>
      </c>
      <c r="F61" s="34" t="s">
        <v>21</v>
      </c>
      <c r="G61" s="34" t="s">
        <v>21</v>
      </c>
      <c r="H61" s="42">
        <f>PRODUCT(C61:G61)</f>
        <v>5</v>
      </c>
      <c r="I61" s="30"/>
    </row>
    <row r="62" spans="1:9">
      <c r="A62" s="30"/>
      <c r="B62" s="31" t="s">
        <v>3185</v>
      </c>
      <c r="C62" s="30">
        <v>5</v>
      </c>
      <c r="D62" s="30">
        <v>1</v>
      </c>
      <c r="E62" s="34" t="s">
        <v>21</v>
      </c>
      <c r="F62" s="34" t="s">
        <v>21</v>
      </c>
      <c r="G62" s="34" t="s">
        <v>21</v>
      </c>
      <c r="H62" s="42">
        <f>PRODUCT(C62:G62)</f>
        <v>5</v>
      </c>
      <c r="I62" s="30"/>
    </row>
    <row r="63" spans="1:9">
      <c r="A63" s="30"/>
      <c r="B63" s="31" t="s">
        <v>3246</v>
      </c>
      <c r="C63" s="30">
        <v>5</v>
      </c>
      <c r="D63" s="30">
        <v>1</v>
      </c>
      <c r="E63" s="34" t="s">
        <v>21</v>
      </c>
      <c r="F63" s="34" t="s">
        <v>21</v>
      </c>
      <c r="G63" s="34" t="s">
        <v>21</v>
      </c>
      <c r="H63" s="42">
        <f>PRODUCT(C63:G63)</f>
        <v>5</v>
      </c>
      <c r="I63" s="30"/>
    </row>
    <row r="64" spans="1:9">
      <c r="A64" s="30"/>
      <c r="B64" s="31" t="s">
        <v>3250</v>
      </c>
      <c r="C64" s="30">
        <v>5</v>
      </c>
      <c r="D64" s="30">
        <v>1</v>
      </c>
      <c r="E64" s="34" t="s">
        <v>21</v>
      </c>
      <c r="F64" s="34" t="s">
        <v>21</v>
      </c>
      <c r="G64" s="34" t="s">
        <v>21</v>
      </c>
      <c r="H64" s="42">
        <f>PRODUCT(C64:G64)</f>
        <v>5</v>
      </c>
      <c r="I64" s="30"/>
    </row>
    <row r="65" spans="1:9">
      <c r="A65" s="30"/>
      <c r="B65" s="31"/>
      <c r="C65" s="30"/>
      <c r="D65" s="30"/>
      <c r="E65" s="34"/>
      <c r="F65" s="34"/>
      <c r="G65" s="34"/>
      <c r="H65" s="43">
        <f>SUM(H60:H64)</f>
        <v>25</v>
      </c>
      <c r="I65" s="30" t="s">
        <v>340</v>
      </c>
    </row>
    <row r="66" spans="1:9" ht="59.45" customHeight="1">
      <c r="A66" s="30">
        <v>8</v>
      </c>
      <c r="B66" s="726" t="s">
        <v>3261</v>
      </c>
      <c r="C66" s="30"/>
      <c r="D66" s="30"/>
      <c r="E66" s="34"/>
      <c r="F66" s="34"/>
      <c r="G66" s="34"/>
      <c r="H66" s="42"/>
      <c r="I66" s="30"/>
    </row>
    <row r="67" spans="1:9">
      <c r="A67" s="30"/>
      <c r="B67" s="31" t="s">
        <v>3585</v>
      </c>
      <c r="C67" s="30">
        <v>5</v>
      </c>
      <c r="D67" s="30">
        <v>2</v>
      </c>
      <c r="E67" s="34" t="s">
        <v>21</v>
      </c>
      <c r="F67" s="34" t="s">
        <v>21</v>
      </c>
      <c r="G67" s="34" t="s">
        <v>21</v>
      </c>
      <c r="H67" s="42">
        <f>PRODUCT(C67:G67)</f>
        <v>10</v>
      </c>
      <c r="I67" s="30"/>
    </row>
    <row r="68" spans="1:9">
      <c r="A68" s="30"/>
      <c r="B68" s="31"/>
      <c r="C68" s="30"/>
      <c r="D68" s="30"/>
      <c r="E68" s="34"/>
      <c r="F68" s="34"/>
      <c r="G68" s="34"/>
      <c r="H68" s="43">
        <f>SUM(H67:H67)</f>
        <v>10</v>
      </c>
      <c r="I68" s="30" t="s">
        <v>340</v>
      </c>
    </row>
    <row r="69" spans="1:9" ht="64.150000000000006" customHeight="1">
      <c r="A69" s="30">
        <v>9</v>
      </c>
      <c r="B69" s="795" t="s">
        <v>3721</v>
      </c>
      <c r="C69" s="30"/>
      <c r="D69" s="30"/>
      <c r="E69" s="34"/>
      <c r="F69" s="34"/>
      <c r="G69" s="34"/>
      <c r="H69" s="42"/>
      <c r="I69" s="30"/>
    </row>
    <row r="70" spans="1:9">
      <c r="A70" s="30"/>
      <c r="B70" s="31" t="s">
        <v>3206</v>
      </c>
      <c r="C70" s="30">
        <v>5</v>
      </c>
      <c r="D70" s="30">
        <v>1</v>
      </c>
      <c r="E70" s="34">
        <v>40</v>
      </c>
      <c r="F70" s="34" t="s">
        <v>21</v>
      </c>
      <c r="G70" s="34" t="s">
        <v>21</v>
      </c>
      <c r="H70" s="42">
        <f>PRODUCT(C70:G70)</f>
        <v>200</v>
      </c>
      <c r="I70" s="30"/>
    </row>
    <row r="71" spans="1:9">
      <c r="A71" s="30"/>
      <c r="B71" s="31"/>
      <c r="C71" s="30"/>
      <c r="D71" s="30"/>
      <c r="E71" s="34"/>
      <c r="F71" s="34"/>
      <c r="G71" s="34"/>
      <c r="H71" s="43">
        <f>SUM(H70:H70)</f>
        <v>200</v>
      </c>
      <c r="I71" s="30" t="s">
        <v>303</v>
      </c>
    </row>
    <row r="72" spans="1:9" ht="70.900000000000006" customHeight="1">
      <c r="A72" s="30">
        <v>10</v>
      </c>
      <c r="B72" s="754" t="s">
        <v>3265</v>
      </c>
      <c r="C72" s="30"/>
      <c r="D72" s="30"/>
      <c r="E72" s="34"/>
      <c r="F72" s="34"/>
      <c r="G72" s="34"/>
      <c r="H72" s="42"/>
      <c r="I72" s="30"/>
    </row>
    <row r="73" spans="1:9">
      <c r="A73" s="30"/>
      <c r="B73" s="31" t="s">
        <v>3181</v>
      </c>
      <c r="C73" s="30">
        <v>5</v>
      </c>
      <c r="D73" s="30">
        <v>1</v>
      </c>
      <c r="E73" s="34">
        <v>35</v>
      </c>
      <c r="F73" s="34" t="s">
        <v>21</v>
      </c>
      <c r="G73" s="34" t="s">
        <v>21</v>
      </c>
      <c r="H73" s="42">
        <f>PRODUCT(C73:G73)</f>
        <v>175</v>
      </c>
      <c r="I73" s="30"/>
    </row>
    <row r="74" spans="1:9">
      <c r="A74" s="30"/>
      <c r="B74" s="31"/>
      <c r="C74" s="30"/>
      <c r="D74" s="30"/>
      <c r="E74" s="34"/>
      <c r="F74" s="34"/>
      <c r="G74" s="34"/>
      <c r="H74" s="43">
        <f>SUM(H73:H73)</f>
        <v>175</v>
      </c>
      <c r="I74" s="30" t="s">
        <v>303</v>
      </c>
    </row>
    <row r="75" spans="1:9" ht="126">
      <c r="A75" s="30">
        <v>11</v>
      </c>
      <c r="B75" s="796" t="s">
        <v>3565</v>
      </c>
      <c r="C75" s="30"/>
      <c r="D75" s="30"/>
      <c r="E75" s="34"/>
      <c r="F75" s="34"/>
      <c r="G75" s="34"/>
      <c r="H75" s="42"/>
      <c r="I75" s="30"/>
    </row>
    <row r="76" spans="1:9">
      <c r="A76" s="30"/>
      <c r="B76" s="31" t="s">
        <v>3181</v>
      </c>
      <c r="C76" s="30">
        <v>5</v>
      </c>
      <c r="D76" s="30">
        <v>1</v>
      </c>
      <c r="E76" s="34" t="s">
        <v>21</v>
      </c>
      <c r="F76" s="34" t="s">
        <v>21</v>
      </c>
      <c r="G76" s="34" t="s">
        <v>21</v>
      </c>
      <c r="H76" s="32">
        <f>PRODUCT(C76:G76)</f>
        <v>5</v>
      </c>
      <c r="I76" s="30"/>
    </row>
    <row r="77" spans="1:9">
      <c r="A77" s="30"/>
      <c r="B77" s="31"/>
      <c r="C77" s="30"/>
      <c r="D77" s="30"/>
      <c r="E77" s="34"/>
      <c r="F77" s="34"/>
      <c r="G77" s="34"/>
      <c r="H77" s="43">
        <f>SUM(H76:H76)</f>
        <v>5</v>
      </c>
      <c r="I77" s="30" t="s">
        <v>340</v>
      </c>
    </row>
    <row r="78" spans="1:9" ht="61.15" customHeight="1">
      <c r="A78" s="30">
        <v>12</v>
      </c>
      <c r="B78" s="754" t="s">
        <v>3568</v>
      </c>
      <c r="C78" s="30"/>
      <c r="D78" s="30"/>
      <c r="E78" s="34"/>
      <c r="F78" s="34"/>
      <c r="G78" s="34"/>
      <c r="H78" s="42"/>
      <c r="I78" s="30"/>
    </row>
    <row r="79" spans="1:9">
      <c r="A79" s="30"/>
      <c r="B79" s="31" t="s">
        <v>3485</v>
      </c>
      <c r="C79" s="30">
        <v>2</v>
      </c>
      <c r="D79" s="30">
        <v>2</v>
      </c>
      <c r="E79" s="34" t="s">
        <v>21</v>
      </c>
      <c r="F79" s="34" t="s">
        <v>21</v>
      </c>
      <c r="G79" s="34" t="s">
        <v>21</v>
      </c>
      <c r="H79" s="32">
        <f>PRODUCT(C79:G79)</f>
        <v>4</v>
      </c>
      <c r="I79" s="30"/>
    </row>
    <row r="80" spans="1:9">
      <c r="A80" s="30"/>
      <c r="B80" s="31"/>
      <c r="C80" s="30"/>
      <c r="D80" s="30"/>
      <c r="E80" s="34"/>
      <c r="F80" s="34"/>
      <c r="G80" s="34"/>
      <c r="H80" s="43">
        <f>SUM(H78:H79)</f>
        <v>4</v>
      </c>
      <c r="I80" s="30" t="s">
        <v>340</v>
      </c>
    </row>
    <row r="81" spans="1:9" ht="63">
      <c r="A81" s="30">
        <v>13</v>
      </c>
      <c r="B81" s="754" t="s">
        <v>5291</v>
      </c>
      <c r="C81" s="30"/>
      <c r="D81" s="30"/>
      <c r="E81" s="34"/>
      <c r="F81" s="34"/>
      <c r="G81" s="34"/>
      <c r="H81" s="42"/>
      <c r="I81" s="30"/>
    </row>
    <row r="82" spans="1:9">
      <c r="A82" s="30"/>
      <c r="B82" s="31" t="s">
        <v>5286</v>
      </c>
      <c r="C82" s="30">
        <v>5</v>
      </c>
      <c r="D82" s="30">
        <v>1</v>
      </c>
      <c r="E82" s="34" t="s">
        <v>21</v>
      </c>
      <c r="F82" s="34" t="s">
        <v>21</v>
      </c>
      <c r="G82" s="34" t="s">
        <v>21</v>
      </c>
      <c r="H82" s="32">
        <f>PRODUCT(C82:G82)</f>
        <v>5</v>
      </c>
      <c r="I82" s="30"/>
    </row>
    <row r="83" spans="1:9">
      <c r="A83" s="30"/>
      <c r="B83" s="31"/>
      <c r="C83" s="30"/>
      <c r="D83" s="30"/>
      <c r="E83" s="34"/>
      <c r="F83" s="34"/>
      <c r="G83" s="34"/>
      <c r="H83" s="43">
        <f>SUM(H81:H82)</f>
        <v>5</v>
      </c>
      <c r="I83" s="30" t="s">
        <v>340</v>
      </c>
    </row>
    <row r="84" spans="1:9" ht="63.6" customHeight="1">
      <c r="A84" s="30">
        <v>14</v>
      </c>
      <c r="B84" s="795" t="s">
        <v>3725</v>
      </c>
      <c r="C84" s="30"/>
      <c r="D84" s="30"/>
      <c r="E84" s="34"/>
      <c r="F84" s="34"/>
      <c r="G84" s="34"/>
      <c r="H84" s="42"/>
      <c r="I84" s="30"/>
    </row>
    <row r="85" spans="1:9">
      <c r="A85" s="30"/>
      <c r="B85" s="31" t="s">
        <v>3722</v>
      </c>
      <c r="C85" s="30">
        <v>5</v>
      </c>
      <c r="D85" s="30">
        <v>1</v>
      </c>
      <c r="E85" s="34">
        <v>5</v>
      </c>
      <c r="F85" s="34"/>
      <c r="G85" s="34"/>
      <c r="H85" s="797">
        <f>PRODUCT(C85:G85)</f>
        <v>25</v>
      </c>
      <c r="I85" s="30" t="s">
        <v>303</v>
      </c>
    </row>
    <row r="86" spans="1:9" ht="63">
      <c r="A86" s="30">
        <v>15</v>
      </c>
      <c r="B86" s="754" t="s">
        <v>5813</v>
      </c>
      <c r="C86" s="30"/>
      <c r="D86" s="30"/>
      <c r="E86" s="34"/>
      <c r="F86" s="34"/>
      <c r="G86" s="34"/>
      <c r="H86" s="42"/>
      <c r="I86" s="30"/>
    </row>
    <row r="87" spans="1:9" ht="14.45" customHeight="1">
      <c r="A87" s="30"/>
      <c r="B87" s="31" t="s">
        <v>5366</v>
      </c>
      <c r="C87" s="30">
        <v>1</v>
      </c>
      <c r="D87" s="30">
        <v>5</v>
      </c>
      <c r="E87" s="34">
        <v>3</v>
      </c>
      <c r="F87" s="34" t="s">
        <v>21</v>
      </c>
      <c r="G87" s="34" t="s">
        <v>21</v>
      </c>
      <c r="H87" s="797">
        <f>PRODUCT(C87:G87)</f>
        <v>15</v>
      </c>
      <c r="I87" s="30" t="s">
        <v>303</v>
      </c>
    </row>
  </sheetData>
  <mergeCells count="5">
    <mergeCell ref="A1:I1"/>
    <mergeCell ref="A2:I2"/>
    <mergeCell ref="A4:I4"/>
    <mergeCell ref="C5:D5"/>
    <mergeCell ref="A3:I3"/>
  </mergeCells>
  <pageMargins left="0.43307086614173229" right="0.43307086614173229" top="0.55118110236220474" bottom="0.39370078740157483" header="0.31496062992125984" footer="0.31496062992125984"/>
  <pageSetup paperSize="9" scale="97" orientation="portrait" r:id="rId1"/>
</worksheet>
</file>

<file path=xl/worksheets/sheet22.xml><?xml version="1.0" encoding="utf-8"?>
<worksheet xmlns="http://schemas.openxmlformats.org/spreadsheetml/2006/main" xmlns:r="http://schemas.openxmlformats.org/officeDocument/2006/relationships">
  <sheetPr codeName="Sheet15"/>
  <dimension ref="A1:F31"/>
  <sheetViews>
    <sheetView view="pageBreakPreview" topLeftCell="A21" zoomScale="85" zoomScaleSheetLayoutView="85" workbookViewId="0">
      <selection activeCell="L28" sqref="L28"/>
    </sheetView>
  </sheetViews>
  <sheetFormatPr defaultColWidth="9.28515625" defaultRowHeight="15.75"/>
  <cols>
    <col min="1" max="1" width="5" style="49" customWidth="1"/>
    <col min="2" max="2" width="11.7109375" style="559" customWidth="1"/>
    <col min="3" max="3" width="32.5703125" style="49" customWidth="1"/>
    <col min="4" max="4" width="14.28515625" style="559" customWidth="1"/>
    <col min="5" max="5" width="9.28515625" style="49"/>
    <col min="6" max="6" width="17.7109375" style="559" customWidth="1"/>
    <col min="7" max="16384" width="9.28515625" style="9"/>
  </cols>
  <sheetData>
    <row r="1" spans="1:6" ht="21.75" customHeight="1">
      <c r="A1" s="1954" t="s">
        <v>241</v>
      </c>
      <c r="B1" s="1954"/>
      <c r="C1" s="1954"/>
      <c r="D1" s="1954"/>
      <c r="E1" s="1954"/>
      <c r="F1" s="1954"/>
    </row>
    <row r="2" spans="1:6" ht="47.45" customHeight="1">
      <c r="A2" s="1954" t="str">
        <f>'INS- Elec '!A2:I2</f>
        <v>Name of work: Providing Special Repair works for 5 Nos INS, 8 Nos SI, 24 Nos PC/HC Quarters  at Church Hill Ooty in the Nilgiri District</v>
      </c>
      <c r="B2" s="1954"/>
      <c r="C2" s="1954"/>
      <c r="D2" s="1954"/>
      <c r="E2" s="1954"/>
      <c r="F2" s="1954"/>
    </row>
    <row r="3" spans="1:6" ht="28.9" customHeight="1">
      <c r="A3" s="1999" t="s">
        <v>3741</v>
      </c>
      <c r="B3" s="2000"/>
      <c r="C3" s="2000"/>
      <c r="D3" s="2000"/>
      <c r="E3" s="2000"/>
      <c r="F3" s="2000"/>
    </row>
    <row r="4" spans="1:6">
      <c r="A4" s="1951" t="s">
        <v>351</v>
      </c>
      <c r="B4" s="1952"/>
      <c r="C4" s="1952"/>
      <c r="D4" s="1952"/>
      <c r="E4" s="1952"/>
      <c r="F4" s="1953"/>
    </row>
    <row r="5" spans="1:6" ht="31.15" customHeight="1">
      <c r="A5" s="2" t="s">
        <v>219</v>
      </c>
      <c r="B5" s="21" t="s">
        <v>3</v>
      </c>
      <c r="C5" s="784" t="s">
        <v>11</v>
      </c>
      <c r="D5" s="21" t="s">
        <v>217</v>
      </c>
      <c r="E5" s="784" t="s">
        <v>10</v>
      </c>
      <c r="F5" s="21" t="s">
        <v>218</v>
      </c>
    </row>
    <row r="6" spans="1:6" ht="63">
      <c r="A6" s="2">
        <v>1</v>
      </c>
      <c r="B6" s="3"/>
      <c r="C6" s="31" t="str">
        <f>'INS- Elec '!B6</f>
        <v xml:space="preserve">Wiring with 1.5sqmm pvc multistrand copper cable including cost of materials and labours etc.., completed </v>
      </c>
      <c r="D6" s="3"/>
      <c r="E6" s="30"/>
      <c r="F6" s="13"/>
    </row>
    <row r="7" spans="1:6" ht="26.25" customHeight="1">
      <c r="A7" s="2"/>
      <c r="B7" s="3">
        <f>'INS- Elec '!H16</f>
        <v>45</v>
      </c>
      <c r="C7" s="31" t="str">
        <f>'INS- Elec '!B7</f>
        <v>a)Light point with ceiling rose</v>
      </c>
      <c r="D7" s="3" t="e">
        <f>#REF!</f>
        <v>#REF!</v>
      </c>
      <c r="E7" s="30" t="s">
        <v>340</v>
      </c>
      <c r="F7" s="13" t="e">
        <f t="shared" ref="F7:F22" si="0">B7*D7</f>
        <v>#REF!</v>
      </c>
    </row>
    <row r="8" spans="1:6" ht="40.9" customHeight="1">
      <c r="A8" s="2"/>
      <c r="B8" s="3">
        <f>'INS- Elec '!H22</f>
        <v>25</v>
      </c>
      <c r="C8" s="31" t="str">
        <f>'INS- Elec '!B17</f>
        <v>b) light point with pattern type bakelite holder</v>
      </c>
      <c r="D8" s="3" t="e">
        <f>#REF!</f>
        <v>#REF!</v>
      </c>
      <c r="E8" s="30" t="s">
        <v>340</v>
      </c>
      <c r="F8" s="13" t="e">
        <f t="shared" si="0"/>
        <v>#REF!</v>
      </c>
    </row>
    <row r="9" spans="1:6" ht="78" customHeight="1">
      <c r="A9" s="2">
        <v>2</v>
      </c>
      <c r="B9" s="3">
        <f>'INS- Elec '!H29</f>
        <v>5</v>
      </c>
      <c r="C9" s="31" t="str">
        <f>'INS- Elec '!B23</f>
        <v xml:space="preserve">Supply and fixing for 5 amps 5pinplug for switch board itself including cost of materials and labours etc.., completed </v>
      </c>
      <c r="D9" s="3" t="e">
        <f>#REF!</f>
        <v>#REF!</v>
      </c>
      <c r="E9" s="30" t="s">
        <v>340</v>
      </c>
      <c r="F9" s="13" t="e">
        <f t="shared" si="0"/>
        <v>#REF!</v>
      </c>
    </row>
    <row r="10" spans="1:6" ht="79.900000000000006" customHeight="1">
      <c r="A10" s="2">
        <v>3</v>
      </c>
      <c r="B10" s="3">
        <f>'INS- Elec '!H37</f>
        <v>20</v>
      </c>
      <c r="C10" s="31" t="str">
        <f>'INS- Elec '!B31</f>
        <v xml:space="preserve">Supply and fixing for 5 amps 5 pin plug for convenient places including cost of materials and labours etc.., completed </v>
      </c>
      <c r="D10" s="3" t="e">
        <f>#REF!</f>
        <v>#REF!</v>
      </c>
      <c r="E10" s="30" t="s">
        <v>340</v>
      </c>
      <c r="F10" s="13" t="e">
        <f t="shared" si="0"/>
        <v>#REF!</v>
      </c>
    </row>
    <row r="11" spans="1:6" ht="69.599999999999994" customHeight="1">
      <c r="A11" s="2">
        <v>4</v>
      </c>
      <c r="B11" s="3">
        <f>'INS- Elec '!H44</f>
        <v>25</v>
      </c>
      <c r="C11" s="31" t="str">
        <f>'INS- Elec '!B38</f>
        <v xml:space="preserve">Supply and fixing 15 amps power plug including cost of materials and labours etc.., completed </v>
      </c>
      <c r="D11" s="3" t="e">
        <f>#REF!</f>
        <v>#REF!</v>
      </c>
      <c r="E11" s="30" t="s">
        <v>340</v>
      </c>
      <c r="F11" s="13" t="e">
        <f t="shared" si="0"/>
        <v>#REF!</v>
      </c>
    </row>
    <row r="12" spans="1:6" ht="54.6" customHeight="1">
      <c r="A12" s="2">
        <v>5</v>
      </c>
      <c r="B12" s="3">
        <f>'INS- Elec '!H46</f>
        <v>10</v>
      </c>
      <c r="C12" s="31" t="str">
        <f>'INS- Elec '!B45</f>
        <v xml:space="preserve">Supplying and fixing of bulkhead fittings including cost of materials and labours etc.., completed </v>
      </c>
      <c r="D12" s="3" t="e">
        <f>#REF!</f>
        <v>#REF!</v>
      </c>
      <c r="E12" s="30" t="s">
        <v>340</v>
      </c>
      <c r="F12" s="13" t="e">
        <f t="shared" si="0"/>
        <v>#REF!</v>
      </c>
    </row>
    <row r="13" spans="1:6" ht="64.900000000000006" customHeight="1">
      <c r="A13" s="2">
        <v>6</v>
      </c>
      <c r="B13" s="3"/>
      <c r="C13" s="31" t="str">
        <f>'INS- Elec '!B47</f>
        <v xml:space="preserve">Supplying and fixing of LED Bulbs  including cost of materials and labours etc.., completed </v>
      </c>
      <c r="D13" s="3"/>
      <c r="E13" s="30"/>
      <c r="F13" s="13"/>
    </row>
    <row r="14" spans="1:6" ht="25.15" customHeight="1">
      <c r="A14" s="2"/>
      <c r="B14" s="3">
        <f>'INS- Elec '!H57</f>
        <v>14</v>
      </c>
      <c r="C14" s="31" t="str">
        <f>'INS- Elec '!B54</f>
        <v>12 watts</v>
      </c>
      <c r="D14" s="3">
        <v>170</v>
      </c>
      <c r="E14" s="30" t="s">
        <v>340</v>
      </c>
      <c r="F14" s="13">
        <f t="shared" si="0"/>
        <v>2380</v>
      </c>
    </row>
    <row r="15" spans="1:6" ht="70.150000000000006" customHeight="1">
      <c r="A15" s="2">
        <v>7</v>
      </c>
      <c r="B15" s="3">
        <f>'INS- Elec '!H65</f>
        <v>25</v>
      </c>
      <c r="C15" s="31" t="str">
        <f>'INS- Elec '!B58</f>
        <v xml:space="preserve">Suplying and Fixing of LED 4'-18 watts Tube Light including cost of materials and labours etc.., completed </v>
      </c>
      <c r="D15" s="3">
        <v>635</v>
      </c>
      <c r="E15" s="30" t="s">
        <v>340</v>
      </c>
      <c r="F15" s="13">
        <f t="shared" si="0"/>
        <v>15875</v>
      </c>
    </row>
    <row r="16" spans="1:6" ht="66.599999999999994" customHeight="1">
      <c r="A16" s="2">
        <v>8</v>
      </c>
      <c r="B16" s="3">
        <f>'INS- Elec '!H68</f>
        <v>10</v>
      </c>
      <c r="C16" s="31" t="str">
        <f>'INS- Elec '!B66</f>
        <v xml:space="preserve">Supplying and fixing of 25W LED street light fittings including cost of materials and labours etc.., completed </v>
      </c>
      <c r="D16" s="3" t="e">
        <f>#REF!</f>
        <v>#REF!</v>
      </c>
      <c r="E16" s="30" t="s">
        <v>340</v>
      </c>
      <c r="F16" s="13" t="e">
        <f t="shared" si="0"/>
        <v>#REF!</v>
      </c>
    </row>
    <row r="17" spans="1:6" ht="67.900000000000006" customHeight="1">
      <c r="A17" s="2">
        <v>9</v>
      </c>
      <c r="B17" s="3">
        <f>'INS- Elec '!H71</f>
        <v>200</v>
      </c>
      <c r="C17" s="31" t="str">
        <f>'INS- Elec '!B69</f>
        <v xml:space="preserve">Run off  2 wire of 2.5 sq mm multi strand flexible cable including cost of materials and labours etc.., completed </v>
      </c>
      <c r="D17" s="3" t="e">
        <f>#REF!</f>
        <v>#REF!</v>
      </c>
      <c r="E17" s="30" t="s">
        <v>303</v>
      </c>
      <c r="F17" s="13" t="e">
        <f t="shared" si="0"/>
        <v>#REF!</v>
      </c>
    </row>
    <row r="18" spans="1:6" ht="79.150000000000006" customHeight="1">
      <c r="A18" s="2">
        <v>10</v>
      </c>
      <c r="B18" s="3">
        <f>'INS- Elec '!H74</f>
        <v>175</v>
      </c>
      <c r="C18" s="31" t="str">
        <f>'INS- Elec '!B72</f>
        <v>Run off 4 x 4  Sq mm copper PVC insulated unsheathed single core cable for Single phase EB service connection</v>
      </c>
      <c r="D18" s="3">
        <v>231</v>
      </c>
      <c r="E18" s="30" t="s">
        <v>303</v>
      </c>
      <c r="F18" s="13">
        <f t="shared" si="0"/>
        <v>40425</v>
      </c>
    </row>
    <row r="19" spans="1:6" ht="159.6" customHeight="1">
      <c r="A19" s="2">
        <v>11</v>
      </c>
      <c r="B19" s="3">
        <f>'INS- Elec '!H77</f>
        <v>5</v>
      </c>
      <c r="C19" s="31" t="str">
        <f>'INS- Elec '!B75</f>
        <v>Supply and fixing of Three Phase Distribution Board with 4 way TPN double door MCB DB 40 Amps 4 Pole ELCB - 1, 6Amps to 32 amps SP MCB - 12 No's   with necessary cutting work etc., including cost of all materials and fixing charges all complete. CER NO.267/2018-19</v>
      </c>
      <c r="D19" s="3">
        <v>11750</v>
      </c>
      <c r="E19" s="30" t="s">
        <v>340</v>
      </c>
      <c r="F19" s="13">
        <f t="shared" si="0"/>
        <v>58750</v>
      </c>
    </row>
    <row r="20" spans="1:6" ht="75.599999999999994" customHeight="1">
      <c r="A20" s="2">
        <v>12</v>
      </c>
      <c r="B20" s="3">
        <f>'INS- Elec '!H80</f>
        <v>4</v>
      </c>
      <c r="C20" s="31" t="str">
        <f>'INS- Elec '!B78</f>
        <v xml:space="preserve">Supplying and fixing of Stair Case light point two way including cost of materials and labours etc.., completed </v>
      </c>
      <c r="D20" s="34" t="e">
        <f>#REF!</f>
        <v>#REF!</v>
      </c>
      <c r="E20" s="30" t="s">
        <v>340</v>
      </c>
      <c r="F20" s="13" t="e">
        <f t="shared" si="0"/>
        <v>#REF!</v>
      </c>
    </row>
    <row r="21" spans="1:6" ht="75.599999999999994" customHeight="1">
      <c r="A21" s="2">
        <v>13</v>
      </c>
      <c r="B21" s="3">
        <f>'INS- Elec '!H82</f>
        <v>5</v>
      </c>
      <c r="C21" s="31" t="str">
        <f>'INS- Elec '!B81</f>
        <v xml:space="preserve">Supply and fixing ofTNEB Meter board suitable for 3 phase 63 A service connection made up of suitable angle </v>
      </c>
      <c r="D21" s="34" t="e">
        <f>'PC- Elec - Abs'!D21</f>
        <v>#REF!</v>
      </c>
      <c r="E21" s="30" t="s">
        <v>340</v>
      </c>
      <c r="F21" s="13" t="e">
        <f t="shared" si="0"/>
        <v>#REF!</v>
      </c>
    </row>
    <row r="22" spans="1:6" ht="75.599999999999994" customHeight="1">
      <c r="A22" s="2">
        <v>14</v>
      </c>
      <c r="B22" s="3" t="e">
        <f>'INS- Elec '!#REF!</f>
        <v>#REF!</v>
      </c>
      <c r="C22" s="31" t="e">
        <f>'INS- Elec '!#REF!</f>
        <v>#REF!</v>
      </c>
      <c r="D22" s="34" t="e">
        <f>'PC- Elec - Abs'!D22</f>
        <v>#REF!</v>
      </c>
      <c r="E22" s="30" t="s">
        <v>340</v>
      </c>
      <c r="F22" s="13" t="e">
        <f t="shared" si="0"/>
        <v>#REF!</v>
      </c>
    </row>
    <row r="23" spans="1:6">
      <c r="A23" s="2"/>
      <c r="B23" s="3"/>
      <c r="C23" s="1954" t="s">
        <v>223</v>
      </c>
      <c r="D23" s="1954"/>
      <c r="E23" s="1954"/>
      <c r="F23" s="17" t="e">
        <f>SUM(F6:F22)</f>
        <v>#REF!</v>
      </c>
    </row>
    <row r="24" spans="1:6" ht="19.5" customHeight="1">
      <c r="A24" s="2"/>
      <c r="B24" s="3"/>
      <c r="C24" s="33" t="s">
        <v>382</v>
      </c>
      <c r="D24" s="1948" t="s">
        <v>226</v>
      </c>
      <c r="E24" s="1949"/>
      <c r="F24" s="16" t="e">
        <f>F23*12%</f>
        <v>#REF!</v>
      </c>
    </row>
    <row r="25" spans="1:6">
      <c r="A25" s="2"/>
      <c r="B25" s="3"/>
      <c r="C25" s="1955" t="s">
        <v>3454</v>
      </c>
      <c r="D25" s="1956"/>
      <c r="E25" s="1957"/>
      <c r="F25" s="17" t="e">
        <f>SUM(F23:F24)</f>
        <v>#REF!</v>
      </c>
    </row>
    <row r="26" spans="1:6" ht="21.75" customHeight="1">
      <c r="A26" s="2"/>
      <c r="B26" s="3"/>
      <c r="C26" s="12" t="s">
        <v>224</v>
      </c>
      <c r="D26" s="1948" t="s">
        <v>226</v>
      </c>
      <c r="E26" s="1949"/>
      <c r="F26" s="16" t="e">
        <f>F25*1%</f>
        <v>#REF!</v>
      </c>
    </row>
    <row r="27" spans="1:6" ht="33" customHeight="1">
      <c r="A27" s="2"/>
      <c r="B27" s="3"/>
      <c r="C27" s="12" t="s">
        <v>225</v>
      </c>
      <c r="D27" s="1948" t="s">
        <v>226</v>
      </c>
      <c r="E27" s="1949"/>
      <c r="F27" s="16" t="e">
        <f>F25*7.5%</f>
        <v>#REF!</v>
      </c>
    </row>
    <row r="28" spans="1:6" ht="36" customHeight="1">
      <c r="A28" s="2"/>
      <c r="B28" s="3"/>
      <c r="C28" s="783" t="s">
        <v>3610</v>
      </c>
      <c r="D28" s="1948" t="s">
        <v>226</v>
      </c>
      <c r="E28" s="1949"/>
      <c r="F28" s="16">
        <f>4*5000</f>
        <v>20000</v>
      </c>
    </row>
    <row r="29" spans="1:6">
      <c r="A29" s="2"/>
      <c r="B29" s="3"/>
      <c r="C29" s="1955" t="s">
        <v>227</v>
      </c>
      <c r="D29" s="1956"/>
      <c r="E29" s="1957"/>
      <c r="F29" s="17" t="e">
        <f>SUM(F25:F28)</f>
        <v>#REF!</v>
      </c>
    </row>
    <row r="30" spans="1:6" ht="21" customHeight="1">
      <c r="A30" s="2"/>
      <c r="B30" s="3"/>
      <c r="C30" s="784"/>
      <c r="D30" s="784"/>
      <c r="E30" s="14" t="s">
        <v>9</v>
      </c>
      <c r="F30" s="17"/>
    </row>
    <row r="31" spans="1:6">
      <c r="D31" s="19"/>
      <c r="E31" s="1947"/>
      <c r="F31" s="1947"/>
    </row>
  </sheetData>
  <mergeCells count="12">
    <mergeCell ref="D26:E26"/>
    <mergeCell ref="D27:E27"/>
    <mergeCell ref="D28:E28"/>
    <mergeCell ref="C29:E29"/>
    <mergeCell ref="E31:F31"/>
    <mergeCell ref="A3:F3"/>
    <mergeCell ref="C25:E25"/>
    <mergeCell ref="A1:F1"/>
    <mergeCell ref="A2:F2"/>
    <mergeCell ref="A4:F4"/>
    <mergeCell ref="C23:E23"/>
    <mergeCell ref="D24:E24"/>
  </mergeCells>
  <pageMargins left="0.7" right="0.7" top="0.75" bottom="0.75" header="0.3" footer="0.3"/>
  <pageSetup paperSize="9" scale="94" orientation="portrait" r:id="rId1"/>
</worksheet>
</file>

<file path=xl/worksheets/sheet23.xml><?xml version="1.0" encoding="utf-8"?>
<worksheet xmlns="http://schemas.openxmlformats.org/spreadsheetml/2006/main" xmlns:r="http://schemas.openxmlformats.org/officeDocument/2006/relationships">
  <sheetPr codeName="Sheet16">
    <tabColor rgb="FF00B050"/>
  </sheetPr>
  <dimension ref="A1:H45"/>
  <sheetViews>
    <sheetView view="pageBreakPreview" zoomScale="90" zoomScaleSheetLayoutView="90" workbookViewId="0">
      <selection activeCell="J27" sqref="J27"/>
    </sheetView>
  </sheetViews>
  <sheetFormatPr defaultColWidth="9.140625" defaultRowHeight="15.75"/>
  <cols>
    <col min="1" max="1" width="7.42578125" style="561" customWidth="1"/>
    <col min="2" max="2" width="36.42578125" style="561" customWidth="1"/>
    <col min="3" max="3" width="6" style="561" customWidth="1"/>
    <col min="4" max="4" width="5.85546875" style="561" customWidth="1"/>
    <col min="5" max="5" width="7.5703125" style="561" customWidth="1"/>
    <col min="6" max="7" width="6.5703125" style="561" customWidth="1"/>
    <col min="8" max="16384" width="9.140625" style="561"/>
  </cols>
  <sheetData>
    <row r="1" spans="1:8">
      <c r="A1" s="2054" t="s">
        <v>3493</v>
      </c>
      <c r="B1" s="2055"/>
      <c r="C1" s="2055"/>
      <c r="D1" s="2055"/>
      <c r="E1" s="2055"/>
      <c r="F1" s="2055"/>
      <c r="G1" s="2055"/>
      <c r="H1" s="2055"/>
    </row>
    <row r="2" spans="1:8">
      <c r="A2" s="2056" t="s">
        <v>5284</v>
      </c>
      <c r="B2" s="2055"/>
      <c r="C2" s="2055"/>
      <c r="D2" s="2055"/>
      <c r="E2" s="2055"/>
      <c r="F2" s="2055"/>
      <c r="G2" s="2055"/>
      <c r="H2" s="2055"/>
    </row>
    <row r="3" spans="1:8">
      <c r="A3" s="2059" t="s">
        <v>3765</v>
      </c>
      <c r="B3" s="2060"/>
      <c r="C3" s="2060"/>
      <c r="D3" s="2060"/>
      <c r="E3" s="2060"/>
      <c r="F3" s="2060"/>
      <c r="G3" s="2060"/>
      <c r="H3" s="2061"/>
    </row>
    <row r="4" spans="1:8">
      <c r="A4" s="2056" t="s">
        <v>3495</v>
      </c>
      <c r="B4" s="2055"/>
      <c r="C4" s="2055"/>
      <c r="D4" s="2055"/>
      <c r="E4" s="2055"/>
      <c r="F4" s="2055"/>
      <c r="G4" s="2055"/>
      <c r="H4" s="2055"/>
    </row>
    <row r="5" spans="1:8" ht="15" customHeight="1">
      <c r="A5" s="2057" t="s">
        <v>3496</v>
      </c>
      <c r="B5" s="2057" t="s">
        <v>3497</v>
      </c>
      <c r="C5" s="2057" t="s">
        <v>1717</v>
      </c>
      <c r="D5" s="2057"/>
      <c r="E5" s="2057" t="s">
        <v>3498</v>
      </c>
      <c r="F5" s="2057"/>
      <c r="G5" s="2057"/>
      <c r="H5" s="2058" t="s">
        <v>3</v>
      </c>
    </row>
    <row r="6" spans="1:8">
      <c r="A6" s="2057"/>
      <c r="B6" s="2057"/>
      <c r="C6" s="2057"/>
      <c r="D6" s="2057"/>
      <c r="E6" s="788" t="s">
        <v>5</v>
      </c>
      <c r="F6" s="788" t="s">
        <v>6</v>
      </c>
      <c r="G6" s="788" t="s">
        <v>7</v>
      </c>
      <c r="H6" s="2058"/>
    </row>
    <row r="7" spans="1:8" ht="45" customHeight="1">
      <c r="A7" s="672">
        <v>1.6</v>
      </c>
      <c r="B7" s="673" t="s">
        <v>3499</v>
      </c>
      <c r="C7" s="673"/>
      <c r="D7" s="673"/>
      <c r="E7" s="673"/>
      <c r="F7" s="673"/>
      <c r="G7" s="673"/>
      <c r="H7" s="674"/>
    </row>
    <row r="8" spans="1:8">
      <c r="A8" s="672"/>
      <c r="B8" s="786" t="s">
        <v>3500</v>
      </c>
      <c r="C8" s="673">
        <v>1</v>
      </c>
      <c r="D8" s="675">
        <v>1</v>
      </c>
      <c r="E8" s="676">
        <v>40</v>
      </c>
      <c r="F8" s="676">
        <v>0.6</v>
      </c>
      <c r="G8" s="676">
        <v>0.4</v>
      </c>
      <c r="H8" s="677">
        <f>ROUND(PRODUCT(C8:G8),2)</f>
        <v>9.6</v>
      </c>
    </row>
    <row r="9" spans="1:8">
      <c r="A9" s="672"/>
      <c r="B9" s="786" t="s">
        <v>337</v>
      </c>
      <c r="C9" s="673"/>
      <c r="D9" s="675"/>
      <c r="E9" s="676"/>
      <c r="F9" s="676"/>
      <c r="G9" s="678"/>
      <c r="H9" s="677"/>
    </row>
    <row r="10" spans="1:8">
      <c r="A10" s="672"/>
      <c r="B10" s="786"/>
      <c r="C10" s="673"/>
      <c r="D10" s="675"/>
      <c r="E10" s="676"/>
      <c r="F10" s="676"/>
      <c r="G10" s="676"/>
      <c r="H10" s="679">
        <f>SUM(H8:H9)</f>
        <v>9.6</v>
      </c>
    </row>
    <row r="11" spans="1:8">
      <c r="A11" s="672">
        <v>2.1</v>
      </c>
      <c r="B11" s="786" t="s">
        <v>3501</v>
      </c>
      <c r="C11" s="673"/>
      <c r="D11" s="675"/>
      <c r="E11" s="676"/>
      <c r="F11" s="676"/>
      <c r="G11" s="676"/>
      <c r="H11" s="679"/>
    </row>
    <row r="12" spans="1:8">
      <c r="A12" s="672"/>
      <c r="B12" s="786" t="s">
        <v>3502</v>
      </c>
      <c r="C12" s="673">
        <v>1</v>
      </c>
      <c r="D12" s="675">
        <v>1</v>
      </c>
      <c r="E12" s="676">
        <f>E8</f>
        <v>40</v>
      </c>
      <c r="F12" s="676">
        <v>0.6</v>
      </c>
      <c r="G12" s="676">
        <v>0.1</v>
      </c>
      <c r="H12" s="677">
        <f>ROUND(PRODUCT(C12:G12),2)</f>
        <v>2.4</v>
      </c>
    </row>
    <row r="13" spans="1:8">
      <c r="A13" s="672"/>
      <c r="B13" s="786"/>
      <c r="C13" s="673"/>
      <c r="D13" s="675"/>
      <c r="E13" s="676"/>
      <c r="F13" s="676"/>
      <c r="G13" s="676"/>
      <c r="H13" s="677"/>
    </row>
    <row r="14" spans="1:8">
      <c r="A14" s="672"/>
      <c r="B14" s="786"/>
      <c r="C14" s="673"/>
      <c r="D14" s="675"/>
      <c r="E14" s="676"/>
      <c r="F14" s="676"/>
      <c r="G14" s="676"/>
      <c r="H14" s="679">
        <f>SUM(H12:H13)</f>
        <v>2.4</v>
      </c>
    </row>
    <row r="15" spans="1:8" ht="45" customHeight="1">
      <c r="A15" s="672">
        <v>3.1</v>
      </c>
      <c r="B15" s="673" t="s">
        <v>3503</v>
      </c>
      <c r="C15" s="673"/>
      <c r="D15" s="673"/>
      <c r="E15" s="673"/>
      <c r="F15" s="673"/>
      <c r="G15" s="673"/>
      <c r="H15" s="674"/>
    </row>
    <row r="16" spans="1:8">
      <c r="A16" s="672"/>
      <c r="B16" s="786" t="s">
        <v>3504</v>
      </c>
      <c r="C16" s="673">
        <v>1</v>
      </c>
      <c r="D16" s="675">
        <v>1</v>
      </c>
      <c r="E16" s="676">
        <f>E8</f>
        <v>40</v>
      </c>
      <c r="F16" s="676">
        <f>F8</f>
        <v>0.6</v>
      </c>
      <c r="G16" s="678">
        <v>0.1</v>
      </c>
      <c r="H16" s="677">
        <f>ROUND(PRODUCT(C16:G16),2)</f>
        <v>2.4</v>
      </c>
    </row>
    <row r="17" spans="1:8">
      <c r="A17" s="672"/>
      <c r="B17" s="786" t="s">
        <v>337</v>
      </c>
      <c r="C17" s="673"/>
      <c r="D17" s="675"/>
      <c r="E17" s="676"/>
      <c r="F17" s="676"/>
      <c r="G17" s="678"/>
      <c r="H17" s="677"/>
    </row>
    <row r="18" spans="1:8">
      <c r="A18" s="672"/>
      <c r="B18" s="786"/>
      <c r="C18" s="673"/>
      <c r="D18" s="675"/>
      <c r="E18" s="676"/>
      <c r="F18" s="676"/>
      <c r="G18" s="676"/>
      <c r="H18" s="679">
        <f>SUM(H16:H17)</f>
        <v>2.4</v>
      </c>
    </row>
    <row r="19" spans="1:8" ht="24" customHeight="1">
      <c r="A19" s="672">
        <v>10.199999999999999</v>
      </c>
      <c r="B19" s="673" t="s">
        <v>3505</v>
      </c>
      <c r="C19" s="673"/>
      <c r="D19" s="673"/>
      <c r="E19" s="673"/>
      <c r="F19" s="673"/>
      <c r="G19" s="673"/>
      <c r="H19" s="674"/>
    </row>
    <row r="20" spans="1:8">
      <c r="A20" s="672"/>
      <c r="B20" s="786" t="s">
        <v>3500</v>
      </c>
      <c r="C20" s="673">
        <v>1</v>
      </c>
      <c r="D20" s="675">
        <v>5</v>
      </c>
      <c r="E20" s="676">
        <v>0.23</v>
      </c>
      <c r="F20" s="676">
        <v>0.23</v>
      </c>
      <c r="G20" s="678">
        <v>0.6</v>
      </c>
      <c r="H20" s="677">
        <f>ROUND(PRODUCT(C20:G20),2)</f>
        <v>0.16</v>
      </c>
    </row>
    <row r="21" spans="1:8">
      <c r="A21" s="672"/>
      <c r="B21" s="786" t="s">
        <v>3506</v>
      </c>
      <c r="C21" s="673"/>
      <c r="D21" s="675"/>
      <c r="E21" s="676"/>
      <c r="F21" s="676"/>
      <c r="G21" s="678"/>
      <c r="H21" s="677">
        <v>0.04</v>
      </c>
    </row>
    <row r="22" spans="1:8">
      <c r="A22" s="672"/>
      <c r="B22" s="786"/>
      <c r="C22" s="673"/>
      <c r="D22" s="675"/>
      <c r="E22" s="676"/>
      <c r="F22" s="676"/>
      <c r="G22" s="676"/>
      <c r="H22" s="679">
        <f>SUM(H20:H21)</f>
        <v>0.2</v>
      </c>
    </row>
    <row r="23" spans="1:8" ht="39.75" customHeight="1">
      <c r="A23" s="672">
        <v>10.199999999999999</v>
      </c>
      <c r="B23" s="673" t="s">
        <v>3507</v>
      </c>
      <c r="C23" s="673"/>
      <c r="D23" s="673"/>
      <c r="E23" s="673"/>
      <c r="F23" s="673"/>
      <c r="G23" s="673"/>
      <c r="H23" s="674"/>
    </row>
    <row r="24" spans="1:8">
      <c r="A24" s="672"/>
      <c r="B24" s="786" t="s">
        <v>3508</v>
      </c>
      <c r="C24" s="673">
        <v>1</v>
      </c>
      <c r="D24" s="675">
        <v>1</v>
      </c>
      <c r="E24" s="676">
        <f>E8</f>
        <v>40</v>
      </c>
      <c r="F24" s="676"/>
      <c r="G24" s="678">
        <v>0.6</v>
      </c>
      <c r="H24" s="677">
        <f>ROUND(PRODUCT(C24:G24),2)</f>
        <v>24</v>
      </c>
    </row>
    <row r="25" spans="1:8">
      <c r="A25" s="672"/>
      <c r="B25" s="786" t="s">
        <v>3509</v>
      </c>
      <c r="C25" s="673"/>
      <c r="D25" s="675"/>
      <c r="E25" s="676"/>
      <c r="F25" s="676"/>
      <c r="G25" s="678"/>
      <c r="H25" s="677"/>
    </row>
    <row r="26" spans="1:8">
      <c r="A26" s="672"/>
      <c r="B26" s="786" t="s">
        <v>3500</v>
      </c>
      <c r="C26" s="673">
        <v>2</v>
      </c>
      <c r="D26" s="675">
        <v>5</v>
      </c>
      <c r="E26" s="676">
        <v>0.23</v>
      </c>
      <c r="F26" s="676"/>
      <c r="G26" s="678">
        <v>0.6</v>
      </c>
      <c r="H26" s="677">
        <f>ROUND(PRODUCT(C26:G26),2)</f>
        <v>1.38</v>
      </c>
    </row>
    <row r="27" spans="1:8">
      <c r="A27" s="672"/>
      <c r="B27" s="786" t="s">
        <v>3500</v>
      </c>
      <c r="C27" s="673">
        <v>-1</v>
      </c>
      <c r="D27" s="675">
        <v>7</v>
      </c>
      <c r="E27" s="676">
        <v>0.23</v>
      </c>
      <c r="F27" s="676"/>
      <c r="G27" s="678">
        <v>0.6</v>
      </c>
      <c r="H27" s="677">
        <f>ROUND(PRODUCT(C27:G27),2)</f>
        <v>-0.97</v>
      </c>
    </row>
    <row r="28" spans="1:8">
      <c r="A28" s="672"/>
      <c r="B28" s="786" t="s">
        <v>3506</v>
      </c>
      <c r="C28" s="673"/>
      <c r="D28" s="675"/>
      <c r="E28" s="676"/>
      <c r="F28" s="676"/>
      <c r="G28" s="678"/>
      <c r="H28" s="677">
        <v>0.04</v>
      </c>
    </row>
    <row r="29" spans="1:8">
      <c r="A29" s="672"/>
      <c r="B29" s="786"/>
      <c r="C29" s="673"/>
      <c r="D29" s="675"/>
      <c r="E29" s="676"/>
      <c r="F29" s="676"/>
      <c r="G29" s="676"/>
      <c r="H29" s="679">
        <f>SUM(H24:H28)</f>
        <v>24.45</v>
      </c>
    </row>
    <row r="30" spans="1:8" ht="16.5" customHeight="1">
      <c r="A30" s="672">
        <v>28</v>
      </c>
      <c r="B30" s="2053" t="s">
        <v>3510</v>
      </c>
      <c r="C30" s="2053"/>
      <c r="D30" s="2053"/>
      <c r="E30" s="2053"/>
      <c r="F30" s="2053"/>
      <c r="G30" s="673"/>
      <c r="H30" s="674"/>
    </row>
    <row r="31" spans="1:8">
      <c r="A31" s="672"/>
      <c r="B31" s="786" t="s">
        <v>3511</v>
      </c>
      <c r="C31" s="673">
        <v>1</v>
      </c>
      <c r="D31" s="675">
        <v>2</v>
      </c>
      <c r="E31" s="676">
        <f>E8</f>
        <v>40</v>
      </c>
      <c r="F31" s="676"/>
      <c r="G31" s="676">
        <v>0.6</v>
      </c>
      <c r="H31" s="677">
        <f>ROUND(PRODUCT(C31:G31),2)</f>
        <v>48</v>
      </c>
    </row>
    <row r="32" spans="1:8">
      <c r="A32" s="672"/>
      <c r="B32" s="786"/>
      <c r="C32" s="673"/>
      <c r="D32" s="675"/>
      <c r="E32" s="676"/>
      <c r="F32" s="676"/>
      <c r="G32" s="676"/>
      <c r="H32" s="679">
        <f>SUM(H31:H31)</f>
        <v>48</v>
      </c>
    </row>
    <row r="33" spans="1:8">
      <c r="A33" s="672">
        <v>33</v>
      </c>
      <c r="B33" s="2053" t="s">
        <v>3512</v>
      </c>
      <c r="C33" s="2053"/>
      <c r="D33" s="2053"/>
      <c r="E33" s="2053"/>
      <c r="F33" s="2053"/>
      <c r="G33" s="673"/>
      <c r="H33" s="674"/>
    </row>
    <row r="34" spans="1:8">
      <c r="A34" s="672"/>
      <c r="B34" s="680" t="s">
        <v>3513</v>
      </c>
      <c r="C34" s="798"/>
      <c r="D34" s="798"/>
      <c r="E34" s="798"/>
      <c r="F34" s="798"/>
      <c r="G34" s="798"/>
      <c r="H34" s="798"/>
    </row>
    <row r="35" spans="1:8">
      <c r="A35" s="672"/>
      <c r="B35" s="786" t="s">
        <v>3500</v>
      </c>
      <c r="C35" s="673">
        <v>1</v>
      </c>
      <c r="D35" s="675">
        <v>2</v>
      </c>
      <c r="E35" s="676">
        <f>E8</f>
        <v>40</v>
      </c>
      <c r="F35" s="682" t="s">
        <v>21</v>
      </c>
      <c r="G35" s="678">
        <v>0.71499999999999997</v>
      </c>
      <c r="H35" s="677">
        <f>ROUND(PRODUCT(C35:G35),2)</f>
        <v>57.2</v>
      </c>
    </row>
    <row r="36" spans="1:8">
      <c r="A36" s="672"/>
      <c r="B36" s="786" t="s">
        <v>3514</v>
      </c>
      <c r="C36" s="673">
        <v>2</v>
      </c>
      <c r="D36" s="675">
        <v>5</v>
      </c>
      <c r="E36" s="676">
        <v>0.23</v>
      </c>
      <c r="F36" s="678">
        <v>0.115</v>
      </c>
      <c r="G36" s="682" t="s">
        <v>21</v>
      </c>
      <c r="H36" s="677">
        <f>ROUND(PRODUCT(C36:G36),2)</f>
        <v>0.26</v>
      </c>
    </row>
    <row r="37" spans="1:8">
      <c r="A37" s="672"/>
      <c r="B37" s="786" t="s">
        <v>3514</v>
      </c>
      <c r="C37" s="673">
        <v>1</v>
      </c>
      <c r="D37" s="675">
        <v>7</v>
      </c>
      <c r="E37" s="676">
        <v>0.23</v>
      </c>
      <c r="F37" s="678">
        <v>0.115</v>
      </c>
      <c r="G37" s="682" t="s">
        <v>21</v>
      </c>
      <c r="H37" s="677">
        <f>ROUND(PRODUCT(C37:G37),2)</f>
        <v>0.19</v>
      </c>
    </row>
    <row r="38" spans="1:8">
      <c r="A38" s="672"/>
      <c r="B38" s="786" t="s">
        <v>3514</v>
      </c>
      <c r="C38" s="673">
        <v>1</v>
      </c>
      <c r="D38" s="675">
        <v>10</v>
      </c>
      <c r="E38" s="678">
        <v>0.115</v>
      </c>
      <c r="F38" s="676"/>
      <c r="G38" s="682">
        <v>0.6</v>
      </c>
      <c r="H38" s="677">
        <f>ROUND(PRODUCT(C38:G38),2)</f>
        <v>0.69</v>
      </c>
    </row>
    <row r="39" spans="1:8">
      <c r="A39" s="672"/>
      <c r="B39" s="786" t="s">
        <v>3514</v>
      </c>
      <c r="C39" s="673">
        <v>1</v>
      </c>
      <c r="D39" s="675">
        <v>7</v>
      </c>
      <c r="E39" s="678">
        <v>0.115</v>
      </c>
      <c r="F39" s="676"/>
      <c r="G39" s="682">
        <v>0.6</v>
      </c>
      <c r="H39" s="677">
        <f>ROUND(PRODUCT(C39:G39),2)</f>
        <v>0.48</v>
      </c>
    </row>
    <row r="40" spans="1:8">
      <c r="A40" s="672"/>
      <c r="B40" s="786" t="s">
        <v>337</v>
      </c>
      <c r="C40" s="673"/>
      <c r="D40" s="675"/>
      <c r="E40" s="676"/>
      <c r="F40" s="676"/>
      <c r="G40" s="676"/>
      <c r="H40" s="677">
        <v>0.03</v>
      </c>
    </row>
    <row r="41" spans="1:8">
      <c r="A41" s="672"/>
      <c r="B41" s="786"/>
      <c r="C41" s="673"/>
      <c r="D41" s="675"/>
      <c r="E41" s="676"/>
      <c r="F41" s="676"/>
      <c r="G41" s="676"/>
      <c r="H41" s="679">
        <f>SUM(H35:H40)</f>
        <v>58.849999999999994</v>
      </c>
    </row>
    <row r="42" spans="1:8">
      <c r="A42" s="672">
        <v>33</v>
      </c>
      <c r="B42" s="2053" t="s">
        <v>3515</v>
      </c>
      <c r="C42" s="2053"/>
      <c r="D42" s="2053"/>
      <c r="E42" s="2053"/>
      <c r="F42" s="2053"/>
      <c r="G42" s="673"/>
      <c r="H42" s="674"/>
    </row>
    <row r="43" spans="1:8">
      <c r="A43" s="798"/>
      <c r="B43" s="798" t="s">
        <v>3500</v>
      </c>
      <c r="C43" s="798">
        <v>1</v>
      </c>
      <c r="D43" s="675">
        <v>2</v>
      </c>
      <c r="E43" s="798">
        <v>12</v>
      </c>
      <c r="F43" s="798">
        <v>0.35</v>
      </c>
      <c r="G43" s="730" t="s">
        <v>21</v>
      </c>
      <c r="H43" s="677">
        <f>ROUND(PRODUCT(C43:G43),2)</f>
        <v>8.4</v>
      </c>
    </row>
    <row r="44" spans="1:8">
      <c r="A44" s="798"/>
      <c r="B44" s="798"/>
      <c r="C44" s="798"/>
      <c r="D44" s="798"/>
      <c r="E44" s="798"/>
      <c r="F44" s="798"/>
      <c r="G44" s="798"/>
      <c r="H44" s="679">
        <f>SUM(H43)</f>
        <v>8.4</v>
      </c>
    </row>
    <row r="45" spans="1:8">
      <c r="A45" s="798"/>
      <c r="B45" s="798"/>
      <c r="C45" s="798"/>
      <c r="D45" s="798"/>
      <c r="E45" s="798"/>
      <c r="F45" s="798"/>
      <c r="G45" s="798"/>
      <c r="H45" s="798"/>
    </row>
  </sheetData>
  <mergeCells count="12">
    <mergeCell ref="B30:F30"/>
    <mergeCell ref="B33:F33"/>
    <mergeCell ref="B42:F42"/>
    <mergeCell ref="A1:H1"/>
    <mergeCell ref="A2:H2"/>
    <mergeCell ref="A4:H4"/>
    <mergeCell ref="A5:A6"/>
    <mergeCell ref="B5:B6"/>
    <mergeCell ref="C5:D6"/>
    <mergeCell ref="E5:G5"/>
    <mergeCell ref="H5:H6"/>
    <mergeCell ref="A3:H3"/>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sheetPr codeName="Sheet18">
    <tabColor rgb="FF00B050"/>
  </sheetPr>
  <dimension ref="A1:I42"/>
  <sheetViews>
    <sheetView view="pageBreakPreview" zoomScale="60" zoomScaleNormal="85" workbookViewId="0">
      <selection activeCell="P26" sqref="P26"/>
    </sheetView>
  </sheetViews>
  <sheetFormatPr defaultRowHeight="15.75"/>
  <cols>
    <col min="1" max="1" width="5.5703125" style="694" customWidth="1"/>
    <col min="2" max="2" width="38" style="692" customWidth="1"/>
    <col min="3" max="4" width="5.5703125" style="692" customWidth="1"/>
    <col min="5" max="7" width="8.85546875" style="692"/>
    <col min="8" max="8" width="12.28515625" style="692" customWidth="1"/>
    <col min="9" max="9" width="6.85546875" style="695" customWidth="1"/>
    <col min="10" max="257" width="8.85546875" style="692"/>
    <col min="258" max="258" width="38" style="692" customWidth="1"/>
    <col min="259" max="260" width="5.5703125" style="692" customWidth="1"/>
    <col min="261" max="263" width="8.85546875" style="692"/>
    <col min="264" max="264" width="12.28515625" style="692" customWidth="1"/>
    <col min="265" max="513" width="8.85546875" style="692"/>
    <col min="514" max="514" width="38" style="692" customWidth="1"/>
    <col min="515" max="516" width="5.5703125" style="692" customWidth="1"/>
    <col min="517" max="519" width="8.85546875" style="692"/>
    <col min="520" max="520" width="12.28515625" style="692" customWidth="1"/>
    <col min="521" max="769" width="8.85546875" style="692"/>
    <col min="770" max="770" width="38" style="692" customWidth="1"/>
    <col min="771" max="772" width="5.5703125" style="692" customWidth="1"/>
    <col min="773" max="775" width="8.85546875" style="692"/>
    <col min="776" max="776" width="12.28515625" style="692" customWidth="1"/>
    <col min="777" max="1025" width="8.85546875" style="692"/>
    <col min="1026" max="1026" width="38" style="692" customWidth="1"/>
    <col min="1027" max="1028" width="5.5703125" style="692" customWidth="1"/>
    <col min="1029" max="1031" width="8.85546875" style="692"/>
    <col min="1032" max="1032" width="12.28515625" style="692" customWidth="1"/>
    <col min="1033" max="1281" width="8.85546875" style="692"/>
    <col min="1282" max="1282" width="38" style="692" customWidth="1"/>
    <col min="1283" max="1284" width="5.5703125" style="692" customWidth="1"/>
    <col min="1285" max="1287" width="8.85546875" style="692"/>
    <col min="1288" max="1288" width="12.28515625" style="692" customWidth="1"/>
    <col min="1289" max="1537" width="8.85546875" style="692"/>
    <col min="1538" max="1538" width="38" style="692" customWidth="1"/>
    <col min="1539" max="1540" width="5.5703125" style="692" customWidth="1"/>
    <col min="1541" max="1543" width="8.85546875" style="692"/>
    <col min="1544" max="1544" width="12.28515625" style="692" customWidth="1"/>
    <col min="1545" max="1793" width="8.85546875" style="692"/>
    <col min="1794" max="1794" width="38" style="692" customWidth="1"/>
    <col min="1795" max="1796" width="5.5703125" style="692" customWidth="1"/>
    <col min="1797" max="1799" width="8.85546875" style="692"/>
    <col min="1800" max="1800" width="12.28515625" style="692" customWidth="1"/>
    <col min="1801" max="2049" width="8.85546875" style="692"/>
    <col min="2050" max="2050" width="38" style="692" customWidth="1"/>
    <col min="2051" max="2052" width="5.5703125" style="692" customWidth="1"/>
    <col min="2053" max="2055" width="8.85546875" style="692"/>
    <col min="2056" max="2056" width="12.28515625" style="692" customWidth="1"/>
    <col min="2057" max="2305" width="8.85546875" style="692"/>
    <col min="2306" max="2306" width="38" style="692" customWidth="1"/>
    <col min="2307" max="2308" width="5.5703125" style="692" customWidth="1"/>
    <col min="2309" max="2311" width="8.85546875" style="692"/>
    <col min="2312" max="2312" width="12.28515625" style="692" customWidth="1"/>
    <col min="2313" max="2561" width="8.85546875" style="692"/>
    <col min="2562" max="2562" width="38" style="692" customWidth="1"/>
    <col min="2563" max="2564" width="5.5703125" style="692" customWidth="1"/>
    <col min="2565" max="2567" width="8.85546875" style="692"/>
    <col min="2568" max="2568" width="12.28515625" style="692" customWidth="1"/>
    <col min="2569" max="2817" width="8.85546875" style="692"/>
    <col min="2818" max="2818" width="38" style="692" customWidth="1"/>
    <col min="2819" max="2820" width="5.5703125" style="692" customWidth="1"/>
    <col min="2821" max="2823" width="8.85546875" style="692"/>
    <col min="2824" max="2824" width="12.28515625" style="692" customWidth="1"/>
    <col min="2825" max="3073" width="8.85546875" style="692"/>
    <col min="3074" max="3074" width="38" style="692" customWidth="1"/>
    <col min="3075" max="3076" width="5.5703125" style="692" customWidth="1"/>
    <col min="3077" max="3079" width="8.85546875" style="692"/>
    <col min="3080" max="3080" width="12.28515625" style="692" customWidth="1"/>
    <col min="3081" max="3329" width="8.85546875" style="692"/>
    <col min="3330" max="3330" width="38" style="692" customWidth="1"/>
    <col min="3331" max="3332" width="5.5703125" style="692" customWidth="1"/>
    <col min="3333" max="3335" width="8.85546875" style="692"/>
    <col min="3336" max="3336" width="12.28515625" style="692" customWidth="1"/>
    <col min="3337" max="3585" width="8.85546875" style="692"/>
    <col min="3586" max="3586" width="38" style="692" customWidth="1"/>
    <col min="3587" max="3588" width="5.5703125" style="692" customWidth="1"/>
    <col min="3589" max="3591" width="8.85546875" style="692"/>
    <col min="3592" max="3592" width="12.28515625" style="692" customWidth="1"/>
    <col min="3593" max="3841" width="8.85546875" style="692"/>
    <col min="3842" max="3842" width="38" style="692" customWidth="1"/>
    <col min="3843" max="3844" width="5.5703125" style="692" customWidth="1"/>
    <col min="3845" max="3847" width="8.85546875" style="692"/>
    <col min="3848" max="3848" width="12.28515625" style="692" customWidth="1"/>
    <col min="3849" max="4097" width="8.85546875" style="692"/>
    <col min="4098" max="4098" width="38" style="692" customWidth="1"/>
    <col min="4099" max="4100" width="5.5703125" style="692" customWidth="1"/>
    <col min="4101" max="4103" width="8.85546875" style="692"/>
    <col min="4104" max="4104" width="12.28515625" style="692" customWidth="1"/>
    <col min="4105" max="4353" width="8.85546875" style="692"/>
    <col min="4354" max="4354" width="38" style="692" customWidth="1"/>
    <col min="4355" max="4356" width="5.5703125" style="692" customWidth="1"/>
    <col min="4357" max="4359" width="8.85546875" style="692"/>
    <col min="4360" max="4360" width="12.28515625" style="692" customWidth="1"/>
    <col min="4361" max="4609" width="8.85546875" style="692"/>
    <col min="4610" max="4610" width="38" style="692" customWidth="1"/>
    <col min="4611" max="4612" width="5.5703125" style="692" customWidth="1"/>
    <col min="4613" max="4615" width="8.85546875" style="692"/>
    <col min="4616" max="4616" width="12.28515625" style="692" customWidth="1"/>
    <col min="4617" max="4865" width="8.85546875" style="692"/>
    <col min="4866" max="4866" width="38" style="692" customWidth="1"/>
    <col min="4867" max="4868" width="5.5703125" style="692" customWidth="1"/>
    <col min="4869" max="4871" width="8.85546875" style="692"/>
    <col min="4872" max="4872" width="12.28515625" style="692" customWidth="1"/>
    <col min="4873" max="5121" width="8.85546875" style="692"/>
    <col min="5122" max="5122" width="38" style="692" customWidth="1"/>
    <col min="5123" max="5124" width="5.5703125" style="692" customWidth="1"/>
    <col min="5125" max="5127" width="8.85546875" style="692"/>
    <col min="5128" max="5128" width="12.28515625" style="692" customWidth="1"/>
    <col min="5129" max="5377" width="8.85546875" style="692"/>
    <col min="5378" max="5378" width="38" style="692" customWidth="1"/>
    <col min="5379" max="5380" width="5.5703125" style="692" customWidth="1"/>
    <col min="5381" max="5383" width="8.85546875" style="692"/>
    <col min="5384" max="5384" width="12.28515625" style="692" customWidth="1"/>
    <col min="5385" max="5633" width="8.85546875" style="692"/>
    <col min="5634" max="5634" width="38" style="692" customWidth="1"/>
    <col min="5635" max="5636" width="5.5703125" style="692" customWidth="1"/>
    <col min="5637" max="5639" width="8.85546875" style="692"/>
    <col min="5640" max="5640" width="12.28515625" style="692" customWidth="1"/>
    <col min="5641" max="5889" width="8.85546875" style="692"/>
    <col min="5890" max="5890" width="38" style="692" customWidth="1"/>
    <col min="5891" max="5892" width="5.5703125" style="692" customWidth="1"/>
    <col min="5893" max="5895" width="8.85546875" style="692"/>
    <col min="5896" max="5896" width="12.28515625" style="692" customWidth="1"/>
    <col min="5897" max="6145" width="8.85546875" style="692"/>
    <col min="6146" max="6146" width="38" style="692" customWidth="1"/>
    <col min="6147" max="6148" width="5.5703125" style="692" customWidth="1"/>
    <col min="6149" max="6151" width="8.85546875" style="692"/>
    <col min="6152" max="6152" width="12.28515625" style="692" customWidth="1"/>
    <col min="6153" max="6401" width="8.85546875" style="692"/>
    <col min="6402" max="6402" width="38" style="692" customWidth="1"/>
    <col min="6403" max="6404" width="5.5703125" style="692" customWidth="1"/>
    <col min="6405" max="6407" width="8.85546875" style="692"/>
    <col min="6408" max="6408" width="12.28515625" style="692" customWidth="1"/>
    <col min="6409" max="6657" width="8.85546875" style="692"/>
    <col min="6658" max="6658" width="38" style="692" customWidth="1"/>
    <col min="6659" max="6660" width="5.5703125" style="692" customWidth="1"/>
    <col min="6661" max="6663" width="8.85546875" style="692"/>
    <col min="6664" max="6664" width="12.28515625" style="692" customWidth="1"/>
    <col min="6665" max="6913" width="8.85546875" style="692"/>
    <col min="6914" max="6914" width="38" style="692" customWidth="1"/>
    <col min="6915" max="6916" width="5.5703125" style="692" customWidth="1"/>
    <col min="6917" max="6919" width="8.85546875" style="692"/>
    <col min="6920" max="6920" width="12.28515625" style="692" customWidth="1"/>
    <col min="6921" max="7169" width="8.85546875" style="692"/>
    <col min="7170" max="7170" width="38" style="692" customWidth="1"/>
    <col min="7171" max="7172" width="5.5703125" style="692" customWidth="1"/>
    <col min="7173" max="7175" width="8.85546875" style="692"/>
    <col min="7176" max="7176" width="12.28515625" style="692" customWidth="1"/>
    <col min="7177" max="7425" width="8.85546875" style="692"/>
    <col min="7426" max="7426" width="38" style="692" customWidth="1"/>
    <col min="7427" max="7428" width="5.5703125" style="692" customWidth="1"/>
    <col min="7429" max="7431" width="8.85546875" style="692"/>
    <col min="7432" max="7432" width="12.28515625" style="692" customWidth="1"/>
    <col min="7433" max="7681" width="8.85546875" style="692"/>
    <col min="7682" max="7682" width="38" style="692" customWidth="1"/>
    <col min="7683" max="7684" width="5.5703125" style="692" customWidth="1"/>
    <col min="7685" max="7687" width="8.85546875" style="692"/>
    <col min="7688" max="7688" width="12.28515625" style="692" customWidth="1"/>
    <col min="7689" max="7937" width="8.85546875" style="692"/>
    <col min="7938" max="7938" width="38" style="692" customWidth="1"/>
    <col min="7939" max="7940" width="5.5703125" style="692" customWidth="1"/>
    <col min="7941" max="7943" width="8.85546875" style="692"/>
    <col min="7944" max="7944" width="12.28515625" style="692" customWidth="1"/>
    <col min="7945" max="8193" width="8.85546875" style="692"/>
    <col min="8194" max="8194" width="38" style="692" customWidth="1"/>
    <col min="8195" max="8196" width="5.5703125" style="692" customWidth="1"/>
    <col min="8197" max="8199" width="8.85546875" style="692"/>
    <col min="8200" max="8200" width="12.28515625" style="692" customWidth="1"/>
    <col min="8201" max="8449" width="8.85546875" style="692"/>
    <col min="8450" max="8450" width="38" style="692" customWidth="1"/>
    <col min="8451" max="8452" width="5.5703125" style="692" customWidth="1"/>
    <col min="8453" max="8455" width="8.85546875" style="692"/>
    <col min="8456" max="8456" width="12.28515625" style="692" customWidth="1"/>
    <col min="8457" max="8705" width="8.85546875" style="692"/>
    <col min="8706" max="8706" width="38" style="692" customWidth="1"/>
    <col min="8707" max="8708" width="5.5703125" style="692" customWidth="1"/>
    <col min="8709" max="8711" width="8.85546875" style="692"/>
    <col min="8712" max="8712" width="12.28515625" style="692" customWidth="1"/>
    <col min="8713" max="8961" width="8.85546875" style="692"/>
    <col min="8962" max="8962" width="38" style="692" customWidth="1"/>
    <col min="8963" max="8964" width="5.5703125" style="692" customWidth="1"/>
    <col min="8965" max="8967" width="8.85546875" style="692"/>
    <col min="8968" max="8968" width="12.28515625" style="692" customWidth="1"/>
    <col min="8969" max="9217" width="8.85546875" style="692"/>
    <col min="9218" max="9218" width="38" style="692" customWidth="1"/>
    <col min="9219" max="9220" width="5.5703125" style="692" customWidth="1"/>
    <col min="9221" max="9223" width="8.85546875" style="692"/>
    <col min="9224" max="9224" width="12.28515625" style="692" customWidth="1"/>
    <col min="9225" max="9473" width="8.85546875" style="692"/>
    <col min="9474" max="9474" width="38" style="692" customWidth="1"/>
    <col min="9475" max="9476" width="5.5703125" style="692" customWidth="1"/>
    <col min="9477" max="9479" width="8.85546875" style="692"/>
    <col min="9480" max="9480" width="12.28515625" style="692" customWidth="1"/>
    <col min="9481" max="9729" width="8.85546875" style="692"/>
    <col min="9730" max="9730" width="38" style="692" customWidth="1"/>
    <col min="9731" max="9732" width="5.5703125" style="692" customWidth="1"/>
    <col min="9733" max="9735" width="8.85546875" style="692"/>
    <col min="9736" max="9736" width="12.28515625" style="692" customWidth="1"/>
    <col min="9737" max="9985" width="8.85546875" style="692"/>
    <col min="9986" max="9986" width="38" style="692" customWidth="1"/>
    <col min="9987" max="9988" width="5.5703125" style="692" customWidth="1"/>
    <col min="9989" max="9991" width="8.85546875" style="692"/>
    <col min="9992" max="9992" width="12.28515625" style="692" customWidth="1"/>
    <col min="9993" max="10241" width="8.85546875" style="692"/>
    <col min="10242" max="10242" width="38" style="692" customWidth="1"/>
    <col min="10243" max="10244" width="5.5703125" style="692" customWidth="1"/>
    <col min="10245" max="10247" width="8.85546875" style="692"/>
    <col min="10248" max="10248" width="12.28515625" style="692" customWidth="1"/>
    <col min="10249" max="10497" width="8.85546875" style="692"/>
    <col min="10498" max="10498" width="38" style="692" customWidth="1"/>
    <col min="10499" max="10500" width="5.5703125" style="692" customWidth="1"/>
    <col min="10501" max="10503" width="8.85546875" style="692"/>
    <col min="10504" max="10504" width="12.28515625" style="692" customWidth="1"/>
    <col min="10505" max="10753" width="8.85546875" style="692"/>
    <col min="10754" max="10754" width="38" style="692" customWidth="1"/>
    <col min="10755" max="10756" width="5.5703125" style="692" customWidth="1"/>
    <col min="10757" max="10759" width="8.85546875" style="692"/>
    <col min="10760" max="10760" width="12.28515625" style="692" customWidth="1"/>
    <col min="10761" max="11009" width="8.85546875" style="692"/>
    <col min="11010" max="11010" width="38" style="692" customWidth="1"/>
    <col min="11011" max="11012" width="5.5703125" style="692" customWidth="1"/>
    <col min="11013" max="11015" width="8.85546875" style="692"/>
    <col min="11016" max="11016" width="12.28515625" style="692" customWidth="1"/>
    <col min="11017" max="11265" width="8.85546875" style="692"/>
    <col min="11266" max="11266" width="38" style="692" customWidth="1"/>
    <col min="11267" max="11268" width="5.5703125" style="692" customWidth="1"/>
    <col min="11269" max="11271" width="8.85546875" style="692"/>
    <col min="11272" max="11272" width="12.28515625" style="692" customWidth="1"/>
    <col min="11273" max="11521" width="8.85546875" style="692"/>
    <col min="11522" max="11522" width="38" style="692" customWidth="1"/>
    <col min="11523" max="11524" width="5.5703125" style="692" customWidth="1"/>
    <col min="11525" max="11527" width="8.85546875" style="692"/>
    <col min="11528" max="11528" width="12.28515625" style="692" customWidth="1"/>
    <col min="11529" max="11777" width="8.85546875" style="692"/>
    <col min="11778" max="11778" width="38" style="692" customWidth="1"/>
    <col min="11779" max="11780" width="5.5703125" style="692" customWidth="1"/>
    <col min="11781" max="11783" width="8.85546875" style="692"/>
    <col min="11784" max="11784" width="12.28515625" style="692" customWidth="1"/>
    <col min="11785" max="12033" width="8.85546875" style="692"/>
    <col min="12034" max="12034" width="38" style="692" customWidth="1"/>
    <col min="12035" max="12036" width="5.5703125" style="692" customWidth="1"/>
    <col min="12037" max="12039" width="8.85546875" style="692"/>
    <col min="12040" max="12040" width="12.28515625" style="692" customWidth="1"/>
    <col min="12041" max="12289" width="8.85546875" style="692"/>
    <col min="12290" max="12290" width="38" style="692" customWidth="1"/>
    <col min="12291" max="12292" width="5.5703125" style="692" customWidth="1"/>
    <col min="12293" max="12295" width="8.85546875" style="692"/>
    <col min="12296" max="12296" width="12.28515625" style="692" customWidth="1"/>
    <col min="12297" max="12545" width="8.85546875" style="692"/>
    <col min="12546" max="12546" width="38" style="692" customWidth="1"/>
    <col min="12547" max="12548" width="5.5703125" style="692" customWidth="1"/>
    <col min="12549" max="12551" width="8.85546875" style="692"/>
    <col min="12552" max="12552" width="12.28515625" style="692" customWidth="1"/>
    <col min="12553" max="12801" width="8.85546875" style="692"/>
    <col min="12802" max="12802" width="38" style="692" customWidth="1"/>
    <col min="12803" max="12804" width="5.5703125" style="692" customWidth="1"/>
    <col min="12805" max="12807" width="8.85546875" style="692"/>
    <col min="12808" max="12808" width="12.28515625" style="692" customWidth="1"/>
    <col min="12809" max="13057" width="8.85546875" style="692"/>
    <col min="13058" max="13058" width="38" style="692" customWidth="1"/>
    <col min="13059" max="13060" width="5.5703125" style="692" customWidth="1"/>
    <col min="13061" max="13063" width="8.85546875" style="692"/>
    <col min="13064" max="13064" width="12.28515625" style="692" customWidth="1"/>
    <col min="13065" max="13313" width="8.85546875" style="692"/>
    <col min="13314" max="13314" width="38" style="692" customWidth="1"/>
    <col min="13315" max="13316" width="5.5703125" style="692" customWidth="1"/>
    <col min="13317" max="13319" width="8.85546875" style="692"/>
    <col min="13320" max="13320" width="12.28515625" style="692" customWidth="1"/>
    <col min="13321" max="13569" width="8.85546875" style="692"/>
    <col min="13570" max="13570" width="38" style="692" customWidth="1"/>
    <col min="13571" max="13572" width="5.5703125" style="692" customWidth="1"/>
    <col min="13573" max="13575" width="8.85546875" style="692"/>
    <col min="13576" max="13576" width="12.28515625" style="692" customWidth="1"/>
    <col min="13577" max="13825" width="8.85546875" style="692"/>
    <col min="13826" max="13826" width="38" style="692" customWidth="1"/>
    <col min="13827" max="13828" width="5.5703125" style="692" customWidth="1"/>
    <col min="13829" max="13831" width="8.85546875" style="692"/>
    <col min="13832" max="13832" width="12.28515625" style="692" customWidth="1"/>
    <col min="13833" max="14081" width="8.85546875" style="692"/>
    <col min="14082" max="14082" width="38" style="692" customWidth="1"/>
    <col min="14083" max="14084" width="5.5703125" style="692" customWidth="1"/>
    <col min="14085" max="14087" width="8.85546875" style="692"/>
    <col min="14088" max="14088" width="12.28515625" style="692" customWidth="1"/>
    <col min="14089" max="14337" width="8.85546875" style="692"/>
    <col min="14338" max="14338" width="38" style="692" customWidth="1"/>
    <col min="14339" max="14340" width="5.5703125" style="692" customWidth="1"/>
    <col min="14341" max="14343" width="8.85546875" style="692"/>
    <col min="14344" max="14344" width="12.28515625" style="692" customWidth="1"/>
    <col min="14345" max="14593" width="8.85546875" style="692"/>
    <col min="14594" max="14594" width="38" style="692" customWidth="1"/>
    <col min="14595" max="14596" width="5.5703125" style="692" customWidth="1"/>
    <col min="14597" max="14599" width="8.85546875" style="692"/>
    <col min="14600" max="14600" width="12.28515625" style="692" customWidth="1"/>
    <col min="14601" max="14849" width="8.85546875" style="692"/>
    <col min="14850" max="14850" width="38" style="692" customWidth="1"/>
    <col min="14851" max="14852" width="5.5703125" style="692" customWidth="1"/>
    <col min="14853" max="14855" width="8.85546875" style="692"/>
    <col min="14856" max="14856" width="12.28515625" style="692" customWidth="1"/>
    <col min="14857" max="15105" width="8.85546875" style="692"/>
    <col min="15106" max="15106" width="38" style="692" customWidth="1"/>
    <col min="15107" max="15108" width="5.5703125" style="692" customWidth="1"/>
    <col min="15109" max="15111" width="8.85546875" style="692"/>
    <col min="15112" max="15112" width="12.28515625" style="692" customWidth="1"/>
    <col min="15113" max="15361" width="8.85546875" style="692"/>
    <col min="15362" max="15362" width="38" style="692" customWidth="1"/>
    <col min="15363" max="15364" width="5.5703125" style="692" customWidth="1"/>
    <col min="15365" max="15367" width="8.85546875" style="692"/>
    <col min="15368" max="15368" width="12.28515625" style="692" customWidth="1"/>
    <col min="15369" max="15617" width="8.85546875" style="692"/>
    <col min="15618" max="15618" width="38" style="692" customWidth="1"/>
    <col min="15619" max="15620" width="5.5703125" style="692" customWidth="1"/>
    <col min="15621" max="15623" width="8.85546875" style="692"/>
    <col min="15624" max="15624" width="12.28515625" style="692" customWidth="1"/>
    <col min="15625" max="15873" width="8.85546875" style="692"/>
    <col min="15874" max="15874" width="38" style="692" customWidth="1"/>
    <col min="15875" max="15876" width="5.5703125" style="692" customWidth="1"/>
    <col min="15877" max="15879" width="8.85546875" style="692"/>
    <col min="15880" max="15880" width="12.28515625" style="692" customWidth="1"/>
    <col min="15881" max="16129" width="8.85546875" style="692"/>
    <col min="16130" max="16130" width="38" style="692" customWidth="1"/>
    <col min="16131" max="16132" width="5.5703125" style="692" customWidth="1"/>
    <col min="16133" max="16135" width="8.85546875" style="692"/>
    <col min="16136" max="16136" width="12.28515625" style="692" customWidth="1"/>
    <col min="16137" max="16384" width="8.85546875" style="692"/>
  </cols>
  <sheetData>
    <row r="1" spans="1:9" ht="15.75" customHeight="1">
      <c r="A1" s="2062" t="s">
        <v>3529</v>
      </c>
      <c r="B1" s="2063"/>
      <c r="C1" s="2063"/>
      <c r="D1" s="2063"/>
      <c r="E1" s="2063"/>
      <c r="F1" s="2063"/>
      <c r="G1" s="2063"/>
      <c r="H1" s="2063"/>
      <c r="I1" s="2064"/>
    </row>
    <row r="2" spans="1:9" ht="59.45" customHeight="1">
      <c r="A2" s="2065" t="str">
        <f>'PC- Elec'!A2:I2</f>
        <v>Name of work: Providing Special Repair works for 5 Nos INS, 8 Nos SI, 24 Nos PC/HC Quarters  at Church Hill Ooty in the Nilgiri District</v>
      </c>
      <c r="B2" s="2066"/>
      <c r="C2" s="2066"/>
      <c r="D2" s="2066"/>
      <c r="E2" s="2066"/>
      <c r="F2" s="2066"/>
      <c r="G2" s="2066"/>
      <c r="H2" s="2066"/>
      <c r="I2" s="2067"/>
    </row>
    <row r="3" spans="1:9" ht="18.600000000000001" customHeight="1">
      <c r="A3" s="2065" t="s">
        <v>3765</v>
      </c>
      <c r="B3" s="2066"/>
      <c r="C3" s="2066"/>
      <c r="D3" s="2066"/>
      <c r="E3" s="2066"/>
      <c r="F3" s="2066"/>
      <c r="G3" s="2066"/>
      <c r="H3" s="2066"/>
      <c r="I3" s="2067"/>
    </row>
    <row r="4" spans="1:9">
      <c r="A4" s="2068" t="s">
        <v>3530</v>
      </c>
      <c r="B4" s="2069"/>
      <c r="C4" s="2069"/>
      <c r="D4" s="2069"/>
      <c r="E4" s="2069"/>
      <c r="F4" s="2069"/>
      <c r="G4" s="2069"/>
      <c r="H4" s="2069"/>
      <c r="I4" s="2070"/>
    </row>
    <row r="5" spans="1:9">
      <c r="A5" s="2057" t="s">
        <v>3531</v>
      </c>
      <c r="B5" s="2057" t="s">
        <v>3497</v>
      </c>
      <c r="C5" s="2057" t="s">
        <v>1717</v>
      </c>
      <c r="D5" s="2057"/>
      <c r="E5" s="2057" t="s">
        <v>3498</v>
      </c>
      <c r="F5" s="2057"/>
      <c r="G5" s="2057"/>
      <c r="H5" s="2058" t="s">
        <v>3</v>
      </c>
      <c r="I5" s="693"/>
    </row>
    <row r="6" spans="1:9">
      <c r="A6" s="2057"/>
      <c r="B6" s="2057"/>
      <c r="C6" s="2057"/>
      <c r="D6" s="2057"/>
      <c r="E6" s="788" t="s">
        <v>5</v>
      </c>
      <c r="F6" s="788" t="s">
        <v>6</v>
      </c>
      <c r="G6" s="788" t="s">
        <v>7</v>
      </c>
      <c r="H6" s="2058"/>
      <c r="I6" s="693"/>
    </row>
    <row r="7" spans="1:9" ht="47.25">
      <c r="A7" s="810">
        <v>1</v>
      </c>
      <c r="B7" s="680" t="s">
        <v>3532</v>
      </c>
      <c r="C7" s="786"/>
      <c r="D7" s="811"/>
      <c r="E7" s="812"/>
      <c r="F7" s="812"/>
      <c r="G7" s="812"/>
      <c r="H7" s="813"/>
      <c r="I7" s="693"/>
    </row>
    <row r="8" spans="1:9">
      <c r="A8" s="810"/>
      <c r="B8" s="786" t="s">
        <v>3533</v>
      </c>
      <c r="C8" s="814"/>
      <c r="D8" s="815"/>
      <c r="E8" s="816"/>
      <c r="F8" s="816"/>
      <c r="G8" s="816"/>
      <c r="H8" s="814"/>
      <c r="I8" s="693"/>
    </row>
    <row r="9" spans="1:9">
      <c r="A9" s="810"/>
      <c r="B9" s="786" t="s">
        <v>3534</v>
      </c>
      <c r="C9" s="810">
        <v>3</v>
      </c>
      <c r="D9" s="817">
        <v>1</v>
      </c>
      <c r="E9" s="818">
        <v>25</v>
      </c>
      <c r="F9" s="818">
        <v>0.3</v>
      </c>
      <c r="G9" s="818">
        <v>0.3</v>
      </c>
      <c r="H9" s="819">
        <f>+PRODUCT(C9:G9)</f>
        <v>6.75</v>
      </c>
      <c r="I9" s="693"/>
    </row>
    <row r="10" spans="1:9">
      <c r="A10" s="810"/>
      <c r="B10" s="786" t="s">
        <v>337</v>
      </c>
      <c r="C10" s="810"/>
      <c r="D10" s="817"/>
      <c r="E10" s="818"/>
      <c r="F10" s="818"/>
      <c r="G10" s="818"/>
      <c r="H10" s="819"/>
      <c r="I10" s="693"/>
    </row>
    <row r="11" spans="1:9" ht="18.75">
      <c r="A11" s="810"/>
      <c r="B11" s="786"/>
      <c r="C11" s="810"/>
      <c r="D11" s="817"/>
      <c r="E11" s="818"/>
      <c r="F11" s="818"/>
      <c r="G11" s="818" t="s">
        <v>9</v>
      </c>
      <c r="H11" s="820">
        <f>SUM(H9:H10)</f>
        <v>6.75</v>
      </c>
      <c r="I11" s="821" t="s">
        <v>3762</v>
      </c>
    </row>
    <row r="12" spans="1:9" ht="31.5">
      <c r="A12" s="810">
        <v>2</v>
      </c>
      <c r="B12" s="680" t="s">
        <v>3535</v>
      </c>
      <c r="C12" s="810"/>
      <c r="D12" s="817"/>
      <c r="E12" s="812"/>
      <c r="F12" s="812"/>
      <c r="G12" s="812"/>
      <c r="H12" s="813"/>
      <c r="I12" s="693"/>
    </row>
    <row r="13" spans="1:9">
      <c r="A13" s="810"/>
      <c r="B13" s="786" t="s">
        <v>3533</v>
      </c>
      <c r="C13" s="810"/>
      <c r="D13" s="817"/>
      <c r="E13" s="818"/>
      <c r="F13" s="818"/>
      <c r="G13" s="818"/>
      <c r="H13" s="819"/>
      <c r="I13" s="693"/>
    </row>
    <row r="14" spans="1:9">
      <c r="A14" s="810"/>
      <c r="B14" s="786" t="s">
        <v>3534</v>
      </c>
      <c r="C14" s="810">
        <v>3</v>
      </c>
      <c r="D14" s="817">
        <v>1</v>
      </c>
      <c r="E14" s="818">
        <f>E9</f>
        <v>25</v>
      </c>
      <c r="F14" s="818">
        <v>0.3</v>
      </c>
      <c r="G14" s="822">
        <v>0.15</v>
      </c>
      <c r="H14" s="819">
        <f>G14*F14*E14*D14*C14</f>
        <v>3.375</v>
      </c>
      <c r="I14" s="693"/>
    </row>
    <row r="15" spans="1:9">
      <c r="A15" s="810"/>
      <c r="B15" s="786" t="s">
        <v>337</v>
      </c>
      <c r="C15" s="810"/>
      <c r="D15" s="817"/>
      <c r="E15" s="818"/>
      <c r="F15" s="818"/>
      <c r="G15" s="822"/>
      <c r="H15" s="819"/>
      <c r="I15" s="693"/>
    </row>
    <row r="16" spans="1:9" ht="18.75">
      <c r="A16" s="810"/>
      <c r="B16" s="786"/>
      <c r="C16" s="810"/>
      <c r="D16" s="817"/>
      <c r="E16" s="818"/>
      <c r="F16" s="818"/>
      <c r="G16" s="818" t="s">
        <v>9</v>
      </c>
      <c r="H16" s="820">
        <f>SUM(H14:H15)</f>
        <v>3.375</v>
      </c>
      <c r="I16" s="821" t="s">
        <v>3762</v>
      </c>
    </row>
    <row r="17" spans="1:9" ht="47.25">
      <c r="A17" s="810">
        <v>3</v>
      </c>
      <c r="B17" s="823" t="s">
        <v>3763</v>
      </c>
      <c r="C17" s="810"/>
      <c r="D17" s="817"/>
      <c r="E17" s="818"/>
      <c r="F17" s="818"/>
      <c r="G17" s="818"/>
      <c r="H17" s="820"/>
      <c r="I17" s="821"/>
    </row>
    <row r="18" spans="1:9">
      <c r="A18" s="810"/>
      <c r="B18" s="786" t="s">
        <v>3536</v>
      </c>
      <c r="C18" s="810">
        <v>3</v>
      </c>
      <c r="D18" s="817">
        <f>E14/2.8</f>
        <v>8.9285714285714288</v>
      </c>
      <c r="E18" s="818">
        <v>0.23</v>
      </c>
      <c r="F18" s="818">
        <v>0.23</v>
      </c>
      <c r="G18" s="818">
        <v>0.75</v>
      </c>
      <c r="H18" s="819">
        <f>G18*F18*E18*D18*C18</f>
        <v>1.0627232142857144</v>
      </c>
      <c r="I18" s="821"/>
    </row>
    <row r="19" spans="1:9">
      <c r="A19" s="810"/>
      <c r="B19" s="786"/>
      <c r="C19" s="810"/>
      <c r="D19" s="817"/>
      <c r="E19" s="818"/>
      <c r="F19" s="818"/>
      <c r="G19" s="818"/>
      <c r="H19" s="819">
        <v>0.02</v>
      </c>
      <c r="I19" s="693"/>
    </row>
    <row r="20" spans="1:9" ht="18.75">
      <c r="A20" s="810"/>
      <c r="B20" s="786"/>
      <c r="C20" s="810"/>
      <c r="D20" s="817"/>
      <c r="E20" s="818"/>
      <c r="F20" s="818"/>
      <c r="G20" s="818"/>
      <c r="H20" s="820">
        <f>SUM(H18:H19)</f>
        <v>1.0827232142857144</v>
      </c>
      <c r="I20" s="821" t="s">
        <v>3762</v>
      </c>
    </row>
    <row r="21" spans="1:9" ht="47.25">
      <c r="A21" s="810">
        <v>4</v>
      </c>
      <c r="B21" s="680" t="s">
        <v>3537</v>
      </c>
      <c r="C21" s="810"/>
      <c r="D21" s="817"/>
      <c r="E21" s="812"/>
      <c r="F21" s="812"/>
      <c r="G21" s="812"/>
      <c r="H21" s="674"/>
      <c r="I21" s="693"/>
    </row>
    <row r="22" spans="1:9">
      <c r="A22" s="810"/>
      <c r="B22" s="786" t="s">
        <v>3538</v>
      </c>
      <c r="C22" s="810"/>
      <c r="D22" s="817"/>
      <c r="E22" s="822"/>
      <c r="F22" s="818"/>
      <c r="G22" s="818"/>
      <c r="H22" s="677"/>
      <c r="I22" s="693"/>
    </row>
    <row r="23" spans="1:9">
      <c r="A23" s="810"/>
      <c r="B23" s="786" t="s">
        <v>3539</v>
      </c>
      <c r="C23" s="810">
        <v>3</v>
      </c>
      <c r="D23" s="817">
        <v>1</v>
      </c>
      <c r="E23" s="818">
        <f>E9</f>
        <v>25</v>
      </c>
      <c r="F23" s="818" t="s">
        <v>21</v>
      </c>
      <c r="G23" s="818">
        <v>0.75</v>
      </c>
      <c r="H23" s="819">
        <f>G23*E23*D23*C23</f>
        <v>56.25</v>
      </c>
      <c r="I23" s="693"/>
    </row>
    <row r="24" spans="1:9">
      <c r="A24" s="810"/>
      <c r="B24" s="786" t="s">
        <v>3419</v>
      </c>
      <c r="C24" s="810">
        <v>-3</v>
      </c>
      <c r="D24" s="824">
        <f>E23/2.8</f>
        <v>8.9285714285714288</v>
      </c>
      <c r="E24" s="818">
        <v>0.23</v>
      </c>
      <c r="F24" s="818" t="s">
        <v>21</v>
      </c>
      <c r="G24" s="818">
        <v>0.75</v>
      </c>
      <c r="H24" s="819">
        <f>G24*E24*D24*C24</f>
        <v>-4.6205357142857153</v>
      </c>
      <c r="I24" s="693"/>
    </row>
    <row r="25" spans="1:9">
      <c r="A25" s="810"/>
      <c r="B25" s="786" t="s">
        <v>337</v>
      </c>
      <c r="C25" s="810"/>
      <c r="D25" s="817"/>
      <c r="E25" s="818"/>
      <c r="F25" s="818"/>
      <c r="G25" s="818"/>
      <c r="H25" s="819">
        <v>0.04</v>
      </c>
      <c r="I25" s="693"/>
    </row>
    <row r="26" spans="1:9" ht="18.75">
      <c r="A26" s="810"/>
      <c r="B26" s="786"/>
      <c r="C26" s="810"/>
      <c r="D26" s="817"/>
      <c r="E26" s="818"/>
      <c r="F26" s="818"/>
      <c r="G26" s="818" t="s">
        <v>9</v>
      </c>
      <c r="H26" s="820">
        <f>SUM(H23:H25)</f>
        <v>51.669464285714284</v>
      </c>
      <c r="I26" s="821" t="s">
        <v>3764</v>
      </c>
    </row>
    <row r="27" spans="1:9" ht="31.5">
      <c r="A27" s="810">
        <v>5</v>
      </c>
      <c r="B27" s="680" t="s">
        <v>3540</v>
      </c>
      <c r="C27" s="810"/>
      <c r="D27" s="817"/>
      <c r="E27" s="818"/>
      <c r="F27" s="818"/>
      <c r="G27" s="818"/>
      <c r="H27" s="820"/>
      <c r="I27" s="825"/>
    </row>
    <row r="28" spans="1:9">
      <c r="A28" s="810"/>
      <c r="B28" s="786" t="s">
        <v>3539</v>
      </c>
      <c r="C28" s="810">
        <v>3</v>
      </c>
      <c r="D28" s="817">
        <v>1</v>
      </c>
      <c r="E28" s="818">
        <f>E23</f>
        <v>25</v>
      </c>
      <c r="F28" s="822">
        <v>0.48499999999999999</v>
      </c>
      <c r="G28" s="822">
        <v>0.47499999999999998</v>
      </c>
      <c r="H28" s="819">
        <f>G28*F28*E28*D28*C28</f>
        <v>17.278125000000003</v>
      </c>
      <c r="I28" s="825"/>
    </row>
    <row r="29" spans="1:9">
      <c r="A29" s="810"/>
      <c r="B29" s="786" t="s">
        <v>337</v>
      </c>
      <c r="C29" s="810"/>
      <c r="D29" s="817"/>
      <c r="E29" s="818"/>
      <c r="F29" s="822"/>
      <c r="G29" s="818"/>
      <c r="H29" s="819">
        <v>0.02</v>
      </c>
      <c r="I29" s="825"/>
    </row>
    <row r="30" spans="1:9">
      <c r="A30" s="810"/>
      <c r="B30" s="786"/>
      <c r="C30" s="810"/>
      <c r="D30" s="817"/>
      <c r="E30" s="818"/>
      <c r="F30" s="818"/>
      <c r="G30" s="818"/>
      <c r="H30" s="820">
        <f>SUM(H28:H29)</f>
        <v>17.298125000000002</v>
      </c>
      <c r="I30" s="826" t="s">
        <v>3541</v>
      </c>
    </row>
    <row r="31" spans="1:9" ht="47.25">
      <c r="A31" s="810">
        <v>6</v>
      </c>
      <c r="B31" s="680" t="s">
        <v>3423</v>
      </c>
      <c r="C31" s="810"/>
      <c r="D31" s="817"/>
      <c r="E31" s="822"/>
      <c r="F31" s="818"/>
      <c r="G31" s="818"/>
      <c r="H31" s="677"/>
      <c r="I31" s="693"/>
    </row>
    <row r="32" spans="1:9">
      <c r="A32" s="810"/>
      <c r="B32" s="786" t="s">
        <v>3534</v>
      </c>
      <c r="C32" s="810">
        <v>3</v>
      </c>
      <c r="D32" s="817">
        <v>1</v>
      </c>
      <c r="E32" s="818">
        <f>E28</f>
        <v>25</v>
      </c>
      <c r="F32" s="822">
        <v>0.48499999999999999</v>
      </c>
      <c r="G32" s="822">
        <v>7.4999999999999997E-2</v>
      </c>
      <c r="H32" s="819">
        <f>G32*F32*E32*D32*C32</f>
        <v>2.7281249999999999</v>
      </c>
      <c r="I32" s="693"/>
    </row>
    <row r="33" spans="1:9">
      <c r="A33" s="810"/>
      <c r="B33" s="786" t="s">
        <v>337</v>
      </c>
      <c r="C33" s="810"/>
      <c r="D33" s="817"/>
      <c r="E33" s="818"/>
      <c r="F33" s="818"/>
      <c r="G33" s="818"/>
      <c r="H33" s="827">
        <v>0.03</v>
      </c>
      <c r="I33" s="693"/>
    </row>
    <row r="34" spans="1:9" ht="18.75">
      <c r="A34" s="810"/>
      <c r="B34" s="786"/>
      <c r="C34" s="810"/>
      <c r="D34" s="817"/>
      <c r="E34" s="818"/>
      <c r="F34" s="818"/>
      <c r="G34" s="818" t="s">
        <v>9</v>
      </c>
      <c r="H34" s="820">
        <f>SUM(H31:H33)</f>
        <v>2.7581249999999997</v>
      </c>
      <c r="I34" s="821" t="s">
        <v>3762</v>
      </c>
    </row>
    <row r="35" spans="1:9" ht="31.5">
      <c r="A35" s="810">
        <v>7</v>
      </c>
      <c r="B35" s="680" t="s">
        <v>3542</v>
      </c>
      <c r="C35" s="810"/>
      <c r="D35" s="817"/>
      <c r="E35" s="812"/>
      <c r="F35" s="812"/>
      <c r="G35" s="812"/>
      <c r="H35" s="813"/>
      <c r="I35" s="693"/>
    </row>
    <row r="36" spans="1:9">
      <c r="A36" s="810"/>
      <c r="B36" s="786" t="s">
        <v>3534</v>
      </c>
      <c r="C36" s="810">
        <v>3</v>
      </c>
      <c r="D36" s="817">
        <v>1</v>
      </c>
      <c r="E36" s="818">
        <f>E32</f>
        <v>25</v>
      </c>
      <c r="F36" s="818">
        <v>0.6</v>
      </c>
      <c r="G36" s="822" t="s">
        <v>21</v>
      </c>
      <c r="H36" s="819">
        <f>+PRODUCT(C36:G36)</f>
        <v>45</v>
      </c>
      <c r="I36" s="693"/>
    </row>
    <row r="37" spans="1:9">
      <c r="A37" s="810"/>
      <c r="B37" s="786" t="s">
        <v>337</v>
      </c>
      <c r="C37" s="810"/>
      <c r="D37" s="817"/>
      <c r="E37" s="818"/>
      <c r="F37" s="818"/>
      <c r="G37" s="822"/>
      <c r="H37" s="819"/>
      <c r="I37" s="693"/>
    </row>
    <row r="38" spans="1:9" ht="18.75">
      <c r="A38" s="810"/>
      <c r="B38" s="786"/>
      <c r="C38" s="810"/>
      <c r="D38" s="817"/>
      <c r="E38" s="818"/>
      <c r="F38" s="818"/>
      <c r="G38" s="818" t="s">
        <v>9</v>
      </c>
      <c r="H38" s="820">
        <f>SUM(H36:H37)</f>
        <v>45</v>
      </c>
      <c r="I38" s="821" t="s">
        <v>3764</v>
      </c>
    </row>
    <row r="39" spans="1:9" ht="31.5">
      <c r="A39" s="810">
        <v>8</v>
      </c>
      <c r="B39" s="680" t="s">
        <v>3543</v>
      </c>
      <c r="C39" s="810"/>
      <c r="D39" s="817"/>
      <c r="E39" s="812"/>
      <c r="F39" s="812"/>
      <c r="G39" s="812"/>
      <c r="H39" s="813"/>
      <c r="I39" s="693"/>
    </row>
    <row r="40" spans="1:9">
      <c r="A40" s="810"/>
      <c r="B40" s="786" t="s">
        <v>3544</v>
      </c>
      <c r="C40" s="810">
        <v>3</v>
      </c>
      <c r="D40" s="817">
        <v>1</v>
      </c>
      <c r="E40" s="818">
        <f>E36</f>
        <v>25</v>
      </c>
      <c r="F40" s="818"/>
      <c r="G40" s="822">
        <v>0.5</v>
      </c>
      <c r="H40" s="819">
        <f>+PRODUCT(C40:G40)</f>
        <v>37.5</v>
      </c>
      <c r="I40" s="693"/>
    </row>
    <row r="41" spans="1:9">
      <c r="A41" s="810"/>
      <c r="B41" s="786" t="s">
        <v>337</v>
      </c>
      <c r="C41" s="810"/>
      <c r="D41" s="817"/>
      <c r="E41" s="818"/>
      <c r="F41" s="818"/>
      <c r="G41" s="822"/>
      <c r="H41" s="819"/>
      <c r="I41" s="693"/>
    </row>
    <row r="42" spans="1:9" ht="18.75">
      <c r="A42" s="810"/>
      <c r="B42" s="786"/>
      <c r="C42" s="810"/>
      <c r="D42" s="817"/>
      <c r="E42" s="822"/>
      <c r="F42" s="818"/>
      <c r="G42" s="818" t="s">
        <v>9</v>
      </c>
      <c r="H42" s="820">
        <f>SUM(H40:H41)</f>
        <v>37.5</v>
      </c>
      <c r="I42" s="821" t="s">
        <v>3764</v>
      </c>
    </row>
  </sheetData>
  <mergeCells count="9">
    <mergeCell ref="A1:I1"/>
    <mergeCell ref="A2:I2"/>
    <mergeCell ref="A4:I4"/>
    <mergeCell ref="A5:A6"/>
    <mergeCell ref="B5:B6"/>
    <mergeCell ref="C5:D6"/>
    <mergeCell ref="E5:G5"/>
    <mergeCell ref="H5:H6"/>
    <mergeCell ref="A3:I3"/>
  </mergeCells>
  <pageMargins left="0.7" right="0.7" top="0.75" bottom="0.75" header="0.3" footer="0.3"/>
  <pageSetup paperSize="9" scale="87" orientation="portrait" r:id="rId1"/>
</worksheet>
</file>

<file path=xl/worksheets/sheet25.xml><?xml version="1.0" encoding="utf-8"?>
<worksheet xmlns="http://schemas.openxmlformats.org/spreadsheetml/2006/main" xmlns:r="http://schemas.openxmlformats.org/officeDocument/2006/relationships">
  <sheetPr codeName="Sheet26">
    <tabColor rgb="FF7030A0"/>
  </sheetPr>
  <dimension ref="A1:O360"/>
  <sheetViews>
    <sheetView view="pageBreakPreview" topLeftCell="A19" zoomScale="90" zoomScaleNormal="90" zoomScaleSheetLayoutView="90" workbookViewId="0">
      <selection activeCell="L25" sqref="L25"/>
    </sheetView>
  </sheetViews>
  <sheetFormatPr defaultColWidth="9.28515625" defaultRowHeight="16.5"/>
  <cols>
    <col min="1" max="1" width="5.28515625" style="661" customWidth="1"/>
    <col min="2" max="2" width="36.7109375" style="572" customWidth="1"/>
    <col min="3" max="4" width="5.42578125" style="661" customWidth="1"/>
    <col min="5" max="5" width="9.5703125" style="662" customWidth="1"/>
    <col min="6" max="7" width="7.7109375" style="662" customWidth="1"/>
    <col min="8" max="8" width="10.28515625" style="663" customWidth="1"/>
    <col min="9" max="9" width="8.7109375" style="661" customWidth="1"/>
    <col min="10" max="13" width="9.28515625" style="572"/>
    <col min="14" max="14" width="12.7109375" style="572" bestFit="1" customWidth="1"/>
    <col min="15" max="16384" width="9.28515625" style="572"/>
  </cols>
  <sheetData>
    <row r="1" spans="1:9">
      <c r="A1" s="1943" t="s">
        <v>241</v>
      </c>
      <c r="B1" s="1943"/>
      <c r="C1" s="1943"/>
      <c r="D1" s="1943"/>
      <c r="E1" s="1943"/>
      <c r="F1" s="1943"/>
      <c r="G1" s="1943"/>
      <c r="H1" s="1943"/>
      <c r="I1" s="1943"/>
    </row>
    <row r="2" spans="1:9" ht="50.45" customHeight="1">
      <c r="A2" s="1943" t="s">
        <v>3699</v>
      </c>
      <c r="B2" s="1943"/>
      <c r="C2" s="1943"/>
      <c r="D2" s="1943"/>
      <c r="E2" s="1943"/>
      <c r="F2" s="1943"/>
      <c r="G2" s="1943"/>
      <c r="H2" s="1943"/>
      <c r="I2" s="1943"/>
    </row>
    <row r="3" spans="1:9" ht="21" customHeight="1">
      <c r="A3" s="1944" t="s">
        <v>3197</v>
      </c>
      <c r="B3" s="1945"/>
      <c r="C3" s="1945"/>
      <c r="D3" s="1945"/>
      <c r="E3" s="1945"/>
      <c r="F3" s="1945"/>
      <c r="G3" s="1945"/>
      <c r="H3" s="1945"/>
      <c r="I3" s="1946"/>
    </row>
    <row r="4" spans="1:9" ht="22.5" customHeight="1">
      <c r="A4" s="1944" t="s">
        <v>14</v>
      </c>
      <c r="B4" s="1945"/>
      <c r="C4" s="1945"/>
      <c r="D4" s="1945"/>
      <c r="E4" s="1945"/>
      <c r="F4" s="1945"/>
      <c r="G4" s="1945"/>
      <c r="H4" s="1945"/>
      <c r="I4" s="1946"/>
    </row>
    <row r="5" spans="1:9" ht="40.5" customHeight="1">
      <c r="A5" s="923" t="s">
        <v>12</v>
      </c>
      <c r="B5" s="923" t="s">
        <v>11</v>
      </c>
      <c r="C5" s="1943" t="s">
        <v>4</v>
      </c>
      <c r="D5" s="1943"/>
      <c r="E5" s="574" t="s">
        <v>5</v>
      </c>
      <c r="F5" s="574" t="s">
        <v>6</v>
      </c>
      <c r="G5" s="574" t="s">
        <v>7</v>
      </c>
      <c r="H5" s="574" t="s">
        <v>3</v>
      </c>
      <c r="I5" s="574" t="s">
        <v>10</v>
      </c>
    </row>
    <row r="6" spans="1:9" s="29" customFormat="1" ht="56.45" customHeight="1">
      <c r="A6" s="725">
        <v>1</v>
      </c>
      <c r="B6" s="726" t="s">
        <v>3413</v>
      </c>
      <c r="C6" s="727"/>
      <c r="D6" s="727"/>
      <c r="E6" s="728"/>
      <c r="F6" s="727"/>
      <c r="G6" s="727"/>
      <c r="H6" s="729"/>
      <c r="I6" s="724"/>
    </row>
    <row r="7" spans="1:9" s="733" customFormat="1" ht="22.15" customHeight="1">
      <c r="A7" s="1385"/>
      <c r="B7" s="12" t="s">
        <v>3464</v>
      </c>
      <c r="C7" s="30">
        <v>1</v>
      </c>
      <c r="D7" s="1386">
        <v>5</v>
      </c>
      <c r="E7" s="731">
        <v>1.2</v>
      </c>
      <c r="F7" s="731">
        <v>1.2</v>
      </c>
      <c r="G7" s="731">
        <v>1</v>
      </c>
      <c r="H7" s="32">
        <f>PRODUCT(C7:G7)</f>
        <v>7.1999999999999993</v>
      </c>
      <c r="I7" s="732"/>
    </row>
    <row r="8" spans="1:9" s="29" customFormat="1" ht="16.899999999999999" customHeight="1">
      <c r="A8" s="1384"/>
      <c r="B8" s="31"/>
      <c r="C8" s="30"/>
      <c r="D8" s="30"/>
      <c r="E8" s="34"/>
      <c r="F8" s="34"/>
      <c r="G8" s="728" t="s">
        <v>9</v>
      </c>
      <c r="H8" s="734">
        <v>7.2</v>
      </c>
      <c r="I8" s="34" t="s">
        <v>276</v>
      </c>
    </row>
    <row r="9" spans="1:9" s="29" customFormat="1" ht="51" customHeight="1">
      <c r="A9" s="1384">
        <v>2</v>
      </c>
      <c r="B9" s="1383" t="s">
        <v>5329</v>
      </c>
      <c r="C9" s="30"/>
      <c r="D9" s="30"/>
      <c r="E9" s="34"/>
      <c r="F9" s="34"/>
      <c r="G9" s="728"/>
      <c r="H9" s="734"/>
      <c r="I9" s="34"/>
    </row>
    <row r="10" spans="1:9" s="29" customFormat="1" ht="25.15" customHeight="1">
      <c r="A10" s="1384"/>
      <c r="B10" s="31" t="s">
        <v>5367</v>
      </c>
      <c r="C10" s="30">
        <v>1</v>
      </c>
      <c r="D10" s="30">
        <v>2</v>
      </c>
      <c r="E10" s="34">
        <v>10</v>
      </c>
      <c r="F10" s="34">
        <v>3</v>
      </c>
      <c r="G10" s="34">
        <v>0.3</v>
      </c>
      <c r="H10" s="32">
        <f>PRODUCT(C10:G10)</f>
        <v>18</v>
      </c>
      <c r="I10" s="34"/>
    </row>
    <row r="11" spans="1:9" s="29" customFormat="1" ht="25.15" customHeight="1">
      <c r="A11" s="1384"/>
      <c r="B11" s="31" t="s">
        <v>5368</v>
      </c>
      <c r="C11" s="30">
        <v>3</v>
      </c>
      <c r="D11" s="30">
        <v>2</v>
      </c>
      <c r="E11" s="34">
        <v>5</v>
      </c>
      <c r="F11" s="34">
        <v>3</v>
      </c>
      <c r="G11" s="34">
        <v>0.3</v>
      </c>
      <c r="H11" s="32">
        <f>PRODUCT(C11:G11)</f>
        <v>27</v>
      </c>
      <c r="I11" s="34"/>
    </row>
    <row r="12" spans="1:9" s="29" customFormat="1" ht="25.15" customHeight="1">
      <c r="A12" s="1384"/>
      <c r="B12" s="31"/>
      <c r="C12" s="30"/>
      <c r="D12" s="30"/>
      <c r="E12" s="34"/>
      <c r="F12" s="34"/>
      <c r="G12" s="34"/>
      <c r="H12" s="32">
        <v>0.03</v>
      </c>
      <c r="I12" s="34"/>
    </row>
    <row r="13" spans="1:9" s="29" customFormat="1" ht="25.15" customHeight="1">
      <c r="A13" s="1384"/>
      <c r="B13" s="31"/>
      <c r="C13" s="30"/>
      <c r="D13" s="30"/>
      <c r="E13" s="34"/>
      <c r="F13" s="34"/>
      <c r="G13" s="728" t="s">
        <v>9</v>
      </c>
      <c r="H13" s="734">
        <f>SUM(H10:H12)</f>
        <v>45.03</v>
      </c>
      <c r="I13" s="34" t="s">
        <v>276</v>
      </c>
    </row>
    <row r="14" spans="1:9" ht="53.45" customHeight="1">
      <c r="A14" s="575">
        <v>3</v>
      </c>
      <c r="B14" s="595" t="s">
        <v>3414</v>
      </c>
      <c r="C14" s="577"/>
      <c r="D14" s="577"/>
      <c r="E14" s="578"/>
      <c r="F14" s="578"/>
      <c r="G14" s="578"/>
      <c r="H14" s="579"/>
      <c r="I14" s="582"/>
    </row>
    <row r="15" spans="1:9" ht="32.450000000000003" customHeight="1">
      <c r="A15" s="596"/>
      <c r="B15" s="31" t="s">
        <v>5367</v>
      </c>
      <c r="C15" s="30">
        <v>1</v>
      </c>
      <c r="D15" s="30">
        <v>2</v>
      </c>
      <c r="E15" s="34">
        <v>10</v>
      </c>
      <c r="F15" s="34">
        <v>3</v>
      </c>
      <c r="G15" s="34">
        <v>0.15</v>
      </c>
      <c r="H15" s="32">
        <f>PRODUCT(C15:G15)</f>
        <v>9</v>
      </c>
      <c r="I15" s="582"/>
    </row>
    <row r="16" spans="1:9" ht="32.450000000000003" customHeight="1">
      <c r="A16" s="596"/>
      <c r="B16" s="31" t="s">
        <v>5368</v>
      </c>
      <c r="C16" s="30">
        <v>3</v>
      </c>
      <c r="D16" s="30">
        <v>2</v>
      </c>
      <c r="E16" s="34">
        <v>5</v>
      </c>
      <c r="F16" s="34">
        <v>3</v>
      </c>
      <c r="G16" s="34">
        <v>0.15</v>
      </c>
      <c r="H16" s="32">
        <f>PRODUCT(C16:G16)</f>
        <v>13.5</v>
      </c>
      <c r="I16" s="582"/>
    </row>
    <row r="17" spans="1:9" s="590" customFormat="1" ht="29.45" customHeight="1">
      <c r="A17" s="925"/>
      <c r="B17" s="585" t="s">
        <v>3463</v>
      </c>
      <c r="C17" s="581">
        <v>1</v>
      </c>
      <c r="D17" s="586">
        <v>5</v>
      </c>
      <c r="E17" s="587">
        <v>0.8</v>
      </c>
      <c r="F17" s="587">
        <v>0.8</v>
      </c>
      <c r="G17" s="587">
        <v>0.15</v>
      </c>
      <c r="H17" s="588">
        <f>PRODUCT(C17:G17)</f>
        <v>0.48</v>
      </c>
      <c r="I17" s="600"/>
    </row>
    <row r="18" spans="1:9" ht="25.15" customHeight="1">
      <c r="A18" s="575"/>
      <c r="B18" s="594"/>
      <c r="C18" s="577"/>
      <c r="D18" s="577"/>
      <c r="E18" s="578"/>
      <c r="F18" s="578"/>
      <c r="G18" s="578"/>
      <c r="H18" s="579">
        <f>SUM(H15:H17)</f>
        <v>22.98</v>
      </c>
      <c r="I18" s="582"/>
    </row>
    <row r="19" spans="1:9" ht="25.15" customHeight="1">
      <c r="A19" s="575"/>
      <c r="B19" s="601"/>
      <c r="C19" s="577"/>
      <c r="D19" s="577"/>
      <c r="E19" s="578"/>
      <c r="F19" s="578"/>
      <c r="G19" s="578" t="s">
        <v>9</v>
      </c>
      <c r="H19" s="591">
        <v>23</v>
      </c>
      <c r="I19" s="582"/>
    </row>
    <row r="20" spans="1:9" ht="49.5">
      <c r="A20" s="581">
        <v>4</v>
      </c>
      <c r="B20" s="595" t="s">
        <v>3477</v>
      </c>
      <c r="C20" s="581"/>
      <c r="D20" s="581"/>
      <c r="E20" s="582"/>
      <c r="F20" s="582"/>
      <c r="G20" s="582"/>
      <c r="H20" s="626"/>
      <c r="I20" s="581"/>
    </row>
    <row r="21" spans="1:9" ht="27" customHeight="1">
      <c r="A21" s="581"/>
      <c r="B21" s="31" t="s">
        <v>5367</v>
      </c>
      <c r="C21" s="30">
        <v>1</v>
      </c>
      <c r="D21" s="30">
        <v>2</v>
      </c>
      <c r="E21" s="34">
        <v>10</v>
      </c>
      <c r="F21" s="34">
        <v>3</v>
      </c>
      <c r="G21" s="34">
        <v>0.15</v>
      </c>
      <c r="H21" s="32">
        <f>PRODUCT(C21:G21)</f>
        <v>9</v>
      </c>
      <c r="I21" s="581"/>
    </row>
    <row r="22" spans="1:9" ht="27" customHeight="1">
      <c r="A22" s="581"/>
      <c r="B22" s="31" t="s">
        <v>5368</v>
      </c>
      <c r="C22" s="30">
        <v>3</v>
      </c>
      <c r="D22" s="30">
        <v>2</v>
      </c>
      <c r="E22" s="34">
        <v>5</v>
      </c>
      <c r="F22" s="34">
        <v>3</v>
      </c>
      <c r="G22" s="34">
        <v>0.15</v>
      </c>
      <c r="H22" s="32">
        <f>PRODUCT(C22:G22)</f>
        <v>13.5</v>
      </c>
      <c r="I22" s="581"/>
    </row>
    <row r="23" spans="1:9" ht="30.6" customHeight="1">
      <c r="A23" s="581"/>
      <c r="B23" s="31"/>
      <c r="C23" s="30"/>
      <c r="D23" s="30"/>
      <c r="E23" s="34"/>
      <c r="F23" s="34"/>
      <c r="G23" s="34"/>
      <c r="H23" s="32">
        <v>0.04</v>
      </c>
      <c r="I23" s="581"/>
    </row>
    <row r="24" spans="1:9">
      <c r="A24" s="581"/>
      <c r="B24" s="580"/>
      <c r="C24" s="581"/>
      <c r="D24" s="581"/>
      <c r="E24" s="582"/>
      <c r="F24" s="582"/>
      <c r="G24" s="582" t="s">
        <v>9</v>
      </c>
      <c r="H24" s="629">
        <f>SUM(H21:H23)</f>
        <v>22.54</v>
      </c>
      <c r="I24" s="581" t="s">
        <v>313</v>
      </c>
    </row>
    <row r="25" spans="1:9" ht="105.6" customHeight="1">
      <c r="A25" s="575">
        <v>5</v>
      </c>
      <c r="B25" s="602" t="s">
        <v>5272</v>
      </c>
      <c r="C25" s="577"/>
      <c r="D25" s="577"/>
      <c r="E25" s="578"/>
      <c r="F25" s="578"/>
      <c r="G25" s="578"/>
      <c r="H25" s="579"/>
      <c r="I25" s="582"/>
    </row>
    <row r="26" spans="1:9" s="590" customFormat="1">
      <c r="A26" s="925"/>
      <c r="B26" s="585" t="s">
        <v>3464</v>
      </c>
      <c r="C26" s="581">
        <v>1</v>
      </c>
      <c r="D26" s="586">
        <v>5</v>
      </c>
      <c r="E26" s="587">
        <v>3.32</v>
      </c>
      <c r="F26" s="587">
        <v>0.23</v>
      </c>
      <c r="G26" s="587">
        <v>1</v>
      </c>
      <c r="H26" s="604">
        <f>PRODUCT(C26:G26)</f>
        <v>3.8179999999999996</v>
      </c>
      <c r="I26" s="605"/>
    </row>
    <row r="27" spans="1:9" ht="25.15" customHeight="1">
      <c r="A27" s="575"/>
      <c r="B27" s="601"/>
      <c r="C27" s="577"/>
      <c r="D27" s="577"/>
      <c r="E27" s="578"/>
      <c r="F27" s="578"/>
      <c r="G27" s="578" t="s">
        <v>9</v>
      </c>
      <c r="H27" s="591">
        <v>4</v>
      </c>
      <c r="I27" s="582"/>
    </row>
    <row r="28" spans="1:9" ht="112.9" customHeight="1">
      <c r="A28" s="575">
        <v>6</v>
      </c>
      <c r="B28" s="620" t="s">
        <v>3424</v>
      </c>
      <c r="C28" s="577"/>
      <c r="D28" s="577"/>
      <c r="E28" s="578"/>
      <c r="F28" s="578"/>
      <c r="G28" s="578"/>
      <c r="H28" s="579"/>
      <c r="I28" s="582"/>
    </row>
    <row r="29" spans="1:9" ht="25.15" customHeight="1">
      <c r="A29" s="575"/>
      <c r="B29" s="602" t="s">
        <v>3425</v>
      </c>
      <c r="C29" s="577"/>
      <c r="D29" s="577"/>
      <c r="E29" s="578"/>
      <c r="F29" s="578"/>
      <c r="G29" s="578"/>
      <c r="H29" s="579"/>
      <c r="I29" s="582"/>
    </row>
    <row r="30" spans="1:9" ht="25.15" customHeight="1">
      <c r="A30" s="575"/>
      <c r="B30" s="621" t="s">
        <v>5369</v>
      </c>
      <c r="C30" s="577">
        <v>2</v>
      </c>
      <c r="D30" s="577">
        <v>4</v>
      </c>
      <c r="E30" s="578">
        <v>2.4</v>
      </c>
      <c r="F30" s="578">
        <v>0.6</v>
      </c>
      <c r="G30" s="578" t="s">
        <v>21</v>
      </c>
      <c r="H30" s="579">
        <f t="shared" ref="H30:H38" si="0">PRODUCT(C30:G30)</f>
        <v>11.52</v>
      </c>
      <c r="I30" s="582"/>
    </row>
    <row r="31" spans="1:9" ht="25.15" customHeight="1">
      <c r="A31" s="575"/>
      <c r="B31" s="621" t="s">
        <v>5370</v>
      </c>
      <c r="C31" s="577">
        <v>2</v>
      </c>
      <c r="D31" s="577">
        <v>1</v>
      </c>
      <c r="E31" s="578">
        <v>1.1000000000000001</v>
      </c>
      <c r="F31" s="578">
        <v>0.6</v>
      </c>
      <c r="G31" s="578" t="s">
        <v>21</v>
      </c>
      <c r="H31" s="579">
        <f t="shared" si="0"/>
        <v>1.32</v>
      </c>
      <c r="I31" s="582"/>
    </row>
    <row r="32" spans="1:9" ht="25.15" customHeight="1">
      <c r="A32" s="575"/>
      <c r="B32" s="621" t="s">
        <v>3427</v>
      </c>
      <c r="C32" s="577">
        <v>3</v>
      </c>
      <c r="D32" s="577">
        <v>1</v>
      </c>
      <c r="E32" s="578">
        <v>1.1000000000000001</v>
      </c>
      <c r="F32" s="578">
        <v>0.6</v>
      </c>
      <c r="G32" s="578" t="s">
        <v>21</v>
      </c>
      <c r="H32" s="579">
        <f t="shared" si="0"/>
        <v>1.98</v>
      </c>
      <c r="I32" s="582"/>
    </row>
    <row r="33" spans="1:9" ht="25.15" customHeight="1">
      <c r="A33" s="596"/>
      <c r="B33" s="597" t="s">
        <v>3428</v>
      </c>
      <c r="C33" s="598">
        <v>1</v>
      </c>
      <c r="D33" s="598">
        <v>5</v>
      </c>
      <c r="E33" s="599">
        <v>1.7</v>
      </c>
      <c r="F33" s="599">
        <v>0.6</v>
      </c>
      <c r="G33" s="599" t="s">
        <v>21</v>
      </c>
      <c r="H33" s="579">
        <f t="shared" si="0"/>
        <v>5.0999999999999996</v>
      </c>
      <c r="I33" s="582"/>
    </row>
    <row r="34" spans="1:9" ht="25.15" customHeight="1">
      <c r="A34" s="596"/>
      <c r="B34" s="597" t="s">
        <v>3428</v>
      </c>
      <c r="C34" s="598">
        <v>1</v>
      </c>
      <c r="D34" s="598">
        <v>2</v>
      </c>
      <c r="E34" s="599">
        <v>1.4</v>
      </c>
      <c r="F34" s="599">
        <v>0.6</v>
      </c>
      <c r="G34" s="599" t="s">
        <v>21</v>
      </c>
      <c r="H34" s="579">
        <f t="shared" ref="H34" si="1">PRODUCT(C34:G34)</f>
        <v>1.68</v>
      </c>
      <c r="I34" s="582"/>
    </row>
    <row r="35" spans="1:9" ht="25.15" customHeight="1">
      <c r="A35" s="596"/>
      <c r="B35" s="597" t="s">
        <v>3429</v>
      </c>
      <c r="C35" s="598">
        <v>1</v>
      </c>
      <c r="D35" s="598">
        <v>3</v>
      </c>
      <c r="E35" s="599">
        <v>1.1000000000000001</v>
      </c>
      <c r="F35" s="599">
        <v>1</v>
      </c>
      <c r="G35" s="599" t="s">
        <v>21</v>
      </c>
      <c r="H35" s="579">
        <f t="shared" si="0"/>
        <v>3.3000000000000003</v>
      </c>
      <c r="I35" s="582"/>
    </row>
    <row r="36" spans="1:9" ht="25.15" customHeight="1">
      <c r="A36" s="575"/>
      <c r="B36" s="621" t="s">
        <v>3431</v>
      </c>
      <c r="C36" s="577">
        <v>1</v>
      </c>
      <c r="D36" s="577">
        <v>1</v>
      </c>
      <c r="E36" s="578">
        <v>1.1000000000000001</v>
      </c>
      <c r="F36" s="578">
        <v>0.6</v>
      </c>
      <c r="G36" s="578" t="s">
        <v>21</v>
      </c>
      <c r="H36" s="579">
        <f t="shared" si="0"/>
        <v>0.66</v>
      </c>
      <c r="I36" s="582"/>
    </row>
    <row r="37" spans="1:9" ht="25.15" customHeight="1">
      <c r="A37" s="575"/>
      <c r="B37" s="621" t="s">
        <v>3431</v>
      </c>
      <c r="C37" s="577">
        <v>1</v>
      </c>
      <c r="D37" s="577">
        <v>4</v>
      </c>
      <c r="E37" s="578">
        <v>1.7</v>
      </c>
      <c r="F37" s="578">
        <v>0.6</v>
      </c>
      <c r="G37" s="578" t="s">
        <v>21</v>
      </c>
      <c r="H37" s="579">
        <f t="shared" ref="H37" si="2">PRODUCT(C37:G37)</f>
        <v>4.08</v>
      </c>
      <c r="I37" s="582"/>
    </row>
    <row r="38" spans="1:9" ht="25.15" customHeight="1">
      <c r="A38" s="575"/>
      <c r="B38" s="621" t="s">
        <v>3431</v>
      </c>
      <c r="C38" s="577">
        <v>1</v>
      </c>
      <c r="D38" s="577">
        <v>2</v>
      </c>
      <c r="E38" s="578">
        <v>2.1</v>
      </c>
      <c r="F38" s="578">
        <v>0.6</v>
      </c>
      <c r="G38" s="578" t="s">
        <v>21</v>
      </c>
      <c r="H38" s="579">
        <f t="shared" si="0"/>
        <v>2.52</v>
      </c>
      <c r="I38" s="582"/>
    </row>
    <row r="39" spans="1:9" ht="25.15" customHeight="1">
      <c r="A39" s="575"/>
      <c r="B39" s="622"/>
      <c r="C39" s="577"/>
      <c r="D39" s="577"/>
      <c r="E39" s="578"/>
      <c r="F39" s="578"/>
      <c r="G39" s="578"/>
      <c r="H39" s="579">
        <f>SUM(H30:H38)</f>
        <v>32.160000000000004</v>
      </c>
      <c r="I39" s="582"/>
    </row>
    <row r="40" spans="1:9" ht="25.15" customHeight="1">
      <c r="A40" s="575"/>
      <c r="B40" s="622"/>
      <c r="C40" s="577"/>
      <c r="D40" s="577"/>
      <c r="E40" s="578"/>
      <c r="F40" s="578"/>
      <c r="G40" s="578" t="s">
        <v>9</v>
      </c>
      <c r="H40" s="591">
        <v>32.200000000000003</v>
      </c>
      <c r="I40" s="582"/>
    </row>
    <row r="41" spans="1:9" ht="62.45" customHeight="1">
      <c r="A41" s="575">
        <v>7</v>
      </c>
      <c r="B41" s="1330" t="s">
        <v>5285</v>
      </c>
      <c r="C41" s="577"/>
      <c r="D41" s="577"/>
      <c r="E41" s="578"/>
      <c r="F41" s="578"/>
      <c r="G41" s="578"/>
      <c r="H41" s="579"/>
      <c r="I41" s="582"/>
    </row>
    <row r="42" spans="1:9" ht="25.15" customHeight="1">
      <c r="A42" s="575"/>
      <c r="B42" s="602" t="s">
        <v>3425</v>
      </c>
      <c r="C42" s="577"/>
      <c r="D42" s="577"/>
      <c r="E42" s="578"/>
      <c r="F42" s="578"/>
      <c r="G42" s="578"/>
      <c r="H42" s="579"/>
      <c r="I42" s="582"/>
    </row>
    <row r="43" spans="1:9" ht="25.15" customHeight="1">
      <c r="A43" s="575"/>
      <c r="B43" s="621" t="s">
        <v>5369</v>
      </c>
      <c r="C43" s="577">
        <v>2</v>
      </c>
      <c r="D43" s="577">
        <v>4</v>
      </c>
      <c r="E43" s="578">
        <v>2.4</v>
      </c>
      <c r="F43" s="578">
        <v>0.6</v>
      </c>
      <c r="G43" s="578" t="s">
        <v>21</v>
      </c>
      <c r="H43" s="579">
        <f t="shared" ref="H43:H51" si="3">PRODUCT(C43:G43)</f>
        <v>11.52</v>
      </c>
      <c r="I43" s="582"/>
    </row>
    <row r="44" spans="1:9" ht="25.15" customHeight="1">
      <c r="A44" s="575"/>
      <c r="B44" s="621" t="s">
        <v>5370</v>
      </c>
      <c r="C44" s="577">
        <v>2</v>
      </c>
      <c r="D44" s="577">
        <v>1</v>
      </c>
      <c r="E44" s="578">
        <v>1.1000000000000001</v>
      </c>
      <c r="F44" s="578">
        <v>0.6</v>
      </c>
      <c r="G44" s="578" t="s">
        <v>21</v>
      </c>
      <c r="H44" s="579">
        <f t="shared" si="3"/>
        <v>1.32</v>
      </c>
      <c r="I44" s="582"/>
    </row>
    <row r="45" spans="1:9" ht="25.15" customHeight="1">
      <c r="A45" s="575"/>
      <c r="B45" s="621" t="s">
        <v>3427</v>
      </c>
      <c r="C45" s="577">
        <v>3</v>
      </c>
      <c r="D45" s="577">
        <v>1</v>
      </c>
      <c r="E45" s="578">
        <v>1.1000000000000001</v>
      </c>
      <c r="F45" s="578">
        <v>0.6</v>
      </c>
      <c r="G45" s="578" t="s">
        <v>21</v>
      </c>
      <c r="H45" s="579">
        <f t="shared" si="3"/>
        <v>1.98</v>
      </c>
      <c r="I45" s="582"/>
    </row>
    <row r="46" spans="1:9" ht="25.15" customHeight="1">
      <c r="A46" s="596"/>
      <c r="B46" s="597" t="s">
        <v>3428</v>
      </c>
      <c r="C46" s="598">
        <v>1</v>
      </c>
      <c r="D46" s="598">
        <v>5</v>
      </c>
      <c r="E46" s="599">
        <v>1.7</v>
      </c>
      <c r="F46" s="599">
        <v>0.6</v>
      </c>
      <c r="G46" s="599" t="s">
        <v>21</v>
      </c>
      <c r="H46" s="579">
        <f t="shared" si="3"/>
        <v>5.0999999999999996</v>
      </c>
      <c r="I46" s="582"/>
    </row>
    <row r="47" spans="1:9" ht="25.15" customHeight="1">
      <c r="A47" s="596"/>
      <c r="B47" s="597" t="s">
        <v>3428</v>
      </c>
      <c r="C47" s="598">
        <v>1</v>
      </c>
      <c r="D47" s="598">
        <v>2</v>
      </c>
      <c r="E47" s="599">
        <v>1.4</v>
      </c>
      <c r="F47" s="599">
        <v>0.6</v>
      </c>
      <c r="G47" s="599" t="s">
        <v>21</v>
      </c>
      <c r="H47" s="579">
        <f t="shared" si="3"/>
        <v>1.68</v>
      </c>
      <c r="I47" s="582"/>
    </row>
    <row r="48" spans="1:9" ht="25.15" customHeight="1">
      <c r="A48" s="575"/>
      <c r="B48" s="597" t="s">
        <v>3429</v>
      </c>
      <c r="C48" s="598">
        <v>1</v>
      </c>
      <c r="D48" s="598">
        <v>3</v>
      </c>
      <c r="E48" s="599">
        <v>1.1000000000000001</v>
      </c>
      <c r="F48" s="599">
        <v>1</v>
      </c>
      <c r="G48" s="599" t="s">
        <v>21</v>
      </c>
      <c r="H48" s="579">
        <f t="shared" si="3"/>
        <v>3.3000000000000003</v>
      </c>
      <c r="I48" s="582"/>
    </row>
    <row r="49" spans="1:15" ht="25.15" customHeight="1">
      <c r="A49" s="575"/>
      <c r="B49" s="621" t="s">
        <v>3431</v>
      </c>
      <c r="C49" s="577">
        <v>1</v>
      </c>
      <c r="D49" s="577">
        <v>1</v>
      </c>
      <c r="E49" s="578">
        <v>1.1000000000000001</v>
      </c>
      <c r="F49" s="578">
        <v>0.6</v>
      </c>
      <c r="G49" s="578" t="s">
        <v>21</v>
      </c>
      <c r="H49" s="579">
        <f t="shared" si="3"/>
        <v>0.66</v>
      </c>
      <c r="I49" s="582"/>
    </row>
    <row r="50" spans="1:15" ht="25.15" customHeight="1">
      <c r="A50" s="575"/>
      <c r="B50" s="621" t="s">
        <v>3431</v>
      </c>
      <c r="C50" s="577">
        <v>1</v>
      </c>
      <c r="D50" s="577">
        <v>4</v>
      </c>
      <c r="E50" s="578">
        <v>1.7</v>
      </c>
      <c r="F50" s="578">
        <v>0.6</v>
      </c>
      <c r="G50" s="578" t="s">
        <v>21</v>
      </c>
      <c r="H50" s="579">
        <f t="shared" si="3"/>
        <v>4.08</v>
      </c>
      <c r="I50" s="582"/>
    </row>
    <row r="51" spans="1:15" ht="25.15" customHeight="1">
      <c r="A51" s="575"/>
      <c r="B51" s="621" t="s">
        <v>3431</v>
      </c>
      <c r="C51" s="577">
        <v>1</v>
      </c>
      <c r="D51" s="577">
        <v>2</v>
      </c>
      <c r="E51" s="578">
        <v>2.1</v>
      </c>
      <c r="F51" s="578">
        <v>0.6</v>
      </c>
      <c r="G51" s="578" t="s">
        <v>21</v>
      </c>
      <c r="H51" s="579">
        <f t="shared" si="3"/>
        <v>2.52</v>
      </c>
      <c r="I51" s="582"/>
    </row>
    <row r="52" spans="1:15" ht="25.15" customHeight="1">
      <c r="A52" s="575"/>
      <c r="B52" s="622"/>
      <c r="C52" s="577"/>
      <c r="D52" s="577"/>
      <c r="E52" s="578"/>
      <c r="F52" s="578"/>
      <c r="G52" s="578"/>
      <c r="H52" s="579">
        <f>SUM(H43:H51)</f>
        <v>32.160000000000004</v>
      </c>
      <c r="I52" s="582"/>
    </row>
    <row r="53" spans="1:15" ht="25.15" customHeight="1">
      <c r="A53" s="575"/>
      <c r="B53" s="622"/>
      <c r="C53" s="577"/>
      <c r="D53" s="577"/>
      <c r="E53" s="578"/>
      <c r="F53" s="578"/>
      <c r="G53" s="578" t="s">
        <v>9</v>
      </c>
      <c r="H53" s="591">
        <v>32.200000000000003</v>
      </c>
      <c r="I53" s="582"/>
    </row>
    <row r="54" spans="1:15" ht="51" customHeight="1">
      <c r="A54" s="575">
        <v>8</v>
      </c>
      <c r="B54" s="1327" t="s">
        <v>3440</v>
      </c>
      <c r="C54" s="577"/>
      <c r="D54" s="577"/>
      <c r="E54" s="578"/>
      <c r="F54" s="578"/>
      <c r="G54" s="578"/>
      <c r="H54" s="579"/>
      <c r="I54" s="582"/>
    </row>
    <row r="55" spans="1:15" ht="25.15" customHeight="1">
      <c r="A55" s="575"/>
      <c r="B55" s="623" t="s">
        <v>3467</v>
      </c>
      <c r="C55" s="581">
        <v>1</v>
      </c>
      <c r="D55" s="586">
        <v>5</v>
      </c>
      <c r="E55" s="587">
        <v>4.24</v>
      </c>
      <c r="F55" s="587" t="s">
        <v>21</v>
      </c>
      <c r="G55" s="587">
        <v>0.5</v>
      </c>
      <c r="H55" s="579">
        <f t="shared" ref="H55:H57" si="4">PRODUCT(C55:G55)</f>
        <v>10.600000000000001</v>
      </c>
      <c r="I55" s="582"/>
    </row>
    <row r="56" spans="1:15" ht="25.15" customHeight="1">
      <c r="A56" s="575"/>
      <c r="B56" s="623" t="s">
        <v>3468</v>
      </c>
      <c r="C56" s="581">
        <v>1</v>
      </c>
      <c r="D56" s="586">
        <v>5</v>
      </c>
      <c r="E56" s="587">
        <v>3.32</v>
      </c>
      <c r="F56" s="587">
        <v>0.23</v>
      </c>
      <c r="G56" s="587" t="s">
        <v>21</v>
      </c>
      <c r="H56" s="579">
        <f t="shared" si="4"/>
        <v>3.8179999999999996</v>
      </c>
      <c r="I56" s="582"/>
    </row>
    <row r="57" spans="1:15" ht="34.15" customHeight="1">
      <c r="A57" s="575"/>
      <c r="B57" s="622" t="s">
        <v>5371</v>
      </c>
      <c r="C57" s="577">
        <v>1</v>
      </c>
      <c r="D57" s="577">
        <v>3</v>
      </c>
      <c r="E57" s="578">
        <v>4.24</v>
      </c>
      <c r="F57" s="578" t="s">
        <v>21</v>
      </c>
      <c r="G57" s="578">
        <v>0.5</v>
      </c>
      <c r="H57" s="579">
        <f t="shared" si="4"/>
        <v>6.36</v>
      </c>
      <c r="I57" s="582"/>
    </row>
    <row r="58" spans="1:15" ht="25.15" customHeight="1">
      <c r="A58" s="575"/>
      <c r="B58" s="622"/>
      <c r="C58" s="577"/>
      <c r="D58" s="577"/>
      <c r="E58" s="578"/>
      <c r="F58" s="578"/>
      <c r="G58" s="578"/>
      <c r="H58" s="579">
        <f>SUM(H54:H57)</f>
        <v>20.778000000000002</v>
      </c>
      <c r="I58" s="582"/>
    </row>
    <row r="59" spans="1:15" ht="25.15" customHeight="1">
      <c r="A59" s="575"/>
      <c r="B59" s="622"/>
      <c r="C59" s="577"/>
      <c r="D59" s="577"/>
      <c r="E59" s="578"/>
      <c r="F59" s="578"/>
      <c r="G59" s="578" t="s">
        <v>3093</v>
      </c>
      <c r="H59" s="591">
        <v>20.8</v>
      </c>
      <c r="I59" s="582"/>
    </row>
    <row r="60" spans="1:15" ht="56.45" customHeight="1">
      <c r="A60" s="575">
        <v>9</v>
      </c>
      <c r="B60" s="602" t="s">
        <v>3441</v>
      </c>
      <c r="C60" s="577"/>
      <c r="D60" s="577"/>
      <c r="E60" s="578"/>
      <c r="F60" s="578"/>
      <c r="G60" s="578"/>
      <c r="H60" s="591"/>
      <c r="I60" s="582"/>
    </row>
    <row r="61" spans="1:15" s="590" customFormat="1">
      <c r="A61" s="925"/>
      <c r="B61" s="624" t="s">
        <v>3466</v>
      </c>
      <c r="C61" s="581">
        <v>1</v>
      </c>
      <c r="D61" s="586">
        <v>5</v>
      </c>
      <c r="E61" s="587">
        <v>2.4</v>
      </c>
      <c r="F61" s="587" t="s">
        <v>21</v>
      </c>
      <c r="G61" s="587">
        <v>1</v>
      </c>
      <c r="H61" s="588">
        <f>PRODUCT(C61:G61)</f>
        <v>12</v>
      </c>
      <c r="I61" s="625"/>
    </row>
    <row r="62" spans="1:15" ht="25.15" customHeight="1">
      <c r="A62" s="575"/>
      <c r="B62" s="622"/>
      <c r="C62" s="577"/>
      <c r="D62" s="577"/>
      <c r="E62" s="578"/>
      <c r="F62" s="578"/>
      <c r="G62" s="578" t="s">
        <v>9</v>
      </c>
      <c r="H62" s="591">
        <v>12</v>
      </c>
      <c r="I62" s="582"/>
    </row>
    <row r="63" spans="1:15">
      <c r="A63" s="581"/>
      <c r="B63" s="580"/>
      <c r="C63" s="581"/>
      <c r="D63" s="581"/>
      <c r="E63" s="582"/>
      <c r="F63" s="582"/>
      <c r="G63" s="582"/>
      <c r="H63" s="626"/>
      <c r="I63" s="581"/>
    </row>
    <row r="64" spans="1:15" ht="40.5" customHeight="1">
      <c r="A64" s="923">
        <v>10</v>
      </c>
      <c r="B64" s="627" t="s">
        <v>3552</v>
      </c>
      <c r="C64" s="923"/>
      <c r="D64" s="923"/>
      <c r="E64" s="574"/>
      <c r="F64" s="574"/>
      <c r="G64" s="574"/>
      <c r="H64" s="574"/>
      <c r="I64" s="574"/>
      <c r="O64" s="627"/>
    </row>
    <row r="65" spans="1:9" ht="18.600000000000001" customHeight="1">
      <c r="A65" s="923"/>
      <c r="B65" s="628" t="s">
        <v>3586</v>
      </c>
      <c r="C65" s="581">
        <v>10</v>
      </c>
      <c r="D65" s="581">
        <v>1</v>
      </c>
      <c r="E65" s="582">
        <v>0.4</v>
      </c>
      <c r="F65" s="582" t="s">
        <v>21</v>
      </c>
      <c r="G65" s="582">
        <v>0.35</v>
      </c>
      <c r="H65" s="626">
        <f>PRODUCT(C65:G65)</f>
        <v>1.4</v>
      </c>
      <c r="I65" s="574"/>
    </row>
    <row r="66" spans="1:9" ht="18.600000000000001" customHeight="1">
      <c r="A66" s="923"/>
      <c r="B66" s="628" t="s">
        <v>3587</v>
      </c>
      <c r="C66" s="581">
        <v>10</v>
      </c>
      <c r="D66" s="581">
        <v>1</v>
      </c>
      <c r="E66" s="582">
        <v>0.45</v>
      </c>
      <c r="F66" s="582" t="s">
        <v>21</v>
      </c>
      <c r="G66" s="582">
        <v>0.3</v>
      </c>
      <c r="H66" s="626">
        <f>PRODUCT(C66:G66)</f>
        <v>1.3499999999999999</v>
      </c>
      <c r="I66" s="574"/>
    </row>
    <row r="67" spans="1:9" ht="18.600000000000001" customHeight="1">
      <c r="A67" s="923"/>
      <c r="B67" s="628" t="s">
        <v>3205</v>
      </c>
      <c r="C67" s="581">
        <v>8</v>
      </c>
      <c r="D67" s="581">
        <v>1</v>
      </c>
      <c r="E67" s="582">
        <v>0.7</v>
      </c>
      <c r="F67" s="582" t="s">
        <v>21</v>
      </c>
      <c r="G67" s="582">
        <v>0.8</v>
      </c>
      <c r="H67" s="626">
        <f>PRODUCT(C67:G67)</f>
        <v>4.4799999999999995</v>
      </c>
      <c r="I67" s="574"/>
    </row>
    <row r="68" spans="1:9" ht="18.600000000000001" customHeight="1">
      <c r="A68" s="923"/>
      <c r="B68" s="581"/>
      <c r="C68" s="581"/>
      <c r="D68" s="581"/>
      <c r="E68" s="582"/>
      <c r="F68" s="582"/>
      <c r="G68" s="582"/>
      <c r="H68" s="626">
        <f>SUM(H65:H67)</f>
        <v>7.2299999999999995</v>
      </c>
      <c r="I68" s="574"/>
    </row>
    <row r="69" spans="1:9" ht="18.600000000000001" customHeight="1">
      <c r="A69" s="923"/>
      <c r="B69" s="581"/>
      <c r="C69" s="581"/>
      <c r="D69" s="581"/>
      <c r="E69" s="582"/>
      <c r="F69" s="582"/>
      <c r="G69" s="582" t="s">
        <v>9</v>
      </c>
      <c r="H69" s="629">
        <v>7.25</v>
      </c>
      <c r="I69" s="581" t="s">
        <v>3481</v>
      </c>
    </row>
    <row r="70" spans="1:9" ht="18.600000000000001" customHeight="1">
      <c r="A70" s="923"/>
      <c r="B70" s="923"/>
      <c r="C70" s="923"/>
      <c r="D70" s="923"/>
      <c r="E70" s="574"/>
      <c r="F70" s="574"/>
      <c r="G70" s="574"/>
      <c r="H70" s="574"/>
      <c r="I70" s="574"/>
    </row>
    <row r="71" spans="1:9" ht="33">
      <c r="A71" s="923">
        <v>11</v>
      </c>
      <c r="B71" s="627" t="s">
        <v>508</v>
      </c>
      <c r="C71" s="581"/>
      <c r="D71" s="581"/>
      <c r="E71" s="582"/>
      <c r="F71" s="582"/>
      <c r="G71" s="582"/>
      <c r="H71" s="626"/>
      <c r="I71" s="581"/>
    </row>
    <row r="72" spans="1:9">
      <c r="A72" s="581"/>
      <c r="B72" s="580" t="s">
        <v>3599</v>
      </c>
      <c r="C72" s="581"/>
      <c r="D72" s="581"/>
      <c r="E72" s="582"/>
      <c r="F72" s="582"/>
      <c r="G72" s="582"/>
      <c r="H72" s="626"/>
      <c r="I72" s="581"/>
    </row>
    <row r="73" spans="1:9">
      <c r="A73" s="581"/>
      <c r="B73" s="580" t="s">
        <v>3571</v>
      </c>
      <c r="C73" s="581">
        <v>1</v>
      </c>
      <c r="D73" s="581">
        <v>1</v>
      </c>
      <c r="E73" s="582">
        <v>5.93</v>
      </c>
      <c r="F73" s="582">
        <v>6.16</v>
      </c>
      <c r="G73" s="582" t="s">
        <v>21</v>
      </c>
      <c r="H73" s="626">
        <f t="shared" ref="H73:H78" si="5">PRODUCT(C73:G73)</f>
        <v>36.528799999999997</v>
      </c>
      <c r="I73" s="581"/>
    </row>
    <row r="74" spans="1:9">
      <c r="A74" s="581"/>
      <c r="B74" s="580" t="s">
        <v>3596</v>
      </c>
      <c r="C74" s="581">
        <v>1</v>
      </c>
      <c r="D74" s="581">
        <v>1</v>
      </c>
      <c r="E74" s="582">
        <v>0.8</v>
      </c>
      <c r="F74" s="582">
        <v>3.7</v>
      </c>
      <c r="G74" s="582" t="s">
        <v>21</v>
      </c>
      <c r="H74" s="626">
        <f t="shared" si="5"/>
        <v>2.9600000000000004</v>
      </c>
      <c r="I74" s="581"/>
    </row>
    <row r="75" spans="1:9">
      <c r="A75" s="581"/>
      <c r="B75" s="580" t="s">
        <v>3597</v>
      </c>
      <c r="C75" s="581">
        <v>1</v>
      </c>
      <c r="D75" s="581">
        <v>1</v>
      </c>
      <c r="E75" s="582">
        <v>2.2000000000000002</v>
      </c>
      <c r="F75" s="582">
        <v>0.38</v>
      </c>
      <c r="G75" s="582" t="s">
        <v>21</v>
      </c>
      <c r="H75" s="626">
        <f t="shared" si="5"/>
        <v>0.83600000000000008</v>
      </c>
      <c r="I75" s="581"/>
    </row>
    <row r="76" spans="1:9">
      <c r="A76" s="581"/>
      <c r="B76" s="580" t="s">
        <v>3598</v>
      </c>
      <c r="C76" s="581"/>
      <c r="D76" s="581"/>
      <c r="E76" s="582"/>
      <c r="F76" s="582"/>
      <c r="G76" s="582"/>
      <c r="H76" s="626"/>
      <c r="I76" s="581"/>
    </row>
    <row r="77" spans="1:9">
      <c r="A77" s="581"/>
      <c r="B77" s="580" t="s">
        <v>3600</v>
      </c>
      <c r="C77" s="581">
        <v>1</v>
      </c>
      <c r="D77" s="581">
        <v>1</v>
      </c>
      <c r="E77" s="582">
        <v>5.83</v>
      </c>
      <c r="F77" s="582">
        <v>6.1</v>
      </c>
      <c r="G77" s="582" t="s">
        <v>21</v>
      </c>
      <c r="H77" s="626">
        <f t="shared" si="5"/>
        <v>35.562999999999995</v>
      </c>
      <c r="I77" s="581"/>
    </row>
    <row r="78" spans="1:9">
      <c r="A78" s="581"/>
      <c r="B78" s="580" t="s">
        <v>3601</v>
      </c>
      <c r="C78" s="581">
        <v>1</v>
      </c>
      <c r="D78" s="581">
        <v>1</v>
      </c>
      <c r="E78" s="582">
        <v>6.61</v>
      </c>
      <c r="F78" s="582">
        <v>5.28</v>
      </c>
      <c r="G78" s="582" t="s">
        <v>21</v>
      </c>
      <c r="H78" s="626">
        <f t="shared" si="5"/>
        <v>34.900800000000004</v>
      </c>
      <c r="I78" s="581"/>
    </row>
    <row r="79" spans="1:9">
      <c r="A79" s="581"/>
      <c r="B79" s="580"/>
      <c r="C79" s="581"/>
      <c r="D79" s="581"/>
      <c r="E79" s="582"/>
      <c r="F79" s="582"/>
      <c r="G79" s="582"/>
      <c r="H79" s="626">
        <f>SUM(H72:H78)</f>
        <v>110.7886</v>
      </c>
      <c r="I79" s="581"/>
    </row>
    <row r="80" spans="1:9" ht="19.5">
      <c r="A80" s="581"/>
      <c r="B80" s="580"/>
      <c r="C80" s="581"/>
      <c r="D80" s="581"/>
      <c r="E80" s="582"/>
      <c r="F80" s="582"/>
      <c r="G80" s="582" t="s">
        <v>9</v>
      </c>
      <c r="H80" s="629">
        <v>110.8</v>
      </c>
      <c r="I80" s="581" t="s">
        <v>3481</v>
      </c>
    </row>
    <row r="81" spans="1:9" ht="33">
      <c r="A81" s="581">
        <v>12</v>
      </c>
      <c r="B81" s="627" t="s">
        <v>509</v>
      </c>
      <c r="C81" s="581"/>
      <c r="D81" s="581"/>
      <c r="E81" s="582"/>
      <c r="F81" s="582"/>
      <c r="G81" s="582"/>
      <c r="H81" s="626"/>
      <c r="I81" s="581"/>
    </row>
    <row r="82" spans="1:9">
      <c r="A82" s="581"/>
      <c r="B82" s="580" t="s">
        <v>3599</v>
      </c>
      <c r="C82" s="581"/>
      <c r="D82" s="581"/>
      <c r="E82" s="582"/>
      <c r="F82" s="582"/>
      <c r="G82" s="582"/>
      <c r="H82" s="626"/>
      <c r="I82" s="581"/>
    </row>
    <row r="83" spans="1:9">
      <c r="A83" s="581"/>
      <c r="B83" s="580" t="s">
        <v>3571</v>
      </c>
      <c r="C83" s="581">
        <v>1</v>
      </c>
      <c r="D83" s="581">
        <v>1</v>
      </c>
      <c r="E83" s="582">
        <v>5.93</v>
      </c>
      <c r="F83" s="582">
        <v>6.16</v>
      </c>
      <c r="G83" s="582" t="s">
        <v>21</v>
      </c>
      <c r="H83" s="626">
        <f t="shared" ref="H83:H85" si="6">PRODUCT(C83:G83)</f>
        <v>36.528799999999997</v>
      </c>
      <c r="I83" s="581"/>
    </row>
    <row r="84" spans="1:9">
      <c r="A84" s="581"/>
      <c r="B84" s="580" t="s">
        <v>3596</v>
      </c>
      <c r="C84" s="581">
        <v>1</v>
      </c>
      <c r="D84" s="581">
        <v>1</v>
      </c>
      <c r="E84" s="582">
        <v>0.8</v>
      </c>
      <c r="F84" s="582">
        <v>3.7</v>
      </c>
      <c r="G84" s="582" t="s">
        <v>21</v>
      </c>
      <c r="H84" s="626">
        <f t="shared" si="6"/>
        <v>2.9600000000000004</v>
      </c>
      <c r="I84" s="581"/>
    </row>
    <row r="85" spans="1:9">
      <c r="A85" s="581"/>
      <c r="B85" s="580" t="s">
        <v>3597</v>
      </c>
      <c r="C85" s="581">
        <v>1</v>
      </c>
      <c r="D85" s="581">
        <v>1</v>
      </c>
      <c r="E85" s="582">
        <v>2.2000000000000002</v>
      </c>
      <c r="F85" s="582">
        <v>0.38</v>
      </c>
      <c r="G85" s="582" t="s">
        <v>21</v>
      </c>
      <c r="H85" s="626">
        <f t="shared" si="6"/>
        <v>0.83600000000000008</v>
      </c>
      <c r="I85" s="581"/>
    </row>
    <row r="86" spans="1:9">
      <c r="A86" s="581"/>
      <c r="B86" s="580" t="s">
        <v>3598</v>
      </c>
      <c r="C86" s="581"/>
      <c r="D86" s="581"/>
      <c r="E86" s="582"/>
      <c r="F86" s="582"/>
      <c r="G86" s="582"/>
      <c r="H86" s="626"/>
      <c r="I86" s="581"/>
    </row>
    <row r="87" spans="1:9">
      <c r="A87" s="581"/>
      <c r="B87" s="580" t="s">
        <v>3600</v>
      </c>
      <c r="C87" s="581">
        <v>1</v>
      </c>
      <c r="D87" s="581">
        <v>1</v>
      </c>
      <c r="E87" s="582">
        <v>5.83</v>
      </c>
      <c r="F87" s="582">
        <v>6.1</v>
      </c>
      <c r="G87" s="582" t="s">
        <v>21</v>
      </c>
      <c r="H87" s="626">
        <f t="shared" ref="H87:H88" si="7">PRODUCT(C87:G87)</f>
        <v>35.562999999999995</v>
      </c>
      <c r="I87" s="581"/>
    </row>
    <row r="88" spans="1:9">
      <c r="A88" s="581"/>
      <c r="B88" s="580" t="s">
        <v>3601</v>
      </c>
      <c r="C88" s="581">
        <v>1</v>
      </c>
      <c r="D88" s="581">
        <v>1</v>
      </c>
      <c r="E88" s="582">
        <v>6.61</v>
      </c>
      <c r="F88" s="582">
        <v>5.28</v>
      </c>
      <c r="G88" s="582" t="s">
        <v>21</v>
      </c>
      <c r="H88" s="626">
        <f t="shared" si="7"/>
        <v>34.900800000000004</v>
      </c>
      <c r="I88" s="581"/>
    </row>
    <row r="89" spans="1:9">
      <c r="A89" s="581"/>
      <c r="B89" s="580"/>
      <c r="C89" s="581"/>
      <c r="D89" s="581"/>
      <c r="E89" s="582"/>
      <c r="F89" s="582"/>
      <c r="G89" s="582"/>
      <c r="H89" s="626">
        <f>SUM(H82:H88)</f>
        <v>110.7886</v>
      </c>
      <c r="I89" s="581"/>
    </row>
    <row r="90" spans="1:9" ht="38.450000000000003" customHeight="1">
      <c r="A90" s="581"/>
      <c r="B90" s="580"/>
      <c r="C90" s="581"/>
      <c r="D90" s="581"/>
      <c r="E90" s="582"/>
      <c r="F90" s="582"/>
      <c r="G90" s="582" t="s">
        <v>9</v>
      </c>
      <c r="H90" s="629">
        <v>110.8</v>
      </c>
      <c r="I90" s="581" t="s">
        <v>3481</v>
      </c>
    </row>
    <row r="91" spans="1:9" ht="51.6" customHeight="1">
      <c r="A91" s="581">
        <v>13</v>
      </c>
      <c r="B91" s="627" t="s">
        <v>5376</v>
      </c>
      <c r="C91" s="581"/>
      <c r="D91" s="581"/>
      <c r="E91" s="582"/>
      <c r="F91" s="582"/>
      <c r="G91" s="582"/>
      <c r="H91" s="626"/>
      <c r="I91" s="581"/>
    </row>
    <row r="92" spans="1:9">
      <c r="A92" s="581"/>
      <c r="B92" s="580" t="s">
        <v>3599</v>
      </c>
      <c r="C92" s="581"/>
      <c r="D92" s="581"/>
      <c r="E92" s="582"/>
      <c r="F92" s="582"/>
      <c r="G92" s="582"/>
      <c r="H92" s="626"/>
      <c r="I92" s="581"/>
    </row>
    <row r="93" spans="1:9">
      <c r="A93" s="581"/>
      <c r="B93" s="580" t="s">
        <v>3571</v>
      </c>
      <c r="C93" s="581">
        <v>1</v>
      </c>
      <c r="D93" s="581">
        <v>1</v>
      </c>
      <c r="E93" s="582">
        <v>5.93</v>
      </c>
      <c r="F93" s="582">
        <v>6.16</v>
      </c>
      <c r="G93" s="582" t="s">
        <v>21</v>
      </c>
      <c r="H93" s="626">
        <f>PRODUCT(C93:G93)</f>
        <v>36.528799999999997</v>
      </c>
      <c r="I93" s="581"/>
    </row>
    <row r="94" spans="1:9">
      <c r="A94" s="581"/>
      <c r="B94" s="580" t="s">
        <v>3596</v>
      </c>
      <c r="C94" s="581">
        <v>1</v>
      </c>
      <c r="D94" s="581">
        <v>1</v>
      </c>
      <c r="E94" s="582">
        <v>0.8</v>
      </c>
      <c r="F94" s="582">
        <v>3.7</v>
      </c>
      <c r="G94" s="582" t="s">
        <v>21</v>
      </c>
      <c r="H94" s="626">
        <f>PRODUCT(C94:G94)</f>
        <v>2.9600000000000004</v>
      </c>
      <c r="I94" s="581"/>
    </row>
    <row r="95" spans="1:9">
      <c r="A95" s="581"/>
      <c r="B95" s="580" t="s">
        <v>3597</v>
      </c>
      <c r="C95" s="581">
        <v>1</v>
      </c>
      <c r="D95" s="581">
        <v>1</v>
      </c>
      <c r="E95" s="582">
        <v>2.2000000000000002</v>
      </c>
      <c r="F95" s="582">
        <v>0.38</v>
      </c>
      <c r="G95" s="582" t="s">
        <v>21</v>
      </c>
      <c r="H95" s="626">
        <f>PRODUCT(C95:G95)</f>
        <v>0.83600000000000008</v>
      </c>
      <c r="I95" s="581"/>
    </row>
    <row r="96" spans="1:9">
      <c r="A96" s="581"/>
      <c r="B96" s="580" t="s">
        <v>3598</v>
      </c>
      <c r="C96" s="581"/>
      <c r="D96" s="581"/>
      <c r="E96" s="582"/>
      <c r="F96" s="582"/>
      <c r="G96" s="582"/>
      <c r="H96" s="626"/>
      <c r="I96" s="581"/>
    </row>
    <row r="97" spans="1:9">
      <c r="A97" s="581"/>
      <c r="B97" s="580" t="s">
        <v>3600</v>
      </c>
      <c r="C97" s="581">
        <v>2</v>
      </c>
      <c r="D97" s="581">
        <v>1</v>
      </c>
      <c r="E97" s="582">
        <v>5.83</v>
      </c>
      <c r="F97" s="582">
        <v>6.1</v>
      </c>
      <c r="G97" s="582" t="s">
        <v>21</v>
      </c>
      <c r="H97" s="626">
        <f>PRODUCT(C97:G97)</f>
        <v>71.125999999999991</v>
      </c>
      <c r="I97" s="581"/>
    </row>
    <row r="98" spans="1:9">
      <c r="A98" s="581"/>
      <c r="B98" s="580" t="s">
        <v>3601</v>
      </c>
      <c r="C98" s="581">
        <v>2</v>
      </c>
      <c r="D98" s="581">
        <v>1</v>
      </c>
      <c r="E98" s="582">
        <v>6.61</v>
      </c>
      <c r="F98" s="582">
        <v>5.28</v>
      </c>
      <c r="G98" s="582" t="s">
        <v>21</v>
      </c>
      <c r="H98" s="626">
        <f>PRODUCT(C98:G98)</f>
        <v>69.801600000000008</v>
      </c>
      <c r="I98" s="581"/>
    </row>
    <row r="99" spans="1:9">
      <c r="A99" s="581"/>
      <c r="B99" s="580"/>
      <c r="C99" s="581"/>
      <c r="D99" s="581"/>
      <c r="E99" s="582"/>
      <c r="F99" s="582"/>
      <c r="G99" s="582"/>
      <c r="H99" s="626">
        <f>SUM(H92:H98)</f>
        <v>181.25239999999999</v>
      </c>
      <c r="I99" s="581"/>
    </row>
    <row r="100" spans="1:9" ht="19.5">
      <c r="A100" s="581"/>
      <c r="B100" s="580"/>
      <c r="C100" s="581"/>
      <c r="D100" s="581"/>
      <c r="E100" s="582"/>
      <c r="F100" s="582"/>
      <c r="G100" s="582" t="s">
        <v>9</v>
      </c>
      <c r="H100" s="629">
        <v>181.25</v>
      </c>
      <c r="I100" s="581" t="s">
        <v>3481</v>
      </c>
    </row>
    <row r="101" spans="1:9" ht="33">
      <c r="A101" s="581">
        <v>14</v>
      </c>
      <c r="B101" s="627" t="s">
        <v>3186</v>
      </c>
      <c r="C101" s="581"/>
      <c r="D101" s="581"/>
      <c r="E101" s="582"/>
      <c r="F101" s="582"/>
      <c r="G101" s="582"/>
      <c r="H101" s="626"/>
      <c r="I101" s="581"/>
    </row>
    <row r="102" spans="1:9">
      <c r="A102" s="581"/>
      <c r="B102" s="580" t="s">
        <v>3236</v>
      </c>
      <c r="C102" s="581">
        <v>8</v>
      </c>
      <c r="D102" s="581">
        <v>1</v>
      </c>
      <c r="E102" s="582">
        <v>1.2</v>
      </c>
      <c r="F102" s="582">
        <v>0.9</v>
      </c>
      <c r="G102" s="582" t="s">
        <v>21</v>
      </c>
      <c r="H102" s="626">
        <f>PRODUCT(C102:G102)</f>
        <v>8.64</v>
      </c>
      <c r="I102" s="581"/>
    </row>
    <row r="103" spans="1:9">
      <c r="A103" s="581"/>
      <c r="B103" s="580" t="s">
        <v>3188</v>
      </c>
      <c r="C103" s="581">
        <v>-8</v>
      </c>
      <c r="D103" s="581">
        <v>1</v>
      </c>
      <c r="E103" s="582">
        <v>0.6</v>
      </c>
      <c r="F103" s="582">
        <v>0.6</v>
      </c>
      <c r="G103" s="582" t="s">
        <v>21</v>
      </c>
      <c r="H103" s="626">
        <f>PRODUCT(C103:G103)</f>
        <v>-2.88</v>
      </c>
      <c r="I103" s="581"/>
    </row>
    <row r="104" spans="1:9">
      <c r="A104" s="581"/>
      <c r="B104" s="580" t="s">
        <v>3191</v>
      </c>
      <c r="C104" s="581">
        <v>8</v>
      </c>
      <c r="D104" s="581">
        <v>1</v>
      </c>
      <c r="E104" s="582">
        <v>1.2</v>
      </c>
      <c r="F104" s="582">
        <v>1.2</v>
      </c>
      <c r="G104" s="582" t="s">
        <v>21</v>
      </c>
      <c r="H104" s="626">
        <f>PRODUCT(C104:G104)</f>
        <v>11.52</v>
      </c>
      <c r="I104" s="581"/>
    </row>
    <row r="105" spans="1:9">
      <c r="A105" s="581"/>
      <c r="B105" s="580"/>
      <c r="C105" s="581"/>
      <c r="D105" s="581"/>
      <c r="E105" s="582"/>
      <c r="F105" s="582"/>
      <c r="G105" s="582"/>
      <c r="H105" s="626">
        <f>SUM(H102:H104)</f>
        <v>17.28</v>
      </c>
      <c r="I105" s="581"/>
    </row>
    <row r="106" spans="1:9" ht="19.5">
      <c r="A106" s="581"/>
      <c r="B106" s="580"/>
      <c r="C106" s="581"/>
      <c r="D106" s="581"/>
      <c r="E106" s="582"/>
      <c r="F106" s="582"/>
      <c r="G106" s="582" t="s">
        <v>9</v>
      </c>
      <c r="H106" s="629">
        <v>17.3</v>
      </c>
      <c r="I106" s="581" t="s">
        <v>3481</v>
      </c>
    </row>
    <row r="107" spans="1:9" ht="33">
      <c r="A107" s="581">
        <v>15</v>
      </c>
      <c r="B107" s="627" t="s">
        <v>3192</v>
      </c>
      <c r="C107" s="581"/>
      <c r="D107" s="581"/>
      <c r="E107" s="582"/>
      <c r="F107" s="582"/>
      <c r="G107" s="582"/>
      <c r="H107" s="626"/>
      <c r="I107" s="581"/>
    </row>
    <row r="108" spans="1:9">
      <c r="A108" s="581"/>
      <c r="B108" s="580" t="s">
        <v>3193</v>
      </c>
      <c r="C108" s="581">
        <v>8</v>
      </c>
      <c r="D108" s="581">
        <v>1</v>
      </c>
      <c r="E108" s="582">
        <v>1.08</v>
      </c>
      <c r="F108" s="582" t="s">
        <v>21</v>
      </c>
      <c r="G108" s="582">
        <v>1.5</v>
      </c>
      <c r="H108" s="626">
        <f>PRODUCT(C108:G108)</f>
        <v>12.96</v>
      </c>
      <c r="I108" s="581"/>
    </row>
    <row r="109" spans="1:9">
      <c r="A109" s="581"/>
      <c r="B109" s="580" t="s">
        <v>3191</v>
      </c>
      <c r="C109" s="581">
        <v>8</v>
      </c>
      <c r="D109" s="581">
        <v>1</v>
      </c>
      <c r="E109" s="582">
        <v>1.44</v>
      </c>
      <c r="F109" s="582" t="s">
        <v>21</v>
      </c>
      <c r="G109" s="582">
        <v>1.5</v>
      </c>
      <c r="H109" s="626">
        <f>PRODUCT(C109:G109)</f>
        <v>17.28</v>
      </c>
      <c r="I109" s="581"/>
    </row>
    <row r="110" spans="1:9">
      <c r="A110" s="581"/>
      <c r="B110" s="580" t="s">
        <v>3555</v>
      </c>
      <c r="C110" s="581">
        <v>8</v>
      </c>
      <c r="D110" s="581">
        <v>1</v>
      </c>
      <c r="E110" s="582">
        <v>2.4</v>
      </c>
      <c r="F110" s="582" t="s">
        <v>21</v>
      </c>
      <c r="G110" s="582">
        <v>0.6</v>
      </c>
      <c r="H110" s="626">
        <f>PRODUCT(C110:G110)</f>
        <v>11.52</v>
      </c>
      <c r="I110" s="581"/>
    </row>
    <row r="111" spans="1:9">
      <c r="A111" s="581"/>
      <c r="B111" s="580" t="s">
        <v>3556</v>
      </c>
      <c r="C111" s="581">
        <v>8</v>
      </c>
      <c r="D111" s="581">
        <v>1</v>
      </c>
      <c r="E111" s="582">
        <v>0.6</v>
      </c>
      <c r="F111" s="582" t="s">
        <v>21</v>
      </c>
      <c r="G111" s="582">
        <v>0.6</v>
      </c>
      <c r="H111" s="626">
        <f>PRODUCT(C111:G111)</f>
        <v>2.88</v>
      </c>
      <c r="I111" s="581"/>
    </row>
    <row r="112" spans="1:9">
      <c r="A112" s="630"/>
      <c r="B112" s="580"/>
      <c r="C112" s="581"/>
      <c r="D112" s="581"/>
      <c r="E112" s="582"/>
      <c r="F112" s="582"/>
      <c r="G112" s="582"/>
      <c r="H112" s="626">
        <f>SUM(H108:H111)</f>
        <v>44.640000000000008</v>
      </c>
      <c r="I112" s="631"/>
    </row>
    <row r="113" spans="1:9" ht="19.5">
      <c r="A113" s="630"/>
      <c r="B113" s="632"/>
      <c r="C113" s="630"/>
      <c r="D113" s="633"/>
      <c r="E113" s="634"/>
      <c r="F113" s="634"/>
      <c r="G113" s="582" t="s">
        <v>9</v>
      </c>
      <c r="H113" s="629">
        <v>44.7</v>
      </c>
      <c r="I113" s="581" t="s">
        <v>3481</v>
      </c>
    </row>
    <row r="114" spans="1:9" ht="49.5">
      <c r="A114" s="630">
        <v>16</v>
      </c>
      <c r="B114" s="595" t="s">
        <v>3194</v>
      </c>
      <c r="C114" s="630"/>
      <c r="D114" s="633"/>
      <c r="E114" s="634"/>
      <c r="F114" s="634"/>
      <c r="G114" s="637"/>
      <c r="H114" s="638"/>
      <c r="I114" s="631"/>
    </row>
    <row r="115" spans="1:9">
      <c r="A115" s="639"/>
      <c r="B115" s="640" t="s">
        <v>3195</v>
      </c>
      <c r="C115" s="641"/>
      <c r="D115" s="641"/>
      <c r="E115" s="642"/>
      <c r="F115" s="642"/>
      <c r="G115" s="642"/>
      <c r="H115" s="643"/>
      <c r="I115" s="631"/>
    </row>
    <row r="116" spans="1:9">
      <c r="A116" s="639"/>
      <c r="B116" s="644" t="s">
        <v>3197</v>
      </c>
      <c r="C116" s="630">
        <v>1</v>
      </c>
      <c r="D116" s="630">
        <v>5</v>
      </c>
      <c r="E116" s="645" t="s">
        <v>21</v>
      </c>
      <c r="F116" s="645" t="s">
        <v>21</v>
      </c>
      <c r="G116" s="637" t="s">
        <v>21</v>
      </c>
      <c r="H116" s="626">
        <f>PRODUCT(C116:G116)</f>
        <v>5</v>
      </c>
      <c r="I116" s="631"/>
    </row>
    <row r="117" spans="1:9">
      <c r="A117" s="630"/>
      <c r="B117" s="585"/>
      <c r="C117" s="630"/>
      <c r="D117" s="630"/>
      <c r="E117" s="587"/>
      <c r="F117" s="587"/>
      <c r="G117" s="646"/>
      <c r="H117" s="629">
        <f>SUM(H116:H116)</f>
        <v>5</v>
      </c>
      <c r="I117" s="586" t="s">
        <v>340</v>
      </c>
    </row>
    <row r="118" spans="1:9">
      <c r="A118" s="630"/>
      <c r="B118" s="640" t="s">
        <v>3198</v>
      </c>
      <c r="C118" s="630"/>
      <c r="D118" s="635"/>
      <c r="E118" s="635"/>
      <c r="F118" s="587"/>
      <c r="G118" s="646"/>
      <c r="H118" s="626"/>
      <c r="I118" s="586"/>
    </row>
    <row r="119" spans="1:9">
      <c r="A119" s="630"/>
      <c r="B119" s="644" t="s">
        <v>3197</v>
      </c>
      <c r="C119" s="630">
        <v>1</v>
      </c>
      <c r="D119" s="630">
        <v>3</v>
      </c>
      <c r="E119" s="645" t="s">
        <v>21</v>
      </c>
      <c r="F119" s="645" t="s">
        <v>21</v>
      </c>
      <c r="G119" s="637" t="s">
        <v>21</v>
      </c>
      <c r="H119" s="626">
        <f>PRODUCT(C119:G119)</f>
        <v>3</v>
      </c>
      <c r="I119" s="631"/>
    </row>
    <row r="120" spans="1:9">
      <c r="A120" s="630"/>
      <c r="B120" s="647"/>
      <c r="C120" s="630"/>
      <c r="D120" s="630"/>
      <c r="E120" s="645"/>
      <c r="F120" s="645"/>
      <c r="G120" s="645"/>
      <c r="H120" s="629">
        <f>SUM(H119:H119)</f>
        <v>3</v>
      </c>
      <c r="I120" s="586" t="s">
        <v>340</v>
      </c>
    </row>
    <row r="121" spans="1:9" ht="49.5">
      <c r="A121" s="630">
        <v>17</v>
      </c>
      <c r="B121" s="627" t="s">
        <v>3563</v>
      </c>
      <c r="C121" s="630"/>
      <c r="D121" s="630"/>
      <c r="E121" s="645"/>
      <c r="F121" s="645"/>
      <c r="G121" s="645"/>
      <c r="H121" s="629"/>
      <c r="I121" s="586"/>
    </row>
    <row r="122" spans="1:9">
      <c r="A122" s="630"/>
      <c r="B122" s="649" t="s">
        <v>3588</v>
      </c>
      <c r="C122" s="630">
        <v>8</v>
      </c>
      <c r="D122" s="630">
        <v>2</v>
      </c>
      <c r="E122" s="645">
        <v>0.75</v>
      </c>
      <c r="F122" s="645" t="s">
        <v>21</v>
      </c>
      <c r="G122" s="646">
        <v>2</v>
      </c>
      <c r="H122" s="626">
        <f>PRODUCT(C122:G122)</f>
        <v>24</v>
      </c>
      <c r="I122" s="586"/>
    </row>
    <row r="123" spans="1:9">
      <c r="A123" s="630"/>
      <c r="B123" s="647"/>
      <c r="C123" s="630"/>
      <c r="D123" s="630"/>
      <c r="E123" s="645"/>
      <c r="F123" s="645"/>
      <c r="G123" s="645"/>
      <c r="H123" s="629">
        <f>SUM(H122:H122)</f>
        <v>24</v>
      </c>
      <c r="I123" s="581" t="s">
        <v>306</v>
      </c>
    </row>
    <row r="124" spans="1:9" ht="59.45" customHeight="1">
      <c r="A124" s="630">
        <v>18</v>
      </c>
      <c r="B124" s="648" t="s">
        <v>3199</v>
      </c>
      <c r="C124" s="630"/>
      <c r="D124" s="630"/>
      <c r="E124" s="645"/>
      <c r="F124" s="645"/>
      <c r="G124" s="645"/>
      <c r="H124" s="645"/>
      <c r="I124" s="586"/>
    </row>
    <row r="125" spans="1:9">
      <c r="A125" s="630"/>
      <c r="B125" s="649" t="s">
        <v>3201</v>
      </c>
      <c r="C125" s="630">
        <v>8</v>
      </c>
      <c r="D125" s="630">
        <v>2</v>
      </c>
      <c r="E125" s="645">
        <v>0.75</v>
      </c>
      <c r="F125" s="645" t="s">
        <v>21</v>
      </c>
      <c r="G125" s="646">
        <v>2</v>
      </c>
      <c r="H125" s="626">
        <f>PRODUCT(C125:G125)</f>
        <v>24</v>
      </c>
      <c r="I125" s="586"/>
    </row>
    <row r="126" spans="1:9">
      <c r="A126" s="581"/>
      <c r="B126" s="580"/>
      <c r="C126" s="581"/>
      <c r="D126" s="581"/>
      <c r="E126" s="582"/>
      <c r="F126" s="582"/>
      <c r="G126" s="582"/>
      <c r="H126" s="629">
        <f>SUM(H125:H125)</f>
        <v>24</v>
      </c>
      <c r="I126" s="581" t="s">
        <v>306</v>
      </c>
    </row>
    <row r="127" spans="1:9">
      <c r="A127" s="581"/>
      <c r="B127" s="580"/>
      <c r="C127" s="581"/>
      <c r="D127" s="581"/>
      <c r="E127" s="582"/>
      <c r="F127" s="582"/>
      <c r="G127" s="582"/>
      <c r="H127" s="574"/>
      <c r="I127" s="581"/>
    </row>
    <row r="128" spans="1:9" ht="99">
      <c r="A128" s="581">
        <v>19</v>
      </c>
      <c r="B128" s="595" t="s">
        <v>3208</v>
      </c>
      <c r="C128" s="581"/>
      <c r="D128" s="581"/>
      <c r="E128" s="582"/>
      <c r="F128" s="582"/>
      <c r="G128" s="582"/>
      <c r="H128" s="582"/>
      <c r="I128" s="581"/>
    </row>
    <row r="129" spans="1:9">
      <c r="A129" s="581"/>
      <c r="B129" s="580" t="s">
        <v>3211</v>
      </c>
      <c r="C129" s="581">
        <v>8</v>
      </c>
      <c r="D129" s="581">
        <v>1</v>
      </c>
      <c r="E129" s="582">
        <v>1.2</v>
      </c>
      <c r="F129" s="582">
        <v>1.2</v>
      </c>
      <c r="G129" s="582" t="s">
        <v>21</v>
      </c>
      <c r="H129" s="626">
        <f t="shared" ref="H129:H134" si="8">PRODUCT(C129:G129)</f>
        <v>11.52</v>
      </c>
      <c r="I129" s="581"/>
    </row>
    <row r="130" spans="1:9">
      <c r="A130" s="581"/>
      <c r="B130" s="580" t="s">
        <v>3212</v>
      </c>
      <c r="C130" s="581">
        <v>8</v>
      </c>
      <c r="D130" s="581">
        <v>1</v>
      </c>
      <c r="E130" s="582">
        <v>1.2</v>
      </c>
      <c r="F130" s="582">
        <v>0.9</v>
      </c>
      <c r="G130" s="582" t="s">
        <v>21</v>
      </c>
      <c r="H130" s="626">
        <f t="shared" si="8"/>
        <v>8.64</v>
      </c>
      <c r="I130" s="581"/>
    </row>
    <row r="131" spans="1:9" ht="17.45" customHeight="1">
      <c r="A131" s="581"/>
      <c r="B131" s="580" t="s">
        <v>3215</v>
      </c>
      <c r="C131" s="581">
        <v>8</v>
      </c>
      <c r="D131" s="581">
        <v>1</v>
      </c>
      <c r="E131" s="582">
        <v>2.7</v>
      </c>
      <c r="F131" s="582">
        <v>1</v>
      </c>
      <c r="G131" s="582" t="s">
        <v>21</v>
      </c>
      <c r="H131" s="626">
        <f t="shared" si="8"/>
        <v>21.6</v>
      </c>
      <c r="I131" s="581"/>
    </row>
    <row r="132" spans="1:9" ht="17.45" customHeight="1">
      <c r="A132" s="581"/>
      <c r="B132" s="580" t="s">
        <v>3554</v>
      </c>
      <c r="C132" s="581">
        <v>8</v>
      </c>
      <c r="D132" s="581">
        <v>1</v>
      </c>
      <c r="E132" s="582">
        <v>3.72</v>
      </c>
      <c r="F132" s="582">
        <v>2.68</v>
      </c>
      <c r="G132" s="582" t="s">
        <v>21</v>
      </c>
      <c r="H132" s="626">
        <f t="shared" si="8"/>
        <v>79.756800000000013</v>
      </c>
      <c r="I132" s="581"/>
    </row>
    <row r="133" spans="1:9" ht="17.45" customHeight="1">
      <c r="A133" s="581"/>
      <c r="B133" s="580" t="s">
        <v>3246</v>
      </c>
      <c r="C133" s="581">
        <v>4</v>
      </c>
      <c r="D133" s="581">
        <v>1</v>
      </c>
      <c r="E133" s="582">
        <v>3.8</v>
      </c>
      <c r="F133" s="582">
        <v>1.85</v>
      </c>
      <c r="G133" s="582" t="s">
        <v>21</v>
      </c>
      <c r="H133" s="626">
        <f t="shared" si="8"/>
        <v>28.12</v>
      </c>
      <c r="I133" s="581"/>
    </row>
    <row r="134" spans="1:9" ht="17.45" customHeight="1">
      <c r="A134" s="581"/>
      <c r="B134" s="580" t="s">
        <v>129</v>
      </c>
      <c r="C134" s="581">
        <v>5</v>
      </c>
      <c r="D134" s="581">
        <v>1</v>
      </c>
      <c r="E134" s="582">
        <v>3.6</v>
      </c>
      <c r="F134" s="582">
        <v>2.6</v>
      </c>
      <c r="G134" s="582" t="s">
        <v>21</v>
      </c>
      <c r="H134" s="626">
        <f t="shared" si="8"/>
        <v>46.800000000000004</v>
      </c>
      <c r="I134" s="581"/>
    </row>
    <row r="135" spans="1:9">
      <c r="A135" s="581"/>
      <c r="B135" s="580"/>
      <c r="C135" s="581"/>
      <c r="D135" s="581"/>
      <c r="E135" s="582"/>
      <c r="F135" s="582"/>
      <c r="G135" s="582"/>
      <c r="H135" s="626">
        <f>SUM(H129:H134)</f>
        <v>196.43680000000003</v>
      </c>
      <c r="I135" s="581"/>
    </row>
    <row r="136" spans="1:9" ht="19.5">
      <c r="A136" s="581"/>
      <c r="B136" s="580"/>
      <c r="C136" s="581"/>
      <c r="D136" s="581"/>
      <c r="E136" s="582"/>
      <c r="F136" s="582"/>
      <c r="G136" s="582" t="s">
        <v>9</v>
      </c>
      <c r="H136" s="629">
        <v>196.45</v>
      </c>
      <c r="I136" s="581" t="s">
        <v>3481</v>
      </c>
    </row>
    <row r="137" spans="1:9" ht="49.5">
      <c r="A137" s="581">
        <v>20</v>
      </c>
      <c r="B137" s="595" t="s">
        <v>3216</v>
      </c>
      <c r="C137" s="581"/>
      <c r="D137" s="581"/>
      <c r="E137" s="582"/>
      <c r="F137" s="582"/>
      <c r="G137" s="582"/>
      <c r="H137" s="574"/>
      <c r="I137" s="581"/>
    </row>
    <row r="138" spans="1:9" ht="17.45" customHeight="1">
      <c r="A138" s="581"/>
      <c r="B138" s="580" t="s">
        <v>3215</v>
      </c>
      <c r="C138" s="581">
        <v>8</v>
      </c>
      <c r="D138" s="581">
        <v>1</v>
      </c>
      <c r="E138" s="582">
        <v>2.7</v>
      </c>
      <c r="F138" s="582">
        <v>1</v>
      </c>
      <c r="G138" s="582" t="s">
        <v>21</v>
      </c>
      <c r="H138" s="626">
        <f>PRODUCT(C138:G138)</f>
        <v>21.6</v>
      </c>
      <c r="I138" s="581"/>
    </row>
    <row r="139" spans="1:9" ht="17.45" customHeight="1">
      <c r="A139" s="581"/>
      <c r="B139" s="580" t="s">
        <v>3554</v>
      </c>
      <c r="C139" s="581">
        <v>8</v>
      </c>
      <c r="D139" s="581">
        <v>1</v>
      </c>
      <c r="E139" s="582">
        <v>3.72</v>
      </c>
      <c r="F139" s="582">
        <v>2.68</v>
      </c>
      <c r="G139" s="582" t="s">
        <v>21</v>
      </c>
      <c r="H139" s="626">
        <f>PRODUCT(C139:G139)</f>
        <v>79.756800000000013</v>
      </c>
      <c r="I139" s="581"/>
    </row>
    <row r="140" spans="1:9" ht="17.45" customHeight="1">
      <c r="A140" s="581"/>
      <c r="B140" s="580" t="s">
        <v>3246</v>
      </c>
      <c r="C140" s="581">
        <v>4</v>
      </c>
      <c r="D140" s="581">
        <v>1</v>
      </c>
      <c r="E140" s="582">
        <v>3.8</v>
      </c>
      <c r="F140" s="582">
        <v>1.85</v>
      </c>
      <c r="G140" s="582" t="s">
        <v>21</v>
      </c>
      <c r="H140" s="626">
        <f>PRODUCT(C140:G140)</f>
        <v>28.12</v>
      </c>
      <c r="I140" s="581"/>
    </row>
    <row r="141" spans="1:9" ht="17.45" customHeight="1">
      <c r="A141" s="581"/>
      <c r="B141" s="580" t="s">
        <v>129</v>
      </c>
      <c r="C141" s="581">
        <v>5</v>
      </c>
      <c r="D141" s="581">
        <v>1</v>
      </c>
      <c r="E141" s="582">
        <v>3.6</v>
      </c>
      <c r="F141" s="582">
        <v>2.6</v>
      </c>
      <c r="G141" s="582" t="s">
        <v>21</v>
      </c>
      <c r="H141" s="626">
        <f>PRODUCT(C141:G141)</f>
        <v>46.800000000000004</v>
      </c>
      <c r="I141" s="581"/>
    </row>
    <row r="142" spans="1:9" s="590" customFormat="1">
      <c r="A142" s="586"/>
      <c r="B142" s="652" t="s">
        <v>3465</v>
      </c>
      <c r="C142" s="581">
        <v>1</v>
      </c>
      <c r="D142" s="586">
        <v>10</v>
      </c>
      <c r="E142" s="587">
        <v>0.6</v>
      </c>
      <c r="F142" s="587">
        <v>0.6</v>
      </c>
      <c r="G142" s="587" t="s">
        <v>21</v>
      </c>
      <c r="H142" s="588">
        <f>PRODUCT(C142:G142)</f>
        <v>3.5999999999999996</v>
      </c>
      <c r="I142" s="589"/>
    </row>
    <row r="143" spans="1:9">
      <c r="A143" s="581"/>
      <c r="B143" s="580"/>
      <c r="C143" s="581"/>
      <c r="D143" s="581"/>
      <c r="E143" s="582"/>
      <c r="F143" s="582"/>
      <c r="G143" s="582"/>
      <c r="H143" s="626">
        <f>SUM(H138:H142)</f>
        <v>179.87680000000003</v>
      </c>
      <c r="I143" s="581"/>
    </row>
    <row r="144" spans="1:9" ht="19.5">
      <c r="A144" s="581"/>
      <c r="B144" s="580"/>
      <c r="C144" s="581"/>
      <c r="D144" s="581"/>
      <c r="E144" s="582"/>
      <c r="F144" s="582"/>
      <c r="G144" s="582" t="s">
        <v>9</v>
      </c>
      <c r="H144" s="629">
        <v>180</v>
      </c>
      <c r="I144" s="581" t="s">
        <v>3481</v>
      </c>
    </row>
    <row r="145" spans="1:15" ht="66">
      <c r="A145" s="581">
        <v>21</v>
      </c>
      <c r="B145" s="627" t="s">
        <v>3470</v>
      </c>
      <c r="C145" s="581"/>
      <c r="D145" s="581"/>
      <c r="E145" s="582"/>
      <c r="F145" s="582"/>
      <c r="G145" s="582"/>
      <c r="H145" s="582"/>
      <c r="I145" s="581"/>
    </row>
    <row r="146" spans="1:15">
      <c r="A146" s="581"/>
      <c r="B146" s="580" t="s">
        <v>5372</v>
      </c>
      <c r="C146" s="581">
        <v>1</v>
      </c>
      <c r="D146" s="581">
        <v>1</v>
      </c>
      <c r="E146" s="582">
        <v>120</v>
      </c>
      <c r="F146" s="582" t="s">
        <v>21</v>
      </c>
      <c r="G146" s="582" t="s">
        <v>21</v>
      </c>
      <c r="H146" s="626">
        <f>PRODUCT(C146:G146)</f>
        <v>120</v>
      </c>
      <c r="I146" s="581"/>
    </row>
    <row r="147" spans="1:15">
      <c r="A147" s="581"/>
      <c r="B147" s="580"/>
      <c r="C147" s="581"/>
      <c r="D147" s="581"/>
      <c r="E147" s="582"/>
      <c r="F147" s="582"/>
      <c r="G147" s="582"/>
      <c r="H147" s="629">
        <f>SUM(H146:H146)</f>
        <v>120</v>
      </c>
      <c r="I147" s="581" t="s">
        <v>303</v>
      </c>
    </row>
    <row r="148" spans="1:15" ht="54" customHeight="1">
      <c r="A148" s="581">
        <v>22</v>
      </c>
      <c r="B148" s="595" t="s">
        <v>5293</v>
      </c>
      <c r="C148" s="581"/>
      <c r="D148" s="581"/>
      <c r="E148" s="582"/>
      <c r="F148" s="582"/>
      <c r="G148" s="582"/>
      <c r="H148" s="574"/>
      <c r="I148" s="581"/>
    </row>
    <row r="149" spans="1:15">
      <c r="A149" s="581"/>
      <c r="B149" s="580" t="s">
        <v>5373</v>
      </c>
      <c r="C149" s="581">
        <v>8</v>
      </c>
      <c r="D149" s="581">
        <v>1</v>
      </c>
      <c r="E149" s="582">
        <v>9</v>
      </c>
      <c r="F149" s="582" t="s">
        <v>21</v>
      </c>
      <c r="G149" s="582" t="s">
        <v>21</v>
      </c>
      <c r="H149" s="626">
        <f>PRODUCT(C149:G149)</f>
        <v>72</v>
      </c>
      <c r="I149" s="581"/>
    </row>
    <row r="150" spans="1:15" ht="17.45" customHeight="1">
      <c r="A150" s="581"/>
      <c r="B150" s="653"/>
      <c r="C150" s="581"/>
      <c r="D150" s="581"/>
      <c r="E150" s="582"/>
      <c r="F150" s="582"/>
      <c r="G150" s="582"/>
      <c r="H150" s="629">
        <f>SUM(H148:H149)</f>
        <v>72</v>
      </c>
      <c r="I150" s="581" t="s">
        <v>303</v>
      </c>
    </row>
    <row r="151" spans="1:15" ht="66">
      <c r="A151" s="581">
        <v>23</v>
      </c>
      <c r="B151" s="595" t="s">
        <v>5306</v>
      </c>
      <c r="C151" s="581"/>
      <c r="D151" s="581"/>
      <c r="E151" s="582"/>
      <c r="F151" s="582"/>
      <c r="G151" s="582"/>
      <c r="H151" s="626"/>
      <c r="I151" s="581"/>
    </row>
    <row r="152" spans="1:15">
      <c r="A152" s="581"/>
      <c r="B152" s="580" t="s">
        <v>3229</v>
      </c>
      <c r="C152" s="581">
        <v>1</v>
      </c>
      <c r="D152" s="581">
        <v>1</v>
      </c>
      <c r="E152" s="582">
        <v>50</v>
      </c>
      <c r="F152" s="582" t="s">
        <v>21</v>
      </c>
      <c r="G152" s="582" t="s">
        <v>21</v>
      </c>
      <c r="H152" s="629">
        <f>PRODUCT(C152:G152)</f>
        <v>50</v>
      </c>
      <c r="I152" s="923" t="s">
        <v>303</v>
      </c>
    </row>
    <row r="153" spans="1:15" ht="66">
      <c r="A153" s="581">
        <v>24</v>
      </c>
      <c r="B153" s="595" t="s">
        <v>3230</v>
      </c>
      <c r="C153" s="581"/>
      <c r="D153" s="581"/>
      <c r="E153" s="582"/>
      <c r="F153" s="582"/>
      <c r="G153" s="582"/>
      <c r="H153" s="626"/>
      <c r="I153" s="581"/>
      <c r="O153" s="654"/>
    </row>
    <row r="154" spans="1:15" ht="33">
      <c r="A154" s="581"/>
      <c r="B154" s="580" t="s">
        <v>3589</v>
      </c>
      <c r="C154" s="581">
        <v>8</v>
      </c>
      <c r="D154" s="581">
        <v>3</v>
      </c>
      <c r="E154" s="582" t="s">
        <v>21</v>
      </c>
      <c r="F154" s="582" t="s">
        <v>21</v>
      </c>
      <c r="G154" s="582" t="s">
        <v>21</v>
      </c>
      <c r="H154" s="626">
        <f>PRODUCT(C154:G154)</f>
        <v>24</v>
      </c>
      <c r="I154" s="581"/>
    </row>
    <row r="155" spans="1:15">
      <c r="A155" s="581"/>
      <c r="B155" s="580"/>
      <c r="C155" s="581"/>
      <c r="D155" s="581"/>
      <c r="E155" s="582"/>
      <c r="F155" s="582"/>
      <c r="G155" s="582"/>
      <c r="H155" s="629">
        <f>SUM(H154:H154)</f>
        <v>24</v>
      </c>
      <c r="I155" s="923" t="s">
        <v>340</v>
      </c>
    </row>
    <row r="156" spans="1:15" ht="66">
      <c r="A156" s="581">
        <v>25</v>
      </c>
      <c r="B156" s="595" t="s">
        <v>3231</v>
      </c>
      <c r="C156" s="581"/>
      <c r="D156" s="581"/>
      <c r="E156" s="582"/>
      <c r="F156" s="582"/>
      <c r="G156" s="582"/>
      <c r="H156" s="626"/>
      <c r="I156" s="581"/>
    </row>
    <row r="157" spans="1:15">
      <c r="A157" s="581"/>
      <c r="B157" s="580" t="s">
        <v>3590</v>
      </c>
      <c r="C157" s="581">
        <v>8</v>
      </c>
      <c r="D157" s="581">
        <v>1</v>
      </c>
      <c r="E157" s="582" t="s">
        <v>21</v>
      </c>
      <c r="F157" s="582" t="s">
        <v>21</v>
      </c>
      <c r="G157" s="582" t="s">
        <v>21</v>
      </c>
      <c r="H157" s="626">
        <f>PRODUCT(C157:G157)</f>
        <v>8</v>
      </c>
      <c r="I157" s="581"/>
    </row>
    <row r="158" spans="1:15">
      <c r="A158" s="581"/>
      <c r="B158" s="580" t="s">
        <v>5295</v>
      </c>
      <c r="C158" s="581">
        <v>5</v>
      </c>
      <c r="D158" s="581">
        <v>1</v>
      </c>
      <c r="E158" s="582" t="s">
        <v>21</v>
      </c>
      <c r="F158" s="582" t="s">
        <v>21</v>
      </c>
      <c r="G158" s="582" t="s">
        <v>21</v>
      </c>
      <c r="H158" s="626">
        <f>PRODUCT(C158:G158)</f>
        <v>5</v>
      </c>
      <c r="I158" s="581"/>
    </row>
    <row r="159" spans="1:15">
      <c r="A159" s="581"/>
      <c r="B159" s="580"/>
      <c r="C159" s="581"/>
      <c r="D159" s="581"/>
      <c r="E159" s="582"/>
      <c r="F159" s="582"/>
      <c r="G159" s="582"/>
      <c r="H159" s="629">
        <f>SUM(H157:H158)</f>
        <v>13</v>
      </c>
      <c r="I159" s="923" t="s">
        <v>340</v>
      </c>
    </row>
    <row r="160" spans="1:15" ht="59.45" customHeight="1">
      <c r="A160" s="581">
        <v>26</v>
      </c>
      <c r="B160" s="627" t="s">
        <v>511</v>
      </c>
      <c r="C160" s="581"/>
      <c r="D160" s="581"/>
      <c r="E160" s="582"/>
      <c r="F160" s="582"/>
      <c r="G160" s="582"/>
      <c r="H160" s="626"/>
      <c r="I160" s="581"/>
    </row>
    <row r="161" spans="1:9">
      <c r="A161" s="581"/>
      <c r="B161" s="580" t="s">
        <v>3189</v>
      </c>
      <c r="C161" s="581">
        <v>5</v>
      </c>
      <c r="D161" s="581">
        <v>4</v>
      </c>
      <c r="E161" s="582">
        <v>6</v>
      </c>
      <c r="F161" s="582" t="s">
        <v>21</v>
      </c>
      <c r="G161" s="582" t="s">
        <v>21</v>
      </c>
      <c r="H161" s="626">
        <f>PRODUCT(C161:G161)</f>
        <v>120</v>
      </c>
      <c r="I161" s="581"/>
    </row>
    <row r="162" spans="1:9">
      <c r="A162" s="581"/>
      <c r="B162" s="580"/>
      <c r="C162" s="581"/>
      <c r="D162" s="581"/>
      <c r="E162" s="582"/>
      <c r="F162" s="582"/>
      <c r="G162" s="582"/>
      <c r="H162" s="629">
        <f>SUM(H161:H161)</f>
        <v>120</v>
      </c>
      <c r="I162" s="923" t="s">
        <v>303</v>
      </c>
    </row>
    <row r="163" spans="1:9" ht="58.15" customHeight="1">
      <c r="A163" s="581">
        <v>27</v>
      </c>
      <c r="B163" s="595" t="s">
        <v>3239</v>
      </c>
      <c r="C163" s="581"/>
      <c r="D163" s="581"/>
      <c r="E163" s="582"/>
      <c r="F163" s="582"/>
      <c r="G163" s="582"/>
      <c r="H163" s="626"/>
      <c r="I163" s="581"/>
    </row>
    <row r="164" spans="1:9">
      <c r="A164" s="581"/>
      <c r="B164" s="594" t="s">
        <v>3240</v>
      </c>
      <c r="C164" s="581"/>
      <c r="D164" s="581"/>
      <c r="E164" s="582"/>
      <c r="F164" s="582"/>
      <c r="G164" s="582"/>
      <c r="H164" s="626"/>
      <c r="I164" s="581"/>
    </row>
    <row r="165" spans="1:9">
      <c r="A165" s="581"/>
      <c r="B165" s="580" t="s">
        <v>3189</v>
      </c>
      <c r="C165" s="581">
        <v>8</v>
      </c>
      <c r="D165" s="581">
        <v>1</v>
      </c>
      <c r="E165" s="582">
        <v>12</v>
      </c>
      <c r="F165" s="582" t="s">
        <v>21</v>
      </c>
      <c r="G165" s="582" t="s">
        <v>21</v>
      </c>
      <c r="H165" s="626">
        <f>PRODUCT(C165:G165)</f>
        <v>96</v>
      </c>
      <c r="I165" s="581"/>
    </row>
    <row r="166" spans="1:9">
      <c r="A166" s="581"/>
      <c r="B166" s="580"/>
      <c r="C166" s="581"/>
      <c r="D166" s="581"/>
      <c r="E166" s="582"/>
      <c r="F166" s="582"/>
      <c r="G166" s="582"/>
      <c r="H166" s="629">
        <f>SUM(H165:H165)</f>
        <v>96</v>
      </c>
      <c r="I166" s="923" t="s">
        <v>303</v>
      </c>
    </row>
    <row r="167" spans="1:9">
      <c r="A167" s="581"/>
      <c r="B167" s="594" t="s">
        <v>3241</v>
      </c>
      <c r="C167" s="581"/>
      <c r="D167" s="581"/>
      <c r="E167" s="582"/>
      <c r="F167" s="582"/>
      <c r="G167" s="582"/>
      <c r="H167" s="626"/>
      <c r="I167" s="581"/>
    </row>
    <row r="168" spans="1:9">
      <c r="A168" s="581"/>
      <c r="B168" s="580" t="s">
        <v>3189</v>
      </c>
      <c r="C168" s="581">
        <v>8</v>
      </c>
      <c r="D168" s="581">
        <v>1</v>
      </c>
      <c r="E168" s="582">
        <v>6</v>
      </c>
      <c r="F168" s="582" t="s">
        <v>21</v>
      </c>
      <c r="G168" s="582" t="s">
        <v>21</v>
      </c>
      <c r="H168" s="626">
        <f>PRODUCT(C168:G168)</f>
        <v>48</v>
      </c>
      <c r="I168" s="581"/>
    </row>
    <row r="169" spans="1:9">
      <c r="A169" s="581"/>
      <c r="B169" s="580"/>
      <c r="C169" s="581"/>
      <c r="D169" s="581"/>
      <c r="E169" s="582"/>
      <c r="F169" s="582"/>
      <c r="G169" s="582"/>
      <c r="H169" s="629">
        <f>SUM(H168:H168)</f>
        <v>48</v>
      </c>
      <c r="I169" s="923" t="s">
        <v>303</v>
      </c>
    </row>
    <row r="170" spans="1:9" ht="109.9" customHeight="1">
      <c r="A170" s="581">
        <v>28</v>
      </c>
      <c r="B170" s="655" t="s">
        <v>3460</v>
      </c>
      <c r="C170" s="581"/>
      <c r="D170" s="581"/>
      <c r="E170" s="582"/>
      <c r="F170" s="582"/>
      <c r="G170" s="582"/>
      <c r="H170" s="626"/>
      <c r="I170" s="581"/>
    </row>
    <row r="171" spans="1:9">
      <c r="A171" s="581"/>
      <c r="B171" s="656" t="s">
        <v>3459</v>
      </c>
      <c r="C171" s="581">
        <v>5</v>
      </c>
      <c r="D171" s="581">
        <v>1</v>
      </c>
      <c r="E171" s="582">
        <v>20</v>
      </c>
      <c r="F171" s="582" t="s">
        <v>21</v>
      </c>
      <c r="G171" s="582" t="s">
        <v>21</v>
      </c>
      <c r="H171" s="629">
        <f>PRODUCT(C171:G171)</f>
        <v>100</v>
      </c>
      <c r="I171" s="581" t="s">
        <v>303</v>
      </c>
    </row>
    <row r="172" spans="1:9" ht="111" customHeight="1">
      <c r="A172" s="581">
        <v>29</v>
      </c>
      <c r="B172" s="655" t="s">
        <v>3557</v>
      </c>
      <c r="C172" s="581"/>
      <c r="D172" s="581"/>
      <c r="E172" s="582"/>
      <c r="F172" s="582"/>
      <c r="G172" s="582"/>
      <c r="H172" s="626"/>
      <c r="I172" s="581"/>
    </row>
    <row r="173" spans="1:9">
      <c r="A173" s="581"/>
      <c r="B173" s="656" t="s">
        <v>3459</v>
      </c>
      <c r="C173" s="581">
        <v>5</v>
      </c>
      <c r="D173" s="581">
        <v>1</v>
      </c>
      <c r="E173" s="582">
        <v>15</v>
      </c>
      <c r="F173" s="582" t="s">
        <v>21</v>
      </c>
      <c r="G173" s="582" t="s">
        <v>21</v>
      </c>
      <c r="H173" s="629">
        <f>PRODUCT(C173:G173)</f>
        <v>75</v>
      </c>
      <c r="I173" s="581" t="s">
        <v>303</v>
      </c>
    </row>
    <row r="174" spans="1:9" ht="63.6" customHeight="1">
      <c r="A174" s="581">
        <v>30</v>
      </c>
      <c r="B174" s="659" t="s">
        <v>3266</v>
      </c>
      <c r="C174" s="581"/>
      <c r="D174" s="581"/>
      <c r="E174" s="582"/>
      <c r="F174" s="582"/>
      <c r="G174" s="582"/>
      <c r="H174" s="626"/>
      <c r="I174" s="581"/>
    </row>
    <row r="175" spans="1:9">
      <c r="A175" s="581"/>
      <c r="B175" s="627" t="s">
        <v>5374</v>
      </c>
      <c r="C175" s="581"/>
      <c r="D175" s="581"/>
      <c r="E175" s="582"/>
      <c r="F175" s="582"/>
      <c r="G175" s="582"/>
      <c r="H175" s="626"/>
      <c r="I175" s="581"/>
    </row>
    <row r="176" spans="1:9">
      <c r="A176" s="581"/>
      <c r="B176" s="580" t="s">
        <v>129</v>
      </c>
      <c r="C176" s="581">
        <v>3</v>
      </c>
      <c r="D176" s="581">
        <v>2</v>
      </c>
      <c r="E176" s="582">
        <v>3.6</v>
      </c>
      <c r="F176" s="582">
        <v>2.6</v>
      </c>
      <c r="G176" s="582" t="s">
        <v>21</v>
      </c>
      <c r="H176" s="626">
        <f t="shared" ref="H176:H181" si="9">PRODUCT(C176:G176)</f>
        <v>56.160000000000004</v>
      </c>
      <c r="I176" s="581"/>
    </row>
    <row r="177" spans="1:9">
      <c r="A177" s="581"/>
      <c r="B177" s="580" t="s">
        <v>3185</v>
      </c>
      <c r="C177" s="581">
        <v>3</v>
      </c>
      <c r="D177" s="581">
        <v>2</v>
      </c>
      <c r="E177" s="582">
        <v>3.72</v>
      </c>
      <c r="F177" s="582">
        <v>2.68</v>
      </c>
      <c r="G177" s="582" t="s">
        <v>21</v>
      </c>
      <c r="H177" s="626">
        <f t="shared" si="9"/>
        <v>59.817600000000006</v>
      </c>
      <c r="I177" s="581"/>
    </row>
    <row r="178" spans="1:9">
      <c r="A178" s="581"/>
      <c r="B178" s="580" t="s">
        <v>3246</v>
      </c>
      <c r="C178" s="581">
        <v>3</v>
      </c>
      <c r="D178" s="581">
        <v>2</v>
      </c>
      <c r="E178" s="582">
        <v>3.8</v>
      </c>
      <c r="F178" s="582">
        <v>1.85</v>
      </c>
      <c r="G178" s="582" t="s">
        <v>21</v>
      </c>
      <c r="H178" s="626">
        <f t="shared" si="9"/>
        <v>42.18</v>
      </c>
      <c r="I178" s="581"/>
    </row>
    <row r="179" spans="1:9">
      <c r="A179" s="581"/>
      <c r="B179" s="580" t="s">
        <v>1</v>
      </c>
      <c r="C179" s="581">
        <v>3</v>
      </c>
      <c r="D179" s="581">
        <v>2</v>
      </c>
      <c r="E179" s="582">
        <v>1.2</v>
      </c>
      <c r="F179" s="582">
        <v>0.9</v>
      </c>
      <c r="G179" s="582" t="s">
        <v>21</v>
      </c>
      <c r="H179" s="626">
        <f t="shared" si="9"/>
        <v>6.4799999999999995</v>
      </c>
      <c r="I179" s="581"/>
    </row>
    <row r="180" spans="1:9">
      <c r="A180" s="581"/>
      <c r="B180" s="580" t="s">
        <v>3268</v>
      </c>
      <c r="C180" s="581">
        <v>3</v>
      </c>
      <c r="D180" s="581">
        <v>2</v>
      </c>
      <c r="E180" s="582">
        <v>1.2</v>
      </c>
      <c r="F180" s="582">
        <v>1.2</v>
      </c>
      <c r="G180" s="582" t="s">
        <v>21</v>
      </c>
      <c r="H180" s="626">
        <f t="shared" si="9"/>
        <v>8.6399999999999988</v>
      </c>
      <c r="I180" s="581"/>
    </row>
    <row r="181" spans="1:9">
      <c r="A181" s="581"/>
      <c r="B181" s="580" t="s">
        <v>79</v>
      </c>
      <c r="C181" s="581">
        <v>3</v>
      </c>
      <c r="D181" s="581">
        <v>2</v>
      </c>
      <c r="E181" s="582">
        <v>2.2000000000000002</v>
      </c>
      <c r="F181" s="582">
        <v>0.85</v>
      </c>
      <c r="G181" s="582" t="s">
        <v>21</v>
      </c>
      <c r="H181" s="626">
        <f t="shared" si="9"/>
        <v>11.22</v>
      </c>
      <c r="I181" s="581"/>
    </row>
    <row r="182" spans="1:9">
      <c r="A182" s="581"/>
      <c r="B182" s="627" t="s">
        <v>3592</v>
      </c>
      <c r="C182" s="581"/>
      <c r="D182" s="581"/>
      <c r="E182" s="582"/>
      <c r="F182" s="582"/>
      <c r="G182" s="582"/>
      <c r="H182" s="626"/>
      <c r="I182" s="581"/>
    </row>
    <row r="183" spans="1:9">
      <c r="A183" s="581"/>
      <c r="B183" s="580" t="s">
        <v>74</v>
      </c>
      <c r="C183" s="581">
        <v>2</v>
      </c>
      <c r="D183" s="581">
        <v>1</v>
      </c>
      <c r="E183" s="582">
        <v>2.1</v>
      </c>
      <c r="F183" s="582">
        <v>1.9</v>
      </c>
      <c r="G183" s="582" t="s">
        <v>21</v>
      </c>
      <c r="H183" s="626">
        <f t="shared" ref="H183:H189" si="10">PRODUCT(C183:G183)</f>
        <v>7.9799999999999995</v>
      </c>
      <c r="I183" s="581"/>
    </row>
    <row r="184" spans="1:9">
      <c r="A184" s="581"/>
      <c r="B184" s="580" t="s">
        <v>129</v>
      </c>
      <c r="C184" s="581">
        <v>2</v>
      </c>
      <c r="D184" s="581">
        <v>1</v>
      </c>
      <c r="E184" s="582">
        <v>2.4</v>
      </c>
      <c r="F184" s="582">
        <v>1.46</v>
      </c>
      <c r="G184" s="582" t="s">
        <v>21</v>
      </c>
      <c r="H184" s="626">
        <f t="shared" si="10"/>
        <v>7.008</v>
      </c>
      <c r="I184" s="581"/>
    </row>
    <row r="185" spans="1:9">
      <c r="A185" s="581"/>
      <c r="B185" s="580" t="s">
        <v>3185</v>
      </c>
      <c r="C185" s="581">
        <v>2</v>
      </c>
      <c r="D185" s="581">
        <v>1</v>
      </c>
      <c r="E185" s="582">
        <v>3.74</v>
      </c>
      <c r="F185" s="582">
        <v>3.1</v>
      </c>
      <c r="G185" s="582" t="s">
        <v>21</v>
      </c>
      <c r="H185" s="626">
        <f t="shared" si="10"/>
        <v>23.188000000000002</v>
      </c>
      <c r="I185" s="581"/>
    </row>
    <row r="186" spans="1:9">
      <c r="A186" s="581"/>
      <c r="B186" s="580" t="s">
        <v>3246</v>
      </c>
      <c r="C186" s="581">
        <v>2</v>
      </c>
      <c r="D186" s="581">
        <v>1</v>
      </c>
      <c r="E186" s="582">
        <v>4</v>
      </c>
      <c r="F186" s="582">
        <v>1.7</v>
      </c>
      <c r="G186" s="582" t="s">
        <v>21</v>
      </c>
      <c r="H186" s="626">
        <f t="shared" si="10"/>
        <v>13.6</v>
      </c>
      <c r="I186" s="581"/>
    </row>
    <row r="187" spans="1:9">
      <c r="A187" s="581"/>
      <c r="B187" s="580" t="s">
        <v>1</v>
      </c>
      <c r="C187" s="581">
        <v>2</v>
      </c>
      <c r="D187" s="581">
        <v>1</v>
      </c>
      <c r="E187" s="582">
        <v>1.2</v>
      </c>
      <c r="F187" s="582">
        <v>0.9</v>
      </c>
      <c r="G187" s="582" t="s">
        <v>21</v>
      </c>
      <c r="H187" s="626">
        <f t="shared" si="10"/>
        <v>2.16</v>
      </c>
      <c r="I187" s="581"/>
    </row>
    <row r="188" spans="1:9">
      <c r="A188" s="581"/>
      <c r="B188" s="580" t="s">
        <v>3268</v>
      </c>
      <c r="C188" s="581">
        <v>2</v>
      </c>
      <c r="D188" s="581">
        <v>1</v>
      </c>
      <c r="E188" s="582">
        <v>1.2</v>
      </c>
      <c r="F188" s="582">
        <v>1.2</v>
      </c>
      <c r="G188" s="582" t="s">
        <v>21</v>
      </c>
      <c r="H188" s="626">
        <f t="shared" si="10"/>
        <v>2.88</v>
      </c>
      <c r="I188" s="581"/>
    </row>
    <row r="189" spans="1:9">
      <c r="A189" s="581"/>
      <c r="B189" s="580" t="s">
        <v>79</v>
      </c>
      <c r="C189" s="581">
        <v>2</v>
      </c>
      <c r="D189" s="581">
        <v>1</v>
      </c>
      <c r="E189" s="582">
        <v>2.2999999999999998</v>
      </c>
      <c r="F189" s="582">
        <v>0.95</v>
      </c>
      <c r="G189" s="582" t="s">
        <v>21</v>
      </c>
      <c r="H189" s="626">
        <f t="shared" si="10"/>
        <v>4.3699999999999992</v>
      </c>
      <c r="I189" s="581"/>
    </row>
    <row r="190" spans="1:9">
      <c r="A190" s="581"/>
      <c r="B190" s="580"/>
      <c r="C190" s="581"/>
      <c r="D190" s="581"/>
      <c r="E190" s="582"/>
      <c r="F190" s="582"/>
      <c r="G190" s="582"/>
      <c r="H190" s="626">
        <f>SUM(H175:H189)</f>
        <v>245.68359999999996</v>
      </c>
      <c r="I190" s="581"/>
    </row>
    <row r="191" spans="1:9">
      <c r="A191" s="581"/>
      <c r="B191" s="580"/>
      <c r="C191" s="581"/>
      <c r="D191" s="581"/>
      <c r="E191" s="582"/>
      <c r="F191" s="582"/>
      <c r="G191" s="582" t="s">
        <v>9</v>
      </c>
      <c r="H191" s="629">
        <v>246</v>
      </c>
      <c r="I191" s="581" t="s">
        <v>306</v>
      </c>
    </row>
    <row r="192" spans="1:9" ht="82.5">
      <c r="A192" s="581">
        <v>31</v>
      </c>
      <c r="B192" s="595" t="s">
        <v>3271</v>
      </c>
      <c r="C192" s="581"/>
      <c r="D192" s="581"/>
      <c r="E192" s="582"/>
      <c r="F192" s="582"/>
      <c r="G192" s="582"/>
      <c r="H192" s="626"/>
      <c r="I192" s="581"/>
    </row>
    <row r="193" spans="1:9">
      <c r="A193" s="581"/>
      <c r="B193" s="627" t="s">
        <v>3197</v>
      </c>
      <c r="C193" s="581"/>
      <c r="D193" s="581"/>
      <c r="E193" s="582"/>
      <c r="F193" s="582"/>
      <c r="G193" s="582"/>
      <c r="H193" s="626"/>
      <c r="I193" s="581"/>
    </row>
    <row r="194" spans="1:9">
      <c r="A194" s="581"/>
      <c r="B194" s="627" t="s">
        <v>3244</v>
      </c>
      <c r="C194" s="581"/>
      <c r="D194" s="581"/>
      <c r="E194" s="582"/>
      <c r="F194" s="582"/>
      <c r="G194" s="582"/>
      <c r="H194" s="626"/>
      <c r="I194" s="581"/>
    </row>
    <row r="195" spans="1:9">
      <c r="A195" s="581"/>
      <c r="B195" s="580" t="s">
        <v>129</v>
      </c>
      <c r="C195" s="581">
        <v>3</v>
      </c>
      <c r="D195" s="581">
        <v>1</v>
      </c>
      <c r="E195" s="582">
        <v>9.36</v>
      </c>
      <c r="F195" s="582" t="s">
        <v>21</v>
      </c>
      <c r="G195" s="582">
        <v>2.75</v>
      </c>
      <c r="H195" s="626">
        <f>PRODUCT(C195:G195)</f>
        <v>77.22</v>
      </c>
      <c r="I195" s="581"/>
    </row>
    <row r="196" spans="1:9">
      <c r="A196" s="581"/>
      <c r="B196" s="580" t="s">
        <v>3185</v>
      </c>
      <c r="C196" s="581">
        <v>3</v>
      </c>
      <c r="D196" s="581">
        <v>1</v>
      </c>
      <c r="E196" s="582">
        <v>9.9700000000000006</v>
      </c>
      <c r="F196" s="582" t="s">
        <v>21</v>
      </c>
      <c r="G196" s="582">
        <v>2.75</v>
      </c>
      <c r="H196" s="626">
        <f>PRODUCT(C196:G196)</f>
        <v>82.252500000000012</v>
      </c>
      <c r="I196" s="581"/>
    </row>
    <row r="197" spans="1:9">
      <c r="A197" s="581"/>
      <c r="B197" s="580" t="s">
        <v>0</v>
      </c>
      <c r="C197" s="581">
        <v>3</v>
      </c>
      <c r="D197" s="581">
        <v>1</v>
      </c>
      <c r="E197" s="582">
        <v>7.03</v>
      </c>
      <c r="F197" s="582" t="s">
        <v>21</v>
      </c>
      <c r="G197" s="582">
        <v>2.75</v>
      </c>
      <c r="H197" s="626">
        <f>PRODUCT(C197:G197)</f>
        <v>57.997500000000002</v>
      </c>
      <c r="I197" s="581"/>
    </row>
    <row r="198" spans="1:9">
      <c r="A198" s="581"/>
      <c r="B198" s="580" t="s">
        <v>79</v>
      </c>
      <c r="C198" s="581">
        <v>3</v>
      </c>
      <c r="D198" s="581">
        <v>1</v>
      </c>
      <c r="E198" s="582">
        <v>1.87</v>
      </c>
      <c r="F198" s="582" t="s">
        <v>21</v>
      </c>
      <c r="G198" s="582">
        <v>2.75</v>
      </c>
      <c r="H198" s="626">
        <f>PRODUCT(C198:G198)</f>
        <v>15.4275</v>
      </c>
      <c r="I198" s="581"/>
    </row>
    <row r="199" spans="1:9">
      <c r="A199" s="581"/>
      <c r="B199" s="580" t="s">
        <v>3273</v>
      </c>
      <c r="C199" s="581">
        <v>-3</v>
      </c>
      <c r="D199" s="581">
        <v>6</v>
      </c>
      <c r="E199" s="582">
        <v>0.9</v>
      </c>
      <c r="F199" s="582">
        <v>2.25</v>
      </c>
      <c r="G199" s="581" t="s">
        <v>21</v>
      </c>
      <c r="H199" s="626">
        <f t="shared" ref="H199:H204" si="11">PRODUCT(C199:G199)</f>
        <v>-36.449999999999996</v>
      </c>
      <c r="I199" s="581"/>
    </row>
    <row r="200" spans="1:9">
      <c r="A200" s="581"/>
      <c r="B200" s="580" t="s">
        <v>3274</v>
      </c>
      <c r="C200" s="581">
        <v>-3</v>
      </c>
      <c r="D200" s="581">
        <v>2</v>
      </c>
      <c r="E200" s="582">
        <v>0.75</v>
      </c>
      <c r="F200" s="582">
        <v>2</v>
      </c>
      <c r="G200" s="581" t="s">
        <v>21</v>
      </c>
      <c r="H200" s="626">
        <f t="shared" si="11"/>
        <v>-9</v>
      </c>
      <c r="I200" s="581"/>
    </row>
    <row r="201" spans="1:9">
      <c r="A201" s="581"/>
      <c r="B201" s="580" t="s">
        <v>3275</v>
      </c>
      <c r="C201" s="581">
        <v>-3</v>
      </c>
      <c r="D201" s="581">
        <v>1</v>
      </c>
      <c r="E201" s="582">
        <v>1</v>
      </c>
      <c r="F201" s="582">
        <v>2.1</v>
      </c>
      <c r="G201" s="581" t="s">
        <v>21</v>
      </c>
      <c r="H201" s="626">
        <f t="shared" si="11"/>
        <v>-6.3000000000000007</v>
      </c>
      <c r="I201" s="581"/>
    </row>
    <row r="202" spans="1:9">
      <c r="A202" s="581"/>
      <c r="B202" s="580" t="s">
        <v>3276</v>
      </c>
      <c r="C202" s="581">
        <v>-3</v>
      </c>
      <c r="D202" s="581">
        <v>3</v>
      </c>
      <c r="E202" s="582">
        <v>1.05</v>
      </c>
      <c r="F202" s="582">
        <v>1.5</v>
      </c>
      <c r="G202" s="581" t="s">
        <v>21</v>
      </c>
      <c r="H202" s="626">
        <f t="shared" si="11"/>
        <v>-14.175000000000001</v>
      </c>
      <c r="I202" s="581"/>
    </row>
    <row r="203" spans="1:9">
      <c r="A203" s="581"/>
      <c r="B203" s="580" t="s">
        <v>3278</v>
      </c>
      <c r="C203" s="581">
        <v>-3</v>
      </c>
      <c r="D203" s="581">
        <v>1</v>
      </c>
      <c r="E203" s="582">
        <v>0.9</v>
      </c>
      <c r="F203" s="582">
        <v>1.35</v>
      </c>
      <c r="G203" s="581" t="s">
        <v>21</v>
      </c>
      <c r="H203" s="626">
        <f t="shared" si="11"/>
        <v>-3.6450000000000005</v>
      </c>
      <c r="I203" s="581"/>
    </row>
    <row r="204" spans="1:9">
      <c r="A204" s="581"/>
      <c r="B204" s="580" t="s">
        <v>3707</v>
      </c>
      <c r="C204" s="581">
        <v>3</v>
      </c>
      <c r="D204" s="581">
        <v>5</v>
      </c>
      <c r="E204" s="582">
        <v>5.0999999999999996</v>
      </c>
      <c r="F204" s="582" t="s">
        <v>21</v>
      </c>
      <c r="G204" s="581">
        <v>0.33</v>
      </c>
      <c r="H204" s="626">
        <f t="shared" si="11"/>
        <v>25.245000000000001</v>
      </c>
      <c r="I204" s="581"/>
    </row>
    <row r="205" spans="1:9" ht="17.45" customHeight="1">
      <c r="A205" s="581"/>
      <c r="B205" s="580" t="s">
        <v>3705</v>
      </c>
      <c r="C205" s="581">
        <v>3</v>
      </c>
      <c r="D205" s="581">
        <v>1</v>
      </c>
      <c r="E205" s="582">
        <v>4.8</v>
      </c>
      <c r="F205" s="582" t="s">
        <v>21</v>
      </c>
      <c r="G205" s="582">
        <v>0.9</v>
      </c>
      <c r="H205" s="626">
        <f t="shared" ref="H205:H206" si="12">PRODUCT(C205:F205)</f>
        <v>14.399999999999999</v>
      </c>
      <c r="I205" s="581"/>
    </row>
    <row r="206" spans="1:9">
      <c r="A206" s="581"/>
      <c r="B206" s="580" t="s">
        <v>3706</v>
      </c>
      <c r="C206" s="581">
        <v>3</v>
      </c>
      <c r="D206" s="581">
        <v>4</v>
      </c>
      <c r="E206" s="582">
        <v>0.9</v>
      </c>
      <c r="F206" s="582" t="s">
        <v>21</v>
      </c>
      <c r="G206" s="582">
        <v>0.8</v>
      </c>
      <c r="H206" s="626">
        <f t="shared" si="12"/>
        <v>10.8</v>
      </c>
      <c r="I206" s="581"/>
    </row>
    <row r="207" spans="1:9">
      <c r="A207" s="581"/>
      <c r="B207" s="580" t="s">
        <v>3559</v>
      </c>
      <c r="C207" s="581">
        <v>3</v>
      </c>
      <c r="D207" s="581">
        <v>1</v>
      </c>
      <c r="E207" s="582">
        <v>1.1000000000000001</v>
      </c>
      <c r="F207" s="582" t="s">
        <v>21</v>
      </c>
      <c r="G207" s="582">
        <v>2.75</v>
      </c>
      <c r="H207" s="626">
        <f>PRODUCT(C207:G207)</f>
        <v>9.0750000000000011</v>
      </c>
      <c r="I207" s="581"/>
    </row>
    <row r="208" spans="1:9">
      <c r="A208" s="581"/>
      <c r="B208" s="580" t="s">
        <v>3559</v>
      </c>
      <c r="C208" s="581">
        <v>3</v>
      </c>
      <c r="D208" s="581">
        <v>1</v>
      </c>
      <c r="E208" s="582">
        <v>0.75</v>
      </c>
      <c r="F208" s="582" t="s">
        <v>21</v>
      </c>
      <c r="G208" s="582">
        <v>1.4</v>
      </c>
      <c r="H208" s="626">
        <f>PRODUCT(C208:G208)</f>
        <v>3.15</v>
      </c>
      <c r="I208" s="581"/>
    </row>
    <row r="209" spans="1:9">
      <c r="A209" s="581"/>
      <c r="B209" s="580" t="s">
        <v>3702</v>
      </c>
      <c r="C209" s="581">
        <v>3</v>
      </c>
      <c r="D209" s="581">
        <v>1</v>
      </c>
      <c r="E209" s="582">
        <v>4.8</v>
      </c>
      <c r="F209" s="582" t="s">
        <v>21</v>
      </c>
      <c r="G209" s="582">
        <v>0.35</v>
      </c>
      <c r="H209" s="626">
        <f t="shared" ref="H209:H210" si="13">PRODUCT(C209:G209)</f>
        <v>5.0399999999999991</v>
      </c>
      <c r="I209" s="581"/>
    </row>
    <row r="210" spans="1:9">
      <c r="A210" s="581"/>
      <c r="B210" s="580" t="s">
        <v>3703</v>
      </c>
      <c r="C210" s="581">
        <v>3</v>
      </c>
      <c r="D210" s="581">
        <v>5</v>
      </c>
      <c r="E210" s="582">
        <v>0.75</v>
      </c>
      <c r="F210" s="582" t="s">
        <v>21</v>
      </c>
      <c r="G210" s="582">
        <v>1</v>
      </c>
      <c r="H210" s="626">
        <f t="shared" si="13"/>
        <v>11.25</v>
      </c>
      <c r="I210" s="581"/>
    </row>
    <row r="211" spans="1:9">
      <c r="A211" s="581"/>
      <c r="B211" s="627" t="s">
        <v>3281</v>
      </c>
      <c r="C211" s="581"/>
      <c r="D211" s="581"/>
      <c r="E211" s="582"/>
      <c r="F211" s="582"/>
      <c r="G211" s="582"/>
      <c r="H211" s="626"/>
      <c r="I211" s="581"/>
    </row>
    <row r="212" spans="1:9">
      <c r="A212" s="581"/>
      <c r="B212" s="580" t="s">
        <v>129</v>
      </c>
      <c r="C212" s="581">
        <v>3</v>
      </c>
      <c r="D212" s="581">
        <v>1</v>
      </c>
      <c r="E212" s="582">
        <f>E195</f>
        <v>9.36</v>
      </c>
      <c r="F212" s="582" t="s">
        <v>21</v>
      </c>
      <c r="G212" s="582">
        <v>2.8</v>
      </c>
      <c r="H212" s="626">
        <f>PRODUCT(C212:G212)</f>
        <v>78.623999999999995</v>
      </c>
      <c r="I212" s="581"/>
    </row>
    <row r="213" spans="1:9">
      <c r="A213" s="581"/>
      <c r="B213" s="580" t="s">
        <v>3185</v>
      </c>
      <c r="C213" s="581">
        <v>3</v>
      </c>
      <c r="D213" s="581">
        <v>1</v>
      </c>
      <c r="E213" s="582">
        <f>E196</f>
        <v>9.9700000000000006</v>
      </c>
      <c r="F213" s="582" t="s">
        <v>21</v>
      </c>
      <c r="G213" s="582">
        <v>2.8</v>
      </c>
      <c r="H213" s="626">
        <f>PRODUCT(C213:G213)</f>
        <v>83.748000000000005</v>
      </c>
      <c r="I213" s="581"/>
    </row>
    <row r="214" spans="1:9">
      <c r="A214" s="581"/>
      <c r="B214" s="580" t="s">
        <v>0</v>
      </c>
      <c r="C214" s="581">
        <v>3</v>
      </c>
      <c r="D214" s="581">
        <v>1</v>
      </c>
      <c r="E214" s="582">
        <f>E197</f>
        <v>7.03</v>
      </c>
      <c r="F214" s="582" t="s">
        <v>21</v>
      </c>
      <c r="G214" s="582">
        <v>2.8</v>
      </c>
      <c r="H214" s="626">
        <f>PRODUCT(C214:G214)</f>
        <v>59.051999999999992</v>
      </c>
      <c r="I214" s="581"/>
    </row>
    <row r="215" spans="1:9">
      <c r="A215" s="581"/>
      <c r="B215" s="580" t="s">
        <v>79</v>
      </c>
      <c r="C215" s="581">
        <v>3</v>
      </c>
      <c r="D215" s="581">
        <v>1</v>
      </c>
      <c r="E215" s="582">
        <f>E198</f>
        <v>1.87</v>
      </c>
      <c r="F215" s="582" t="s">
        <v>21</v>
      </c>
      <c r="G215" s="582">
        <v>2.8</v>
      </c>
      <c r="H215" s="626">
        <f>PRODUCT(C215:G215)</f>
        <v>15.708</v>
      </c>
      <c r="I215" s="581"/>
    </row>
    <row r="216" spans="1:9">
      <c r="A216" s="581"/>
      <c r="B216" s="580" t="s">
        <v>3273</v>
      </c>
      <c r="C216" s="581">
        <v>-3</v>
      </c>
      <c r="D216" s="581">
        <v>6</v>
      </c>
      <c r="E216" s="582">
        <v>0.9</v>
      </c>
      <c r="F216" s="582">
        <v>2.25</v>
      </c>
      <c r="G216" s="581" t="s">
        <v>21</v>
      </c>
      <c r="H216" s="626">
        <f>PRODUCT(C216:F216)</f>
        <v>-36.449999999999996</v>
      </c>
      <c r="I216" s="581"/>
    </row>
    <row r="217" spans="1:9">
      <c r="A217" s="581"/>
      <c r="B217" s="580" t="s">
        <v>3274</v>
      </c>
      <c r="C217" s="581">
        <v>-3</v>
      </c>
      <c r="D217" s="581">
        <v>2</v>
      </c>
      <c r="E217" s="582">
        <v>0.75</v>
      </c>
      <c r="F217" s="582">
        <v>2</v>
      </c>
      <c r="G217" s="581" t="s">
        <v>21</v>
      </c>
      <c r="H217" s="626">
        <f>PRODUCT(C217:F217)</f>
        <v>-9</v>
      </c>
      <c r="I217" s="581"/>
    </row>
    <row r="218" spans="1:9">
      <c r="A218" s="581"/>
      <c r="B218" s="580" t="s">
        <v>3275</v>
      </c>
      <c r="C218" s="581">
        <v>-3</v>
      </c>
      <c r="D218" s="581">
        <v>1</v>
      </c>
      <c r="E218" s="582">
        <v>1</v>
      </c>
      <c r="F218" s="582">
        <v>2.1</v>
      </c>
      <c r="G218" s="581" t="s">
        <v>21</v>
      </c>
      <c r="H218" s="626">
        <f>PRODUCT(C218:F218)</f>
        <v>-6.3000000000000007</v>
      </c>
      <c r="I218" s="581"/>
    </row>
    <row r="219" spans="1:9">
      <c r="A219" s="581"/>
      <c r="B219" s="580" t="s">
        <v>3276</v>
      </c>
      <c r="C219" s="581">
        <v>-3</v>
      </c>
      <c r="D219" s="581">
        <v>3</v>
      </c>
      <c r="E219" s="582">
        <v>1.05</v>
      </c>
      <c r="F219" s="582">
        <v>1.5</v>
      </c>
      <c r="G219" s="581" t="s">
        <v>21</v>
      </c>
      <c r="H219" s="626">
        <f>PRODUCT(C219:F219)</f>
        <v>-14.175000000000001</v>
      </c>
      <c r="I219" s="581"/>
    </row>
    <row r="220" spans="1:9">
      <c r="A220" s="581"/>
      <c r="B220" s="580" t="s">
        <v>3278</v>
      </c>
      <c r="C220" s="581">
        <v>-3</v>
      </c>
      <c r="D220" s="581">
        <v>1</v>
      </c>
      <c r="E220" s="582">
        <v>0.9</v>
      </c>
      <c r="F220" s="582">
        <v>1.35</v>
      </c>
      <c r="G220" s="581" t="s">
        <v>21</v>
      </c>
      <c r="H220" s="626">
        <f>PRODUCT(C220:F220)</f>
        <v>-3.6450000000000005</v>
      </c>
      <c r="I220" s="581"/>
    </row>
    <row r="221" spans="1:9">
      <c r="A221" s="581"/>
      <c r="B221" s="580" t="s">
        <v>3707</v>
      </c>
      <c r="C221" s="581">
        <v>3</v>
      </c>
      <c r="D221" s="581">
        <v>5</v>
      </c>
      <c r="E221" s="582">
        <v>5.0999999999999996</v>
      </c>
      <c r="F221" s="582" t="s">
        <v>21</v>
      </c>
      <c r="G221" s="581">
        <v>0.33</v>
      </c>
      <c r="H221" s="626">
        <f t="shared" ref="H221" si="14">PRODUCT(C221:G221)</f>
        <v>25.245000000000001</v>
      </c>
      <c r="I221" s="581"/>
    </row>
    <row r="222" spans="1:9" ht="17.45" customHeight="1">
      <c r="A222" s="581"/>
      <c r="B222" s="580" t="s">
        <v>3705</v>
      </c>
      <c r="C222" s="581">
        <v>3</v>
      </c>
      <c r="D222" s="581">
        <v>1</v>
      </c>
      <c r="E222" s="582">
        <v>4.8</v>
      </c>
      <c r="F222" s="582" t="s">
        <v>21</v>
      </c>
      <c r="G222" s="582">
        <v>0.9</v>
      </c>
      <c r="H222" s="626">
        <f t="shared" ref="H222:H223" si="15">PRODUCT(C222:F222)</f>
        <v>14.399999999999999</v>
      </c>
      <c r="I222" s="581"/>
    </row>
    <row r="223" spans="1:9">
      <c r="A223" s="581"/>
      <c r="B223" s="580" t="s">
        <v>3706</v>
      </c>
      <c r="C223" s="581">
        <v>3</v>
      </c>
      <c r="D223" s="581">
        <v>4</v>
      </c>
      <c r="E223" s="582">
        <v>0.9</v>
      </c>
      <c r="F223" s="582" t="s">
        <v>21</v>
      </c>
      <c r="G223" s="582">
        <v>0.8</v>
      </c>
      <c r="H223" s="626">
        <f t="shared" si="15"/>
        <v>10.8</v>
      </c>
      <c r="I223" s="581"/>
    </row>
    <row r="224" spans="1:9">
      <c r="A224" s="581"/>
      <c r="B224" s="580" t="s">
        <v>3559</v>
      </c>
      <c r="C224" s="581">
        <v>3</v>
      </c>
      <c r="D224" s="581">
        <v>1</v>
      </c>
      <c r="E224" s="582">
        <v>1.1000000000000001</v>
      </c>
      <c r="F224" s="582" t="s">
        <v>21</v>
      </c>
      <c r="G224" s="582">
        <v>2.75</v>
      </c>
      <c r="H224" s="626">
        <f>PRODUCT(C224:G224)</f>
        <v>9.0750000000000011</v>
      </c>
      <c r="I224" s="581"/>
    </row>
    <row r="225" spans="1:9">
      <c r="A225" s="581"/>
      <c r="B225" s="580" t="s">
        <v>3559</v>
      </c>
      <c r="C225" s="581">
        <v>3</v>
      </c>
      <c r="D225" s="581">
        <v>1</v>
      </c>
      <c r="E225" s="582">
        <v>0.75</v>
      </c>
      <c r="F225" s="582" t="s">
        <v>21</v>
      </c>
      <c r="G225" s="582">
        <v>1.4</v>
      </c>
      <c r="H225" s="626">
        <f>PRODUCT(C225:G225)</f>
        <v>3.15</v>
      </c>
      <c r="I225" s="581"/>
    </row>
    <row r="226" spans="1:9">
      <c r="A226" s="581"/>
      <c r="B226" s="580" t="s">
        <v>3702</v>
      </c>
      <c r="C226" s="581">
        <v>3</v>
      </c>
      <c r="D226" s="581">
        <v>1</v>
      </c>
      <c r="E226" s="582">
        <v>4.8</v>
      </c>
      <c r="F226" s="582" t="s">
        <v>21</v>
      </c>
      <c r="G226" s="582">
        <v>0.35</v>
      </c>
      <c r="H226" s="626">
        <f t="shared" ref="H226:H227" si="16">PRODUCT(C226:G226)</f>
        <v>5.0399999999999991</v>
      </c>
      <c r="I226" s="581"/>
    </row>
    <row r="227" spans="1:9">
      <c r="A227" s="581"/>
      <c r="B227" s="580" t="s">
        <v>3703</v>
      </c>
      <c r="C227" s="581">
        <v>3</v>
      </c>
      <c r="D227" s="581">
        <v>5</v>
      </c>
      <c r="E227" s="582">
        <v>0.75</v>
      </c>
      <c r="F227" s="582" t="s">
        <v>21</v>
      </c>
      <c r="G227" s="582">
        <v>1</v>
      </c>
      <c r="H227" s="626">
        <f t="shared" si="16"/>
        <v>11.25</v>
      </c>
      <c r="I227" s="581"/>
    </row>
    <row r="228" spans="1:9">
      <c r="A228" s="581"/>
      <c r="B228" s="627" t="s">
        <v>5375</v>
      </c>
      <c r="C228" s="581"/>
      <c r="D228" s="581"/>
      <c r="E228" s="582"/>
      <c r="F228" s="582"/>
      <c r="G228" s="582"/>
      <c r="H228" s="626"/>
      <c r="I228" s="581"/>
    </row>
    <row r="229" spans="1:9">
      <c r="A229" s="581"/>
      <c r="B229" s="627" t="s">
        <v>3244</v>
      </c>
      <c r="C229" s="581"/>
      <c r="D229" s="581"/>
      <c r="E229" s="582"/>
      <c r="F229" s="582"/>
      <c r="G229" s="582"/>
      <c r="H229" s="626"/>
      <c r="I229" s="581"/>
    </row>
    <row r="230" spans="1:9">
      <c r="A230" s="581"/>
      <c r="B230" s="580" t="s">
        <v>3272</v>
      </c>
      <c r="C230" s="581">
        <v>2</v>
      </c>
      <c r="D230" s="581">
        <v>1</v>
      </c>
      <c r="E230" s="582">
        <v>8</v>
      </c>
      <c r="F230" s="582" t="s">
        <v>21</v>
      </c>
      <c r="G230" s="582">
        <v>2.75</v>
      </c>
      <c r="H230" s="626">
        <f>PRODUCT(C230:G230)</f>
        <v>44</v>
      </c>
      <c r="I230" s="581"/>
    </row>
    <row r="231" spans="1:9">
      <c r="A231" s="581"/>
      <c r="B231" s="580" t="s">
        <v>129</v>
      </c>
      <c r="C231" s="581">
        <v>2</v>
      </c>
      <c r="D231" s="581">
        <v>1</v>
      </c>
      <c r="E231" s="582">
        <v>3.56</v>
      </c>
      <c r="F231" s="582" t="s">
        <v>21</v>
      </c>
      <c r="G231" s="582">
        <v>2.75</v>
      </c>
      <c r="H231" s="626">
        <f>PRODUCT(C231:G231)</f>
        <v>19.580000000000002</v>
      </c>
      <c r="I231" s="581"/>
    </row>
    <row r="232" spans="1:9">
      <c r="A232" s="581"/>
      <c r="B232" s="580" t="s">
        <v>3185</v>
      </c>
      <c r="C232" s="581">
        <v>2</v>
      </c>
      <c r="D232" s="581">
        <v>1</v>
      </c>
      <c r="E232" s="582">
        <v>13.68</v>
      </c>
      <c r="F232" s="582" t="s">
        <v>21</v>
      </c>
      <c r="G232" s="582">
        <v>2.75</v>
      </c>
      <c r="H232" s="626">
        <f>PRODUCT(C232:G232)</f>
        <v>75.239999999999995</v>
      </c>
      <c r="I232" s="581"/>
    </row>
    <row r="233" spans="1:9">
      <c r="A233" s="581"/>
      <c r="B233" s="580" t="s">
        <v>0</v>
      </c>
      <c r="C233" s="581">
        <v>2</v>
      </c>
      <c r="D233" s="581">
        <v>1</v>
      </c>
      <c r="E233" s="582">
        <v>11.4</v>
      </c>
      <c r="F233" s="582" t="s">
        <v>21</v>
      </c>
      <c r="G233" s="582">
        <v>2.75</v>
      </c>
      <c r="H233" s="626">
        <f>PRODUCT(C233:G233)</f>
        <v>62.7</v>
      </c>
      <c r="I233" s="581"/>
    </row>
    <row r="234" spans="1:9">
      <c r="A234" s="581"/>
      <c r="B234" s="580" t="s">
        <v>79</v>
      </c>
      <c r="C234" s="581">
        <v>2</v>
      </c>
      <c r="D234" s="581">
        <v>1</v>
      </c>
      <c r="E234" s="582">
        <v>6.5</v>
      </c>
      <c r="F234" s="582" t="s">
        <v>21</v>
      </c>
      <c r="G234" s="582">
        <v>2.75</v>
      </c>
      <c r="H234" s="626">
        <f>PRODUCT(C234:G234)</f>
        <v>35.75</v>
      </c>
      <c r="I234" s="581"/>
    </row>
    <row r="235" spans="1:9">
      <c r="A235" s="581"/>
      <c r="B235" s="580" t="s">
        <v>3273</v>
      </c>
      <c r="C235" s="581">
        <v>-2</v>
      </c>
      <c r="D235" s="581">
        <v>6</v>
      </c>
      <c r="E235" s="582">
        <v>0.9</v>
      </c>
      <c r="F235" s="582">
        <v>2.25</v>
      </c>
      <c r="G235" s="582" t="s">
        <v>21</v>
      </c>
      <c r="H235" s="626">
        <f t="shared" ref="H235:H240" si="17">PRODUCT(C235:F235)</f>
        <v>-24.3</v>
      </c>
      <c r="I235" s="581"/>
    </row>
    <row r="236" spans="1:9">
      <c r="A236" s="581"/>
      <c r="B236" s="580" t="s">
        <v>3274</v>
      </c>
      <c r="C236" s="581">
        <v>-2</v>
      </c>
      <c r="D236" s="581">
        <v>2</v>
      </c>
      <c r="E236" s="582">
        <v>0.75</v>
      </c>
      <c r="F236" s="582">
        <v>2</v>
      </c>
      <c r="G236" s="582" t="s">
        <v>21</v>
      </c>
      <c r="H236" s="626">
        <f t="shared" si="17"/>
        <v>-6</v>
      </c>
      <c r="I236" s="581"/>
    </row>
    <row r="237" spans="1:9">
      <c r="A237" s="581"/>
      <c r="B237" s="580" t="s">
        <v>3275</v>
      </c>
      <c r="C237" s="581">
        <v>-2</v>
      </c>
      <c r="D237" s="581">
        <v>1</v>
      </c>
      <c r="E237" s="582">
        <v>1</v>
      </c>
      <c r="F237" s="582">
        <v>2.1</v>
      </c>
      <c r="G237" s="582" t="s">
        <v>21</v>
      </c>
      <c r="H237" s="626">
        <f t="shared" si="17"/>
        <v>-4.2</v>
      </c>
      <c r="I237" s="581"/>
    </row>
    <row r="238" spans="1:9">
      <c r="A238" s="581"/>
      <c r="B238" s="580" t="s">
        <v>3276</v>
      </c>
      <c r="C238" s="581">
        <v>-2</v>
      </c>
      <c r="D238" s="581">
        <v>3</v>
      </c>
      <c r="E238" s="582">
        <v>1.05</v>
      </c>
      <c r="F238" s="582">
        <v>1.5</v>
      </c>
      <c r="G238" s="582" t="s">
        <v>21</v>
      </c>
      <c r="H238" s="626">
        <f t="shared" si="17"/>
        <v>-9.4500000000000011</v>
      </c>
      <c r="I238" s="581"/>
    </row>
    <row r="239" spans="1:9">
      <c r="A239" s="581"/>
      <c r="B239" s="580" t="s">
        <v>3277</v>
      </c>
      <c r="C239" s="581">
        <v>-2</v>
      </c>
      <c r="D239" s="581">
        <v>1</v>
      </c>
      <c r="E239" s="582">
        <v>0.6</v>
      </c>
      <c r="F239" s="582">
        <v>1.35</v>
      </c>
      <c r="G239" s="581" t="s">
        <v>21</v>
      </c>
      <c r="H239" s="626">
        <f t="shared" si="17"/>
        <v>-1.62</v>
      </c>
      <c r="I239" s="581"/>
    </row>
    <row r="240" spans="1:9">
      <c r="A240" s="581"/>
      <c r="B240" s="580" t="s">
        <v>3278</v>
      </c>
      <c r="C240" s="581">
        <v>-2</v>
      </c>
      <c r="D240" s="581">
        <v>1</v>
      </c>
      <c r="E240" s="582">
        <v>0.9</v>
      </c>
      <c r="F240" s="582">
        <v>1.35</v>
      </c>
      <c r="G240" s="581" t="s">
        <v>21</v>
      </c>
      <c r="H240" s="626">
        <f t="shared" si="17"/>
        <v>-2.4300000000000002</v>
      </c>
      <c r="I240" s="581"/>
    </row>
    <row r="241" spans="1:9">
      <c r="A241" s="581"/>
      <c r="B241" s="580" t="s">
        <v>3707</v>
      </c>
      <c r="C241" s="581">
        <v>2</v>
      </c>
      <c r="D241" s="581">
        <v>5</v>
      </c>
      <c r="E241" s="582">
        <v>5.0999999999999996</v>
      </c>
      <c r="F241" s="582" t="s">
        <v>21</v>
      </c>
      <c r="G241" s="581">
        <v>0.33</v>
      </c>
      <c r="H241" s="626">
        <f t="shared" ref="H241" si="18">PRODUCT(C241:G241)</f>
        <v>16.830000000000002</v>
      </c>
      <c r="I241" s="581"/>
    </row>
    <row r="242" spans="1:9" ht="17.45" customHeight="1">
      <c r="A242" s="581"/>
      <c r="B242" s="580" t="s">
        <v>3705</v>
      </c>
      <c r="C242" s="581">
        <v>2</v>
      </c>
      <c r="D242" s="581">
        <v>1</v>
      </c>
      <c r="E242" s="582">
        <v>4.8</v>
      </c>
      <c r="F242" s="582" t="s">
        <v>21</v>
      </c>
      <c r="G242" s="582">
        <v>0.9</v>
      </c>
      <c r="H242" s="626">
        <f t="shared" ref="H242:H243" si="19">PRODUCT(C242:F242)</f>
        <v>9.6</v>
      </c>
      <c r="I242" s="581"/>
    </row>
    <row r="243" spans="1:9">
      <c r="A243" s="581"/>
      <c r="B243" s="580" t="s">
        <v>3706</v>
      </c>
      <c r="C243" s="581">
        <v>2</v>
      </c>
      <c r="D243" s="581">
        <v>4</v>
      </c>
      <c r="E243" s="582">
        <v>0.9</v>
      </c>
      <c r="F243" s="582" t="s">
        <v>21</v>
      </c>
      <c r="G243" s="582">
        <v>0.8</v>
      </c>
      <c r="H243" s="626">
        <f t="shared" si="19"/>
        <v>7.2</v>
      </c>
      <c r="I243" s="581"/>
    </row>
    <row r="244" spans="1:9">
      <c r="A244" s="581"/>
      <c r="B244" s="580" t="s">
        <v>3559</v>
      </c>
      <c r="C244" s="581">
        <v>2</v>
      </c>
      <c r="D244" s="581">
        <v>1</v>
      </c>
      <c r="E244" s="582">
        <v>1.1000000000000001</v>
      </c>
      <c r="F244" s="582" t="s">
        <v>21</v>
      </c>
      <c r="G244" s="582">
        <v>2.75</v>
      </c>
      <c r="H244" s="626">
        <f>PRODUCT(C244:G244)</f>
        <v>6.0500000000000007</v>
      </c>
      <c r="I244" s="581"/>
    </row>
    <row r="245" spans="1:9">
      <c r="A245" s="581"/>
      <c r="B245" s="580" t="s">
        <v>3559</v>
      </c>
      <c r="C245" s="581">
        <v>2</v>
      </c>
      <c r="D245" s="581">
        <v>1</v>
      </c>
      <c r="E245" s="582">
        <v>0.75</v>
      </c>
      <c r="F245" s="582" t="s">
        <v>21</v>
      </c>
      <c r="G245" s="582">
        <v>1.4</v>
      </c>
      <c r="H245" s="626">
        <f>PRODUCT(C245:G245)</f>
        <v>2.0999999999999996</v>
      </c>
      <c r="I245" s="581"/>
    </row>
    <row r="246" spans="1:9">
      <c r="A246" s="581"/>
      <c r="B246" s="580" t="s">
        <v>3702</v>
      </c>
      <c r="C246" s="581">
        <v>2</v>
      </c>
      <c r="D246" s="581">
        <v>1</v>
      </c>
      <c r="E246" s="582">
        <v>4.8</v>
      </c>
      <c r="F246" s="582" t="s">
        <v>21</v>
      </c>
      <c r="G246" s="582">
        <v>0.35</v>
      </c>
      <c r="H246" s="626">
        <f t="shared" ref="H246:H247" si="20">PRODUCT(C246:G246)</f>
        <v>3.36</v>
      </c>
      <c r="I246" s="581"/>
    </row>
    <row r="247" spans="1:9">
      <c r="A247" s="581"/>
      <c r="B247" s="580" t="s">
        <v>3703</v>
      </c>
      <c r="C247" s="581">
        <v>2</v>
      </c>
      <c r="D247" s="581">
        <v>5</v>
      </c>
      <c r="E247" s="582">
        <v>0.75</v>
      </c>
      <c r="F247" s="582" t="s">
        <v>21</v>
      </c>
      <c r="G247" s="582">
        <v>1</v>
      </c>
      <c r="H247" s="626">
        <f t="shared" si="20"/>
        <v>7.5</v>
      </c>
      <c r="I247" s="581"/>
    </row>
    <row r="248" spans="1:9">
      <c r="A248" s="581"/>
      <c r="B248" s="580"/>
      <c r="C248" s="581"/>
      <c r="D248" s="581"/>
      <c r="E248" s="582"/>
      <c r="F248" s="582"/>
      <c r="G248" s="582"/>
      <c r="H248" s="626">
        <f>SUM(H195:H247)</f>
        <v>730.71950000000027</v>
      </c>
      <c r="I248" s="581"/>
    </row>
    <row r="249" spans="1:9">
      <c r="A249" s="581"/>
      <c r="B249" s="580"/>
      <c r="C249" s="581"/>
      <c r="D249" s="581"/>
      <c r="E249" s="582"/>
      <c r="F249" s="582"/>
      <c r="G249" s="582" t="s">
        <v>9</v>
      </c>
      <c r="H249" s="629">
        <v>731</v>
      </c>
      <c r="I249" s="581" t="s">
        <v>306</v>
      </c>
    </row>
    <row r="250" spans="1:9" ht="66">
      <c r="A250" s="581">
        <v>32</v>
      </c>
      <c r="B250" s="659" t="s">
        <v>3284</v>
      </c>
      <c r="C250" s="581"/>
      <c r="D250" s="581"/>
      <c r="E250" s="582"/>
      <c r="F250" s="582"/>
      <c r="G250" s="582"/>
      <c r="H250" s="626"/>
      <c r="I250" s="581"/>
    </row>
    <row r="251" spans="1:9">
      <c r="A251" s="581"/>
      <c r="B251" s="627" t="s">
        <v>3591</v>
      </c>
      <c r="C251" s="581"/>
      <c r="D251" s="581"/>
      <c r="E251" s="582"/>
      <c r="F251" s="582"/>
      <c r="G251" s="582"/>
      <c r="H251" s="626"/>
      <c r="I251" s="581"/>
    </row>
    <row r="252" spans="1:9">
      <c r="A252" s="581"/>
      <c r="B252" s="580" t="s">
        <v>3300</v>
      </c>
      <c r="C252" s="581">
        <v>8</v>
      </c>
      <c r="D252" s="581">
        <v>1</v>
      </c>
      <c r="E252" s="582">
        <v>6.4</v>
      </c>
      <c r="F252" s="582" t="s">
        <v>21</v>
      </c>
      <c r="G252" s="582">
        <v>3.8</v>
      </c>
      <c r="H252" s="626">
        <f t="shared" ref="H252:H276" si="21">PRODUCT(C252:G252)</f>
        <v>194.56</v>
      </c>
      <c r="I252" s="581"/>
    </row>
    <row r="253" spans="1:9">
      <c r="A253" s="581"/>
      <c r="B253" s="580" t="s">
        <v>3286</v>
      </c>
      <c r="C253" s="581">
        <v>8</v>
      </c>
      <c r="D253" s="581">
        <v>2</v>
      </c>
      <c r="E253" s="582">
        <v>4.5</v>
      </c>
      <c r="F253" s="582" t="s">
        <v>21</v>
      </c>
      <c r="G253" s="582">
        <v>3.8</v>
      </c>
      <c r="H253" s="626">
        <f t="shared" si="21"/>
        <v>273.59999999999997</v>
      </c>
      <c r="I253" s="581"/>
    </row>
    <row r="254" spans="1:9">
      <c r="A254" s="581"/>
      <c r="B254" s="580" t="s">
        <v>3287</v>
      </c>
      <c r="C254" s="581">
        <v>8</v>
      </c>
      <c r="D254" s="581">
        <v>1</v>
      </c>
      <c r="E254" s="582">
        <v>2.6</v>
      </c>
      <c r="F254" s="582" t="s">
        <v>21</v>
      </c>
      <c r="G254" s="582">
        <v>3.8</v>
      </c>
      <c r="H254" s="626">
        <f t="shared" si="21"/>
        <v>79.039999999999992</v>
      </c>
      <c r="I254" s="581"/>
    </row>
    <row r="255" spans="1:9">
      <c r="A255" s="581"/>
      <c r="B255" s="580" t="s">
        <v>3301</v>
      </c>
      <c r="C255" s="581">
        <v>8</v>
      </c>
      <c r="D255" s="581">
        <v>1</v>
      </c>
      <c r="E255" s="582">
        <v>2.35</v>
      </c>
      <c r="F255" s="582" t="s">
        <v>21</v>
      </c>
      <c r="G255" s="582">
        <v>3.8</v>
      </c>
      <c r="H255" s="626">
        <f t="shared" si="21"/>
        <v>71.44</v>
      </c>
      <c r="I255" s="581"/>
    </row>
    <row r="256" spans="1:9">
      <c r="A256" s="581"/>
      <c r="B256" s="580" t="s">
        <v>3301</v>
      </c>
      <c r="C256" s="581">
        <v>8</v>
      </c>
      <c r="D256" s="581">
        <v>1</v>
      </c>
      <c r="E256" s="582">
        <v>7.5</v>
      </c>
      <c r="F256" s="582" t="s">
        <v>21</v>
      </c>
      <c r="G256" s="582">
        <v>3.8</v>
      </c>
      <c r="H256" s="626">
        <f t="shared" si="21"/>
        <v>228</v>
      </c>
      <c r="I256" s="581"/>
    </row>
    <row r="257" spans="1:9">
      <c r="A257" s="581"/>
      <c r="B257" s="580" t="s">
        <v>3302</v>
      </c>
      <c r="C257" s="581">
        <v>8</v>
      </c>
      <c r="D257" s="581">
        <v>1</v>
      </c>
      <c r="E257" s="582">
        <v>0.8</v>
      </c>
      <c r="F257" s="582" t="s">
        <v>21</v>
      </c>
      <c r="G257" s="582">
        <v>3.8</v>
      </c>
      <c r="H257" s="626">
        <f t="shared" si="21"/>
        <v>24.32</v>
      </c>
      <c r="I257" s="581"/>
    </row>
    <row r="258" spans="1:9">
      <c r="A258" s="581"/>
      <c r="B258" s="580" t="s">
        <v>3302</v>
      </c>
      <c r="C258" s="581">
        <v>8</v>
      </c>
      <c r="D258" s="581">
        <v>1</v>
      </c>
      <c r="E258" s="582">
        <v>1.1000000000000001</v>
      </c>
      <c r="F258" s="582" t="s">
        <v>21</v>
      </c>
      <c r="G258" s="582">
        <v>3.8</v>
      </c>
      <c r="H258" s="626">
        <f t="shared" si="21"/>
        <v>33.44</v>
      </c>
      <c r="I258" s="581"/>
    </row>
    <row r="259" spans="1:9">
      <c r="A259" s="581"/>
      <c r="B259" s="580" t="s">
        <v>3283</v>
      </c>
      <c r="C259" s="581">
        <v>-8</v>
      </c>
      <c r="D259" s="581">
        <v>2</v>
      </c>
      <c r="E259" s="582">
        <v>0.9</v>
      </c>
      <c r="F259" s="582">
        <v>2.25</v>
      </c>
      <c r="G259" s="582" t="s">
        <v>21</v>
      </c>
      <c r="H259" s="626">
        <f t="shared" si="21"/>
        <v>-32.4</v>
      </c>
      <c r="I259" s="581"/>
    </row>
    <row r="260" spans="1:9">
      <c r="A260" s="581"/>
      <c r="B260" s="580" t="s">
        <v>3295</v>
      </c>
      <c r="C260" s="581">
        <v>-8</v>
      </c>
      <c r="D260" s="581">
        <v>6</v>
      </c>
      <c r="E260" s="582">
        <v>1.05</v>
      </c>
      <c r="F260" s="582">
        <v>1.5</v>
      </c>
      <c r="G260" s="582" t="s">
        <v>21</v>
      </c>
      <c r="H260" s="626">
        <f t="shared" si="21"/>
        <v>-75.600000000000009</v>
      </c>
      <c r="I260" s="581"/>
    </row>
    <row r="261" spans="1:9">
      <c r="A261" s="581"/>
      <c r="B261" s="580" t="s">
        <v>3296</v>
      </c>
      <c r="C261" s="581">
        <v>-8</v>
      </c>
      <c r="D261" s="581">
        <v>2</v>
      </c>
      <c r="E261" s="582">
        <v>0.9</v>
      </c>
      <c r="F261" s="582">
        <v>1.35</v>
      </c>
      <c r="G261" s="582" t="s">
        <v>21</v>
      </c>
      <c r="H261" s="626">
        <f t="shared" si="21"/>
        <v>-19.440000000000001</v>
      </c>
      <c r="I261" s="581"/>
    </row>
    <row r="262" spans="1:9">
      <c r="A262" s="581"/>
      <c r="B262" s="580" t="s">
        <v>3297</v>
      </c>
      <c r="C262" s="581">
        <v>-8</v>
      </c>
      <c r="D262" s="581">
        <v>2</v>
      </c>
      <c r="E262" s="582">
        <v>0.6</v>
      </c>
      <c r="F262" s="582">
        <v>0.9</v>
      </c>
      <c r="G262" s="582" t="s">
        <v>21</v>
      </c>
      <c r="H262" s="626">
        <f t="shared" si="21"/>
        <v>-8.64</v>
      </c>
      <c r="I262" s="581"/>
    </row>
    <row r="263" spans="1:9">
      <c r="A263" s="581"/>
      <c r="B263" s="580" t="s">
        <v>3726</v>
      </c>
      <c r="C263" s="581">
        <v>8</v>
      </c>
      <c r="D263" s="581">
        <v>1</v>
      </c>
      <c r="E263" s="582">
        <v>2.5</v>
      </c>
      <c r="F263" s="582" t="s">
        <v>21</v>
      </c>
      <c r="G263" s="582">
        <v>1.2</v>
      </c>
      <c r="H263" s="626">
        <f t="shared" si="21"/>
        <v>24</v>
      </c>
      <c r="I263" s="581"/>
    </row>
    <row r="264" spans="1:9">
      <c r="A264" s="581"/>
      <c r="B264" s="580" t="s">
        <v>3727</v>
      </c>
      <c r="C264" s="581">
        <v>8</v>
      </c>
      <c r="D264" s="581">
        <v>2</v>
      </c>
      <c r="E264" s="582">
        <v>3.3</v>
      </c>
      <c r="F264" s="582" t="s">
        <v>21</v>
      </c>
      <c r="G264" s="582">
        <v>0.95</v>
      </c>
      <c r="H264" s="626">
        <f t="shared" si="21"/>
        <v>50.16</v>
      </c>
      <c r="I264" s="581"/>
    </row>
    <row r="265" spans="1:9" ht="25.15" customHeight="1">
      <c r="A265" s="581"/>
      <c r="B265" s="580" t="s">
        <v>3728</v>
      </c>
      <c r="C265" s="581">
        <v>8</v>
      </c>
      <c r="D265" s="581">
        <v>1</v>
      </c>
      <c r="E265" s="582">
        <v>3</v>
      </c>
      <c r="F265" s="582" t="s">
        <v>21</v>
      </c>
      <c r="G265" s="582">
        <v>0.33</v>
      </c>
      <c r="H265" s="626">
        <f t="shared" si="21"/>
        <v>7.92</v>
      </c>
      <c r="I265" s="581"/>
    </row>
    <row r="266" spans="1:9">
      <c r="A266" s="581"/>
      <c r="B266" s="580" t="s">
        <v>3730</v>
      </c>
      <c r="C266" s="581">
        <v>8</v>
      </c>
      <c r="D266" s="581">
        <v>2</v>
      </c>
      <c r="E266" s="582">
        <v>1.55</v>
      </c>
      <c r="F266" s="582" t="s">
        <v>21</v>
      </c>
      <c r="G266" s="582">
        <v>0.9</v>
      </c>
      <c r="H266" s="626">
        <f t="shared" si="21"/>
        <v>22.32</v>
      </c>
      <c r="I266" s="581"/>
    </row>
    <row r="267" spans="1:9">
      <c r="A267" s="581"/>
      <c r="B267" s="580" t="s">
        <v>3729</v>
      </c>
      <c r="C267" s="581">
        <v>8</v>
      </c>
      <c r="D267" s="581">
        <v>2</v>
      </c>
      <c r="E267" s="582">
        <v>3.9</v>
      </c>
      <c r="F267" s="582" t="s">
        <v>21</v>
      </c>
      <c r="G267" s="582">
        <v>0.33</v>
      </c>
      <c r="H267" s="626">
        <f t="shared" si="21"/>
        <v>20.591999999999999</v>
      </c>
      <c r="I267" s="581"/>
    </row>
    <row r="268" spans="1:9">
      <c r="A268" s="581"/>
      <c r="B268" s="580" t="s">
        <v>3731</v>
      </c>
      <c r="C268" s="581">
        <v>8</v>
      </c>
      <c r="D268" s="581">
        <v>1</v>
      </c>
      <c r="E268" s="582">
        <v>1.6</v>
      </c>
      <c r="F268" s="582" t="s">
        <v>21</v>
      </c>
      <c r="G268" s="582">
        <v>0.9</v>
      </c>
      <c r="H268" s="626">
        <f t="shared" si="21"/>
        <v>11.520000000000001</v>
      </c>
      <c r="I268" s="581"/>
    </row>
    <row r="269" spans="1:9">
      <c r="A269" s="581"/>
      <c r="B269" s="580" t="s">
        <v>3732</v>
      </c>
      <c r="C269" s="581">
        <v>8</v>
      </c>
      <c r="D269" s="581">
        <v>1</v>
      </c>
      <c r="E269" s="582">
        <v>3</v>
      </c>
      <c r="F269" s="582" t="s">
        <v>21</v>
      </c>
      <c r="G269" s="582">
        <v>0.9</v>
      </c>
      <c r="H269" s="626">
        <f t="shared" si="21"/>
        <v>21.6</v>
      </c>
      <c r="I269" s="581"/>
    </row>
    <row r="270" spans="1:9">
      <c r="A270" s="581"/>
      <c r="B270" s="580" t="s">
        <v>3733</v>
      </c>
      <c r="C270" s="581">
        <v>5</v>
      </c>
      <c r="D270" s="581">
        <v>1</v>
      </c>
      <c r="E270" s="582">
        <v>5.0999999999999996</v>
      </c>
      <c r="F270" s="582" t="s">
        <v>21</v>
      </c>
      <c r="G270" s="582">
        <v>0.33</v>
      </c>
      <c r="H270" s="626">
        <f t="shared" si="21"/>
        <v>8.4150000000000009</v>
      </c>
      <c r="I270" s="581"/>
    </row>
    <row r="271" spans="1:9">
      <c r="A271" s="581"/>
      <c r="B271" s="580" t="s">
        <v>3734</v>
      </c>
      <c r="C271" s="581">
        <v>8</v>
      </c>
      <c r="D271" s="581">
        <v>3</v>
      </c>
      <c r="E271" s="582">
        <v>1.65</v>
      </c>
      <c r="F271" s="582" t="s">
        <v>21</v>
      </c>
      <c r="G271" s="582">
        <v>0.9</v>
      </c>
      <c r="H271" s="626">
        <f t="shared" si="21"/>
        <v>35.639999999999993</v>
      </c>
      <c r="I271" s="581"/>
    </row>
    <row r="272" spans="1:9">
      <c r="A272" s="581"/>
      <c r="B272" s="580" t="s">
        <v>3735</v>
      </c>
      <c r="C272" s="581">
        <v>8</v>
      </c>
      <c r="D272" s="581">
        <v>3</v>
      </c>
      <c r="E272" s="582">
        <v>5.0999999999999996</v>
      </c>
      <c r="F272" s="582" t="s">
        <v>21</v>
      </c>
      <c r="G272" s="582">
        <v>0.33</v>
      </c>
      <c r="H272" s="626">
        <f t="shared" si="21"/>
        <v>40.391999999999996</v>
      </c>
      <c r="I272" s="581"/>
    </row>
    <row r="273" spans="1:9">
      <c r="A273" s="581"/>
      <c r="B273" s="580" t="s">
        <v>3736</v>
      </c>
      <c r="C273" s="581">
        <v>8</v>
      </c>
      <c r="D273" s="581">
        <v>1</v>
      </c>
      <c r="E273" s="582">
        <v>3</v>
      </c>
      <c r="F273" s="582" t="s">
        <v>21</v>
      </c>
      <c r="G273" s="582">
        <v>0.9</v>
      </c>
      <c r="H273" s="626">
        <f t="shared" si="21"/>
        <v>21.6</v>
      </c>
      <c r="I273" s="581"/>
    </row>
    <row r="274" spans="1:9">
      <c r="A274" s="581"/>
      <c r="B274" s="580" t="s">
        <v>3735</v>
      </c>
      <c r="C274" s="581">
        <v>8</v>
      </c>
      <c r="D274" s="581">
        <v>2</v>
      </c>
      <c r="E274" s="582">
        <v>4.5</v>
      </c>
      <c r="F274" s="582" t="s">
        <v>21</v>
      </c>
      <c r="G274" s="582">
        <v>0.33</v>
      </c>
      <c r="H274" s="626">
        <f t="shared" si="21"/>
        <v>23.76</v>
      </c>
      <c r="I274" s="581"/>
    </row>
    <row r="275" spans="1:9">
      <c r="A275" s="581"/>
      <c r="B275" s="580" t="s">
        <v>3737</v>
      </c>
      <c r="C275" s="581">
        <v>8</v>
      </c>
      <c r="D275" s="581">
        <v>1</v>
      </c>
      <c r="E275" s="582">
        <v>0.75</v>
      </c>
      <c r="F275" s="582" t="s">
        <v>21</v>
      </c>
      <c r="G275" s="582">
        <v>0.9</v>
      </c>
      <c r="H275" s="626">
        <f t="shared" si="21"/>
        <v>5.4</v>
      </c>
      <c r="I275" s="581"/>
    </row>
    <row r="276" spans="1:9">
      <c r="A276" s="581"/>
      <c r="B276" s="580" t="s">
        <v>3735</v>
      </c>
      <c r="C276" s="581">
        <v>8</v>
      </c>
      <c r="D276" s="581">
        <v>2</v>
      </c>
      <c r="E276" s="582">
        <v>3.1</v>
      </c>
      <c r="F276" s="582" t="s">
        <v>21</v>
      </c>
      <c r="G276" s="582">
        <v>0.2</v>
      </c>
      <c r="H276" s="626">
        <f t="shared" si="21"/>
        <v>9.9200000000000017</v>
      </c>
      <c r="I276" s="581"/>
    </row>
    <row r="277" spans="1:9" ht="21.6" customHeight="1">
      <c r="A277" s="581"/>
      <c r="B277" s="580" t="s">
        <v>3718</v>
      </c>
      <c r="C277" s="581">
        <v>2</v>
      </c>
      <c r="D277" s="581">
        <v>4</v>
      </c>
      <c r="E277" s="582">
        <v>6</v>
      </c>
      <c r="F277" s="582" t="s">
        <v>21</v>
      </c>
      <c r="G277" s="582">
        <v>0.34</v>
      </c>
      <c r="H277" s="626">
        <f>PRODUCT(C277:G277)</f>
        <v>16.32</v>
      </c>
      <c r="I277" s="581"/>
    </row>
    <row r="278" spans="1:9">
      <c r="A278" s="581"/>
      <c r="B278" s="580" t="s">
        <v>3719</v>
      </c>
      <c r="C278" s="581">
        <v>2</v>
      </c>
      <c r="D278" s="581">
        <v>1</v>
      </c>
      <c r="E278" s="582">
        <v>50</v>
      </c>
      <c r="F278" s="582" t="s">
        <v>21</v>
      </c>
      <c r="G278" s="582">
        <v>0.1</v>
      </c>
      <c r="H278" s="626">
        <f t="shared" ref="H278:H279" si="22">PRODUCT(C278:G278)</f>
        <v>10</v>
      </c>
      <c r="I278" s="581"/>
    </row>
    <row r="279" spans="1:9">
      <c r="A279" s="581"/>
      <c r="B279" s="580" t="s">
        <v>3177</v>
      </c>
      <c r="C279" s="581">
        <v>8</v>
      </c>
      <c r="D279" s="581">
        <v>1</v>
      </c>
      <c r="E279" s="582">
        <v>22.7</v>
      </c>
      <c r="F279" s="582" t="s">
        <v>21</v>
      </c>
      <c r="G279" s="582">
        <v>0.6</v>
      </c>
      <c r="H279" s="626">
        <f t="shared" si="22"/>
        <v>108.96</v>
      </c>
      <c r="I279" s="581"/>
    </row>
    <row r="280" spans="1:9">
      <c r="A280" s="581"/>
      <c r="B280" s="580"/>
      <c r="C280" s="581"/>
      <c r="D280" s="581"/>
      <c r="E280" s="582"/>
      <c r="F280" s="582"/>
      <c r="G280" s="582"/>
      <c r="H280" s="626">
        <f>SUM(H252:H279)</f>
        <v>1206.8389999999997</v>
      </c>
      <c r="I280" s="581"/>
    </row>
    <row r="281" spans="1:9">
      <c r="A281" s="581"/>
      <c r="B281" s="580"/>
      <c r="C281" s="581"/>
      <c r="D281" s="581"/>
      <c r="E281" s="582"/>
      <c r="F281" s="582"/>
      <c r="G281" s="582" t="s">
        <v>9</v>
      </c>
      <c r="H281" s="629">
        <v>1207</v>
      </c>
      <c r="I281" s="581" t="s">
        <v>306</v>
      </c>
    </row>
    <row r="282" spans="1:9" ht="49.5">
      <c r="A282" s="581">
        <v>33</v>
      </c>
      <c r="B282" s="595" t="s">
        <v>3311</v>
      </c>
      <c r="C282" s="581"/>
      <c r="D282" s="581"/>
      <c r="E282" s="582"/>
      <c r="F282" s="582"/>
      <c r="G282" s="582"/>
      <c r="H282" s="626"/>
      <c r="I282" s="581"/>
    </row>
    <row r="283" spans="1:9">
      <c r="A283" s="581"/>
      <c r="B283" s="595" t="s">
        <v>3197</v>
      </c>
      <c r="C283" s="581"/>
      <c r="D283" s="581"/>
      <c r="E283" s="582"/>
      <c r="F283" s="582"/>
      <c r="G283" s="582"/>
      <c r="H283" s="626"/>
      <c r="I283" s="581"/>
    </row>
    <row r="284" spans="1:9">
      <c r="A284" s="581"/>
      <c r="B284" s="580" t="s">
        <v>3312</v>
      </c>
      <c r="C284" s="581">
        <v>8</v>
      </c>
      <c r="D284" s="581">
        <v>6</v>
      </c>
      <c r="E284" s="582">
        <v>0.9</v>
      </c>
      <c r="F284" s="582">
        <v>2.6</v>
      </c>
      <c r="G284" s="582">
        <v>2.25</v>
      </c>
      <c r="H284" s="626">
        <f t="shared" ref="H284:H289" si="23">PRODUCT(C284:G284)</f>
        <v>252.72000000000003</v>
      </c>
      <c r="I284" s="581"/>
    </row>
    <row r="285" spans="1:9">
      <c r="A285" s="581"/>
      <c r="B285" s="580" t="s">
        <v>3313</v>
      </c>
      <c r="C285" s="581">
        <v>8</v>
      </c>
      <c r="D285" s="581">
        <v>2</v>
      </c>
      <c r="E285" s="582">
        <v>0.75</v>
      </c>
      <c r="F285" s="582">
        <v>2.6</v>
      </c>
      <c r="G285" s="582">
        <v>2</v>
      </c>
      <c r="H285" s="626">
        <f t="shared" si="23"/>
        <v>62.400000000000006</v>
      </c>
      <c r="I285" s="581"/>
    </row>
    <row r="286" spans="1:9">
      <c r="A286" s="581"/>
      <c r="B286" s="580" t="s">
        <v>29</v>
      </c>
      <c r="C286" s="581">
        <v>8</v>
      </c>
      <c r="D286" s="581">
        <v>4</v>
      </c>
      <c r="E286" s="582">
        <v>1.05</v>
      </c>
      <c r="F286" s="582">
        <v>0.8</v>
      </c>
      <c r="G286" s="582">
        <v>1.5</v>
      </c>
      <c r="H286" s="626">
        <f t="shared" si="23"/>
        <v>40.320000000000007</v>
      </c>
      <c r="I286" s="581"/>
    </row>
    <row r="287" spans="1:9">
      <c r="A287" s="581"/>
      <c r="B287" s="580" t="s">
        <v>3315</v>
      </c>
      <c r="C287" s="581">
        <v>8</v>
      </c>
      <c r="D287" s="581">
        <v>2</v>
      </c>
      <c r="E287" s="582">
        <v>0.9</v>
      </c>
      <c r="F287" s="582">
        <v>0.8</v>
      </c>
      <c r="G287" s="582">
        <v>1.35</v>
      </c>
      <c r="H287" s="626">
        <f t="shared" si="23"/>
        <v>15.552000000000003</v>
      </c>
      <c r="I287" s="581"/>
    </row>
    <row r="288" spans="1:9">
      <c r="A288" s="581"/>
      <c r="B288" s="580" t="s">
        <v>3314</v>
      </c>
      <c r="C288" s="581">
        <v>8</v>
      </c>
      <c r="D288" s="581">
        <v>1</v>
      </c>
      <c r="E288" s="582">
        <v>0.6</v>
      </c>
      <c r="F288" s="582">
        <v>0.8</v>
      </c>
      <c r="G288" s="582">
        <v>1.35</v>
      </c>
      <c r="H288" s="626">
        <f t="shared" si="23"/>
        <v>5.1840000000000002</v>
      </c>
      <c r="I288" s="581"/>
    </row>
    <row r="289" spans="1:9">
      <c r="A289" s="581"/>
      <c r="B289" s="580" t="s">
        <v>3317</v>
      </c>
      <c r="C289" s="581">
        <v>8</v>
      </c>
      <c r="D289" s="581">
        <v>2</v>
      </c>
      <c r="E289" s="582">
        <v>0.6</v>
      </c>
      <c r="F289" s="582">
        <v>0.8</v>
      </c>
      <c r="G289" s="582">
        <v>0.9</v>
      </c>
      <c r="H289" s="626">
        <f t="shared" si="23"/>
        <v>6.9119999999999999</v>
      </c>
      <c r="I289" s="581"/>
    </row>
    <row r="290" spans="1:9">
      <c r="A290" s="581"/>
      <c r="B290" s="580"/>
      <c r="C290" s="581"/>
      <c r="D290" s="581"/>
      <c r="E290" s="582"/>
      <c r="F290" s="582"/>
      <c r="G290" s="582"/>
      <c r="H290" s="629">
        <f>SUM(H284:H289)</f>
        <v>383.08800000000002</v>
      </c>
      <c r="I290" s="581"/>
    </row>
    <row r="291" spans="1:9">
      <c r="A291" s="581"/>
      <c r="B291" s="580"/>
      <c r="C291" s="581"/>
      <c r="D291" s="581"/>
      <c r="E291" s="582"/>
      <c r="F291" s="582"/>
      <c r="G291" s="582"/>
      <c r="H291" s="629">
        <v>383.1</v>
      </c>
      <c r="I291" s="581" t="s">
        <v>306</v>
      </c>
    </row>
    <row r="292" spans="1:9" ht="82.5">
      <c r="A292" s="581">
        <v>34</v>
      </c>
      <c r="B292" s="627" t="s">
        <v>3451</v>
      </c>
      <c r="C292" s="577"/>
      <c r="D292" s="577"/>
      <c r="E292" s="578"/>
      <c r="F292" s="578"/>
      <c r="G292" s="578"/>
      <c r="H292" s="591"/>
      <c r="I292" s="581"/>
    </row>
    <row r="293" spans="1:9">
      <c r="A293" s="581"/>
      <c r="B293" s="622" t="s">
        <v>3452</v>
      </c>
      <c r="C293" s="577">
        <v>1</v>
      </c>
      <c r="D293" s="577">
        <v>5</v>
      </c>
      <c r="E293" s="578" t="s">
        <v>21</v>
      </c>
      <c r="F293" s="578" t="s">
        <v>21</v>
      </c>
      <c r="G293" s="578" t="s">
        <v>21</v>
      </c>
      <c r="H293" s="591">
        <f>PRODUCT(C293:G293)</f>
        <v>5</v>
      </c>
      <c r="I293" s="581" t="s">
        <v>340</v>
      </c>
    </row>
    <row r="294" spans="1:9">
      <c r="A294" s="581"/>
      <c r="B294" s="580"/>
      <c r="C294" s="581"/>
      <c r="D294" s="581"/>
      <c r="E294" s="582"/>
      <c r="F294" s="582"/>
      <c r="G294" s="582"/>
      <c r="H294" s="626"/>
      <c r="I294" s="581"/>
    </row>
    <row r="295" spans="1:9" ht="66">
      <c r="A295" s="581">
        <v>35</v>
      </c>
      <c r="B295" s="627" t="s">
        <v>5275</v>
      </c>
      <c r="C295" s="581"/>
      <c r="D295" s="581"/>
      <c r="E295" s="582"/>
      <c r="F295" s="582"/>
      <c r="G295" s="582"/>
      <c r="H295" s="626"/>
      <c r="I295" s="581"/>
    </row>
    <row r="296" spans="1:9">
      <c r="A296" s="581"/>
      <c r="B296" s="580" t="s">
        <v>3197</v>
      </c>
      <c r="C296" s="581">
        <v>8</v>
      </c>
      <c r="D296" s="581">
        <v>1</v>
      </c>
      <c r="E296" s="582" t="s">
        <v>21</v>
      </c>
      <c r="F296" s="582" t="s">
        <v>21</v>
      </c>
      <c r="G296" s="582" t="s">
        <v>21</v>
      </c>
      <c r="H296" s="626">
        <f>PRODUCT(C296:G296)</f>
        <v>8</v>
      </c>
      <c r="I296" s="581"/>
    </row>
    <row r="297" spans="1:9">
      <c r="A297" s="581"/>
      <c r="B297" s="580"/>
      <c r="C297" s="581"/>
      <c r="D297" s="581"/>
      <c r="E297" s="582"/>
      <c r="F297" s="582"/>
      <c r="G297" s="582"/>
      <c r="H297" s="629">
        <f>SUM(H296:H296)</f>
        <v>8</v>
      </c>
      <c r="I297" s="581" t="s">
        <v>340</v>
      </c>
    </row>
    <row r="298" spans="1:9" ht="66">
      <c r="A298" s="581">
        <v>36</v>
      </c>
      <c r="B298" s="627" t="s">
        <v>3566</v>
      </c>
      <c r="C298" s="581"/>
      <c r="D298" s="581"/>
      <c r="E298" s="582"/>
      <c r="F298" s="582"/>
      <c r="G298" s="582"/>
      <c r="H298" s="626"/>
      <c r="I298" s="581"/>
    </row>
    <row r="299" spans="1:9">
      <c r="A299" s="581"/>
      <c r="B299" s="580" t="s">
        <v>3567</v>
      </c>
      <c r="C299" s="581">
        <v>2</v>
      </c>
      <c r="D299" s="581">
        <v>2</v>
      </c>
      <c r="E299" s="582">
        <v>1.05</v>
      </c>
      <c r="F299" s="582">
        <v>1.5</v>
      </c>
      <c r="G299" s="582" t="s">
        <v>21</v>
      </c>
      <c r="H299" s="626">
        <f>PRODUCT(C299:G299)</f>
        <v>6.3000000000000007</v>
      </c>
      <c r="I299" s="581"/>
    </row>
    <row r="300" spans="1:9">
      <c r="A300" s="581"/>
      <c r="B300" s="580" t="s">
        <v>41</v>
      </c>
      <c r="C300" s="581">
        <v>1</v>
      </c>
      <c r="D300" s="581">
        <v>2</v>
      </c>
      <c r="E300" s="582">
        <v>0.45</v>
      </c>
      <c r="F300" s="582">
        <v>1.35</v>
      </c>
      <c r="G300" s="582" t="s">
        <v>21</v>
      </c>
      <c r="H300" s="626">
        <f>PRODUCT(C300:G300)</f>
        <v>1.2150000000000001</v>
      </c>
      <c r="I300" s="581"/>
    </row>
    <row r="301" spans="1:9">
      <c r="A301" s="581"/>
      <c r="B301" s="580"/>
      <c r="C301" s="581"/>
      <c r="D301" s="581"/>
      <c r="E301" s="582"/>
      <c r="F301" s="582"/>
      <c r="G301" s="582"/>
      <c r="H301" s="626">
        <f>SUM(H299:H300)</f>
        <v>7.5150000000000006</v>
      </c>
      <c r="I301" s="581"/>
    </row>
    <row r="302" spans="1:9" ht="58.9" hidden="1" customHeight="1">
      <c r="A302" s="581">
        <v>36</v>
      </c>
      <c r="B302" s="627" t="s">
        <v>3578</v>
      </c>
      <c r="C302" s="581"/>
      <c r="D302" s="581"/>
      <c r="E302" s="582"/>
      <c r="F302" s="582"/>
      <c r="G302" s="582"/>
      <c r="H302" s="626"/>
      <c r="I302" s="581"/>
    </row>
    <row r="303" spans="1:9" hidden="1">
      <c r="A303" s="581"/>
      <c r="B303" s="580" t="s">
        <v>3579</v>
      </c>
      <c r="C303" s="581">
        <v>1</v>
      </c>
      <c r="D303" s="581">
        <v>1</v>
      </c>
      <c r="E303" s="582" t="s">
        <v>21</v>
      </c>
      <c r="F303" s="582" t="s">
        <v>21</v>
      </c>
      <c r="G303" s="582" t="s">
        <v>21</v>
      </c>
      <c r="H303" s="629">
        <f>PRODUCT(C303:G303)</f>
        <v>1</v>
      </c>
      <c r="I303" s="923" t="s">
        <v>340</v>
      </c>
    </row>
    <row r="304" spans="1:9" hidden="1">
      <c r="A304" s="581"/>
      <c r="B304" s="580"/>
      <c r="C304" s="581"/>
      <c r="D304" s="581"/>
      <c r="E304" s="582"/>
      <c r="F304" s="582"/>
      <c r="G304" s="582"/>
      <c r="H304" s="626"/>
      <c r="I304" s="581"/>
    </row>
    <row r="305" spans="1:9" ht="66" hidden="1">
      <c r="A305" s="581">
        <v>37</v>
      </c>
      <c r="B305" s="602" t="s">
        <v>3417</v>
      </c>
      <c r="C305" s="581"/>
      <c r="D305" s="581"/>
      <c r="E305" s="582"/>
      <c r="F305" s="582"/>
      <c r="G305" s="582"/>
      <c r="H305" s="626"/>
      <c r="I305" s="581"/>
    </row>
    <row r="306" spans="1:9" hidden="1">
      <c r="A306" s="581"/>
      <c r="B306" s="580" t="s">
        <v>3580</v>
      </c>
      <c r="C306" s="581"/>
      <c r="D306" s="581"/>
      <c r="E306" s="582"/>
      <c r="F306" s="582"/>
      <c r="G306" s="582"/>
      <c r="H306" s="626"/>
      <c r="I306" s="581"/>
    </row>
    <row r="307" spans="1:9" hidden="1">
      <c r="A307" s="581"/>
      <c r="B307" s="580" t="s">
        <v>3581</v>
      </c>
      <c r="C307" s="581">
        <v>1</v>
      </c>
      <c r="D307" s="581">
        <v>4</v>
      </c>
      <c r="E307" s="582">
        <v>0.6</v>
      </c>
      <c r="F307" s="582" t="s">
        <v>21</v>
      </c>
      <c r="G307" s="582">
        <v>0.75</v>
      </c>
      <c r="H307" s="629">
        <f>PRODUCT(C307:G307)</f>
        <v>1.7999999999999998</v>
      </c>
      <c r="I307" s="581" t="s">
        <v>306</v>
      </c>
    </row>
    <row r="308" spans="1:9" hidden="1">
      <c r="A308" s="581"/>
      <c r="B308" s="580"/>
      <c r="C308" s="581"/>
      <c r="D308" s="581"/>
      <c r="E308" s="582"/>
      <c r="F308" s="582"/>
      <c r="G308" s="582"/>
      <c r="H308" s="626"/>
      <c r="I308" s="581"/>
    </row>
    <row r="309" spans="1:9" ht="231" hidden="1">
      <c r="A309" s="581">
        <v>38</v>
      </c>
      <c r="B309" s="1065" t="s">
        <v>3583</v>
      </c>
      <c r="C309" s="581"/>
      <c r="D309" s="581"/>
      <c r="E309" s="582"/>
      <c r="F309" s="582"/>
      <c r="G309" s="582"/>
      <c r="H309" s="626"/>
      <c r="I309" s="581"/>
    </row>
    <row r="310" spans="1:9" hidden="1">
      <c r="A310" s="581"/>
      <c r="B310" s="580" t="s">
        <v>3584</v>
      </c>
      <c r="C310" s="581"/>
      <c r="D310" s="581"/>
      <c r="E310" s="582"/>
      <c r="F310" s="582"/>
      <c r="G310" s="582"/>
      <c r="H310" s="626"/>
      <c r="I310" s="581"/>
    </row>
    <row r="311" spans="1:9" hidden="1">
      <c r="A311" s="581"/>
      <c r="B311" s="580"/>
      <c r="C311" s="581"/>
      <c r="D311" s="581"/>
      <c r="E311" s="582"/>
      <c r="F311" s="582"/>
      <c r="G311" s="582"/>
      <c r="H311" s="626"/>
      <c r="I311" s="581"/>
    </row>
    <row r="312" spans="1:9" hidden="1">
      <c r="A312" s="581"/>
      <c r="B312" s="580"/>
      <c r="C312" s="581"/>
      <c r="D312" s="581"/>
      <c r="E312" s="582"/>
      <c r="F312" s="582"/>
      <c r="G312" s="582"/>
      <c r="H312" s="626"/>
      <c r="I312" s="581"/>
    </row>
    <row r="313" spans="1:9" hidden="1">
      <c r="A313" s="581"/>
      <c r="B313" s="580"/>
      <c r="C313" s="581"/>
      <c r="D313" s="581"/>
      <c r="E313" s="582"/>
      <c r="F313" s="582"/>
      <c r="G313" s="582"/>
      <c r="H313" s="626"/>
      <c r="I313" s="581"/>
    </row>
    <row r="314" spans="1:9" hidden="1">
      <c r="A314" s="581"/>
      <c r="B314" s="580"/>
      <c r="C314" s="581"/>
      <c r="D314" s="581"/>
      <c r="E314" s="582"/>
      <c r="F314" s="582"/>
      <c r="G314" s="582"/>
      <c r="H314" s="626"/>
      <c r="I314" s="581"/>
    </row>
    <row r="315" spans="1:9" ht="132" hidden="1">
      <c r="A315" s="581">
        <v>38</v>
      </c>
      <c r="B315" s="1066" t="s">
        <v>3582</v>
      </c>
      <c r="C315" s="581"/>
      <c r="D315" s="581"/>
      <c r="E315" s="582"/>
      <c r="F315" s="582"/>
      <c r="G315" s="582"/>
      <c r="H315" s="626"/>
      <c r="I315" s="581"/>
    </row>
    <row r="316" spans="1:9" hidden="1">
      <c r="A316" s="581"/>
      <c r="B316" s="580"/>
      <c r="C316" s="581"/>
      <c r="D316" s="581"/>
      <c r="E316" s="582"/>
      <c r="F316" s="582"/>
      <c r="G316" s="582"/>
      <c r="H316" s="626"/>
      <c r="I316" s="581"/>
    </row>
    <row r="317" spans="1:9" hidden="1">
      <c r="A317" s="581"/>
      <c r="B317" s="580"/>
      <c r="C317" s="581"/>
      <c r="D317" s="581"/>
      <c r="E317" s="582"/>
      <c r="F317" s="582"/>
      <c r="G317" s="582"/>
      <c r="H317" s="626"/>
      <c r="I317" s="581"/>
    </row>
    <row r="318" spans="1:9" hidden="1">
      <c r="A318" s="581"/>
      <c r="B318" s="580"/>
      <c r="C318" s="581"/>
      <c r="D318" s="581"/>
      <c r="E318" s="582"/>
      <c r="F318" s="582"/>
      <c r="G318" s="582"/>
      <c r="H318" s="626"/>
      <c r="I318" s="581"/>
    </row>
    <row r="319" spans="1:9" hidden="1">
      <c r="A319" s="581"/>
      <c r="B319" s="580"/>
      <c r="C319" s="581"/>
      <c r="D319" s="581"/>
      <c r="E319" s="582"/>
      <c r="F319" s="582"/>
      <c r="G319" s="582"/>
      <c r="H319" s="626"/>
      <c r="I319" s="581"/>
    </row>
    <row r="320" spans="1:9" hidden="1">
      <c r="A320" s="581"/>
      <c r="B320" s="580"/>
      <c r="C320" s="581"/>
      <c r="D320" s="581"/>
      <c r="E320" s="582"/>
      <c r="F320" s="582"/>
      <c r="G320" s="582"/>
      <c r="H320" s="626"/>
      <c r="I320" s="581"/>
    </row>
    <row r="321" spans="1:9" hidden="1">
      <c r="A321" s="581"/>
      <c r="B321" s="580"/>
      <c r="C321" s="581"/>
      <c r="D321" s="581"/>
      <c r="E321" s="582"/>
      <c r="F321" s="582"/>
      <c r="G321" s="582"/>
      <c r="H321" s="626"/>
      <c r="I321" s="581"/>
    </row>
    <row r="322" spans="1:9" hidden="1">
      <c r="A322" s="581"/>
      <c r="B322" s="580"/>
      <c r="C322" s="581"/>
      <c r="D322" s="581"/>
      <c r="E322" s="582"/>
      <c r="F322" s="582"/>
      <c r="G322" s="582"/>
      <c r="H322" s="626"/>
      <c r="I322" s="581"/>
    </row>
    <row r="323" spans="1:9" hidden="1">
      <c r="A323" s="581"/>
      <c r="B323" s="580"/>
      <c r="C323" s="581"/>
      <c r="D323" s="581"/>
      <c r="E323" s="582"/>
      <c r="F323" s="582"/>
      <c r="G323" s="582"/>
      <c r="H323" s="626"/>
      <c r="I323" s="581"/>
    </row>
    <row r="324" spans="1:9" hidden="1">
      <c r="A324" s="581"/>
      <c r="B324" s="580"/>
      <c r="C324" s="581"/>
      <c r="D324" s="581"/>
      <c r="E324" s="582"/>
      <c r="F324" s="582"/>
      <c r="G324" s="582"/>
      <c r="H324" s="626"/>
      <c r="I324" s="581"/>
    </row>
    <row r="325" spans="1:9" hidden="1">
      <c r="A325" s="581"/>
      <c r="B325" s="580"/>
      <c r="C325" s="581"/>
      <c r="D325" s="581"/>
      <c r="E325" s="582"/>
      <c r="F325" s="582"/>
      <c r="G325" s="582"/>
      <c r="H325" s="626"/>
      <c r="I325" s="581"/>
    </row>
    <row r="326" spans="1:9" hidden="1">
      <c r="A326" s="581"/>
      <c r="B326" s="580"/>
      <c r="C326" s="581"/>
      <c r="D326" s="581"/>
      <c r="E326" s="582"/>
      <c r="F326" s="582"/>
      <c r="G326" s="582"/>
      <c r="H326" s="626"/>
      <c r="I326" s="581"/>
    </row>
    <row r="327" spans="1:9" hidden="1">
      <c r="A327" s="581"/>
      <c r="B327" s="580"/>
      <c r="C327" s="581"/>
      <c r="D327" s="581"/>
      <c r="E327" s="582"/>
      <c r="F327" s="582"/>
      <c r="G327" s="582"/>
      <c r="H327" s="626"/>
      <c r="I327" s="581"/>
    </row>
    <row r="328" spans="1:9" hidden="1">
      <c r="A328" s="581"/>
      <c r="B328" s="580"/>
      <c r="C328" s="581"/>
      <c r="D328" s="581"/>
      <c r="E328" s="582"/>
      <c r="F328" s="582"/>
      <c r="G328" s="582"/>
      <c r="H328" s="626"/>
      <c r="I328" s="581"/>
    </row>
    <row r="329" spans="1:9" hidden="1"/>
    <row r="330" spans="1:9" hidden="1"/>
    <row r="331" spans="1:9" hidden="1"/>
    <row r="332" spans="1:9" hidden="1"/>
    <row r="333" spans="1:9" hidden="1"/>
    <row r="334" spans="1:9" hidden="1"/>
    <row r="335" spans="1:9" hidden="1"/>
    <row r="336" spans="1:9" hidden="1"/>
    <row r="337" spans="1:9" hidden="1"/>
    <row r="338" spans="1:9" hidden="1"/>
    <row r="339" spans="1:9" hidden="1"/>
    <row r="340" spans="1:9" hidden="1"/>
    <row r="341" spans="1:9" hidden="1"/>
    <row r="342" spans="1:9" hidden="1"/>
    <row r="343" spans="1:9" hidden="1"/>
    <row r="344" spans="1:9">
      <c r="A344" s="581"/>
      <c r="B344" s="580"/>
      <c r="C344" s="581"/>
      <c r="D344" s="581"/>
      <c r="E344" s="582"/>
      <c r="F344" s="582"/>
      <c r="G344" s="582"/>
      <c r="H344" s="629">
        <v>7.6</v>
      </c>
      <c r="I344" s="581" t="s">
        <v>306</v>
      </c>
    </row>
    <row r="345" spans="1:9" s="29" customFormat="1" ht="31.5">
      <c r="A345" s="30">
        <v>37</v>
      </c>
      <c r="B345" s="754" t="s">
        <v>5389</v>
      </c>
      <c r="C345" s="30"/>
      <c r="D345" s="30"/>
      <c r="E345" s="34"/>
      <c r="F345" s="34"/>
      <c r="G345" s="34"/>
      <c r="H345" s="43"/>
      <c r="I345" s="30"/>
    </row>
    <row r="346" spans="1:9" s="29" customFormat="1" ht="15.75">
      <c r="A346" s="30"/>
      <c r="B346" s="31" t="s">
        <v>41</v>
      </c>
      <c r="C346" s="30">
        <v>1</v>
      </c>
      <c r="D346" s="30">
        <v>5</v>
      </c>
      <c r="E346" s="34">
        <v>0.45</v>
      </c>
      <c r="F346" s="34">
        <v>0.6</v>
      </c>
      <c r="G346" s="34" t="s">
        <v>21</v>
      </c>
      <c r="H346" s="42">
        <f>PRODUCT(C346:G346)</f>
        <v>1.3499999999999999</v>
      </c>
      <c r="I346" s="30"/>
    </row>
    <row r="347" spans="1:9" s="29" customFormat="1" ht="15.75">
      <c r="A347" s="30"/>
      <c r="B347" s="31"/>
      <c r="C347" s="30"/>
      <c r="D347" s="30"/>
      <c r="E347" s="34"/>
      <c r="F347" s="34"/>
      <c r="G347" s="34" t="s">
        <v>9</v>
      </c>
      <c r="H347" s="43">
        <v>1.35</v>
      </c>
      <c r="I347" s="30" t="s">
        <v>306</v>
      </c>
    </row>
    <row r="348" spans="1:9" ht="49.5">
      <c r="A348" s="581">
        <v>38</v>
      </c>
      <c r="B348" s="595" t="s">
        <v>3602</v>
      </c>
      <c r="C348" s="581"/>
      <c r="D348" s="581"/>
      <c r="E348" s="582"/>
      <c r="F348" s="582"/>
      <c r="G348" s="582"/>
      <c r="H348" s="626"/>
      <c r="I348" s="581"/>
    </row>
    <row r="349" spans="1:9">
      <c r="A349" s="581"/>
      <c r="B349" s="580" t="s">
        <v>3189</v>
      </c>
      <c r="C349" s="581">
        <v>1</v>
      </c>
      <c r="D349" s="581">
        <v>8</v>
      </c>
      <c r="E349" s="582" t="s">
        <v>21</v>
      </c>
      <c r="F349" s="582" t="s">
        <v>21</v>
      </c>
      <c r="G349" s="582" t="s">
        <v>21</v>
      </c>
      <c r="H349" s="626">
        <f>PRODUCT(C349:G349)</f>
        <v>8</v>
      </c>
      <c r="I349" s="581" t="s">
        <v>340</v>
      </c>
    </row>
    <row r="350" spans="1:9" ht="73.900000000000006" customHeight="1">
      <c r="A350" s="581">
        <v>39</v>
      </c>
      <c r="B350" s="627" t="s">
        <v>5276</v>
      </c>
      <c r="C350" s="581"/>
      <c r="D350" s="581"/>
      <c r="E350" s="582"/>
      <c r="F350" s="582"/>
      <c r="G350" s="582"/>
      <c r="H350" s="626"/>
      <c r="I350" s="581"/>
    </row>
    <row r="351" spans="1:9">
      <c r="A351" s="581"/>
      <c r="B351" s="580" t="s">
        <v>3189</v>
      </c>
      <c r="C351" s="581">
        <v>1</v>
      </c>
      <c r="D351" s="581">
        <v>8</v>
      </c>
      <c r="E351" s="582" t="s">
        <v>21</v>
      </c>
      <c r="F351" s="582" t="s">
        <v>21</v>
      </c>
      <c r="G351" s="582" t="s">
        <v>21</v>
      </c>
      <c r="H351" s="626">
        <f>PRODUCT(C351:G351)</f>
        <v>8</v>
      </c>
      <c r="I351" s="581" t="s">
        <v>340</v>
      </c>
    </row>
    <row r="352" spans="1:9">
      <c r="A352" s="581"/>
      <c r="B352" s="580"/>
      <c r="C352" s="581"/>
      <c r="D352" s="581"/>
      <c r="E352" s="582"/>
      <c r="F352" s="582"/>
      <c r="G352" s="582"/>
      <c r="H352" s="626"/>
      <c r="I352" s="581"/>
    </row>
    <row r="353" spans="1:9" ht="66">
      <c r="A353" s="581">
        <v>40</v>
      </c>
      <c r="B353" s="595" t="s">
        <v>3720</v>
      </c>
      <c r="C353" s="581"/>
      <c r="D353" s="581"/>
      <c r="E353" s="582"/>
      <c r="F353" s="582"/>
      <c r="G353" s="582"/>
      <c r="H353" s="626"/>
      <c r="I353" s="581"/>
    </row>
    <row r="354" spans="1:9">
      <c r="A354" s="581"/>
      <c r="B354" s="580" t="s">
        <v>3567</v>
      </c>
      <c r="C354" s="581">
        <v>2</v>
      </c>
      <c r="D354" s="581">
        <v>2</v>
      </c>
      <c r="E354" s="582">
        <v>1.05</v>
      </c>
      <c r="F354" s="582">
        <v>0.8</v>
      </c>
      <c r="G354" s="582">
        <v>1.5</v>
      </c>
      <c r="H354" s="626">
        <f>PRODUCT(C354:G354)</f>
        <v>5.0400000000000009</v>
      </c>
      <c r="I354" s="581"/>
    </row>
    <row r="355" spans="1:9" ht="18" customHeight="1">
      <c r="A355" s="581"/>
      <c r="B355" s="580" t="s">
        <v>41</v>
      </c>
      <c r="C355" s="581">
        <v>1</v>
      </c>
      <c r="D355" s="581">
        <v>5</v>
      </c>
      <c r="E355" s="582">
        <v>0.45</v>
      </c>
      <c r="F355" s="582">
        <v>0.8</v>
      </c>
      <c r="G355" s="582">
        <v>0.6</v>
      </c>
      <c r="H355" s="626">
        <f>PRODUCT(C355:G355)</f>
        <v>1.08</v>
      </c>
      <c r="I355" s="581"/>
    </row>
    <row r="356" spans="1:9" ht="18" customHeight="1">
      <c r="A356" s="581"/>
      <c r="B356" s="580"/>
      <c r="C356" s="581"/>
      <c r="D356" s="581"/>
      <c r="E356" s="582"/>
      <c r="F356" s="582"/>
      <c r="G356" s="582"/>
      <c r="H356" s="626">
        <v>0.03</v>
      </c>
      <c r="I356" s="581"/>
    </row>
    <row r="357" spans="1:9">
      <c r="A357" s="581"/>
      <c r="B357" s="580"/>
      <c r="C357" s="581"/>
      <c r="D357" s="581"/>
      <c r="E357" s="582"/>
      <c r="F357" s="582"/>
      <c r="G357" s="582"/>
      <c r="H357" s="629">
        <f>SUM(H354:H356)</f>
        <v>6.1500000000000012</v>
      </c>
      <c r="I357" s="581" t="s">
        <v>306</v>
      </c>
    </row>
    <row r="358" spans="1:9" ht="39" customHeight="1">
      <c r="A358" s="581">
        <v>41</v>
      </c>
      <c r="B358" s="754" t="s">
        <v>5805</v>
      </c>
      <c r="C358" s="30"/>
      <c r="D358" s="30"/>
      <c r="E358" s="34"/>
      <c r="F358" s="34"/>
      <c r="G358" s="34"/>
      <c r="H358" s="42"/>
      <c r="I358" s="581"/>
    </row>
    <row r="359" spans="1:9">
      <c r="A359" s="581"/>
      <c r="B359" s="31" t="s">
        <v>5806</v>
      </c>
      <c r="C359" s="30">
        <v>1</v>
      </c>
      <c r="D359" s="30">
        <v>8</v>
      </c>
      <c r="E359" s="34">
        <v>1.2</v>
      </c>
      <c r="F359" s="34"/>
      <c r="G359" s="34">
        <v>2.1</v>
      </c>
      <c r="H359" s="42">
        <f>PRODUCT(C359:G359)</f>
        <v>20.16</v>
      </c>
      <c r="I359" s="581"/>
    </row>
    <row r="360" spans="1:9">
      <c r="A360" s="581"/>
      <c r="B360" s="580"/>
      <c r="C360" s="581"/>
      <c r="D360" s="581"/>
      <c r="E360" s="582"/>
      <c r="F360" s="582"/>
      <c r="G360" s="582"/>
      <c r="H360" s="626"/>
      <c r="I360" s="581"/>
    </row>
  </sheetData>
  <mergeCells count="5">
    <mergeCell ref="A1:I1"/>
    <mergeCell ref="A2:I2"/>
    <mergeCell ref="A4:I4"/>
    <mergeCell ref="C5:D5"/>
    <mergeCell ref="A3:I3"/>
  </mergeCells>
  <pageMargins left="0.23622047244094491" right="0.23622047244094491" top="0.74803149606299213" bottom="0.74803149606299213" header="0.31496062992125984" footer="0.31496062992125984"/>
  <pageSetup paperSize="9" orientation="portrait" r:id="rId1"/>
</worksheet>
</file>

<file path=xl/worksheets/sheet26.xml><?xml version="1.0" encoding="utf-8"?>
<worksheet xmlns="http://schemas.openxmlformats.org/spreadsheetml/2006/main" xmlns:r="http://schemas.openxmlformats.org/officeDocument/2006/relationships">
  <sheetPr codeName="Sheet27"/>
  <dimension ref="A1:I55"/>
  <sheetViews>
    <sheetView view="pageBreakPreview" topLeftCell="A10" zoomScaleSheetLayoutView="100" workbookViewId="0">
      <selection activeCell="F10" sqref="A1:XFD1048576"/>
    </sheetView>
  </sheetViews>
  <sheetFormatPr defaultColWidth="9.28515625" defaultRowHeight="15.75"/>
  <cols>
    <col min="1" max="1" width="5" style="49" customWidth="1"/>
    <col min="2" max="2" width="11.7109375" style="559" customWidth="1"/>
    <col min="3" max="3" width="32.5703125" style="49" customWidth="1"/>
    <col min="4" max="4" width="14.28515625" style="559" customWidth="1"/>
    <col min="5" max="5" width="9.28515625" style="49"/>
    <col min="6" max="6" width="17.7109375" style="559" customWidth="1"/>
    <col min="7" max="7" width="13.28515625" style="9" bestFit="1" customWidth="1"/>
    <col min="8" max="8" width="9.28515625" style="9"/>
    <col min="9" max="9" width="13.28515625" style="9" bestFit="1" customWidth="1"/>
    <col min="10" max="16384" width="9.28515625" style="9"/>
  </cols>
  <sheetData>
    <row r="1" spans="1:6" ht="21.75" customHeight="1">
      <c r="A1" s="1954" t="s">
        <v>241</v>
      </c>
      <c r="B1" s="1954"/>
      <c r="C1" s="1954"/>
      <c r="D1" s="1954"/>
      <c r="E1" s="1954"/>
      <c r="F1" s="1954"/>
    </row>
    <row r="2" spans="1:6" ht="47.45" customHeight="1">
      <c r="A2" s="1954" t="str">
        <f>'SI- Detail  '!A2:I2</f>
        <v>Name of work: Providing Special Repair works for 5 Nos INS, 8 Nos SI, 24 Nos PC/HC Quarters  at Church Hill Ooty in the Nilgiri District</v>
      </c>
      <c r="B2" s="1954"/>
      <c r="C2" s="1954"/>
      <c r="D2" s="1954"/>
      <c r="E2" s="1954"/>
      <c r="F2" s="1954"/>
    </row>
    <row r="3" spans="1:6" ht="47.45" customHeight="1">
      <c r="A3" s="1955" t="s">
        <v>3740</v>
      </c>
      <c r="B3" s="1956"/>
      <c r="C3" s="1956"/>
      <c r="D3" s="1956"/>
      <c r="E3" s="1956"/>
      <c r="F3" s="1957"/>
    </row>
    <row r="4" spans="1:6">
      <c r="A4" s="1951" t="s">
        <v>351</v>
      </c>
      <c r="B4" s="1952"/>
      <c r="C4" s="1952"/>
      <c r="D4" s="1952"/>
      <c r="E4" s="1952"/>
      <c r="F4" s="1953"/>
    </row>
    <row r="5" spans="1:6" ht="31.5">
      <c r="A5" s="2" t="s">
        <v>219</v>
      </c>
      <c r="B5" s="21" t="s">
        <v>3</v>
      </c>
      <c r="C5" s="784" t="s">
        <v>11</v>
      </c>
      <c r="D5" s="21" t="s">
        <v>217</v>
      </c>
      <c r="E5" s="784" t="s">
        <v>10</v>
      </c>
      <c r="F5" s="21" t="s">
        <v>218</v>
      </c>
    </row>
    <row r="6" spans="1:6">
      <c r="A6" s="2">
        <v>1</v>
      </c>
      <c r="B6" s="3" t="e">
        <f>'SI- Detail  '!#REF!</f>
        <v>#REF!</v>
      </c>
      <c r="C6" s="12" t="e">
        <f>'SI- Detail  '!#REF!</f>
        <v>#REF!</v>
      </c>
      <c r="D6" s="3" t="e">
        <f>#REF!</f>
        <v>#REF!</v>
      </c>
      <c r="E6" s="2" t="s">
        <v>313</v>
      </c>
      <c r="F6" s="13" t="e">
        <f>B6*D6</f>
        <v>#REF!</v>
      </c>
    </row>
    <row r="7" spans="1:6" ht="47.25">
      <c r="A7" s="2">
        <v>2</v>
      </c>
      <c r="B7" s="3">
        <f>'SI- Detail  '!H19</f>
        <v>23</v>
      </c>
      <c r="C7" s="12" t="str">
        <f>'SI- Detail  '!B14</f>
        <v xml:space="preserve">PCC 1:5:10 using 40mm jelly including cost of materials and labours etc.., completed </v>
      </c>
      <c r="D7" s="3" t="e">
        <f>#REF!</f>
        <v>#REF!</v>
      </c>
      <c r="E7" s="2" t="s">
        <v>313</v>
      </c>
      <c r="F7" s="13" t="e">
        <f t="shared" ref="F7:F46" si="0">B7*D7</f>
        <v>#REF!</v>
      </c>
    </row>
    <row r="8" spans="1:6" ht="75.599999999999994" customHeight="1">
      <c r="A8" s="2">
        <v>3</v>
      </c>
      <c r="B8" s="3">
        <f>'SI- Detail  '!H24</f>
        <v>22.54</v>
      </c>
      <c r="C8" s="31" t="str">
        <f>'SI- Detail  '!B20</f>
        <v xml:space="preserve">PCC 1:2:4 using 20mm jelly including cost of materials and labours etc.., completed </v>
      </c>
      <c r="D8" s="3" t="e">
        <f>#REF!</f>
        <v>#REF!</v>
      </c>
      <c r="E8" s="30" t="s">
        <v>313</v>
      </c>
      <c r="F8" s="13" t="e">
        <f>B8*D8</f>
        <v>#REF!</v>
      </c>
    </row>
    <row r="9" spans="1:6" ht="94.5">
      <c r="A9" s="2">
        <v>4</v>
      </c>
      <c r="B9" s="3">
        <f>'SI- Detail  '!H27</f>
        <v>4</v>
      </c>
      <c r="C9" s="12" t="str">
        <f>'SI- Detail  '!B25</f>
        <v>Brickwork in CM 1:5 using Chamber burn bricks in foundation including cost of materials and labours etc.., completed ,a)Foundation and basement etc complete</v>
      </c>
      <c r="D9" s="3" t="e">
        <f>#REF!</f>
        <v>#REF!</v>
      </c>
      <c r="E9" s="2" t="s">
        <v>313</v>
      </c>
      <c r="F9" s="13" t="e">
        <f t="shared" si="0"/>
        <v>#REF!</v>
      </c>
    </row>
    <row r="10" spans="1:6" ht="110.25">
      <c r="A10" s="2">
        <v>5</v>
      </c>
      <c r="B10" s="3">
        <f>'SI- Detail  '!H40</f>
        <v>32.200000000000003</v>
      </c>
      <c r="C10" s="12" t="str">
        <f>'SI- Detail  '!B28</f>
        <v>Clean removel of the old cement plastering both inside and outside from the existing walls of brick masonry without damageing the existing structure and surroundings and clearing the debries away from the site including all cost etc.,</v>
      </c>
      <c r="D10" s="3">
        <v>9.31</v>
      </c>
      <c r="E10" s="30" t="s">
        <v>306</v>
      </c>
      <c r="F10" s="13">
        <f t="shared" si="0"/>
        <v>299.78200000000004</v>
      </c>
    </row>
    <row r="11" spans="1:6" ht="63">
      <c r="A11" s="2">
        <v>6</v>
      </c>
      <c r="B11" s="3">
        <f>'SI- Detail  '!H59</f>
        <v>20.8</v>
      </c>
      <c r="C11" s="12" t="str">
        <f>'SI- Detail  '!B41</f>
        <v xml:space="preserve">Special celing plasering in CM 1:3,10 mm tk including cost of materials and labours etc.., completed </v>
      </c>
      <c r="D11" s="3" t="e">
        <f>#REF!</f>
        <v>#REF!</v>
      </c>
      <c r="E11" s="30" t="s">
        <v>306</v>
      </c>
      <c r="F11" s="13" t="e">
        <f t="shared" si="0"/>
        <v>#REF!</v>
      </c>
    </row>
    <row r="12" spans="1:6" ht="47.25">
      <c r="A12" s="2">
        <v>7</v>
      </c>
      <c r="B12" s="3">
        <f>'SI- Detail  '!H62</f>
        <v>12</v>
      </c>
      <c r="C12" s="12" t="str">
        <f>'SI- Detail  '!B60</f>
        <v xml:space="preserve">Plastering in CM 1:4, 12mm thick including cost of materials and labours etc.., completed </v>
      </c>
      <c r="D12" s="3" t="e">
        <f>#REF!</f>
        <v>#REF!</v>
      </c>
      <c r="E12" s="30" t="s">
        <v>306</v>
      </c>
      <c r="F12" s="13" t="e">
        <f t="shared" si="0"/>
        <v>#REF!</v>
      </c>
    </row>
    <row r="13" spans="1:6" ht="31.5">
      <c r="A13" s="2">
        <v>8</v>
      </c>
      <c r="B13" s="3">
        <f>'SI- Detail  '!H69</f>
        <v>7.25</v>
      </c>
      <c r="C13" s="31" t="str">
        <f>'SI- Detail  '!B64</f>
        <v>Supplying and fixing of 4mm thick plain glasses etc.,</v>
      </c>
      <c r="D13" s="34" t="e">
        <f>#REF!</f>
        <v>#REF!</v>
      </c>
      <c r="E13" s="30" t="s">
        <v>306</v>
      </c>
      <c r="F13" s="13" t="e">
        <f t="shared" si="0"/>
        <v>#REF!</v>
      </c>
    </row>
    <row r="14" spans="1:6" ht="31.5">
      <c r="A14" s="2">
        <v>9</v>
      </c>
      <c r="B14" s="3">
        <f>'SI- Detail  '!H80</f>
        <v>110.8</v>
      </c>
      <c r="C14" s="31" t="str">
        <f>'SI- Detail  '!B71</f>
        <v>Dismantling and clearing away the Pressed tiles etc.,</v>
      </c>
      <c r="D14" s="34">
        <v>36.1</v>
      </c>
      <c r="E14" s="40" t="s">
        <v>306</v>
      </c>
      <c r="F14" s="13">
        <f t="shared" si="0"/>
        <v>3999.88</v>
      </c>
    </row>
    <row r="15" spans="1:6" ht="31.5">
      <c r="A15" s="2">
        <v>10</v>
      </c>
      <c r="B15" s="3">
        <f>'SI- Detail  '!H90</f>
        <v>110.8</v>
      </c>
      <c r="C15" s="31" t="str">
        <f>'SI- Detail  '!B81</f>
        <v>Supplying and laying of hydraulic pressed tiles etc.,</v>
      </c>
      <c r="D15" s="34" t="e">
        <f>#REF!</f>
        <v>#REF!</v>
      </c>
      <c r="E15" s="40" t="s">
        <v>306</v>
      </c>
      <c r="F15" s="13" t="e">
        <f t="shared" si="0"/>
        <v>#REF!</v>
      </c>
    </row>
    <row r="16" spans="1:6" ht="47.25">
      <c r="A16" s="2">
        <v>11</v>
      </c>
      <c r="B16" s="3" t="e">
        <f>'SI- Detail  '!#REF!</f>
        <v>#REF!</v>
      </c>
      <c r="C16" s="31" t="str">
        <f>'SI- Detail  '!B91</f>
        <v>Providing Polymer Coating (Water Proof Coating ) for over roof pressed tiles  area.</v>
      </c>
      <c r="D16" s="34" t="e">
        <f>#REF!</f>
        <v>#REF!</v>
      </c>
      <c r="E16" s="40" t="s">
        <v>306</v>
      </c>
      <c r="F16" s="13" t="e">
        <f t="shared" si="0"/>
        <v>#REF!</v>
      </c>
    </row>
    <row r="17" spans="1:9" ht="31.5">
      <c r="A17" s="2">
        <v>12</v>
      </c>
      <c r="B17" s="3">
        <f>'SI- Detail  '!H106</f>
        <v>17.3</v>
      </c>
      <c r="C17" s="31" t="str">
        <f>'SI- Detail  '!B101</f>
        <v>Supply and laying of ceramic(anti-skid) tiles etc.,</v>
      </c>
      <c r="D17" s="3" t="e">
        <f>#REF!</f>
        <v>#REF!</v>
      </c>
      <c r="E17" s="40" t="s">
        <v>306</v>
      </c>
      <c r="F17" s="13" t="e">
        <f t="shared" si="0"/>
        <v>#REF!</v>
      </c>
    </row>
    <row r="18" spans="1:9" ht="31.5">
      <c r="A18" s="2">
        <v>13</v>
      </c>
      <c r="B18" s="3">
        <f>'SI- Detail  '!H113</f>
        <v>44.7</v>
      </c>
      <c r="C18" s="37" t="str">
        <f>'SI- Detail  '!B107</f>
        <v>Supplying and laying of glazed tiles etc.,</v>
      </c>
      <c r="D18" s="3" t="e">
        <f>#REF!</f>
        <v>#REF!</v>
      </c>
      <c r="E18" s="40" t="s">
        <v>306</v>
      </c>
      <c r="F18" s="13" t="e">
        <f t="shared" si="0"/>
        <v>#REF!</v>
      </c>
    </row>
    <row r="19" spans="1:9" ht="47.25">
      <c r="A19" s="2">
        <v>14</v>
      </c>
      <c r="B19" s="3"/>
      <c r="C19" s="38" t="str">
        <f>'SI- Detail  '!B114</f>
        <v>Supply and fixing of IWC including all special and labour charges etc., complete</v>
      </c>
      <c r="D19" s="3"/>
      <c r="E19" s="30"/>
      <c r="F19" s="13"/>
    </row>
    <row r="20" spans="1:9">
      <c r="A20" s="2"/>
      <c r="B20" s="3">
        <f>'SI- Detail  '!H117</f>
        <v>5</v>
      </c>
      <c r="C20" s="38" t="str">
        <f>'SI- Detail  '!B115</f>
        <v>a)In .G.F</v>
      </c>
      <c r="D20" s="3" t="e">
        <f>#REF!</f>
        <v>#REF!</v>
      </c>
      <c r="E20" s="2" t="s">
        <v>340</v>
      </c>
      <c r="F20" s="13" t="e">
        <f t="shared" si="0"/>
        <v>#REF!</v>
      </c>
    </row>
    <row r="21" spans="1:9">
      <c r="A21" s="2"/>
      <c r="B21" s="3">
        <f>'SI- Detail  '!H120</f>
        <v>3</v>
      </c>
      <c r="C21" s="38" t="str">
        <f>'SI- Detail  '!B118</f>
        <v>b)In other than G.F</v>
      </c>
      <c r="D21" s="47" t="e">
        <f>#REF!</f>
        <v>#REF!</v>
      </c>
      <c r="E21" s="2" t="s">
        <v>340</v>
      </c>
      <c r="F21" s="13" t="e">
        <f t="shared" si="0"/>
        <v>#REF!</v>
      </c>
    </row>
    <row r="22" spans="1:9" ht="47.25">
      <c r="A22" s="2">
        <v>15</v>
      </c>
      <c r="B22" s="3">
        <f>'SI- Detail  '!H123</f>
        <v>24</v>
      </c>
      <c r="C22" s="700" t="str">
        <f>'SI- Detail  '!B121</f>
        <v>Removing of doors and windows shutter etc.,PWD SOR P-22 Item No.29</v>
      </c>
      <c r="D22" s="34">
        <f>I22</f>
        <v>168.56</v>
      </c>
      <c r="E22" s="40" t="s">
        <v>306</v>
      </c>
      <c r="F22" s="13">
        <f t="shared" si="0"/>
        <v>4045.44</v>
      </c>
      <c r="G22" s="9">
        <v>120.4</v>
      </c>
      <c r="H22" s="9">
        <f>G22*40%</f>
        <v>48.160000000000004</v>
      </c>
      <c r="I22" s="9">
        <f>G22+H22</f>
        <v>168.56</v>
      </c>
    </row>
    <row r="23" spans="1:9" ht="47.25">
      <c r="A23" s="2">
        <v>16</v>
      </c>
      <c r="B23" s="3">
        <f>'SI- Detail  '!H126</f>
        <v>24</v>
      </c>
      <c r="C23" s="39" t="str">
        <f>'SI- Detail  '!B124</f>
        <v>Supplying and fixing of  solid panel door with frame  ( SR pg.No.43 item No.125a)</v>
      </c>
      <c r="D23" s="3">
        <v>3167</v>
      </c>
      <c r="E23" s="40" t="s">
        <v>306</v>
      </c>
      <c r="F23" s="13">
        <f t="shared" si="0"/>
        <v>76008</v>
      </c>
    </row>
    <row r="24" spans="1:9" ht="94.5">
      <c r="A24" s="2">
        <v>17</v>
      </c>
      <c r="B24" s="3">
        <f>'SI- Detail  '!H136</f>
        <v>196.45</v>
      </c>
      <c r="C24" s="12" t="str">
        <f>'SI- Detail  '!B128</f>
        <v>Chipping of concrete and rougheing of surface including cost of materials and labours etc.., completed                                   PWD SOR 2021-22 p-22 item No.38A</v>
      </c>
      <c r="D24" s="3">
        <v>44.38</v>
      </c>
      <c r="E24" s="40" t="s">
        <v>306</v>
      </c>
      <c r="F24" s="13">
        <f t="shared" si="0"/>
        <v>8718.4509999999991</v>
      </c>
    </row>
    <row r="25" spans="1:9" ht="47.25">
      <c r="A25" s="2">
        <v>18</v>
      </c>
      <c r="B25" s="3">
        <f>'SI- Detail  '!H144</f>
        <v>180</v>
      </c>
      <c r="C25" s="41" t="str">
        <f>'SI- Detail  '!B137</f>
        <v>Floor plastering in CM 1:4, 20mm thick  including neat cement, etc all complete</v>
      </c>
      <c r="D25" s="3" t="e">
        <f>#REF!</f>
        <v>#REF!</v>
      </c>
      <c r="E25" s="2" t="s">
        <v>306</v>
      </c>
      <c r="F25" s="13" t="e">
        <f t="shared" si="0"/>
        <v>#REF!</v>
      </c>
    </row>
    <row r="26" spans="1:9" ht="63">
      <c r="A26" s="2">
        <v>19</v>
      </c>
      <c r="B26" s="3">
        <f>'SI- Detail  '!H147</f>
        <v>120</v>
      </c>
      <c r="C26" s="31" t="str">
        <f>'SI- Detail  '!B145</f>
        <v>Supply ,laying &amp; jointing the following pipes as per ASTM D 1785 of schedule   PVC Specials etc.,a)25 mm  Pipe</v>
      </c>
      <c r="D26" s="34" t="e">
        <f>#REF!</f>
        <v>#REF!</v>
      </c>
      <c r="E26" s="2" t="s">
        <v>303</v>
      </c>
      <c r="F26" s="13" t="e">
        <f t="shared" si="0"/>
        <v>#REF!</v>
      </c>
    </row>
    <row r="27" spans="1:9" ht="47.25">
      <c r="A27" s="2">
        <v>20</v>
      </c>
      <c r="B27" s="3">
        <f>'SI- Detail  '!H150</f>
        <v>72</v>
      </c>
      <c r="C27" s="31" t="str">
        <f>'SI- Detail  '!B148</f>
        <v>Supplying and laying of 32 mm dia ASTM etc all complete including and labour charges etc., complete</v>
      </c>
      <c r="D27" s="34">
        <v>170</v>
      </c>
      <c r="E27" s="2" t="s">
        <v>303</v>
      </c>
      <c r="F27" s="13">
        <f t="shared" si="0"/>
        <v>12240</v>
      </c>
    </row>
    <row r="28" spans="1:9" ht="63">
      <c r="A28" s="2">
        <v>21</v>
      </c>
      <c r="B28" s="3">
        <f>'SI- Detail  '!H152</f>
        <v>50</v>
      </c>
      <c r="C28" s="31" t="str">
        <f>'SI- Detail  '!B151</f>
        <v>Supplying and laying of 40 mm dia PVC  (Below Ground level) etc all complete including and labour charges etc., complete</v>
      </c>
      <c r="D28" s="34">
        <v>435</v>
      </c>
      <c r="E28" s="2" t="s">
        <v>303</v>
      </c>
      <c r="F28" s="13">
        <f t="shared" si="0"/>
        <v>21750</v>
      </c>
    </row>
    <row r="29" spans="1:9" ht="63">
      <c r="A29" s="2">
        <v>22</v>
      </c>
      <c r="B29" s="3">
        <f>'SI- Detail  '!H155</f>
        <v>24</v>
      </c>
      <c r="C29" s="31" t="str">
        <f>'SI- Detail  '!B153</f>
        <v>Supply and Fixing of 15mm dia half turn CP tap (LONG BODY) including all special and labour charges etc., complete</v>
      </c>
      <c r="D29" s="3" t="e">
        <f>#REF!</f>
        <v>#REF!</v>
      </c>
      <c r="E29" s="30" t="s">
        <v>340</v>
      </c>
      <c r="F29" s="13" t="e">
        <f t="shared" si="0"/>
        <v>#REF!</v>
      </c>
    </row>
    <row r="30" spans="1:9" ht="63">
      <c r="A30" s="2">
        <v>23</v>
      </c>
      <c r="B30" s="3">
        <f>'SI- Detail  '!H159</f>
        <v>13</v>
      </c>
      <c r="C30" s="31" t="str">
        <f>'SI- Detail  '!B156</f>
        <v>Supply and Fixing of 15mm dia half turn CP tap (SHORT BODY) including all special and labour charges etc., complete</v>
      </c>
      <c r="D30" s="3" t="e">
        <f>#REF!</f>
        <v>#REF!</v>
      </c>
      <c r="E30" s="30" t="s">
        <v>340</v>
      </c>
      <c r="F30" s="13" t="e">
        <f t="shared" si="0"/>
        <v>#REF!</v>
      </c>
    </row>
    <row r="31" spans="1:9" ht="47.25">
      <c r="A31" s="2">
        <v>24</v>
      </c>
      <c r="B31" s="3">
        <f>'SI- Detail  '!H162</f>
        <v>120</v>
      </c>
      <c r="C31" s="31" t="str">
        <f>'SI- Detail  '!B160</f>
        <v>Supplying and fixing of PVC SWR 110 mm dia with ISI mark type- A for Rain water down fall pipe</v>
      </c>
      <c r="D31" s="3" t="e">
        <f>#REF!</f>
        <v>#REF!</v>
      </c>
      <c r="E31" s="30" t="s">
        <v>303</v>
      </c>
      <c r="F31" s="13" t="e">
        <f t="shared" si="0"/>
        <v>#REF!</v>
      </c>
    </row>
    <row r="32" spans="1:9" ht="47.25">
      <c r="A32" s="2">
        <v>25</v>
      </c>
      <c r="B32" s="3"/>
      <c r="C32" s="31" t="str">
        <f>'SI- Detail  '!B163</f>
        <v>Supply and laying of SWR Pipes including cost of materials and labours etc.., completed</v>
      </c>
      <c r="D32" s="3"/>
      <c r="E32" s="30"/>
      <c r="F32" s="13"/>
    </row>
    <row r="33" spans="1:8">
      <c r="A33" s="2"/>
      <c r="B33" s="3">
        <f>'SI- Detail  '!H166</f>
        <v>96</v>
      </c>
      <c r="C33" s="31" t="str">
        <f>'SI- Detail  '!B164</f>
        <v xml:space="preserve"> 110 MM DIA </v>
      </c>
      <c r="D33" s="3" t="e">
        <f>#REF!</f>
        <v>#REF!</v>
      </c>
      <c r="E33" s="30" t="s">
        <v>303</v>
      </c>
      <c r="F33" s="13" t="e">
        <f t="shared" si="0"/>
        <v>#REF!</v>
      </c>
    </row>
    <row r="34" spans="1:8" ht="105.6" customHeight="1">
      <c r="A34" s="2">
        <v>26</v>
      </c>
      <c r="B34" s="3">
        <f>'SI- Detail  '!H171</f>
        <v>100</v>
      </c>
      <c r="C34" s="32" t="str">
        <f>'SI- Detail  '!B170</f>
        <v>Supplying and fixing of following SN8 160mm dia  Pvc pipe  with ISI mark including cost of materials and convenience and earth work excavation and refilling trenches etc.., Below ground level .</v>
      </c>
      <c r="D34" s="34" t="e">
        <f>#REF!</f>
        <v>#REF!</v>
      </c>
      <c r="E34" s="30" t="s">
        <v>303</v>
      </c>
      <c r="F34" s="13" t="e">
        <f t="shared" si="0"/>
        <v>#REF!</v>
      </c>
    </row>
    <row r="35" spans="1:8" ht="105.6" customHeight="1">
      <c r="A35" s="2">
        <v>27</v>
      </c>
      <c r="B35" s="3">
        <f>'SI- Detail  '!H173</f>
        <v>75</v>
      </c>
      <c r="C35" s="32" t="str">
        <f>'SI- Detail  '!B172</f>
        <v>Supplying and fixing of following SN8 110mm dia  Pvc pipe  with ISI mark including cost of materials and convenience and earth work excavation and refilling trenches etc.., Below ground level .</v>
      </c>
      <c r="D35" s="34" t="e">
        <f>#REF!</f>
        <v>#REF!</v>
      </c>
      <c r="E35" s="30" t="s">
        <v>303</v>
      </c>
      <c r="F35" s="13" t="e">
        <f t="shared" si="0"/>
        <v>#REF!</v>
      </c>
    </row>
    <row r="36" spans="1:8" ht="65.45" customHeight="1">
      <c r="A36" s="2">
        <v>28</v>
      </c>
      <c r="B36" s="3">
        <f>'SI- Detail  '!H191</f>
        <v>246</v>
      </c>
      <c r="C36" s="31" t="str">
        <f>'SI- Detail  '!B174</f>
        <v xml:space="preserve">Painting White washing  two coats including cost of materials and labours etc.., completed </v>
      </c>
      <c r="D36" s="3" t="e">
        <f>#REF!</f>
        <v>#REF!</v>
      </c>
      <c r="E36" s="30" t="s">
        <v>306</v>
      </c>
      <c r="F36" s="13" t="e">
        <f t="shared" si="0"/>
        <v>#REF!</v>
      </c>
    </row>
    <row r="37" spans="1:8" ht="73.900000000000006" customHeight="1">
      <c r="A37" s="2">
        <v>29</v>
      </c>
      <c r="B37" s="3">
        <f>'SI- Detail  '!H249</f>
        <v>731</v>
      </c>
      <c r="C37" s="31" t="str">
        <f>'SI- Detail  '!B192</f>
        <v xml:space="preserve">Painting Two coat of OBD over one coat white cement for inner walls  including cost of materials and labours etc.., completed </v>
      </c>
      <c r="D37" s="3" t="e">
        <f>#REF!</f>
        <v>#REF!</v>
      </c>
      <c r="E37" s="30" t="s">
        <v>306</v>
      </c>
      <c r="F37" s="13" t="e">
        <f t="shared" si="0"/>
        <v>#REF!</v>
      </c>
    </row>
    <row r="38" spans="1:8" ht="73.150000000000006" customHeight="1">
      <c r="A38" s="2">
        <v>30</v>
      </c>
      <c r="B38" s="3">
        <f>'SI- Detail  '!H281</f>
        <v>1207</v>
      </c>
      <c r="C38" s="31" t="str">
        <f>'SI- Detail  '!B250</f>
        <v xml:space="preserve">Plastic Emulsion paint two coat of Old walls including cost of materials and labours etc.., completed </v>
      </c>
      <c r="D38" s="3" t="e">
        <f>#REF!</f>
        <v>#REF!</v>
      </c>
      <c r="E38" s="30" t="s">
        <v>306</v>
      </c>
      <c r="F38" s="13" t="e">
        <f t="shared" si="0"/>
        <v>#REF!</v>
      </c>
    </row>
    <row r="39" spans="1:8" ht="56.45" customHeight="1">
      <c r="A39" s="2">
        <v>31</v>
      </c>
      <c r="B39" s="3">
        <f>'SI- Detail  '!H291</f>
        <v>383.1</v>
      </c>
      <c r="C39" s="31" t="str">
        <f>'SI- Detail  '!B282</f>
        <v xml:space="preserve">Painting the old wood work two coats including cost of materials and labours etc.., completed </v>
      </c>
      <c r="D39" s="3" t="e">
        <f>#REF!</f>
        <v>#REF!</v>
      </c>
      <c r="E39" s="30" t="s">
        <v>306</v>
      </c>
      <c r="F39" s="13" t="e">
        <f t="shared" si="0"/>
        <v>#REF!</v>
      </c>
    </row>
    <row r="40" spans="1:8" ht="56.45" customHeight="1">
      <c r="A40" s="2">
        <v>32</v>
      </c>
      <c r="B40" s="3" t="e">
        <f>'SI- Detail  '!#REF!</f>
        <v>#REF!</v>
      </c>
      <c r="C40" s="31" t="e">
        <f>'SI- Detail  '!#REF!</f>
        <v>#REF!</v>
      </c>
      <c r="D40" s="34" t="e">
        <f>#REF!</f>
        <v>#REF!</v>
      </c>
      <c r="E40" s="30" t="s">
        <v>306</v>
      </c>
      <c r="F40" s="13" t="e">
        <f t="shared" si="0"/>
        <v>#REF!</v>
      </c>
    </row>
    <row r="41" spans="1:8" ht="75.599999999999994" customHeight="1">
      <c r="A41" s="2">
        <v>33</v>
      </c>
      <c r="B41" s="3">
        <f>'SI- Detail  '!H293</f>
        <v>5</v>
      </c>
      <c r="C41" s="31" t="str">
        <f>'SI- Detail  '!B292</f>
        <v>Precast Slab For chamber cover slab ( SFRC Slabof size 600 x 600mm with frame) Including Cost of materials etc.., (SR.Pg.No.77 item no.284.a)</v>
      </c>
      <c r="D41" s="3">
        <v>2700</v>
      </c>
      <c r="E41" s="30" t="s">
        <v>340</v>
      </c>
      <c r="F41" s="13">
        <f t="shared" si="0"/>
        <v>13500</v>
      </c>
    </row>
    <row r="42" spans="1:8" ht="75.599999999999994" customHeight="1">
      <c r="A42" s="2">
        <v>34</v>
      </c>
      <c r="B42" s="3">
        <f>'SI- Detail  '!H297</f>
        <v>8</v>
      </c>
      <c r="C42" s="31" t="str">
        <f>'SI- Detail  '!B295</f>
        <v>Supplyying and fixing of pvc sintex tank of 700cum capacity of pvc tank etc., all complete( SR Pg.No.50 item no.180)</v>
      </c>
      <c r="D42" s="3">
        <f>H42</f>
        <v>7200</v>
      </c>
      <c r="E42" s="30" t="s">
        <v>325</v>
      </c>
      <c r="F42" s="13">
        <f t="shared" si="0"/>
        <v>57600</v>
      </c>
      <c r="G42" s="9">
        <f>9.6</f>
        <v>9.6</v>
      </c>
      <c r="H42" s="9">
        <f>G42*750</f>
        <v>7200</v>
      </c>
    </row>
    <row r="43" spans="1:8" ht="75.599999999999994" customHeight="1">
      <c r="A43" s="2">
        <v>35</v>
      </c>
      <c r="B43" s="3">
        <f>'SI- Detail  '!H301</f>
        <v>7.5150000000000006</v>
      </c>
      <c r="C43" s="31" t="str">
        <f>'SI- Detail  '!B298</f>
        <v xml:space="preserve">Supplying and fixing of TW single leaf glazed window shutter  for frame of overall height 135cm </v>
      </c>
      <c r="D43" s="3" t="e">
        <f>#REF!</f>
        <v>#REF!</v>
      </c>
      <c r="E43" s="30" t="s">
        <v>306</v>
      </c>
      <c r="F43" s="13" t="e">
        <f t="shared" si="0"/>
        <v>#REF!</v>
      </c>
    </row>
    <row r="44" spans="1:8" ht="75.599999999999994" customHeight="1">
      <c r="A44" s="2">
        <v>36</v>
      </c>
      <c r="B44" s="3">
        <f>'SI- Detail  '!H349</f>
        <v>8</v>
      </c>
      <c r="C44" s="31" t="str">
        <f>'SI- Detail  '!B348</f>
        <v xml:space="preserve">Supply and fixing of Wash basin including cost of materials and labours etc.., completed </v>
      </c>
      <c r="D44" s="3" t="e">
        <f>'PC - Abs'!D44</f>
        <v>#REF!</v>
      </c>
      <c r="E44" s="30" t="s">
        <v>340</v>
      </c>
      <c r="F44" s="13" t="e">
        <f t="shared" si="0"/>
        <v>#REF!</v>
      </c>
    </row>
    <row r="45" spans="1:8" ht="75.599999999999994" customHeight="1">
      <c r="A45" s="2">
        <v>37</v>
      </c>
      <c r="B45" s="3">
        <f>'SI- Detail  '!H351</f>
        <v>8</v>
      </c>
      <c r="C45" s="791" t="str">
        <f>'SI- Detail  '!B350</f>
        <v xml:space="preserve">S&amp;F of Bevelled edge mirror 500 x 400 x 5.5mm including cost of materials and labours etc.., completed </v>
      </c>
      <c r="D45" s="790">
        <f>'PC - Abs'!D45</f>
        <v>471.2</v>
      </c>
      <c r="E45" s="30" t="s">
        <v>340</v>
      </c>
      <c r="F45" s="13">
        <f t="shared" si="0"/>
        <v>3769.6</v>
      </c>
    </row>
    <row r="46" spans="1:8" ht="75.599999999999994" customHeight="1">
      <c r="A46" s="2">
        <v>38</v>
      </c>
      <c r="B46" s="3">
        <f>'SI- Detail  '!H357</f>
        <v>6.1500000000000012</v>
      </c>
      <c r="C46" s="791" t="str">
        <f>'SI- Detail  '!B353</f>
        <v xml:space="preserve">Painting the New wood work two coats including cost of materials and labours etc.., completed </v>
      </c>
      <c r="D46" s="790">
        <f>'PC - Abs'!D46</f>
        <v>264.52999999999997</v>
      </c>
      <c r="E46" s="792" t="s">
        <v>306</v>
      </c>
      <c r="F46" s="13">
        <f t="shared" si="0"/>
        <v>1626.8595000000003</v>
      </c>
    </row>
    <row r="47" spans="1:8">
      <c r="A47" s="2"/>
      <c r="B47" s="3"/>
      <c r="C47" s="1955" t="s">
        <v>223</v>
      </c>
      <c r="D47" s="1956"/>
      <c r="E47" s="1957"/>
      <c r="F47" s="17" t="e">
        <f>SUM(F8:F46)</f>
        <v>#REF!</v>
      </c>
    </row>
    <row r="48" spans="1:8" ht="19.5" customHeight="1">
      <c r="A48" s="2"/>
      <c r="B48" s="3"/>
      <c r="C48" s="33" t="s">
        <v>382</v>
      </c>
      <c r="D48" s="1948" t="s">
        <v>226</v>
      </c>
      <c r="E48" s="1949"/>
      <c r="F48" s="16" t="e">
        <f>F47*12%</f>
        <v>#REF!</v>
      </c>
      <c r="G48" s="28"/>
    </row>
    <row r="49" spans="1:7">
      <c r="A49" s="2"/>
      <c r="B49" s="3"/>
      <c r="C49" s="1955" t="s">
        <v>3454</v>
      </c>
      <c r="D49" s="1956"/>
      <c r="E49" s="1957"/>
      <c r="F49" s="17" t="e">
        <f>SUM(F47:F48)</f>
        <v>#REF!</v>
      </c>
      <c r="G49" s="28"/>
    </row>
    <row r="50" spans="1:7" ht="21.75" customHeight="1">
      <c r="A50" s="2"/>
      <c r="B50" s="3"/>
      <c r="C50" s="12" t="s">
        <v>224</v>
      </c>
      <c r="D50" s="1948" t="s">
        <v>226</v>
      </c>
      <c r="E50" s="1949"/>
      <c r="F50" s="16" t="e">
        <f>F49*1%</f>
        <v>#REF!</v>
      </c>
    </row>
    <row r="51" spans="1:7" ht="20.25" customHeight="1">
      <c r="A51" s="2"/>
      <c r="B51" s="3"/>
      <c r="C51" s="12" t="s">
        <v>225</v>
      </c>
      <c r="D51" s="1948" t="s">
        <v>226</v>
      </c>
      <c r="E51" s="1949"/>
      <c r="F51" s="16" t="e">
        <f>F49*7.5%</f>
        <v>#REF!</v>
      </c>
    </row>
    <row r="52" spans="1:7" ht="19.5" customHeight="1">
      <c r="A52" s="2"/>
      <c r="B52" s="3"/>
      <c r="C52" s="571" t="s">
        <v>3558</v>
      </c>
      <c r="D52" s="1948" t="s">
        <v>226</v>
      </c>
      <c r="E52" s="1949"/>
      <c r="F52" s="16">
        <v>100000</v>
      </c>
      <c r="G52" s="28"/>
    </row>
    <row r="53" spans="1:7">
      <c r="A53" s="2"/>
      <c r="B53" s="3"/>
      <c r="C53" s="1955" t="s">
        <v>227</v>
      </c>
      <c r="D53" s="1956"/>
      <c r="E53" s="1957"/>
      <c r="F53" s="17" t="e">
        <f>SUM(F49:F52)</f>
        <v>#REF!</v>
      </c>
    </row>
    <row r="54" spans="1:7" ht="21" customHeight="1">
      <c r="A54" s="2"/>
      <c r="B54" s="3"/>
      <c r="C54" s="784"/>
      <c r="D54" s="784"/>
      <c r="E54" s="14" t="s">
        <v>9</v>
      </c>
      <c r="F54" s="17"/>
    </row>
    <row r="55" spans="1:7">
      <c r="D55" s="19"/>
      <c r="E55" s="1947"/>
      <c r="F55" s="1947"/>
    </row>
  </sheetData>
  <mergeCells count="12">
    <mergeCell ref="D50:E50"/>
    <mergeCell ref="D51:E51"/>
    <mergeCell ref="D52:E52"/>
    <mergeCell ref="C53:E53"/>
    <mergeCell ref="E55:F55"/>
    <mergeCell ref="C49:E49"/>
    <mergeCell ref="A1:F1"/>
    <mergeCell ref="A2:F2"/>
    <mergeCell ref="A4:F4"/>
    <mergeCell ref="C47:E47"/>
    <mergeCell ref="D48:E48"/>
    <mergeCell ref="A3:F3"/>
  </mergeCells>
  <pageMargins left="0.7" right="0.7" top="0.75" bottom="0.75" header="0.3" footer="0.3"/>
  <pageSetup paperSize="9" scale="94" orientation="portrait" r:id="rId1"/>
</worksheet>
</file>

<file path=xl/worksheets/sheet27.xml><?xml version="1.0" encoding="utf-8"?>
<worksheet xmlns="http://schemas.openxmlformats.org/spreadsheetml/2006/main" xmlns:r="http://schemas.openxmlformats.org/officeDocument/2006/relationships">
  <sheetPr codeName="Sheet28">
    <tabColor rgb="FF7030A0"/>
  </sheetPr>
  <dimension ref="A1:I85"/>
  <sheetViews>
    <sheetView view="pageBreakPreview" topLeftCell="A74" zoomScale="90" zoomScaleNormal="90" zoomScaleSheetLayoutView="90" workbookViewId="0">
      <selection activeCell="N84" sqref="N84"/>
    </sheetView>
  </sheetViews>
  <sheetFormatPr defaultColWidth="9.28515625" defaultRowHeight="15.75"/>
  <cols>
    <col min="1" max="1" width="5.28515625" style="780" customWidth="1"/>
    <col min="2" max="2" width="36.7109375" style="29" customWidth="1"/>
    <col min="3" max="4" width="5.42578125" style="780" customWidth="1"/>
    <col min="5" max="5" width="9.5703125" style="781" customWidth="1"/>
    <col min="6" max="7" width="7.7109375" style="781" customWidth="1"/>
    <col min="8" max="8" width="10.28515625" style="782" customWidth="1"/>
    <col min="9" max="9" width="8.7109375" style="780" customWidth="1"/>
    <col min="10" max="13" width="9.28515625" style="29"/>
    <col min="14" max="14" width="12.7109375" style="29" bestFit="1" customWidth="1"/>
    <col min="15" max="16384" width="9.28515625" style="29"/>
  </cols>
  <sheetData>
    <row r="1" spans="1:9">
      <c r="A1" s="2040" t="s">
        <v>241</v>
      </c>
      <c r="B1" s="2040"/>
      <c r="C1" s="2040"/>
      <c r="D1" s="2040"/>
      <c r="E1" s="2040"/>
      <c r="F1" s="2040"/>
      <c r="G1" s="2040"/>
      <c r="H1" s="2040"/>
      <c r="I1" s="2040"/>
    </row>
    <row r="2" spans="1:9" ht="50.45" customHeight="1">
      <c r="A2" s="2040" t="s">
        <v>3699</v>
      </c>
      <c r="B2" s="2040"/>
      <c r="C2" s="2040"/>
      <c r="D2" s="2040"/>
      <c r="E2" s="2040"/>
      <c r="F2" s="2040"/>
      <c r="G2" s="2040"/>
      <c r="H2" s="2040"/>
      <c r="I2" s="2040"/>
    </row>
    <row r="3" spans="1:9" ht="16.899999999999999" customHeight="1">
      <c r="A3" s="1999" t="s">
        <v>3742</v>
      </c>
      <c r="B3" s="2000"/>
      <c r="C3" s="2000"/>
      <c r="D3" s="2000"/>
      <c r="E3" s="2000"/>
      <c r="F3" s="2000"/>
      <c r="G3" s="2000"/>
      <c r="H3" s="2000"/>
      <c r="I3" s="2001"/>
    </row>
    <row r="4" spans="1:9" ht="22.5" customHeight="1">
      <c r="A4" s="1999" t="s">
        <v>14</v>
      </c>
      <c r="B4" s="2000"/>
      <c r="C4" s="2000"/>
      <c r="D4" s="2000"/>
      <c r="E4" s="2000"/>
      <c r="F4" s="2000"/>
      <c r="G4" s="2000"/>
      <c r="H4" s="2000"/>
      <c r="I4" s="2001"/>
    </row>
    <row r="5" spans="1:9" ht="40.5" customHeight="1">
      <c r="A5" s="785" t="s">
        <v>12</v>
      </c>
      <c r="B5" s="785" t="s">
        <v>11</v>
      </c>
      <c r="C5" s="2040" t="s">
        <v>4</v>
      </c>
      <c r="D5" s="2040"/>
      <c r="E5" s="724" t="s">
        <v>5</v>
      </c>
      <c r="F5" s="724" t="s">
        <v>6</v>
      </c>
      <c r="G5" s="724" t="s">
        <v>7</v>
      </c>
      <c r="H5" s="724" t="s">
        <v>3</v>
      </c>
      <c r="I5" s="724" t="s">
        <v>10</v>
      </c>
    </row>
    <row r="6" spans="1:9" ht="69.599999999999994" customHeight="1">
      <c r="A6" s="30">
        <v>1</v>
      </c>
      <c r="B6" s="726" t="s">
        <v>3242</v>
      </c>
      <c r="C6" s="30"/>
      <c r="D6" s="30"/>
      <c r="E6" s="34"/>
      <c r="F6" s="34"/>
      <c r="G6" s="34"/>
      <c r="H6" s="42"/>
      <c r="I6" s="30"/>
    </row>
    <row r="7" spans="1:9">
      <c r="A7" s="30"/>
      <c r="B7" s="794" t="s">
        <v>3243</v>
      </c>
      <c r="C7" s="30"/>
      <c r="D7" s="30"/>
      <c r="E7" s="34"/>
      <c r="F7" s="34"/>
      <c r="G7" s="34"/>
      <c r="H7" s="42"/>
      <c r="I7" s="30"/>
    </row>
    <row r="8" spans="1:9">
      <c r="A8" s="30"/>
      <c r="B8" s="31" t="s">
        <v>3248</v>
      </c>
      <c r="C8" s="30"/>
      <c r="D8" s="30"/>
      <c r="E8" s="34"/>
      <c r="F8" s="34"/>
      <c r="G8" s="34"/>
      <c r="H8" s="42"/>
      <c r="I8" s="30"/>
    </row>
    <row r="9" spans="1:9">
      <c r="A9" s="30"/>
      <c r="B9" s="31" t="s">
        <v>3245</v>
      </c>
      <c r="C9" s="30">
        <v>8</v>
      </c>
      <c r="D9" s="30">
        <v>1</v>
      </c>
      <c r="E9" s="34" t="s">
        <v>21</v>
      </c>
      <c r="F9" s="34" t="s">
        <v>21</v>
      </c>
      <c r="G9" s="34" t="s">
        <v>21</v>
      </c>
      <c r="H9" s="42">
        <f t="shared" ref="H9:H15" si="0">PRODUCT(C9:G9)</f>
        <v>8</v>
      </c>
      <c r="I9" s="30"/>
    </row>
    <row r="10" spans="1:9">
      <c r="A10" s="30"/>
      <c r="B10" s="31" t="s">
        <v>129</v>
      </c>
      <c r="C10" s="30">
        <v>8</v>
      </c>
      <c r="D10" s="30">
        <v>1</v>
      </c>
      <c r="E10" s="34" t="s">
        <v>21</v>
      </c>
      <c r="F10" s="34" t="s">
        <v>21</v>
      </c>
      <c r="G10" s="34" t="s">
        <v>21</v>
      </c>
      <c r="H10" s="42">
        <f t="shared" si="0"/>
        <v>8</v>
      </c>
      <c r="I10" s="30"/>
    </row>
    <row r="11" spans="1:9">
      <c r="A11" s="30"/>
      <c r="B11" s="31" t="s">
        <v>3185</v>
      </c>
      <c r="C11" s="30">
        <v>8</v>
      </c>
      <c r="D11" s="30">
        <v>1</v>
      </c>
      <c r="E11" s="34" t="s">
        <v>21</v>
      </c>
      <c r="F11" s="34" t="s">
        <v>21</v>
      </c>
      <c r="G11" s="34" t="s">
        <v>21</v>
      </c>
      <c r="H11" s="42">
        <f t="shared" si="0"/>
        <v>8</v>
      </c>
      <c r="I11" s="30"/>
    </row>
    <row r="12" spans="1:9">
      <c r="A12" s="30"/>
      <c r="B12" s="31" t="s">
        <v>3246</v>
      </c>
      <c r="C12" s="30">
        <v>8</v>
      </c>
      <c r="D12" s="30">
        <v>1</v>
      </c>
      <c r="E12" s="34" t="s">
        <v>21</v>
      </c>
      <c r="F12" s="34" t="s">
        <v>21</v>
      </c>
      <c r="G12" s="34" t="s">
        <v>21</v>
      </c>
      <c r="H12" s="42">
        <f t="shared" si="0"/>
        <v>8</v>
      </c>
      <c r="I12" s="30"/>
    </row>
    <row r="13" spans="1:9">
      <c r="A13" s="30"/>
      <c r="B13" s="31" t="s">
        <v>5300</v>
      </c>
      <c r="C13" s="30">
        <v>8</v>
      </c>
      <c r="D13" s="30">
        <v>2</v>
      </c>
      <c r="E13" s="34" t="s">
        <v>21</v>
      </c>
      <c r="F13" s="34" t="s">
        <v>21</v>
      </c>
      <c r="G13" s="34" t="s">
        <v>21</v>
      </c>
      <c r="H13" s="42">
        <f t="shared" si="0"/>
        <v>16</v>
      </c>
      <c r="I13" s="30"/>
    </row>
    <row r="14" spans="1:9">
      <c r="A14" s="30"/>
      <c r="B14" s="31" t="s">
        <v>5294</v>
      </c>
      <c r="C14" s="30">
        <v>5</v>
      </c>
      <c r="D14" s="30">
        <v>2</v>
      </c>
      <c r="E14" s="34" t="s">
        <v>21</v>
      </c>
      <c r="F14" s="34" t="s">
        <v>21</v>
      </c>
      <c r="G14" s="34" t="s">
        <v>21</v>
      </c>
      <c r="H14" s="42">
        <f t="shared" si="0"/>
        <v>10</v>
      </c>
      <c r="I14" s="30"/>
    </row>
    <row r="15" spans="1:9">
      <c r="A15" s="30"/>
      <c r="B15" s="31" t="s">
        <v>3474</v>
      </c>
      <c r="C15" s="30">
        <v>8</v>
      </c>
      <c r="D15" s="30">
        <v>1</v>
      </c>
      <c r="E15" s="34" t="s">
        <v>21</v>
      </c>
      <c r="F15" s="34" t="s">
        <v>21</v>
      </c>
      <c r="G15" s="34" t="s">
        <v>21</v>
      </c>
      <c r="H15" s="42">
        <f t="shared" si="0"/>
        <v>8</v>
      </c>
      <c r="I15" s="30"/>
    </row>
    <row r="16" spans="1:9">
      <c r="A16" s="30"/>
      <c r="B16" s="31"/>
      <c r="C16" s="30"/>
      <c r="D16" s="30"/>
      <c r="E16" s="34"/>
      <c r="F16" s="34"/>
      <c r="G16" s="34"/>
      <c r="H16" s="43">
        <f>SUM(H9:H15)</f>
        <v>66</v>
      </c>
      <c r="I16" s="30" t="s">
        <v>340</v>
      </c>
    </row>
    <row r="17" spans="1:9" ht="31.5">
      <c r="A17" s="30"/>
      <c r="B17" s="745" t="s">
        <v>3251</v>
      </c>
      <c r="C17" s="30"/>
      <c r="D17" s="30"/>
      <c r="E17" s="34"/>
      <c r="F17" s="34"/>
      <c r="G17" s="34"/>
      <c r="H17" s="42"/>
      <c r="I17" s="30"/>
    </row>
    <row r="18" spans="1:9">
      <c r="A18" s="30"/>
      <c r="B18" s="31" t="s">
        <v>79</v>
      </c>
      <c r="C18" s="30">
        <v>8</v>
      </c>
      <c r="D18" s="30">
        <v>1</v>
      </c>
      <c r="E18" s="34" t="s">
        <v>21</v>
      </c>
      <c r="F18" s="34" t="s">
        <v>21</v>
      </c>
      <c r="G18" s="34" t="s">
        <v>21</v>
      </c>
      <c r="H18" s="42">
        <f>PRODUCT(C18:G18)</f>
        <v>8</v>
      </c>
      <c r="I18" s="30"/>
    </row>
    <row r="19" spans="1:9">
      <c r="A19" s="30"/>
      <c r="B19" s="31" t="s">
        <v>1</v>
      </c>
      <c r="C19" s="30">
        <v>8</v>
      </c>
      <c r="D19" s="30">
        <v>2</v>
      </c>
      <c r="E19" s="34" t="s">
        <v>21</v>
      </c>
      <c r="F19" s="34" t="s">
        <v>21</v>
      </c>
      <c r="G19" s="34" t="s">
        <v>21</v>
      </c>
      <c r="H19" s="42">
        <f>PRODUCT(C19:G19)</f>
        <v>16</v>
      </c>
      <c r="I19" s="30"/>
    </row>
    <row r="20" spans="1:9">
      <c r="A20" s="30"/>
      <c r="B20" s="31" t="s">
        <v>3185</v>
      </c>
      <c r="C20" s="30">
        <v>8</v>
      </c>
      <c r="D20" s="30">
        <v>1</v>
      </c>
      <c r="E20" s="34" t="s">
        <v>21</v>
      </c>
      <c r="F20" s="34" t="s">
        <v>21</v>
      </c>
      <c r="G20" s="34" t="s">
        <v>21</v>
      </c>
      <c r="H20" s="42">
        <f>PRODUCT(C20:G20)</f>
        <v>8</v>
      </c>
      <c r="I20" s="30"/>
    </row>
    <row r="21" spans="1:9">
      <c r="A21" s="30"/>
      <c r="B21" s="31"/>
      <c r="C21" s="30"/>
      <c r="D21" s="30"/>
      <c r="E21" s="34"/>
      <c r="F21" s="34"/>
      <c r="G21" s="34"/>
      <c r="H21" s="43">
        <f>SUM(H19:H20)</f>
        <v>24</v>
      </c>
      <c r="I21" s="30" t="s">
        <v>340</v>
      </c>
    </row>
    <row r="22" spans="1:9">
      <c r="A22" s="30"/>
      <c r="B22" s="31"/>
      <c r="C22" s="30"/>
      <c r="D22" s="30"/>
      <c r="E22" s="34"/>
      <c r="F22" s="34"/>
      <c r="G22" s="34"/>
      <c r="H22" s="42"/>
      <c r="I22" s="30"/>
    </row>
    <row r="23" spans="1:9" ht="63">
      <c r="A23" s="30">
        <v>2</v>
      </c>
      <c r="B23" s="745" t="s">
        <v>5296</v>
      </c>
      <c r="C23" s="30"/>
      <c r="D23" s="30"/>
      <c r="E23" s="34"/>
      <c r="F23" s="34"/>
      <c r="G23" s="34"/>
      <c r="H23" s="42"/>
      <c r="I23" s="30"/>
    </row>
    <row r="24" spans="1:9">
      <c r="A24" s="30"/>
      <c r="B24" s="31" t="s">
        <v>3181</v>
      </c>
      <c r="C24" s="30"/>
      <c r="D24" s="30"/>
      <c r="E24" s="34"/>
      <c r="F24" s="34"/>
      <c r="G24" s="34"/>
      <c r="H24" s="42"/>
      <c r="I24" s="30"/>
    </row>
    <row r="25" spans="1:9">
      <c r="A25" s="30"/>
      <c r="B25" s="31" t="s">
        <v>129</v>
      </c>
      <c r="C25" s="30">
        <v>8</v>
      </c>
      <c r="D25" s="30">
        <v>1</v>
      </c>
      <c r="E25" s="34" t="s">
        <v>21</v>
      </c>
      <c r="F25" s="34" t="s">
        <v>21</v>
      </c>
      <c r="G25" s="34" t="s">
        <v>21</v>
      </c>
      <c r="H25" s="42">
        <f>PRODUCT(C25:G25)</f>
        <v>8</v>
      </c>
      <c r="I25" s="30"/>
    </row>
    <row r="26" spans="1:9">
      <c r="A26" s="30"/>
      <c r="B26" s="31" t="s">
        <v>3185</v>
      </c>
      <c r="C26" s="30">
        <v>8</v>
      </c>
      <c r="D26" s="30">
        <v>1</v>
      </c>
      <c r="E26" s="34" t="s">
        <v>21</v>
      </c>
      <c r="F26" s="34" t="s">
        <v>21</v>
      </c>
      <c r="G26" s="34" t="s">
        <v>21</v>
      </c>
      <c r="H26" s="42">
        <f>PRODUCT(C26:G26)</f>
        <v>8</v>
      </c>
      <c r="I26" s="30"/>
    </row>
    <row r="27" spans="1:9">
      <c r="A27" s="30"/>
      <c r="B27" s="31" t="s">
        <v>79</v>
      </c>
      <c r="C27" s="30">
        <v>8</v>
      </c>
      <c r="D27" s="30">
        <v>1</v>
      </c>
      <c r="E27" s="34" t="s">
        <v>21</v>
      </c>
      <c r="F27" s="34" t="s">
        <v>21</v>
      </c>
      <c r="G27" s="34" t="s">
        <v>21</v>
      </c>
      <c r="H27" s="42">
        <f>PRODUCT(C27:G27)</f>
        <v>8</v>
      </c>
      <c r="I27" s="30"/>
    </row>
    <row r="28" spans="1:9">
      <c r="A28" s="30"/>
      <c r="B28" s="31" t="s">
        <v>3246</v>
      </c>
      <c r="C28" s="30">
        <v>8</v>
      </c>
      <c r="D28" s="30">
        <v>1</v>
      </c>
      <c r="E28" s="34" t="s">
        <v>21</v>
      </c>
      <c r="F28" s="34" t="s">
        <v>21</v>
      </c>
      <c r="G28" s="34" t="s">
        <v>21</v>
      </c>
      <c r="H28" s="42">
        <f>PRODUCT(C28:G28)</f>
        <v>8</v>
      </c>
      <c r="I28" s="30"/>
    </row>
    <row r="29" spans="1:9">
      <c r="A29" s="30"/>
      <c r="B29" s="31"/>
      <c r="C29" s="30"/>
      <c r="D29" s="30"/>
      <c r="E29" s="34"/>
      <c r="F29" s="34"/>
      <c r="G29" s="34"/>
      <c r="H29" s="43">
        <f>SUM(H25:H28)</f>
        <v>32</v>
      </c>
      <c r="I29" s="30" t="s">
        <v>340</v>
      </c>
    </row>
    <row r="30" spans="1:9" ht="63">
      <c r="A30" s="30">
        <v>3</v>
      </c>
      <c r="B30" s="745" t="s">
        <v>3254</v>
      </c>
      <c r="C30" s="30"/>
      <c r="D30" s="30"/>
      <c r="E30" s="34"/>
      <c r="F30" s="34"/>
      <c r="G30" s="34"/>
      <c r="H30" s="42"/>
      <c r="I30" s="30"/>
    </row>
    <row r="31" spans="1:9">
      <c r="A31" s="30"/>
      <c r="B31" s="31" t="s">
        <v>3181</v>
      </c>
      <c r="C31" s="30"/>
      <c r="D31" s="30"/>
      <c r="E31" s="34"/>
      <c r="F31" s="34"/>
      <c r="G31" s="34"/>
      <c r="H31" s="42"/>
      <c r="I31" s="30"/>
    </row>
    <row r="32" spans="1:9">
      <c r="A32" s="30"/>
      <c r="B32" s="31" t="s">
        <v>129</v>
      </c>
      <c r="C32" s="30">
        <v>8</v>
      </c>
      <c r="D32" s="30">
        <v>1</v>
      </c>
      <c r="E32" s="34" t="s">
        <v>21</v>
      </c>
      <c r="F32" s="34" t="s">
        <v>21</v>
      </c>
      <c r="G32" s="34" t="s">
        <v>21</v>
      </c>
      <c r="H32" s="42">
        <f>PRODUCT(C32:G32)</f>
        <v>8</v>
      </c>
      <c r="I32" s="30"/>
    </row>
    <row r="33" spans="1:9">
      <c r="A33" s="30"/>
      <c r="B33" s="31" t="s">
        <v>3185</v>
      </c>
      <c r="C33" s="30">
        <v>8</v>
      </c>
      <c r="D33" s="30">
        <v>1</v>
      </c>
      <c r="E33" s="34" t="s">
        <v>21</v>
      </c>
      <c r="F33" s="34" t="s">
        <v>21</v>
      </c>
      <c r="G33" s="34" t="s">
        <v>21</v>
      </c>
      <c r="H33" s="42">
        <f>PRODUCT(C33:G33)</f>
        <v>8</v>
      </c>
      <c r="I33" s="30"/>
    </row>
    <row r="34" spans="1:9">
      <c r="A34" s="30"/>
      <c r="B34" s="31" t="s">
        <v>3246</v>
      </c>
      <c r="C34" s="30">
        <v>8</v>
      </c>
      <c r="D34" s="30">
        <v>1</v>
      </c>
      <c r="E34" s="34" t="s">
        <v>21</v>
      </c>
      <c r="F34" s="34" t="s">
        <v>21</v>
      </c>
      <c r="G34" s="34" t="s">
        <v>21</v>
      </c>
      <c r="H34" s="42">
        <f>PRODUCT(C34:G34)</f>
        <v>8</v>
      </c>
      <c r="I34" s="30"/>
    </row>
    <row r="35" spans="1:9">
      <c r="A35" s="30"/>
      <c r="B35" s="31"/>
      <c r="C35" s="30"/>
      <c r="D35" s="30"/>
      <c r="E35" s="34"/>
      <c r="F35" s="34"/>
      <c r="G35" s="34"/>
      <c r="H35" s="43">
        <f>SUM(H31:H34)</f>
        <v>24</v>
      </c>
      <c r="I35" s="30" t="s">
        <v>340</v>
      </c>
    </row>
    <row r="36" spans="1:9" ht="47.25">
      <c r="A36" s="30">
        <v>4</v>
      </c>
      <c r="B36" s="726" t="s">
        <v>3255</v>
      </c>
      <c r="C36" s="30"/>
      <c r="D36" s="30"/>
      <c r="E36" s="34"/>
      <c r="F36" s="34"/>
      <c r="G36" s="34"/>
      <c r="H36" s="42"/>
      <c r="I36" s="30"/>
    </row>
    <row r="37" spans="1:9">
      <c r="A37" s="30"/>
      <c r="B37" s="31" t="s">
        <v>3181</v>
      </c>
      <c r="C37" s="30"/>
      <c r="D37" s="30"/>
      <c r="E37" s="34"/>
      <c r="F37" s="34"/>
      <c r="G37" s="34"/>
      <c r="H37" s="42"/>
      <c r="I37" s="30"/>
    </row>
    <row r="38" spans="1:9">
      <c r="A38" s="30"/>
      <c r="B38" s="31" t="s">
        <v>129</v>
      </c>
      <c r="C38" s="30">
        <v>8</v>
      </c>
      <c r="D38" s="30">
        <v>1</v>
      </c>
      <c r="E38" s="34" t="s">
        <v>21</v>
      </c>
      <c r="F38" s="34" t="s">
        <v>21</v>
      </c>
      <c r="G38" s="34" t="s">
        <v>21</v>
      </c>
      <c r="H38" s="42">
        <f>PRODUCT(C38:G38)</f>
        <v>8</v>
      </c>
      <c r="I38" s="30"/>
    </row>
    <row r="39" spans="1:9">
      <c r="A39" s="30"/>
      <c r="B39" s="31" t="s">
        <v>79</v>
      </c>
      <c r="C39" s="30">
        <v>8</v>
      </c>
      <c r="D39" s="30">
        <v>1</v>
      </c>
      <c r="E39" s="34" t="s">
        <v>21</v>
      </c>
      <c r="F39" s="34" t="s">
        <v>21</v>
      </c>
      <c r="G39" s="34" t="s">
        <v>21</v>
      </c>
      <c r="H39" s="42">
        <f>PRODUCT(C39:G39)</f>
        <v>8</v>
      </c>
      <c r="I39" s="30"/>
    </row>
    <row r="40" spans="1:9">
      <c r="A40" s="30"/>
      <c r="B40" s="31" t="s">
        <v>3738</v>
      </c>
      <c r="C40" s="30">
        <v>8</v>
      </c>
      <c r="D40" s="30">
        <v>1</v>
      </c>
      <c r="E40" s="34" t="s">
        <v>21</v>
      </c>
      <c r="F40" s="34" t="s">
        <v>21</v>
      </c>
      <c r="G40" s="34" t="s">
        <v>21</v>
      </c>
      <c r="H40" s="42">
        <f>PRODUCT(C40:G40)</f>
        <v>8</v>
      </c>
      <c r="I40" s="30"/>
    </row>
    <row r="41" spans="1:9">
      <c r="A41" s="30"/>
      <c r="B41" s="31" t="s">
        <v>3246</v>
      </c>
      <c r="C41" s="30">
        <v>5</v>
      </c>
      <c r="D41" s="30">
        <v>2</v>
      </c>
      <c r="E41" s="34" t="s">
        <v>21</v>
      </c>
      <c r="F41" s="34" t="s">
        <v>21</v>
      </c>
      <c r="G41" s="34" t="s">
        <v>21</v>
      </c>
      <c r="H41" s="42">
        <f>PRODUCT(C41:G41)</f>
        <v>10</v>
      </c>
      <c r="I41" s="30"/>
    </row>
    <row r="42" spans="1:9">
      <c r="A42" s="30"/>
      <c r="B42" s="31"/>
      <c r="C42" s="30"/>
      <c r="D42" s="30"/>
      <c r="E42" s="34"/>
      <c r="F42" s="34"/>
      <c r="G42" s="34"/>
      <c r="H42" s="43">
        <f>SUM(H37:H41)</f>
        <v>34</v>
      </c>
      <c r="I42" s="30" t="s">
        <v>340</v>
      </c>
    </row>
    <row r="43" spans="1:9" ht="64.150000000000006" customHeight="1">
      <c r="A43" s="30">
        <v>5</v>
      </c>
      <c r="B43" s="726" t="s">
        <v>3256</v>
      </c>
      <c r="C43" s="30"/>
      <c r="D43" s="30"/>
      <c r="E43" s="34"/>
      <c r="F43" s="34"/>
      <c r="G43" s="34"/>
      <c r="H43" s="42"/>
      <c r="I43" s="30"/>
    </row>
    <row r="44" spans="1:9">
      <c r="A44" s="30"/>
      <c r="B44" s="31" t="s">
        <v>3257</v>
      </c>
      <c r="C44" s="30">
        <v>8</v>
      </c>
      <c r="D44" s="30">
        <v>1</v>
      </c>
      <c r="E44" s="34" t="s">
        <v>21</v>
      </c>
      <c r="F44" s="34" t="s">
        <v>21</v>
      </c>
      <c r="G44" s="34" t="s">
        <v>21</v>
      </c>
      <c r="H44" s="43">
        <f>PRODUCT(C44:G44)</f>
        <v>8</v>
      </c>
      <c r="I44" s="30" t="s">
        <v>340</v>
      </c>
    </row>
    <row r="45" spans="1:9">
      <c r="A45" s="30"/>
      <c r="B45" s="31"/>
      <c r="C45" s="30"/>
      <c r="D45" s="30"/>
      <c r="E45" s="34"/>
      <c r="F45" s="34"/>
      <c r="G45" s="34"/>
      <c r="H45" s="42"/>
      <c r="I45" s="30"/>
    </row>
    <row r="46" spans="1:9" ht="54" customHeight="1">
      <c r="A46" s="30">
        <v>6</v>
      </c>
      <c r="B46" s="726" t="s">
        <v>3258</v>
      </c>
      <c r="C46" s="30"/>
      <c r="D46" s="30"/>
      <c r="E46" s="34"/>
      <c r="F46" s="34"/>
      <c r="G46" s="34"/>
      <c r="H46" s="42"/>
      <c r="I46" s="30"/>
    </row>
    <row r="47" spans="1:9">
      <c r="A47" s="30"/>
      <c r="B47" s="726" t="s">
        <v>5297</v>
      </c>
      <c r="C47" s="30"/>
      <c r="D47" s="30"/>
      <c r="E47" s="34"/>
      <c r="F47" s="34"/>
      <c r="G47" s="34"/>
      <c r="H47" s="42"/>
      <c r="I47" s="30"/>
    </row>
    <row r="48" spans="1:9" ht="16.149999999999999" customHeight="1">
      <c r="A48" s="30"/>
      <c r="B48" s="750" t="s">
        <v>1</v>
      </c>
      <c r="C48" s="30">
        <v>8</v>
      </c>
      <c r="D48" s="30">
        <v>2</v>
      </c>
      <c r="E48" s="34" t="s">
        <v>21</v>
      </c>
      <c r="F48" s="34" t="s">
        <v>21</v>
      </c>
      <c r="G48" s="34" t="s">
        <v>21</v>
      </c>
      <c r="H48" s="42">
        <f>PRODUCT(C48:G48)</f>
        <v>16</v>
      </c>
      <c r="I48" s="30"/>
    </row>
    <row r="49" spans="1:9">
      <c r="A49" s="30"/>
      <c r="B49" s="31" t="s">
        <v>79</v>
      </c>
      <c r="C49" s="30">
        <v>8</v>
      </c>
      <c r="D49" s="30">
        <v>1</v>
      </c>
      <c r="E49" s="34" t="s">
        <v>21</v>
      </c>
      <c r="F49" s="34" t="s">
        <v>21</v>
      </c>
      <c r="G49" s="34" t="s">
        <v>21</v>
      </c>
      <c r="H49" s="42">
        <f>PRODUCT(C49:G49)</f>
        <v>8</v>
      </c>
      <c r="I49" s="30"/>
    </row>
    <row r="50" spans="1:9" ht="16.149999999999999" customHeight="1">
      <c r="A50" s="30"/>
      <c r="B50" s="750" t="s">
        <v>5298</v>
      </c>
      <c r="C50" s="30">
        <v>8</v>
      </c>
      <c r="D50" s="30">
        <v>1</v>
      </c>
      <c r="E50" s="34" t="s">
        <v>21</v>
      </c>
      <c r="F50" s="34" t="s">
        <v>21</v>
      </c>
      <c r="G50" s="34" t="s">
        <v>21</v>
      </c>
      <c r="H50" s="42">
        <f>PRODUCT(C50:G50)</f>
        <v>8</v>
      </c>
      <c r="I50" s="30"/>
    </row>
    <row r="51" spans="1:9">
      <c r="A51" s="30"/>
      <c r="B51" s="726" t="s">
        <v>3259</v>
      </c>
      <c r="C51" s="30"/>
      <c r="D51" s="30"/>
      <c r="E51" s="34"/>
      <c r="F51" s="34"/>
      <c r="G51" s="34"/>
      <c r="H51" s="43">
        <f>SUM(H48:H50)</f>
        <v>32</v>
      </c>
      <c r="I51" s="30" t="s">
        <v>340</v>
      </c>
    </row>
    <row r="52" spans="1:9">
      <c r="A52" s="30"/>
      <c r="B52" s="31" t="s">
        <v>3257</v>
      </c>
      <c r="C52" s="30">
        <v>8</v>
      </c>
      <c r="D52" s="30">
        <v>2</v>
      </c>
      <c r="E52" s="34" t="s">
        <v>21</v>
      </c>
      <c r="F52" s="34" t="s">
        <v>21</v>
      </c>
      <c r="G52" s="34" t="s">
        <v>21</v>
      </c>
      <c r="H52" s="42">
        <f>PRODUCT(C52:G52)</f>
        <v>16</v>
      </c>
      <c r="I52" s="30"/>
    </row>
    <row r="53" spans="1:9">
      <c r="A53" s="30"/>
      <c r="B53" s="31"/>
      <c r="C53" s="30"/>
      <c r="D53" s="30"/>
      <c r="E53" s="34"/>
      <c r="F53" s="34"/>
      <c r="G53" s="34"/>
      <c r="H53" s="43">
        <f>SUM(H52:H52)</f>
        <v>16</v>
      </c>
      <c r="I53" s="30" t="s">
        <v>340</v>
      </c>
    </row>
    <row r="54" spans="1:9">
      <c r="A54" s="30"/>
      <c r="B54" s="31"/>
      <c r="C54" s="30"/>
      <c r="D54" s="30"/>
      <c r="E54" s="34"/>
      <c r="F54" s="34"/>
      <c r="G54" s="34"/>
      <c r="H54" s="42"/>
      <c r="I54" s="30"/>
    </row>
    <row r="55" spans="1:9" ht="67.900000000000006" customHeight="1">
      <c r="A55" s="30">
        <v>7</v>
      </c>
      <c r="B55" s="726" t="s">
        <v>3260</v>
      </c>
      <c r="C55" s="30"/>
      <c r="D55" s="30"/>
      <c r="E55" s="34"/>
      <c r="F55" s="34"/>
      <c r="G55" s="34"/>
      <c r="H55" s="42"/>
      <c r="I55" s="30"/>
    </row>
    <row r="56" spans="1:9">
      <c r="A56" s="30"/>
      <c r="B56" s="31" t="s">
        <v>3593</v>
      </c>
      <c r="C56" s="30"/>
      <c r="D56" s="30"/>
      <c r="E56" s="34"/>
      <c r="F56" s="34"/>
      <c r="G56" s="34"/>
      <c r="H56" s="42"/>
      <c r="I56" s="30"/>
    </row>
    <row r="57" spans="1:9">
      <c r="A57" s="30"/>
      <c r="B57" s="31" t="s">
        <v>3245</v>
      </c>
      <c r="C57" s="30">
        <v>8</v>
      </c>
      <c r="D57" s="30">
        <v>1</v>
      </c>
      <c r="E57" s="34" t="s">
        <v>21</v>
      </c>
      <c r="F57" s="34" t="s">
        <v>21</v>
      </c>
      <c r="G57" s="34" t="s">
        <v>21</v>
      </c>
      <c r="H57" s="42">
        <f t="shared" ref="H57:H60" si="1">PRODUCT(C57:G57)</f>
        <v>8</v>
      </c>
      <c r="I57" s="30"/>
    </row>
    <row r="58" spans="1:9">
      <c r="A58" s="30"/>
      <c r="B58" s="31" t="s">
        <v>129</v>
      </c>
      <c r="C58" s="30">
        <v>8</v>
      </c>
      <c r="D58" s="30">
        <v>1</v>
      </c>
      <c r="E58" s="34" t="s">
        <v>21</v>
      </c>
      <c r="F58" s="34" t="s">
        <v>21</v>
      </c>
      <c r="G58" s="34" t="s">
        <v>21</v>
      </c>
      <c r="H58" s="42">
        <f t="shared" si="1"/>
        <v>8</v>
      </c>
      <c r="I58" s="30"/>
    </row>
    <row r="59" spans="1:9">
      <c r="A59" s="30"/>
      <c r="B59" s="31" t="s">
        <v>3185</v>
      </c>
      <c r="C59" s="30">
        <v>8</v>
      </c>
      <c r="D59" s="30">
        <v>1</v>
      </c>
      <c r="E59" s="34" t="s">
        <v>21</v>
      </c>
      <c r="F59" s="34" t="s">
        <v>21</v>
      </c>
      <c r="G59" s="34" t="s">
        <v>21</v>
      </c>
      <c r="H59" s="42">
        <f t="shared" si="1"/>
        <v>8</v>
      </c>
      <c r="I59" s="30"/>
    </row>
    <row r="60" spans="1:9">
      <c r="A60" s="30"/>
      <c r="B60" s="31" t="s">
        <v>3246</v>
      </c>
      <c r="C60" s="30">
        <v>8</v>
      </c>
      <c r="D60" s="30">
        <v>1</v>
      </c>
      <c r="E60" s="34" t="s">
        <v>21</v>
      </c>
      <c r="F60" s="34" t="s">
        <v>21</v>
      </c>
      <c r="G60" s="34" t="s">
        <v>21</v>
      </c>
      <c r="H60" s="42">
        <f t="shared" si="1"/>
        <v>8</v>
      </c>
      <c r="I60" s="30"/>
    </row>
    <row r="61" spans="1:9">
      <c r="A61" s="30"/>
      <c r="B61" s="31"/>
      <c r="C61" s="30"/>
      <c r="D61" s="30"/>
      <c r="E61" s="34"/>
      <c r="F61" s="34"/>
      <c r="G61" s="34"/>
      <c r="H61" s="43">
        <f>SUM(H57:H60)</f>
        <v>32</v>
      </c>
      <c r="I61" s="30" t="s">
        <v>340</v>
      </c>
    </row>
    <row r="62" spans="1:9">
      <c r="A62" s="30"/>
      <c r="B62" s="31"/>
      <c r="C62" s="30"/>
      <c r="D62" s="30"/>
      <c r="E62" s="34"/>
      <c r="F62" s="34"/>
      <c r="G62" s="34"/>
      <c r="H62" s="42"/>
      <c r="I62" s="30"/>
    </row>
    <row r="63" spans="1:9" ht="58.15" customHeight="1">
      <c r="A63" s="30">
        <v>8</v>
      </c>
      <c r="B63" s="726" t="s">
        <v>3261</v>
      </c>
      <c r="C63" s="30"/>
      <c r="D63" s="30"/>
      <c r="E63" s="34"/>
      <c r="F63" s="34"/>
      <c r="G63" s="34"/>
      <c r="H63" s="42"/>
      <c r="I63" s="30"/>
    </row>
    <row r="64" spans="1:9">
      <c r="A64" s="30"/>
      <c r="B64" s="31" t="s">
        <v>3594</v>
      </c>
      <c r="C64" s="30">
        <v>5</v>
      </c>
      <c r="D64" s="30">
        <v>2</v>
      </c>
      <c r="E64" s="34" t="s">
        <v>21</v>
      </c>
      <c r="F64" s="34" t="s">
        <v>21</v>
      </c>
      <c r="G64" s="34" t="s">
        <v>21</v>
      </c>
      <c r="H64" s="42">
        <f>PRODUCT(C64:G64)</f>
        <v>10</v>
      </c>
      <c r="I64" s="30"/>
    </row>
    <row r="65" spans="1:9">
      <c r="A65" s="30"/>
      <c r="B65" s="31"/>
      <c r="C65" s="30"/>
      <c r="D65" s="30"/>
      <c r="E65" s="34"/>
      <c r="F65" s="34"/>
      <c r="G65" s="34"/>
      <c r="H65" s="43">
        <f>SUM(H64:H64)</f>
        <v>10</v>
      </c>
      <c r="I65" s="30" t="s">
        <v>340</v>
      </c>
    </row>
    <row r="66" spans="1:9">
      <c r="A66" s="30"/>
      <c r="B66" s="31"/>
      <c r="C66" s="30"/>
      <c r="D66" s="30"/>
      <c r="E66" s="34"/>
      <c r="F66" s="34"/>
      <c r="G66" s="34"/>
      <c r="H66" s="42"/>
      <c r="I66" s="30"/>
    </row>
    <row r="67" spans="1:9" ht="61.15" customHeight="1">
      <c r="A67" s="30">
        <v>9</v>
      </c>
      <c r="B67" s="795" t="s">
        <v>3264</v>
      </c>
      <c r="C67" s="30"/>
      <c r="D67" s="30"/>
      <c r="E67" s="34"/>
      <c r="F67" s="34"/>
      <c r="G67" s="34"/>
      <c r="H67" s="42"/>
      <c r="I67" s="30"/>
    </row>
    <row r="68" spans="1:9">
      <c r="A68" s="30"/>
      <c r="B68" s="31" t="s">
        <v>3189</v>
      </c>
      <c r="C68" s="30">
        <v>5</v>
      </c>
      <c r="D68" s="30">
        <v>2</v>
      </c>
      <c r="E68" s="34">
        <v>40</v>
      </c>
      <c r="F68" s="34" t="s">
        <v>21</v>
      </c>
      <c r="G68" s="34" t="s">
        <v>21</v>
      </c>
      <c r="H68" s="42">
        <f>PRODUCT(C68:G68)</f>
        <v>400</v>
      </c>
      <c r="I68" s="30"/>
    </row>
    <row r="69" spans="1:9">
      <c r="A69" s="30"/>
      <c r="B69" s="31"/>
      <c r="C69" s="30"/>
      <c r="D69" s="30"/>
      <c r="E69" s="34"/>
      <c r="F69" s="34"/>
      <c r="G69" s="34"/>
      <c r="H69" s="43">
        <f>SUM(H68:H68)</f>
        <v>400</v>
      </c>
      <c r="I69" s="30" t="s">
        <v>303</v>
      </c>
    </row>
    <row r="70" spans="1:9">
      <c r="A70" s="30"/>
      <c r="B70" s="31"/>
      <c r="C70" s="30"/>
      <c r="D70" s="30"/>
      <c r="E70" s="34"/>
      <c r="F70" s="34"/>
      <c r="G70" s="34"/>
      <c r="H70" s="42"/>
      <c r="I70" s="30"/>
    </row>
    <row r="71" spans="1:9" ht="70.900000000000006" customHeight="1">
      <c r="A71" s="30">
        <v>10</v>
      </c>
      <c r="B71" s="754" t="s">
        <v>5299</v>
      </c>
      <c r="C71" s="30"/>
      <c r="D71" s="30"/>
      <c r="E71" s="34"/>
      <c r="F71" s="34"/>
      <c r="G71" s="34"/>
      <c r="H71" s="42"/>
      <c r="I71" s="30"/>
    </row>
    <row r="72" spans="1:9">
      <c r="A72" s="30"/>
      <c r="B72" s="31" t="s">
        <v>3197</v>
      </c>
      <c r="C72" s="30">
        <v>8</v>
      </c>
      <c r="D72" s="30">
        <v>1</v>
      </c>
      <c r="E72" s="34">
        <v>35</v>
      </c>
      <c r="F72" s="34" t="s">
        <v>21</v>
      </c>
      <c r="G72" s="34" t="s">
        <v>21</v>
      </c>
      <c r="H72" s="42">
        <f>PRODUCT(C72:G72)</f>
        <v>280</v>
      </c>
      <c r="I72" s="30"/>
    </row>
    <row r="73" spans="1:9">
      <c r="A73" s="30"/>
      <c r="B73" s="31"/>
      <c r="C73" s="30"/>
      <c r="D73" s="30"/>
      <c r="E73" s="34"/>
      <c r="F73" s="34"/>
      <c r="G73" s="34"/>
      <c r="H73" s="43">
        <f>SUM(H72:H72)</f>
        <v>280</v>
      </c>
      <c r="I73" s="30" t="s">
        <v>303</v>
      </c>
    </row>
    <row r="74" spans="1:9" ht="126">
      <c r="A74" s="30">
        <v>11</v>
      </c>
      <c r="B74" s="796" t="s">
        <v>3565</v>
      </c>
      <c r="C74" s="30"/>
      <c r="D74" s="30"/>
      <c r="E74" s="34"/>
      <c r="F74" s="34"/>
      <c r="G74" s="34"/>
      <c r="H74" s="42"/>
      <c r="I74" s="30"/>
    </row>
    <row r="75" spans="1:9">
      <c r="A75" s="30"/>
      <c r="B75" s="31" t="s">
        <v>3595</v>
      </c>
      <c r="C75" s="30">
        <v>8</v>
      </c>
      <c r="D75" s="30">
        <v>1</v>
      </c>
      <c r="E75" s="34" t="s">
        <v>21</v>
      </c>
      <c r="F75" s="34" t="s">
        <v>21</v>
      </c>
      <c r="G75" s="34" t="s">
        <v>21</v>
      </c>
      <c r="H75" s="32">
        <f>PRODUCT(C75:G75)</f>
        <v>8</v>
      </c>
      <c r="I75" s="30"/>
    </row>
    <row r="76" spans="1:9">
      <c r="A76" s="30"/>
      <c r="B76" s="31"/>
      <c r="C76" s="30"/>
      <c r="D76" s="30"/>
      <c r="E76" s="34"/>
      <c r="F76" s="34"/>
      <c r="G76" s="34"/>
      <c r="H76" s="43">
        <f>SUM(H75:H75)</f>
        <v>8</v>
      </c>
      <c r="I76" s="30" t="s">
        <v>340</v>
      </c>
    </row>
    <row r="77" spans="1:9">
      <c r="A77" s="30"/>
      <c r="B77" s="31"/>
      <c r="C77" s="30"/>
      <c r="D77" s="30"/>
      <c r="E77" s="34"/>
      <c r="F77" s="34"/>
      <c r="G77" s="34"/>
      <c r="H77" s="43"/>
      <c r="I77" s="30"/>
    </row>
    <row r="78" spans="1:9" ht="60" customHeight="1">
      <c r="A78" s="30">
        <v>12</v>
      </c>
      <c r="B78" s="754" t="str">
        <f>'INS- Elec '!B81</f>
        <v xml:space="preserve">Supply and fixing ofTNEB Meter board suitable for 3 phase 63 A service connection made up of suitable angle </v>
      </c>
      <c r="C78" s="30"/>
      <c r="D78" s="30"/>
      <c r="E78" s="34"/>
      <c r="F78" s="34"/>
      <c r="G78" s="34"/>
      <c r="H78" s="42"/>
      <c r="I78" s="30"/>
    </row>
    <row r="79" spans="1:9">
      <c r="A79" s="30"/>
      <c r="B79" s="31" t="s">
        <v>3206</v>
      </c>
      <c r="C79" s="30">
        <v>8</v>
      </c>
      <c r="D79" s="30">
        <v>1</v>
      </c>
      <c r="E79" s="34" t="s">
        <v>21</v>
      </c>
      <c r="F79" s="34" t="s">
        <v>21</v>
      </c>
      <c r="G79" s="34" t="s">
        <v>21</v>
      </c>
      <c r="H79" s="797">
        <f>PRODUCT(C79:G79)</f>
        <v>8</v>
      </c>
      <c r="I79" s="30" t="s">
        <v>340</v>
      </c>
    </row>
    <row r="80" spans="1:9">
      <c r="A80" s="30"/>
      <c r="B80" s="31"/>
      <c r="C80" s="30"/>
      <c r="D80" s="30"/>
      <c r="E80" s="34"/>
      <c r="F80" s="34"/>
      <c r="G80" s="34"/>
      <c r="H80" s="42"/>
      <c r="I80" s="30"/>
    </row>
    <row r="81" spans="1:9" ht="57" customHeight="1">
      <c r="A81" s="30">
        <v>14</v>
      </c>
      <c r="B81" s="795" t="s">
        <v>3725</v>
      </c>
      <c r="C81" s="30"/>
      <c r="D81" s="30"/>
      <c r="E81" s="34"/>
      <c r="F81" s="34"/>
      <c r="G81" s="34"/>
      <c r="H81" s="42"/>
      <c r="I81" s="30"/>
    </row>
    <row r="82" spans="1:9">
      <c r="A82" s="30"/>
      <c r="B82" s="31" t="s">
        <v>3722</v>
      </c>
      <c r="C82" s="30">
        <v>8</v>
      </c>
      <c r="D82" s="30">
        <v>1</v>
      </c>
      <c r="E82" s="34">
        <v>5</v>
      </c>
      <c r="F82" s="34"/>
      <c r="G82" s="34"/>
      <c r="H82" s="797">
        <f>PRODUCT(C82:G82)</f>
        <v>40</v>
      </c>
      <c r="I82" s="30" t="s">
        <v>303</v>
      </c>
    </row>
    <row r="83" spans="1:9">
      <c r="A83" s="30"/>
      <c r="B83" s="31"/>
      <c r="C83" s="30"/>
      <c r="D83" s="30"/>
      <c r="E83" s="34"/>
      <c r="F83" s="34"/>
      <c r="G83" s="34"/>
      <c r="H83" s="42"/>
      <c r="I83" s="30"/>
    </row>
    <row r="84" spans="1:9" ht="47.25">
      <c r="A84" s="30">
        <v>15</v>
      </c>
      <c r="B84" s="754" t="s">
        <v>5365</v>
      </c>
      <c r="C84" s="30"/>
      <c r="D84" s="30"/>
      <c r="E84" s="34"/>
      <c r="F84" s="34"/>
      <c r="G84" s="34"/>
      <c r="H84" s="42"/>
      <c r="I84" s="30"/>
    </row>
    <row r="85" spans="1:9">
      <c r="A85" s="30"/>
      <c r="B85" s="31" t="s">
        <v>5366</v>
      </c>
      <c r="C85" s="30">
        <v>1</v>
      </c>
      <c r="D85" s="30">
        <v>8</v>
      </c>
      <c r="E85" s="34">
        <v>3</v>
      </c>
      <c r="F85" s="34" t="s">
        <v>21</v>
      </c>
      <c r="G85" s="34" t="s">
        <v>21</v>
      </c>
      <c r="H85" s="797">
        <f>PRODUCT(C85:G85)</f>
        <v>24</v>
      </c>
      <c r="I85" s="30" t="s">
        <v>303</v>
      </c>
    </row>
  </sheetData>
  <mergeCells count="5">
    <mergeCell ref="A1:I1"/>
    <mergeCell ref="A2:I2"/>
    <mergeCell ref="A4:I4"/>
    <mergeCell ref="C5:D5"/>
    <mergeCell ref="A3:I3"/>
  </mergeCells>
  <pageMargins left="0.23622047244094491" right="0.23622047244094491" top="0.74803149606299213" bottom="0.74803149606299213" header="0.31496062992125984" footer="0.31496062992125984"/>
  <pageSetup paperSize="9" orientation="portrait" r:id="rId1"/>
</worksheet>
</file>

<file path=xl/worksheets/sheet28.xml><?xml version="1.0" encoding="utf-8"?>
<worksheet xmlns="http://schemas.openxmlformats.org/spreadsheetml/2006/main" xmlns:r="http://schemas.openxmlformats.org/officeDocument/2006/relationships">
  <sheetPr codeName="Sheet30">
    <tabColor rgb="FF7030A0"/>
  </sheetPr>
  <dimension ref="A1:H45"/>
  <sheetViews>
    <sheetView view="pageBreakPreview" topLeftCell="A16" zoomScale="90" zoomScaleSheetLayoutView="90" workbookViewId="0">
      <selection activeCell="L28" sqref="L28"/>
    </sheetView>
  </sheetViews>
  <sheetFormatPr defaultColWidth="9.140625" defaultRowHeight="15.75"/>
  <cols>
    <col min="1" max="1" width="7.42578125" style="561" customWidth="1"/>
    <col min="2" max="2" width="30.140625" style="561" customWidth="1"/>
    <col min="3" max="3" width="6" style="561" customWidth="1"/>
    <col min="4" max="4" width="5.85546875" style="561" customWidth="1"/>
    <col min="5" max="5" width="7.5703125" style="561" customWidth="1"/>
    <col min="6" max="7" width="6.5703125" style="561" customWidth="1"/>
    <col min="8" max="16384" width="9.140625" style="561"/>
  </cols>
  <sheetData>
    <row r="1" spans="1:8">
      <c r="A1" s="2054" t="s">
        <v>3493</v>
      </c>
      <c r="B1" s="2055"/>
      <c r="C1" s="2055"/>
      <c r="D1" s="2055"/>
      <c r="E1" s="2055"/>
      <c r="F1" s="2055"/>
      <c r="G1" s="2055"/>
      <c r="H1" s="2055"/>
    </row>
    <row r="2" spans="1:8">
      <c r="A2" s="2056" t="s">
        <v>3494</v>
      </c>
      <c r="B2" s="2055"/>
      <c r="C2" s="2055"/>
      <c r="D2" s="2055"/>
      <c r="E2" s="2055"/>
      <c r="F2" s="2055"/>
      <c r="G2" s="2055"/>
      <c r="H2" s="2055"/>
    </row>
    <row r="3" spans="1:8">
      <c r="A3" s="2059" t="s">
        <v>3197</v>
      </c>
      <c r="B3" s="2060"/>
      <c r="C3" s="2060"/>
      <c r="D3" s="2060"/>
      <c r="E3" s="2060"/>
      <c r="F3" s="2060"/>
      <c r="G3" s="2060"/>
      <c r="H3" s="2061"/>
    </row>
    <row r="4" spans="1:8">
      <c r="A4" s="2056" t="s">
        <v>3495</v>
      </c>
      <c r="B4" s="2055"/>
      <c r="C4" s="2055"/>
      <c r="D4" s="2055"/>
      <c r="E4" s="2055"/>
      <c r="F4" s="2055"/>
      <c r="G4" s="2055"/>
      <c r="H4" s="2055"/>
    </row>
    <row r="5" spans="1:8" ht="15" customHeight="1">
      <c r="A5" s="2057" t="s">
        <v>3496</v>
      </c>
      <c r="B5" s="2057" t="s">
        <v>3497</v>
      </c>
      <c r="C5" s="2057" t="s">
        <v>1717</v>
      </c>
      <c r="D5" s="2057"/>
      <c r="E5" s="2057" t="s">
        <v>3498</v>
      </c>
      <c r="F5" s="2057"/>
      <c r="G5" s="2057"/>
      <c r="H5" s="2058" t="s">
        <v>3</v>
      </c>
    </row>
    <row r="6" spans="1:8">
      <c r="A6" s="2057"/>
      <c r="B6" s="2057"/>
      <c r="C6" s="2057"/>
      <c r="D6" s="2057"/>
      <c r="E6" s="788" t="s">
        <v>5</v>
      </c>
      <c r="F6" s="788" t="s">
        <v>6</v>
      </c>
      <c r="G6" s="788" t="s">
        <v>7</v>
      </c>
      <c r="H6" s="2058"/>
    </row>
    <row r="7" spans="1:8" ht="45" customHeight="1">
      <c r="A7" s="672">
        <v>1.6</v>
      </c>
      <c r="B7" s="673" t="s">
        <v>3499</v>
      </c>
      <c r="C7" s="673"/>
      <c r="D7" s="673"/>
      <c r="E7" s="673"/>
      <c r="F7" s="673"/>
      <c r="G7" s="673"/>
      <c r="H7" s="674"/>
    </row>
    <row r="8" spans="1:8">
      <c r="A8" s="672"/>
      <c r="B8" s="786" t="s">
        <v>3500</v>
      </c>
      <c r="C8" s="673">
        <v>1</v>
      </c>
      <c r="D8" s="675">
        <v>1</v>
      </c>
      <c r="E8" s="676">
        <v>45</v>
      </c>
      <c r="F8" s="676">
        <v>0.6</v>
      </c>
      <c r="G8" s="676">
        <v>0.4</v>
      </c>
      <c r="H8" s="677">
        <f>ROUND(PRODUCT(C8:G8),2)</f>
        <v>10.8</v>
      </c>
    </row>
    <row r="9" spans="1:8">
      <c r="A9" s="672"/>
      <c r="B9" s="786" t="s">
        <v>337</v>
      </c>
      <c r="C9" s="673"/>
      <c r="D9" s="675"/>
      <c r="E9" s="676"/>
      <c r="F9" s="676"/>
      <c r="G9" s="678"/>
      <c r="H9" s="677"/>
    </row>
    <row r="10" spans="1:8">
      <c r="A10" s="672"/>
      <c r="B10" s="786"/>
      <c r="C10" s="673"/>
      <c r="D10" s="675"/>
      <c r="E10" s="676"/>
      <c r="F10" s="676"/>
      <c r="G10" s="676"/>
      <c r="H10" s="679">
        <f>SUM(H8:H9)</f>
        <v>10.8</v>
      </c>
    </row>
    <row r="11" spans="1:8" ht="31.5">
      <c r="A11" s="672">
        <v>2.1</v>
      </c>
      <c r="B11" s="786" t="s">
        <v>3501</v>
      </c>
      <c r="C11" s="673"/>
      <c r="D11" s="675"/>
      <c r="E11" s="676"/>
      <c r="F11" s="676"/>
      <c r="G11" s="676"/>
      <c r="H11" s="679"/>
    </row>
    <row r="12" spans="1:8">
      <c r="A12" s="672"/>
      <c r="B12" s="786" t="s">
        <v>3502</v>
      </c>
      <c r="C12" s="673">
        <v>1</v>
      </c>
      <c r="D12" s="675">
        <v>1</v>
      </c>
      <c r="E12" s="676">
        <f>E8</f>
        <v>45</v>
      </c>
      <c r="F12" s="676">
        <v>0.6</v>
      </c>
      <c r="G12" s="676">
        <v>0.1</v>
      </c>
      <c r="H12" s="677">
        <f>ROUND(PRODUCT(C12:G12),2)</f>
        <v>2.7</v>
      </c>
    </row>
    <row r="13" spans="1:8">
      <c r="A13" s="672"/>
      <c r="B13" s="786"/>
      <c r="C13" s="673"/>
      <c r="D13" s="675"/>
      <c r="E13" s="676"/>
      <c r="F13" s="676"/>
      <c r="G13" s="676"/>
      <c r="H13" s="677"/>
    </row>
    <row r="14" spans="1:8">
      <c r="A14" s="672"/>
      <c r="B14" s="786"/>
      <c r="C14" s="673"/>
      <c r="D14" s="675"/>
      <c r="E14" s="676"/>
      <c r="F14" s="676"/>
      <c r="G14" s="676"/>
      <c r="H14" s="679">
        <f>SUM(H12:H13)</f>
        <v>2.7</v>
      </c>
    </row>
    <row r="15" spans="1:8" ht="45" customHeight="1">
      <c r="A15" s="672">
        <v>3.1</v>
      </c>
      <c r="B15" s="673" t="s">
        <v>3503</v>
      </c>
      <c r="C15" s="673"/>
      <c r="D15" s="673"/>
      <c r="E15" s="673"/>
      <c r="F15" s="673"/>
      <c r="G15" s="673"/>
      <c r="H15" s="674"/>
    </row>
    <row r="16" spans="1:8">
      <c r="A16" s="672"/>
      <c r="B16" s="786" t="s">
        <v>3504</v>
      </c>
      <c r="C16" s="673">
        <v>1</v>
      </c>
      <c r="D16" s="675">
        <v>1</v>
      </c>
      <c r="E16" s="676">
        <f>E8</f>
        <v>45</v>
      </c>
      <c r="F16" s="676">
        <f>F8</f>
        <v>0.6</v>
      </c>
      <c r="G16" s="678">
        <v>0.1</v>
      </c>
      <c r="H16" s="677">
        <f>ROUND(PRODUCT(C16:G16),2)</f>
        <v>2.7</v>
      </c>
    </row>
    <row r="17" spans="1:8">
      <c r="A17" s="672"/>
      <c r="B17" s="786" t="s">
        <v>337</v>
      </c>
      <c r="C17" s="673"/>
      <c r="D17" s="675"/>
      <c r="E17" s="676"/>
      <c r="F17" s="676"/>
      <c r="G17" s="678"/>
      <c r="H17" s="677"/>
    </row>
    <row r="18" spans="1:8">
      <c r="A18" s="672"/>
      <c r="B18" s="786"/>
      <c r="C18" s="673"/>
      <c r="D18" s="675"/>
      <c r="E18" s="676"/>
      <c r="F18" s="676"/>
      <c r="G18" s="676"/>
      <c r="H18" s="679">
        <f>SUM(H16:H17)</f>
        <v>2.7</v>
      </c>
    </row>
    <row r="19" spans="1:8" ht="24" customHeight="1">
      <c r="A19" s="672">
        <v>10.199999999999999</v>
      </c>
      <c r="B19" s="673" t="s">
        <v>3505</v>
      </c>
      <c r="C19" s="673"/>
      <c r="D19" s="673"/>
      <c r="E19" s="673"/>
      <c r="F19" s="673"/>
      <c r="G19" s="673"/>
      <c r="H19" s="674"/>
    </row>
    <row r="20" spans="1:8">
      <c r="A20" s="672"/>
      <c r="B20" s="786" t="s">
        <v>3500</v>
      </c>
      <c r="C20" s="673">
        <v>2</v>
      </c>
      <c r="D20" s="675">
        <v>5</v>
      </c>
      <c r="E20" s="676">
        <v>0.23</v>
      </c>
      <c r="F20" s="676">
        <v>0.23</v>
      </c>
      <c r="G20" s="678">
        <v>0.6</v>
      </c>
      <c r="H20" s="677">
        <f>ROUND(PRODUCT(C20:G20),2)</f>
        <v>0.32</v>
      </c>
    </row>
    <row r="21" spans="1:8">
      <c r="A21" s="672"/>
      <c r="B21" s="786" t="s">
        <v>3506</v>
      </c>
      <c r="C21" s="673"/>
      <c r="D21" s="675"/>
      <c r="E21" s="676"/>
      <c r="F21" s="676"/>
      <c r="G21" s="678"/>
      <c r="H21" s="677">
        <v>0.03</v>
      </c>
    </row>
    <row r="22" spans="1:8">
      <c r="A22" s="672"/>
      <c r="B22" s="786"/>
      <c r="C22" s="673"/>
      <c r="D22" s="675"/>
      <c r="E22" s="676"/>
      <c r="F22" s="676"/>
      <c r="G22" s="676"/>
      <c r="H22" s="679">
        <f>SUM(H20:H21)</f>
        <v>0.35</v>
      </c>
    </row>
    <row r="23" spans="1:8" ht="39.75" customHeight="1">
      <c r="A23" s="672">
        <v>10.199999999999999</v>
      </c>
      <c r="B23" s="673" t="s">
        <v>3507</v>
      </c>
      <c r="C23" s="673"/>
      <c r="D23" s="673"/>
      <c r="E23" s="673"/>
      <c r="F23" s="673"/>
      <c r="G23" s="673"/>
      <c r="H23" s="674"/>
    </row>
    <row r="24" spans="1:8">
      <c r="A24" s="672"/>
      <c r="B24" s="786" t="s">
        <v>3508</v>
      </c>
      <c r="C24" s="673">
        <v>1</v>
      </c>
      <c r="D24" s="675">
        <v>1</v>
      </c>
      <c r="E24" s="676">
        <f>E8</f>
        <v>45</v>
      </c>
      <c r="F24" s="676"/>
      <c r="G24" s="678">
        <v>0.6</v>
      </c>
      <c r="H24" s="677">
        <f>ROUND(PRODUCT(C24:G24),2)</f>
        <v>27</v>
      </c>
    </row>
    <row r="25" spans="1:8">
      <c r="A25" s="672"/>
      <c r="B25" s="786" t="s">
        <v>3509</v>
      </c>
      <c r="C25" s="673"/>
      <c r="D25" s="675"/>
      <c r="E25" s="676"/>
      <c r="F25" s="676"/>
      <c r="G25" s="678"/>
      <c r="H25" s="677"/>
    </row>
    <row r="26" spans="1:8">
      <c r="A26" s="672"/>
      <c r="B26" s="786" t="s">
        <v>3500</v>
      </c>
      <c r="C26" s="673">
        <v>-1</v>
      </c>
      <c r="D26" s="675">
        <v>5</v>
      </c>
      <c r="E26" s="676">
        <v>0.23</v>
      </c>
      <c r="F26" s="676"/>
      <c r="G26" s="678">
        <v>0.6</v>
      </c>
      <c r="H26" s="677">
        <f>ROUND(PRODUCT(C26:G26),2)</f>
        <v>-0.69</v>
      </c>
    </row>
    <row r="27" spans="1:8">
      <c r="A27" s="672"/>
      <c r="B27" s="786" t="s">
        <v>3500</v>
      </c>
      <c r="C27" s="673">
        <v>-1</v>
      </c>
      <c r="D27" s="675">
        <v>7</v>
      </c>
      <c r="E27" s="676">
        <v>0.23</v>
      </c>
      <c r="F27" s="676"/>
      <c r="G27" s="678">
        <v>0.6</v>
      </c>
      <c r="H27" s="677">
        <f>ROUND(PRODUCT(C27:G27),2)</f>
        <v>-0.97</v>
      </c>
    </row>
    <row r="28" spans="1:8">
      <c r="A28" s="672"/>
      <c r="B28" s="786" t="s">
        <v>3506</v>
      </c>
      <c r="C28" s="673"/>
      <c r="D28" s="675"/>
      <c r="E28" s="676"/>
      <c r="F28" s="676"/>
      <c r="G28" s="678"/>
      <c r="H28" s="677">
        <v>0.01</v>
      </c>
    </row>
    <row r="29" spans="1:8">
      <c r="A29" s="672"/>
      <c r="B29" s="786"/>
      <c r="C29" s="673"/>
      <c r="D29" s="675"/>
      <c r="E29" s="676"/>
      <c r="F29" s="676"/>
      <c r="G29" s="676"/>
      <c r="H29" s="679">
        <f>SUM(H24:H28)</f>
        <v>25.35</v>
      </c>
    </row>
    <row r="30" spans="1:8" ht="16.5" customHeight="1">
      <c r="A30" s="672">
        <v>28</v>
      </c>
      <c r="B30" s="2053" t="s">
        <v>3510</v>
      </c>
      <c r="C30" s="2053"/>
      <c r="D30" s="2053"/>
      <c r="E30" s="2053"/>
      <c r="F30" s="2053"/>
      <c r="G30" s="673"/>
      <c r="H30" s="674"/>
    </row>
    <row r="31" spans="1:8">
      <c r="A31" s="672"/>
      <c r="B31" s="786" t="s">
        <v>3511</v>
      </c>
      <c r="C31" s="673">
        <v>2</v>
      </c>
      <c r="D31" s="675">
        <v>2</v>
      </c>
      <c r="E31" s="676">
        <f>E8</f>
        <v>45</v>
      </c>
      <c r="F31" s="676"/>
      <c r="G31" s="676">
        <v>0.6</v>
      </c>
      <c r="H31" s="677">
        <f>ROUND(PRODUCT(C31:G31),2)</f>
        <v>108</v>
      </c>
    </row>
    <row r="32" spans="1:8">
      <c r="A32" s="672"/>
      <c r="B32" s="786"/>
      <c r="C32" s="673"/>
      <c r="D32" s="675"/>
      <c r="E32" s="676"/>
      <c r="F32" s="676"/>
      <c r="G32" s="676"/>
      <c r="H32" s="679">
        <f>SUM(H31:H31)</f>
        <v>108</v>
      </c>
    </row>
    <row r="33" spans="1:8">
      <c r="A33" s="672">
        <v>33</v>
      </c>
      <c r="B33" s="2053" t="s">
        <v>3512</v>
      </c>
      <c r="C33" s="2053"/>
      <c r="D33" s="2053"/>
      <c r="E33" s="2053"/>
      <c r="F33" s="2053"/>
      <c r="G33" s="673"/>
      <c r="H33" s="674"/>
    </row>
    <row r="34" spans="1:8">
      <c r="A34" s="672"/>
      <c r="B34" s="680" t="s">
        <v>3513</v>
      </c>
      <c r="C34" s="798"/>
      <c r="D34" s="798"/>
      <c r="E34" s="798"/>
      <c r="F34" s="798"/>
      <c r="G34" s="798"/>
      <c r="H34" s="798"/>
    </row>
    <row r="35" spans="1:8">
      <c r="A35" s="672"/>
      <c r="B35" s="786" t="s">
        <v>3500</v>
      </c>
      <c r="C35" s="673">
        <v>1</v>
      </c>
      <c r="D35" s="675">
        <v>2</v>
      </c>
      <c r="E35" s="676">
        <f>E8</f>
        <v>45</v>
      </c>
      <c r="F35" s="682" t="s">
        <v>21</v>
      </c>
      <c r="G35" s="678">
        <v>0.71499999999999997</v>
      </c>
      <c r="H35" s="677">
        <f>ROUND(PRODUCT(C35:G35),2)</f>
        <v>64.349999999999994</v>
      </c>
    </row>
    <row r="36" spans="1:8">
      <c r="A36" s="672"/>
      <c r="B36" s="786" t="s">
        <v>3514</v>
      </c>
      <c r="C36" s="673">
        <v>2</v>
      </c>
      <c r="D36" s="675">
        <v>5</v>
      </c>
      <c r="E36" s="676">
        <v>0.23</v>
      </c>
      <c r="F36" s="678">
        <v>0.115</v>
      </c>
      <c r="G36" s="682" t="s">
        <v>21</v>
      </c>
      <c r="H36" s="677">
        <f>ROUND(PRODUCT(C36:G36),2)</f>
        <v>0.26</v>
      </c>
    </row>
    <row r="37" spans="1:8">
      <c r="A37" s="672"/>
      <c r="B37" s="786" t="s">
        <v>3514</v>
      </c>
      <c r="C37" s="673">
        <v>1</v>
      </c>
      <c r="D37" s="675">
        <v>7</v>
      </c>
      <c r="E37" s="676">
        <v>0.23</v>
      </c>
      <c r="F37" s="678">
        <v>0.115</v>
      </c>
      <c r="G37" s="682" t="s">
        <v>21</v>
      </c>
      <c r="H37" s="677">
        <f>ROUND(PRODUCT(C37:G37),2)</f>
        <v>0.19</v>
      </c>
    </row>
    <row r="38" spans="1:8">
      <c r="A38" s="672"/>
      <c r="B38" s="786" t="s">
        <v>3514</v>
      </c>
      <c r="C38" s="673">
        <v>2</v>
      </c>
      <c r="D38" s="675">
        <v>10</v>
      </c>
      <c r="E38" s="678">
        <v>0.115</v>
      </c>
      <c r="F38" s="676"/>
      <c r="G38" s="682">
        <v>0.6</v>
      </c>
      <c r="H38" s="677">
        <f>ROUND(PRODUCT(C38:G38),2)</f>
        <v>1.38</v>
      </c>
    </row>
    <row r="39" spans="1:8">
      <c r="A39" s="672"/>
      <c r="B39" s="786" t="s">
        <v>3514</v>
      </c>
      <c r="C39" s="673">
        <v>2</v>
      </c>
      <c r="D39" s="675">
        <v>7</v>
      </c>
      <c r="E39" s="678">
        <v>0.115</v>
      </c>
      <c r="F39" s="676"/>
      <c r="G39" s="682">
        <v>0.6</v>
      </c>
      <c r="H39" s="677">
        <f>ROUND(PRODUCT(C39:G39),2)</f>
        <v>0.97</v>
      </c>
    </row>
    <row r="40" spans="1:8">
      <c r="A40" s="672"/>
      <c r="B40" s="786" t="s">
        <v>337</v>
      </c>
      <c r="C40" s="673"/>
      <c r="D40" s="675"/>
      <c r="E40" s="676"/>
      <c r="F40" s="676"/>
      <c r="G40" s="676"/>
      <c r="H40" s="677"/>
    </row>
    <row r="41" spans="1:8">
      <c r="A41" s="672"/>
      <c r="B41" s="786"/>
      <c r="C41" s="673"/>
      <c r="D41" s="675"/>
      <c r="E41" s="676"/>
      <c r="F41" s="676"/>
      <c r="G41" s="676"/>
      <c r="H41" s="679">
        <f>SUM(H35:H40)</f>
        <v>67.149999999999991</v>
      </c>
    </row>
    <row r="42" spans="1:8">
      <c r="A42" s="672">
        <v>33</v>
      </c>
      <c r="B42" s="2053" t="s">
        <v>3515</v>
      </c>
      <c r="C42" s="2053"/>
      <c r="D42" s="2053"/>
      <c r="E42" s="2053"/>
      <c r="F42" s="2053"/>
      <c r="G42" s="673"/>
      <c r="H42" s="674"/>
    </row>
    <row r="43" spans="1:8">
      <c r="A43" s="798"/>
      <c r="B43" s="798" t="s">
        <v>3500</v>
      </c>
      <c r="C43" s="798">
        <v>1</v>
      </c>
      <c r="D43" s="675">
        <v>2</v>
      </c>
      <c r="E43" s="798">
        <v>12</v>
      </c>
      <c r="F43" s="798">
        <v>0.35</v>
      </c>
      <c r="G43" s="730" t="s">
        <v>21</v>
      </c>
      <c r="H43" s="677">
        <f>ROUND(PRODUCT(C43:G43),2)</f>
        <v>8.4</v>
      </c>
    </row>
    <row r="44" spans="1:8">
      <c r="A44" s="798"/>
      <c r="B44" s="798"/>
      <c r="C44" s="798"/>
      <c r="D44" s="798"/>
      <c r="E44" s="798"/>
      <c r="F44" s="798"/>
      <c r="G44" s="798"/>
      <c r="H44" s="679">
        <f>SUM(H43)</f>
        <v>8.4</v>
      </c>
    </row>
    <row r="45" spans="1:8">
      <c r="A45" s="798"/>
      <c r="B45" s="798"/>
      <c r="C45" s="798"/>
      <c r="D45" s="798"/>
      <c r="E45" s="798"/>
      <c r="F45" s="798"/>
      <c r="G45" s="798"/>
      <c r="H45" s="798"/>
    </row>
  </sheetData>
  <mergeCells count="12">
    <mergeCell ref="B30:F30"/>
    <mergeCell ref="B33:F33"/>
    <mergeCell ref="B42:F42"/>
    <mergeCell ref="A1:H1"/>
    <mergeCell ref="A2:H2"/>
    <mergeCell ref="A4:H4"/>
    <mergeCell ref="A5:A6"/>
    <mergeCell ref="B5:B6"/>
    <mergeCell ref="C5:D6"/>
    <mergeCell ref="E5:G5"/>
    <mergeCell ref="H5:H6"/>
    <mergeCell ref="A3:H3"/>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sheetPr codeName="Sheet31">
    <tabColor rgb="FF7030A0"/>
  </sheetPr>
  <dimension ref="A1:I42"/>
  <sheetViews>
    <sheetView view="pageBreakPreview" zoomScale="60" zoomScaleNormal="85" workbookViewId="0">
      <selection activeCell="M7" sqref="M7"/>
    </sheetView>
  </sheetViews>
  <sheetFormatPr defaultRowHeight="15.75"/>
  <cols>
    <col min="1" max="1" width="5.5703125" style="694" customWidth="1"/>
    <col min="2" max="2" width="38" style="692" customWidth="1"/>
    <col min="3" max="4" width="5.5703125" style="692" customWidth="1"/>
    <col min="5" max="7" width="8.85546875" style="692"/>
    <col min="8" max="8" width="12.28515625" style="692" customWidth="1"/>
    <col min="9" max="9" width="6.85546875" style="695" customWidth="1"/>
    <col min="10" max="257" width="8.85546875" style="692"/>
    <col min="258" max="258" width="38" style="692" customWidth="1"/>
    <col min="259" max="260" width="5.5703125" style="692" customWidth="1"/>
    <col min="261" max="263" width="8.85546875" style="692"/>
    <col min="264" max="264" width="12.28515625" style="692" customWidth="1"/>
    <col min="265" max="513" width="8.85546875" style="692"/>
    <col min="514" max="514" width="38" style="692" customWidth="1"/>
    <col min="515" max="516" width="5.5703125" style="692" customWidth="1"/>
    <col min="517" max="519" width="8.85546875" style="692"/>
    <col min="520" max="520" width="12.28515625" style="692" customWidth="1"/>
    <col min="521" max="769" width="8.85546875" style="692"/>
    <col min="770" max="770" width="38" style="692" customWidth="1"/>
    <col min="771" max="772" width="5.5703125" style="692" customWidth="1"/>
    <col min="773" max="775" width="8.85546875" style="692"/>
    <col min="776" max="776" width="12.28515625" style="692" customWidth="1"/>
    <col min="777" max="1025" width="8.85546875" style="692"/>
    <col min="1026" max="1026" width="38" style="692" customWidth="1"/>
    <col min="1027" max="1028" width="5.5703125" style="692" customWidth="1"/>
    <col min="1029" max="1031" width="8.85546875" style="692"/>
    <col min="1032" max="1032" width="12.28515625" style="692" customWidth="1"/>
    <col min="1033" max="1281" width="8.85546875" style="692"/>
    <col min="1282" max="1282" width="38" style="692" customWidth="1"/>
    <col min="1283" max="1284" width="5.5703125" style="692" customWidth="1"/>
    <col min="1285" max="1287" width="8.85546875" style="692"/>
    <col min="1288" max="1288" width="12.28515625" style="692" customWidth="1"/>
    <col min="1289" max="1537" width="8.85546875" style="692"/>
    <col min="1538" max="1538" width="38" style="692" customWidth="1"/>
    <col min="1539" max="1540" width="5.5703125" style="692" customWidth="1"/>
    <col min="1541" max="1543" width="8.85546875" style="692"/>
    <col min="1544" max="1544" width="12.28515625" style="692" customWidth="1"/>
    <col min="1545" max="1793" width="8.85546875" style="692"/>
    <col min="1794" max="1794" width="38" style="692" customWidth="1"/>
    <col min="1795" max="1796" width="5.5703125" style="692" customWidth="1"/>
    <col min="1797" max="1799" width="8.85546875" style="692"/>
    <col min="1800" max="1800" width="12.28515625" style="692" customWidth="1"/>
    <col min="1801" max="2049" width="8.85546875" style="692"/>
    <col min="2050" max="2050" width="38" style="692" customWidth="1"/>
    <col min="2051" max="2052" width="5.5703125" style="692" customWidth="1"/>
    <col min="2053" max="2055" width="8.85546875" style="692"/>
    <col min="2056" max="2056" width="12.28515625" style="692" customWidth="1"/>
    <col min="2057" max="2305" width="8.85546875" style="692"/>
    <col min="2306" max="2306" width="38" style="692" customWidth="1"/>
    <col min="2307" max="2308" width="5.5703125" style="692" customWidth="1"/>
    <col min="2309" max="2311" width="8.85546875" style="692"/>
    <col min="2312" max="2312" width="12.28515625" style="692" customWidth="1"/>
    <col min="2313" max="2561" width="8.85546875" style="692"/>
    <col min="2562" max="2562" width="38" style="692" customWidth="1"/>
    <col min="2563" max="2564" width="5.5703125" style="692" customWidth="1"/>
    <col min="2565" max="2567" width="8.85546875" style="692"/>
    <col min="2568" max="2568" width="12.28515625" style="692" customWidth="1"/>
    <col min="2569" max="2817" width="8.85546875" style="692"/>
    <col min="2818" max="2818" width="38" style="692" customWidth="1"/>
    <col min="2819" max="2820" width="5.5703125" style="692" customWidth="1"/>
    <col min="2821" max="2823" width="8.85546875" style="692"/>
    <col min="2824" max="2824" width="12.28515625" style="692" customWidth="1"/>
    <col min="2825" max="3073" width="8.85546875" style="692"/>
    <col min="3074" max="3074" width="38" style="692" customWidth="1"/>
    <col min="3075" max="3076" width="5.5703125" style="692" customWidth="1"/>
    <col min="3077" max="3079" width="8.85546875" style="692"/>
    <col min="3080" max="3080" width="12.28515625" style="692" customWidth="1"/>
    <col min="3081" max="3329" width="8.85546875" style="692"/>
    <col min="3330" max="3330" width="38" style="692" customWidth="1"/>
    <col min="3331" max="3332" width="5.5703125" style="692" customWidth="1"/>
    <col min="3333" max="3335" width="8.85546875" style="692"/>
    <col min="3336" max="3336" width="12.28515625" style="692" customWidth="1"/>
    <col min="3337" max="3585" width="8.85546875" style="692"/>
    <col min="3586" max="3586" width="38" style="692" customWidth="1"/>
    <col min="3587" max="3588" width="5.5703125" style="692" customWidth="1"/>
    <col min="3589" max="3591" width="8.85546875" style="692"/>
    <col min="3592" max="3592" width="12.28515625" style="692" customWidth="1"/>
    <col min="3593" max="3841" width="8.85546875" style="692"/>
    <col min="3842" max="3842" width="38" style="692" customWidth="1"/>
    <col min="3843" max="3844" width="5.5703125" style="692" customWidth="1"/>
    <col min="3845" max="3847" width="8.85546875" style="692"/>
    <col min="3848" max="3848" width="12.28515625" style="692" customWidth="1"/>
    <col min="3849" max="4097" width="8.85546875" style="692"/>
    <col min="4098" max="4098" width="38" style="692" customWidth="1"/>
    <col min="4099" max="4100" width="5.5703125" style="692" customWidth="1"/>
    <col min="4101" max="4103" width="8.85546875" style="692"/>
    <col min="4104" max="4104" width="12.28515625" style="692" customWidth="1"/>
    <col min="4105" max="4353" width="8.85546875" style="692"/>
    <col min="4354" max="4354" width="38" style="692" customWidth="1"/>
    <col min="4355" max="4356" width="5.5703125" style="692" customWidth="1"/>
    <col min="4357" max="4359" width="8.85546875" style="692"/>
    <col min="4360" max="4360" width="12.28515625" style="692" customWidth="1"/>
    <col min="4361" max="4609" width="8.85546875" style="692"/>
    <col min="4610" max="4610" width="38" style="692" customWidth="1"/>
    <col min="4611" max="4612" width="5.5703125" style="692" customWidth="1"/>
    <col min="4613" max="4615" width="8.85546875" style="692"/>
    <col min="4616" max="4616" width="12.28515625" style="692" customWidth="1"/>
    <col min="4617" max="4865" width="8.85546875" style="692"/>
    <col min="4866" max="4866" width="38" style="692" customWidth="1"/>
    <col min="4867" max="4868" width="5.5703125" style="692" customWidth="1"/>
    <col min="4869" max="4871" width="8.85546875" style="692"/>
    <col min="4872" max="4872" width="12.28515625" style="692" customWidth="1"/>
    <col min="4873" max="5121" width="8.85546875" style="692"/>
    <col min="5122" max="5122" width="38" style="692" customWidth="1"/>
    <col min="5123" max="5124" width="5.5703125" style="692" customWidth="1"/>
    <col min="5125" max="5127" width="8.85546875" style="692"/>
    <col min="5128" max="5128" width="12.28515625" style="692" customWidth="1"/>
    <col min="5129" max="5377" width="8.85546875" style="692"/>
    <col min="5378" max="5378" width="38" style="692" customWidth="1"/>
    <col min="5379" max="5380" width="5.5703125" style="692" customWidth="1"/>
    <col min="5381" max="5383" width="8.85546875" style="692"/>
    <col min="5384" max="5384" width="12.28515625" style="692" customWidth="1"/>
    <col min="5385" max="5633" width="8.85546875" style="692"/>
    <col min="5634" max="5634" width="38" style="692" customWidth="1"/>
    <col min="5635" max="5636" width="5.5703125" style="692" customWidth="1"/>
    <col min="5637" max="5639" width="8.85546875" style="692"/>
    <col min="5640" max="5640" width="12.28515625" style="692" customWidth="1"/>
    <col min="5641" max="5889" width="8.85546875" style="692"/>
    <col min="5890" max="5890" width="38" style="692" customWidth="1"/>
    <col min="5891" max="5892" width="5.5703125" style="692" customWidth="1"/>
    <col min="5893" max="5895" width="8.85546875" style="692"/>
    <col min="5896" max="5896" width="12.28515625" style="692" customWidth="1"/>
    <col min="5897" max="6145" width="8.85546875" style="692"/>
    <col min="6146" max="6146" width="38" style="692" customWidth="1"/>
    <col min="6147" max="6148" width="5.5703125" style="692" customWidth="1"/>
    <col min="6149" max="6151" width="8.85546875" style="692"/>
    <col min="6152" max="6152" width="12.28515625" style="692" customWidth="1"/>
    <col min="6153" max="6401" width="8.85546875" style="692"/>
    <col min="6402" max="6402" width="38" style="692" customWidth="1"/>
    <col min="6403" max="6404" width="5.5703125" style="692" customWidth="1"/>
    <col min="6405" max="6407" width="8.85546875" style="692"/>
    <col min="6408" max="6408" width="12.28515625" style="692" customWidth="1"/>
    <col min="6409" max="6657" width="8.85546875" style="692"/>
    <col min="6658" max="6658" width="38" style="692" customWidth="1"/>
    <col min="6659" max="6660" width="5.5703125" style="692" customWidth="1"/>
    <col min="6661" max="6663" width="8.85546875" style="692"/>
    <col min="6664" max="6664" width="12.28515625" style="692" customWidth="1"/>
    <col min="6665" max="6913" width="8.85546875" style="692"/>
    <col min="6914" max="6914" width="38" style="692" customWidth="1"/>
    <col min="6915" max="6916" width="5.5703125" style="692" customWidth="1"/>
    <col min="6917" max="6919" width="8.85546875" style="692"/>
    <col min="6920" max="6920" width="12.28515625" style="692" customWidth="1"/>
    <col min="6921" max="7169" width="8.85546875" style="692"/>
    <col min="7170" max="7170" width="38" style="692" customWidth="1"/>
    <col min="7171" max="7172" width="5.5703125" style="692" customWidth="1"/>
    <col min="7173" max="7175" width="8.85546875" style="692"/>
    <col min="7176" max="7176" width="12.28515625" style="692" customWidth="1"/>
    <col min="7177" max="7425" width="8.85546875" style="692"/>
    <col min="7426" max="7426" width="38" style="692" customWidth="1"/>
    <col min="7427" max="7428" width="5.5703125" style="692" customWidth="1"/>
    <col min="7429" max="7431" width="8.85546875" style="692"/>
    <col min="7432" max="7432" width="12.28515625" style="692" customWidth="1"/>
    <col min="7433" max="7681" width="8.85546875" style="692"/>
    <col min="7682" max="7682" width="38" style="692" customWidth="1"/>
    <col min="7683" max="7684" width="5.5703125" style="692" customWidth="1"/>
    <col min="7685" max="7687" width="8.85546875" style="692"/>
    <col min="7688" max="7688" width="12.28515625" style="692" customWidth="1"/>
    <col min="7689" max="7937" width="8.85546875" style="692"/>
    <col min="7938" max="7938" width="38" style="692" customWidth="1"/>
    <col min="7939" max="7940" width="5.5703125" style="692" customWidth="1"/>
    <col min="7941" max="7943" width="8.85546875" style="692"/>
    <col min="7944" max="7944" width="12.28515625" style="692" customWidth="1"/>
    <col min="7945" max="8193" width="8.85546875" style="692"/>
    <col min="8194" max="8194" width="38" style="692" customWidth="1"/>
    <col min="8195" max="8196" width="5.5703125" style="692" customWidth="1"/>
    <col min="8197" max="8199" width="8.85546875" style="692"/>
    <col min="8200" max="8200" width="12.28515625" style="692" customWidth="1"/>
    <col min="8201" max="8449" width="8.85546875" style="692"/>
    <col min="8450" max="8450" width="38" style="692" customWidth="1"/>
    <col min="8451" max="8452" width="5.5703125" style="692" customWidth="1"/>
    <col min="8453" max="8455" width="8.85546875" style="692"/>
    <col min="8456" max="8456" width="12.28515625" style="692" customWidth="1"/>
    <col min="8457" max="8705" width="8.85546875" style="692"/>
    <col min="8706" max="8706" width="38" style="692" customWidth="1"/>
    <col min="8707" max="8708" width="5.5703125" style="692" customWidth="1"/>
    <col min="8709" max="8711" width="8.85546875" style="692"/>
    <col min="8712" max="8712" width="12.28515625" style="692" customWidth="1"/>
    <col min="8713" max="8961" width="8.85546875" style="692"/>
    <col min="8962" max="8962" width="38" style="692" customWidth="1"/>
    <col min="8963" max="8964" width="5.5703125" style="692" customWidth="1"/>
    <col min="8965" max="8967" width="8.85546875" style="692"/>
    <col min="8968" max="8968" width="12.28515625" style="692" customWidth="1"/>
    <col min="8969" max="9217" width="8.85546875" style="692"/>
    <col min="9218" max="9218" width="38" style="692" customWidth="1"/>
    <col min="9219" max="9220" width="5.5703125" style="692" customWidth="1"/>
    <col min="9221" max="9223" width="8.85546875" style="692"/>
    <col min="9224" max="9224" width="12.28515625" style="692" customWidth="1"/>
    <col min="9225" max="9473" width="8.85546875" style="692"/>
    <col min="9474" max="9474" width="38" style="692" customWidth="1"/>
    <col min="9475" max="9476" width="5.5703125" style="692" customWidth="1"/>
    <col min="9477" max="9479" width="8.85546875" style="692"/>
    <col min="9480" max="9480" width="12.28515625" style="692" customWidth="1"/>
    <col min="9481" max="9729" width="8.85546875" style="692"/>
    <col min="9730" max="9730" width="38" style="692" customWidth="1"/>
    <col min="9731" max="9732" width="5.5703125" style="692" customWidth="1"/>
    <col min="9733" max="9735" width="8.85546875" style="692"/>
    <col min="9736" max="9736" width="12.28515625" style="692" customWidth="1"/>
    <col min="9737" max="9985" width="8.85546875" style="692"/>
    <col min="9986" max="9986" width="38" style="692" customWidth="1"/>
    <col min="9987" max="9988" width="5.5703125" style="692" customWidth="1"/>
    <col min="9989" max="9991" width="8.85546875" style="692"/>
    <col min="9992" max="9992" width="12.28515625" style="692" customWidth="1"/>
    <col min="9993" max="10241" width="8.85546875" style="692"/>
    <col min="10242" max="10242" width="38" style="692" customWidth="1"/>
    <col min="10243" max="10244" width="5.5703125" style="692" customWidth="1"/>
    <col min="10245" max="10247" width="8.85546875" style="692"/>
    <col min="10248" max="10248" width="12.28515625" style="692" customWidth="1"/>
    <col min="10249" max="10497" width="8.85546875" style="692"/>
    <col min="10498" max="10498" width="38" style="692" customWidth="1"/>
    <col min="10499" max="10500" width="5.5703125" style="692" customWidth="1"/>
    <col min="10501" max="10503" width="8.85546875" style="692"/>
    <col min="10504" max="10504" width="12.28515625" style="692" customWidth="1"/>
    <col min="10505" max="10753" width="8.85546875" style="692"/>
    <col min="10754" max="10754" width="38" style="692" customWidth="1"/>
    <col min="10755" max="10756" width="5.5703125" style="692" customWidth="1"/>
    <col min="10757" max="10759" width="8.85546875" style="692"/>
    <col min="10760" max="10760" width="12.28515625" style="692" customWidth="1"/>
    <col min="10761" max="11009" width="8.85546875" style="692"/>
    <col min="11010" max="11010" width="38" style="692" customWidth="1"/>
    <col min="11011" max="11012" width="5.5703125" style="692" customWidth="1"/>
    <col min="11013" max="11015" width="8.85546875" style="692"/>
    <col min="11016" max="11016" width="12.28515625" style="692" customWidth="1"/>
    <col min="11017" max="11265" width="8.85546875" style="692"/>
    <col min="11266" max="11266" width="38" style="692" customWidth="1"/>
    <col min="11267" max="11268" width="5.5703125" style="692" customWidth="1"/>
    <col min="11269" max="11271" width="8.85546875" style="692"/>
    <col min="11272" max="11272" width="12.28515625" style="692" customWidth="1"/>
    <col min="11273" max="11521" width="8.85546875" style="692"/>
    <col min="11522" max="11522" width="38" style="692" customWidth="1"/>
    <col min="11523" max="11524" width="5.5703125" style="692" customWidth="1"/>
    <col min="11525" max="11527" width="8.85546875" style="692"/>
    <col min="11528" max="11528" width="12.28515625" style="692" customWidth="1"/>
    <col min="11529" max="11777" width="8.85546875" style="692"/>
    <col min="11778" max="11778" width="38" style="692" customWidth="1"/>
    <col min="11779" max="11780" width="5.5703125" style="692" customWidth="1"/>
    <col min="11781" max="11783" width="8.85546875" style="692"/>
    <col min="11784" max="11784" width="12.28515625" style="692" customWidth="1"/>
    <col min="11785" max="12033" width="8.85546875" style="692"/>
    <col min="12034" max="12034" width="38" style="692" customWidth="1"/>
    <col min="12035" max="12036" width="5.5703125" style="692" customWidth="1"/>
    <col min="12037" max="12039" width="8.85546875" style="692"/>
    <col min="12040" max="12040" width="12.28515625" style="692" customWidth="1"/>
    <col min="12041" max="12289" width="8.85546875" style="692"/>
    <col min="12290" max="12290" width="38" style="692" customWidth="1"/>
    <col min="12291" max="12292" width="5.5703125" style="692" customWidth="1"/>
    <col min="12293" max="12295" width="8.85546875" style="692"/>
    <col min="12296" max="12296" width="12.28515625" style="692" customWidth="1"/>
    <col min="12297" max="12545" width="8.85546875" style="692"/>
    <col min="12546" max="12546" width="38" style="692" customWidth="1"/>
    <col min="12547" max="12548" width="5.5703125" style="692" customWidth="1"/>
    <col min="12549" max="12551" width="8.85546875" style="692"/>
    <col min="12552" max="12552" width="12.28515625" style="692" customWidth="1"/>
    <col min="12553" max="12801" width="8.85546875" style="692"/>
    <col min="12802" max="12802" width="38" style="692" customWidth="1"/>
    <col min="12803" max="12804" width="5.5703125" style="692" customWidth="1"/>
    <col min="12805" max="12807" width="8.85546875" style="692"/>
    <col min="12808" max="12808" width="12.28515625" style="692" customWidth="1"/>
    <col min="12809" max="13057" width="8.85546875" style="692"/>
    <col min="13058" max="13058" width="38" style="692" customWidth="1"/>
    <col min="13059" max="13060" width="5.5703125" style="692" customWidth="1"/>
    <col min="13061" max="13063" width="8.85546875" style="692"/>
    <col min="13064" max="13064" width="12.28515625" style="692" customWidth="1"/>
    <col min="13065" max="13313" width="8.85546875" style="692"/>
    <col min="13314" max="13314" width="38" style="692" customWidth="1"/>
    <col min="13315" max="13316" width="5.5703125" style="692" customWidth="1"/>
    <col min="13317" max="13319" width="8.85546875" style="692"/>
    <col min="13320" max="13320" width="12.28515625" style="692" customWidth="1"/>
    <col min="13321" max="13569" width="8.85546875" style="692"/>
    <col min="13570" max="13570" width="38" style="692" customWidth="1"/>
    <col min="13571" max="13572" width="5.5703125" style="692" customWidth="1"/>
    <col min="13573" max="13575" width="8.85546875" style="692"/>
    <col min="13576" max="13576" width="12.28515625" style="692" customWidth="1"/>
    <col min="13577" max="13825" width="8.85546875" style="692"/>
    <col min="13826" max="13826" width="38" style="692" customWidth="1"/>
    <col min="13827" max="13828" width="5.5703125" style="692" customWidth="1"/>
    <col min="13829" max="13831" width="8.85546875" style="692"/>
    <col min="13832" max="13832" width="12.28515625" style="692" customWidth="1"/>
    <col min="13833" max="14081" width="8.85546875" style="692"/>
    <col min="14082" max="14082" width="38" style="692" customWidth="1"/>
    <col min="14083" max="14084" width="5.5703125" style="692" customWidth="1"/>
    <col min="14085" max="14087" width="8.85546875" style="692"/>
    <col min="14088" max="14088" width="12.28515625" style="692" customWidth="1"/>
    <col min="14089" max="14337" width="8.85546875" style="692"/>
    <col min="14338" max="14338" width="38" style="692" customWidth="1"/>
    <col min="14339" max="14340" width="5.5703125" style="692" customWidth="1"/>
    <col min="14341" max="14343" width="8.85546875" style="692"/>
    <col min="14344" max="14344" width="12.28515625" style="692" customWidth="1"/>
    <col min="14345" max="14593" width="8.85546875" style="692"/>
    <col min="14594" max="14594" width="38" style="692" customWidth="1"/>
    <col min="14595" max="14596" width="5.5703125" style="692" customWidth="1"/>
    <col min="14597" max="14599" width="8.85546875" style="692"/>
    <col min="14600" max="14600" width="12.28515625" style="692" customWidth="1"/>
    <col min="14601" max="14849" width="8.85546875" style="692"/>
    <col min="14850" max="14850" width="38" style="692" customWidth="1"/>
    <col min="14851" max="14852" width="5.5703125" style="692" customWidth="1"/>
    <col min="14853" max="14855" width="8.85546875" style="692"/>
    <col min="14856" max="14856" width="12.28515625" style="692" customWidth="1"/>
    <col min="14857" max="15105" width="8.85546875" style="692"/>
    <col min="15106" max="15106" width="38" style="692" customWidth="1"/>
    <col min="15107" max="15108" width="5.5703125" style="692" customWidth="1"/>
    <col min="15109" max="15111" width="8.85546875" style="692"/>
    <col min="15112" max="15112" width="12.28515625" style="692" customWidth="1"/>
    <col min="15113" max="15361" width="8.85546875" style="692"/>
    <col min="15362" max="15362" width="38" style="692" customWidth="1"/>
    <col min="15363" max="15364" width="5.5703125" style="692" customWidth="1"/>
    <col min="15365" max="15367" width="8.85546875" style="692"/>
    <col min="15368" max="15368" width="12.28515625" style="692" customWidth="1"/>
    <col min="15369" max="15617" width="8.85546875" style="692"/>
    <col min="15618" max="15618" width="38" style="692" customWidth="1"/>
    <col min="15619" max="15620" width="5.5703125" style="692" customWidth="1"/>
    <col min="15621" max="15623" width="8.85546875" style="692"/>
    <col min="15624" max="15624" width="12.28515625" style="692" customWidth="1"/>
    <col min="15625" max="15873" width="8.85546875" style="692"/>
    <col min="15874" max="15874" width="38" style="692" customWidth="1"/>
    <col min="15875" max="15876" width="5.5703125" style="692" customWidth="1"/>
    <col min="15877" max="15879" width="8.85546875" style="692"/>
    <col min="15880" max="15880" width="12.28515625" style="692" customWidth="1"/>
    <col min="15881" max="16129" width="8.85546875" style="692"/>
    <col min="16130" max="16130" width="38" style="692" customWidth="1"/>
    <col min="16131" max="16132" width="5.5703125" style="692" customWidth="1"/>
    <col min="16133" max="16135" width="8.85546875" style="692"/>
    <col min="16136" max="16136" width="12.28515625" style="692" customWidth="1"/>
    <col min="16137" max="16384" width="8.85546875" style="692"/>
  </cols>
  <sheetData>
    <row r="1" spans="1:9" ht="15.75" customHeight="1">
      <c r="A1" s="2062" t="s">
        <v>3529</v>
      </c>
      <c r="B1" s="2063"/>
      <c r="C1" s="2063"/>
      <c r="D1" s="2063"/>
      <c r="E1" s="2063"/>
      <c r="F1" s="2063"/>
      <c r="G1" s="2063"/>
      <c r="H1" s="2063"/>
      <c r="I1" s="2064"/>
    </row>
    <row r="2" spans="1:9" ht="59.45" customHeight="1">
      <c r="A2" s="2071" t="str">
        <f>'INS - PP - Detail '!A2:I2</f>
        <v>Name of work: Providing Special Repair works for 5 Nos INS, 8 Nos SI, 24 Nos PC/HC Quarters  at Church Hill Ooty in the Nilgiri District</v>
      </c>
      <c r="B2" s="2072"/>
      <c r="C2" s="2072"/>
      <c r="D2" s="2072"/>
      <c r="E2" s="2072"/>
      <c r="F2" s="2072"/>
      <c r="G2" s="2072"/>
      <c r="H2" s="2072"/>
      <c r="I2" s="2073"/>
    </row>
    <row r="3" spans="1:9" ht="20.45" customHeight="1">
      <c r="A3" s="2071" t="s">
        <v>3197</v>
      </c>
      <c r="B3" s="2072"/>
      <c r="C3" s="2072"/>
      <c r="D3" s="2072"/>
      <c r="E3" s="2072"/>
      <c r="F3" s="2072"/>
      <c r="G3" s="2072"/>
      <c r="H3" s="2072"/>
      <c r="I3" s="2073"/>
    </row>
    <row r="4" spans="1:9">
      <c r="A4" s="2068" t="s">
        <v>5391</v>
      </c>
      <c r="B4" s="2069"/>
      <c r="C4" s="2069"/>
      <c r="D4" s="2069"/>
      <c r="E4" s="2069"/>
      <c r="F4" s="2069"/>
      <c r="G4" s="2069"/>
      <c r="H4" s="2069"/>
      <c r="I4" s="2070"/>
    </row>
    <row r="5" spans="1:9">
      <c r="A5" s="2057" t="s">
        <v>3531</v>
      </c>
      <c r="B5" s="2057" t="s">
        <v>3497</v>
      </c>
      <c r="C5" s="2057" t="s">
        <v>1717</v>
      </c>
      <c r="D5" s="2057"/>
      <c r="E5" s="2057" t="s">
        <v>3498</v>
      </c>
      <c r="F5" s="2057"/>
      <c r="G5" s="2057"/>
      <c r="H5" s="2058" t="s">
        <v>3</v>
      </c>
      <c r="I5" s="693"/>
    </row>
    <row r="6" spans="1:9">
      <c r="A6" s="2057"/>
      <c r="B6" s="2057"/>
      <c r="C6" s="2057"/>
      <c r="D6" s="2057"/>
      <c r="E6" s="788" t="s">
        <v>5</v>
      </c>
      <c r="F6" s="788" t="s">
        <v>6</v>
      </c>
      <c r="G6" s="788" t="s">
        <v>7</v>
      </c>
      <c r="H6" s="2058"/>
      <c r="I6" s="693"/>
    </row>
    <row r="7" spans="1:9" ht="47.25">
      <c r="A7" s="810">
        <v>1</v>
      </c>
      <c r="B7" s="680" t="s">
        <v>3532</v>
      </c>
      <c r="C7" s="786"/>
      <c r="D7" s="811"/>
      <c r="E7" s="812"/>
      <c r="F7" s="812"/>
      <c r="G7" s="812"/>
      <c r="H7" s="813"/>
      <c r="I7" s="693"/>
    </row>
    <row r="8" spans="1:9">
      <c r="A8" s="810"/>
      <c r="B8" s="786" t="s">
        <v>3533</v>
      </c>
      <c r="C8" s="814"/>
      <c r="D8" s="815"/>
      <c r="E8" s="816"/>
      <c r="F8" s="816"/>
      <c r="G8" s="816"/>
      <c r="H8" s="814"/>
      <c r="I8" s="693"/>
    </row>
    <row r="9" spans="1:9">
      <c r="A9" s="810"/>
      <c r="B9" s="786" t="s">
        <v>3534</v>
      </c>
      <c r="C9" s="810">
        <v>5</v>
      </c>
      <c r="D9" s="817">
        <v>1</v>
      </c>
      <c r="E9" s="818">
        <v>24</v>
      </c>
      <c r="F9" s="818">
        <v>0.3</v>
      </c>
      <c r="G9" s="818">
        <v>0.3</v>
      </c>
      <c r="H9" s="819">
        <f>+PRODUCT(C9:G9)</f>
        <v>10.799999999999999</v>
      </c>
      <c r="I9" s="693"/>
    </row>
    <row r="10" spans="1:9">
      <c r="A10" s="810"/>
      <c r="B10" s="786" t="s">
        <v>337</v>
      </c>
      <c r="C10" s="810"/>
      <c r="D10" s="817"/>
      <c r="E10" s="818"/>
      <c r="F10" s="818"/>
      <c r="G10" s="818"/>
      <c r="H10" s="819"/>
      <c r="I10" s="693"/>
    </row>
    <row r="11" spans="1:9" ht="18.75">
      <c r="A11" s="810"/>
      <c r="B11" s="786"/>
      <c r="C11" s="810"/>
      <c r="D11" s="817"/>
      <c r="E11" s="818"/>
      <c r="F11" s="818"/>
      <c r="G11" s="818" t="s">
        <v>9</v>
      </c>
      <c r="H11" s="820">
        <f>SUM(H9:H10)</f>
        <v>10.799999999999999</v>
      </c>
      <c r="I11" s="821" t="s">
        <v>3762</v>
      </c>
    </row>
    <row r="12" spans="1:9" ht="31.5">
      <c r="A12" s="810">
        <v>2</v>
      </c>
      <c r="B12" s="680" t="s">
        <v>3535</v>
      </c>
      <c r="C12" s="810"/>
      <c r="D12" s="817"/>
      <c r="E12" s="812"/>
      <c r="F12" s="812"/>
      <c r="G12" s="812"/>
      <c r="H12" s="813"/>
      <c r="I12" s="693"/>
    </row>
    <row r="13" spans="1:9">
      <c r="A13" s="810"/>
      <c r="B13" s="786" t="s">
        <v>3533</v>
      </c>
      <c r="C13" s="810"/>
      <c r="D13" s="817"/>
      <c r="E13" s="818"/>
      <c r="F13" s="818"/>
      <c r="G13" s="818"/>
      <c r="H13" s="819"/>
      <c r="I13" s="693"/>
    </row>
    <row r="14" spans="1:9">
      <c r="A14" s="810"/>
      <c r="B14" s="786" t="s">
        <v>3534</v>
      </c>
      <c r="C14" s="810">
        <v>5</v>
      </c>
      <c r="D14" s="817">
        <v>1</v>
      </c>
      <c r="E14" s="818">
        <f>E9</f>
        <v>24</v>
      </c>
      <c r="F14" s="818">
        <v>0.3</v>
      </c>
      <c r="G14" s="822">
        <v>0.15</v>
      </c>
      <c r="H14" s="819">
        <f>G14*F14*E14*D14*C14</f>
        <v>5.4</v>
      </c>
      <c r="I14" s="693"/>
    </row>
    <row r="15" spans="1:9">
      <c r="A15" s="810"/>
      <c r="B15" s="786" t="s">
        <v>337</v>
      </c>
      <c r="C15" s="810"/>
      <c r="D15" s="817"/>
      <c r="E15" s="818"/>
      <c r="F15" s="818"/>
      <c r="G15" s="822"/>
      <c r="H15" s="819"/>
      <c r="I15" s="693"/>
    </row>
    <row r="16" spans="1:9" ht="18.75">
      <c r="A16" s="810"/>
      <c r="B16" s="786"/>
      <c r="C16" s="810"/>
      <c r="D16" s="817"/>
      <c r="E16" s="818"/>
      <c r="F16" s="818"/>
      <c r="G16" s="818" t="s">
        <v>9</v>
      </c>
      <c r="H16" s="820">
        <f>SUM(H14:H15)</f>
        <v>5.4</v>
      </c>
      <c r="I16" s="821" t="s">
        <v>3762</v>
      </c>
    </row>
    <row r="17" spans="1:9" ht="47.25">
      <c r="A17" s="810">
        <v>3</v>
      </c>
      <c r="B17" s="823" t="s">
        <v>5277</v>
      </c>
      <c r="C17" s="810"/>
      <c r="D17" s="817"/>
      <c r="E17" s="818"/>
      <c r="F17" s="818"/>
      <c r="G17" s="818"/>
      <c r="H17" s="820"/>
      <c r="I17" s="821"/>
    </row>
    <row r="18" spans="1:9">
      <c r="A18" s="810"/>
      <c r="B18" s="786" t="s">
        <v>3536</v>
      </c>
      <c r="C18" s="810">
        <v>5</v>
      </c>
      <c r="D18" s="817">
        <f>E14/2.8</f>
        <v>8.5714285714285712</v>
      </c>
      <c r="E18" s="818">
        <v>0.23</v>
      </c>
      <c r="F18" s="818">
        <v>0.23</v>
      </c>
      <c r="G18" s="818">
        <v>0.75</v>
      </c>
      <c r="H18" s="819">
        <f>G18*F18*E18*D18*C18</f>
        <v>1.7003571428571429</v>
      </c>
      <c r="I18" s="821"/>
    </row>
    <row r="19" spans="1:9">
      <c r="A19" s="810"/>
      <c r="B19" s="786"/>
      <c r="C19" s="810"/>
      <c r="D19" s="817"/>
      <c r="E19" s="818"/>
      <c r="F19" s="818"/>
      <c r="G19" s="818"/>
      <c r="H19" s="819"/>
      <c r="I19" s="693"/>
    </row>
    <row r="20" spans="1:9" ht="18.75">
      <c r="A20" s="810"/>
      <c r="B20" s="786"/>
      <c r="C20" s="810"/>
      <c r="D20" s="817"/>
      <c r="E20" s="818"/>
      <c r="F20" s="818"/>
      <c r="G20" s="818"/>
      <c r="H20" s="820">
        <v>1.7</v>
      </c>
      <c r="I20" s="821" t="s">
        <v>3762</v>
      </c>
    </row>
    <row r="21" spans="1:9" ht="47.25">
      <c r="A21" s="810">
        <v>4</v>
      </c>
      <c r="B21" s="680" t="s">
        <v>5278</v>
      </c>
      <c r="C21" s="810"/>
      <c r="D21" s="817"/>
      <c r="E21" s="812"/>
      <c r="F21" s="812"/>
      <c r="G21" s="812"/>
      <c r="H21" s="674"/>
      <c r="I21" s="693"/>
    </row>
    <row r="22" spans="1:9">
      <c r="A22" s="810"/>
      <c r="B22" s="786" t="s">
        <v>3538</v>
      </c>
      <c r="C22" s="810"/>
      <c r="D22" s="817"/>
      <c r="E22" s="822"/>
      <c r="F22" s="818"/>
      <c r="G22" s="818"/>
      <c r="H22" s="677"/>
      <c r="I22" s="693"/>
    </row>
    <row r="23" spans="1:9">
      <c r="A23" s="810"/>
      <c r="B23" s="786" t="s">
        <v>3539</v>
      </c>
      <c r="C23" s="810">
        <v>5</v>
      </c>
      <c r="D23" s="817">
        <v>1</v>
      </c>
      <c r="E23" s="818">
        <f>E9</f>
        <v>24</v>
      </c>
      <c r="F23" s="818" t="s">
        <v>21</v>
      </c>
      <c r="G23" s="818">
        <v>0.75</v>
      </c>
      <c r="H23" s="819">
        <f>G23*E23*D23*C23</f>
        <v>90</v>
      </c>
      <c r="I23" s="693"/>
    </row>
    <row r="24" spans="1:9">
      <c r="A24" s="810"/>
      <c r="B24" s="786" t="s">
        <v>3419</v>
      </c>
      <c r="C24" s="810">
        <v>-5</v>
      </c>
      <c r="D24" s="824">
        <f>E23/2.8</f>
        <v>8.5714285714285712</v>
      </c>
      <c r="E24" s="818">
        <v>0.23</v>
      </c>
      <c r="F24" s="818" t="s">
        <v>21</v>
      </c>
      <c r="G24" s="818">
        <v>0.75</v>
      </c>
      <c r="H24" s="819">
        <f>G24*E24*D24*C24</f>
        <v>-7.3928571428571432</v>
      </c>
      <c r="I24" s="693"/>
    </row>
    <row r="25" spans="1:9">
      <c r="A25" s="810"/>
      <c r="B25" s="786" t="s">
        <v>337</v>
      </c>
      <c r="C25" s="810"/>
      <c r="D25" s="817"/>
      <c r="E25" s="818"/>
      <c r="F25" s="818"/>
      <c r="G25" s="818"/>
      <c r="H25" s="819">
        <v>0.04</v>
      </c>
      <c r="I25" s="693"/>
    </row>
    <row r="26" spans="1:9" ht="18.75">
      <c r="A26" s="810"/>
      <c r="B26" s="786"/>
      <c r="C26" s="810"/>
      <c r="D26" s="817"/>
      <c r="E26" s="818"/>
      <c r="F26" s="818"/>
      <c r="G26" s="818" t="s">
        <v>9</v>
      </c>
      <c r="H26" s="820">
        <f>SUM(H23:H25)</f>
        <v>82.647142857142867</v>
      </c>
      <c r="I26" s="821" t="s">
        <v>3764</v>
      </c>
    </row>
    <row r="27" spans="1:9" ht="31.5">
      <c r="A27" s="810">
        <v>5</v>
      </c>
      <c r="B27" s="680" t="s">
        <v>3540</v>
      </c>
      <c r="C27" s="810"/>
      <c r="D27" s="817"/>
      <c r="E27" s="818"/>
      <c r="F27" s="818"/>
      <c r="G27" s="818"/>
      <c r="H27" s="820"/>
      <c r="I27" s="825"/>
    </row>
    <row r="28" spans="1:9">
      <c r="A28" s="810"/>
      <c r="B28" s="786" t="s">
        <v>3539</v>
      </c>
      <c r="C28" s="810">
        <v>5</v>
      </c>
      <c r="D28" s="817">
        <v>1</v>
      </c>
      <c r="E28" s="818">
        <f>E23</f>
        <v>24</v>
      </c>
      <c r="F28" s="822">
        <v>0.48499999999999999</v>
      </c>
      <c r="G28" s="822">
        <v>0.47499999999999998</v>
      </c>
      <c r="H28" s="819">
        <f>G28*F28*E28*D28*C28</f>
        <v>27.645</v>
      </c>
      <c r="I28" s="825"/>
    </row>
    <row r="29" spans="1:9">
      <c r="A29" s="810"/>
      <c r="B29" s="786" t="s">
        <v>337</v>
      </c>
      <c r="C29" s="810"/>
      <c r="D29" s="817"/>
      <c r="E29" s="818"/>
      <c r="F29" s="822"/>
      <c r="G29" s="818"/>
      <c r="H29" s="819"/>
      <c r="I29" s="825"/>
    </row>
    <row r="30" spans="1:9">
      <c r="A30" s="810"/>
      <c r="B30" s="786"/>
      <c r="C30" s="810"/>
      <c r="D30" s="817"/>
      <c r="E30" s="818"/>
      <c r="F30" s="818"/>
      <c r="G30" s="818"/>
      <c r="H30" s="820">
        <f>SUM(H28:H29)</f>
        <v>27.645</v>
      </c>
      <c r="I30" s="826" t="s">
        <v>3541</v>
      </c>
    </row>
    <row r="31" spans="1:9" ht="47.25">
      <c r="A31" s="810">
        <v>6</v>
      </c>
      <c r="B31" s="680" t="s">
        <v>3423</v>
      </c>
      <c r="C31" s="810"/>
      <c r="D31" s="817"/>
      <c r="E31" s="822"/>
      <c r="F31" s="818"/>
      <c r="G31" s="818"/>
      <c r="H31" s="677"/>
      <c r="I31" s="693"/>
    </row>
    <row r="32" spans="1:9">
      <c r="A32" s="810"/>
      <c r="B32" s="786" t="s">
        <v>3534</v>
      </c>
      <c r="C32" s="810">
        <v>5</v>
      </c>
      <c r="D32" s="817">
        <v>1</v>
      </c>
      <c r="E32" s="818">
        <f>E28</f>
        <v>24</v>
      </c>
      <c r="F32" s="822">
        <v>0.48499999999999999</v>
      </c>
      <c r="G32" s="822">
        <v>7.4999999999999997E-2</v>
      </c>
      <c r="H32" s="819">
        <f>G32*F32*E32*D32*C32</f>
        <v>4.3650000000000002</v>
      </c>
      <c r="I32" s="693"/>
    </row>
    <row r="33" spans="1:9">
      <c r="A33" s="810"/>
      <c r="B33" s="786" t="s">
        <v>337</v>
      </c>
      <c r="C33" s="810"/>
      <c r="D33" s="817"/>
      <c r="E33" s="818"/>
      <c r="F33" s="818"/>
      <c r="G33" s="818"/>
      <c r="H33" s="827">
        <v>0.03</v>
      </c>
      <c r="I33" s="693"/>
    </row>
    <row r="34" spans="1:9" ht="18.75">
      <c r="A34" s="810"/>
      <c r="B34" s="786"/>
      <c r="C34" s="810"/>
      <c r="D34" s="817"/>
      <c r="E34" s="818"/>
      <c r="F34" s="818"/>
      <c r="G34" s="818" t="s">
        <v>9</v>
      </c>
      <c r="H34" s="820">
        <f>SUM(H31:H33)</f>
        <v>4.3950000000000005</v>
      </c>
      <c r="I34" s="821" t="s">
        <v>3762</v>
      </c>
    </row>
    <row r="35" spans="1:9" ht="31.5">
      <c r="A35" s="810">
        <v>7</v>
      </c>
      <c r="B35" s="680" t="s">
        <v>3542</v>
      </c>
      <c r="C35" s="810"/>
      <c r="D35" s="817"/>
      <c r="E35" s="812"/>
      <c r="F35" s="812"/>
      <c r="G35" s="812"/>
      <c r="H35" s="813"/>
      <c r="I35" s="693"/>
    </row>
    <row r="36" spans="1:9">
      <c r="A36" s="810"/>
      <c r="B36" s="786" t="s">
        <v>3534</v>
      </c>
      <c r="C36" s="810">
        <v>5</v>
      </c>
      <c r="D36" s="817">
        <v>1</v>
      </c>
      <c r="E36" s="818">
        <f>E32</f>
        <v>24</v>
      </c>
      <c r="F36" s="818">
        <v>0.6</v>
      </c>
      <c r="G36" s="822" t="s">
        <v>21</v>
      </c>
      <c r="H36" s="819">
        <f>+PRODUCT(C36:G36)</f>
        <v>72</v>
      </c>
      <c r="I36" s="693"/>
    </row>
    <row r="37" spans="1:9">
      <c r="A37" s="810"/>
      <c r="B37" s="786" t="s">
        <v>337</v>
      </c>
      <c r="C37" s="810"/>
      <c r="D37" s="817"/>
      <c r="E37" s="818"/>
      <c r="F37" s="818"/>
      <c r="G37" s="822"/>
      <c r="H37" s="819"/>
      <c r="I37" s="693"/>
    </row>
    <row r="38" spans="1:9" ht="18.75">
      <c r="A38" s="810"/>
      <c r="B38" s="786"/>
      <c r="C38" s="810"/>
      <c r="D38" s="817"/>
      <c r="E38" s="818"/>
      <c r="F38" s="818"/>
      <c r="G38" s="818" t="s">
        <v>9</v>
      </c>
      <c r="H38" s="820">
        <f>SUM(H36:H37)</f>
        <v>72</v>
      </c>
      <c r="I38" s="821" t="s">
        <v>3764</v>
      </c>
    </row>
    <row r="39" spans="1:9" ht="31.5">
      <c r="A39" s="810">
        <v>8</v>
      </c>
      <c r="B39" s="680" t="s">
        <v>3543</v>
      </c>
      <c r="C39" s="810"/>
      <c r="D39" s="817"/>
      <c r="E39" s="812"/>
      <c r="F39" s="812"/>
      <c r="G39" s="812"/>
      <c r="H39" s="813"/>
      <c r="I39" s="693"/>
    </row>
    <row r="40" spans="1:9">
      <c r="A40" s="810"/>
      <c r="B40" s="786" t="s">
        <v>3544</v>
      </c>
      <c r="C40" s="810">
        <v>5</v>
      </c>
      <c r="D40" s="817">
        <v>1</v>
      </c>
      <c r="E40" s="818">
        <f>E36</f>
        <v>24</v>
      </c>
      <c r="F40" s="818"/>
      <c r="G40" s="822">
        <v>0.5</v>
      </c>
      <c r="H40" s="819">
        <f>+PRODUCT(C40:G40)</f>
        <v>60</v>
      </c>
      <c r="I40" s="693"/>
    </row>
    <row r="41" spans="1:9">
      <c r="A41" s="810"/>
      <c r="B41" s="786" t="s">
        <v>337</v>
      </c>
      <c r="C41" s="810"/>
      <c r="D41" s="817"/>
      <c r="E41" s="818"/>
      <c r="F41" s="818"/>
      <c r="G41" s="822"/>
      <c r="H41" s="819"/>
      <c r="I41" s="693"/>
    </row>
    <row r="42" spans="1:9" ht="18.75">
      <c r="A42" s="810"/>
      <c r="B42" s="786"/>
      <c r="C42" s="810"/>
      <c r="D42" s="817"/>
      <c r="E42" s="822"/>
      <c r="F42" s="818"/>
      <c r="G42" s="818" t="s">
        <v>9</v>
      </c>
      <c r="H42" s="820">
        <f>SUM(H40:H41)</f>
        <v>60</v>
      </c>
      <c r="I42" s="821" t="s">
        <v>3764</v>
      </c>
    </row>
  </sheetData>
  <mergeCells count="9">
    <mergeCell ref="A1:I1"/>
    <mergeCell ref="A2:I2"/>
    <mergeCell ref="A4:I4"/>
    <mergeCell ref="A5:A6"/>
    <mergeCell ref="B5:B6"/>
    <mergeCell ref="C5:D6"/>
    <mergeCell ref="E5:G5"/>
    <mergeCell ref="H5:H6"/>
    <mergeCell ref="A3:I3"/>
  </mergeCells>
  <pageMargins left="0.7" right="0.7" top="0.75" bottom="0.75" header="0.3" footer="0.3"/>
  <pageSetup paperSize="9" scale="87" orientation="portrait" r:id="rId1"/>
</worksheet>
</file>

<file path=xl/worksheets/sheet30.xml><?xml version="1.0" encoding="utf-8"?>
<worksheet xmlns="http://schemas.openxmlformats.org/spreadsheetml/2006/main" xmlns:r="http://schemas.openxmlformats.org/officeDocument/2006/relationships">
  <sheetPr codeName="Sheet4"/>
  <dimension ref="A1:I55"/>
  <sheetViews>
    <sheetView view="pageBreakPreview" zoomScaleSheetLayoutView="100" workbookViewId="0">
      <selection activeCell="N10" sqref="N10"/>
    </sheetView>
  </sheetViews>
  <sheetFormatPr defaultColWidth="9.28515625" defaultRowHeight="15.75"/>
  <cols>
    <col min="1" max="1" width="5" style="49" customWidth="1"/>
    <col min="2" max="2" width="11.7109375" style="559" customWidth="1"/>
    <col min="3" max="3" width="32.5703125" style="49" customWidth="1"/>
    <col min="4" max="4" width="14.28515625" style="559" customWidth="1"/>
    <col min="5" max="5" width="9.28515625" style="49"/>
    <col min="6" max="6" width="17.7109375" style="559" customWidth="1"/>
    <col min="7" max="7" width="13.28515625" style="9" bestFit="1" customWidth="1"/>
    <col min="8" max="8" width="9.28515625" style="9"/>
    <col min="9" max="9" width="13.28515625" style="9" bestFit="1" customWidth="1"/>
    <col min="10" max="16384" width="9.28515625" style="9"/>
  </cols>
  <sheetData>
    <row r="1" spans="1:6" ht="21.75" customHeight="1">
      <c r="A1" s="1954" t="s">
        <v>241</v>
      </c>
      <c r="B1" s="1954"/>
      <c r="C1" s="1954"/>
      <c r="D1" s="1954"/>
      <c r="E1" s="1954"/>
      <c r="F1" s="1954"/>
    </row>
    <row r="2" spans="1:6" ht="47.45" customHeight="1">
      <c r="A2" s="1954" t="str">
        <f>'PC- Detail'!A2:I2</f>
        <v>Name of work: Providing Special Repair works for 5 Nos INS, 8 Nos SI, 24 Nos PC/HC Quarters  at Church Hill Ooty in the Nilgiri District</v>
      </c>
      <c r="B2" s="1954"/>
      <c r="C2" s="1954"/>
      <c r="D2" s="1954"/>
      <c r="E2" s="1954"/>
      <c r="F2" s="1954"/>
    </row>
    <row r="3" spans="1:6" ht="47.45" customHeight="1">
      <c r="A3" s="1955" t="s">
        <v>3196</v>
      </c>
      <c r="B3" s="1956"/>
      <c r="C3" s="1956"/>
      <c r="D3" s="1956"/>
      <c r="E3" s="1956"/>
      <c r="F3" s="1957"/>
    </row>
    <row r="4" spans="1:6">
      <c r="A4" s="1951" t="s">
        <v>351</v>
      </c>
      <c r="B4" s="1952"/>
      <c r="C4" s="1952"/>
      <c r="D4" s="1952"/>
      <c r="E4" s="1952"/>
      <c r="F4" s="1953"/>
    </row>
    <row r="5" spans="1:6" ht="31.5">
      <c r="A5" s="2" t="s">
        <v>219</v>
      </c>
      <c r="B5" s="21" t="s">
        <v>3</v>
      </c>
      <c r="C5" s="784" t="s">
        <v>11</v>
      </c>
      <c r="D5" s="21" t="s">
        <v>217</v>
      </c>
      <c r="E5" s="784" t="s">
        <v>10</v>
      </c>
      <c r="F5" s="21" t="s">
        <v>218</v>
      </c>
    </row>
    <row r="6" spans="1:6">
      <c r="A6" s="2">
        <v>1</v>
      </c>
      <c r="B6" s="3" t="e">
        <f>'PC- Detail'!#REF!</f>
        <v>#REF!</v>
      </c>
      <c r="C6" s="12" t="e">
        <f>'PC- Detail'!#REF!</f>
        <v>#REF!</v>
      </c>
      <c r="D6" s="3" t="e">
        <f>#REF!</f>
        <v>#REF!</v>
      </c>
      <c r="E6" s="2" t="s">
        <v>313</v>
      </c>
      <c r="F6" s="13" t="e">
        <f>B6*D6</f>
        <v>#REF!</v>
      </c>
    </row>
    <row r="7" spans="1:6" ht="47.25">
      <c r="A7" s="2">
        <v>2</v>
      </c>
      <c r="B7" s="3">
        <f>'PC- Detail'!H19</f>
        <v>15.7</v>
      </c>
      <c r="C7" s="12" t="str">
        <f>'PC- Detail'!B14</f>
        <v xml:space="preserve">PCC 1:5:10 using 40mm jelly including cost of materials and labours etc.., completed </v>
      </c>
      <c r="D7" s="3" t="e">
        <f>#REF!</f>
        <v>#REF!</v>
      </c>
      <c r="E7" s="2" t="s">
        <v>313</v>
      </c>
      <c r="F7" s="13" t="e">
        <f t="shared" ref="F7:F46" si="0">B7*D7</f>
        <v>#REF!</v>
      </c>
    </row>
    <row r="8" spans="1:6" ht="75.599999999999994" customHeight="1">
      <c r="A8" s="2">
        <v>3</v>
      </c>
      <c r="B8" s="3">
        <f>'PC- Detail'!H24</f>
        <v>11.052999999999999</v>
      </c>
      <c r="C8" s="31" t="str">
        <f>'PC- Detail'!B20</f>
        <v xml:space="preserve">PCC 1:2:4 using 20mm jelly including cost of materials and labours etc.., completed </v>
      </c>
      <c r="D8" s="3" t="e">
        <f>#REF!</f>
        <v>#REF!</v>
      </c>
      <c r="E8" s="30" t="s">
        <v>313</v>
      </c>
      <c r="F8" s="13" t="e">
        <f>B8*D8</f>
        <v>#REF!</v>
      </c>
    </row>
    <row r="9" spans="1:6" ht="94.5">
      <c r="A9" s="2">
        <v>4</v>
      </c>
      <c r="B9" s="3">
        <f>'PC- Detail'!H27</f>
        <v>7.7</v>
      </c>
      <c r="C9" s="12" t="str">
        <f>'PC- Detail'!B25</f>
        <v>Brickwork in CM 1:5 using Chamber burn bricks in foundation including cost of materials and labours etc.., completed ,a)Foundation and basement etc complete</v>
      </c>
      <c r="D9" s="3" t="e">
        <f>#REF!</f>
        <v>#REF!</v>
      </c>
      <c r="E9" s="2" t="s">
        <v>313</v>
      </c>
      <c r="F9" s="13" t="e">
        <f t="shared" si="0"/>
        <v>#REF!</v>
      </c>
    </row>
    <row r="10" spans="1:6" ht="110.25">
      <c r="A10" s="2">
        <v>5</v>
      </c>
      <c r="B10" s="3">
        <f>'PC- Detail'!H40</f>
        <v>45.1</v>
      </c>
      <c r="C10" s="12" t="str">
        <f>'PC- Detail'!B28</f>
        <v>Clean removel of the old cement plastering both inside and outside from the existing walls of brick masonry without damageing the existing structure and surroundings and clearing the debries away from the site including all cost etc.,</v>
      </c>
      <c r="D10" s="3">
        <v>9.31</v>
      </c>
      <c r="E10" s="30" t="s">
        <v>306</v>
      </c>
      <c r="F10" s="13">
        <f t="shared" si="0"/>
        <v>419.88100000000003</v>
      </c>
    </row>
    <row r="11" spans="1:6" ht="63">
      <c r="A11" s="2">
        <v>6</v>
      </c>
      <c r="B11" s="3">
        <f>'PC- Detail'!H59</f>
        <v>39.5</v>
      </c>
      <c r="C11" s="12" t="str">
        <f>'PC- Detail'!B41</f>
        <v xml:space="preserve">Special celing plasering in CM 1:3,10 mm tk including cost of materials and labours etc.., completed </v>
      </c>
      <c r="D11" s="3" t="e">
        <f>#REF!</f>
        <v>#REF!</v>
      </c>
      <c r="E11" s="30" t="s">
        <v>306</v>
      </c>
      <c r="F11" s="13" t="e">
        <f t="shared" si="0"/>
        <v>#REF!</v>
      </c>
    </row>
    <row r="12" spans="1:6" ht="47.25">
      <c r="A12" s="2">
        <v>7</v>
      </c>
      <c r="B12" s="3">
        <f>'PC- Detail'!H62</f>
        <v>24</v>
      </c>
      <c r="C12" s="12" t="str">
        <f>'PC- Detail'!B60</f>
        <v xml:space="preserve">Plastering in CM 1:4, 12mm thick including cost of materials and labours etc.., completed </v>
      </c>
      <c r="D12" s="3" t="e">
        <f>#REF!</f>
        <v>#REF!</v>
      </c>
      <c r="E12" s="30" t="s">
        <v>306</v>
      </c>
      <c r="F12" s="13" t="e">
        <f t="shared" si="0"/>
        <v>#REF!</v>
      </c>
    </row>
    <row r="13" spans="1:6" ht="31.5">
      <c r="A13" s="2">
        <v>8</v>
      </c>
      <c r="B13" s="3">
        <f>'PC- Detail'!H69</f>
        <v>20</v>
      </c>
      <c r="C13" s="31" t="str">
        <f>'PC- Detail'!B63</f>
        <v>Supplying and fixing of 4mm thick plain glasses etc.,</v>
      </c>
      <c r="D13" s="34" t="e">
        <f>#REF!</f>
        <v>#REF!</v>
      </c>
      <c r="E13" s="30" t="s">
        <v>306</v>
      </c>
      <c r="F13" s="13" t="e">
        <f t="shared" si="0"/>
        <v>#REF!</v>
      </c>
    </row>
    <row r="14" spans="1:6" ht="31.5">
      <c r="A14" s="2">
        <v>9</v>
      </c>
      <c r="B14" s="3">
        <f>'PC- Detail'!H77</f>
        <v>171.3</v>
      </c>
      <c r="C14" s="31" t="str">
        <f>'PC- Detail'!B70</f>
        <v>Dismantling and clearing away the Pressed tiles etc.,</v>
      </c>
      <c r="D14" s="34">
        <v>36.1</v>
      </c>
      <c r="E14" s="40" t="s">
        <v>306</v>
      </c>
      <c r="F14" s="13">
        <f t="shared" si="0"/>
        <v>6183.93</v>
      </c>
    </row>
    <row r="15" spans="1:6" ht="31.5">
      <c r="A15" s="2">
        <v>10</v>
      </c>
      <c r="B15" s="3">
        <f>'PC- Detail'!H85</f>
        <v>171.3</v>
      </c>
      <c r="C15" s="31" t="str">
        <f>'PC- Detail'!B78</f>
        <v>Supplying and laying of hydraulic pressed tiles etc.,</v>
      </c>
      <c r="D15" s="34" t="e">
        <f>#REF!</f>
        <v>#REF!</v>
      </c>
      <c r="E15" s="40" t="s">
        <v>306</v>
      </c>
      <c r="F15" s="13" t="e">
        <f t="shared" si="0"/>
        <v>#REF!</v>
      </c>
    </row>
    <row r="16" spans="1:6" ht="47.25">
      <c r="A16" s="2">
        <v>11</v>
      </c>
      <c r="B16" s="3">
        <f>'PC- Detail'!H93</f>
        <v>342.6</v>
      </c>
      <c r="C16" s="31" t="str">
        <f>'PC- Detail'!B86</f>
        <v>Providing Polymer Coating (Water Proof Coating ) for over roof pressed tiles  area.</v>
      </c>
      <c r="D16" s="34" t="e">
        <f>#REF!</f>
        <v>#REF!</v>
      </c>
      <c r="E16" s="40" t="s">
        <v>306</v>
      </c>
      <c r="F16" s="13" t="e">
        <f t="shared" si="0"/>
        <v>#REF!</v>
      </c>
    </row>
    <row r="17" spans="1:9" ht="31.5">
      <c r="A17" s="2">
        <v>12</v>
      </c>
      <c r="B17" s="3">
        <f>'PC- Detail'!H99</f>
        <v>57.3</v>
      </c>
      <c r="C17" s="31" t="str">
        <f>'PC- Detail'!B94</f>
        <v>Supply and laying of ceramic(anti-skid) tiles etc.,</v>
      </c>
      <c r="D17" s="3" t="e">
        <f>#REF!</f>
        <v>#REF!</v>
      </c>
      <c r="E17" s="40" t="s">
        <v>306</v>
      </c>
      <c r="F17" s="13" t="e">
        <f t="shared" si="0"/>
        <v>#REF!</v>
      </c>
    </row>
    <row r="18" spans="1:9" ht="31.5">
      <c r="A18" s="2">
        <v>13</v>
      </c>
      <c r="B18" s="3">
        <f>'PC- Detail'!H106</f>
        <v>134</v>
      </c>
      <c r="C18" s="37" t="str">
        <f>'PC- Detail'!B100</f>
        <v>Supplying and laying of glazed tiles etc.,</v>
      </c>
      <c r="D18" s="3" t="e">
        <f>#REF!</f>
        <v>#REF!</v>
      </c>
      <c r="E18" s="40" t="s">
        <v>306</v>
      </c>
      <c r="F18" s="13" t="e">
        <f t="shared" si="0"/>
        <v>#REF!</v>
      </c>
    </row>
    <row r="19" spans="1:9" ht="47.25">
      <c r="A19" s="2">
        <v>14</v>
      </c>
      <c r="B19" s="3"/>
      <c r="C19" s="38" t="str">
        <f>'PC- Detail'!B107</f>
        <v>Supply and fixing of IWC including all special and labour charges etc., complete</v>
      </c>
      <c r="D19" s="3"/>
      <c r="E19" s="30"/>
      <c r="F19" s="13"/>
    </row>
    <row r="20" spans="1:9">
      <c r="A20" s="2"/>
      <c r="B20" s="3">
        <f>'PC- Detail'!H110</f>
        <v>12</v>
      </c>
      <c r="C20" s="38" t="str">
        <f>'PC- Detail'!B108</f>
        <v>a)In .G.F</v>
      </c>
      <c r="D20" s="3" t="e">
        <f>#REF!</f>
        <v>#REF!</v>
      </c>
      <c r="E20" s="2" t="s">
        <v>340</v>
      </c>
      <c r="F20" s="13" t="e">
        <f t="shared" si="0"/>
        <v>#REF!</v>
      </c>
    </row>
    <row r="21" spans="1:9">
      <c r="A21" s="2"/>
      <c r="B21" s="3">
        <f>'PC- Detail'!H113</f>
        <v>12</v>
      </c>
      <c r="C21" s="38" t="str">
        <f>'PC- Detail'!B111</f>
        <v>b)In other than G.F</v>
      </c>
      <c r="D21" s="47" t="e">
        <f>#REF!</f>
        <v>#REF!</v>
      </c>
      <c r="E21" s="2" t="s">
        <v>340</v>
      </c>
      <c r="F21" s="13" t="e">
        <f t="shared" si="0"/>
        <v>#REF!</v>
      </c>
    </row>
    <row r="22" spans="1:9" ht="47.25">
      <c r="A22" s="2">
        <v>15</v>
      </c>
      <c r="B22" s="3">
        <f>'PC- Detail'!H116</f>
        <v>21</v>
      </c>
      <c r="C22" s="700" t="str">
        <f>'PC- Detail'!B114</f>
        <v>Removing of doors and windows shutter etc.,PWD SOR P-22 Item No.29</v>
      </c>
      <c r="D22" s="34">
        <f>I22</f>
        <v>168.56</v>
      </c>
      <c r="E22" s="40" t="s">
        <v>306</v>
      </c>
      <c r="F22" s="13">
        <f t="shared" si="0"/>
        <v>3539.76</v>
      </c>
      <c r="G22" s="9">
        <v>120.4</v>
      </c>
      <c r="H22" s="9">
        <f>G22*40%</f>
        <v>48.160000000000004</v>
      </c>
      <c r="I22" s="9">
        <f>G22+H22</f>
        <v>168.56</v>
      </c>
    </row>
    <row r="23" spans="1:9" ht="47.25">
      <c r="A23" s="2">
        <v>16</v>
      </c>
      <c r="B23" s="3">
        <f>'PC- Detail'!H119</f>
        <v>36</v>
      </c>
      <c r="C23" s="39" t="str">
        <f>'PC- Detail'!B117</f>
        <v>Supplying and fixing of  solid panel door with frame  ( SR pg.No.43 item No.125a)</v>
      </c>
      <c r="D23" s="3">
        <v>3167</v>
      </c>
      <c r="E23" s="40" t="s">
        <v>306</v>
      </c>
      <c r="F23" s="13">
        <f t="shared" si="0"/>
        <v>114012</v>
      </c>
    </row>
    <row r="24" spans="1:9" ht="94.5">
      <c r="A24" s="2">
        <v>17</v>
      </c>
      <c r="B24" s="3">
        <f>'PC- Detail'!H131</f>
        <v>160.5</v>
      </c>
      <c r="C24" s="12" t="str">
        <f>'PC- Detail'!B120</f>
        <v>Chipping of concrete and rougheing of surface including cost of materials and labours etc.., completed                                   PWD SOR 2021-22 p-22 item No.38A</v>
      </c>
      <c r="D24" s="3">
        <v>44.38</v>
      </c>
      <c r="E24" s="40" t="s">
        <v>306</v>
      </c>
      <c r="F24" s="13">
        <f t="shared" si="0"/>
        <v>7122.9900000000007</v>
      </c>
    </row>
    <row r="25" spans="1:9" ht="47.25">
      <c r="A25" s="2">
        <v>18</v>
      </c>
      <c r="B25" s="3">
        <f>'PC- Detail'!H142</f>
        <v>131.30000000000001</v>
      </c>
      <c r="C25" s="41" t="str">
        <f>'PC- Detail'!B132</f>
        <v>Floor plastering in CM 1:4, 20mm thick  including neat cement, etc all complete</v>
      </c>
      <c r="D25" s="3" t="e">
        <f>#REF!</f>
        <v>#REF!</v>
      </c>
      <c r="E25" s="2" t="s">
        <v>306</v>
      </c>
      <c r="F25" s="13" t="e">
        <f t="shared" si="0"/>
        <v>#REF!</v>
      </c>
    </row>
    <row r="26" spans="1:9" ht="63">
      <c r="A26" s="2">
        <v>19</v>
      </c>
      <c r="B26" s="3">
        <f>'PC- Detail'!H145</f>
        <v>300</v>
      </c>
      <c r="C26" s="31" t="str">
        <f>'PC- Detail'!B143</f>
        <v>Supply ,laying &amp; jointing the following pipes as per ASTM D 1785 of schedule   PVC Specials etc.,a)25 mm  Pipe</v>
      </c>
      <c r="D26" s="34" t="e">
        <f>#REF!</f>
        <v>#REF!</v>
      </c>
      <c r="E26" s="2" t="s">
        <v>303</v>
      </c>
      <c r="F26" s="13" t="e">
        <f t="shared" si="0"/>
        <v>#REF!</v>
      </c>
    </row>
    <row r="27" spans="1:9" ht="47.25">
      <c r="A27" s="2">
        <v>20</v>
      </c>
      <c r="B27" s="3">
        <f>'PC- Detail'!H148</f>
        <v>50</v>
      </c>
      <c r="C27" s="31" t="str">
        <f>'PC- Detail'!B146</f>
        <v>Supplying and laying of 32 mm dia ASTM etc all complete including and labour charges etc., complete</v>
      </c>
      <c r="D27" s="34">
        <v>170</v>
      </c>
      <c r="E27" s="2" t="s">
        <v>303</v>
      </c>
      <c r="F27" s="13">
        <f t="shared" si="0"/>
        <v>8500</v>
      </c>
    </row>
    <row r="28" spans="1:9" ht="63">
      <c r="A28" s="2">
        <v>21</v>
      </c>
      <c r="B28" s="3">
        <f>'PC- Detail'!H150</f>
        <v>80</v>
      </c>
      <c r="C28" s="31" t="str">
        <f>'PC- Detail'!B149</f>
        <v>Supplying and laying of 40 mm dia PVC  (Below Ground level) etc all complete including and labour charges etc., complete</v>
      </c>
      <c r="D28" s="34">
        <v>435</v>
      </c>
      <c r="E28" s="2" t="s">
        <v>303</v>
      </c>
      <c r="F28" s="13">
        <f t="shared" si="0"/>
        <v>34800</v>
      </c>
    </row>
    <row r="29" spans="1:9" ht="63">
      <c r="A29" s="2">
        <v>22</v>
      </c>
      <c r="B29" s="3">
        <f>'PC- Detail'!H154</f>
        <v>54</v>
      </c>
      <c r="C29" s="31" t="str">
        <f>'PC- Detail'!B151</f>
        <v>Supply and Fixing of 15mm dia half turn CP tap (LONG BODY) including all special and labour charges etc., complete</v>
      </c>
      <c r="D29" s="3" t="e">
        <f>#REF!</f>
        <v>#REF!</v>
      </c>
      <c r="E29" s="30" t="s">
        <v>340</v>
      </c>
      <c r="F29" s="13" t="e">
        <f t="shared" si="0"/>
        <v>#REF!</v>
      </c>
    </row>
    <row r="30" spans="1:9" ht="63">
      <c r="A30" s="2">
        <v>23</v>
      </c>
      <c r="B30" s="3">
        <f>'PC- Detail'!H157</f>
        <v>24</v>
      </c>
      <c r="C30" s="31" t="str">
        <f>'PC- Detail'!B155</f>
        <v>Supply and Fixing of 15mm dia half turn CP tap (SHORT BODY) including all special and labour charges etc., complete</v>
      </c>
      <c r="D30" s="3" t="e">
        <f>#REF!</f>
        <v>#REF!</v>
      </c>
      <c r="E30" s="30" t="s">
        <v>340</v>
      </c>
      <c r="F30" s="13" t="e">
        <f t="shared" si="0"/>
        <v>#REF!</v>
      </c>
    </row>
    <row r="31" spans="1:9" ht="47.25">
      <c r="A31" s="2">
        <v>24</v>
      </c>
      <c r="B31" s="3">
        <f>'PC- Detail'!H160</f>
        <v>144</v>
      </c>
      <c r="C31" s="31" t="str">
        <f>'PC- Detail'!B158</f>
        <v>Supplying and fixing of PVC SWR 110 mm dia with ISI mark type- A for Rain water down fall pipe</v>
      </c>
      <c r="D31" s="3" t="e">
        <f>#REF!</f>
        <v>#REF!</v>
      </c>
      <c r="E31" s="30" t="s">
        <v>303</v>
      </c>
      <c r="F31" s="13" t="e">
        <f t="shared" si="0"/>
        <v>#REF!</v>
      </c>
    </row>
    <row r="32" spans="1:9" ht="47.25">
      <c r="A32" s="2">
        <v>25</v>
      </c>
      <c r="B32" s="3"/>
      <c r="C32" s="31" t="str">
        <f>'PC- Detail'!B161</f>
        <v>Supply and laying of SWR Pipes including cost of materials and labours etc.., completed</v>
      </c>
      <c r="D32" s="3"/>
      <c r="E32" s="30"/>
      <c r="F32" s="13"/>
    </row>
    <row r="33" spans="1:8">
      <c r="A33" s="2"/>
      <c r="B33" s="3">
        <f>'PC- Detail'!H164</f>
        <v>48</v>
      </c>
      <c r="C33" s="31" t="str">
        <f>'PC- Detail'!B162</f>
        <v xml:space="preserve"> 110 MM DIA </v>
      </c>
      <c r="D33" s="3" t="e">
        <f>#REF!</f>
        <v>#REF!</v>
      </c>
      <c r="E33" s="30" t="s">
        <v>303</v>
      </c>
      <c r="F33" s="13" t="e">
        <f t="shared" si="0"/>
        <v>#REF!</v>
      </c>
    </row>
    <row r="34" spans="1:8" ht="105.6" customHeight="1">
      <c r="A34" s="2">
        <v>26</v>
      </c>
      <c r="B34" s="3">
        <f>'PC- Detail'!H169</f>
        <v>50</v>
      </c>
      <c r="C34" s="32" t="str">
        <f>'PC- Detail'!B168</f>
        <v>Supplying and fixing of following SN8 160mm dia  Pvc pipe  with ISI mark including cost of materials and convenience and earth work excavation and refilling trenches etc.., Below ground level .</v>
      </c>
      <c r="D34" s="34" t="e">
        <f>#REF!</f>
        <v>#REF!</v>
      </c>
      <c r="E34" s="30" t="s">
        <v>303</v>
      </c>
      <c r="F34" s="13" t="e">
        <f t="shared" si="0"/>
        <v>#REF!</v>
      </c>
    </row>
    <row r="35" spans="1:8" ht="105.6" customHeight="1">
      <c r="A35" s="2">
        <v>27</v>
      </c>
      <c r="B35" s="3">
        <f>'PC- Detail'!H172</f>
        <v>20</v>
      </c>
      <c r="C35" s="32" t="str">
        <f>'PC- Detail'!B171</f>
        <v>Supplying and fixing of following SN8 110mm dia  Pvc pipe  with ISI mark including cost of materials and convenience and earth work excavation and refilling trenches etc.., Below ground level .</v>
      </c>
      <c r="D35" s="34" t="e">
        <f>#REF!</f>
        <v>#REF!</v>
      </c>
      <c r="E35" s="30" t="s">
        <v>303</v>
      </c>
      <c r="F35" s="13" t="e">
        <f>B35*D35</f>
        <v>#REF!</v>
      </c>
    </row>
    <row r="36" spans="1:8" ht="65.45" customHeight="1">
      <c r="A36" s="2">
        <v>28</v>
      </c>
      <c r="B36" s="3">
        <f>'PC- Detail'!H185</f>
        <v>756</v>
      </c>
      <c r="C36" s="31" t="str">
        <f>'PC- Detail'!B174</f>
        <v xml:space="preserve">Painting White washing  two coats including cost of materials and labours etc.., completed </v>
      </c>
      <c r="D36" s="3" t="e">
        <f>#REF!</f>
        <v>#REF!</v>
      </c>
      <c r="E36" s="30" t="s">
        <v>306</v>
      </c>
      <c r="F36" s="13" t="e">
        <f t="shared" si="0"/>
        <v>#REF!</v>
      </c>
    </row>
    <row r="37" spans="1:8" ht="73.900000000000006" customHeight="1">
      <c r="A37" s="2">
        <v>29</v>
      </c>
      <c r="B37" s="3">
        <f>'PC- Detail'!H233</f>
        <v>3777.1</v>
      </c>
      <c r="C37" s="31" t="str">
        <f>'PC- Detail'!B186</f>
        <v xml:space="preserve">Painting Two coat of OBD over one coat white cement for inner walls  including cost of materials and labours etc.., completed </v>
      </c>
      <c r="D37" s="3" t="e">
        <f>#REF!</f>
        <v>#REF!</v>
      </c>
      <c r="E37" s="30" t="s">
        <v>306</v>
      </c>
      <c r="F37" s="13" t="e">
        <f t="shared" si="0"/>
        <v>#REF!</v>
      </c>
    </row>
    <row r="38" spans="1:8" ht="73.150000000000006" customHeight="1">
      <c r="A38" s="2">
        <v>30</v>
      </c>
      <c r="B38" s="3">
        <f>'PC- Detail'!H268</f>
        <v>3422.3</v>
      </c>
      <c r="C38" s="31" t="str">
        <f>'PC- Detail'!B234</f>
        <v xml:space="preserve">Plastic Emulsion paint two coat of Old walls including cost of materials and labours etc.., completed </v>
      </c>
      <c r="D38" s="3" t="e">
        <f>#REF!</f>
        <v>#REF!</v>
      </c>
      <c r="E38" s="30" t="s">
        <v>306</v>
      </c>
      <c r="F38" s="13" t="e">
        <f t="shared" si="0"/>
        <v>#REF!</v>
      </c>
    </row>
    <row r="39" spans="1:8" ht="56.45" customHeight="1">
      <c r="A39" s="2">
        <v>31</v>
      </c>
      <c r="B39" s="3">
        <f>'PC- Detail'!H280</f>
        <v>1014</v>
      </c>
      <c r="C39" s="31" t="str">
        <f>'PC- Detail'!B269</f>
        <v xml:space="preserve">Painting the old wood work two coats including cost of materials and labours etc.., completed </v>
      </c>
      <c r="D39" s="3" t="e">
        <f>#REF!</f>
        <v>#REF!</v>
      </c>
      <c r="E39" s="30" t="s">
        <v>306</v>
      </c>
      <c r="F39" s="13" t="e">
        <f t="shared" si="0"/>
        <v>#REF!</v>
      </c>
    </row>
    <row r="40" spans="1:8" ht="56.45" customHeight="1">
      <c r="A40" s="2">
        <v>32</v>
      </c>
      <c r="B40" s="3" t="e">
        <f>'PC- Detail'!#REF!</f>
        <v>#REF!</v>
      </c>
      <c r="C40" s="31" t="e">
        <f>'PC- Detail'!#REF!</f>
        <v>#REF!</v>
      </c>
      <c r="D40" s="34" t="e">
        <f>#REF!</f>
        <v>#REF!</v>
      </c>
      <c r="E40" s="30" t="s">
        <v>306</v>
      </c>
      <c r="F40" s="13" t="e">
        <f t="shared" si="0"/>
        <v>#REF!</v>
      </c>
    </row>
    <row r="41" spans="1:8" ht="75.599999999999994" customHeight="1">
      <c r="A41" s="2">
        <v>33</v>
      </c>
      <c r="B41" s="3">
        <f>'PC- Detail'!H282</f>
        <v>10</v>
      </c>
      <c r="C41" s="31" t="str">
        <f>'PC- Detail'!B281</f>
        <v>Precast Slab For chamber cover slab ( SFRC Slabof size 600 x 600mm with frame) Including Cost of materials etc.., (SR.Pg.No.77 item no.284.a)</v>
      </c>
      <c r="D41" s="3">
        <v>2700</v>
      </c>
      <c r="E41" s="30" t="s">
        <v>340</v>
      </c>
      <c r="F41" s="13">
        <f t="shared" si="0"/>
        <v>27000</v>
      </c>
    </row>
    <row r="42" spans="1:8" ht="75.599999999999994" customHeight="1">
      <c r="A42" s="2">
        <v>34</v>
      </c>
      <c r="B42" s="3">
        <f>'PC- Detail'!H285</f>
        <v>24</v>
      </c>
      <c r="C42" s="31" t="str">
        <f>'PC- Detail'!B283</f>
        <v>Supplyying and fixing of pvc sintex tank of 700cum capacity of pvc tank etc., all complete( SR Pg.No.50 item no.180)</v>
      </c>
      <c r="D42" s="3">
        <f>H42</f>
        <v>7200</v>
      </c>
      <c r="E42" s="30" t="s">
        <v>325</v>
      </c>
      <c r="F42" s="13">
        <f t="shared" si="0"/>
        <v>172800</v>
      </c>
      <c r="G42" s="9">
        <f>9.6</f>
        <v>9.6</v>
      </c>
      <c r="H42" s="9">
        <f>G42*750</f>
        <v>7200</v>
      </c>
    </row>
    <row r="43" spans="1:8" ht="75.599999999999994" customHeight="1">
      <c r="A43" s="2">
        <v>35</v>
      </c>
      <c r="B43" s="3">
        <f>'PC- Detail'!H289</f>
        <v>18</v>
      </c>
      <c r="C43" s="31" t="str">
        <f>'PC- Detail'!B286</f>
        <v xml:space="preserve">Supplying and fixing of TW single leaf glazed window shutter  for frame of overall height 135cm </v>
      </c>
      <c r="D43" s="3" t="e">
        <f>#REF!</f>
        <v>#REF!</v>
      </c>
      <c r="E43" s="30" t="s">
        <v>306</v>
      </c>
      <c r="F43" s="13" t="e">
        <f t="shared" si="0"/>
        <v>#REF!</v>
      </c>
    </row>
    <row r="44" spans="1:8" ht="75.599999999999994" customHeight="1">
      <c r="A44" s="2">
        <v>36</v>
      </c>
      <c r="B44" s="3">
        <f>'PC- Detail'!H294</f>
        <v>24</v>
      </c>
      <c r="C44" s="31" t="str">
        <f>'PC- Detail'!B293</f>
        <v xml:space="preserve">Supply and fixing of Wash basin including cost of materials and labours etc.., completed </v>
      </c>
      <c r="D44" s="3" t="e">
        <f>#REF!</f>
        <v>#REF!</v>
      </c>
      <c r="E44" s="30" t="s">
        <v>340</v>
      </c>
      <c r="F44" s="13" t="e">
        <f t="shared" si="0"/>
        <v>#REF!</v>
      </c>
    </row>
    <row r="45" spans="1:8" ht="75.599999999999994" customHeight="1">
      <c r="A45" s="2">
        <v>37</v>
      </c>
      <c r="B45" s="3">
        <f>'PC- Detail'!H297</f>
        <v>24</v>
      </c>
      <c r="C45" s="31" t="str">
        <f>'PC- Detail'!B296</f>
        <v xml:space="preserve">S&amp;F of Bevelled edge mirror 500 x 400 x 5.5mm including cost of materials and labours etc.., completed </v>
      </c>
      <c r="D45" s="3">
        <v>471.2</v>
      </c>
      <c r="E45" s="30" t="s">
        <v>340</v>
      </c>
      <c r="F45" s="13">
        <f t="shared" si="0"/>
        <v>11308.8</v>
      </c>
    </row>
    <row r="46" spans="1:8" ht="75.599999999999994" customHeight="1">
      <c r="A46" s="2">
        <v>38</v>
      </c>
      <c r="B46" s="3">
        <f>'PC- Detail'!H304</f>
        <v>16.354000000000003</v>
      </c>
      <c r="C46" s="31" t="str">
        <f>'PC- Detail'!B299</f>
        <v xml:space="preserve">Painting the New wood work two coats including cost of materials and labours etc.., completed </v>
      </c>
      <c r="D46" s="3">
        <v>264.52999999999997</v>
      </c>
      <c r="E46" s="30" t="s">
        <v>306</v>
      </c>
      <c r="F46" s="13">
        <f t="shared" si="0"/>
        <v>4326.1236200000003</v>
      </c>
    </row>
    <row r="47" spans="1:8">
      <c r="A47" s="2"/>
      <c r="B47" s="3"/>
      <c r="C47" s="1954" t="s">
        <v>223</v>
      </c>
      <c r="D47" s="1954"/>
      <c r="E47" s="1954"/>
      <c r="F47" s="17" t="e">
        <f>SUM(F6:F46)</f>
        <v>#REF!</v>
      </c>
    </row>
    <row r="48" spans="1:8" ht="19.5" customHeight="1">
      <c r="A48" s="2"/>
      <c r="B48" s="3"/>
      <c r="C48" s="33" t="s">
        <v>382</v>
      </c>
      <c r="D48" s="1948" t="s">
        <v>226</v>
      </c>
      <c r="E48" s="1949"/>
      <c r="F48" s="16" t="e">
        <f>F47*12%</f>
        <v>#REF!</v>
      </c>
      <c r="G48" s="28"/>
    </row>
    <row r="49" spans="1:7">
      <c r="A49" s="2"/>
      <c r="B49" s="3"/>
      <c r="C49" s="1955" t="s">
        <v>3454</v>
      </c>
      <c r="D49" s="1956"/>
      <c r="E49" s="1957"/>
      <c r="F49" s="17" t="e">
        <f>SUM(F47:F48)</f>
        <v>#REF!</v>
      </c>
      <c r="G49" s="28"/>
    </row>
    <row r="50" spans="1:7" ht="21.75" customHeight="1">
      <c r="A50" s="2"/>
      <c r="B50" s="3"/>
      <c r="C50" s="12" t="s">
        <v>224</v>
      </c>
      <c r="D50" s="1948" t="s">
        <v>226</v>
      </c>
      <c r="E50" s="1949"/>
      <c r="F50" s="16" t="e">
        <f>F49*1%</f>
        <v>#REF!</v>
      </c>
    </row>
    <row r="51" spans="1:7" ht="20.25" customHeight="1">
      <c r="A51" s="2"/>
      <c r="B51" s="3"/>
      <c r="C51" s="12" t="s">
        <v>225</v>
      </c>
      <c r="D51" s="1948" t="s">
        <v>226</v>
      </c>
      <c r="E51" s="1949"/>
      <c r="F51" s="16" t="e">
        <f>F49*7.5%</f>
        <v>#REF!</v>
      </c>
    </row>
    <row r="52" spans="1:7" ht="19.5" customHeight="1">
      <c r="A52" s="2"/>
      <c r="B52" s="3"/>
      <c r="C52" s="571" t="s">
        <v>3558</v>
      </c>
      <c r="D52" s="1948" t="s">
        <v>226</v>
      </c>
      <c r="E52" s="1949"/>
      <c r="F52" s="16">
        <v>100000</v>
      </c>
      <c r="G52" s="28"/>
    </row>
    <row r="53" spans="1:7">
      <c r="A53" s="2"/>
      <c r="B53" s="3"/>
      <c r="C53" s="1955" t="s">
        <v>227</v>
      </c>
      <c r="D53" s="1956"/>
      <c r="E53" s="1957"/>
      <c r="F53" s="17" t="e">
        <f>SUM(F49:F52)</f>
        <v>#REF!</v>
      </c>
    </row>
    <row r="54" spans="1:7" ht="21" customHeight="1">
      <c r="A54" s="2"/>
      <c r="B54" s="3"/>
      <c r="C54" s="784"/>
      <c r="D54" s="784"/>
      <c r="E54" s="14" t="s">
        <v>9</v>
      </c>
      <c r="F54" s="17"/>
    </row>
    <row r="55" spans="1:7">
      <c r="D55" s="19"/>
      <c r="E55" s="1947"/>
      <c r="F55" s="1947"/>
    </row>
  </sheetData>
  <mergeCells count="12">
    <mergeCell ref="D50:E50"/>
    <mergeCell ref="D51:E51"/>
    <mergeCell ref="C53:E53"/>
    <mergeCell ref="E55:F55"/>
    <mergeCell ref="D52:E52"/>
    <mergeCell ref="C49:E49"/>
    <mergeCell ref="A1:F1"/>
    <mergeCell ref="A2:F2"/>
    <mergeCell ref="A4:F4"/>
    <mergeCell ref="C47:E47"/>
    <mergeCell ref="D48:E48"/>
    <mergeCell ref="A3:F3"/>
  </mergeCells>
  <pageMargins left="0.7" right="0.7" top="0.75" bottom="0.75" header="0.3" footer="0.3"/>
  <pageSetup paperSize="9" scale="94" orientation="portrait" r:id="rId1"/>
</worksheet>
</file>

<file path=xl/worksheets/sheet31.xml><?xml version="1.0" encoding="utf-8"?>
<worksheet xmlns="http://schemas.openxmlformats.org/spreadsheetml/2006/main" xmlns:r="http://schemas.openxmlformats.org/officeDocument/2006/relationships">
  <sheetPr codeName="Sheet3">
    <tabColor rgb="FFFF0000"/>
  </sheetPr>
  <dimension ref="A1:O307"/>
  <sheetViews>
    <sheetView view="pageBreakPreview" topLeftCell="A146" zoomScale="85" zoomScaleNormal="90" zoomScaleSheetLayoutView="85" workbookViewId="0">
      <selection activeCell="H150" sqref="H150"/>
    </sheetView>
  </sheetViews>
  <sheetFormatPr defaultColWidth="9.28515625" defaultRowHeight="15"/>
  <cols>
    <col min="1" max="1" width="5.28515625" style="1462" customWidth="1"/>
    <col min="2" max="2" width="39.140625" style="1393" customWidth="1"/>
    <col min="3" max="4" width="5.42578125" style="1462" customWidth="1"/>
    <col min="5" max="5" width="9.5703125" style="1463" customWidth="1"/>
    <col min="6" max="7" width="7.7109375" style="1463" customWidth="1"/>
    <col min="8" max="8" width="10.28515625" style="1464" customWidth="1"/>
    <col min="9" max="9" width="8" style="1462" customWidth="1"/>
    <col min="10" max="13" width="9.28515625" style="1393"/>
    <col min="14" max="14" width="12.7109375" style="1393" bestFit="1" customWidth="1"/>
    <col min="15" max="16384" width="9.28515625" style="1393"/>
  </cols>
  <sheetData>
    <row r="1" spans="1:9">
      <c r="A1" s="2074" t="s">
        <v>241</v>
      </c>
      <c r="B1" s="2074"/>
      <c r="C1" s="2074"/>
      <c r="D1" s="2074"/>
      <c r="E1" s="2074"/>
      <c r="F1" s="2074"/>
      <c r="G1" s="2074"/>
      <c r="H1" s="2074"/>
      <c r="I1" s="2074"/>
    </row>
    <row r="2" spans="1:9" ht="36" customHeight="1">
      <c r="A2" s="2075" t="s">
        <v>3699</v>
      </c>
      <c r="B2" s="2075"/>
      <c r="C2" s="2075"/>
      <c r="D2" s="2075"/>
      <c r="E2" s="2075"/>
      <c r="F2" s="2075"/>
      <c r="G2" s="2075"/>
      <c r="H2" s="2075"/>
      <c r="I2" s="2075"/>
    </row>
    <row r="3" spans="1:9" ht="24.6" customHeight="1">
      <c r="A3" s="1999" t="s">
        <v>3196</v>
      </c>
      <c r="B3" s="2000"/>
      <c r="C3" s="2000"/>
      <c r="D3" s="2000"/>
      <c r="E3" s="2000"/>
      <c r="F3" s="2000"/>
      <c r="G3" s="2000"/>
      <c r="H3" s="2000"/>
      <c r="I3" s="2001"/>
    </row>
    <row r="4" spans="1:9" ht="22.5" customHeight="1">
      <c r="A4" s="1999" t="s">
        <v>14</v>
      </c>
      <c r="B4" s="2000"/>
      <c r="C4" s="2000"/>
      <c r="D4" s="2000"/>
      <c r="E4" s="2000"/>
      <c r="F4" s="2000"/>
      <c r="G4" s="2000"/>
      <c r="H4" s="2000"/>
      <c r="I4" s="2001"/>
    </row>
    <row r="5" spans="1:9" ht="40.5" customHeight="1">
      <c r="A5" s="1394" t="s">
        <v>12</v>
      </c>
      <c r="B5" s="1394" t="s">
        <v>11</v>
      </c>
      <c r="C5" s="2074" t="s">
        <v>4</v>
      </c>
      <c r="D5" s="2074"/>
      <c r="E5" s="1395" t="s">
        <v>5</v>
      </c>
      <c r="F5" s="1395" t="s">
        <v>6</v>
      </c>
      <c r="G5" s="1395" t="s">
        <v>7</v>
      </c>
      <c r="H5" s="1395" t="s">
        <v>3</v>
      </c>
      <c r="I5" s="1395" t="s">
        <v>10</v>
      </c>
    </row>
    <row r="6" spans="1:9" ht="56.45" customHeight="1">
      <c r="A6" s="1396">
        <v>1</v>
      </c>
      <c r="B6" s="1397" t="s">
        <v>3413</v>
      </c>
      <c r="C6" s="1398"/>
      <c r="D6" s="1398"/>
      <c r="E6" s="1399"/>
      <c r="F6" s="1398"/>
      <c r="G6" s="1398"/>
      <c r="H6" s="1400"/>
      <c r="I6" s="1395"/>
    </row>
    <row r="7" spans="1:9" s="1408" customFormat="1" ht="22.15" customHeight="1">
      <c r="A7" s="1401"/>
      <c r="B7" s="1402" t="s">
        <v>3464</v>
      </c>
      <c r="C7" s="1403">
        <v>1</v>
      </c>
      <c r="D7" s="1404">
        <v>10</v>
      </c>
      <c r="E7" s="1405">
        <v>1.2</v>
      </c>
      <c r="F7" s="1405">
        <v>1.2</v>
      </c>
      <c r="G7" s="1405">
        <v>1</v>
      </c>
      <c r="H7" s="1406">
        <f>PRODUCT(C7:G7)</f>
        <v>14.399999999999999</v>
      </c>
      <c r="I7" s="1407"/>
    </row>
    <row r="8" spans="1:9" ht="16.899999999999999" customHeight="1">
      <c r="A8" s="1394"/>
      <c r="B8" s="1409"/>
      <c r="C8" s="1403"/>
      <c r="D8" s="1403"/>
      <c r="E8" s="1410"/>
      <c r="F8" s="1410"/>
      <c r="G8" s="1399" t="s">
        <v>9</v>
      </c>
      <c r="H8" s="1411">
        <f>SUM(H7)</f>
        <v>14.399999999999999</v>
      </c>
      <c r="I8" s="1410" t="s">
        <v>276</v>
      </c>
    </row>
    <row r="9" spans="1:9" ht="51" customHeight="1">
      <c r="A9" s="1394">
        <v>2</v>
      </c>
      <c r="B9" s="1412" t="s">
        <v>5329</v>
      </c>
      <c r="C9" s="1403"/>
      <c r="D9" s="1403"/>
      <c r="E9" s="1410"/>
      <c r="F9" s="1410"/>
      <c r="G9" s="1399"/>
      <c r="H9" s="1411"/>
      <c r="I9" s="1410"/>
    </row>
    <row r="10" spans="1:9" ht="25.15" customHeight="1">
      <c r="A10" s="1394"/>
      <c r="B10" s="1409" t="s">
        <v>5330</v>
      </c>
      <c r="C10" s="1403">
        <v>1</v>
      </c>
      <c r="D10" s="1403">
        <v>8</v>
      </c>
      <c r="E10" s="1410">
        <v>6</v>
      </c>
      <c r="F10" s="1410">
        <v>3</v>
      </c>
      <c r="G10" s="1410">
        <v>0.3</v>
      </c>
      <c r="H10" s="1406">
        <f>PRODUCT(C10:G10)</f>
        <v>43.199999999999996</v>
      </c>
      <c r="I10" s="1410"/>
    </row>
    <row r="11" spans="1:9" ht="25.15" customHeight="1">
      <c r="A11" s="1394"/>
      <c r="B11" s="1409" t="s">
        <v>5367</v>
      </c>
      <c r="C11" s="1403">
        <v>1</v>
      </c>
      <c r="D11" s="1403">
        <v>6</v>
      </c>
      <c r="E11" s="1410">
        <v>1.8</v>
      </c>
      <c r="F11" s="1410">
        <v>0.3</v>
      </c>
      <c r="G11" s="1410">
        <v>0.3</v>
      </c>
      <c r="H11" s="1406">
        <f>PRODUCT(C11:G11)</f>
        <v>0.97199999999999998</v>
      </c>
      <c r="I11" s="1410"/>
    </row>
    <row r="12" spans="1:9" ht="25.15" customHeight="1">
      <c r="A12" s="1394"/>
      <c r="B12" s="1409"/>
      <c r="C12" s="1403"/>
      <c r="D12" s="1403"/>
      <c r="E12" s="1410"/>
      <c r="F12" s="1410"/>
      <c r="G12" s="1410"/>
      <c r="H12" s="1406">
        <v>0.03</v>
      </c>
      <c r="I12" s="1410"/>
    </row>
    <row r="13" spans="1:9" ht="16.899999999999999" customHeight="1">
      <c r="A13" s="1394"/>
      <c r="B13" s="1409"/>
      <c r="C13" s="1403"/>
      <c r="D13" s="1403"/>
      <c r="E13" s="1410"/>
      <c r="F13" s="1410"/>
      <c r="G13" s="1399" t="s">
        <v>9</v>
      </c>
      <c r="H13" s="1411">
        <f>SUM(H10:H12)</f>
        <v>44.201999999999998</v>
      </c>
      <c r="I13" s="1410" t="s">
        <v>313</v>
      </c>
    </row>
    <row r="14" spans="1:9" ht="53.45" customHeight="1">
      <c r="A14" s="1396">
        <v>3</v>
      </c>
      <c r="B14" s="1413" t="s">
        <v>3414</v>
      </c>
      <c r="C14" s="1398"/>
      <c r="D14" s="1398"/>
      <c r="E14" s="1399"/>
      <c r="F14" s="1399"/>
      <c r="G14" s="1399"/>
      <c r="H14" s="1400"/>
      <c r="I14" s="1410"/>
    </row>
    <row r="15" spans="1:9" ht="31.9" customHeight="1">
      <c r="A15" s="1414"/>
      <c r="B15" s="1409" t="s">
        <v>5330</v>
      </c>
      <c r="C15" s="1403">
        <v>1</v>
      </c>
      <c r="D15" s="1403">
        <v>8</v>
      </c>
      <c r="E15" s="1410">
        <v>6</v>
      </c>
      <c r="F15" s="1410">
        <v>3</v>
      </c>
      <c r="G15" s="1410">
        <v>0.1</v>
      </c>
      <c r="H15" s="1406">
        <f>PRODUCT(C15:G15)</f>
        <v>14.4</v>
      </c>
      <c r="I15" s="1410"/>
    </row>
    <row r="16" spans="1:9" ht="32.450000000000003" customHeight="1">
      <c r="A16" s="1414"/>
      <c r="B16" s="1409" t="s">
        <v>5367</v>
      </c>
      <c r="C16" s="1403">
        <v>1</v>
      </c>
      <c r="D16" s="1403">
        <v>6</v>
      </c>
      <c r="E16" s="1410">
        <v>1.8</v>
      </c>
      <c r="F16" s="1410">
        <v>0.3</v>
      </c>
      <c r="G16" s="1410">
        <v>0.1</v>
      </c>
      <c r="H16" s="1406">
        <f>PRODUCT(C16:G16)</f>
        <v>0.32400000000000007</v>
      </c>
      <c r="I16" s="1410"/>
    </row>
    <row r="17" spans="1:9" s="1408" customFormat="1" ht="16.899999999999999" customHeight="1">
      <c r="A17" s="1401"/>
      <c r="B17" s="1402" t="s">
        <v>3463</v>
      </c>
      <c r="C17" s="1403">
        <v>1</v>
      </c>
      <c r="D17" s="1404">
        <v>10</v>
      </c>
      <c r="E17" s="1405">
        <v>0.8</v>
      </c>
      <c r="F17" s="1405">
        <v>0.8</v>
      </c>
      <c r="G17" s="1405">
        <v>0.15</v>
      </c>
      <c r="H17" s="1415">
        <f>PRODUCT(C17:G17)</f>
        <v>0.96</v>
      </c>
      <c r="I17" s="1416"/>
    </row>
    <row r="18" spans="1:9" ht="25.15" customHeight="1">
      <c r="A18" s="1396"/>
      <c r="B18" s="1417"/>
      <c r="C18" s="1398"/>
      <c r="D18" s="1398"/>
      <c r="E18" s="1399"/>
      <c r="F18" s="1399"/>
      <c r="G18" s="1399"/>
      <c r="H18" s="1400">
        <f>SUM(H15:H17)</f>
        <v>15.684000000000001</v>
      </c>
      <c r="I18" s="1410"/>
    </row>
    <row r="19" spans="1:9" ht="25.15" customHeight="1">
      <c r="A19" s="1396"/>
      <c r="B19" s="1418"/>
      <c r="C19" s="1398"/>
      <c r="D19" s="1398"/>
      <c r="E19" s="1399"/>
      <c r="F19" s="1399"/>
      <c r="G19" s="1399" t="s">
        <v>9</v>
      </c>
      <c r="H19" s="1411">
        <v>15.7</v>
      </c>
      <c r="I19" s="1410"/>
    </row>
    <row r="20" spans="1:9" ht="42.75">
      <c r="A20" s="1403">
        <v>4</v>
      </c>
      <c r="B20" s="1413" t="s">
        <v>3477</v>
      </c>
      <c r="C20" s="1403"/>
      <c r="D20" s="1403"/>
      <c r="E20" s="1410"/>
      <c r="F20" s="1410"/>
      <c r="G20" s="1410"/>
      <c r="H20" s="1419"/>
      <c r="I20" s="1403"/>
    </row>
    <row r="21" spans="1:9" ht="30" customHeight="1">
      <c r="A21" s="1414"/>
      <c r="B21" s="1409" t="s">
        <v>5330</v>
      </c>
      <c r="C21" s="1403">
        <v>1</v>
      </c>
      <c r="D21" s="1403">
        <v>8</v>
      </c>
      <c r="E21" s="1410">
        <v>6</v>
      </c>
      <c r="F21" s="1410">
        <v>3</v>
      </c>
      <c r="G21" s="1420">
        <v>7.4999999999999997E-2</v>
      </c>
      <c r="H21" s="1406">
        <f>PRODUCT(C21:G21)</f>
        <v>10.799999999999999</v>
      </c>
      <c r="I21" s="1403"/>
    </row>
    <row r="22" spans="1:9" ht="30" customHeight="1">
      <c r="A22" s="1414"/>
      <c r="B22" s="1409" t="s">
        <v>5367</v>
      </c>
      <c r="C22" s="1403">
        <v>1</v>
      </c>
      <c r="D22" s="1403">
        <v>6</v>
      </c>
      <c r="E22" s="1410">
        <v>1.8</v>
      </c>
      <c r="F22" s="1410">
        <v>0.3</v>
      </c>
      <c r="G22" s="1420">
        <v>7.4999999999999997E-2</v>
      </c>
      <c r="H22" s="1406">
        <f>PRODUCT(C22:G22)</f>
        <v>0.24299999999999999</v>
      </c>
      <c r="I22" s="1403"/>
    </row>
    <row r="23" spans="1:9" ht="30" customHeight="1">
      <c r="A23" s="1414"/>
      <c r="B23" s="1409"/>
      <c r="C23" s="1403"/>
      <c r="D23" s="1403"/>
      <c r="E23" s="1410"/>
      <c r="F23" s="1410"/>
      <c r="G23" s="1420"/>
      <c r="H23" s="1406">
        <v>0.01</v>
      </c>
      <c r="I23" s="1403"/>
    </row>
    <row r="24" spans="1:9" ht="24.6" customHeight="1">
      <c r="A24" s="1403"/>
      <c r="B24" s="1409"/>
      <c r="C24" s="1403"/>
      <c r="D24" s="1403"/>
      <c r="E24" s="1410"/>
      <c r="F24" s="1410"/>
      <c r="G24" s="1410" t="s">
        <v>9</v>
      </c>
      <c r="H24" s="1421">
        <f>SUM(H21:H23)</f>
        <v>11.052999999999999</v>
      </c>
      <c r="I24" s="1403" t="s">
        <v>313</v>
      </c>
    </row>
    <row r="25" spans="1:9" ht="96.6" customHeight="1">
      <c r="A25" s="1396">
        <v>5</v>
      </c>
      <c r="B25" s="1422" t="s">
        <v>5272</v>
      </c>
      <c r="C25" s="1398"/>
      <c r="D25" s="1398"/>
      <c r="E25" s="1399"/>
      <c r="F25" s="1399"/>
      <c r="G25" s="1399"/>
      <c r="H25" s="1400"/>
      <c r="I25" s="1410"/>
    </row>
    <row r="26" spans="1:9" s="1408" customFormat="1" ht="26.45" customHeight="1">
      <c r="A26" s="1401"/>
      <c r="B26" s="1402" t="s">
        <v>3464</v>
      </c>
      <c r="C26" s="1403">
        <v>1</v>
      </c>
      <c r="D26" s="1404">
        <v>10</v>
      </c>
      <c r="E26" s="1405">
        <v>3.32</v>
      </c>
      <c r="F26" s="1405">
        <v>0.23</v>
      </c>
      <c r="G26" s="1405">
        <v>1</v>
      </c>
      <c r="H26" s="1423">
        <f>PRODUCT(C26:G26)</f>
        <v>7.6359999999999992</v>
      </c>
      <c r="I26" s="1424"/>
    </row>
    <row r="27" spans="1:9" ht="25.15" customHeight="1">
      <c r="A27" s="1396"/>
      <c r="B27" s="1418"/>
      <c r="C27" s="1398"/>
      <c r="D27" s="1398"/>
      <c r="E27" s="1399"/>
      <c r="F27" s="1399"/>
      <c r="G27" s="1399" t="s">
        <v>9</v>
      </c>
      <c r="H27" s="1411">
        <v>7.7</v>
      </c>
      <c r="I27" s="1410"/>
    </row>
    <row r="28" spans="1:9" ht="104.45" customHeight="1">
      <c r="A28" s="1396">
        <v>6</v>
      </c>
      <c r="B28" s="1425" t="s">
        <v>3424</v>
      </c>
      <c r="C28" s="1398"/>
      <c r="D28" s="1398"/>
      <c r="E28" s="1399"/>
      <c r="F28" s="1399"/>
      <c r="G28" s="1399"/>
      <c r="H28" s="1400"/>
      <c r="I28" s="1410"/>
    </row>
    <row r="29" spans="1:9" ht="25.15" customHeight="1">
      <c r="A29" s="1396"/>
      <c r="B29" s="1422" t="s">
        <v>3425</v>
      </c>
      <c r="C29" s="1398"/>
      <c r="D29" s="1398"/>
      <c r="E29" s="1399"/>
      <c r="F29" s="1399"/>
      <c r="G29" s="1399"/>
      <c r="H29" s="1400"/>
      <c r="I29" s="1410"/>
    </row>
    <row r="30" spans="1:9" ht="25.15" customHeight="1">
      <c r="A30" s="1396"/>
      <c r="B30" s="1426" t="s">
        <v>5377</v>
      </c>
      <c r="C30" s="1398">
        <v>1</v>
      </c>
      <c r="D30" s="1398">
        <v>3</v>
      </c>
      <c r="E30" s="1399">
        <v>6.6</v>
      </c>
      <c r="F30" s="1399">
        <v>0.6</v>
      </c>
      <c r="G30" s="1399" t="s">
        <v>21</v>
      </c>
      <c r="H30" s="1400">
        <f>PRODUCT(C30:G30)</f>
        <v>11.879999999999997</v>
      </c>
      <c r="I30" s="1410"/>
    </row>
    <row r="31" spans="1:9" ht="25.15" customHeight="1">
      <c r="A31" s="1396"/>
      <c r="B31" s="1426" t="s">
        <v>5378</v>
      </c>
      <c r="C31" s="1398">
        <v>1</v>
      </c>
      <c r="D31" s="1398">
        <v>2</v>
      </c>
      <c r="E31" s="1399">
        <v>6.6</v>
      </c>
      <c r="F31" s="1399">
        <v>0.6</v>
      </c>
      <c r="G31" s="1399" t="s">
        <v>21</v>
      </c>
      <c r="H31" s="1400">
        <f t="shared" ref="H31:H38" si="0">PRODUCT(C31:G31)</f>
        <v>7.919999999999999</v>
      </c>
      <c r="I31" s="1410"/>
    </row>
    <row r="32" spans="1:9" ht="25.15" customHeight="1">
      <c r="A32" s="1396"/>
      <c r="B32" s="1426" t="s">
        <v>5379</v>
      </c>
      <c r="C32" s="1398">
        <v>1</v>
      </c>
      <c r="D32" s="1398">
        <v>4</v>
      </c>
      <c r="E32" s="1399">
        <v>1.5</v>
      </c>
      <c r="F32" s="1399">
        <v>1</v>
      </c>
      <c r="G32" s="1399" t="s">
        <v>21</v>
      </c>
      <c r="H32" s="1400">
        <f t="shared" si="0"/>
        <v>6</v>
      </c>
      <c r="I32" s="1410"/>
    </row>
    <row r="33" spans="1:9" ht="25.15" customHeight="1">
      <c r="A33" s="1396"/>
      <c r="B33" s="1426" t="s">
        <v>5380</v>
      </c>
      <c r="C33" s="1398">
        <v>1</v>
      </c>
      <c r="D33" s="1398">
        <v>5</v>
      </c>
      <c r="E33" s="1399">
        <v>1.05</v>
      </c>
      <c r="F33" s="1399">
        <v>1</v>
      </c>
      <c r="G33" s="1399" t="s">
        <v>21</v>
      </c>
      <c r="H33" s="1400">
        <f t="shared" ref="H33:H34" si="1">PRODUCT(C33:G33)</f>
        <v>5.25</v>
      </c>
      <c r="I33" s="1410"/>
    </row>
    <row r="34" spans="1:9" ht="25.15" customHeight="1">
      <c r="A34" s="1396"/>
      <c r="B34" s="1426" t="s">
        <v>3428</v>
      </c>
      <c r="C34" s="1398">
        <v>2</v>
      </c>
      <c r="D34" s="1398">
        <v>1</v>
      </c>
      <c r="E34" s="1399">
        <v>1.1499999999999999</v>
      </c>
      <c r="F34" s="1399">
        <v>0.6</v>
      </c>
      <c r="G34" s="1399" t="s">
        <v>21</v>
      </c>
      <c r="H34" s="1400">
        <f t="shared" si="1"/>
        <v>1.38</v>
      </c>
      <c r="I34" s="1410"/>
    </row>
    <row r="35" spans="1:9" ht="25.15" customHeight="1">
      <c r="A35" s="1414"/>
      <c r="B35" s="1427" t="s">
        <v>5381</v>
      </c>
      <c r="C35" s="1428">
        <v>1</v>
      </c>
      <c r="D35" s="1428">
        <v>3</v>
      </c>
      <c r="E35" s="1429">
        <v>0.9</v>
      </c>
      <c r="F35" s="1429">
        <v>1</v>
      </c>
      <c r="G35" s="1429" t="s">
        <v>21</v>
      </c>
      <c r="H35" s="1400">
        <f t="shared" si="0"/>
        <v>2.7</v>
      </c>
      <c r="I35" s="1410"/>
    </row>
    <row r="36" spans="1:9" ht="25.15" customHeight="1">
      <c r="A36" s="1414"/>
      <c r="B36" s="1427" t="s">
        <v>3429</v>
      </c>
      <c r="C36" s="1428">
        <v>1</v>
      </c>
      <c r="D36" s="1428">
        <v>4</v>
      </c>
      <c r="E36" s="1429">
        <v>1.1000000000000001</v>
      </c>
      <c r="F36" s="1429">
        <v>0.6</v>
      </c>
      <c r="G36" s="1429" t="s">
        <v>21</v>
      </c>
      <c r="H36" s="1400">
        <f t="shared" si="0"/>
        <v>2.64</v>
      </c>
      <c r="I36" s="1410"/>
    </row>
    <row r="37" spans="1:9" ht="25.15" customHeight="1">
      <c r="A37" s="1396"/>
      <c r="B37" s="1426" t="s">
        <v>5382</v>
      </c>
      <c r="C37" s="1398">
        <v>1</v>
      </c>
      <c r="D37" s="1398">
        <v>5</v>
      </c>
      <c r="E37" s="1399">
        <v>1.6</v>
      </c>
      <c r="F37" s="1399">
        <v>0.6</v>
      </c>
      <c r="G37" s="1399" t="s">
        <v>21</v>
      </c>
      <c r="H37" s="1400">
        <f t="shared" si="0"/>
        <v>4.8</v>
      </c>
      <c r="I37" s="1410"/>
    </row>
    <row r="38" spans="1:9" ht="25.15" customHeight="1">
      <c r="A38" s="1396"/>
      <c r="B38" s="1426" t="s">
        <v>5383</v>
      </c>
      <c r="C38" s="1398">
        <v>1</v>
      </c>
      <c r="D38" s="1398">
        <v>2</v>
      </c>
      <c r="E38" s="1399">
        <v>2.1</v>
      </c>
      <c r="F38" s="1399">
        <v>0.6</v>
      </c>
      <c r="G38" s="1399" t="s">
        <v>21</v>
      </c>
      <c r="H38" s="1400">
        <f t="shared" si="0"/>
        <v>2.52</v>
      </c>
      <c r="I38" s="1410"/>
    </row>
    <row r="39" spans="1:9" ht="25.15" customHeight="1">
      <c r="A39" s="1396"/>
      <c r="B39" s="1430"/>
      <c r="C39" s="1398"/>
      <c r="D39" s="1398"/>
      <c r="E39" s="1399"/>
      <c r="F39" s="1399"/>
      <c r="G39" s="1399"/>
      <c r="H39" s="1400">
        <f>SUM(H30:H38)</f>
        <v>45.09</v>
      </c>
      <c r="I39" s="1410"/>
    </row>
    <row r="40" spans="1:9" ht="25.15" customHeight="1">
      <c r="A40" s="1396"/>
      <c r="B40" s="1430"/>
      <c r="C40" s="1398"/>
      <c r="D40" s="1398"/>
      <c r="E40" s="1399"/>
      <c r="F40" s="1399"/>
      <c r="G40" s="1399" t="s">
        <v>9</v>
      </c>
      <c r="H40" s="1411">
        <v>45.1</v>
      </c>
      <c r="I40" s="1410"/>
    </row>
    <row r="41" spans="1:9" ht="67.900000000000006" customHeight="1">
      <c r="A41" s="1396">
        <v>7</v>
      </c>
      <c r="B41" s="1431" t="s">
        <v>5285</v>
      </c>
      <c r="C41" s="1398"/>
      <c r="D41" s="1398"/>
      <c r="E41" s="1399"/>
      <c r="F41" s="1399"/>
      <c r="G41" s="1399"/>
      <c r="H41" s="1400"/>
      <c r="I41" s="1410"/>
    </row>
    <row r="42" spans="1:9" ht="25.15" customHeight="1">
      <c r="A42" s="1396"/>
      <c r="B42" s="1422" t="s">
        <v>3425</v>
      </c>
      <c r="C42" s="1398"/>
      <c r="D42" s="1398"/>
      <c r="E42" s="1399"/>
      <c r="F42" s="1399"/>
      <c r="G42" s="1399"/>
      <c r="H42" s="1400"/>
      <c r="I42" s="1410"/>
    </row>
    <row r="43" spans="1:9" ht="25.15" customHeight="1">
      <c r="A43" s="1396"/>
      <c r="B43" s="1426" t="s">
        <v>5377</v>
      </c>
      <c r="C43" s="1398">
        <v>1</v>
      </c>
      <c r="D43" s="1398">
        <v>3</v>
      </c>
      <c r="E43" s="1399">
        <v>6.6</v>
      </c>
      <c r="F43" s="1399">
        <v>0.6</v>
      </c>
      <c r="G43" s="1399" t="s">
        <v>21</v>
      </c>
      <c r="H43" s="1400">
        <f>PRODUCT(C43:G43)</f>
        <v>11.879999999999997</v>
      </c>
      <c r="I43" s="1410"/>
    </row>
    <row r="44" spans="1:9" ht="25.15" customHeight="1">
      <c r="A44" s="1396"/>
      <c r="B44" s="1426" t="s">
        <v>5378</v>
      </c>
      <c r="C44" s="1398">
        <v>1</v>
      </c>
      <c r="D44" s="1398">
        <v>2</v>
      </c>
      <c r="E44" s="1399">
        <v>6.6</v>
      </c>
      <c r="F44" s="1399">
        <v>0.6</v>
      </c>
      <c r="G44" s="1399" t="s">
        <v>21</v>
      </c>
      <c r="H44" s="1400">
        <f t="shared" ref="H44:H51" si="2">PRODUCT(C44:G44)</f>
        <v>7.919999999999999</v>
      </c>
      <c r="I44" s="1410"/>
    </row>
    <row r="45" spans="1:9" ht="25.15" customHeight="1">
      <c r="A45" s="1396"/>
      <c r="B45" s="1426" t="s">
        <v>5379</v>
      </c>
      <c r="C45" s="1398">
        <v>1</v>
      </c>
      <c r="D45" s="1398">
        <v>4</v>
      </c>
      <c r="E45" s="1399">
        <v>1.5</v>
      </c>
      <c r="F45" s="1399">
        <v>1</v>
      </c>
      <c r="G45" s="1399" t="s">
        <v>21</v>
      </c>
      <c r="H45" s="1400">
        <f t="shared" si="2"/>
        <v>6</v>
      </c>
      <c r="I45" s="1410"/>
    </row>
    <row r="46" spans="1:9" ht="25.15" customHeight="1">
      <c r="A46" s="1396"/>
      <c r="B46" s="1426" t="s">
        <v>5380</v>
      </c>
      <c r="C46" s="1398">
        <v>1</v>
      </c>
      <c r="D46" s="1398">
        <v>5</v>
      </c>
      <c r="E46" s="1399">
        <v>1.05</v>
      </c>
      <c r="F46" s="1399">
        <v>1</v>
      </c>
      <c r="G46" s="1399" t="s">
        <v>21</v>
      </c>
      <c r="H46" s="1400">
        <f t="shared" si="2"/>
        <v>5.25</v>
      </c>
      <c r="I46" s="1410"/>
    </row>
    <row r="47" spans="1:9" ht="25.15" customHeight="1">
      <c r="A47" s="1396"/>
      <c r="B47" s="1426" t="s">
        <v>3428</v>
      </c>
      <c r="C47" s="1398">
        <v>2</v>
      </c>
      <c r="D47" s="1398">
        <v>1</v>
      </c>
      <c r="E47" s="1399">
        <v>1.1499999999999999</v>
      </c>
      <c r="F47" s="1399">
        <v>0.6</v>
      </c>
      <c r="G47" s="1399" t="s">
        <v>21</v>
      </c>
      <c r="H47" s="1400">
        <f t="shared" si="2"/>
        <v>1.38</v>
      </c>
      <c r="I47" s="1410"/>
    </row>
    <row r="48" spans="1:9" ht="25.15" customHeight="1">
      <c r="A48" s="1396"/>
      <c r="B48" s="1427" t="s">
        <v>5381</v>
      </c>
      <c r="C48" s="1428">
        <v>1</v>
      </c>
      <c r="D48" s="1428">
        <v>3</v>
      </c>
      <c r="E48" s="1429">
        <v>0.9</v>
      </c>
      <c r="F48" s="1429">
        <v>1</v>
      </c>
      <c r="G48" s="1429" t="s">
        <v>21</v>
      </c>
      <c r="H48" s="1400">
        <f t="shared" si="2"/>
        <v>2.7</v>
      </c>
      <c r="I48" s="1410"/>
    </row>
    <row r="49" spans="1:15" ht="25.15" customHeight="1">
      <c r="A49" s="1396"/>
      <c r="B49" s="1427" t="s">
        <v>3429</v>
      </c>
      <c r="C49" s="1428">
        <v>1</v>
      </c>
      <c r="D49" s="1428">
        <v>4</v>
      </c>
      <c r="E49" s="1429">
        <v>1.1000000000000001</v>
      </c>
      <c r="F49" s="1429">
        <v>0.6</v>
      </c>
      <c r="G49" s="1429" t="s">
        <v>21</v>
      </c>
      <c r="H49" s="1400">
        <f t="shared" si="2"/>
        <v>2.64</v>
      </c>
      <c r="I49" s="1410"/>
    </row>
    <row r="50" spans="1:15" ht="25.15" customHeight="1">
      <c r="A50" s="1414"/>
      <c r="B50" s="1426" t="s">
        <v>5382</v>
      </c>
      <c r="C50" s="1398">
        <v>1</v>
      </c>
      <c r="D50" s="1398">
        <v>5</v>
      </c>
      <c r="E50" s="1399">
        <v>1.6</v>
      </c>
      <c r="F50" s="1399">
        <v>0.6</v>
      </c>
      <c r="G50" s="1399" t="s">
        <v>21</v>
      </c>
      <c r="H50" s="1400">
        <f t="shared" si="2"/>
        <v>4.8</v>
      </c>
      <c r="I50" s="1410"/>
    </row>
    <row r="51" spans="1:15" ht="25.15" customHeight="1">
      <c r="A51" s="1414"/>
      <c r="B51" s="1426" t="s">
        <v>5383</v>
      </c>
      <c r="C51" s="1398">
        <v>1</v>
      </c>
      <c r="D51" s="1398">
        <v>2</v>
      </c>
      <c r="E51" s="1399">
        <v>2.1</v>
      </c>
      <c r="F51" s="1399">
        <v>0.6</v>
      </c>
      <c r="G51" s="1399" t="s">
        <v>21</v>
      </c>
      <c r="H51" s="1400">
        <f t="shared" si="2"/>
        <v>2.52</v>
      </c>
      <c r="I51" s="1410"/>
    </row>
    <row r="52" spans="1:15" ht="25.15" customHeight="1">
      <c r="A52" s="1414"/>
      <c r="B52" s="1430"/>
      <c r="C52" s="1398"/>
      <c r="D52" s="1398"/>
      <c r="E52" s="1399"/>
      <c r="F52" s="1399"/>
      <c r="G52" s="1399"/>
      <c r="H52" s="1400">
        <f>SUM(H43:H51)</f>
        <v>45.09</v>
      </c>
      <c r="I52" s="1410"/>
    </row>
    <row r="53" spans="1:15" ht="25.15" customHeight="1">
      <c r="A53" s="1396"/>
      <c r="B53" s="1430"/>
      <c r="C53" s="1398"/>
      <c r="D53" s="1398"/>
      <c r="E53" s="1399"/>
      <c r="F53" s="1399"/>
      <c r="G53" s="1399" t="s">
        <v>9</v>
      </c>
      <c r="H53" s="1411">
        <v>45.1</v>
      </c>
      <c r="I53" s="1410"/>
    </row>
    <row r="54" spans="1:15" ht="58.15" customHeight="1">
      <c r="A54" s="1396">
        <v>8</v>
      </c>
      <c r="B54" s="1422" t="s">
        <v>3440</v>
      </c>
      <c r="C54" s="1398"/>
      <c r="D54" s="1398"/>
      <c r="E54" s="1399"/>
      <c r="F54" s="1399"/>
      <c r="G54" s="1399"/>
      <c r="H54" s="1400"/>
      <c r="I54" s="1410"/>
    </row>
    <row r="55" spans="1:15" ht="25.15" customHeight="1">
      <c r="A55" s="1396"/>
      <c r="B55" s="1432" t="s">
        <v>3467</v>
      </c>
      <c r="C55" s="1403">
        <v>1</v>
      </c>
      <c r="D55" s="1404">
        <v>10</v>
      </c>
      <c r="E55" s="1405">
        <v>4.24</v>
      </c>
      <c r="F55" s="1405" t="s">
        <v>21</v>
      </c>
      <c r="G55" s="1405">
        <v>0.5</v>
      </c>
      <c r="H55" s="1400">
        <f>PRODUCT(C55:G55)</f>
        <v>21.200000000000003</v>
      </c>
      <c r="I55" s="1410"/>
    </row>
    <row r="56" spans="1:15" ht="25.15" customHeight="1">
      <c r="A56" s="1396"/>
      <c r="B56" s="1432" t="s">
        <v>3468</v>
      </c>
      <c r="C56" s="1403">
        <v>1</v>
      </c>
      <c r="D56" s="1404">
        <v>10</v>
      </c>
      <c r="E56" s="1405">
        <v>3.32</v>
      </c>
      <c r="F56" s="1405">
        <v>0.23</v>
      </c>
      <c r="G56" s="1405" t="s">
        <v>21</v>
      </c>
      <c r="H56" s="1400">
        <f>PRODUCT(C56:G56)</f>
        <v>7.6359999999999992</v>
      </c>
      <c r="I56" s="1410"/>
    </row>
    <row r="57" spans="1:15" ht="40.15" customHeight="1">
      <c r="A57" s="1396"/>
      <c r="B57" s="1430" t="s">
        <v>5384</v>
      </c>
      <c r="C57" s="1398">
        <v>1</v>
      </c>
      <c r="D57" s="1398">
        <v>5</v>
      </c>
      <c r="E57" s="1399">
        <v>4.24</v>
      </c>
      <c r="F57" s="1399" t="s">
        <v>21</v>
      </c>
      <c r="G57" s="1399">
        <v>0.5</v>
      </c>
      <c r="H57" s="1400">
        <f>PRODUCT(C57:G57)</f>
        <v>10.600000000000001</v>
      </c>
      <c r="I57" s="1410"/>
    </row>
    <row r="58" spans="1:15" ht="25.15" customHeight="1">
      <c r="A58" s="1396"/>
      <c r="B58" s="1430"/>
      <c r="C58" s="1398"/>
      <c r="D58" s="1398"/>
      <c r="E58" s="1399"/>
      <c r="F58" s="1399"/>
      <c r="G58" s="1399"/>
      <c r="H58" s="1400">
        <f>SUM(H55:H57)</f>
        <v>39.436000000000007</v>
      </c>
      <c r="I58" s="1410"/>
    </row>
    <row r="59" spans="1:15" ht="25.15" customHeight="1">
      <c r="A59" s="1396"/>
      <c r="B59" s="1430"/>
      <c r="C59" s="1398"/>
      <c r="D59" s="1398"/>
      <c r="E59" s="1399"/>
      <c r="F59" s="1399"/>
      <c r="G59" s="1399" t="s">
        <v>3093</v>
      </c>
      <c r="H59" s="1411">
        <v>39.5</v>
      </c>
      <c r="I59" s="1410"/>
    </row>
    <row r="60" spans="1:15" ht="56.45" customHeight="1">
      <c r="A60" s="1396">
        <v>9</v>
      </c>
      <c r="B60" s="1422" t="s">
        <v>3441</v>
      </c>
      <c r="C60" s="1398"/>
      <c r="D60" s="1398"/>
      <c r="E60" s="1399"/>
      <c r="F60" s="1399"/>
      <c r="G60" s="1399"/>
      <c r="H60" s="1411"/>
      <c r="I60" s="1410"/>
    </row>
    <row r="61" spans="1:15" s="1408" customFormat="1" ht="30.6" customHeight="1">
      <c r="A61" s="1401"/>
      <c r="B61" s="1433" t="s">
        <v>3466</v>
      </c>
      <c r="C61" s="1403">
        <v>1</v>
      </c>
      <c r="D61" s="1404">
        <v>10</v>
      </c>
      <c r="E61" s="1405">
        <v>2.4</v>
      </c>
      <c r="F61" s="1405" t="s">
        <v>21</v>
      </c>
      <c r="G61" s="1405">
        <v>1</v>
      </c>
      <c r="H61" s="1415">
        <f>PRODUCT(C61:G61)</f>
        <v>24</v>
      </c>
      <c r="I61" s="1434"/>
    </row>
    <row r="62" spans="1:15" ht="25.15" customHeight="1">
      <c r="A62" s="1396"/>
      <c r="B62" s="1430"/>
      <c r="C62" s="1398"/>
      <c r="D62" s="1398"/>
      <c r="E62" s="1399"/>
      <c r="F62" s="1399"/>
      <c r="G62" s="1399" t="s">
        <v>9</v>
      </c>
      <c r="H62" s="1411">
        <v>24</v>
      </c>
      <c r="I62" s="1410"/>
    </row>
    <row r="63" spans="1:15" ht="40.5" customHeight="1">
      <c r="A63" s="1394">
        <v>10</v>
      </c>
      <c r="B63" s="1435" t="s">
        <v>3552</v>
      </c>
      <c r="C63" s="1394"/>
      <c r="D63" s="1394"/>
      <c r="E63" s="1395"/>
      <c r="F63" s="1395"/>
      <c r="G63" s="1395"/>
      <c r="H63" s="1395"/>
      <c r="I63" s="1395"/>
      <c r="O63" s="1435"/>
    </row>
    <row r="64" spans="1:15" ht="18.600000000000001" customHeight="1">
      <c r="A64" s="1394"/>
      <c r="B64" s="1436" t="s">
        <v>3203</v>
      </c>
      <c r="C64" s="1403">
        <v>50</v>
      </c>
      <c r="D64" s="1403">
        <v>1</v>
      </c>
      <c r="E64" s="1410">
        <v>0.4</v>
      </c>
      <c r="F64" s="1410" t="s">
        <v>21</v>
      </c>
      <c r="G64" s="1410">
        <v>0.35</v>
      </c>
      <c r="H64" s="1419">
        <f>PRODUCT(C64:G64)</f>
        <v>7</v>
      </c>
      <c r="I64" s="1395"/>
    </row>
    <row r="65" spans="1:9" ht="18.600000000000001" customHeight="1">
      <c r="A65" s="1394"/>
      <c r="B65" s="1436" t="s">
        <v>3204</v>
      </c>
      <c r="C65" s="1403">
        <v>30</v>
      </c>
      <c r="D65" s="1403">
        <v>1</v>
      </c>
      <c r="E65" s="1410">
        <v>0.45</v>
      </c>
      <c r="F65" s="1410" t="s">
        <v>21</v>
      </c>
      <c r="G65" s="1410">
        <v>0.3</v>
      </c>
      <c r="H65" s="1419">
        <f>PRODUCT(C65:G65)</f>
        <v>4.05</v>
      </c>
      <c r="I65" s="1395"/>
    </row>
    <row r="66" spans="1:9" ht="18.600000000000001" customHeight="1">
      <c r="A66" s="1394"/>
      <c r="B66" s="1436" t="s">
        <v>3207</v>
      </c>
      <c r="C66" s="1403">
        <v>8</v>
      </c>
      <c r="D66" s="1403">
        <v>1</v>
      </c>
      <c r="E66" s="1410">
        <v>0.53</v>
      </c>
      <c r="F66" s="1410" t="s">
        <v>21</v>
      </c>
      <c r="G66" s="1410">
        <v>0.45</v>
      </c>
      <c r="H66" s="1419">
        <f>PRODUCT(C66:G66)</f>
        <v>1.9080000000000001</v>
      </c>
      <c r="I66" s="1395"/>
    </row>
    <row r="67" spans="1:9" ht="18.600000000000001" customHeight="1">
      <c r="A67" s="1394"/>
      <c r="B67" s="1436" t="s">
        <v>3205</v>
      </c>
      <c r="C67" s="1403">
        <v>12</v>
      </c>
      <c r="D67" s="1403">
        <v>1</v>
      </c>
      <c r="E67" s="1410">
        <v>0.7</v>
      </c>
      <c r="F67" s="1410" t="s">
        <v>21</v>
      </c>
      <c r="G67" s="1410">
        <v>0.8</v>
      </c>
      <c r="H67" s="1419">
        <f>PRODUCT(C67:G67)</f>
        <v>6.7199999999999989</v>
      </c>
      <c r="I67" s="1395"/>
    </row>
    <row r="68" spans="1:9" ht="18.600000000000001" customHeight="1">
      <c r="A68" s="1394"/>
      <c r="B68" s="1403"/>
      <c r="C68" s="1403"/>
      <c r="D68" s="1403"/>
      <c r="E68" s="1410"/>
      <c r="F68" s="1410"/>
      <c r="G68" s="1410"/>
      <c r="H68" s="1419">
        <f>SUM(H64:H67)</f>
        <v>19.677999999999997</v>
      </c>
      <c r="I68" s="1395"/>
    </row>
    <row r="69" spans="1:9" ht="18.600000000000001" customHeight="1">
      <c r="A69" s="1394"/>
      <c r="B69" s="1403"/>
      <c r="C69" s="1403"/>
      <c r="D69" s="1403"/>
      <c r="E69" s="1410"/>
      <c r="F69" s="1410"/>
      <c r="G69" s="1410" t="s">
        <v>9</v>
      </c>
      <c r="H69" s="1421">
        <v>20</v>
      </c>
      <c r="I69" s="1403" t="s">
        <v>5393</v>
      </c>
    </row>
    <row r="70" spans="1:9" ht="28.5">
      <c r="A70" s="1394">
        <v>11</v>
      </c>
      <c r="B70" s="1435" t="s">
        <v>508</v>
      </c>
      <c r="C70" s="1403"/>
      <c r="D70" s="1403"/>
      <c r="E70" s="1410"/>
      <c r="F70" s="1410"/>
      <c r="G70" s="1410"/>
      <c r="H70" s="1419"/>
      <c r="I70" s="1403"/>
    </row>
    <row r="71" spans="1:9">
      <c r="A71" s="1403"/>
      <c r="B71" s="1409" t="s">
        <v>3172</v>
      </c>
      <c r="C71" s="1403"/>
      <c r="D71" s="1403"/>
      <c r="E71" s="1410"/>
      <c r="F71" s="1410"/>
      <c r="G71" s="1410"/>
      <c r="H71" s="1419"/>
      <c r="I71" s="1403"/>
    </row>
    <row r="72" spans="1:9">
      <c r="A72" s="1403"/>
      <c r="B72" s="1409" t="s">
        <v>3173</v>
      </c>
      <c r="C72" s="1403">
        <v>2</v>
      </c>
      <c r="D72" s="1403">
        <v>1</v>
      </c>
      <c r="E72" s="1410">
        <v>14.12</v>
      </c>
      <c r="F72" s="1410">
        <v>4.12</v>
      </c>
      <c r="G72" s="1410" t="s">
        <v>21</v>
      </c>
      <c r="H72" s="1419">
        <f>PRODUCT(C72:G72)</f>
        <v>116.3488</v>
      </c>
      <c r="I72" s="1403"/>
    </row>
    <row r="73" spans="1:9">
      <c r="A73" s="1403"/>
      <c r="B73" s="1409" t="s">
        <v>3174</v>
      </c>
      <c r="C73" s="1403">
        <v>2</v>
      </c>
      <c r="D73" s="1403">
        <v>1</v>
      </c>
      <c r="E73" s="1410">
        <v>8.3800000000000008</v>
      </c>
      <c r="F73" s="1410">
        <v>1.7</v>
      </c>
      <c r="G73" s="1410" t="s">
        <v>21</v>
      </c>
      <c r="H73" s="1419">
        <f>PRODUCT(C73:G73)</f>
        <v>28.492000000000001</v>
      </c>
      <c r="I73" s="1403"/>
    </row>
    <row r="74" spans="1:9">
      <c r="A74" s="1403"/>
      <c r="B74" s="1409" t="s">
        <v>3175</v>
      </c>
      <c r="C74" s="1403">
        <v>2</v>
      </c>
      <c r="D74" s="1403">
        <v>2</v>
      </c>
      <c r="E74" s="1410">
        <v>2.2999999999999998</v>
      </c>
      <c r="F74" s="1410">
        <v>2.2999999999999998</v>
      </c>
      <c r="G74" s="1410" t="s">
        <v>21</v>
      </c>
      <c r="H74" s="1419">
        <f>PRODUCT(C74:G74)</f>
        <v>21.159999999999997</v>
      </c>
      <c r="I74" s="1403"/>
    </row>
    <row r="75" spans="1:9">
      <c r="A75" s="1403"/>
      <c r="B75" s="1409" t="s">
        <v>3553</v>
      </c>
      <c r="C75" s="1403">
        <v>2</v>
      </c>
      <c r="D75" s="1403">
        <v>1</v>
      </c>
      <c r="E75" s="1410">
        <v>5.88</v>
      </c>
      <c r="F75" s="1410">
        <v>0.45</v>
      </c>
      <c r="G75" s="1410" t="s">
        <v>21</v>
      </c>
      <c r="H75" s="1419">
        <f>PRODUCT(C75:G75)</f>
        <v>5.2919999999999998</v>
      </c>
      <c r="I75" s="1403"/>
    </row>
    <row r="76" spans="1:9" ht="22.9" customHeight="1">
      <c r="A76" s="1403"/>
      <c r="B76" s="1409"/>
      <c r="C76" s="1403"/>
      <c r="D76" s="1403"/>
      <c r="E76" s="1410"/>
      <c r="F76" s="1410"/>
      <c r="G76" s="1410"/>
      <c r="H76" s="1419">
        <f>SUM(H71:H75)</f>
        <v>171.2928</v>
      </c>
      <c r="I76" s="1403"/>
    </row>
    <row r="77" spans="1:9" ht="22.9" customHeight="1">
      <c r="A77" s="1403"/>
      <c r="B77" s="1409"/>
      <c r="C77" s="1403"/>
      <c r="D77" s="1403"/>
      <c r="E77" s="1410"/>
      <c r="F77" s="1410"/>
      <c r="G77" s="1410" t="s">
        <v>9</v>
      </c>
      <c r="H77" s="1421">
        <v>171.3</v>
      </c>
      <c r="I77" s="1403" t="s">
        <v>5393</v>
      </c>
    </row>
    <row r="78" spans="1:9" ht="28.5">
      <c r="A78" s="1394">
        <v>12</v>
      </c>
      <c r="B78" s="1435" t="s">
        <v>509</v>
      </c>
      <c r="C78" s="1403"/>
      <c r="D78" s="1403"/>
      <c r="E78" s="1410"/>
      <c r="F78" s="1410"/>
      <c r="G78" s="1410"/>
      <c r="H78" s="1419"/>
      <c r="I78" s="1403"/>
    </row>
    <row r="79" spans="1:9">
      <c r="A79" s="1403"/>
      <c r="B79" s="1409" t="s">
        <v>3172</v>
      </c>
      <c r="C79" s="1403"/>
      <c r="D79" s="1403"/>
      <c r="E79" s="1410"/>
      <c r="F79" s="1410"/>
      <c r="G79" s="1410"/>
      <c r="H79" s="1419"/>
      <c r="I79" s="1403"/>
    </row>
    <row r="80" spans="1:9">
      <c r="A80" s="1403"/>
      <c r="B80" s="1409" t="s">
        <v>3173</v>
      </c>
      <c r="C80" s="1403">
        <v>2</v>
      </c>
      <c r="D80" s="1403">
        <v>1</v>
      </c>
      <c r="E80" s="1410">
        <v>14.12</v>
      </c>
      <c r="F80" s="1410">
        <v>4.12</v>
      </c>
      <c r="G80" s="1410" t="s">
        <v>21</v>
      </c>
      <c r="H80" s="1419">
        <f>PRODUCT(C80:G80)</f>
        <v>116.3488</v>
      </c>
      <c r="I80" s="1403"/>
    </row>
    <row r="81" spans="1:9">
      <c r="A81" s="1403"/>
      <c r="B81" s="1409" t="s">
        <v>3174</v>
      </c>
      <c r="C81" s="1403">
        <v>2</v>
      </c>
      <c r="D81" s="1403">
        <v>1</v>
      </c>
      <c r="E81" s="1410">
        <v>8.3800000000000008</v>
      </c>
      <c r="F81" s="1410">
        <v>1.7</v>
      </c>
      <c r="G81" s="1410" t="s">
        <v>21</v>
      </c>
      <c r="H81" s="1419">
        <f>PRODUCT(C81:G81)</f>
        <v>28.492000000000001</v>
      </c>
      <c r="I81" s="1403"/>
    </row>
    <row r="82" spans="1:9">
      <c r="A82" s="1403"/>
      <c r="B82" s="1409" t="s">
        <v>3175</v>
      </c>
      <c r="C82" s="1403">
        <v>2</v>
      </c>
      <c r="D82" s="1403">
        <v>2</v>
      </c>
      <c r="E82" s="1410">
        <v>2.2999999999999998</v>
      </c>
      <c r="F82" s="1410">
        <v>2.2999999999999998</v>
      </c>
      <c r="G82" s="1410" t="s">
        <v>21</v>
      </c>
      <c r="H82" s="1419">
        <f>PRODUCT(C82:G82)</f>
        <v>21.159999999999997</v>
      </c>
      <c r="I82" s="1403"/>
    </row>
    <row r="83" spans="1:9">
      <c r="A83" s="1403"/>
      <c r="B83" s="1409" t="s">
        <v>3553</v>
      </c>
      <c r="C83" s="1403">
        <v>2</v>
      </c>
      <c r="D83" s="1403">
        <v>1</v>
      </c>
      <c r="E83" s="1410">
        <v>5.88</v>
      </c>
      <c r="F83" s="1410">
        <v>0.45</v>
      </c>
      <c r="G83" s="1410" t="s">
        <v>21</v>
      </c>
      <c r="H83" s="1419">
        <f>PRODUCT(C83:G83)</f>
        <v>5.2919999999999998</v>
      </c>
      <c r="I83" s="1403"/>
    </row>
    <row r="84" spans="1:9" ht="25.15" customHeight="1">
      <c r="A84" s="1403"/>
      <c r="B84" s="1409"/>
      <c r="C84" s="1403"/>
      <c r="D84" s="1403"/>
      <c r="E84" s="1410"/>
      <c r="F84" s="1410"/>
      <c r="G84" s="1410"/>
      <c r="H84" s="1419">
        <f>SUM(H79:H83)</f>
        <v>171.2928</v>
      </c>
      <c r="I84" s="1403"/>
    </row>
    <row r="85" spans="1:9" ht="23.45" customHeight="1">
      <c r="A85" s="1403"/>
      <c r="B85" s="1409"/>
      <c r="C85" s="1403"/>
      <c r="D85" s="1403"/>
      <c r="E85" s="1410"/>
      <c r="F85" s="1410"/>
      <c r="G85" s="1410" t="s">
        <v>9</v>
      </c>
      <c r="H85" s="1421">
        <v>171.3</v>
      </c>
      <c r="I85" s="1403" t="s">
        <v>5393</v>
      </c>
    </row>
    <row r="86" spans="1:9" ht="52.9" customHeight="1">
      <c r="A86" s="1394">
        <v>13</v>
      </c>
      <c r="B86" s="1435" t="s">
        <v>5376</v>
      </c>
      <c r="C86" s="1403"/>
      <c r="D86" s="1403"/>
      <c r="E86" s="1410"/>
      <c r="F86" s="1410"/>
      <c r="G86" s="1410"/>
      <c r="H86" s="1419"/>
      <c r="I86" s="1403"/>
    </row>
    <row r="87" spans="1:9" ht="21.6" customHeight="1">
      <c r="A87" s="1403"/>
      <c r="B87" s="1409" t="s">
        <v>3172</v>
      </c>
      <c r="C87" s="1403"/>
      <c r="D87" s="1403"/>
      <c r="E87" s="1410"/>
      <c r="F87" s="1410"/>
      <c r="G87" s="1410"/>
      <c r="H87" s="1419"/>
      <c r="I87" s="1403"/>
    </row>
    <row r="88" spans="1:9" ht="21.6" customHeight="1">
      <c r="A88" s="1403"/>
      <c r="B88" s="1409" t="s">
        <v>3173</v>
      </c>
      <c r="C88" s="1403">
        <v>4</v>
      </c>
      <c r="D88" s="1403">
        <v>1</v>
      </c>
      <c r="E88" s="1410">
        <v>14.12</v>
      </c>
      <c r="F88" s="1410">
        <v>4.12</v>
      </c>
      <c r="G88" s="1410" t="s">
        <v>21</v>
      </c>
      <c r="H88" s="1419">
        <f>PRODUCT(C88:G88)</f>
        <v>232.69759999999999</v>
      </c>
      <c r="I88" s="1403"/>
    </row>
    <row r="89" spans="1:9" ht="21.6" customHeight="1">
      <c r="A89" s="1403"/>
      <c r="B89" s="1409" t="s">
        <v>3174</v>
      </c>
      <c r="C89" s="1403">
        <v>4</v>
      </c>
      <c r="D89" s="1403">
        <v>1</v>
      </c>
      <c r="E89" s="1410">
        <v>8.3800000000000008</v>
      </c>
      <c r="F89" s="1410">
        <v>1.7</v>
      </c>
      <c r="G89" s="1410" t="s">
        <v>21</v>
      </c>
      <c r="H89" s="1419">
        <f>PRODUCT(C89:G89)</f>
        <v>56.984000000000002</v>
      </c>
      <c r="I89" s="1403"/>
    </row>
    <row r="90" spans="1:9" ht="21.6" customHeight="1">
      <c r="A90" s="1403"/>
      <c r="B90" s="1409" t="s">
        <v>3175</v>
      </c>
      <c r="C90" s="1403">
        <v>4</v>
      </c>
      <c r="D90" s="1403">
        <v>2</v>
      </c>
      <c r="E90" s="1410">
        <v>2.2999999999999998</v>
      </c>
      <c r="F90" s="1410">
        <v>2.2999999999999998</v>
      </c>
      <c r="G90" s="1410" t="s">
        <v>21</v>
      </c>
      <c r="H90" s="1419">
        <f>PRODUCT(C90:G90)</f>
        <v>42.319999999999993</v>
      </c>
      <c r="I90" s="1403"/>
    </row>
    <row r="91" spans="1:9" ht="21.6" customHeight="1">
      <c r="A91" s="1403"/>
      <c r="B91" s="1409" t="s">
        <v>3553</v>
      </c>
      <c r="C91" s="1403">
        <v>4</v>
      </c>
      <c r="D91" s="1403">
        <v>1</v>
      </c>
      <c r="E91" s="1410">
        <v>5.88</v>
      </c>
      <c r="F91" s="1410">
        <v>0.45</v>
      </c>
      <c r="G91" s="1410" t="s">
        <v>21</v>
      </c>
      <c r="H91" s="1419">
        <f>PRODUCT(C91:G91)</f>
        <v>10.584</v>
      </c>
      <c r="I91" s="1403"/>
    </row>
    <row r="92" spans="1:9" ht="21.6" customHeight="1">
      <c r="A92" s="1403"/>
      <c r="B92" s="1409"/>
      <c r="C92" s="1403"/>
      <c r="D92" s="1403"/>
      <c r="E92" s="1410"/>
      <c r="F92" s="1410"/>
      <c r="G92" s="1410"/>
      <c r="H92" s="1419">
        <f>SUM(H87:H91)</f>
        <v>342.5856</v>
      </c>
      <c r="I92" s="1403"/>
    </row>
    <row r="93" spans="1:9" ht="21.6" customHeight="1">
      <c r="A93" s="1403"/>
      <c r="B93" s="1409"/>
      <c r="C93" s="1403"/>
      <c r="D93" s="1403"/>
      <c r="E93" s="1410"/>
      <c r="F93" s="1410"/>
      <c r="G93" s="1410" t="s">
        <v>9</v>
      </c>
      <c r="H93" s="1421">
        <v>342.6</v>
      </c>
      <c r="I93" s="1403" t="s">
        <v>5393</v>
      </c>
    </row>
    <row r="94" spans="1:9" ht="28.5">
      <c r="A94" s="1394">
        <v>14</v>
      </c>
      <c r="B94" s="1435" t="s">
        <v>3186</v>
      </c>
      <c r="C94" s="1403"/>
      <c r="D94" s="1403"/>
      <c r="E94" s="1410"/>
      <c r="F94" s="1410"/>
      <c r="G94" s="1410"/>
      <c r="H94" s="1419"/>
      <c r="I94" s="1403"/>
    </row>
    <row r="95" spans="1:9">
      <c r="A95" s="1403"/>
      <c r="B95" s="1409" t="s">
        <v>3187</v>
      </c>
      <c r="C95" s="1403">
        <v>12</v>
      </c>
      <c r="D95" s="1403">
        <v>2</v>
      </c>
      <c r="E95" s="1410">
        <v>1.2</v>
      </c>
      <c r="F95" s="1410">
        <v>0.9</v>
      </c>
      <c r="G95" s="1410" t="s">
        <v>21</v>
      </c>
      <c r="H95" s="1419">
        <f>PRODUCT(C95:G95)</f>
        <v>25.919999999999998</v>
      </c>
      <c r="I95" s="1403"/>
    </row>
    <row r="96" spans="1:9">
      <c r="A96" s="1403"/>
      <c r="B96" s="1409" t="s">
        <v>3188</v>
      </c>
      <c r="C96" s="1403">
        <v>-12</v>
      </c>
      <c r="D96" s="1403">
        <v>1</v>
      </c>
      <c r="E96" s="1410">
        <v>0.45</v>
      </c>
      <c r="F96" s="1410">
        <v>0.6</v>
      </c>
      <c r="G96" s="1410" t="s">
        <v>21</v>
      </c>
      <c r="H96" s="1419">
        <f>PRODUCT(C96:G96)</f>
        <v>-3.24</v>
      </c>
      <c r="I96" s="1403"/>
    </row>
    <row r="97" spans="1:9">
      <c r="A97" s="1403"/>
      <c r="B97" s="1409" t="s">
        <v>3191</v>
      </c>
      <c r="C97" s="1403">
        <v>24</v>
      </c>
      <c r="D97" s="1403">
        <v>1</v>
      </c>
      <c r="E97" s="1410">
        <v>1.2</v>
      </c>
      <c r="F97" s="1410">
        <v>1.2</v>
      </c>
      <c r="G97" s="1410" t="s">
        <v>21</v>
      </c>
      <c r="H97" s="1419">
        <f>PRODUCT(C97:G97)</f>
        <v>34.559999999999995</v>
      </c>
      <c r="I97" s="1403"/>
    </row>
    <row r="98" spans="1:9">
      <c r="A98" s="1403"/>
      <c r="B98" s="1409"/>
      <c r="C98" s="1403"/>
      <c r="D98" s="1403"/>
      <c r="E98" s="1410"/>
      <c r="F98" s="1410"/>
      <c r="G98" s="1410"/>
      <c r="H98" s="1419">
        <f>SUM(H95:H97)</f>
        <v>57.239999999999995</v>
      </c>
      <c r="I98" s="1403"/>
    </row>
    <row r="99" spans="1:9" ht="18">
      <c r="A99" s="1403"/>
      <c r="B99" s="1409"/>
      <c r="C99" s="1403"/>
      <c r="D99" s="1403"/>
      <c r="E99" s="1410"/>
      <c r="F99" s="1410"/>
      <c r="G99" s="1410" t="s">
        <v>9</v>
      </c>
      <c r="H99" s="1421">
        <v>57.3</v>
      </c>
      <c r="I99" s="1403" t="s">
        <v>5393</v>
      </c>
    </row>
    <row r="100" spans="1:9">
      <c r="A100" s="1394">
        <v>15</v>
      </c>
      <c r="B100" s="1435" t="s">
        <v>3192</v>
      </c>
      <c r="C100" s="1403"/>
      <c r="D100" s="1403"/>
      <c r="E100" s="1410"/>
      <c r="F100" s="1410"/>
      <c r="G100" s="1410"/>
      <c r="H100" s="1419"/>
      <c r="I100" s="1403"/>
    </row>
    <row r="101" spans="1:9">
      <c r="A101" s="1403"/>
      <c r="B101" s="1409" t="s">
        <v>3187</v>
      </c>
      <c r="C101" s="1403">
        <v>1</v>
      </c>
      <c r="D101" s="1403">
        <v>24</v>
      </c>
      <c r="E101" s="1410">
        <v>1.08</v>
      </c>
      <c r="F101" s="1410">
        <v>1.5</v>
      </c>
      <c r="G101" s="1410" t="s">
        <v>21</v>
      </c>
      <c r="H101" s="1419">
        <f>PRODUCT(C101:G101)</f>
        <v>38.880000000000003</v>
      </c>
      <c r="I101" s="1403"/>
    </row>
    <row r="102" spans="1:9">
      <c r="A102" s="1403"/>
      <c r="B102" s="1409" t="s">
        <v>3191</v>
      </c>
      <c r="C102" s="1403">
        <v>1</v>
      </c>
      <c r="D102" s="1403">
        <v>24</v>
      </c>
      <c r="E102" s="1410">
        <v>1.44</v>
      </c>
      <c r="F102" s="1410">
        <v>1.5</v>
      </c>
      <c r="G102" s="1410" t="s">
        <v>21</v>
      </c>
      <c r="H102" s="1419">
        <f>PRODUCT(C102:G102)</f>
        <v>51.84</v>
      </c>
      <c r="I102" s="1403"/>
    </row>
    <row r="103" spans="1:9">
      <c r="A103" s="1403"/>
      <c r="B103" s="1409" t="s">
        <v>3555</v>
      </c>
      <c r="C103" s="1403">
        <v>1</v>
      </c>
      <c r="D103" s="1403">
        <v>24</v>
      </c>
      <c r="E103" s="1410">
        <v>2.4</v>
      </c>
      <c r="F103" s="1410">
        <v>0.6</v>
      </c>
      <c r="G103" s="1410" t="s">
        <v>21</v>
      </c>
      <c r="H103" s="1419">
        <f>PRODUCT(C103:G103)</f>
        <v>34.559999999999995</v>
      </c>
      <c r="I103" s="1403"/>
    </row>
    <row r="104" spans="1:9">
      <c r="A104" s="1403"/>
      <c r="B104" s="1409" t="s">
        <v>3556</v>
      </c>
      <c r="C104" s="1403">
        <v>1</v>
      </c>
      <c r="D104" s="1403">
        <v>24</v>
      </c>
      <c r="E104" s="1410">
        <v>0.6</v>
      </c>
      <c r="F104" s="1410">
        <v>0.6</v>
      </c>
      <c r="G104" s="1410" t="s">
        <v>21</v>
      </c>
      <c r="H104" s="1419">
        <f>PRODUCT(C104:G104)</f>
        <v>8.6399999999999988</v>
      </c>
      <c r="I104" s="1403"/>
    </row>
    <row r="105" spans="1:9">
      <c r="A105" s="1437"/>
      <c r="B105" s="1409"/>
      <c r="C105" s="1403"/>
      <c r="D105" s="1403"/>
      <c r="E105" s="1410"/>
      <c r="F105" s="1410"/>
      <c r="G105" s="1410"/>
      <c r="H105" s="1419">
        <f>SUM(H101:H104)</f>
        <v>133.91999999999999</v>
      </c>
      <c r="I105" s="1438"/>
    </row>
    <row r="106" spans="1:9" ht="18">
      <c r="A106" s="1437"/>
      <c r="B106" s="1439"/>
      <c r="C106" s="1437"/>
      <c r="D106" s="1440"/>
      <c r="E106" s="1441"/>
      <c r="F106" s="1441"/>
      <c r="G106" s="1410" t="s">
        <v>9</v>
      </c>
      <c r="H106" s="1421">
        <v>134</v>
      </c>
      <c r="I106" s="1403" t="s">
        <v>5393</v>
      </c>
    </row>
    <row r="107" spans="1:9" ht="42.75">
      <c r="A107" s="1437">
        <v>16</v>
      </c>
      <c r="B107" s="1413" t="s">
        <v>3194</v>
      </c>
      <c r="C107" s="1437"/>
      <c r="D107" s="1440"/>
      <c r="E107" s="1441"/>
      <c r="F107" s="1441"/>
      <c r="G107" s="1442"/>
      <c r="H107" s="1443"/>
      <c r="I107" s="1438"/>
    </row>
    <row r="108" spans="1:9">
      <c r="A108" s="1444"/>
      <c r="B108" s="1445" t="s">
        <v>3195</v>
      </c>
      <c r="C108" s="1446"/>
      <c r="D108" s="1446"/>
      <c r="E108" s="1447"/>
      <c r="F108" s="1447"/>
      <c r="G108" s="1447"/>
      <c r="H108" s="1448"/>
      <c r="I108" s="1438"/>
    </row>
    <row r="109" spans="1:9">
      <c r="A109" s="1444"/>
      <c r="B109" s="1439" t="s">
        <v>3196</v>
      </c>
      <c r="C109" s="1437">
        <v>12</v>
      </c>
      <c r="D109" s="1449">
        <v>1</v>
      </c>
      <c r="E109" s="1405" t="s">
        <v>21</v>
      </c>
      <c r="F109" s="1405" t="s">
        <v>21</v>
      </c>
      <c r="G109" s="1405" t="s">
        <v>21</v>
      </c>
      <c r="H109" s="1419">
        <f>PRODUCT(C109:G109)</f>
        <v>12</v>
      </c>
      <c r="I109" s="1438"/>
    </row>
    <row r="110" spans="1:9">
      <c r="A110" s="1437"/>
      <c r="B110" s="1402"/>
      <c r="C110" s="1437"/>
      <c r="D110" s="1437"/>
      <c r="E110" s="1405"/>
      <c r="F110" s="1405"/>
      <c r="G110" s="1450"/>
      <c r="H110" s="1421">
        <f>SUM(H109:H109)</f>
        <v>12</v>
      </c>
      <c r="I110" s="1404" t="s">
        <v>340</v>
      </c>
    </row>
    <row r="111" spans="1:9">
      <c r="A111" s="1437"/>
      <c r="B111" s="1445" t="s">
        <v>3198</v>
      </c>
      <c r="C111" s="1437"/>
      <c r="D111" s="1449"/>
      <c r="E111" s="1449"/>
      <c r="F111" s="1405"/>
      <c r="G111" s="1450"/>
      <c r="H111" s="1419"/>
      <c r="I111" s="1404"/>
    </row>
    <row r="112" spans="1:9">
      <c r="A112" s="1437"/>
      <c r="B112" s="1439" t="s">
        <v>3196</v>
      </c>
      <c r="C112" s="1437">
        <v>12</v>
      </c>
      <c r="D112" s="1449">
        <v>1</v>
      </c>
      <c r="E112" s="1405" t="s">
        <v>21</v>
      </c>
      <c r="F112" s="1405" t="s">
        <v>21</v>
      </c>
      <c r="G112" s="1405" t="s">
        <v>21</v>
      </c>
      <c r="H112" s="1419">
        <f>PRODUCT(C112:G112)</f>
        <v>12</v>
      </c>
      <c r="I112" s="1438"/>
    </row>
    <row r="113" spans="1:9">
      <c r="A113" s="1437"/>
      <c r="B113" s="1451"/>
      <c r="C113" s="1437"/>
      <c r="D113" s="1437"/>
      <c r="E113" s="1452"/>
      <c r="F113" s="1452"/>
      <c r="G113" s="1452"/>
      <c r="H113" s="1421">
        <f>SUM(H112:H112)</f>
        <v>12</v>
      </c>
      <c r="I113" s="1404" t="s">
        <v>340</v>
      </c>
    </row>
    <row r="114" spans="1:9" ht="28.5">
      <c r="A114" s="1437">
        <v>17</v>
      </c>
      <c r="B114" s="1435" t="s">
        <v>3563</v>
      </c>
      <c r="C114" s="1437"/>
      <c r="D114" s="1437"/>
      <c r="E114" s="1452"/>
      <c r="F114" s="1452"/>
      <c r="G114" s="1452"/>
      <c r="H114" s="1421"/>
      <c r="I114" s="1404"/>
    </row>
    <row r="115" spans="1:9">
      <c r="A115" s="1437"/>
      <c r="B115" s="1453" t="s">
        <v>3200</v>
      </c>
      <c r="C115" s="1437">
        <v>1</v>
      </c>
      <c r="D115" s="1437">
        <v>14</v>
      </c>
      <c r="E115" s="1452">
        <v>0.75</v>
      </c>
      <c r="F115" s="1452">
        <v>2</v>
      </c>
      <c r="G115" s="1454" t="s">
        <v>21</v>
      </c>
      <c r="H115" s="1419">
        <f>PRODUCT(C115:G115)</f>
        <v>21</v>
      </c>
      <c r="I115" s="1404"/>
    </row>
    <row r="116" spans="1:9">
      <c r="A116" s="1437"/>
      <c r="B116" s="1451"/>
      <c r="C116" s="1437"/>
      <c r="D116" s="1437"/>
      <c r="E116" s="1452"/>
      <c r="F116" s="1452"/>
      <c r="G116" s="1452"/>
      <c r="H116" s="1421">
        <f>SUM(H115:H115)</f>
        <v>21</v>
      </c>
      <c r="I116" s="1403" t="s">
        <v>306</v>
      </c>
    </row>
    <row r="117" spans="1:9" ht="57" customHeight="1">
      <c r="A117" s="1437">
        <v>18</v>
      </c>
      <c r="B117" s="1455" t="s">
        <v>3199</v>
      </c>
      <c r="C117" s="1437"/>
      <c r="D117" s="1437"/>
      <c r="E117" s="1452"/>
      <c r="F117" s="1452"/>
      <c r="G117" s="1452"/>
      <c r="H117" s="1452"/>
      <c r="I117" s="1404"/>
    </row>
    <row r="118" spans="1:9">
      <c r="A118" s="1437"/>
      <c r="B118" s="1453" t="s">
        <v>3200</v>
      </c>
      <c r="C118" s="1437">
        <v>1</v>
      </c>
      <c r="D118" s="1437">
        <v>24</v>
      </c>
      <c r="E118" s="1452">
        <v>0.75</v>
      </c>
      <c r="F118" s="1452">
        <v>2</v>
      </c>
      <c r="G118" s="1454" t="s">
        <v>21</v>
      </c>
      <c r="H118" s="1419">
        <f>PRODUCT(C118:G118)</f>
        <v>36</v>
      </c>
      <c r="I118" s="1404"/>
    </row>
    <row r="119" spans="1:9">
      <c r="A119" s="1403"/>
      <c r="B119" s="1409"/>
      <c r="C119" s="1403"/>
      <c r="D119" s="1403"/>
      <c r="E119" s="1410"/>
      <c r="F119" s="1410"/>
      <c r="G119" s="1410"/>
      <c r="H119" s="1421">
        <f>SUM(H118:H118)</f>
        <v>36</v>
      </c>
      <c r="I119" s="1403" t="s">
        <v>306</v>
      </c>
    </row>
    <row r="120" spans="1:9" ht="57">
      <c r="A120" s="1403">
        <v>19</v>
      </c>
      <c r="B120" s="1413" t="s">
        <v>3208</v>
      </c>
      <c r="C120" s="1403"/>
      <c r="D120" s="1403"/>
      <c r="E120" s="1410"/>
      <c r="F120" s="1410"/>
      <c r="G120" s="1410"/>
      <c r="H120" s="1410"/>
      <c r="I120" s="1403"/>
    </row>
    <row r="121" spans="1:9">
      <c r="A121" s="1403"/>
      <c r="B121" s="1409" t="s">
        <v>3209</v>
      </c>
      <c r="C121" s="1403">
        <v>24</v>
      </c>
      <c r="D121" s="1403">
        <v>1</v>
      </c>
      <c r="E121" s="1410">
        <v>1.2</v>
      </c>
      <c r="F121" s="1410">
        <v>1.2</v>
      </c>
      <c r="G121" s="1410" t="s">
        <v>21</v>
      </c>
      <c r="H121" s="1419">
        <f t="shared" ref="H121:H129" si="3">PRODUCT(C121:G121)</f>
        <v>34.559999999999995</v>
      </c>
      <c r="I121" s="1403"/>
    </row>
    <row r="122" spans="1:9">
      <c r="A122" s="1403"/>
      <c r="B122" s="1409" t="s">
        <v>3210</v>
      </c>
      <c r="C122" s="1403">
        <v>24</v>
      </c>
      <c r="D122" s="1403">
        <v>1</v>
      </c>
      <c r="E122" s="1410">
        <v>1.2</v>
      </c>
      <c r="F122" s="1410">
        <v>0.9</v>
      </c>
      <c r="G122" s="1410" t="s">
        <v>21</v>
      </c>
      <c r="H122" s="1419">
        <f t="shared" si="3"/>
        <v>25.919999999999998</v>
      </c>
      <c r="I122" s="1403"/>
    </row>
    <row r="123" spans="1:9" ht="17.45" customHeight="1">
      <c r="A123" s="1403"/>
      <c r="B123" s="1409" t="s">
        <v>3215</v>
      </c>
      <c r="C123" s="1403">
        <v>12</v>
      </c>
      <c r="D123" s="1403">
        <v>1</v>
      </c>
      <c r="E123" s="1410">
        <v>2.2999999999999998</v>
      </c>
      <c r="F123" s="1410">
        <v>0.95</v>
      </c>
      <c r="G123" s="1410" t="s">
        <v>21</v>
      </c>
      <c r="H123" s="1419">
        <f t="shared" si="3"/>
        <v>26.219999999999995</v>
      </c>
      <c r="I123" s="1403"/>
    </row>
    <row r="124" spans="1:9" ht="17.45" customHeight="1">
      <c r="A124" s="1403"/>
      <c r="B124" s="1409" t="s">
        <v>3554</v>
      </c>
      <c r="C124" s="1403">
        <v>3</v>
      </c>
      <c r="D124" s="1403">
        <v>1</v>
      </c>
      <c r="E124" s="1410">
        <v>3.74</v>
      </c>
      <c r="F124" s="1410">
        <v>3</v>
      </c>
      <c r="G124" s="1410" t="s">
        <v>21</v>
      </c>
      <c r="H124" s="1419">
        <f t="shared" si="3"/>
        <v>33.660000000000004</v>
      </c>
      <c r="I124" s="1403"/>
    </row>
    <row r="125" spans="1:9" ht="17.45" customHeight="1">
      <c r="A125" s="1403"/>
      <c r="B125" s="1409" t="s">
        <v>3246</v>
      </c>
      <c r="C125" s="1403">
        <v>5</v>
      </c>
      <c r="D125" s="1403">
        <v>1</v>
      </c>
      <c r="E125" s="1410">
        <v>4</v>
      </c>
      <c r="F125" s="1410">
        <v>1.7</v>
      </c>
      <c r="G125" s="1410" t="s">
        <v>21</v>
      </c>
      <c r="H125" s="1419">
        <f t="shared" si="3"/>
        <v>34</v>
      </c>
      <c r="I125" s="1403"/>
    </row>
    <row r="126" spans="1:9" ht="17.45" customHeight="1">
      <c r="A126" s="1403"/>
      <c r="B126" s="1409" t="s">
        <v>129</v>
      </c>
      <c r="C126" s="1403">
        <v>2</v>
      </c>
      <c r="D126" s="1403">
        <v>1</v>
      </c>
      <c r="E126" s="1410">
        <v>2.1</v>
      </c>
      <c r="F126" s="1410">
        <v>1.46</v>
      </c>
      <c r="G126" s="1410" t="s">
        <v>21</v>
      </c>
      <c r="H126" s="1419">
        <f t="shared" si="3"/>
        <v>6.1319999999999997</v>
      </c>
      <c r="I126" s="1403"/>
    </row>
    <row r="127" spans="1:9" ht="17.45" customHeight="1">
      <c r="A127" s="1403"/>
      <c r="B127" s="1409" t="s">
        <v>5349</v>
      </c>
      <c r="C127" s="1403">
        <v>1</v>
      </c>
      <c r="D127" s="1403">
        <v>25</v>
      </c>
      <c r="E127" s="1410">
        <v>0.75</v>
      </c>
      <c r="F127" s="1410">
        <v>0.45</v>
      </c>
      <c r="G127" s="1410" t="s">
        <v>21</v>
      </c>
      <c r="H127" s="1419">
        <f t="shared" si="3"/>
        <v>8.4375</v>
      </c>
      <c r="I127" s="1403"/>
    </row>
    <row r="128" spans="1:9">
      <c r="A128" s="1403"/>
      <c r="B128" s="1409" t="s">
        <v>5350</v>
      </c>
      <c r="C128" s="1403">
        <v>1</v>
      </c>
      <c r="D128" s="1403">
        <v>1</v>
      </c>
      <c r="E128" s="1410">
        <v>2.2000000000000002</v>
      </c>
      <c r="F128" s="1410">
        <v>8</v>
      </c>
      <c r="G128" s="1410" t="s">
        <v>21</v>
      </c>
      <c r="H128" s="1419">
        <f t="shared" si="3"/>
        <v>17.600000000000001</v>
      </c>
      <c r="I128" s="1403"/>
    </row>
    <row r="129" spans="1:9">
      <c r="A129" s="1403"/>
      <c r="B129" s="1409" t="s">
        <v>5351</v>
      </c>
      <c r="C129" s="1403">
        <v>2</v>
      </c>
      <c r="D129" s="1403">
        <v>2</v>
      </c>
      <c r="E129" s="1410">
        <v>0.9</v>
      </c>
      <c r="F129" s="1410">
        <v>0.45</v>
      </c>
      <c r="G129" s="1410" t="s">
        <v>21</v>
      </c>
      <c r="H129" s="1419">
        <f t="shared" si="3"/>
        <v>1.62</v>
      </c>
      <c r="I129" s="1403"/>
    </row>
    <row r="130" spans="1:9" ht="17.45" customHeight="1">
      <c r="A130" s="1403"/>
      <c r="B130" s="1409"/>
      <c r="C130" s="1403"/>
      <c r="D130" s="1403"/>
      <c r="E130" s="1410"/>
      <c r="F130" s="1410"/>
      <c r="G130" s="1410"/>
      <c r="H130" s="1419">
        <f>SUM(H121:H126)</f>
        <v>160.49199999999999</v>
      </c>
      <c r="I130" s="1403"/>
    </row>
    <row r="131" spans="1:9" ht="17.45" customHeight="1">
      <c r="A131" s="1403"/>
      <c r="B131" s="1409"/>
      <c r="C131" s="1403"/>
      <c r="D131" s="1403"/>
      <c r="E131" s="1410"/>
      <c r="F131" s="1410"/>
      <c r="G131" s="1410" t="s">
        <v>9</v>
      </c>
      <c r="H131" s="1421">
        <v>160.5</v>
      </c>
      <c r="I131" s="1403" t="s">
        <v>306</v>
      </c>
    </row>
    <row r="132" spans="1:9" ht="47.45" customHeight="1">
      <c r="A132" s="1403">
        <v>20</v>
      </c>
      <c r="B132" s="1413" t="s">
        <v>3216</v>
      </c>
      <c r="C132" s="1403"/>
      <c r="D132" s="1403"/>
      <c r="E132" s="1410"/>
      <c r="F132" s="1410"/>
      <c r="G132" s="1410"/>
      <c r="H132" s="1395"/>
      <c r="I132" s="1403"/>
    </row>
    <row r="133" spans="1:9">
      <c r="A133" s="1403"/>
      <c r="B133" s="1409" t="s">
        <v>3554</v>
      </c>
      <c r="C133" s="1403">
        <v>3</v>
      </c>
      <c r="D133" s="1403">
        <v>1</v>
      </c>
      <c r="E133" s="1410">
        <v>3.74</v>
      </c>
      <c r="F133" s="1410">
        <v>3</v>
      </c>
      <c r="G133" s="1410" t="s">
        <v>21</v>
      </c>
      <c r="H133" s="1419">
        <f>PRODUCT(C133:G133)</f>
        <v>33.660000000000004</v>
      </c>
      <c r="I133" s="1403"/>
    </row>
    <row r="134" spans="1:9" s="1408" customFormat="1">
      <c r="A134" s="1404"/>
      <c r="B134" s="1409" t="s">
        <v>3246</v>
      </c>
      <c r="C134" s="1403">
        <v>5</v>
      </c>
      <c r="D134" s="1403">
        <v>1</v>
      </c>
      <c r="E134" s="1410">
        <v>4</v>
      </c>
      <c r="F134" s="1410">
        <v>1.7</v>
      </c>
      <c r="G134" s="1410" t="s">
        <v>21</v>
      </c>
      <c r="H134" s="1419">
        <f>PRODUCT(C134:G134)</f>
        <v>34</v>
      </c>
      <c r="I134" s="1407"/>
    </row>
    <row r="135" spans="1:9">
      <c r="A135" s="1403"/>
      <c r="B135" s="1409" t="s">
        <v>129</v>
      </c>
      <c r="C135" s="1403">
        <v>2</v>
      </c>
      <c r="D135" s="1403">
        <v>1</v>
      </c>
      <c r="E135" s="1410">
        <v>2.1</v>
      </c>
      <c r="F135" s="1410">
        <v>1.46</v>
      </c>
      <c r="G135" s="1410" t="s">
        <v>21</v>
      </c>
      <c r="H135" s="1419">
        <f>PRODUCT(C135:G135)</f>
        <v>6.1319999999999997</v>
      </c>
      <c r="I135" s="1403"/>
    </row>
    <row r="136" spans="1:9">
      <c r="A136" s="1403"/>
      <c r="B136" s="1409" t="s">
        <v>3217</v>
      </c>
      <c r="C136" s="1403">
        <v>12</v>
      </c>
      <c r="D136" s="1403">
        <v>1</v>
      </c>
      <c r="E136" s="1410">
        <v>2.2999999999999998</v>
      </c>
      <c r="F136" s="1410">
        <v>0.95</v>
      </c>
      <c r="G136" s="1410" t="s">
        <v>21</v>
      </c>
      <c r="H136" s="1419">
        <f>PRODUCT(C136:G136)</f>
        <v>26.219999999999995</v>
      </c>
      <c r="I136" s="1403"/>
    </row>
    <row r="137" spans="1:9">
      <c r="A137" s="1403"/>
      <c r="B137" s="1456" t="s">
        <v>3465</v>
      </c>
      <c r="C137" s="1403">
        <v>1</v>
      </c>
      <c r="D137" s="1404">
        <v>10</v>
      </c>
      <c r="E137" s="1405">
        <v>0.6</v>
      </c>
      <c r="F137" s="1405">
        <v>0.6</v>
      </c>
      <c r="G137" s="1405" t="s">
        <v>21</v>
      </c>
      <c r="H137" s="1415">
        <f>PRODUCT(C137:G137)</f>
        <v>3.5999999999999996</v>
      </c>
      <c r="I137" s="1403"/>
    </row>
    <row r="138" spans="1:9">
      <c r="A138" s="1403"/>
      <c r="B138" s="1409" t="s">
        <v>5349</v>
      </c>
      <c r="C138" s="1403">
        <v>1</v>
      </c>
      <c r="D138" s="1403">
        <v>25</v>
      </c>
      <c r="E138" s="1410">
        <v>0.75</v>
      </c>
      <c r="F138" s="1410">
        <v>0.45</v>
      </c>
      <c r="G138" s="1410" t="s">
        <v>21</v>
      </c>
      <c r="H138" s="1419">
        <f t="shared" ref="H138:H140" si="4">PRODUCT(C138:G138)</f>
        <v>8.4375</v>
      </c>
      <c r="I138" s="1403"/>
    </row>
    <row r="139" spans="1:9">
      <c r="A139" s="1403"/>
      <c r="B139" s="1409" t="s">
        <v>5350</v>
      </c>
      <c r="C139" s="1403">
        <v>1</v>
      </c>
      <c r="D139" s="1403">
        <v>1</v>
      </c>
      <c r="E139" s="1410">
        <v>2.2000000000000002</v>
      </c>
      <c r="F139" s="1410">
        <v>8</v>
      </c>
      <c r="G139" s="1410" t="s">
        <v>21</v>
      </c>
      <c r="H139" s="1419">
        <f t="shared" si="4"/>
        <v>17.600000000000001</v>
      </c>
      <c r="I139" s="1403"/>
    </row>
    <row r="140" spans="1:9">
      <c r="A140" s="1403"/>
      <c r="B140" s="1409" t="s">
        <v>5351</v>
      </c>
      <c r="C140" s="1403">
        <v>2</v>
      </c>
      <c r="D140" s="1403">
        <v>2</v>
      </c>
      <c r="E140" s="1410">
        <v>0.9</v>
      </c>
      <c r="F140" s="1410">
        <v>0.45</v>
      </c>
      <c r="G140" s="1410" t="s">
        <v>21</v>
      </c>
      <c r="H140" s="1419">
        <f t="shared" si="4"/>
        <v>1.62</v>
      </c>
      <c r="I140" s="1403"/>
    </row>
    <row r="141" spans="1:9">
      <c r="A141" s="1403"/>
      <c r="B141" s="1409"/>
      <c r="C141" s="1403"/>
      <c r="D141" s="1403"/>
      <c r="E141" s="1410"/>
      <c r="F141" s="1410"/>
      <c r="G141" s="1410"/>
      <c r="H141" s="1419">
        <f>SUM(H133:H140)</f>
        <v>131.26949999999999</v>
      </c>
      <c r="I141" s="1403"/>
    </row>
    <row r="142" spans="1:9">
      <c r="A142" s="1403"/>
      <c r="B142" s="1409"/>
      <c r="C142" s="1403"/>
      <c r="D142" s="1403"/>
      <c r="E142" s="1410"/>
      <c r="F142" s="1410"/>
      <c r="G142" s="1410" t="s">
        <v>9</v>
      </c>
      <c r="H142" s="1421">
        <v>131.30000000000001</v>
      </c>
      <c r="I142" s="1403" t="s">
        <v>306</v>
      </c>
    </row>
    <row r="143" spans="1:9" ht="42.75">
      <c r="A143" s="1403">
        <v>21</v>
      </c>
      <c r="B143" s="1435" t="s">
        <v>3470</v>
      </c>
      <c r="C143" s="1403"/>
      <c r="D143" s="1403"/>
      <c r="E143" s="1410"/>
      <c r="F143" s="1410"/>
      <c r="G143" s="1410"/>
      <c r="H143" s="1410"/>
      <c r="I143" s="1403"/>
    </row>
    <row r="144" spans="1:9" ht="32.450000000000003" customHeight="1">
      <c r="A144" s="1403"/>
      <c r="B144" s="1409" t="s">
        <v>5386</v>
      </c>
      <c r="C144" s="1403">
        <v>1</v>
      </c>
      <c r="D144" s="1403">
        <v>1</v>
      </c>
      <c r="E144" s="1410">
        <v>300</v>
      </c>
      <c r="F144" s="1410" t="s">
        <v>21</v>
      </c>
      <c r="G144" s="1410" t="s">
        <v>21</v>
      </c>
      <c r="H144" s="1419">
        <f>PRODUCT(C144:G144)</f>
        <v>300</v>
      </c>
      <c r="I144" s="1403"/>
    </row>
    <row r="145" spans="1:15" ht="25.9" customHeight="1">
      <c r="A145" s="1403"/>
      <c r="B145" s="1409"/>
      <c r="C145" s="1403"/>
      <c r="D145" s="1403"/>
      <c r="E145" s="1410"/>
      <c r="F145" s="1410"/>
      <c r="G145" s="1410"/>
      <c r="H145" s="1421">
        <f>SUM(H144:H144)</f>
        <v>300</v>
      </c>
      <c r="I145" s="1403" t="s">
        <v>303</v>
      </c>
    </row>
    <row r="146" spans="1:15" ht="42.75">
      <c r="A146" s="1403">
        <v>22</v>
      </c>
      <c r="B146" s="1413" t="s">
        <v>5293</v>
      </c>
      <c r="C146" s="1403"/>
      <c r="D146" s="1403"/>
      <c r="E146" s="1410"/>
      <c r="F146" s="1410"/>
      <c r="G146" s="1410"/>
      <c r="H146" s="1395"/>
      <c r="I146" s="1403"/>
    </row>
    <row r="147" spans="1:15" ht="24.6" customHeight="1">
      <c r="A147" s="1403"/>
      <c r="B147" s="1409" t="s">
        <v>5385</v>
      </c>
      <c r="C147" s="1403">
        <v>1</v>
      </c>
      <c r="D147" s="1403">
        <v>1</v>
      </c>
      <c r="E147" s="1410">
        <v>50</v>
      </c>
      <c r="F147" s="1410" t="s">
        <v>21</v>
      </c>
      <c r="G147" s="1410" t="s">
        <v>21</v>
      </c>
      <c r="H147" s="1419">
        <f>PRODUCT(C147:G147)</f>
        <v>50</v>
      </c>
      <c r="I147" s="1394"/>
    </row>
    <row r="148" spans="1:15" ht="24.6" customHeight="1">
      <c r="A148" s="1403"/>
      <c r="B148" s="1457"/>
      <c r="C148" s="1403"/>
      <c r="D148" s="1403"/>
      <c r="E148" s="1410"/>
      <c r="F148" s="1410"/>
      <c r="G148" s="1410"/>
      <c r="H148" s="1421">
        <f>SUM(H146:H147)</f>
        <v>50</v>
      </c>
      <c r="I148" s="1403" t="s">
        <v>303</v>
      </c>
    </row>
    <row r="149" spans="1:15" ht="76.150000000000006" customHeight="1">
      <c r="A149" s="1403">
        <v>23</v>
      </c>
      <c r="B149" s="1413" t="s">
        <v>5306</v>
      </c>
      <c r="C149" s="1403"/>
      <c r="D149" s="1403"/>
      <c r="E149" s="1410"/>
      <c r="F149" s="1410"/>
      <c r="G149" s="1410"/>
      <c r="H149" s="1419"/>
      <c r="I149" s="1403"/>
    </row>
    <row r="150" spans="1:15" ht="27" customHeight="1">
      <c r="A150" s="1403"/>
      <c r="B150" s="1409" t="s">
        <v>3229</v>
      </c>
      <c r="C150" s="1403">
        <v>1</v>
      </c>
      <c r="D150" s="1403">
        <v>1</v>
      </c>
      <c r="E150" s="1410">
        <v>80</v>
      </c>
      <c r="F150" s="1410" t="s">
        <v>21</v>
      </c>
      <c r="G150" s="1410" t="s">
        <v>21</v>
      </c>
      <c r="H150" s="1421">
        <f>PRODUCT(C150:G150)</f>
        <v>80</v>
      </c>
      <c r="I150" s="1403" t="s">
        <v>3723</v>
      </c>
      <c r="O150" s="1458"/>
    </row>
    <row r="151" spans="1:15" ht="57">
      <c r="A151" s="1403">
        <v>24</v>
      </c>
      <c r="B151" s="1413" t="s">
        <v>3230</v>
      </c>
      <c r="C151" s="1403"/>
      <c r="D151" s="1403"/>
      <c r="E151" s="1410"/>
      <c r="F151" s="1410"/>
      <c r="G151" s="1410"/>
      <c r="H151" s="1419"/>
      <c r="I151" s="1394"/>
    </row>
    <row r="152" spans="1:15" ht="36.6" customHeight="1">
      <c r="A152" s="1403"/>
      <c r="B152" s="1409" t="s">
        <v>5387</v>
      </c>
      <c r="C152" s="1403">
        <v>12</v>
      </c>
      <c r="D152" s="1403">
        <v>4</v>
      </c>
      <c r="E152" s="1410" t="s">
        <v>21</v>
      </c>
      <c r="F152" s="1410" t="s">
        <v>21</v>
      </c>
      <c r="G152" s="1410" t="s">
        <v>21</v>
      </c>
      <c r="H152" s="1419">
        <f>PRODUCT(C152:G152)</f>
        <v>48</v>
      </c>
      <c r="I152" s="1403"/>
    </row>
    <row r="153" spans="1:15" ht="21" customHeight="1">
      <c r="A153" s="1403"/>
      <c r="B153" s="1409" t="s">
        <v>5295</v>
      </c>
      <c r="C153" s="1403">
        <v>6</v>
      </c>
      <c r="D153" s="1403">
        <v>1</v>
      </c>
      <c r="E153" s="1410" t="s">
        <v>21</v>
      </c>
      <c r="F153" s="1410" t="s">
        <v>21</v>
      </c>
      <c r="G153" s="1410" t="s">
        <v>21</v>
      </c>
      <c r="H153" s="1419">
        <f>PRODUCT(C153:G153)</f>
        <v>6</v>
      </c>
      <c r="I153" s="1403"/>
    </row>
    <row r="154" spans="1:15">
      <c r="A154" s="1403"/>
      <c r="B154" s="1409"/>
      <c r="C154" s="1403"/>
      <c r="D154" s="1403"/>
      <c r="E154" s="1410"/>
      <c r="F154" s="1410"/>
      <c r="G154" s="1410"/>
      <c r="H154" s="1421">
        <f>SUM(H152:H153)</f>
        <v>54</v>
      </c>
      <c r="I154" s="1394" t="s">
        <v>340</v>
      </c>
    </row>
    <row r="155" spans="1:15" ht="67.900000000000006" customHeight="1">
      <c r="A155" s="1403">
        <v>25</v>
      </c>
      <c r="B155" s="1413" t="s">
        <v>3231</v>
      </c>
      <c r="C155" s="1403"/>
      <c r="D155" s="1403"/>
      <c r="E155" s="1410"/>
      <c r="F155" s="1410"/>
      <c r="G155" s="1410"/>
      <c r="H155" s="1419"/>
      <c r="I155" s="1403"/>
    </row>
    <row r="156" spans="1:15" ht="23.45" customHeight="1">
      <c r="A156" s="1403"/>
      <c r="B156" s="1409" t="s">
        <v>3235</v>
      </c>
      <c r="C156" s="1403">
        <v>1</v>
      </c>
      <c r="D156" s="1403">
        <v>24</v>
      </c>
      <c r="E156" s="1410" t="s">
        <v>21</v>
      </c>
      <c r="F156" s="1410" t="s">
        <v>21</v>
      </c>
      <c r="G156" s="1410" t="s">
        <v>21</v>
      </c>
      <c r="H156" s="1419">
        <f>PRODUCT(C156:G156)</f>
        <v>24</v>
      </c>
      <c r="I156" s="1403"/>
    </row>
    <row r="157" spans="1:15">
      <c r="A157" s="1403"/>
      <c r="B157" s="1409"/>
      <c r="C157" s="1403"/>
      <c r="D157" s="1403"/>
      <c r="E157" s="1410"/>
      <c r="F157" s="1410"/>
      <c r="G157" s="1410"/>
      <c r="H157" s="1421">
        <f>SUM(H156:H156)</f>
        <v>24</v>
      </c>
      <c r="I157" s="1394" t="s">
        <v>303</v>
      </c>
    </row>
    <row r="158" spans="1:15" ht="52.9" customHeight="1">
      <c r="A158" s="1403">
        <v>26</v>
      </c>
      <c r="B158" s="1435" t="s">
        <v>511</v>
      </c>
      <c r="C158" s="1403"/>
      <c r="D158" s="1403"/>
      <c r="E158" s="1410"/>
      <c r="F158" s="1410"/>
      <c r="G158" s="1410"/>
      <c r="H158" s="1419"/>
      <c r="I158" s="1403"/>
    </row>
    <row r="159" spans="1:15" ht="19.899999999999999" customHeight="1">
      <c r="A159" s="1403"/>
      <c r="B159" s="1409" t="s">
        <v>3238</v>
      </c>
      <c r="C159" s="1403">
        <v>6</v>
      </c>
      <c r="D159" s="1403">
        <v>4</v>
      </c>
      <c r="E159" s="1410">
        <v>6</v>
      </c>
      <c r="F159" s="1410" t="s">
        <v>21</v>
      </c>
      <c r="G159" s="1410" t="s">
        <v>21</v>
      </c>
      <c r="H159" s="1419">
        <f>PRODUCT(C159:G159)</f>
        <v>144</v>
      </c>
      <c r="I159" s="1403"/>
    </row>
    <row r="160" spans="1:15" ht="19.899999999999999" customHeight="1">
      <c r="A160" s="1403"/>
      <c r="B160" s="1409"/>
      <c r="C160" s="1403"/>
      <c r="D160" s="1403"/>
      <c r="E160" s="1410"/>
      <c r="F160" s="1410"/>
      <c r="G160" s="1410"/>
      <c r="H160" s="1421">
        <f>SUM(H159:H159)</f>
        <v>144</v>
      </c>
      <c r="I160" s="1394" t="s">
        <v>303</v>
      </c>
    </row>
    <row r="161" spans="1:9" ht="42.75">
      <c r="A161" s="1403">
        <v>27</v>
      </c>
      <c r="B161" s="1413" t="s">
        <v>3239</v>
      </c>
      <c r="C161" s="1403"/>
      <c r="D161" s="1403"/>
      <c r="E161" s="1410"/>
      <c r="F161" s="1410"/>
      <c r="G161" s="1410"/>
      <c r="H161" s="1419"/>
      <c r="I161" s="1394"/>
    </row>
    <row r="162" spans="1:9">
      <c r="A162" s="1403"/>
      <c r="B162" s="1417" t="s">
        <v>3240</v>
      </c>
      <c r="C162" s="1403"/>
      <c r="D162" s="1403"/>
      <c r="E162" s="1410"/>
      <c r="F162" s="1410"/>
      <c r="G162" s="1410"/>
      <c r="H162" s="1419"/>
      <c r="I162" s="1403"/>
    </row>
    <row r="163" spans="1:9">
      <c r="A163" s="1403"/>
      <c r="B163" s="1409" t="s">
        <v>3238</v>
      </c>
      <c r="C163" s="1403">
        <v>6</v>
      </c>
      <c r="D163" s="1403">
        <v>1</v>
      </c>
      <c r="E163" s="1410">
        <v>8</v>
      </c>
      <c r="F163" s="1410" t="s">
        <v>21</v>
      </c>
      <c r="G163" s="1410" t="s">
        <v>21</v>
      </c>
      <c r="H163" s="1419">
        <f>PRODUCT(C163:G163)</f>
        <v>48</v>
      </c>
      <c r="I163" s="1403"/>
    </row>
    <row r="164" spans="1:9">
      <c r="A164" s="1403"/>
      <c r="B164" s="1409"/>
      <c r="C164" s="1403"/>
      <c r="D164" s="1403"/>
      <c r="E164" s="1410"/>
      <c r="F164" s="1410"/>
      <c r="G164" s="1410"/>
      <c r="H164" s="1421">
        <f>SUM(H163:H163)</f>
        <v>48</v>
      </c>
      <c r="I164" s="1394" t="s">
        <v>303</v>
      </c>
    </row>
    <row r="165" spans="1:9">
      <c r="A165" s="1403"/>
      <c r="B165" s="1417" t="s">
        <v>3241</v>
      </c>
      <c r="C165" s="1403"/>
      <c r="D165" s="1403"/>
      <c r="E165" s="1410"/>
      <c r="F165" s="1410"/>
      <c r="G165" s="1410"/>
      <c r="H165" s="1419"/>
      <c r="I165" s="1403"/>
    </row>
    <row r="166" spans="1:9">
      <c r="A166" s="1403"/>
      <c r="B166" s="1409" t="s">
        <v>3238</v>
      </c>
      <c r="C166" s="1403">
        <v>6</v>
      </c>
      <c r="D166" s="1403">
        <v>1</v>
      </c>
      <c r="E166" s="1410">
        <v>12</v>
      </c>
      <c r="F166" s="1410" t="s">
        <v>21</v>
      </c>
      <c r="G166" s="1410" t="s">
        <v>21</v>
      </c>
      <c r="H166" s="1419">
        <f>PRODUCT(C166:G166)</f>
        <v>72</v>
      </c>
      <c r="I166" s="1403"/>
    </row>
    <row r="167" spans="1:9">
      <c r="A167" s="1403"/>
      <c r="B167" s="1409"/>
      <c r="C167" s="1403"/>
      <c r="D167" s="1403"/>
      <c r="E167" s="1410"/>
      <c r="F167" s="1410"/>
      <c r="G167" s="1410"/>
      <c r="H167" s="1421">
        <f>SUM(H166:H166)</f>
        <v>72</v>
      </c>
      <c r="I167" s="1394" t="s">
        <v>303</v>
      </c>
    </row>
    <row r="168" spans="1:9" ht="85.5">
      <c r="A168" s="1403">
        <v>28</v>
      </c>
      <c r="B168" s="1459" t="s">
        <v>3460</v>
      </c>
      <c r="C168" s="1403"/>
      <c r="D168" s="1403"/>
      <c r="E168" s="1410"/>
      <c r="F168" s="1410"/>
      <c r="G168" s="1410"/>
      <c r="H168" s="1419"/>
      <c r="I168" s="1403"/>
    </row>
    <row r="169" spans="1:9">
      <c r="A169" s="1403"/>
      <c r="B169" s="1460" t="s">
        <v>3459</v>
      </c>
      <c r="C169" s="1403">
        <v>1</v>
      </c>
      <c r="D169" s="1403">
        <v>1</v>
      </c>
      <c r="E169" s="1410">
        <v>50</v>
      </c>
      <c r="F169" s="1410" t="s">
        <v>21</v>
      </c>
      <c r="G169" s="1410" t="s">
        <v>21</v>
      </c>
      <c r="H169" s="1421">
        <f>PRODUCT(C169:G169)</f>
        <v>50</v>
      </c>
      <c r="I169" s="1403" t="s">
        <v>303</v>
      </c>
    </row>
    <row r="170" spans="1:9">
      <c r="A170" s="1403"/>
      <c r="B170" s="1460"/>
      <c r="C170" s="1403"/>
      <c r="D170" s="1403"/>
      <c r="E170" s="1410"/>
      <c r="F170" s="1410"/>
      <c r="G170" s="1410"/>
      <c r="H170" s="1421"/>
      <c r="I170" s="1403"/>
    </row>
    <row r="171" spans="1:9" ht="85.5">
      <c r="A171" s="1403">
        <v>29</v>
      </c>
      <c r="B171" s="1459" t="s">
        <v>3557</v>
      </c>
      <c r="C171" s="1403"/>
      <c r="D171" s="1403"/>
      <c r="E171" s="1410"/>
      <c r="F171" s="1410"/>
      <c r="G171" s="1410"/>
      <c r="H171" s="1419"/>
      <c r="I171" s="1403"/>
    </row>
    <row r="172" spans="1:9">
      <c r="A172" s="1403"/>
      <c r="B172" s="1460" t="s">
        <v>3459</v>
      </c>
      <c r="C172" s="1403">
        <v>1</v>
      </c>
      <c r="D172" s="1403">
        <v>1</v>
      </c>
      <c r="E172" s="1410">
        <v>20</v>
      </c>
      <c r="F172" s="1410" t="s">
        <v>21</v>
      </c>
      <c r="G172" s="1410" t="s">
        <v>21</v>
      </c>
      <c r="H172" s="1421">
        <f>PRODUCT(C172:G172)</f>
        <v>20</v>
      </c>
      <c r="I172" s="1403"/>
    </row>
    <row r="173" spans="1:9">
      <c r="A173" s="1403"/>
      <c r="B173" s="1460"/>
      <c r="C173" s="1403"/>
      <c r="D173" s="1403"/>
      <c r="E173" s="1410"/>
      <c r="F173" s="1410"/>
      <c r="G173" s="1410"/>
      <c r="H173" s="1421"/>
      <c r="I173" s="1403"/>
    </row>
    <row r="174" spans="1:9" ht="42.75">
      <c r="A174" s="1403">
        <v>30</v>
      </c>
      <c r="B174" s="1461" t="s">
        <v>3266</v>
      </c>
      <c r="C174" s="1403"/>
      <c r="D174" s="1403"/>
      <c r="E174" s="1410"/>
      <c r="F174" s="1410"/>
      <c r="G174" s="1410"/>
      <c r="H174" s="1419"/>
      <c r="I174" s="1403"/>
    </row>
    <row r="175" spans="1:9">
      <c r="A175" s="1403"/>
      <c r="B175" s="1435" t="s">
        <v>3196</v>
      </c>
      <c r="C175" s="1403"/>
      <c r="D175" s="1403"/>
      <c r="E175" s="1410"/>
      <c r="F175" s="1410"/>
      <c r="G175" s="1410"/>
      <c r="H175" s="1419"/>
      <c r="I175" s="1403"/>
    </row>
    <row r="176" spans="1:9">
      <c r="A176" s="1403"/>
      <c r="B176" s="1409" t="s">
        <v>74</v>
      </c>
      <c r="C176" s="1403">
        <v>24</v>
      </c>
      <c r="D176" s="1403">
        <v>1</v>
      </c>
      <c r="E176" s="1410">
        <v>2.1</v>
      </c>
      <c r="F176" s="1410">
        <v>1.9</v>
      </c>
      <c r="G176" s="1410" t="s">
        <v>21</v>
      </c>
      <c r="H176" s="1419">
        <f t="shared" ref="H176:H183" si="5">PRODUCT(C176:G176)</f>
        <v>95.76</v>
      </c>
      <c r="I176" s="1403"/>
    </row>
    <row r="177" spans="1:9">
      <c r="A177" s="1403"/>
      <c r="B177" s="1409" t="s">
        <v>129</v>
      </c>
      <c r="C177" s="1403">
        <v>24</v>
      </c>
      <c r="D177" s="1403">
        <v>1</v>
      </c>
      <c r="E177" s="1410">
        <v>2.4</v>
      </c>
      <c r="F177" s="1410">
        <v>1.46</v>
      </c>
      <c r="G177" s="1410" t="s">
        <v>21</v>
      </c>
      <c r="H177" s="1419">
        <f t="shared" si="5"/>
        <v>84.095999999999989</v>
      </c>
      <c r="I177" s="1403"/>
    </row>
    <row r="178" spans="1:9">
      <c r="A178" s="1403"/>
      <c r="B178" s="1409" t="s">
        <v>3185</v>
      </c>
      <c r="C178" s="1403">
        <v>24</v>
      </c>
      <c r="D178" s="1403">
        <v>1</v>
      </c>
      <c r="E178" s="1410">
        <v>3.74</v>
      </c>
      <c r="F178" s="1410">
        <v>3.1</v>
      </c>
      <c r="G178" s="1410" t="s">
        <v>21</v>
      </c>
      <c r="H178" s="1419">
        <f t="shared" si="5"/>
        <v>278.25600000000003</v>
      </c>
      <c r="I178" s="1403"/>
    </row>
    <row r="179" spans="1:9">
      <c r="A179" s="1403"/>
      <c r="B179" s="1409" t="s">
        <v>3246</v>
      </c>
      <c r="C179" s="1403">
        <v>24</v>
      </c>
      <c r="D179" s="1403">
        <v>1</v>
      </c>
      <c r="E179" s="1410">
        <v>4</v>
      </c>
      <c r="F179" s="1410">
        <v>1.7</v>
      </c>
      <c r="G179" s="1410" t="s">
        <v>21</v>
      </c>
      <c r="H179" s="1419">
        <f t="shared" si="5"/>
        <v>163.19999999999999</v>
      </c>
      <c r="I179" s="1403"/>
    </row>
    <row r="180" spans="1:9">
      <c r="A180" s="1403"/>
      <c r="B180" s="1409" t="s">
        <v>1</v>
      </c>
      <c r="C180" s="1403">
        <v>24</v>
      </c>
      <c r="D180" s="1403">
        <v>1</v>
      </c>
      <c r="E180" s="1410">
        <v>1.2</v>
      </c>
      <c r="F180" s="1410">
        <v>0.9</v>
      </c>
      <c r="G180" s="1410" t="s">
        <v>21</v>
      </c>
      <c r="H180" s="1419">
        <f t="shared" si="5"/>
        <v>25.919999999999998</v>
      </c>
      <c r="I180" s="1403"/>
    </row>
    <row r="181" spans="1:9">
      <c r="A181" s="1403"/>
      <c r="B181" s="1409" t="s">
        <v>3268</v>
      </c>
      <c r="C181" s="1403">
        <v>24</v>
      </c>
      <c r="D181" s="1403">
        <v>1</v>
      </c>
      <c r="E181" s="1410">
        <v>1.2</v>
      </c>
      <c r="F181" s="1410">
        <v>1.2</v>
      </c>
      <c r="G181" s="1410" t="s">
        <v>21</v>
      </c>
      <c r="H181" s="1419">
        <f t="shared" si="5"/>
        <v>34.559999999999995</v>
      </c>
      <c r="I181" s="1403"/>
    </row>
    <row r="182" spans="1:9">
      <c r="A182" s="1403"/>
      <c r="B182" s="1409" t="s">
        <v>79</v>
      </c>
      <c r="C182" s="1403">
        <v>24</v>
      </c>
      <c r="D182" s="1403">
        <v>1</v>
      </c>
      <c r="E182" s="1410">
        <v>2.2999999999999998</v>
      </c>
      <c r="F182" s="1410">
        <v>0.95</v>
      </c>
      <c r="G182" s="1410" t="s">
        <v>21</v>
      </c>
      <c r="H182" s="1419">
        <f t="shared" si="5"/>
        <v>52.439999999999991</v>
      </c>
      <c r="I182" s="1403"/>
    </row>
    <row r="183" spans="1:9">
      <c r="A183" s="1403"/>
      <c r="B183" s="1409" t="s">
        <v>3269</v>
      </c>
      <c r="C183" s="1403">
        <v>6</v>
      </c>
      <c r="D183" s="1403">
        <v>1</v>
      </c>
      <c r="E183" s="1410">
        <v>4.4800000000000004</v>
      </c>
      <c r="F183" s="1410">
        <v>0.8</v>
      </c>
      <c r="G183" s="1410" t="s">
        <v>21</v>
      </c>
      <c r="H183" s="1419">
        <f t="shared" si="5"/>
        <v>21.504000000000005</v>
      </c>
      <c r="I183" s="1403"/>
    </row>
    <row r="184" spans="1:9">
      <c r="A184" s="1403"/>
      <c r="B184" s="1409"/>
      <c r="C184" s="1403"/>
      <c r="D184" s="1403"/>
      <c r="E184" s="1410"/>
      <c r="F184" s="1410"/>
      <c r="G184" s="1410"/>
      <c r="H184" s="1419">
        <f>SUM(H176:H183)</f>
        <v>755.73599999999988</v>
      </c>
      <c r="I184" s="1403"/>
    </row>
    <row r="185" spans="1:9">
      <c r="A185" s="1403"/>
      <c r="B185" s="1409"/>
      <c r="C185" s="1403"/>
      <c r="D185" s="1403"/>
      <c r="E185" s="1410"/>
      <c r="F185" s="1410"/>
      <c r="G185" s="1410" t="s">
        <v>9</v>
      </c>
      <c r="H185" s="1421">
        <v>756</v>
      </c>
      <c r="I185" s="1403" t="s">
        <v>306</v>
      </c>
    </row>
    <row r="186" spans="1:9" ht="57">
      <c r="A186" s="1403">
        <v>31</v>
      </c>
      <c r="B186" s="1413" t="s">
        <v>3271</v>
      </c>
      <c r="C186" s="1403"/>
      <c r="D186" s="1403"/>
      <c r="E186" s="1410"/>
      <c r="F186" s="1410"/>
      <c r="G186" s="1410"/>
      <c r="H186" s="1419"/>
      <c r="I186" s="1403"/>
    </row>
    <row r="187" spans="1:9">
      <c r="A187" s="1403"/>
      <c r="B187" s="1435" t="s">
        <v>3196</v>
      </c>
      <c r="C187" s="1403"/>
      <c r="D187" s="1403"/>
      <c r="E187" s="1410"/>
      <c r="F187" s="1410"/>
      <c r="G187" s="1410"/>
      <c r="H187" s="1419"/>
      <c r="I187" s="1403"/>
    </row>
    <row r="188" spans="1:9">
      <c r="A188" s="1403"/>
      <c r="B188" s="1435" t="s">
        <v>3244</v>
      </c>
      <c r="C188" s="1403"/>
      <c r="D188" s="1403"/>
      <c r="E188" s="1410"/>
      <c r="F188" s="1410"/>
      <c r="G188" s="1410"/>
      <c r="H188" s="1419"/>
      <c r="I188" s="1403"/>
    </row>
    <row r="189" spans="1:9">
      <c r="A189" s="1403"/>
      <c r="B189" s="1409" t="s">
        <v>3272</v>
      </c>
      <c r="C189" s="1403">
        <v>12</v>
      </c>
      <c r="D189" s="1403">
        <v>1</v>
      </c>
      <c r="E189" s="1410">
        <v>8</v>
      </c>
      <c r="F189" s="1410" t="s">
        <v>21</v>
      </c>
      <c r="G189" s="1410">
        <v>2.85</v>
      </c>
      <c r="H189" s="1419">
        <f t="shared" ref="H189:H205" si="6">PRODUCT(C189:G189)</f>
        <v>273.60000000000002</v>
      </c>
      <c r="I189" s="1403"/>
    </row>
    <row r="190" spans="1:9">
      <c r="A190" s="1403"/>
      <c r="B190" s="1409" t="s">
        <v>129</v>
      </c>
      <c r="C190" s="1403">
        <v>12</v>
      </c>
      <c r="D190" s="1403">
        <v>1</v>
      </c>
      <c r="E190" s="1410">
        <v>3.56</v>
      </c>
      <c r="F190" s="1410" t="s">
        <v>21</v>
      </c>
      <c r="G190" s="1410">
        <v>2.85</v>
      </c>
      <c r="H190" s="1419">
        <f t="shared" si="6"/>
        <v>121.752</v>
      </c>
      <c r="I190" s="1403"/>
    </row>
    <row r="191" spans="1:9">
      <c r="A191" s="1403"/>
      <c r="B191" s="1409" t="s">
        <v>3185</v>
      </c>
      <c r="C191" s="1403">
        <v>12</v>
      </c>
      <c r="D191" s="1403">
        <v>1</v>
      </c>
      <c r="E191" s="1410">
        <v>13.68</v>
      </c>
      <c r="F191" s="1410" t="s">
        <v>21</v>
      </c>
      <c r="G191" s="1410">
        <v>2.85</v>
      </c>
      <c r="H191" s="1419">
        <f t="shared" si="6"/>
        <v>467.85599999999999</v>
      </c>
      <c r="I191" s="1403"/>
    </row>
    <row r="192" spans="1:9">
      <c r="A192" s="1403"/>
      <c r="B192" s="1409" t="s">
        <v>0</v>
      </c>
      <c r="C192" s="1403">
        <v>12</v>
      </c>
      <c r="D192" s="1403">
        <v>1</v>
      </c>
      <c r="E192" s="1410">
        <v>11.4</v>
      </c>
      <c r="F192" s="1410" t="s">
        <v>21</v>
      </c>
      <c r="G192" s="1410">
        <v>2.85</v>
      </c>
      <c r="H192" s="1419">
        <f t="shared" si="6"/>
        <v>389.88000000000005</v>
      </c>
      <c r="I192" s="1403"/>
    </row>
    <row r="193" spans="1:9">
      <c r="A193" s="1403"/>
      <c r="B193" s="1409" t="s">
        <v>79</v>
      </c>
      <c r="C193" s="1403">
        <v>12</v>
      </c>
      <c r="D193" s="1403">
        <v>1</v>
      </c>
      <c r="E193" s="1410">
        <v>6.5</v>
      </c>
      <c r="F193" s="1410" t="s">
        <v>21</v>
      </c>
      <c r="G193" s="1410">
        <v>2.85</v>
      </c>
      <c r="H193" s="1419">
        <f t="shared" si="6"/>
        <v>222.3</v>
      </c>
      <c r="I193" s="1403"/>
    </row>
    <row r="194" spans="1:9">
      <c r="A194" s="1403"/>
      <c r="B194" s="1409" t="s">
        <v>3273</v>
      </c>
      <c r="C194" s="1403">
        <v>-12</v>
      </c>
      <c r="D194" s="1403">
        <v>6</v>
      </c>
      <c r="E194" s="1410">
        <v>0.9</v>
      </c>
      <c r="F194" s="1410">
        <v>2.25</v>
      </c>
      <c r="G194" s="1410" t="s">
        <v>21</v>
      </c>
      <c r="H194" s="1419">
        <f t="shared" ref="H194:H202" si="7">PRODUCT(C194:F194)</f>
        <v>-145.79999999999998</v>
      </c>
      <c r="I194" s="1403"/>
    </row>
    <row r="195" spans="1:9">
      <c r="A195" s="1403"/>
      <c r="B195" s="1409" t="s">
        <v>3274</v>
      </c>
      <c r="C195" s="1403">
        <v>-12</v>
      </c>
      <c r="D195" s="1403">
        <v>2</v>
      </c>
      <c r="E195" s="1410">
        <v>0.75</v>
      </c>
      <c r="F195" s="1410">
        <v>2</v>
      </c>
      <c r="G195" s="1410" t="s">
        <v>21</v>
      </c>
      <c r="H195" s="1419">
        <f t="shared" si="7"/>
        <v>-36</v>
      </c>
      <c r="I195" s="1403"/>
    </row>
    <row r="196" spans="1:9">
      <c r="A196" s="1403"/>
      <c r="B196" s="1409" t="s">
        <v>3275</v>
      </c>
      <c r="C196" s="1403">
        <v>-12</v>
      </c>
      <c r="D196" s="1403">
        <v>1</v>
      </c>
      <c r="E196" s="1410">
        <v>1</v>
      </c>
      <c r="F196" s="1410">
        <v>2.1</v>
      </c>
      <c r="G196" s="1410" t="s">
        <v>21</v>
      </c>
      <c r="H196" s="1419">
        <f t="shared" si="7"/>
        <v>-25.200000000000003</v>
      </c>
      <c r="I196" s="1403"/>
    </row>
    <row r="197" spans="1:9">
      <c r="A197" s="1403"/>
      <c r="B197" s="1409" t="s">
        <v>3276</v>
      </c>
      <c r="C197" s="1403">
        <v>-12</v>
      </c>
      <c r="D197" s="1403">
        <v>3</v>
      </c>
      <c r="E197" s="1410">
        <v>1.05</v>
      </c>
      <c r="F197" s="1410">
        <v>1.5</v>
      </c>
      <c r="G197" s="1410" t="s">
        <v>21</v>
      </c>
      <c r="H197" s="1419">
        <f t="shared" si="7"/>
        <v>-56.7</v>
      </c>
      <c r="I197" s="1403"/>
    </row>
    <row r="198" spans="1:9">
      <c r="A198" s="1403"/>
      <c r="B198" s="1409" t="s">
        <v>3277</v>
      </c>
      <c r="C198" s="1403">
        <v>-12</v>
      </c>
      <c r="D198" s="1403">
        <v>1</v>
      </c>
      <c r="E198" s="1410">
        <v>0.6</v>
      </c>
      <c r="F198" s="1410">
        <v>1.35</v>
      </c>
      <c r="G198" s="1403" t="s">
        <v>21</v>
      </c>
      <c r="H198" s="1419">
        <f t="shared" si="7"/>
        <v>-9.7199999999999989</v>
      </c>
      <c r="I198" s="1403"/>
    </row>
    <row r="199" spans="1:9">
      <c r="A199" s="1403"/>
      <c r="B199" s="1409" t="s">
        <v>3278</v>
      </c>
      <c r="C199" s="1403">
        <v>-12</v>
      </c>
      <c r="D199" s="1403">
        <v>1</v>
      </c>
      <c r="E199" s="1410">
        <v>0.9</v>
      </c>
      <c r="F199" s="1410">
        <v>1.35</v>
      </c>
      <c r="G199" s="1403" t="s">
        <v>21</v>
      </c>
      <c r="H199" s="1419">
        <f t="shared" si="7"/>
        <v>-14.580000000000002</v>
      </c>
      <c r="I199" s="1403"/>
    </row>
    <row r="200" spans="1:9">
      <c r="A200" s="1403"/>
      <c r="B200" s="1409" t="s">
        <v>3707</v>
      </c>
      <c r="C200" s="1403">
        <v>12</v>
      </c>
      <c r="D200" s="1403">
        <v>5</v>
      </c>
      <c r="E200" s="1410">
        <v>5.0999999999999996</v>
      </c>
      <c r="F200" s="1410" t="s">
        <v>21</v>
      </c>
      <c r="G200" s="1403">
        <v>0.33</v>
      </c>
      <c r="H200" s="1419">
        <f t="shared" si="7"/>
        <v>306</v>
      </c>
      <c r="I200" s="1403"/>
    </row>
    <row r="201" spans="1:9">
      <c r="A201" s="1403"/>
      <c r="B201" s="1409" t="s">
        <v>3705</v>
      </c>
      <c r="C201" s="1403">
        <v>12</v>
      </c>
      <c r="D201" s="1403">
        <v>1</v>
      </c>
      <c r="E201" s="1410">
        <v>4.8</v>
      </c>
      <c r="F201" s="1410" t="s">
        <v>21</v>
      </c>
      <c r="G201" s="1410">
        <v>0.9</v>
      </c>
      <c r="H201" s="1419">
        <f t="shared" si="7"/>
        <v>57.599999999999994</v>
      </c>
      <c r="I201" s="1403"/>
    </row>
    <row r="202" spans="1:9">
      <c r="A202" s="1403"/>
      <c r="B202" s="1409" t="s">
        <v>3706</v>
      </c>
      <c r="C202" s="1403">
        <v>12</v>
      </c>
      <c r="D202" s="1403">
        <v>4</v>
      </c>
      <c r="E202" s="1410">
        <v>0.9</v>
      </c>
      <c r="F202" s="1410" t="s">
        <v>21</v>
      </c>
      <c r="G202" s="1410">
        <v>0.8</v>
      </c>
      <c r="H202" s="1419">
        <f t="shared" si="7"/>
        <v>43.2</v>
      </c>
      <c r="I202" s="1403"/>
    </row>
    <row r="203" spans="1:9">
      <c r="A203" s="1403"/>
      <c r="B203" s="1409" t="s">
        <v>3279</v>
      </c>
      <c r="C203" s="1403">
        <v>6</v>
      </c>
      <c r="D203" s="1403">
        <v>1</v>
      </c>
      <c r="E203" s="1410">
        <v>3.6</v>
      </c>
      <c r="F203" s="1410" t="s">
        <v>21</v>
      </c>
      <c r="G203" s="1410">
        <v>5.55</v>
      </c>
      <c r="H203" s="1419">
        <f t="shared" si="6"/>
        <v>119.88000000000001</v>
      </c>
      <c r="I203" s="1403"/>
    </row>
    <row r="204" spans="1:9">
      <c r="A204" s="1403"/>
      <c r="B204" s="1409" t="s">
        <v>3700</v>
      </c>
      <c r="C204" s="1403">
        <v>6</v>
      </c>
      <c r="D204" s="1403">
        <v>2</v>
      </c>
      <c r="E204" s="1410">
        <v>1.1000000000000001</v>
      </c>
      <c r="F204" s="1410" t="s">
        <v>21</v>
      </c>
      <c r="G204" s="1410">
        <v>2.4</v>
      </c>
      <c r="H204" s="1419">
        <f t="shared" si="6"/>
        <v>31.68</v>
      </c>
      <c r="I204" s="1403"/>
    </row>
    <row r="205" spans="1:9">
      <c r="A205" s="1403"/>
      <c r="B205" s="1409" t="s">
        <v>3701</v>
      </c>
      <c r="C205" s="1403">
        <v>6</v>
      </c>
      <c r="D205" s="1403">
        <v>4</v>
      </c>
      <c r="E205" s="1410">
        <v>2.6</v>
      </c>
      <c r="F205" s="1410" t="s">
        <v>21</v>
      </c>
      <c r="G205" s="1410">
        <v>0.6</v>
      </c>
      <c r="H205" s="1419">
        <f t="shared" si="6"/>
        <v>37.440000000000005</v>
      </c>
      <c r="I205" s="1403"/>
    </row>
    <row r="206" spans="1:9">
      <c r="A206" s="1403"/>
      <c r="B206" s="1409" t="s">
        <v>3559</v>
      </c>
      <c r="C206" s="1403">
        <v>12</v>
      </c>
      <c r="D206" s="1403">
        <v>1</v>
      </c>
      <c r="E206" s="1410">
        <v>1.1000000000000001</v>
      </c>
      <c r="F206" s="1410" t="s">
        <v>21</v>
      </c>
      <c r="G206" s="1410">
        <v>2.85</v>
      </c>
      <c r="H206" s="1419">
        <f>PRODUCT(C206:G206)</f>
        <v>37.620000000000005</v>
      </c>
      <c r="I206" s="1403"/>
    </row>
    <row r="207" spans="1:9">
      <c r="A207" s="1403"/>
      <c r="B207" s="1409" t="s">
        <v>3559</v>
      </c>
      <c r="C207" s="1403">
        <v>12</v>
      </c>
      <c r="D207" s="1403">
        <v>1</v>
      </c>
      <c r="E207" s="1410">
        <v>0.75</v>
      </c>
      <c r="F207" s="1410" t="s">
        <v>21</v>
      </c>
      <c r="G207" s="1410">
        <v>1.4</v>
      </c>
      <c r="H207" s="1419">
        <f>PRODUCT(C207:G207)</f>
        <v>12.6</v>
      </c>
      <c r="I207" s="1403"/>
    </row>
    <row r="208" spans="1:9">
      <c r="A208" s="1403"/>
      <c r="B208" s="1409" t="s">
        <v>3702</v>
      </c>
      <c r="C208" s="1403">
        <v>12</v>
      </c>
      <c r="D208" s="1403">
        <v>1</v>
      </c>
      <c r="E208" s="1410">
        <v>4</v>
      </c>
      <c r="F208" s="1410" t="s">
        <v>21</v>
      </c>
      <c r="G208" s="1410">
        <v>0.35</v>
      </c>
      <c r="H208" s="1419">
        <f t="shared" ref="H208:H209" si="8">PRODUCT(C208:G208)</f>
        <v>16.799999999999997</v>
      </c>
      <c r="I208" s="1403"/>
    </row>
    <row r="209" spans="1:9">
      <c r="A209" s="1403"/>
      <c r="B209" s="1409" t="s">
        <v>3703</v>
      </c>
      <c r="C209" s="1403">
        <v>12</v>
      </c>
      <c r="D209" s="1403">
        <v>5</v>
      </c>
      <c r="E209" s="1410">
        <v>0.75</v>
      </c>
      <c r="F209" s="1410">
        <v>0.8</v>
      </c>
      <c r="G209" s="1410" t="s">
        <v>21</v>
      </c>
      <c r="H209" s="1419">
        <f t="shared" si="8"/>
        <v>36</v>
      </c>
      <c r="I209" s="1403"/>
    </row>
    <row r="210" spans="1:9">
      <c r="A210" s="1403"/>
      <c r="B210" s="1435" t="s">
        <v>3280</v>
      </c>
      <c r="C210" s="1403"/>
      <c r="D210" s="1403"/>
      <c r="E210" s="1410"/>
      <c r="F210" s="1410"/>
      <c r="G210" s="1410"/>
      <c r="H210" s="1419"/>
      <c r="I210" s="1403"/>
    </row>
    <row r="211" spans="1:9">
      <c r="A211" s="1403"/>
      <c r="B211" s="1409" t="s">
        <v>3272</v>
      </c>
      <c r="C211" s="1403">
        <v>12</v>
      </c>
      <c r="D211" s="1403">
        <v>1</v>
      </c>
      <c r="E211" s="1410">
        <v>8</v>
      </c>
      <c r="F211" s="1410" t="s">
        <v>21</v>
      </c>
      <c r="G211" s="1410">
        <v>2.85</v>
      </c>
      <c r="H211" s="1419">
        <f>PRODUCT(C211:G211)</f>
        <v>273.60000000000002</v>
      </c>
      <c r="I211" s="1403"/>
    </row>
    <row r="212" spans="1:9">
      <c r="A212" s="1403"/>
      <c r="B212" s="1409" t="s">
        <v>129</v>
      </c>
      <c r="C212" s="1403">
        <v>12</v>
      </c>
      <c r="D212" s="1403">
        <v>1</v>
      </c>
      <c r="E212" s="1410">
        <v>3.56</v>
      </c>
      <c r="F212" s="1410" t="s">
        <v>21</v>
      </c>
      <c r="G212" s="1410">
        <v>2.85</v>
      </c>
      <c r="H212" s="1419">
        <f>PRODUCT(C212:G212)</f>
        <v>121.752</v>
      </c>
      <c r="I212" s="1403"/>
    </row>
    <row r="213" spans="1:9">
      <c r="A213" s="1403"/>
      <c r="B213" s="1409" t="s">
        <v>3185</v>
      </c>
      <c r="C213" s="1403">
        <v>12</v>
      </c>
      <c r="D213" s="1403">
        <v>1</v>
      </c>
      <c r="E213" s="1410">
        <v>13.68</v>
      </c>
      <c r="F213" s="1410" t="s">
        <v>21</v>
      </c>
      <c r="G213" s="1410">
        <v>2.85</v>
      </c>
      <c r="H213" s="1419">
        <f>PRODUCT(C213:G213)</f>
        <v>467.85599999999999</v>
      </c>
      <c r="I213" s="1403"/>
    </row>
    <row r="214" spans="1:9">
      <c r="A214" s="1403"/>
      <c r="B214" s="1409" t="s">
        <v>0</v>
      </c>
      <c r="C214" s="1403">
        <v>12</v>
      </c>
      <c r="D214" s="1403">
        <v>1</v>
      </c>
      <c r="E214" s="1410">
        <v>11.4</v>
      </c>
      <c r="F214" s="1410" t="s">
        <v>21</v>
      </c>
      <c r="G214" s="1410">
        <v>2.85</v>
      </c>
      <c r="H214" s="1419">
        <f>PRODUCT(C214:G214)</f>
        <v>389.88000000000005</v>
      </c>
      <c r="I214" s="1403"/>
    </row>
    <row r="215" spans="1:9">
      <c r="A215" s="1403"/>
      <c r="B215" s="1409" t="s">
        <v>79</v>
      </c>
      <c r="C215" s="1403">
        <v>12</v>
      </c>
      <c r="D215" s="1403">
        <v>1</v>
      </c>
      <c r="E215" s="1410">
        <v>6.5</v>
      </c>
      <c r="F215" s="1410" t="s">
        <v>21</v>
      </c>
      <c r="G215" s="1410">
        <v>2.85</v>
      </c>
      <c r="H215" s="1419">
        <f>PRODUCT(C215:G215)</f>
        <v>222.3</v>
      </c>
      <c r="I215" s="1403"/>
    </row>
    <row r="216" spans="1:9">
      <c r="A216" s="1403"/>
      <c r="B216" s="1409" t="s">
        <v>3273</v>
      </c>
      <c r="C216" s="1403">
        <v>-12</v>
      </c>
      <c r="D216" s="1403">
        <v>6</v>
      </c>
      <c r="E216" s="1410">
        <v>0.9</v>
      </c>
      <c r="F216" s="1410">
        <v>2.25</v>
      </c>
      <c r="G216" s="1410" t="s">
        <v>21</v>
      </c>
      <c r="H216" s="1419">
        <f t="shared" ref="H216:H224" si="9">PRODUCT(C216:F216)</f>
        <v>-145.79999999999998</v>
      </c>
      <c r="I216" s="1403"/>
    </row>
    <row r="217" spans="1:9">
      <c r="A217" s="1403"/>
      <c r="B217" s="1409" t="s">
        <v>3274</v>
      </c>
      <c r="C217" s="1403">
        <v>-12</v>
      </c>
      <c r="D217" s="1403">
        <v>2</v>
      </c>
      <c r="E217" s="1410">
        <v>0.75</v>
      </c>
      <c r="F217" s="1410">
        <v>2</v>
      </c>
      <c r="G217" s="1410" t="s">
        <v>21</v>
      </c>
      <c r="H217" s="1419">
        <f t="shared" si="9"/>
        <v>-36</v>
      </c>
      <c r="I217" s="1403"/>
    </row>
    <row r="218" spans="1:9">
      <c r="A218" s="1403"/>
      <c r="B218" s="1409" t="s">
        <v>3275</v>
      </c>
      <c r="C218" s="1403">
        <v>-12</v>
      </c>
      <c r="D218" s="1403">
        <v>1</v>
      </c>
      <c r="E218" s="1410">
        <v>1</v>
      </c>
      <c r="F218" s="1410">
        <v>2.1</v>
      </c>
      <c r="G218" s="1410" t="s">
        <v>21</v>
      </c>
      <c r="H218" s="1419">
        <f t="shared" si="9"/>
        <v>-25.200000000000003</v>
      </c>
      <c r="I218" s="1403"/>
    </row>
    <row r="219" spans="1:9">
      <c r="A219" s="1403"/>
      <c r="B219" s="1409" t="s">
        <v>3276</v>
      </c>
      <c r="C219" s="1403">
        <v>-12</v>
      </c>
      <c r="D219" s="1403">
        <v>3</v>
      </c>
      <c r="E219" s="1410">
        <v>1.05</v>
      </c>
      <c r="F219" s="1410">
        <v>1.5</v>
      </c>
      <c r="G219" s="1410" t="s">
        <v>21</v>
      </c>
      <c r="H219" s="1419">
        <f t="shared" si="9"/>
        <v>-56.7</v>
      </c>
      <c r="I219" s="1403"/>
    </row>
    <row r="220" spans="1:9" ht="17.45" customHeight="1">
      <c r="A220" s="1403"/>
      <c r="B220" s="1409" t="s">
        <v>3560</v>
      </c>
      <c r="C220" s="1403">
        <v>-12</v>
      </c>
      <c r="D220" s="1403">
        <v>1</v>
      </c>
      <c r="E220" s="1410">
        <v>0.6</v>
      </c>
      <c r="F220" s="1410">
        <v>1.35</v>
      </c>
      <c r="G220" s="1410" t="s">
        <v>21</v>
      </c>
      <c r="H220" s="1419">
        <f t="shared" si="9"/>
        <v>-9.7199999999999989</v>
      </c>
      <c r="I220" s="1403"/>
    </row>
    <row r="221" spans="1:9">
      <c r="A221" s="1403"/>
      <c r="B221" s="1409" t="s">
        <v>3278</v>
      </c>
      <c r="C221" s="1403">
        <v>-12</v>
      </c>
      <c r="D221" s="1403">
        <v>1</v>
      </c>
      <c r="E221" s="1410">
        <v>0.9</v>
      </c>
      <c r="F221" s="1410">
        <v>1.35</v>
      </c>
      <c r="G221" s="1410" t="s">
        <v>21</v>
      </c>
      <c r="H221" s="1419">
        <f t="shared" si="9"/>
        <v>-14.580000000000002</v>
      </c>
      <c r="I221" s="1403"/>
    </row>
    <row r="222" spans="1:9">
      <c r="A222" s="1403"/>
      <c r="B222" s="1409" t="s">
        <v>3707</v>
      </c>
      <c r="C222" s="1403">
        <v>12</v>
      </c>
      <c r="D222" s="1403">
        <v>5</v>
      </c>
      <c r="E222" s="1410">
        <v>5.0999999999999996</v>
      </c>
      <c r="F222" s="1410" t="s">
        <v>21</v>
      </c>
      <c r="G222" s="1403">
        <v>0.33</v>
      </c>
      <c r="H222" s="1419">
        <f t="shared" si="9"/>
        <v>306</v>
      </c>
      <c r="I222" s="1403"/>
    </row>
    <row r="223" spans="1:9">
      <c r="A223" s="1403"/>
      <c r="B223" s="1409" t="s">
        <v>3705</v>
      </c>
      <c r="C223" s="1403">
        <v>12</v>
      </c>
      <c r="D223" s="1403">
        <v>1</v>
      </c>
      <c r="E223" s="1410">
        <v>4.8</v>
      </c>
      <c r="F223" s="1410" t="s">
        <v>21</v>
      </c>
      <c r="G223" s="1410">
        <v>0.9</v>
      </c>
      <c r="H223" s="1419">
        <f t="shared" si="9"/>
        <v>57.599999999999994</v>
      </c>
      <c r="I223" s="1403"/>
    </row>
    <row r="224" spans="1:9">
      <c r="A224" s="1403"/>
      <c r="B224" s="1409" t="s">
        <v>3706</v>
      </c>
      <c r="C224" s="1403">
        <v>12</v>
      </c>
      <c r="D224" s="1403">
        <v>4</v>
      </c>
      <c r="E224" s="1410">
        <v>0.9</v>
      </c>
      <c r="F224" s="1410" t="s">
        <v>21</v>
      </c>
      <c r="G224" s="1410">
        <v>0.8</v>
      </c>
      <c r="H224" s="1419">
        <f t="shared" si="9"/>
        <v>43.2</v>
      </c>
      <c r="I224" s="1403"/>
    </row>
    <row r="225" spans="1:9">
      <c r="A225" s="1403"/>
      <c r="B225" s="1409" t="s">
        <v>3279</v>
      </c>
      <c r="C225" s="1403">
        <v>6</v>
      </c>
      <c r="D225" s="1403">
        <v>1</v>
      </c>
      <c r="E225" s="1410">
        <v>3.6</v>
      </c>
      <c r="F225" s="1410" t="s">
        <v>21</v>
      </c>
      <c r="G225" s="1410">
        <v>5.55</v>
      </c>
      <c r="H225" s="1419">
        <f t="shared" ref="H225:H227" si="10">PRODUCT(C225:G225)</f>
        <v>119.88000000000001</v>
      </c>
      <c r="I225" s="1403"/>
    </row>
    <row r="226" spans="1:9">
      <c r="A226" s="1403"/>
      <c r="B226" s="1409" t="s">
        <v>3700</v>
      </c>
      <c r="C226" s="1403">
        <v>6</v>
      </c>
      <c r="D226" s="1403">
        <v>2</v>
      </c>
      <c r="E226" s="1410">
        <v>1.1000000000000001</v>
      </c>
      <c r="F226" s="1410" t="s">
        <v>21</v>
      </c>
      <c r="G226" s="1410">
        <v>2.4</v>
      </c>
      <c r="H226" s="1419">
        <f t="shared" si="10"/>
        <v>31.68</v>
      </c>
      <c r="I226" s="1403"/>
    </row>
    <row r="227" spans="1:9">
      <c r="A227" s="1403"/>
      <c r="B227" s="1409" t="s">
        <v>3701</v>
      </c>
      <c r="C227" s="1403">
        <v>6</v>
      </c>
      <c r="D227" s="1403">
        <v>4</v>
      </c>
      <c r="E227" s="1410">
        <v>2.6</v>
      </c>
      <c r="F227" s="1410" t="s">
        <v>21</v>
      </c>
      <c r="G227" s="1410">
        <v>0.6</v>
      </c>
      <c r="H227" s="1419">
        <f t="shared" si="10"/>
        <v>37.440000000000005</v>
      </c>
      <c r="I227" s="1403"/>
    </row>
    <row r="228" spans="1:9">
      <c r="A228" s="1403"/>
      <c r="B228" s="1409" t="s">
        <v>3559</v>
      </c>
      <c r="C228" s="1403">
        <v>12</v>
      </c>
      <c r="D228" s="1403">
        <v>1</v>
      </c>
      <c r="E228" s="1410">
        <v>1.1000000000000001</v>
      </c>
      <c r="F228" s="1410" t="s">
        <v>21</v>
      </c>
      <c r="G228" s="1410">
        <v>2.75</v>
      </c>
      <c r="H228" s="1419">
        <f>PRODUCT(C228:G228)</f>
        <v>36.300000000000004</v>
      </c>
      <c r="I228" s="1403"/>
    </row>
    <row r="229" spans="1:9">
      <c r="A229" s="1403"/>
      <c r="B229" s="1409" t="s">
        <v>3559</v>
      </c>
      <c r="C229" s="1403">
        <v>12</v>
      </c>
      <c r="D229" s="1403">
        <v>1</v>
      </c>
      <c r="E229" s="1410">
        <v>0.75</v>
      </c>
      <c r="F229" s="1410" t="s">
        <v>21</v>
      </c>
      <c r="G229" s="1410">
        <v>1.4</v>
      </c>
      <c r="H229" s="1419">
        <f>PRODUCT(C229:G229)</f>
        <v>12.6</v>
      </c>
      <c r="I229" s="1403"/>
    </row>
    <row r="230" spans="1:9">
      <c r="A230" s="1403"/>
      <c r="B230" s="1409" t="s">
        <v>3702</v>
      </c>
      <c r="C230" s="1403">
        <v>12</v>
      </c>
      <c r="D230" s="1403">
        <v>1</v>
      </c>
      <c r="E230" s="1410">
        <v>4</v>
      </c>
      <c r="F230" s="1410" t="s">
        <v>21</v>
      </c>
      <c r="G230" s="1410">
        <v>0.35</v>
      </c>
      <c r="H230" s="1419">
        <f t="shared" ref="H230:H231" si="11">PRODUCT(C230:G230)</f>
        <v>16.799999999999997</v>
      </c>
      <c r="I230" s="1403"/>
    </row>
    <row r="231" spans="1:9">
      <c r="A231" s="1403"/>
      <c r="B231" s="1409" t="s">
        <v>3703</v>
      </c>
      <c r="C231" s="1403">
        <v>12</v>
      </c>
      <c r="D231" s="1403">
        <v>5</v>
      </c>
      <c r="E231" s="1410">
        <v>0.75</v>
      </c>
      <c r="F231" s="1410">
        <v>0.8</v>
      </c>
      <c r="G231" s="1410" t="s">
        <v>21</v>
      </c>
      <c r="H231" s="1419">
        <f t="shared" si="11"/>
        <v>36</v>
      </c>
      <c r="I231" s="1403"/>
    </row>
    <row r="232" spans="1:9">
      <c r="A232" s="1403"/>
      <c r="B232" s="1409"/>
      <c r="C232" s="1403"/>
      <c r="D232" s="1403"/>
      <c r="E232" s="1410"/>
      <c r="F232" s="1410"/>
      <c r="G232" s="1410"/>
      <c r="H232" s="1419">
        <f>SUM(H189:H231)</f>
        <v>3771.0960000000009</v>
      </c>
      <c r="I232" s="1403"/>
    </row>
    <row r="233" spans="1:9">
      <c r="A233" s="1403"/>
      <c r="B233" s="1409"/>
      <c r="C233" s="1403"/>
      <c r="D233" s="1403"/>
      <c r="E233" s="1410"/>
      <c r="F233" s="1410"/>
      <c r="G233" s="1410" t="s">
        <v>9</v>
      </c>
      <c r="H233" s="1421">
        <v>3777.1</v>
      </c>
      <c r="I233" s="1403" t="s">
        <v>306</v>
      </c>
    </row>
    <row r="234" spans="1:9" ht="42.75">
      <c r="A234" s="1403">
        <v>32</v>
      </c>
      <c r="B234" s="1461" t="s">
        <v>3284</v>
      </c>
      <c r="C234" s="1403"/>
      <c r="D234" s="1403"/>
      <c r="E234" s="1410"/>
      <c r="F234" s="1410"/>
      <c r="G234" s="1410"/>
      <c r="H234" s="1419"/>
      <c r="I234" s="1403"/>
    </row>
    <row r="235" spans="1:9">
      <c r="A235" s="1403"/>
      <c r="B235" s="1435" t="s">
        <v>3196</v>
      </c>
      <c r="C235" s="1403"/>
      <c r="D235" s="1403"/>
      <c r="E235" s="1410"/>
      <c r="F235" s="1410"/>
      <c r="G235" s="1410"/>
      <c r="H235" s="1419"/>
      <c r="I235" s="1403"/>
    </row>
    <row r="236" spans="1:9">
      <c r="A236" s="1403"/>
      <c r="B236" s="1409" t="s">
        <v>3285</v>
      </c>
      <c r="C236" s="1403">
        <v>6</v>
      </c>
      <c r="D236" s="1403">
        <v>1</v>
      </c>
      <c r="E236" s="1410">
        <v>14.88</v>
      </c>
      <c r="F236" s="1410" t="s">
        <v>21</v>
      </c>
      <c r="G236" s="1410">
        <v>7</v>
      </c>
      <c r="H236" s="1419">
        <f t="shared" ref="H236:H266" si="12">PRODUCT(C236:G236)</f>
        <v>624.96</v>
      </c>
      <c r="I236" s="1403"/>
    </row>
    <row r="237" spans="1:9">
      <c r="A237" s="1403"/>
      <c r="B237" s="1409" t="s">
        <v>3286</v>
      </c>
      <c r="C237" s="1403">
        <v>6</v>
      </c>
      <c r="D237" s="1403">
        <v>2</v>
      </c>
      <c r="E237" s="1410">
        <v>4.5</v>
      </c>
      <c r="F237" s="1410" t="s">
        <v>21</v>
      </c>
      <c r="G237" s="1410">
        <v>7</v>
      </c>
      <c r="H237" s="1419">
        <f t="shared" si="12"/>
        <v>378</v>
      </c>
      <c r="I237" s="1403"/>
    </row>
    <row r="238" spans="1:9">
      <c r="A238" s="1403"/>
      <c r="B238" s="1409" t="s">
        <v>3287</v>
      </c>
      <c r="C238" s="1403">
        <v>6</v>
      </c>
      <c r="D238" s="1403">
        <v>2</v>
      </c>
      <c r="E238" s="1410">
        <v>2.7</v>
      </c>
      <c r="F238" s="1410" t="s">
        <v>21</v>
      </c>
      <c r="G238" s="1410">
        <v>7</v>
      </c>
      <c r="H238" s="1419">
        <f t="shared" si="12"/>
        <v>226.80000000000004</v>
      </c>
      <c r="I238" s="1403"/>
    </row>
    <row r="239" spans="1:9">
      <c r="A239" s="1403"/>
      <c r="B239" s="1409" t="s">
        <v>3288</v>
      </c>
      <c r="C239" s="1403">
        <v>6</v>
      </c>
      <c r="D239" s="1403">
        <v>2</v>
      </c>
      <c r="E239" s="1410">
        <v>0.8</v>
      </c>
      <c r="F239" s="1410" t="s">
        <v>21</v>
      </c>
      <c r="G239" s="1410">
        <v>7</v>
      </c>
      <c r="H239" s="1419">
        <f t="shared" si="12"/>
        <v>67.200000000000017</v>
      </c>
      <c r="I239" s="1403"/>
    </row>
    <row r="240" spans="1:9">
      <c r="A240" s="1403"/>
      <c r="B240" s="1409" t="s">
        <v>3289</v>
      </c>
      <c r="C240" s="1403">
        <v>6</v>
      </c>
      <c r="D240" s="1403">
        <v>2</v>
      </c>
      <c r="E240" s="1410">
        <v>4.3600000000000003</v>
      </c>
      <c r="F240" s="1410" t="s">
        <v>21</v>
      </c>
      <c r="G240" s="1410">
        <v>7</v>
      </c>
      <c r="H240" s="1419">
        <f t="shared" si="12"/>
        <v>366.24000000000007</v>
      </c>
      <c r="I240" s="1403"/>
    </row>
    <row r="241" spans="1:9">
      <c r="A241" s="1403"/>
      <c r="B241" s="1409" t="s">
        <v>3290</v>
      </c>
      <c r="C241" s="1403">
        <v>6</v>
      </c>
      <c r="D241" s="1403">
        <v>2</v>
      </c>
      <c r="E241" s="1410">
        <v>8.3800000000000008</v>
      </c>
      <c r="F241" s="1410" t="s">
        <v>21</v>
      </c>
      <c r="G241" s="1410">
        <v>7</v>
      </c>
      <c r="H241" s="1419">
        <f t="shared" si="12"/>
        <v>703.92000000000007</v>
      </c>
      <c r="I241" s="1403"/>
    </row>
    <row r="242" spans="1:9">
      <c r="A242" s="1403"/>
      <c r="B242" s="1409" t="s">
        <v>3291</v>
      </c>
      <c r="C242" s="1403">
        <v>6</v>
      </c>
      <c r="D242" s="1403">
        <v>2</v>
      </c>
      <c r="E242" s="1410">
        <v>0.38</v>
      </c>
      <c r="F242" s="1410" t="s">
        <v>21</v>
      </c>
      <c r="G242" s="1410">
        <v>7</v>
      </c>
      <c r="H242" s="1419">
        <f t="shared" si="12"/>
        <v>31.92</v>
      </c>
      <c r="I242" s="1403"/>
    </row>
    <row r="243" spans="1:9">
      <c r="A243" s="1403"/>
      <c r="B243" s="1409" t="s">
        <v>3292</v>
      </c>
      <c r="C243" s="1403">
        <v>6</v>
      </c>
      <c r="D243" s="1403">
        <v>2</v>
      </c>
      <c r="E243" s="1410">
        <v>0.55000000000000004</v>
      </c>
      <c r="F243" s="1410" t="s">
        <v>21</v>
      </c>
      <c r="G243" s="1410">
        <v>2.8</v>
      </c>
      <c r="H243" s="1419">
        <f t="shared" si="12"/>
        <v>18.48</v>
      </c>
      <c r="I243" s="1403"/>
    </row>
    <row r="244" spans="1:9">
      <c r="A244" s="1403"/>
      <c r="B244" s="1409" t="s">
        <v>3293</v>
      </c>
      <c r="C244" s="1403">
        <v>6</v>
      </c>
      <c r="D244" s="1403">
        <v>1</v>
      </c>
      <c r="E244" s="1410">
        <v>13.52</v>
      </c>
      <c r="F244" s="1410" t="s">
        <v>21</v>
      </c>
      <c r="G244" s="1410">
        <v>0.6</v>
      </c>
      <c r="H244" s="1419">
        <f t="shared" si="12"/>
        <v>48.672000000000004</v>
      </c>
      <c r="I244" s="1403"/>
    </row>
    <row r="245" spans="1:9">
      <c r="A245" s="1403"/>
      <c r="B245" s="1409" t="s">
        <v>3294</v>
      </c>
      <c r="C245" s="1403">
        <v>6</v>
      </c>
      <c r="D245" s="1403">
        <v>6</v>
      </c>
      <c r="E245" s="1410">
        <v>5.5</v>
      </c>
      <c r="F245" s="1410" t="s">
        <v>21</v>
      </c>
      <c r="G245" s="1410">
        <v>0.6</v>
      </c>
      <c r="H245" s="1419">
        <f t="shared" si="12"/>
        <v>118.8</v>
      </c>
      <c r="I245" s="1403"/>
    </row>
    <row r="246" spans="1:9">
      <c r="A246" s="1403"/>
      <c r="B246" s="1409" t="s">
        <v>3295</v>
      </c>
      <c r="C246" s="1403">
        <v>-6</v>
      </c>
      <c r="D246" s="1403">
        <v>6</v>
      </c>
      <c r="E246" s="1410">
        <v>1.05</v>
      </c>
      <c r="F246" s="1410">
        <v>1.5</v>
      </c>
      <c r="G246" s="1410" t="s">
        <v>21</v>
      </c>
      <c r="H246" s="1419">
        <f t="shared" si="12"/>
        <v>-56.7</v>
      </c>
      <c r="I246" s="1403"/>
    </row>
    <row r="247" spans="1:9">
      <c r="A247" s="1403"/>
      <c r="B247" s="1409" t="s">
        <v>3283</v>
      </c>
      <c r="C247" s="1403">
        <v>-6</v>
      </c>
      <c r="D247" s="1403">
        <v>3</v>
      </c>
      <c r="E247" s="1410">
        <v>0.9</v>
      </c>
      <c r="F247" s="1410">
        <v>2.25</v>
      </c>
      <c r="G247" s="1410" t="s">
        <v>21</v>
      </c>
      <c r="H247" s="1419">
        <f t="shared" si="12"/>
        <v>-36.449999999999996</v>
      </c>
      <c r="I247" s="1403"/>
    </row>
    <row r="248" spans="1:9">
      <c r="A248" s="1403"/>
      <c r="B248" s="1409" t="s">
        <v>3296</v>
      </c>
      <c r="C248" s="1403">
        <v>-6</v>
      </c>
      <c r="D248" s="1403">
        <v>2</v>
      </c>
      <c r="E248" s="1410">
        <v>0.9</v>
      </c>
      <c r="F248" s="1410">
        <v>1.35</v>
      </c>
      <c r="G248" s="1410" t="s">
        <v>21</v>
      </c>
      <c r="H248" s="1419">
        <f t="shared" si="12"/>
        <v>-14.580000000000002</v>
      </c>
      <c r="I248" s="1403"/>
    </row>
    <row r="249" spans="1:9">
      <c r="A249" s="1403"/>
      <c r="B249" s="1409" t="s">
        <v>3297</v>
      </c>
      <c r="C249" s="1403">
        <v>-6</v>
      </c>
      <c r="D249" s="1403">
        <v>2</v>
      </c>
      <c r="E249" s="1410">
        <v>0.6</v>
      </c>
      <c r="F249" s="1410">
        <v>0.9</v>
      </c>
      <c r="G249" s="1410" t="s">
        <v>21</v>
      </c>
      <c r="H249" s="1419">
        <f t="shared" si="12"/>
        <v>-6.4799999999999995</v>
      </c>
      <c r="I249" s="1403"/>
    </row>
    <row r="250" spans="1:9" ht="31.15" customHeight="1">
      <c r="A250" s="1403"/>
      <c r="B250" s="1409" t="s">
        <v>3298</v>
      </c>
      <c r="C250" s="1403">
        <v>-6</v>
      </c>
      <c r="D250" s="1403">
        <v>2</v>
      </c>
      <c r="E250" s="1410">
        <v>6</v>
      </c>
      <c r="F250" s="1410">
        <v>1.35</v>
      </c>
      <c r="G250" s="1410"/>
      <c r="H250" s="1419">
        <f t="shared" si="12"/>
        <v>-97.2</v>
      </c>
      <c r="I250" s="1403"/>
    </row>
    <row r="251" spans="1:9" ht="20.45" customHeight="1">
      <c r="A251" s="1403"/>
      <c r="B251" s="1409" t="s">
        <v>5388</v>
      </c>
      <c r="C251" s="1403">
        <v>1</v>
      </c>
      <c r="D251" s="1403">
        <v>1</v>
      </c>
      <c r="E251" s="1410">
        <v>60</v>
      </c>
      <c r="F251" s="1410">
        <v>1.6</v>
      </c>
      <c r="G251" s="1410" t="s">
        <v>21</v>
      </c>
      <c r="H251" s="1419">
        <f t="shared" si="12"/>
        <v>96</v>
      </c>
      <c r="I251" s="1403"/>
    </row>
    <row r="252" spans="1:9" ht="30">
      <c r="A252" s="1403"/>
      <c r="B252" s="1409" t="s">
        <v>3561</v>
      </c>
      <c r="C252" s="1403">
        <v>6</v>
      </c>
      <c r="D252" s="1403">
        <v>1</v>
      </c>
      <c r="E252" s="1410">
        <v>6.64</v>
      </c>
      <c r="F252" s="1410" t="s">
        <v>21</v>
      </c>
      <c r="G252" s="1410">
        <v>1.25</v>
      </c>
      <c r="H252" s="1419">
        <f t="shared" si="12"/>
        <v>49.8</v>
      </c>
      <c r="I252" s="1403"/>
    </row>
    <row r="253" spans="1:9">
      <c r="A253" s="1403"/>
      <c r="B253" s="1409" t="s">
        <v>3708</v>
      </c>
      <c r="C253" s="1403">
        <v>6</v>
      </c>
      <c r="D253" s="1403">
        <v>2</v>
      </c>
      <c r="E253" s="1410">
        <v>3</v>
      </c>
      <c r="F253" s="1410" t="s">
        <v>21</v>
      </c>
      <c r="G253" s="1410">
        <v>0.6</v>
      </c>
      <c r="H253" s="1419">
        <f t="shared" si="12"/>
        <v>21.599999999999998</v>
      </c>
      <c r="I253" s="1403"/>
    </row>
    <row r="254" spans="1:9">
      <c r="A254" s="1403"/>
      <c r="B254" s="1409" t="s">
        <v>3709</v>
      </c>
      <c r="C254" s="1403">
        <v>6</v>
      </c>
      <c r="D254" s="1403">
        <v>1</v>
      </c>
      <c r="E254" s="1410">
        <v>18.2</v>
      </c>
      <c r="F254" s="1410" t="s">
        <v>21</v>
      </c>
      <c r="G254" s="1410">
        <v>0.9</v>
      </c>
      <c r="H254" s="1419">
        <f t="shared" si="12"/>
        <v>98.279999999999987</v>
      </c>
      <c r="I254" s="1403"/>
    </row>
    <row r="255" spans="1:9" ht="17.45" customHeight="1">
      <c r="A255" s="1403"/>
      <c r="B255" s="1409" t="s">
        <v>3710</v>
      </c>
      <c r="C255" s="1403">
        <v>6</v>
      </c>
      <c r="D255" s="1403">
        <v>1</v>
      </c>
      <c r="E255" s="1410">
        <v>6.6</v>
      </c>
      <c r="F255" s="1410" t="s">
        <v>21</v>
      </c>
      <c r="G255" s="1410">
        <v>0.33</v>
      </c>
      <c r="H255" s="1419">
        <f t="shared" si="12"/>
        <v>13.068</v>
      </c>
      <c r="I255" s="1403"/>
    </row>
    <row r="256" spans="1:9">
      <c r="A256" s="1403"/>
      <c r="B256" s="1409" t="s">
        <v>3712</v>
      </c>
      <c r="C256" s="1403">
        <v>6</v>
      </c>
      <c r="D256" s="1403">
        <v>8</v>
      </c>
      <c r="E256" s="1410">
        <v>5.8</v>
      </c>
      <c r="F256" s="1410" t="s">
        <v>21</v>
      </c>
      <c r="G256" s="1410">
        <v>0.9</v>
      </c>
      <c r="H256" s="1419">
        <f t="shared" si="12"/>
        <v>250.55999999999997</v>
      </c>
      <c r="I256" s="1403"/>
    </row>
    <row r="257" spans="1:9">
      <c r="A257" s="1403"/>
      <c r="B257" s="1409" t="s">
        <v>3713</v>
      </c>
      <c r="C257" s="1403">
        <v>6</v>
      </c>
      <c r="D257" s="1403">
        <v>8</v>
      </c>
      <c r="E257" s="1410">
        <v>5.4</v>
      </c>
      <c r="F257" s="1410" t="s">
        <v>21</v>
      </c>
      <c r="G257" s="1410">
        <v>0.33</v>
      </c>
      <c r="H257" s="1419">
        <f t="shared" si="12"/>
        <v>85.536000000000016</v>
      </c>
      <c r="I257" s="1403"/>
    </row>
    <row r="258" spans="1:9">
      <c r="A258" s="1403"/>
      <c r="B258" s="1409" t="s">
        <v>3704</v>
      </c>
      <c r="C258" s="1403">
        <v>6</v>
      </c>
      <c r="D258" s="1403">
        <v>3</v>
      </c>
      <c r="E258" s="1410">
        <v>5.0999999999999996</v>
      </c>
      <c r="F258" s="1410" t="s">
        <v>21</v>
      </c>
      <c r="G258" s="1410">
        <v>0.33</v>
      </c>
      <c r="H258" s="1419">
        <f t="shared" si="12"/>
        <v>30.294</v>
      </c>
      <c r="I258" s="1403"/>
    </row>
    <row r="259" spans="1:9">
      <c r="A259" s="1403"/>
      <c r="B259" s="1409" t="s">
        <v>3711</v>
      </c>
      <c r="C259" s="1403">
        <v>6</v>
      </c>
      <c r="D259" s="1403">
        <v>2</v>
      </c>
      <c r="E259" s="1410">
        <v>4.4000000000000004</v>
      </c>
      <c r="F259" s="1410" t="s">
        <v>21</v>
      </c>
      <c r="G259" s="1410">
        <v>0.33</v>
      </c>
      <c r="H259" s="1419">
        <f t="shared" si="12"/>
        <v>17.424000000000003</v>
      </c>
      <c r="I259" s="1403"/>
    </row>
    <row r="260" spans="1:9" ht="16.149999999999999" customHeight="1">
      <c r="A260" s="1403"/>
      <c r="B260" s="1409" t="s">
        <v>3714</v>
      </c>
      <c r="C260" s="1403">
        <v>6</v>
      </c>
      <c r="D260" s="1403">
        <v>8</v>
      </c>
      <c r="E260" s="1410">
        <v>2.1</v>
      </c>
      <c r="F260" s="1410" t="s">
        <v>21</v>
      </c>
      <c r="G260" s="1410">
        <v>0.15</v>
      </c>
      <c r="H260" s="1419">
        <f t="shared" si="12"/>
        <v>15.120000000000001</v>
      </c>
      <c r="I260" s="1403"/>
    </row>
    <row r="261" spans="1:9" ht="21.6" customHeight="1">
      <c r="A261" s="1403"/>
      <c r="B261" s="1409" t="s">
        <v>3717</v>
      </c>
      <c r="C261" s="1403">
        <v>6</v>
      </c>
      <c r="D261" s="1403">
        <v>4</v>
      </c>
      <c r="E261" s="1410">
        <v>5.4</v>
      </c>
      <c r="F261" s="1410" t="s">
        <v>21</v>
      </c>
      <c r="G261" s="1410">
        <v>0.33</v>
      </c>
      <c r="H261" s="1419">
        <f t="shared" si="12"/>
        <v>42.768000000000008</v>
      </c>
      <c r="I261" s="1403"/>
    </row>
    <row r="262" spans="1:9">
      <c r="A262" s="1403"/>
      <c r="B262" s="1409" t="s">
        <v>3716</v>
      </c>
      <c r="C262" s="1403">
        <v>6</v>
      </c>
      <c r="D262" s="1403">
        <v>4</v>
      </c>
      <c r="E262" s="1410">
        <v>4.5</v>
      </c>
      <c r="F262" s="1410" t="s">
        <v>21</v>
      </c>
      <c r="G262" s="1410">
        <v>0.33</v>
      </c>
      <c r="H262" s="1419">
        <f t="shared" si="12"/>
        <v>35.64</v>
      </c>
      <c r="I262" s="1403"/>
    </row>
    <row r="263" spans="1:9">
      <c r="A263" s="1403"/>
      <c r="B263" s="1409" t="s">
        <v>3715</v>
      </c>
      <c r="C263" s="1403">
        <v>6</v>
      </c>
      <c r="D263" s="1403">
        <v>4</v>
      </c>
      <c r="E263" s="1410">
        <v>1</v>
      </c>
      <c r="F263" s="1410" t="s">
        <v>21</v>
      </c>
      <c r="G263" s="1410">
        <v>0.9</v>
      </c>
      <c r="H263" s="1419">
        <f t="shared" si="12"/>
        <v>21.6</v>
      </c>
      <c r="I263" s="1403"/>
    </row>
    <row r="264" spans="1:9">
      <c r="A264" s="1403"/>
      <c r="B264" s="1409" t="s">
        <v>3718</v>
      </c>
      <c r="C264" s="1403">
        <v>6</v>
      </c>
      <c r="D264" s="1403">
        <v>4</v>
      </c>
      <c r="E264" s="1410">
        <v>6</v>
      </c>
      <c r="F264" s="1410" t="s">
        <v>21</v>
      </c>
      <c r="G264" s="1410">
        <v>0.34</v>
      </c>
      <c r="H264" s="1419">
        <f>PRODUCT(C264:G264)</f>
        <v>48.96</v>
      </c>
      <c r="I264" s="1403"/>
    </row>
    <row r="265" spans="1:9">
      <c r="A265" s="1403"/>
      <c r="B265" s="1409" t="s">
        <v>3719</v>
      </c>
      <c r="C265" s="1403">
        <v>6</v>
      </c>
      <c r="D265" s="1403">
        <v>2</v>
      </c>
      <c r="E265" s="1410">
        <v>50</v>
      </c>
      <c r="F265" s="1410" t="s">
        <v>21</v>
      </c>
      <c r="G265" s="1410">
        <v>0.1</v>
      </c>
      <c r="H265" s="1419">
        <f t="shared" si="12"/>
        <v>60</v>
      </c>
      <c r="I265" s="1403"/>
    </row>
    <row r="266" spans="1:9">
      <c r="A266" s="1403"/>
      <c r="B266" s="1409" t="s">
        <v>3177</v>
      </c>
      <c r="C266" s="1403">
        <v>6</v>
      </c>
      <c r="D266" s="1403">
        <v>1</v>
      </c>
      <c r="E266" s="1410">
        <v>36</v>
      </c>
      <c r="F266" s="1410" t="s">
        <v>21</v>
      </c>
      <c r="G266" s="1410">
        <v>0.75</v>
      </c>
      <c r="H266" s="1419">
        <f t="shared" si="12"/>
        <v>162</v>
      </c>
      <c r="I266" s="1403"/>
    </row>
    <row r="267" spans="1:9">
      <c r="A267" s="1403"/>
      <c r="B267" s="1409"/>
      <c r="C267" s="1403"/>
      <c r="D267" s="1403"/>
      <c r="E267" s="1410"/>
      <c r="F267" s="1410"/>
      <c r="G267" s="1410"/>
      <c r="H267" s="1419">
        <f>SUM(H236:H266)</f>
        <v>3422.2320000000009</v>
      </c>
      <c r="I267" s="1403"/>
    </row>
    <row r="268" spans="1:9">
      <c r="A268" s="1403"/>
      <c r="B268" s="1409"/>
      <c r="C268" s="1403"/>
      <c r="D268" s="1403"/>
      <c r="E268" s="1410"/>
      <c r="F268" s="1410"/>
      <c r="G268" s="1410" t="s">
        <v>9</v>
      </c>
      <c r="H268" s="1421">
        <v>3422.3</v>
      </c>
      <c r="I268" s="1403" t="s">
        <v>306</v>
      </c>
    </row>
    <row r="269" spans="1:9" ht="42.75">
      <c r="A269" s="1403">
        <v>33</v>
      </c>
      <c r="B269" s="1413" t="s">
        <v>3311</v>
      </c>
      <c r="C269" s="1403"/>
      <c r="D269" s="1403"/>
      <c r="E269" s="1410"/>
      <c r="F269" s="1410"/>
      <c r="G269" s="1410"/>
      <c r="H269" s="1419"/>
      <c r="I269" s="1403"/>
    </row>
    <row r="270" spans="1:9">
      <c r="A270" s="1403"/>
      <c r="B270" s="1413" t="s">
        <v>3196</v>
      </c>
      <c r="C270" s="1403"/>
      <c r="D270" s="1403"/>
      <c r="E270" s="1410"/>
      <c r="F270" s="1410"/>
      <c r="G270" s="1410"/>
      <c r="H270" s="1419"/>
      <c r="I270" s="1403"/>
    </row>
    <row r="271" spans="1:9">
      <c r="A271" s="1403"/>
      <c r="B271" s="1409" t="s">
        <v>3312</v>
      </c>
      <c r="C271" s="1403">
        <v>24</v>
      </c>
      <c r="D271" s="1403">
        <v>5</v>
      </c>
      <c r="E271" s="1410">
        <v>0.9</v>
      </c>
      <c r="F271" s="1410">
        <v>2.6</v>
      </c>
      <c r="G271" s="1410">
        <v>2.25</v>
      </c>
      <c r="H271" s="1419">
        <f t="shared" ref="H271:H278" si="13">PRODUCT(C271:G271)</f>
        <v>631.80000000000007</v>
      </c>
      <c r="I271" s="1403"/>
    </row>
    <row r="272" spans="1:9" ht="19.149999999999999" customHeight="1">
      <c r="A272" s="1403"/>
      <c r="B272" s="1409" t="s">
        <v>3562</v>
      </c>
      <c r="C272" s="1403">
        <v>6</v>
      </c>
      <c r="D272" s="1403">
        <v>1</v>
      </c>
      <c r="E272" s="1410">
        <v>0.9</v>
      </c>
      <c r="F272" s="1410">
        <v>2.6</v>
      </c>
      <c r="G272" s="1410">
        <v>2.25</v>
      </c>
      <c r="H272" s="1419">
        <f t="shared" si="13"/>
        <v>31.590000000000003</v>
      </c>
      <c r="I272" s="1403"/>
    </row>
    <row r="273" spans="1:9">
      <c r="A273" s="1403"/>
      <c r="B273" s="1409" t="s">
        <v>3313</v>
      </c>
      <c r="C273" s="1403">
        <v>24</v>
      </c>
      <c r="D273" s="1403">
        <v>2</v>
      </c>
      <c r="E273" s="1410">
        <v>0.75</v>
      </c>
      <c r="F273" s="1410">
        <v>2.6</v>
      </c>
      <c r="G273" s="1410">
        <v>2</v>
      </c>
      <c r="H273" s="1419">
        <f t="shared" si="13"/>
        <v>187.20000000000002</v>
      </c>
      <c r="I273" s="1403"/>
    </row>
    <row r="274" spans="1:9">
      <c r="A274" s="1403"/>
      <c r="B274" s="1409" t="s">
        <v>29</v>
      </c>
      <c r="C274" s="1403">
        <v>24</v>
      </c>
      <c r="D274" s="1403">
        <v>3</v>
      </c>
      <c r="E274" s="1410">
        <v>1.05</v>
      </c>
      <c r="F274" s="1410">
        <v>0.8</v>
      </c>
      <c r="G274" s="1410">
        <v>1.5</v>
      </c>
      <c r="H274" s="1419">
        <f t="shared" si="13"/>
        <v>90.720000000000013</v>
      </c>
      <c r="I274" s="1403"/>
    </row>
    <row r="275" spans="1:9">
      <c r="A275" s="1403"/>
      <c r="B275" s="1409" t="s">
        <v>3315</v>
      </c>
      <c r="C275" s="1403">
        <v>24</v>
      </c>
      <c r="D275" s="1403">
        <v>1</v>
      </c>
      <c r="E275" s="1410">
        <v>0.9</v>
      </c>
      <c r="F275" s="1410">
        <v>0.8</v>
      </c>
      <c r="G275" s="1410">
        <v>1.35</v>
      </c>
      <c r="H275" s="1419">
        <f t="shared" si="13"/>
        <v>23.328000000000003</v>
      </c>
      <c r="I275" s="1403"/>
    </row>
    <row r="276" spans="1:9">
      <c r="A276" s="1403"/>
      <c r="B276" s="1409" t="s">
        <v>3314</v>
      </c>
      <c r="C276" s="1403">
        <v>24</v>
      </c>
      <c r="D276" s="1403">
        <v>1</v>
      </c>
      <c r="E276" s="1410">
        <v>0.6</v>
      </c>
      <c r="F276" s="1410">
        <v>0.8</v>
      </c>
      <c r="G276" s="1410">
        <v>1.35</v>
      </c>
      <c r="H276" s="1419">
        <f t="shared" si="13"/>
        <v>15.552</v>
      </c>
      <c r="I276" s="1403"/>
    </row>
    <row r="277" spans="1:9">
      <c r="A277" s="1403"/>
      <c r="B277" s="1409" t="s">
        <v>3316</v>
      </c>
      <c r="C277" s="1403">
        <v>6</v>
      </c>
      <c r="D277" s="1403">
        <v>1</v>
      </c>
      <c r="E277" s="1410">
        <v>1.8</v>
      </c>
      <c r="F277" s="1410">
        <v>0.8</v>
      </c>
      <c r="G277" s="1410">
        <v>1.5</v>
      </c>
      <c r="H277" s="1419">
        <f t="shared" si="13"/>
        <v>12.96</v>
      </c>
      <c r="I277" s="1403"/>
    </row>
    <row r="278" spans="1:9">
      <c r="A278" s="1403"/>
      <c r="B278" s="1409" t="s">
        <v>3317</v>
      </c>
      <c r="C278" s="1403">
        <v>24</v>
      </c>
      <c r="D278" s="1403">
        <v>2</v>
      </c>
      <c r="E278" s="1410">
        <v>0.6</v>
      </c>
      <c r="F278" s="1410">
        <v>0.8</v>
      </c>
      <c r="G278" s="1410">
        <v>0.9</v>
      </c>
      <c r="H278" s="1419">
        <f t="shared" si="13"/>
        <v>20.736000000000001</v>
      </c>
      <c r="I278" s="1403"/>
    </row>
    <row r="279" spans="1:9">
      <c r="A279" s="1403"/>
      <c r="B279" s="1409"/>
      <c r="C279" s="1403"/>
      <c r="D279" s="1403"/>
      <c r="E279" s="1410"/>
      <c r="F279" s="1410"/>
      <c r="G279" s="1410"/>
      <c r="H279" s="1421">
        <f>SUM(H271:H278)</f>
        <v>1013.8860000000002</v>
      </c>
      <c r="I279" s="1403"/>
    </row>
    <row r="280" spans="1:9">
      <c r="A280" s="1403"/>
      <c r="B280" s="1409"/>
      <c r="C280" s="1403"/>
      <c r="D280" s="1403"/>
      <c r="E280" s="1410"/>
      <c r="F280" s="1410"/>
      <c r="G280" s="1410"/>
      <c r="H280" s="1421">
        <v>1014</v>
      </c>
      <c r="I280" s="1403" t="s">
        <v>306</v>
      </c>
    </row>
    <row r="281" spans="1:9" ht="57">
      <c r="A281" s="1403">
        <v>34</v>
      </c>
      <c r="B281" s="1435" t="s">
        <v>3451</v>
      </c>
      <c r="C281" s="1398"/>
      <c r="D281" s="1398"/>
      <c r="E281" s="1399"/>
      <c r="F281" s="1399"/>
      <c r="G281" s="1399"/>
      <c r="H281" s="1411"/>
      <c r="I281" s="1403"/>
    </row>
    <row r="282" spans="1:9">
      <c r="A282" s="1403"/>
      <c r="B282" s="1430" t="s">
        <v>3452</v>
      </c>
      <c r="C282" s="1398">
        <v>1</v>
      </c>
      <c r="D282" s="1398">
        <v>10</v>
      </c>
      <c r="E282" s="1399" t="s">
        <v>21</v>
      </c>
      <c r="F282" s="1399" t="s">
        <v>21</v>
      </c>
      <c r="G282" s="1399" t="s">
        <v>21</v>
      </c>
      <c r="H282" s="1411">
        <f>PRODUCT(C282:G282)</f>
        <v>10</v>
      </c>
      <c r="I282" s="1403" t="s">
        <v>340</v>
      </c>
    </row>
    <row r="283" spans="1:9" ht="55.9" customHeight="1">
      <c r="A283" s="1403">
        <v>35</v>
      </c>
      <c r="B283" s="1435" t="s">
        <v>5275</v>
      </c>
      <c r="C283" s="1403"/>
      <c r="D283" s="1403"/>
      <c r="E283" s="1410"/>
      <c r="F283" s="1410"/>
      <c r="G283" s="1410"/>
      <c r="H283" s="1419"/>
      <c r="I283" s="1403"/>
    </row>
    <row r="284" spans="1:9">
      <c r="A284" s="1403"/>
      <c r="B284" s="1409" t="s">
        <v>3196</v>
      </c>
      <c r="C284" s="1403">
        <v>6</v>
      </c>
      <c r="D284" s="1403">
        <v>4</v>
      </c>
      <c r="E284" s="1410" t="s">
        <v>21</v>
      </c>
      <c r="F284" s="1410" t="s">
        <v>21</v>
      </c>
      <c r="G284" s="1410" t="s">
        <v>21</v>
      </c>
      <c r="H284" s="1419">
        <f>PRODUCT(C284:G284)</f>
        <v>24</v>
      </c>
      <c r="I284" s="1403"/>
    </row>
    <row r="285" spans="1:9">
      <c r="A285" s="1403"/>
      <c r="B285" s="1409"/>
      <c r="C285" s="1403"/>
      <c r="D285" s="1403"/>
      <c r="E285" s="1410"/>
      <c r="F285" s="1410"/>
      <c r="G285" s="1410"/>
      <c r="H285" s="1421">
        <f>SUM(H284:H284)</f>
        <v>24</v>
      </c>
      <c r="I285" s="1403" t="s">
        <v>306</v>
      </c>
    </row>
    <row r="286" spans="1:9" ht="42.75">
      <c r="A286" s="1403">
        <v>36</v>
      </c>
      <c r="B286" s="1435" t="s">
        <v>3566</v>
      </c>
      <c r="C286" s="1403"/>
      <c r="D286" s="1403"/>
      <c r="E286" s="1410"/>
      <c r="F286" s="1410"/>
      <c r="G286" s="1410"/>
      <c r="H286" s="1419"/>
      <c r="I286" s="1403"/>
    </row>
    <row r="287" spans="1:9">
      <c r="A287" s="1403"/>
      <c r="B287" s="1409" t="s">
        <v>3567</v>
      </c>
      <c r="C287" s="1403">
        <v>4</v>
      </c>
      <c r="D287" s="1403">
        <v>2</v>
      </c>
      <c r="E287" s="1410">
        <v>1.05</v>
      </c>
      <c r="F287" s="1410" t="s">
        <v>21</v>
      </c>
      <c r="G287" s="1410">
        <v>1.5</v>
      </c>
      <c r="H287" s="1419">
        <f>PRODUCT(C287:G287)</f>
        <v>12.600000000000001</v>
      </c>
      <c r="I287" s="1403"/>
    </row>
    <row r="288" spans="1:9">
      <c r="A288" s="1403"/>
      <c r="B288" s="1409" t="s">
        <v>3316</v>
      </c>
      <c r="C288" s="1403">
        <v>1</v>
      </c>
      <c r="D288" s="1403">
        <v>2</v>
      </c>
      <c r="E288" s="1410">
        <v>1.8</v>
      </c>
      <c r="F288" s="1410" t="s">
        <v>21</v>
      </c>
      <c r="G288" s="1410">
        <v>1.5</v>
      </c>
      <c r="H288" s="1419">
        <f>PRODUCT(C288:G288)</f>
        <v>5.4</v>
      </c>
      <c r="I288" s="1403"/>
    </row>
    <row r="289" spans="1:9">
      <c r="A289" s="1403"/>
      <c r="B289" s="1409"/>
      <c r="C289" s="1403"/>
      <c r="D289" s="1403"/>
      <c r="E289" s="1410"/>
      <c r="F289" s="1410"/>
      <c r="G289" s="1410"/>
      <c r="H289" s="1421">
        <f>SUM(H287:H288)</f>
        <v>18</v>
      </c>
      <c r="I289" s="1403" t="s">
        <v>340</v>
      </c>
    </row>
    <row r="290" spans="1:9" ht="28.5">
      <c r="A290" s="1403">
        <v>37</v>
      </c>
      <c r="B290" s="1435" t="s">
        <v>5389</v>
      </c>
      <c r="C290" s="1403"/>
      <c r="D290" s="1403"/>
      <c r="E290" s="1410"/>
      <c r="F290" s="1410"/>
      <c r="G290" s="1410"/>
      <c r="H290" s="1421"/>
      <c r="I290" s="1403"/>
    </row>
    <row r="291" spans="1:9">
      <c r="A291" s="1403"/>
      <c r="B291" s="1409" t="s">
        <v>41</v>
      </c>
      <c r="C291" s="1403">
        <v>1</v>
      </c>
      <c r="D291" s="1403">
        <v>9</v>
      </c>
      <c r="E291" s="1410">
        <v>0.45</v>
      </c>
      <c r="F291" s="1410">
        <v>0.6</v>
      </c>
      <c r="G291" s="1410" t="s">
        <v>21</v>
      </c>
      <c r="H291" s="1419">
        <f>PRODUCT(C291:G291)</f>
        <v>2.4299999999999997</v>
      </c>
      <c r="I291" s="1403"/>
    </row>
    <row r="292" spans="1:9">
      <c r="A292" s="1403"/>
      <c r="B292" s="1409"/>
      <c r="C292" s="1403"/>
      <c r="D292" s="1403"/>
      <c r="E292" s="1410"/>
      <c r="F292" s="1410"/>
      <c r="G292" s="1410" t="s">
        <v>9</v>
      </c>
      <c r="H292" s="1421">
        <v>2.4500000000000002</v>
      </c>
      <c r="I292" s="1403" t="s">
        <v>306</v>
      </c>
    </row>
    <row r="293" spans="1:9" ht="42.75">
      <c r="A293" s="1403">
        <v>38</v>
      </c>
      <c r="B293" s="1413" t="s">
        <v>3602</v>
      </c>
      <c r="C293" s="1403"/>
      <c r="D293" s="1403"/>
      <c r="E293" s="1410"/>
      <c r="F293" s="1410"/>
      <c r="G293" s="1410"/>
      <c r="H293" s="1419"/>
      <c r="I293" s="1403"/>
    </row>
    <row r="294" spans="1:9">
      <c r="A294" s="1403"/>
      <c r="B294" s="1409" t="s">
        <v>3238</v>
      </c>
      <c r="C294" s="1403">
        <v>12</v>
      </c>
      <c r="D294" s="1403">
        <v>2</v>
      </c>
      <c r="E294" s="1410" t="s">
        <v>21</v>
      </c>
      <c r="F294" s="1410" t="s">
        <v>21</v>
      </c>
      <c r="G294" s="1410" t="s">
        <v>21</v>
      </c>
      <c r="H294" s="1421">
        <f>PRODUCT(C294:G294)</f>
        <v>24</v>
      </c>
      <c r="I294" s="1403" t="s">
        <v>340</v>
      </c>
    </row>
    <row r="295" spans="1:9">
      <c r="A295" s="1403"/>
      <c r="B295" s="1409"/>
      <c r="C295" s="1403"/>
      <c r="D295" s="1403"/>
      <c r="E295" s="1410"/>
      <c r="F295" s="1410"/>
      <c r="G295" s="1410"/>
      <c r="H295" s="1419"/>
      <c r="I295" s="1403"/>
    </row>
    <row r="296" spans="1:9" ht="42.75">
      <c r="A296" s="1403">
        <v>39</v>
      </c>
      <c r="B296" s="1435" t="s">
        <v>5276</v>
      </c>
      <c r="C296" s="1403"/>
      <c r="D296" s="1403"/>
      <c r="E296" s="1410"/>
      <c r="F296" s="1410"/>
      <c r="G296" s="1410"/>
      <c r="H296" s="1419"/>
      <c r="I296" s="1403"/>
    </row>
    <row r="297" spans="1:9">
      <c r="A297" s="1403"/>
      <c r="B297" s="1409" t="s">
        <v>3238</v>
      </c>
      <c r="C297" s="1403">
        <v>24</v>
      </c>
      <c r="D297" s="1403">
        <v>1</v>
      </c>
      <c r="E297" s="1410" t="s">
        <v>21</v>
      </c>
      <c r="F297" s="1410" t="s">
        <v>21</v>
      </c>
      <c r="G297" s="1410" t="s">
        <v>21</v>
      </c>
      <c r="H297" s="1419">
        <f>PRODUCT(C297:G297)</f>
        <v>24</v>
      </c>
      <c r="I297" s="1403" t="s">
        <v>340</v>
      </c>
    </row>
    <row r="298" spans="1:9">
      <c r="A298" s="1403"/>
      <c r="B298" s="1409"/>
      <c r="C298" s="1403"/>
      <c r="D298" s="1403"/>
      <c r="E298" s="1410"/>
      <c r="F298" s="1410"/>
      <c r="G298" s="1410"/>
      <c r="H298" s="1419"/>
      <c r="I298" s="1403"/>
    </row>
    <row r="299" spans="1:9" ht="42.75">
      <c r="A299" s="1403">
        <v>40</v>
      </c>
      <c r="B299" s="1413" t="s">
        <v>3720</v>
      </c>
      <c r="C299" s="1403"/>
      <c r="D299" s="1403"/>
      <c r="E299" s="1410"/>
      <c r="F299" s="1410"/>
      <c r="G299" s="1410"/>
      <c r="H299" s="1419"/>
      <c r="I299" s="1403"/>
    </row>
    <row r="300" spans="1:9">
      <c r="A300" s="1403"/>
      <c r="B300" s="1409" t="s">
        <v>3567</v>
      </c>
      <c r="C300" s="1403">
        <v>4</v>
      </c>
      <c r="D300" s="1403">
        <v>2</v>
      </c>
      <c r="E300" s="1410">
        <v>1.05</v>
      </c>
      <c r="F300" s="1410">
        <v>0.8</v>
      </c>
      <c r="G300" s="1410">
        <v>1.5</v>
      </c>
      <c r="H300" s="1419">
        <f>PRODUCT(C300:G300)</f>
        <v>10.080000000000002</v>
      </c>
      <c r="I300" s="1403"/>
    </row>
    <row r="301" spans="1:9">
      <c r="A301" s="1403"/>
      <c r="B301" s="1409" t="s">
        <v>3316</v>
      </c>
      <c r="C301" s="1403">
        <v>1</v>
      </c>
      <c r="D301" s="1403">
        <v>2</v>
      </c>
      <c r="E301" s="1410">
        <v>1.8</v>
      </c>
      <c r="F301" s="1410">
        <v>0.8</v>
      </c>
      <c r="G301" s="1410">
        <v>1.5</v>
      </c>
      <c r="H301" s="1419">
        <f>PRODUCT(C301:G301)</f>
        <v>4.32</v>
      </c>
      <c r="I301" s="1403"/>
    </row>
    <row r="302" spans="1:9">
      <c r="A302" s="1403"/>
      <c r="B302" s="1409" t="s">
        <v>41</v>
      </c>
      <c r="C302" s="1403">
        <v>1</v>
      </c>
      <c r="D302" s="1403">
        <v>9</v>
      </c>
      <c r="E302" s="1410">
        <v>0.45</v>
      </c>
      <c r="F302" s="1410">
        <v>0.8</v>
      </c>
      <c r="G302" s="1410">
        <v>0.6</v>
      </c>
      <c r="H302" s="1419">
        <f>PRODUCT(C302:G302)</f>
        <v>1.944</v>
      </c>
      <c r="I302" s="1403"/>
    </row>
    <row r="303" spans="1:9">
      <c r="A303" s="1403"/>
      <c r="B303" s="1409"/>
      <c r="C303" s="1403"/>
      <c r="D303" s="1403"/>
      <c r="E303" s="1410"/>
      <c r="F303" s="1410"/>
      <c r="G303" s="1410"/>
      <c r="H303" s="1419">
        <v>0.01</v>
      </c>
      <c r="I303" s="1403"/>
    </row>
    <row r="304" spans="1:9">
      <c r="A304" s="1403"/>
      <c r="B304" s="1409"/>
      <c r="C304" s="1403"/>
      <c r="D304" s="1403"/>
      <c r="E304" s="1410"/>
      <c r="F304" s="1410"/>
      <c r="G304" s="1410"/>
      <c r="H304" s="1421">
        <f>SUM(H300:H303)</f>
        <v>16.354000000000003</v>
      </c>
      <c r="I304" s="1403" t="s">
        <v>306</v>
      </c>
    </row>
    <row r="305" spans="1:9" ht="45.75" customHeight="1">
      <c r="A305" s="1403">
        <v>41</v>
      </c>
      <c r="B305" s="754" t="s">
        <v>5805</v>
      </c>
      <c r="C305" s="30"/>
      <c r="D305" s="30"/>
      <c r="E305" s="34"/>
      <c r="F305" s="34"/>
      <c r="G305" s="34"/>
      <c r="H305" s="42"/>
      <c r="I305" s="1403"/>
    </row>
    <row r="306" spans="1:9" ht="15.75">
      <c r="A306" s="1403"/>
      <c r="B306" s="31" t="s">
        <v>5806</v>
      </c>
      <c r="C306" s="30">
        <v>1</v>
      </c>
      <c r="D306" s="30">
        <v>24</v>
      </c>
      <c r="E306" s="34">
        <v>1.2</v>
      </c>
      <c r="F306" s="34"/>
      <c r="G306" s="34">
        <v>2.1</v>
      </c>
      <c r="H306" s="42">
        <f>PRODUCT(C306:G306)</f>
        <v>60.48</v>
      </c>
      <c r="I306" s="1403"/>
    </row>
    <row r="307" spans="1:9">
      <c r="B307" s="1409"/>
      <c r="C307" s="1403"/>
      <c r="D307" s="1403"/>
      <c r="E307" s="1410"/>
      <c r="F307" s="1410"/>
      <c r="G307" s="1410"/>
      <c r="H307" s="1419"/>
      <c r="I307" s="1403"/>
    </row>
  </sheetData>
  <mergeCells count="5">
    <mergeCell ref="A1:I1"/>
    <mergeCell ref="A2:I2"/>
    <mergeCell ref="A4:I4"/>
    <mergeCell ref="C5:D5"/>
    <mergeCell ref="A3:I3"/>
  </mergeCells>
  <pageMargins left="0.23622047244094491" right="0.23622047244094491" top="0.74803149606299213" bottom="0.74803149606299213" header="0.31496062992125984" footer="0.31496062992125984"/>
  <pageSetup paperSize="9" orientation="portrait" r:id="rId1"/>
</worksheet>
</file>

<file path=xl/worksheets/sheet32.xml><?xml version="1.0" encoding="utf-8"?>
<worksheet xmlns="http://schemas.openxmlformats.org/spreadsheetml/2006/main" xmlns:r="http://schemas.openxmlformats.org/officeDocument/2006/relationships">
  <sheetPr codeName="Sheet29"/>
  <dimension ref="A1:G31"/>
  <sheetViews>
    <sheetView view="pageBreakPreview" zoomScale="70" zoomScaleSheetLayoutView="70" workbookViewId="0">
      <selection activeCell="O9" sqref="O9"/>
    </sheetView>
  </sheetViews>
  <sheetFormatPr defaultColWidth="9.28515625" defaultRowHeight="15.75"/>
  <cols>
    <col min="1" max="1" width="5" style="49" customWidth="1"/>
    <col min="2" max="2" width="11.7109375" style="559" customWidth="1"/>
    <col min="3" max="3" width="32.5703125" style="49" customWidth="1"/>
    <col min="4" max="4" width="14.28515625" style="559" customWidth="1"/>
    <col min="5" max="5" width="9.28515625" style="49"/>
    <col min="6" max="6" width="17.7109375" style="559" customWidth="1"/>
    <col min="7" max="7" width="13.28515625" style="9" bestFit="1" customWidth="1"/>
    <col min="8" max="8" width="9.28515625" style="9"/>
    <col min="9" max="9" width="13.28515625" style="9" bestFit="1" customWidth="1"/>
    <col min="10" max="16384" width="9.28515625" style="9"/>
  </cols>
  <sheetData>
    <row r="1" spans="1:6" s="570" customFormat="1" ht="21.75" customHeight="1">
      <c r="A1" s="1950" t="s">
        <v>241</v>
      </c>
      <c r="B1" s="1950"/>
      <c r="C1" s="1950"/>
      <c r="D1" s="1950"/>
      <c r="E1" s="1950"/>
      <c r="F1" s="1950"/>
    </row>
    <row r="2" spans="1:6" s="570" customFormat="1" ht="47.45" customHeight="1">
      <c r="A2" s="1950" t="str">
        <f>'SI- Elec  '!A2:I2</f>
        <v>Name of work: Providing Special Repair works for 5 Nos INS, 8 Nos SI, 24 Nos PC/HC Quarters  at Church Hill Ooty in the Nilgiri District</v>
      </c>
      <c r="B2" s="1950"/>
      <c r="C2" s="1950"/>
      <c r="D2" s="1950"/>
      <c r="E2" s="1950"/>
      <c r="F2" s="1950"/>
    </row>
    <row r="3" spans="1:6" s="570" customFormat="1" ht="47.45" customHeight="1">
      <c r="A3" s="2076" t="s">
        <v>3197</v>
      </c>
      <c r="B3" s="2077"/>
      <c r="C3" s="2077"/>
      <c r="D3" s="2077"/>
      <c r="E3" s="2077"/>
      <c r="F3" s="2078"/>
    </row>
    <row r="4" spans="1:6">
      <c r="A4" s="1951" t="s">
        <v>351</v>
      </c>
      <c r="B4" s="1952"/>
      <c r="C4" s="1952"/>
      <c r="D4" s="1952"/>
      <c r="E4" s="1952"/>
      <c r="F4" s="1953"/>
    </row>
    <row r="5" spans="1:6" ht="31.5">
      <c r="A5" s="2" t="s">
        <v>219</v>
      </c>
      <c r="B5" s="21" t="s">
        <v>3</v>
      </c>
      <c r="C5" s="699" t="s">
        <v>11</v>
      </c>
      <c r="D5" s="21" t="s">
        <v>217</v>
      </c>
      <c r="E5" s="699" t="s">
        <v>10</v>
      </c>
      <c r="F5" s="21" t="s">
        <v>218</v>
      </c>
    </row>
    <row r="6" spans="1:6" ht="63">
      <c r="A6" s="2">
        <v>1</v>
      </c>
      <c r="B6" s="3"/>
      <c r="C6" s="31" t="str">
        <f>'SI- Elec  '!B6</f>
        <v xml:space="preserve">Wiring with 1.5sqmm pvc multistrand copper cable including cost of materials and labours etc.., completed </v>
      </c>
      <c r="D6" s="3"/>
      <c r="E6" s="30"/>
      <c r="F6" s="13"/>
    </row>
    <row r="7" spans="1:6" ht="26.25" customHeight="1">
      <c r="A7" s="2"/>
      <c r="B7" s="3">
        <f>'SI- Elec  '!H16</f>
        <v>66</v>
      </c>
      <c r="C7" s="31" t="str">
        <f>'SI- Elec  '!B7</f>
        <v>a)Light point with ceiling rose</v>
      </c>
      <c r="D7" s="3" t="e">
        <f>#REF!</f>
        <v>#REF!</v>
      </c>
      <c r="E7" s="30" t="s">
        <v>340</v>
      </c>
      <c r="F7" s="13" t="e">
        <f t="shared" ref="F7:F22" si="0">B7*D7</f>
        <v>#REF!</v>
      </c>
    </row>
    <row r="8" spans="1:6" ht="40.9" customHeight="1">
      <c r="A8" s="2"/>
      <c r="B8" s="3">
        <f>'SI- Elec  '!H21</f>
        <v>24</v>
      </c>
      <c r="C8" s="31" t="str">
        <f>'SI- Elec  '!B17</f>
        <v>b) light point with pattern type bakelite holder</v>
      </c>
      <c r="D8" s="3" t="e">
        <f>#REF!</f>
        <v>#REF!</v>
      </c>
      <c r="E8" s="30" t="s">
        <v>340</v>
      </c>
      <c r="F8" s="13" t="e">
        <f t="shared" si="0"/>
        <v>#REF!</v>
      </c>
    </row>
    <row r="9" spans="1:6" ht="78" customHeight="1">
      <c r="A9" s="2">
        <v>2</v>
      </c>
      <c r="B9" s="3" t="e">
        <f>'SI- Elec  '!#REF!</f>
        <v>#REF!</v>
      </c>
      <c r="C9" s="31" t="str">
        <f>'SI- Elec  '!B23</f>
        <v xml:space="preserve">Supply and fixing for 5 amps 5 pinplug for switch board itself including cost of materials and labours etc.., completed </v>
      </c>
      <c r="D9" s="3" t="e">
        <f>#REF!</f>
        <v>#REF!</v>
      </c>
      <c r="E9" s="30" t="s">
        <v>340</v>
      </c>
      <c r="F9" s="13" t="e">
        <f t="shared" si="0"/>
        <v>#REF!</v>
      </c>
    </row>
    <row r="10" spans="1:6" ht="79.900000000000006" customHeight="1">
      <c r="A10" s="2">
        <v>3</v>
      </c>
      <c r="B10" s="3">
        <f>'SI- Elec  '!H35</f>
        <v>24</v>
      </c>
      <c r="C10" s="31" t="str">
        <f>'SI- Elec  '!B30</f>
        <v xml:space="preserve">Supply and fixing for 5 amps 5 pin plug for convenient places including cost of materials and labours etc.., completed </v>
      </c>
      <c r="D10" s="3" t="e">
        <f>#REF!</f>
        <v>#REF!</v>
      </c>
      <c r="E10" s="30" t="s">
        <v>340</v>
      </c>
      <c r="F10" s="13" t="e">
        <f t="shared" si="0"/>
        <v>#REF!</v>
      </c>
    </row>
    <row r="11" spans="1:6" ht="69.599999999999994" customHeight="1">
      <c r="A11" s="2">
        <v>4</v>
      </c>
      <c r="B11" s="3">
        <f>'SI- Elec  '!H42</f>
        <v>34</v>
      </c>
      <c r="C11" s="31" t="str">
        <f>'SI- Elec  '!B36</f>
        <v xml:space="preserve">Supply and fixing 15 amps power plug including cost of materials and labours etc.., completed </v>
      </c>
      <c r="D11" s="3" t="e">
        <f>#REF!</f>
        <v>#REF!</v>
      </c>
      <c r="E11" s="30" t="s">
        <v>340</v>
      </c>
      <c r="F11" s="13" t="e">
        <f t="shared" si="0"/>
        <v>#REF!</v>
      </c>
    </row>
    <row r="12" spans="1:6" ht="54.6" customHeight="1">
      <c r="A12" s="2">
        <v>5</v>
      </c>
      <c r="B12" s="3">
        <f>'SI- Elec  '!H44</f>
        <v>8</v>
      </c>
      <c r="C12" s="31" t="str">
        <f>'SI- Elec  '!B43</f>
        <v xml:space="preserve">Supplying and fixing of bulkhead fittings including cost of materials and labours etc.., completed </v>
      </c>
      <c r="D12" s="3" t="e">
        <f>#REF!</f>
        <v>#REF!</v>
      </c>
      <c r="E12" s="30" t="s">
        <v>340</v>
      </c>
      <c r="F12" s="13" t="e">
        <f t="shared" si="0"/>
        <v>#REF!</v>
      </c>
    </row>
    <row r="13" spans="1:6" ht="64.900000000000006" customHeight="1">
      <c r="A13" s="2">
        <v>6</v>
      </c>
      <c r="B13" s="3"/>
      <c r="C13" s="31" t="str">
        <f>'SI- Elec  '!B46</f>
        <v xml:space="preserve">Supplying and fixing of LED Bulbs  including cost of materials and labours etc.., completed </v>
      </c>
      <c r="D13" s="3"/>
      <c r="E13" s="30"/>
      <c r="F13" s="13"/>
    </row>
    <row r="14" spans="1:6" ht="25.15" customHeight="1">
      <c r="A14" s="2"/>
      <c r="B14" s="3">
        <f>'SI- Elec  '!H53</f>
        <v>16</v>
      </c>
      <c r="C14" s="31" t="str">
        <f>'SI- Elec  '!B51</f>
        <v>12 watts</v>
      </c>
      <c r="D14" s="3">
        <v>170</v>
      </c>
      <c r="E14" s="30" t="s">
        <v>340</v>
      </c>
      <c r="F14" s="13">
        <f t="shared" si="0"/>
        <v>2720</v>
      </c>
    </row>
    <row r="15" spans="1:6" ht="70.150000000000006" customHeight="1">
      <c r="A15" s="2">
        <v>7</v>
      </c>
      <c r="B15" s="3">
        <f>'SI- Elec  '!H61</f>
        <v>32</v>
      </c>
      <c r="C15" s="31" t="str">
        <f>'SI- Elec  '!B55</f>
        <v xml:space="preserve">Suplying and Fixing of LED 4'-18 watts Tube Light including cost of materials and labours etc.., completed </v>
      </c>
      <c r="D15" s="3">
        <v>635</v>
      </c>
      <c r="E15" s="30" t="s">
        <v>340</v>
      </c>
      <c r="F15" s="13">
        <f t="shared" si="0"/>
        <v>20320</v>
      </c>
    </row>
    <row r="16" spans="1:6" ht="66.599999999999994" customHeight="1">
      <c r="A16" s="2">
        <v>8</v>
      </c>
      <c r="B16" s="3">
        <f>'SI- Elec  '!H65</f>
        <v>10</v>
      </c>
      <c r="C16" s="31" t="str">
        <f>'SI- Elec  '!B63</f>
        <v xml:space="preserve">Supplying and fixing of 25W LED street light fittings including cost of materials and labours etc.., completed </v>
      </c>
      <c r="D16" s="3" t="e">
        <f>#REF!</f>
        <v>#REF!</v>
      </c>
      <c r="E16" s="30" t="s">
        <v>340</v>
      </c>
      <c r="F16" s="13" t="e">
        <f t="shared" si="0"/>
        <v>#REF!</v>
      </c>
    </row>
    <row r="17" spans="1:7" ht="67.900000000000006" customHeight="1">
      <c r="A17" s="2">
        <v>9</v>
      </c>
      <c r="B17" s="3">
        <f>'SI- Elec  '!H69</f>
        <v>400</v>
      </c>
      <c r="C17" s="31" t="str">
        <f>'SI- Elec  '!B67</f>
        <v xml:space="preserve">Run off  two wire of 2.5 sq mm multi strand flexible cable including cost of materials and labours etc.., completed </v>
      </c>
      <c r="D17" s="3" t="e">
        <f>#REF!</f>
        <v>#REF!</v>
      </c>
      <c r="E17" s="30" t="s">
        <v>303</v>
      </c>
      <c r="F17" s="13" t="e">
        <f t="shared" si="0"/>
        <v>#REF!</v>
      </c>
    </row>
    <row r="18" spans="1:7" ht="79.150000000000006" customHeight="1">
      <c r="A18" s="2">
        <v>10</v>
      </c>
      <c r="B18" s="3">
        <f>'SI- Elec  '!H73</f>
        <v>280</v>
      </c>
      <c r="C18" s="31" t="str">
        <f>'SI- Elec  '!B71</f>
        <v>Run off 4 x 4  Sq mm copper PVC insulated unsheathed single core cable for three  phase EB service connection</v>
      </c>
      <c r="D18" s="3">
        <v>231</v>
      </c>
      <c r="E18" s="30" t="s">
        <v>303</v>
      </c>
      <c r="F18" s="13">
        <f t="shared" si="0"/>
        <v>64680</v>
      </c>
    </row>
    <row r="19" spans="1:7" ht="159.6" customHeight="1">
      <c r="A19" s="2">
        <v>11</v>
      </c>
      <c r="B19" s="3">
        <f>'SI- Elec  '!H76</f>
        <v>8</v>
      </c>
      <c r="C19" s="31" t="str">
        <f>'SI- Elec  '!B74</f>
        <v>Supply and fixing of Three Phase Distribution Board with 4 way TPN double door MCB DB 40 Amps 4 Pole ELCB - 1, 6Amps to 32 amps SP MCB - 12 No's   with necessary cutting work etc., including cost of all materials and fixing charges all complete. CER NO.267/2018-19</v>
      </c>
      <c r="D19" s="3">
        <v>11750</v>
      </c>
      <c r="E19" s="30" t="s">
        <v>340</v>
      </c>
      <c r="F19" s="13">
        <f t="shared" si="0"/>
        <v>94000</v>
      </c>
    </row>
    <row r="20" spans="1:7" ht="68.45" customHeight="1">
      <c r="A20" s="2">
        <v>12</v>
      </c>
      <c r="B20" s="3">
        <f>'SI- Elec  '!H79</f>
        <v>8</v>
      </c>
      <c r="C20" s="31" t="str">
        <f>'SI- Elec  '!B78</f>
        <v xml:space="preserve">Supply and fixing ofTNEB Meter board suitable for 3 phase 63 A service connection made up of suitable angle </v>
      </c>
      <c r="D20" s="3" t="e">
        <f>'PC- Elec - Abs'!D21</f>
        <v>#REF!</v>
      </c>
      <c r="E20" s="30" t="s">
        <v>340</v>
      </c>
      <c r="F20" s="13" t="e">
        <f t="shared" si="0"/>
        <v>#REF!</v>
      </c>
    </row>
    <row r="21" spans="1:7" ht="100.15" customHeight="1">
      <c r="A21" s="2">
        <v>13</v>
      </c>
      <c r="B21" s="3" t="e">
        <f>'SI- Elec  '!#REF!</f>
        <v>#REF!</v>
      </c>
      <c r="C21" s="31" t="e">
        <f>'SI- Elec  '!#REF!</f>
        <v>#REF!</v>
      </c>
      <c r="D21" s="3" t="e">
        <f>'PC- Elec - Abs'!D22</f>
        <v>#REF!</v>
      </c>
      <c r="E21" s="30" t="s">
        <v>306</v>
      </c>
      <c r="F21" s="13" t="e">
        <f t="shared" si="0"/>
        <v>#REF!</v>
      </c>
    </row>
    <row r="22" spans="1:7" ht="100.15" customHeight="1">
      <c r="A22" s="2">
        <v>14</v>
      </c>
      <c r="B22" s="3">
        <f>'SI- Elec  '!H82</f>
        <v>40</v>
      </c>
      <c r="C22" s="31" t="str">
        <f>'SI- Elec  '!B81</f>
        <v xml:space="preserve">Run off  2 wire of 4 sq mm multi strand flexible cable including cost of materials and labours etc.., completed </v>
      </c>
      <c r="D22" s="3">
        <f>'PC- Elec - Abs'!D23</f>
        <v>246.7</v>
      </c>
      <c r="E22" s="30" t="s">
        <v>303</v>
      </c>
      <c r="F22" s="13">
        <f t="shared" si="0"/>
        <v>9868</v>
      </c>
    </row>
    <row r="23" spans="1:7">
      <c r="A23" s="2"/>
      <c r="B23" s="3"/>
      <c r="C23" s="1954" t="s">
        <v>223</v>
      </c>
      <c r="D23" s="1954"/>
      <c r="E23" s="1954"/>
      <c r="F23" s="17" t="e">
        <f>SUM(F6:F22)</f>
        <v>#REF!</v>
      </c>
    </row>
    <row r="24" spans="1:7" ht="19.5" customHeight="1">
      <c r="A24" s="2"/>
      <c r="B24" s="3"/>
      <c r="C24" s="33" t="s">
        <v>382</v>
      </c>
      <c r="D24" s="1948" t="s">
        <v>226</v>
      </c>
      <c r="E24" s="1949"/>
      <c r="F24" s="16" t="e">
        <f>F23*12%</f>
        <v>#REF!</v>
      </c>
      <c r="G24" s="28"/>
    </row>
    <row r="25" spans="1:7">
      <c r="A25" s="2"/>
      <c r="B25" s="3"/>
      <c r="C25" s="1955" t="s">
        <v>3454</v>
      </c>
      <c r="D25" s="1956"/>
      <c r="E25" s="1957"/>
      <c r="F25" s="17" t="e">
        <f>SUM(F23:F24)</f>
        <v>#REF!</v>
      </c>
      <c r="G25" s="28"/>
    </row>
    <row r="26" spans="1:7" ht="21.75" customHeight="1">
      <c r="A26" s="2"/>
      <c r="B26" s="3"/>
      <c r="C26" s="12" t="s">
        <v>224</v>
      </c>
      <c r="D26" s="1948" t="s">
        <v>226</v>
      </c>
      <c r="E26" s="1949"/>
      <c r="F26" s="16" t="e">
        <f>F25*1%</f>
        <v>#REF!</v>
      </c>
    </row>
    <row r="27" spans="1:7" ht="33" customHeight="1">
      <c r="A27" s="2"/>
      <c r="B27" s="3"/>
      <c r="C27" s="12" t="s">
        <v>225</v>
      </c>
      <c r="D27" s="1948" t="s">
        <v>226</v>
      </c>
      <c r="E27" s="1949"/>
      <c r="F27" s="16" t="e">
        <f>F25*7.5%</f>
        <v>#REF!</v>
      </c>
    </row>
    <row r="28" spans="1:7" ht="36" customHeight="1">
      <c r="A28" s="2"/>
      <c r="B28" s="3"/>
      <c r="C28" s="698" t="s">
        <v>3611</v>
      </c>
      <c r="D28" s="1948" t="s">
        <v>226</v>
      </c>
      <c r="E28" s="1949"/>
      <c r="F28" s="16">
        <f>8*5000</f>
        <v>40000</v>
      </c>
      <c r="G28" s="28"/>
    </row>
    <row r="29" spans="1:7">
      <c r="A29" s="2"/>
      <c r="B29" s="3"/>
      <c r="C29" s="1955" t="s">
        <v>227</v>
      </c>
      <c r="D29" s="1956"/>
      <c r="E29" s="1957"/>
      <c r="F29" s="17" t="e">
        <f>SUM(F25:F28)</f>
        <v>#REF!</v>
      </c>
    </row>
    <row r="30" spans="1:7" ht="21" customHeight="1">
      <c r="A30" s="2"/>
      <c r="B30" s="3"/>
      <c r="C30" s="699"/>
      <c r="D30" s="699"/>
      <c r="E30" s="14" t="s">
        <v>9</v>
      </c>
      <c r="F30" s="17"/>
    </row>
    <row r="31" spans="1:7">
      <c r="D31" s="19"/>
      <c r="E31" s="1947"/>
      <c r="F31" s="1947"/>
    </row>
  </sheetData>
  <mergeCells count="12">
    <mergeCell ref="D26:E26"/>
    <mergeCell ref="D27:E27"/>
    <mergeCell ref="D28:E28"/>
    <mergeCell ref="C29:E29"/>
    <mergeCell ref="E31:F31"/>
    <mergeCell ref="C25:E25"/>
    <mergeCell ref="A1:F1"/>
    <mergeCell ref="A2:F2"/>
    <mergeCell ref="A4:F4"/>
    <mergeCell ref="C23:E23"/>
    <mergeCell ref="D24:E24"/>
    <mergeCell ref="A3:F3"/>
  </mergeCells>
  <pageMargins left="0.7" right="0.7" top="0.75" bottom="0.75" header="0.3" footer="0.3"/>
  <pageSetup paperSize="9" scale="94" orientation="portrait" r:id="rId1"/>
</worksheet>
</file>

<file path=xl/worksheets/sheet33.xml><?xml version="1.0" encoding="utf-8"?>
<worksheet xmlns="http://schemas.openxmlformats.org/spreadsheetml/2006/main" xmlns:r="http://schemas.openxmlformats.org/officeDocument/2006/relationships">
  <sheetPr codeName="Sheet9">
    <tabColor rgb="FFFF0000"/>
  </sheetPr>
  <dimension ref="A1:I92"/>
  <sheetViews>
    <sheetView view="pageBreakPreview" topLeftCell="A78" zoomScale="90" zoomScaleNormal="90" zoomScaleSheetLayoutView="90" workbookViewId="0">
      <selection activeCell="C90" sqref="C90"/>
    </sheetView>
  </sheetViews>
  <sheetFormatPr defaultColWidth="9.28515625" defaultRowHeight="15"/>
  <cols>
    <col min="1" max="1" width="5.28515625" style="1462" customWidth="1"/>
    <col min="2" max="2" width="36.7109375" style="1393" customWidth="1"/>
    <col min="3" max="4" width="5.42578125" style="1462" customWidth="1"/>
    <col min="5" max="5" width="9.5703125" style="1463" customWidth="1"/>
    <col min="6" max="7" width="7.7109375" style="1463" customWidth="1"/>
    <col min="8" max="8" width="10.28515625" style="1464" customWidth="1"/>
    <col min="9" max="9" width="8.7109375" style="1462" customWidth="1"/>
    <col min="10" max="13" width="9.28515625" style="1393"/>
    <col min="14" max="14" width="12.7109375" style="1393" bestFit="1" customWidth="1"/>
    <col min="15" max="16384" width="9.28515625" style="1393"/>
  </cols>
  <sheetData>
    <row r="1" spans="1:9">
      <c r="A1" s="2074" t="s">
        <v>241</v>
      </c>
      <c r="B1" s="2074"/>
      <c r="C1" s="2074"/>
      <c r="D1" s="2074"/>
      <c r="E1" s="2074"/>
      <c r="F1" s="2074"/>
      <c r="G1" s="2074"/>
      <c r="H1" s="2074"/>
      <c r="I1" s="2074"/>
    </row>
    <row r="2" spans="1:9" ht="32.450000000000003" customHeight="1">
      <c r="A2" s="2040" t="s">
        <v>3699</v>
      </c>
      <c r="B2" s="2040"/>
      <c r="C2" s="2040"/>
      <c r="D2" s="2040"/>
      <c r="E2" s="2040"/>
      <c r="F2" s="2040"/>
      <c r="G2" s="2040"/>
      <c r="H2" s="2040"/>
      <c r="I2" s="2040"/>
    </row>
    <row r="3" spans="1:9" ht="22.9" customHeight="1">
      <c r="A3" s="1999" t="s">
        <v>3196</v>
      </c>
      <c r="B3" s="2000"/>
      <c r="C3" s="2000"/>
      <c r="D3" s="2000"/>
      <c r="E3" s="2000"/>
      <c r="F3" s="2000"/>
      <c r="G3" s="2000"/>
      <c r="H3" s="2000"/>
      <c r="I3" s="2001"/>
    </row>
    <row r="4" spans="1:9" ht="22.5" customHeight="1">
      <c r="A4" s="1999" t="s">
        <v>5390</v>
      </c>
      <c r="B4" s="2000"/>
      <c r="C4" s="2000"/>
      <c r="D4" s="2000"/>
      <c r="E4" s="2000"/>
      <c r="F4" s="2000"/>
      <c r="G4" s="2000"/>
      <c r="H4" s="2000"/>
      <c r="I4" s="2001"/>
    </row>
    <row r="5" spans="1:9" ht="40.5" customHeight="1">
      <c r="A5" s="1394" t="s">
        <v>12</v>
      </c>
      <c r="B5" s="1394" t="s">
        <v>11</v>
      </c>
      <c r="C5" s="2074" t="s">
        <v>4</v>
      </c>
      <c r="D5" s="2074"/>
      <c r="E5" s="1395" t="s">
        <v>5</v>
      </c>
      <c r="F5" s="1395" t="s">
        <v>6</v>
      </c>
      <c r="G5" s="1395" t="s">
        <v>7</v>
      </c>
      <c r="H5" s="1395" t="s">
        <v>3</v>
      </c>
      <c r="I5" s="1395" t="s">
        <v>10</v>
      </c>
    </row>
    <row r="6" spans="1:9" ht="51" customHeight="1">
      <c r="A6" s="1403">
        <v>1</v>
      </c>
      <c r="B6" s="1397" t="s">
        <v>3242</v>
      </c>
      <c r="C6" s="1403"/>
      <c r="D6" s="1403"/>
      <c r="E6" s="1410"/>
      <c r="F6" s="1410"/>
      <c r="G6" s="1410"/>
      <c r="H6" s="1419"/>
      <c r="I6" s="1403"/>
    </row>
    <row r="7" spans="1:9">
      <c r="A7" s="1403"/>
      <c r="B7" s="1465" t="s">
        <v>3243</v>
      </c>
      <c r="C7" s="1403"/>
      <c r="D7" s="1403"/>
      <c r="E7" s="1410"/>
      <c r="F7" s="1410"/>
      <c r="G7" s="1410"/>
      <c r="H7" s="1419"/>
      <c r="I7" s="1403"/>
    </row>
    <row r="8" spans="1:9">
      <c r="A8" s="1403"/>
      <c r="B8" s="1409" t="s">
        <v>3248</v>
      </c>
      <c r="C8" s="1403"/>
      <c r="D8" s="1403"/>
      <c r="E8" s="1410"/>
      <c r="F8" s="1410"/>
      <c r="G8" s="1410"/>
      <c r="H8" s="1419"/>
      <c r="I8" s="1403"/>
    </row>
    <row r="9" spans="1:9">
      <c r="A9" s="1403"/>
      <c r="B9" s="1409" t="s">
        <v>3245</v>
      </c>
      <c r="C9" s="1403">
        <v>24</v>
      </c>
      <c r="D9" s="1403">
        <v>1</v>
      </c>
      <c r="E9" s="1410" t="s">
        <v>21</v>
      </c>
      <c r="F9" s="1410" t="s">
        <v>21</v>
      </c>
      <c r="G9" s="1410" t="s">
        <v>21</v>
      </c>
      <c r="H9" s="1419">
        <f t="shared" ref="H9:H15" si="0">PRODUCT(C9:G9)</f>
        <v>24</v>
      </c>
      <c r="I9" s="1403"/>
    </row>
    <row r="10" spans="1:9">
      <c r="A10" s="1403"/>
      <c r="B10" s="1409" t="s">
        <v>129</v>
      </c>
      <c r="C10" s="1403">
        <v>24</v>
      </c>
      <c r="D10" s="1403">
        <v>1</v>
      </c>
      <c r="E10" s="1410" t="s">
        <v>21</v>
      </c>
      <c r="F10" s="1410" t="s">
        <v>21</v>
      </c>
      <c r="G10" s="1410" t="s">
        <v>21</v>
      </c>
      <c r="H10" s="1419">
        <f t="shared" si="0"/>
        <v>24</v>
      </c>
      <c r="I10" s="1403"/>
    </row>
    <row r="11" spans="1:9">
      <c r="A11" s="1403"/>
      <c r="B11" s="1409" t="s">
        <v>3185</v>
      </c>
      <c r="C11" s="1403">
        <v>24</v>
      </c>
      <c r="D11" s="1403">
        <v>1</v>
      </c>
      <c r="E11" s="1410" t="s">
        <v>21</v>
      </c>
      <c r="F11" s="1410" t="s">
        <v>21</v>
      </c>
      <c r="G11" s="1410" t="s">
        <v>21</v>
      </c>
      <c r="H11" s="1419">
        <f t="shared" si="0"/>
        <v>24</v>
      </c>
      <c r="I11" s="1403"/>
    </row>
    <row r="12" spans="1:9">
      <c r="A12" s="1403"/>
      <c r="B12" s="1409" t="s">
        <v>3246</v>
      </c>
      <c r="C12" s="1403">
        <v>24</v>
      </c>
      <c r="D12" s="1403">
        <v>1</v>
      </c>
      <c r="E12" s="1410" t="s">
        <v>21</v>
      </c>
      <c r="F12" s="1410" t="s">
        <v>21</v>
      </c>
      <c r="G12" s="1410" t="s">
        <v>21</v>
      </c>
      <c r="H12" s="1419">
        <f t="shared" si="0"/>
        <v>24</v>
      </c>
      <c r="I12" s="1403"/>
    </row>
    <row r="13" spans="1:9">
      <c r="A13" s="1403"/>
      <c r="B13" s="1409" t="s">
        <v>3247</v>
      </c>
      <c r="C13" s="1403">
        <v>6</v>
      </c>
      <c r="D13" s="1403">
        <v>1</v>
      </c>
      <c r="E13" s="1410" t="s">
        <v>21</v>
      </c>
      <c r="F13" s="1410" t="s">
        <v>21</v>
      </c>
      <c r="G13" s="1410" t="s">
        <v>21</v>
      </c>
      <c r="H13" s="1419">
        <f t="shared" si="0"/>
        <v>6</v>
      </c>
      <c r="I13" s="1403"/>
    </row>
    <row r="14" spans="1:9">
      <c r="A14" s="1403"/>
      <c r="B14" s="1409" t="s">
        <v>3474</v>
      </c>
      <c r="C14" s="1403">
        <v>24</v>
      </c>
      <c r="D14" s="1403">
        <v>1</v>
      </c>
      <c r="E14" s="1410" t="s">
        <v>21</v>
      </c>
      <c r="F14" s="1410" t="s">
        <v>21</v>
      </c>
      <c r="G14" s="1410" t="s">
        <v>21</v>
      </c>
      <c r="H14" s="1419">
        <f t="shared" si="0"/>
        <v>24</v>
      </c>
      <c r="I14" s="1403"/>
    </row>
    <row r="15" spans="1:9">
      <c r="A15" s="1403"/>
      <c r="B15" s="1409" t="s">
        <v>3475</v>
      </c>
      <c r="C15" s="1403">
        <v>6</v>
      </c>
      <c r="D15" s="1403">
        <v>3</v>
      </c>
      <c r="E15" s="1410" t="s">
        <v>21</v>
      </c>
      <c r="F15" s="1410" t="s">
        <v>21</v>
      </c>
      <c r="G15" s="1410" t="s">
        <v>21</v>
      </c>
      <c r="H15" s="1419">
        <f t="shared" si="0"/>
        <v>18</v>
      </c>
      <c r="I15" s="1403"/>
    </row>
    <row r="16" spans="1:9">
      <c r="A16" s="1403"/>
      <c r="B16" s="1409"/>
      <c r="C16" s="1403"/>
      <c r="D16" s="1403"/>
      <c r="E16" s="1410"/>
      <c r="F16" s="1410"/>
      <c r="G16" s="1410"/>
      <c r="H16" s="1421">
        <f>SUM(H9:H15)</f>
        <v>144</v>
      </c>
      <c r="I16" s="1403" t="s">
        <v>340</v>
      </c>
    </row>
    <row r="17" spans="1:9" ht="28.5">
      <c r="A17" s="1403"/>
      <c r="B17" s="1422" t="s">
        <v>3251</v>
      </c>
      <c r="C17" s="1403"/>
      <c r="D17" s="1403"/>
      <c r="E17" s="1410"/>
      <c r="F17" s="1410"/>
      <c r="G17" s="1410"/>
      <c r="H17" s="1419"/>
      <c r="I17" s="1403"/>
    </row>
    <row r="18" spans="1:9">
      <c r="A18" s="1403"/>
      <c r="B18" s="1409" t="s">
        <v>1</v>
      </c>
      <c r="C18" s="1403">
        <v>24</v>
      </c>
      <c r="D18" s="1403">
        <v>2</v>
      </c>
      <c r="E18" s="1410" t="s">
        <v>21</v>
      </c>
      <c r="F18" s="1410" t="s">
        <v>21</v>
      </c>
      <c r="G18" s="1410" t="s">
        <v>21</v>
      </c>
      <c r="H18" s="1419">
        <f>PRODUCT(C18:G18)</f>
        <v>48</v>
      </c>
      <c r="I18" s="1403"/>
    </row>
    <row r="19" spans="1:9">
      <c r="A19" s="1403"/>
      <c r="B19" s="1409" t="s">
        <v>79</v>
      </c>
      <c r="C19" s="1403">
        <v>24</v>
      </c>
      <c r="D19" s="1403">
        <v>1</v>
      </c>
      <c r="E19" s="1410" t="s">
        <v>21</v>
      </c>
      <c r="F19" s="1410" t="s">
        <v>21</v>
      </c>
      <c r="G19" s="1410" t="s">
        <v>21</v>
      </c>
      <c r="H19" s="1419">
        <f>PRODUCT(C19:G19)</f>
        <v>24</v>
      </c>
      <c r="I19" s="1403"/>
    </row>
    <row r="20" spans="1:9">
      <c r="A20" s="1403"/>
      <c r="B20" s="1409" t="s">
        <v>3185</v>
      </c>
      <c r="C20" s="1403">
        <v>24</v>
      </c>
      <c r="D20" s="1403">
        <v>1</v>
      </c>
      <c r="E20" s="1410" t="s">
        <v>21</v>
      </c>
      <c r="F20" s="1410" t="s">
        <v>21</v>
      </c>
      <c r="G20" s="1410" t="s">
        <v>21</v>
      </c>
      <c r="H20" s="1419">
        <f>PRODUCT(C20:G20)</f>
        <v>24</v>
      </c>
      <c r="I20" s="1403"/>
    </row>
    <row r="21" spans="1:9">
      <c r="A21" s="1403"/>
      <c r="B21" s="1409"/>
      <c r="C21" s="1403"/>
      <c r="D21" s="1403"/>
      <c r="E21" s="1410"/>
      <c r="F21" s="1410"/>
      <c r="G21" s="1410"/>
      <c r="H21" s="1421">
        <f>SUM(H18:H20)</f>
        <v>96</v>
      </c>
      <c r="I21" s="1403" t="s">
        <v>340</v>
      </c>
    </row>
    <row r="22" spans="1:9">
      <c r="A22" s="1403"/>
      <c r="B22" s="1409"/>
      <c r="C22" s="1403"/>
      <c r="D22" s="1403"/>
      <c r="E22" s="1410"/>
      <c r="F22" s="1410"/>
      <c r="G22" s="1410"/>
      <c r="H22" s="1419"/>
      <c r="I22" s="1403"/>
    </row>
    <row r="23" spans="1:9" ht="57">
      <c r="A23" s="1403">
        <v>2</v>
      </c>
      <c r="B23" s="1422" t="s">
        <v>3253</v>
      </c>
      <c r="C23" s="1403"/>
      <c r="D23" s="1403"/>
      <c r="E23" s="1410"/>
      <c r="F23" s="1410"/>
      <c r="G23" s="1410"/>
      <c r="H23" s="1419"/>
      <c r="I23" s="1403"/>
    </row>
    <row r="24" spans="1:9">
      <c r="A24" s="1403"/>
      <c r="B24" s="1409" t="s">
        <v>3248</v>
      </c>
      <c r="C24" s="1403"/>
      <c r="D24" s="1403"/>
      <c r="E24" s="1410"/>
      <c r="F24" s="1410"/>
      <c r="G24" s="1410"/>
      <c r="H24" s="1419"/>
      <c r="I24" s="1403"/>
    </row>
    <row r="25" spans="1:9">
      <c r="A25" s="1403"/>
      <c r="B25" s="1409" t="s">
        <v>129</v>
      </c>
      <c r="C25" s="1403">
        <v>24</v>
      </c>
      <c r="D25" s="1403">
        <v>1</v>
      </c>
      <c r="E25" s="1410" t="s">
        <v>21</v>
      </c>
      <c r="F25" s="1410" t="s">
        <v>21</v>
      </c>
      <c r="G25" s="1410" t="s">
        <v>21</v>
      </c>
      <c r="H25" s="1419">
        <f>PRODUCT(C25:G25)</f>
        <v>24</v>
      </c>
      <c r="I25" s="1403"/>
    </row>
    <row r="26" spans="1:9">
      <c r="A26" s="1403"/>
      <c r="B26" s="1409" t="s">
        <v>3185</v>
      </c>
      <c r="C26" s="1403">
        <v>24</v>
      </c>
      <c r="D26" s="1403">
        <v>1</v>
      </c>
      <c r="E26" s="1410" t="s">
        <v>21</v>
      </c>
      <c r="F26" s="1410" t="s">
        <v>21</v>
      </c>
      <c r="G26" s="1410" t="s">
        <v>21</v>
      </c>
      <c r="H26" s="1419">
        <f>PRODUCT(C26:G26)</f>
        <v>24</v>
      </c>
      <c r="I26" s="1403"/>
    </row>
    <row r="27" spans="1:9">
      <c r="A27" s="1403"/>
      <c r="B27" s="1409" t="s">
        <v>3246</v>
      </c>
      <c r="C27" s="1403">
        <v>24</v>
      </c>
      <c r="D27" s="1403">
        <v>1</v>
      </c>
      <c r="E27" s="1410" t="s">
        <v>21</v>
      </c>
      <c r="F27" s="1410" t="s">
        <v>21</v>
      </c>
      <c r="G27" s="1410" t="s">
        <v>21</v>
      </c>
      <c r="H27" s="1419">
        <f>PRODUCT(C27:G27)</f>
        <v>24</v>
      </c>
      <c r="I27" s="1403"/>
    </row>
    <row r="28" spans="1:9">
      <c r="A28" s="1403"/>
      <c r="B28" s="1409"/>
      <c r="C28" s="1403"/>
      <c r="D28" s="1403"/>
      <c r="E28" s="1410"/>
      <c r="F28" s="1410"/>
      <c r="G28" s="1410"/>
      <c r="H28" s="1421">
        <f>SUM(H25:H27)</f>
        <v>72</v>
      </c>
      <c r="I28" s="1403" t="s">
        <v>340</v>
      </c>
    </row>
    <row r="29" spans="1:9">
      <c r="A29" s="1403"/>
      <c r="B29" s="1409"/>
      <c r="C29" s="1403"/>
      <c r="D29" s="1403"/>
      <c r="E29" s="1410"/>
      <c r="F29" s="1410"/>
      <c r="G29" s="1410"/>
      <c r="H29" s="1419"/>
      <c r="I29" s="1403"/>
    </row>
    <row r="30" spans="1:9" ht="54" customHeight="1">
      <c r="A30" s="1403">
        <v>3</v>
      </c>
      <c r="B30" s="1422" t="s">
        <v>3254</v>
      </c>
      <c r="C30" s="1403"/>
      <c r="D30" s="1403"/>
      <c r="E30" s="1410"/>
      <c r="F30" s="1410"/>
      <c r="G30" s="1410"/>
      <c r="H30" s="1419"/>
      <c r="I30" s="1403"/>
    </row>
    <row r="31" spans="1:9">
      <c r="A31" s="1403"/>
      <c r="B31" s="1409" t="s">
        <v>3248</v>
      </c>
      <c r="C31" s="1403"/>
      <c r="D31" s="1403"/>
      <c r="E31" s="1410"/>
      <c r="F31" s="1410"/>
      <c r="G31" s="1410"/>
      <c r="H31" s="1419"/>
      <c r="I31" s="1403"/>
    </row>
    <row r="32" spans="1:9">
      <c r="A32" s="1403"/>
      <c r="B32" s="1409" t="s">
        <v>129</v>
      </c>
      <c r="C32" s="1403">
        <v>24</v>
      </c>
      <c r="D32" s="1403">
        <v>1</v>
      </c>
      <c r="E32" s="1410" t="s">
        <v>21</v>
      </c>
      <c r="F32" s="1410" t="s">
        <v>21</v>
      </c>
      <c r="G32" s="1410" t="s">
        <v>21</v>
      </c>
      <c r="H32" s="1419">
        <f>PRODUCT(C32:G32)</f>
        <v>24</v>
      </c>
      <c r="I32" s="1403"/>
    </row>
    <row r="33" spans="1:9">
      <c r="A33" s="1403"/>
      <c r="B33" s="1409" t="s">
        <v>3185</v>
      </c>
      <c r="C33" s="1403">
        <v>24</v>
      </c>
      <c r="D33" s="1403">
        <v>1</v>
      </c>
      <c r="E33" s="1410" t="s">
        <v>21</v>
      </c>
      <c r="F33" s="1410" t="s">
        <v>21</v>
      </c>
      <c r="G33" s="1410" t="s">
        <v>21</v>
      </c>
      <c r="H33" s="1419">
        <f>PRODUCT(C33:G33)</f>
        <v>24</v>
      </c>
      <c r="I33" s="1403"/>
    </row>
    <row r="34" spans="1:9">
      <c r="A34" s="1403"/>
      <c r="B34" s="1409" t="s">
        <v>3246</v>
      </c>
      <c r="C34" s="1403">
        <v>24</v>
      </c>
      <c r="D34" s="1403">
        <v>1</v>
      </c>
      <c r="E34" s="1410" t="s">
        <v>21</v>
      </c>
      <c r="F34" s="1410" t="s">
        <v>21</v>
      </c>
      <c r="G34" s="1410" t="s">
        <v>21</v>
      </c>
      <c r="H34" s="1419">
        <f>PRODUCT(C34:G34)</f>
        <v>24</v>
      </c>
      <c r="I34" s="1403"/>
    </row>
    <row r="35" spans="1:9">
      <c r="A35" s="1403"/>
      <c r="B35" s="1409"/>
      <c r="C35" s="1403"/>
      <c r="D35" s="1403"/>
      <c r="E35" s="1410"/>
      <c r="F35" s="1410"/>
      <c r="G35" s="1410"/>
      <c r="H35" s="1421">
        <f>SUM(H32:H34)</f>
        <v>72</v>
      </c>
      <c r="I35" s="1403" t="s">
        <v>340</v>
      </c>
    </row>
    <row r="36" spans="1:9" ht="42.75">
      <c r="A36" s="1403">
        <v>4</v>
      </c>
      <c r="B36" s="1397" t="s">
        <v>3255</v>
      </c>
      <c r="C36" s="1403"/>
      <c r="D36" s="1403"/>
      <c r="E36" s="1410"/>
      <c r="F36" s="1410"/>
      <c r="G36" s="1410"/>
      <c r="H36" s="1419"/>
      <c r="I36" s="1403"/>
    </row>
    <row r="37" spans="1:9">
      <c r="A37" s="1403"/>
      <c r="B37" s="1409" t="s">
        <v>3248</v>
      </c>
      <c r="C37" s="1403"/>
      <c r="D37" s="1403"/>
      <c r="E37" s="1410"/>
      <c r="F37" s="1410"/>
      <c r="G37" s="1410"/>
      <c r="H37" s="1419"/>
      <c r="I37" s="1403"/>
    </row>
    <row r="38" spans="1:9">
      <c r="A38" s="1403"/>
      <c r="B38" s="1409" t="s">
        <v>129</v>
      </c>
      <c r="C38" s="1403">
        <v>24</v>
      </c>
      <c r="D38" s="1403">
        <v>1</v>
      </c>
      <c r="E38" s="1410" t="s">
        <v>21</v>
      </c>
      <c r="F38" s="1410" t="s">
        <v>21</v>
      </c>
      <c r="G38" s="1410" t="s">
        <v>21</v>
      </c>
      <c r="H38" s="1419">
        <f>PRODUCT(C38:G38)</f>
        <v>24</v>
      </c>
      <c r="I38" s="1403"/>
    </row>
    <row r="39" spans="1:9">
      <c r="A39" s="1403"/>
      <c r="B39" s="1409" t="s">
        <v>3724</v>
      </c>
      <c r="C39" s="1403">
        <v>24</v>
      </c>
      <c r="D39" s="1403">
        <v>1</v>
      </c>
      <c r="E39" s="1410" t="s">
        <v>21</v>
      </c>
      <c r="F39" s="1410" t="s">
        <v>21</v>
      </c>
      <c r="G39" s="1410" t="s">
        <v>21</v>
      </c>
      <c r="H39" s="1419">
        <f>PRODUCT(C39:G39)</f>
        <v>24</v>
      </c>
      <c r="I39" s="1403"/>
    </row>
    <row r="40" spans="1:9">
      <c r="A40" s="1403"/>
      <c r="B40" s="1409" t="s">
        <v>79</v>
      </c>
      <c r="C40" s="1403">
        <v>24</v>
      </c>
      <c r="D40" s="1403">
        <v>1</v>
      </c>
      <c r="E40" s="1410" t="s">
        <v>21</v>
      </c>
      <c r="F40" s="1410" t="s">
        <v>21</v>
      </c>
      <c r="G40" s="1410" t="s">
        <v>21</v>
      </c>
      <c r="H40" s="1419">
        <f>PRODUCT(C40:G40)</f>
        <v>24</v>
      </c>
      <c r="I40" s="1403"/>
    </row>
    <row r="41" spans="1:9">
      <c r="A41" s="1403"/>
      <c r="B41" s="1409" t="s">
        <v>3246</v>
      </c>
      <c r="C41" s="1403">
        <v>24</v>
      </c>
      <c r="D41" s="1403">
        <v>2</v>
      </c>
      <c r="E41" s="1410" t="s">
        <v>21</v>
      </c>
      <c r="F41" s="1410" t="s">
        <v>21</v>
      </c>
      <c r="G41" s="1410" t="s">
        <v>21</v>
      </c>
      <c r="H41" s="1419">
        <f>PRODUCT(C41:G41)</f>
        <v>48</v>
      </c>
      <c r="I41" s="1403"/>
    </row>
    <row r="42" spans="1:9">
      <c r="A42" s="1403"/>
      <c r="B42" s="1409"/>
      <c r="C42" s="1403"/>
      <c r="D42" s="1403"/>
      <c r="E42" s="1410"/>
      <c r="F42" s="1410"/>
      <c r="G42" s="1410"/>
      <c r="H42" s="1421">
        <f>SUM(H38:H41)</f>
        <v>120</v>
      </c>
      <c r="I42" s="1403" t="s">
        <v>340</v>
      </c>
    </row>
    <row r="43" spans="1:9" ht="56.45" customHeight="1">
      <c r="A43" s="1403">
        <v>5</v>
      </c>
      <c r="B43" s="1397" t="s">
        <v>3256</v>
      </c>
      <c r="C43" s="1403"/>
      <c r="D43" s="1403"/>
      <c r="E43" s="1410"/>
      <c r="F43" s="1410"/>
      <c r="G43" s="1410"/>
      <c r="H43" s="1419"/>
      <c r="I43" s="1403"/>
    </row>
    <row r="44" spans="1:9">
      <c r="A44" s="1403"/>
      <c r="B44" s="1409" t="s">
        <v>3257</v>
      </c>
      <c r="C44" s="1403">
        <v>24</v>
      </c>
      <c r="D44" s="1403">
        <v>1</v>
      </c>
      <c r="E44" s="1410" t="s">
        <v>21</v>
      </c>
      <c r="F44" s="1410" t="s">
        <v>21</v>
      </c>
      <c r="G44" s="1410" t="s">
        <v>21</v>
      </c>
      <c r="H44" s="1419">
        <f>PRODUCT(C44:G44)</f>
        <v>24</v>
      </c>
      <c r="I44" s="1403"/>
    </row>
    <row r="45" spans="1:9">
      <c r="A45" s="1403"/>
      <c r="B45" s="1409" t="s">
        <v>5303</v>
      </c>
      <c r="C45" s="1403">
        <v>6</v>
      </c>
      <c r="D45" s="1403">
        <v>1</v>
      </c>
      <c r="E45" s="1410" t="s">
        <v>21</v>
      </c>
      <c r="F45" s="1410" t="s">
        <v>21</v>
      </c>
      <c r="G45" s="1410" t="s">
        <v>21</v>
      </c>
      <c r="H45" s="1419">
        <f>PRODUCT(C45:G45)</f>
        <v>6</v>
      </c>
      <c r="I45" s="1403"/>
    </row>
    <row r="46" spans="1:9">
      <c r="A46" s="1403"/>
      <c r="B46" s="1409"/>
      <c r="C46" s="1403"/>
      <c r="D46" s="1403"/>
      <c r="E46" s="1410"/>
      <c r="F46" s="1410"/>
      <c r="G46" s="1410"/>
      <c r="H46" s="1421">
        <f>SUM(H44:H45)</f>
        <v>30</v>
      </c>
      <c r="I46" s="1403" t="s">
        <v>340</v>
      </c>
    </row>
    <row r="47" spans="1:9" ht="54" customHeight="1">
      <c r="A47" s="1403">
        <v>6</v>
      </c>
      <c r="B47" s="1397" t="s">
        <v>3258</v>
      </c>
      <c r="C47" s="1403"/>
      <c r="D47" s="1403"/>
      <c r="E47" s="1410"/>
      <c r="F47" s="1410"/>
      <c r="G47" s="1410"/>
      <c r="H47" s="1419"/>
      <c r="I47" s="1403"/>
    </row>
    <row r="48" spans="1:9" ht="19.149999999999999" customHeight="1">
      <c r="A48" s="1403"/>
      <c r="B48" s="1397" t="s">
        <v>5302</v>
      </c>
      <c r="C48" s="1403"/>
      <c r="D48" s="1403"/>
      <c r="E48" s="1410"/>
      <c r="F48" s="1410"/>
      <c r="G48" s="1410"/>
      <c r="H48" s="1419"/>
      <c r="I48" s="1403"/>
    </row>
    <row r="49" spans="1:9">
      <c r="A49" s="1403"/>
      <c r="B49" s="1409" t="s">
        <v>1</v>
      </c>
      <c r="C49" s="1403">
        <v>24</v>
      </c>
      <c r="D49" s="1403">
        <v>2</v>
      </c>
      <c r="E49" s="1410" t="s">
        <v>21</v>
      </c>
      <c r="F49" s="1410" t="s">
        <v>21</v>
      </c>
      <c r="G49" s="1410" t="s">
        <v>21</v>
      </c>
      <c r="H49" s="1419">
        <f>PRODUCT(C49:G49)</f>
        <v>48</v>
      </c>
      <c r="I49" s="1403"/>
    </row>
    <row r="50" spans="1:9">
      <c r="A50" s="1403"/>
      <c r="B50" s="1409" t="s">
        <v>79</v>
      </c>
      <c r="C50" s="1403">
        <v>24</v>
      </c>
      <c r="D50" s="1403">
        <v>1</v>
      </c>
      <c r="E50" s="1410" t="s">
        <v>21</v>
      </c>
      <c r="F50" s="1410" t="s">
        <v>21</v>
      </c>
      <c r="G50" s="1410" t="s">
        <v>21</v>
      </c>
      <c r="H50" s="1419">
        <f>PRODUCT(C50:G50)</f>
        <v>24</v>
      </c>
      <c r="I50" s="1403"/>
    </row>
    <row r="51" spans="1:9">
      <c r="A51" s="1403"/>
      <c r="B51" s="1409" t="s">
        <v>3185</v>
      </c>
      <c r="C51" s="1403">
        <v>24</v>
      </c>
      <c r="D51" s="1403">
        <v>1</v>
      </c>
      <c r="E51" s="1410" t="s">
        <v>21</v>
      </c>
      <c r="F51" s="1410" t="s">
        <v>21</v>
      </c>
      <c r="G51" s="1410" t="s">
        <v>21</v>
      </c>
      <c r="H51" s="1419">
        <f>PRODUCT(C51:G51)</f>
        <v>24</v>
      </c>
      <c r="I51" s="1403"/>
    </row>
    <row r="52" spans="1:9">
      <c r="A52" s="1403"/>
      <c r="B52" s="1409"/>
      <c r="C52" s="1403"/>
      <c r="D52" s="1403"/>
      <c r="E52" s="1410"/>
      <c r="F52" s="1410"/>
      <c r="G52" s="1410"/>
      <c r="H52" s="1421">
        <f>SUM(H49:H51)</f>
        <v>96</v>
      </c>
      <c r="I52" s="1403"/>
    </row>
    <row r="53" spans="1:9">
      <c r="A53" s="1403"/>
      <c r="B53" s="1397" t="s">
        <v>3259</v>
      </c>
      <c r="C53" s="1403"/>
      <c r="D53" s="1403"/>
      <c r="E53" s="1410"/>
      <c r="F53" s="1410"/>
      <c r="G53" s="1410"/>
      <c r="H53" s="1419"/>
      <c r="I53" s="1403"/>
    </row>
    <row r="54" spans="1:9">
      <c r="A54" s="1403"/>
      <c r="B54" s="1409" t="s">
        <v>3252</v>
      </c>
      <c r="C54" s="1403">
        <v>6</v>
      </c>
      <c r="D54" s="1403">
        <v>1</v>
      </c>
      <c r="E54" s="1410" t="s">
        <v>21</v>
      </c>
      <c r="F54" s="1410" t="s">
        <v>21</v>
      </c>
      <c r="G54" s="1410" t="s">
        <v>21</v>
      </c>
      <c r="H54" s="1419">
        <f>PRODUCT(C54:G54)</f>
        <v>6</v>
      </c>
      <c r="I54" s="1403"/>
    </row>
    <row r="55" spans="1:9">
      <c r="A55" s="1403"/>
      <c r="B55" s="1409" t="s">
        <v>3257</v>
      </c>
      <c r="C55" s="1403">
        <v>24</v>
      </c>
      <c r="D55" s="1403">
        <v>1</v>
      </c>
      <c r="E55" s="1410" t="s">
        <v>21</v>
      </c>
      <c r="F55" s="1410" t="s">
        <v>21</v>
      </c>
      <c r="G55" s="1410" t="s">
        <v>21</v>
      </c>
      <c r="H55" s="1419">
        <f>PRODUCT(C55:G55)</f>
        <v>24</v>
      </c>
      <c r="I55" s="1403"/>
    </row>
    <row r="56" spans="1:9">
      <c r="A56" s="1403"/>
      <c r="B56" s="1409"/>
      <c r="C56" s="1403"/>
      <c r="D56" s="1403"/>
      <c r="E56" s="1410"/>
      <c r="F56" s="1410"/>
      <c r="G56" s="1410"/>
      <c r="H56" s="1421">
        <f>SUM(H54:H55)</f>
        <v>30</v>
      </c>
      <c r="I56" s="1403" t="s">
        <v>340</v>
      </c>
    </row>
    <row r="57" spans="1:9">
      <c r="A57" s="1403"/>
      <c r="B57" s="1409"/>
      <c r="C57" s="1403"/>
      <c r="D57" s="1403"/>
      <c r="E57" s="1410"/>
      <c r="F57" s="1410"/>
      <c r="G57" s="1410"/>
      <c r="H57" s="1419"/>
      <c r="I57" s="1403"/>
    </row>
    <row r="58" spans="1:9" ht="52.9" customHeight="1">
      <c r="A58" s="1403">
        <v>7</v>
      </c>
      <c r="B58" s="1397" t="s">
        <v>3260</v>
      </c>
      <c r="C58" s="1403"/>
      <c r="D58" s="1403"/>
      <c r="E58" s="1410"/>
      <c r="F58" s="1410"/>
      <c r="G58" s="1410"/>
      <c r="H58" s="1419"/>
      <c r="I58" s="1403"/>
    </row>
    <row r="59" spans="1:9">
      <c r="A59" s="1403"/>
      <c r="B59" s="1409" t="s">
        <v>3248</v>
      </c>
      <c r="C59" s="1403"/>
      <c r="D59" s="1403"/>
      <c r="E59" s="1410"/>
      <c r="F59" s="1410"/>
      <c r="G59" s="1410"/>
      <c r="H59" s="1419"/>
      <c r="I59" s="1403"/>
    </row>
    <row r="60" spans="1:9">
      <c r="A60" s="1403"/>
      <c r="B60" s="1409" t="s">
        <v>3245</v>
      </c>
      <c r="C60" s="1403">
        <v>24</v>
      </c>
      <c r="D60" s="1403">
        <v>1</v>
      </c>
      <c r="E60" s="1410" t="s">
        <v>21</v>
      </c>
      <c r="F60" s="1410" t="s">
        <v>21</v>
      </c>
      <c r="G60" s="1410" t="s">
        <v>21</v>
      </c>
      <c r="H60" s="1419">
        <f t="shared" ref="H60:H63" si="1">PRODUCT(C60:G60)</f>
        <v>24</v>
      </c>
      <c r="I60" s="1403"/>
    </row>
    <row r="61" spans="1:9">
      <c r="A61" s="1403"/>
      <c r="B61" s="1409" t="s">
        <v>129</v>
      </c>
      <c r="C61" s="1403">
        <v>24</v>
      </c>
      <c r="D61" s="1403">
        <v>1</v>
      </c>
      <c r="E61" s="1410" t="s">
        <v>21</v>
      </c>
      <c r="F61" s="1410" t="s">
        <v>21</v>
      </c>
      <c r="G61" s="1410" t="s">
        <v>21</v>
      </c>
      <c r="H61" s="1419">
        <f t="shared" si="1"/>
        <v>24</v>
      </c>
      <c r="I61" s="1403"/>
    </row>
    <row r="62" spans="1:9">
      <c r="A62" s="1403"/>
      <c r="B62" s="1409" t="s">
        <v>3185</v>
      </c>
      <c r="C62" s="1403">
        <v>24</v>
      </c>
      <c r="D62" s="1403">
        <v>1</v>
      </c>
      <c r="E62" s="1410" t="s">
        <v>21</v>
      </c>
      <c r="F62" s="1410" t="s">
        <v>21</v>
      </c>
      <c r="G62" s="1410" t="s">
        <v>21</v>
      </c>
      <c r="H62" s="1419">
        <f t="shared" si="1"/>
        <v>24</v>
      </c>
      <c r="I62" s="1403"/>
    </row>
    <row r="63" spans="1:9">
      <c r="A63" s="1403"/>
      <c r="B63" s="1409" t="s">
        <v>3246</v>
      </c>
      <c r="C63" s="1403">
        <v>24</v>
      </c>
      <c r="D63" s="1403">
        <v>1</v>
      </c>
      <c r="E63" s="1410" t="s">
        <v>21</v>
      </c>
      <c r="F63" s="1410" t="s">
        <v>21</v>
      </c>
      <c r="G63" s="1410" t="s">
        <v>21</v>
      </c>
      <c r="H63" s="1419">
        <f t="shared" si="1"/>
        <v>24</v>
      </c>
      <c r="I63" s="1403"/>
    </row>
    <row r="64" spans="1:9">
      <c r="A64" s="1403"/>
      <c r="B64" s="1409"/>
      <c r="C64" s="1403"/>
      <c r="D64" s="1403"/>
      <c r="E64" s="1410"/>
      <c r="F64" s="1410"/>
      <c r="G64" s="1410"/>
      <c r="H64" s="1421">
        <f>SUM(H60:H63)</f>
        <v>96</v>
      </c>
      <c r="I64" s="1403" t="s">
        <v>340</v>
      </c>
    </row>
    <row r="65" spans="1:9">
      <c r="A65" s="1403"/>
      <c r="B65" s="1409"/>
      <c r="C65" s="1403"/>
      <c r="D65" s="1403"/>
      <c r="E65" s="1410"/>
      <c r="F65" s="1410"/>
      <c r="G65" s="1410"/>
      <c r="H65" s="1419"/>
      <c r="I65" s="1403"/>
    </row>
    <row r="66" spans="1:9" ht="51.6" customHeight="1">
      <c r="A66" s="1403">
        <v>8</v>
      </c>
      <c r="B66" s="1397" t="s">
        <v>3261</v>
      </c>
      <c r="C66" s="1403"/>
      <c r="D66" s="1403"/>
      <c r="E66" s="1410"/>
      <c r="F66" s="1410"/>
      <c r="G66" s="1410"/>
      <c r="H66" s="1419"/>
      <c r="I66" s="1403"/>
    </row>
    <row r="67" spans="1:9">
      <c r="A67" s="1403"/>
      <c r="B67" s="1409" t="s">
        <v>3262</v>
      </c>
      <c r="C67" s="1403">
        <v>6</v>
      </c>
      <c r="D67" s="1403">
        <v>3</v>
      </c>
      <c r="E67" s="1410" t="s">
        <v>21</v>
      </c>
      <c r="F67" s="1410" t="s">
        <v>21</v>
      </c>
      <c r="G67" s="1410" t="s">
        <v>21</v>
      </c>
      <c r="H67" s="1419">
        <f>PRODUCT(C67:G67)</f>
        <v>18</v>
      </c>
      <c r="I67" s="1403"/>
    </row>
    <row r="68" spans="1:9">
      <c r="A68" s="1403"/>
      <c r="B68" s="1409"/>
      <c r="C68" s="1403"/>
      <c r="D68" s="1403"/>
      <c r="E68" s="1410"/>
      <c r="F68" s="1410"/>
      <c r="G68" s="1410"/>
      <c r="H68" s="1421">
        <f>SUM(H67:H67)</f>
        <v>18</v>
      </c>
      <c r="I68" s="1403" t="s">
        <v>340</v>
      </c>
    </row>
    <row r="69" spans="1:9">
      <c r="A69" s="1403"/>
      <c r="B69" s="1409"/>
      <c r="C69" s="1403"/>
      <c r="D69" s="1403"/>
      <c r="E69" s="1410"/>
      <c r="F69" s="1410"/>
      <c r="G69" s="1410"/>
      <c r="H69" s="1419"/>
      <c r="I69" s="1403"/>
    </row>
    <row r="70" spans="1:9" ht="51" customHeight="1">
      <c r="A70" s="1403">
        <v>9</v>
      </c>
      <c r="B70" s="1466" t="s">
        <v>3721</v>
      </c>
      <c r="C70" s="1403"/>
      <c r="D70" s="1403"/>
      <c r="E70" s="1410"/>
      <c r="F70" s="1410"/>
      <c r="G70" s="1410"/>
      <c r="H70" s="1419"/>
      <c r="I70" s="1403"/>
    </row>
    <row r="71" spans="1:9">
      <c r="A71" s="1403"/>
      <c r="B71" s="1409" t="s">
        <v>3238</v>
      </c>
      <c r="C71" s="1403">
        <v>24</v>
      </c>
      <c r="D71" s="1403">
        <v>1</v>
      </c>
      <c r="E71" s="1410">
        <v>35</v>
      </c>
      <c r="F71" s="1410" t="s">
        <v>21</v>
      </c>
      <c r="G71" s="1410" t="s">
        <v>21</v>
      </c>
      <c r="H71" s="1419">
        <f>PRODUCT(C71:G71)</f>
        <v>840</v>
      </c>
      <c r="I71" s="1403"/>
    </row>
    <row r="72" spans="1:9">
      <c r="A72" s="1403"/>
      <c r="B72" s="1409"/>
      <c r="C72" s="1403"/>
      <c r="D72" s="1403"/>
      <c r="E72" s="1410"/>
      <c r="F72" s="1410"/>
      <c r="G72" s="1410"/>
      <c r="H72" s="1421">
        <f>SUM(H71:H71)</f>
        <v>840</v>
      </c>
      <c r="I72" s="1403" t="s">
        <v>303</v>
      </c>
    </row>
    <row r="73" spans="1:9">
      <c r="A73" s="1403"/>
      <c r="B73" s="1409"/>
      <c r="C73" s="1403"/>
      <c r="D73" s="1403"/>
      <c r="E73" s="1410"/>
      <c r="F73" s="1410"/>
      <c r="G73" s="1410"/>
      <c r="H73" s="1419"/>
      <c r="I73" s="1403"/>
    </row>
    <row r="74" spans="1:9" ht="59.45" customHeight="1">
      <c r="A74" s="1403">
        <v>10</v>
      </c>
      <c r="B74" s="1435" t="s">
        <v>3265</v>
      </c>
      <c r="C74" s="1403"/>
      <c r="D74" s="1403"/>
      <c r="E74" s="1410"/>
      <c r="F74" s="1410"/>
      <c r="G74" s="1410"/>
      <c r="H74" s="1419"/>
      <c r="I74" s="1403"/>
    </row>
    <row r="75" spans="1:9">
      <c r="A75" s="1403"/>
      <c r="B75" s="1409" t="s">
        <v>3196</v>
      </c>
      <c r="C75" s="1403">
        <v>24</v>
      </c>
      <c r="D75" s="1403">
        <v>1</v>
      </c>
      <c r="E75" s="1410">
        <v>30</v>
      </c>
      <c r="F75" s="1410" t="s">
        <v>21</v>
      </c>
      <c r="G75" s="1410" t="s">
        <v>21</v>
      </c>
      <c r="H75" s="1419">
        <f>PRODUCT(C75:G75)</f>
        <v>720</v>
      </c>
      <c r="I75" s="1403"/>
    </row>
    <row r="76" spans="1:9">
      <c r="A76" s="1403"/>
      <c r="B76" s="1409"/>
      <c r="C76" s="1403"/>
      <c r="D76" s="1403"/>
      <c r="E76" s="1410"/>
      <c r="F76" s="1410"/>
      <c r="G76" s="1410"/>
      <c r="H76" s="1421">
        <f>SUM(H75:H75)</f>
        <v>720</v>
      </c>
      <c r="I76" s="1403" t="s">
        <v>303</v>
      </c>
    </row>
    <row r="77" spans="1:9" ht="114">
      <c r="A77" s="1403">
        <v>11</v>
      </c>
      <c r="B77" s="1467" t="s">
        <v>3565</v>
      </c>
      <c r="C77" s="1403"/>
      <c r="D77" s="1403"/>
      <c r="E77" s="1410"/>
      <c r="F77" s="1410"/>
      <c r="G77" s="1410"/>
      <c r="H77" s="1419"/>
      <c r="I77" s="1403"/>
    </row>
    <row r="78" spans="1:9">
      <c r="A78" s="1403"/>
      <c r="B78" s="1409" t="s">
        <v>3238</v>
      </c>
      <c r="C78" s="1403">
        <v>12</v>
      </c>
      <c r="D78" s="1403">
        <v>2</v>
      </c>
      <c r="E78" s="1410" t="s">
        <v>21</v>
      </c>
      <c r="F78" s="1410" t="s">
        <v>21</v>
      </c>
      <c r="G78" s="1410" t="s">
        <v>21</v>
      </c>
      <c r="H78" s="1406">
        <f>PRODUCT(C78:G78)</f>
        <v>24</v>
      </c>
      <c r="I78" s="1403"/>
    </row>
    <row r="79" spans="1:9">
      <c r="A79" s="1403"/>
      <c r="B79" s="1409"/>
      <c r="C79" s="1403"/>
      <c r="D79" s="1403"/>
      <c r="E79" s="1410"/>
      <c r="F79" s="1410"/>
      <c r="G79" s="1410"/>
      <c r="H79" s="1421">
        <f>SUM(H78:H78)</f>
        <v>24</v>
      </c>
      <c r="I79" s="1403" t="s">
        <v>340</v>
      </c>
    </row>
    <row r="80" spans="1:9">
      <c r="A80" s="1403"/>
      <c r="B80" s="1409"/>
      <c r="C80" s="1403"/>
      <c r="D80" s="1403"/>
      <c r="E80" s="1410"/>
      <c r="F80" s="1410"/>
      <c r="G80" s="1410"/>
      <c r="H80" s="1421"/>
      <c r="I80" s="1403"/>
    </row>
    <row r="81" spans="1:9" ht="51.6" customHeight="1">
      <c r="A81" s="1403">
        <v>12</v>
      </c>
      <c r="B81" s="1435" t="s">
        <v>3568</v>
      </c>
      <c r="C81" s="1403"/>
      <c r="D81" s="1403"/>
      <c r="E81" s="1410"/>
      <c r="F81" s="1410"/>
      <c r="G81" s="1410"/>
      <c r="H81" s="1419"/>
      <c r="I81" s="1403"/>
    </row>
    <row r="82" spans="1:9">
      <c r="A82" s="1403"/>
      <c r="B82" s="1409" t="s">
        <v>3484</v>
      </c>
      <c r="C82" s="1403">
        <v>6</v>
      </c>
      <c r="D82" s="1403">
        <v>1</v>
      </c>
      <c r="E82" s="1410" t="s">
        <v>21</v>
      </c>
      <c r="F82" s="1410" t="s">
        <v>21</v>
      </c>
      <c r="G82" s="1410" t="s">
        <v>21</v>
      </c>
      <c r="H82" s="1406">
        <f>PRODUCT(C82:G82)</f>
        <v>6</v>
      </c>
      <c r="I82" s="1403"/>
    </row>
    <row r="83" spans="1:9">
      <c r="A83" s="1403"/>
      <c r="B83" s="1409"/>
      <c r="C83" s="1403"/>
      <c r="D83" s="1403"/>
      <c r="E83" s="1410"/>
      <c r="F83" s="1410"/>
      <c r="G83" s="1410"/>
      <c r="H83" s="1421">
        <f>SUM(H81:H82)</f>
        <v>6</v>
      </c>
      <c r="I83" s="1403" t="s">
        <v>340</v>
      </c>
    </row>
    <row r="84" spans="1:9" ht="58.9" customHeight="1">
      <c r="A84" s="1403">
        <v>13</v>
      </c>
      <c r="B84" s="1435" t="str">
        <f>'SI- Elec  '!B78</f>
        <v xml:space="preserve">Supply and fixing ofTNEB Meter board suitable for 3 phase 63 A service connection made up of suitable angle </v>
      </c>
      <c r="C84" s="1403"/>
      <c r="D84" s="1403"/>
      <c r="E84" s="1410"/>
      <c r="F84" s="1410"/>
      <c r="G84" s="1410"/>
      <c r="H84" s="1419"/>
      <c r="I84" s="1403"/>
    </row>
    <row r="85" spans="1:9">
      <c r="A85" s="1403"/>
      <c r="B85" s="1409" t="s">
        <v>3238</v>
      </c>
      <c r="C85" s="1403">
        <v>12</v>
      </c>
      <c r="D85" s="1403">
        <v>2</v>
      </c>
      <c r="E85" s="1410" t="s">
        <v>21</v>
      </c>
      <c r="F85" s="1410" t="s">
        <v>21</v>
      </c>
      <c r="G85" s="1410" t="s">
        <v>21</v>
      </c>
      <c r="H85" s="1468">
        <f>PRODUCT(C85:G85)</f>
        <v>24</v>
      </c>
      <c r="I85" s="1403" t="s">
        <v>340</v>
      </c>
    </row>
    <row r="86" spans="1:9">
      <c r="A86" s="1403"/>
      <c r="B86" s="1409"/>
      <c r="C86" s="1403"/>
      <c r="D86" s="1403"/>
      <c r="E86" s="1410"/>
      <c r="F86" s="1410"/>
      <c r="G86" s="1410"/>
      <c r="H86" s="1419"/>
      <c r="I86" s="1403"/>
    </row>
    <row r="87" spans="1:9" ht="57" customHeight="1">
      <c r="A87" s="1403">
        <v>14</v>
      </c>
      <c r="B87" s="1466" t="s">
        <v>3725</v>
      </c>
      <c r="C87" s="1403"/>
      <c r="D87" s="1403"/>
      <c r="E87" s="1410"/>
      <c r="F87" s="1410"/>
      <c r="G87" s="1410"/>
      <c r="H87" s="1419"/>
      <c r="I87" s="1403"/>
    </row>
    <row r="88" spans="1:9">
      <c r="A88" s="1403"/>
      <c r="B88" s="1409" t="s">
        <v>3722</v>
      </c>
      <c r="C88" s="1403">
        <v>24</v>
      </c>
      <c r="D88" s="1403">
        <v>1</v>
      </c>
      <c r="E88" s="1410">
        <v>5</v>
      </c>
      <c r="F88" s="1410"/>
      <c r="G88" s="1410"/>
      <c r="H88" s="1468">
        <f>PRODUCT(C88:G88)</f>
        <v>120</v>
      </c>
      <c r="I88" s="1403" t="s">
        <v>303</v>
      </c>
    </row>
    <row r="89" spans="1:9">
      <c r="A89" s="1403"/>
      <c r="B89" s="1409"/>
      <c r="C89" s="1403"/>
      <c r="D89" s="1403"/>
      <c r="E89" s="1410"/>
      <c r="F89" s="1410"/>
      <c r="G89" s="1410"/>
      <c r="H89" s="1419"/>
      <c r="I89" s="1403"/>
    </row>
    <row r="90" spans="1:9" ht="42.75">
      <c r="A90" s="1403">
        <v>15</v>
      </c>
      <c r="B90" s="1435" t="str">
        <f>'SI- Elec  '!B84</f>
        <v xml:space="preserve">Supplying and fixing of GI Service pipe line including cost of materials and labours etc.., completed </v>
      </c>
      <c r="C90" s="1403"/>
      <c r="D90" s="1403"/>
      <c r="E90" s="1410"/>
      <c r="F90" s="1410"/>
      <c r="G90" s="1410"/>
      <c r="H90" s="1419"/>
      <c r="I90" s="1403"/>
    </row>
    <row r="91" spans="1:9">
      <c r="A91" s="1403"/>
      <c r="B91" s="1409" t="s">
        <v>5366</v>
      </c>
      <c r="C91" s="1403">
        <v>12</v>
      </c>
      <c r="D91" s="1403">
        <v>2</v>
      </c>
      <c r="E91" s="1410">
        <v>3</v>
      </c>
      <c r="F91" s="1410" t="s">
        <v>21</v>
      </c>
      <c r="G91" s="1410" t="s">
        <v>21</v>
      </c>
      <c r="H91" s="1468">
        <f>PRODUCT(C91:G91)</f>
        <v>72</v>
      </c>
      <c r="I91" s="1403" t="s">
        <v>303</v>
      </c>
    </row>
    <row r="92" spans="1:9">
      <c r="A92" s="1403"/>
      <c r="B92" s="1409"/>
      <c r="C92" s="1403"/>
      <c r="D92" s="1403"/>
      <c r="E92" s="1410"/>
      <c r="F92" s="1410"/>
      <c r="G92" s="1410"/>
      <c r="H92" s="1419"/>
      <c r="I92" s="1403"/>
    </row>
  </sheetData>
  <mergeCells count="5">
    <mergeCell ref="A1:I1"/>
    <mergeCell ref="A2:I2"/>
    <mergeCell ref="A4:I4"/>
    <mergeCell ref="C5:D5"/>
    <mergeCell ref="A3:I3"/>
  </mergeCells>
  <pageMargins left="0.23622047244094491" right="0.23622047244094491" top="0.74803149606299213" bottom="0.55118110236220474" header="0.31496062992125984" footer="0.31496062992125984"/>
  <pageSetup paperSize="9" scale="98" orientation="portrait" r:id="rId1"/>
</worksheet>
</file>

<file path=xl/worksheets/sheet34.xml><?xml version="1.0" encoding="utf-8"?>
<worksheet xmlns="http://schemas.openxmlformats.org/spreadsheetml/2006/main" xmlns:r="http://schemas.openxmlformats.org/officeDocument/2006/relationships">
  <sheetPr codeName="Sheet10"/>
  <dimension ref="A1:G32"/>
  <sheetViews>
    <sheetView view="pageBreakPreview" zoomScale="85" zoomScaleSheetLayoutView="85" workbookViewId="0">
      <selection activeCell="O9" sqref="A1:XFD1048576"/>
    </sheetView>
  </sheetViews>
  <sheetFormatPr defaultColWidth="9.28515625" defaultRowHeight="15.75"/>
  <cols>
    <col min="1" max="1" width="5" style="49" customWidth="1"/>
    <col min="2" max="2" width="11.7109375" style="559" customWidth="1"/>
    <col min="3" max="3" width="32.5703125" style="49" customWidth="1"/>
    <col min="4" max="4" width="14.28515625" style="559" customWidth="1"/>
    <col min="5" max="5" width="9.28515625" style="49"/>
    <col min="6" max="6" width="17.7109375" style="559" customWidth="1"/>
    <col min="7" max="7" width="13.28515625" style="9" bestFit="1" customWidth="1"/>
    <col min="8" max="8" width="9.28515625" style="9"/>
    <col min="9" max="9" width="13.28515625" style="9" bestFit="1" customWidth="1"/>
    <col min="10" max="16384" width="9.28515625" style="9"/>
  </cols>
  <sheetData>
    <row r="1" spans="1:6" s="570" customFormat="1" ht="21.75" customHeight="1">
      <c r="A1" s="1950" t="s">
        <v>241</v>
      </c>
      <c r="B1" s="1950"/>
      <c r="C1" s="1950"/>
      <c r="D1" s="1950"/>
      <c r="E1" s="1950"/>
      <c r="F1" s="1950"/>
    </row>
    <row r="2" spans="1:6" s="570" customFormat="1" ht="47.45" customHeight="1">
      <c r="A2" s="1950" t="str">
        <f>'PC- Elec'!A2:I2</f>
        <v>Name of work: Providing Special Repair works for 5 Nos INS, 8 Nos SI, 24 Nos PC/HC Quarters  at Church Hill Ooty in the Nilgiri District</v>
      </c>
      <c r="B2" s="1950"/>
      <c r="C2" s="1950"/>
      <c r="D2" s="1950"/>
      <c r="E2" s="1950"/>
      <c r="F2" s="1950"/>
    </row>
    <row r="3" spans="1:6" s="570" customFormat="1" ht="47.45" customHeight="1">
      <c r="A3" s="2076" t="s">
        <v>3743</v>
      </c>
      <c r="B3" s="2077"/>
      <c r="C3" s="2077"/>
      <c r="D3" s="2077"/>
      <c r="E3" s="2077"/>
      <c r="F3" s="2078"/>
    </row>
    <row r="4" spans="1:6">
      <c r="A4" s="1951" t="s">
        <v>351</v>
      </c>
      <c r="B4" s="1952"/>
      <c r="C4" s="1952"/>
      <c r="D4" s="1952"/>
      <c r="E4" s="1952"/>
      <c r="F4" s="1953"/>
    </row>
    <row r="5" spans="1:6" ht="31.5">
      <c r="A5" s="2" t="s">
        <v>219</v>
      </c>
      <c r="B5" s="21" t="s">
        <v>3</v>
      </c>
      <c r="C5" s="671" t="s">
        <v>11</v>
      </c>
      <c r="D5" s="21" t="s">
        <v>217</v>
      </c>
      <c r="E5" s="671" t="s">
        <v>10</v>
      </c>
      <c r="F5" s="21" t="s">
        <v>218</v>
      </c>
    </row>
    <row r="6" spans="1:6" ht="63">
      <c r="A6" s="2">
        <v>1</v>
      </c>
      <c r="B6" s="3"/>
      <c r="C6" s="31" t="str">
        <f>'PC- Elec'!B6</f>
        <v xml:space="preserve">Wiring with 1.5sqmm pvc multistrand copper cable including cost of materials and labours etc.., completed </v>
      </c>
      <c r="D6" s="3"/>
      <c r="E6" s="30"/>
      <c r="F6" s="13"/>
    </row>
    <row r="7" spans="1:6" ht="26.25" customHeight="1">
      <c r="A7" s="2"/>
      <c r="B7" s="3">
        <f>'PC- Elec'!H16</f>
        <v>144</v>
      </c>
      <c r="C7" s="31" t="str">
        <f>'PC- Elec'!B7</f>
        <v>a)Light point with ceiling rose</v>
      </c>
      <c r="D7" s="3" t="e">
        <f>#REF!</f>
        <v>#REF!</v>
      </c>
      <c r="E7" s="30" t="s">
        <v>340</v>
      </c>
      <c r="F7" s="13" t="e">
        <f t="shared" ref="F7:F23" si="0">B7*D7</f>
        <v>#REF!</v>
      </c>
    </row>
    <row r="8" spans="1:6" ht="40.9" customHeight="1">
      <c r="A8" s="2"/>
      <c r="B8" s="3">
        <f>'PC- Elec'!H21</f>
        <v>96</v>
      </c>
      <c r="C8" s="31" t="str">
        <f>'PC- Elec'!B17</f>
        <v>b) light point with pattern type bakelite holder</v>
      </c>
      <c r="D8" s="3" t="e">
        <f>#REF!</f>
        <v>#REF!</v>
      </c>
      <c r="E8" s="30" t="s">
        <v>340</v>
      </c>
      <c r="F8" s="13" t="e">
        <f t="shared" si="0"/>
        <v>#REF!</v>
      </c>
    </row>
    <row r="9" spans="1:6" ht="78" customHeight="1">
      <c r="A9" s="2">
        <v>2</v>
      </c>
      <c r="B9" s="3">
        <f>'PC- Elec'!H28</f>
        <v>72</v>
      </c>
      <c r="C9" s="31" t="str">
        <f>'PC- Elec'!B23</f>
        <v xml:space="preserve">Supply and fixing for 5 amps 5pinplug for switch board itself including cost of materials and labours etc.., completed </v>
      </c>
      <c r="D9" s="3" t="e">
        <f>#REF!</f>
        <v>#REF!</v>
      </c>
      <c r="E9" s="30" t="s">
        <v>340</v>
      </c>
      <c r="F9" s="13" t="e">
        <f t="shared" si="0"/>
        <v>#REF!</v>
      </c>
    </row>
    <row r="10" spans="1:6" ht="79.900000000000006" customHeight="1">
      <c r="A10" s="2">
        <v>3</v>
      </c>
      <c r="B10" s="3">
        <f>'PC- Elec'!H35</f>
        <v>72</v>
      </c>
      <c r="C10" s="31" t="str">
        <f>'PC- Elec'!B30</f>
        <v xml:space="preserve">Supply and fixing for 5 amps 5 pin plug for convenient places including cost of materials and labours etc.., completed </v>
      </c>
      <c r="D10" s="3" t="e">
        <f>#REF!</f>
        <v>#REF!</v>
      </c>
      <c r="E10" s="30" t="s">
        <v>340</v>
      </c>
      <c r="F10" s="13" t="e">
        <f t="shared" si="0"/>
        <v>#REF!</v>
      </c>
    </row>
    <row r="11" spans="1:6" ht="69.599999999999994" customHeight="1">
      <c r="A11" s="2">
        <v>4</v>
      </c>
      <c r="B11" s="3">
        <f>'PC- Elec'!H42</f>
        <v>120</v>
      </c>
      <c r="C11" s="31" t="str">
        <f>'PC- Elec'!B36</f>
        <v xml:space="preserve">Supply and fixing 15 amps power plug including cost of materials and labours etc.., completed </v>
      </c>
      <c r="D11" s="3" t="e">
        <f>#REF!</f>
        <v>#REF!</v>
      </c>
      <c r="E11" s="30" t="s">
        <v>340</v>
      </c>
      <c r="F11" s="13" t="e">
        <f t="shared" si="0"/>
        <v>#REF!</v>
      </c>
    </row>
    <row r="12" spans="1:6" ht="54.6" customHeight="1">
      <c r="A12" s="2">
        <v>5</v>
      </c>
      <c r="B12" s="3">
        <f>'PC- Elec'!H44</f>
        <v>24</v>
      </c>
      <c r="C12" s="31" t="str">
        <f>'PC- Elec'!B43</f>
        <v xml:space="preserve">Supplying and fixing of bulkhead fittings including cost of materials and labours etc.., completed </v>
      </c>
      <c r="D12" s="3" t="e">
        <f>#REF!</f>
        <v>#REF!</v>
      </c>
      <c r="E12" s="30" t="s">
        <v>340</v>
      </c>
      <c r="F12" s="13" t="e">
        <f t="shared" si="0"/>
        <v>#REF!</v>
      </c>
    </row>
    <row r="13" spans="1:6" ht="64.900000000000006" customHeight="1">
      <c r="A13" s="2">
        <v>6</v>
      </c>
      <c r="B13" s="3"/>
      <c r="C13" s="31" t="str">
        <f>'PC- Elec'!B47</f>
        <v xml:space="preserve">Supplying and fixing of LED Bulbs  including cost of materials and labours etc.., completed </v>
      </c>
      <c r="D13" s="3"/>
      <c r="E13" s="30"/>
      <c r="F13" s="13"/>
    </row>
    <row r="14" spans="1:6" ht="25.15" customHeight="1">
      <c r="A14" s="2"/>
      <c r="B14" s="3">
        <f>'PC- Elec'!H56</f>
        <v>30</v>
      </c>
      <c r="C14" s="31" t="str">
        <f>'PC- Elec'!B53</f>
        <v>12 watts</v>
      </c>
      <c r="D14" s="3">
        <v>170</v>
      </c>
      <c r="E14" s="30" t="s">
        <v>340</v>
      </c>
      <c r="F14" s="13">
        <f t="shared" si="0"/>
        <v>5100</v>
      </c>
    </row>
    <row r="15" spans="1:6" ht="70.150000000000006" customHeight="1">
      <c r="A15" s="2">
        <v>7</v>
      </c>
      <c r="B15" s="3">
        <f>'PC- Elec'!H64</f>
        <v>96</v>
      </c>
      <c r="C15" s="31" t="str">
        <f>'PC- Elec'!B58</f>
        <v xml:space="preserve">Suplying and Fixing of LED 4'-18 watts Tube Light including cost of materials and labours etc.., completed </v>
      </c>
      <c r="D15" s="3">
        <v>635</v>
      </c>
      <c r="E15" s="30" t="s">
        <v>340</v>
      </c>
      <c r="F15" s="13">
        <f t="shared" si="0"/>
        <v>60960</v>
      </c>
    </row>
    <row r="16" spans="1:6" ht="66.599999999999994" customHeight="1">
      <c r="A16" s="2">
        <v>8</v>
      </c>
      <c r="B16" s="3">
        <f>'PC- Elec'!H68</f>
        <v>18</v>
      </c>
      <c r="C16" s="31" t="str">
        <f>'PC- Elec'!B66</f>
        <v xml:space="preserve">Supplying and fixing of 25W LED street light fittings including cost of materials and labours etc.., completed </v>
      </c>
      <c r="D16" s="3" t="e">
        <f>#REF!</f>
        <v>#REF!</v>
      </c>
      <c r="E16" s="30" t="s">
        <v>340</v>
      </c>
      <c r="F16" s="13" t="e">
        <f t="shared" si="0"/>
        <v>#REF!</v>
      </c>
    </row>
    <row r="17" spans="1:7" ht="67.900000000000006" customHeight="1">
      <c r="A17" s="2">
        <v>9</v>
      </c>
      <c r="B17" s="3">
        <f>'PC- Elec'!H72</f>
        <v>840</v>
      </c>
      <c r="C17" s="31" t="str">
        <f>'PC- Elec'!B70</f>
        <v xml:space="preserve">Run off  2 wire of 2.5 sq mm multi strand flexible cable including cost of materials and labours etc.., completed </v>
      </c>
      <c r="D17" s="3" t="e">
        <f>#REF!</f>
        <v>#REF!</v>
      </c>
      <c r="E17" s="30" t="s">
        <v>303</v>
      </c>
      <c r="F17" s="13" t="e">
        <f t="shared" si="0"/>
        <v>#REF!</v>
      </c>
    </row>
    <row r="18" spans="1:7" ht="79.150000000000006" customHeight="1">
      <c r="A18" s="2">
        <v>10</v>
      </c>
      <c r="B18" s="3">
        <f>'PC- Elec'!H76</f>
        <v>720</v>
      </c>
      <c r="C18" s="31" t="str">
        <f>'PC- Elec'!B74</f>
        <v>Run off 4 x 4  Sq mm copper PVC insulated unsheathed single core cable for Single phase EB service connection</v>
      </c>
      <c r="D18" s="3">
        <v>231</v>
      </c>
      <c r="E18" s="30" t="s">
        <v>303</v>
      </c>
      <c r="F18" s="13">
        <f t="shared" si="0"/>
        <v>166320</v>
      </c>
    </row>
    <row r="19" spans="1:7" ht="159.6" customHeight="1">
      <c r="A19" s="2">
        <v>11</v>
      </c>
      <c r="B19" s="3">
        <f>'PC- Elec'!H79</f>
        <v>24</v>
      </c>
      <c r="C19" s="31" t="str">
        <f>'PC- Elec'!B77</f>
        <v>Supply and fixing of Three Phase Distribution Board with 4 way TPN double door MCB DB 40 Amps 4 Pole ELCB - 1, 6Amps to 32 amps SP MCB - 12 No's   with necessary cutting work etc., including cost of all materials and fixing charges all complete. CER NO.267/2018-19</v>
      </c>
      <c r="D19" s="3">
        <v>11750</v>
      </c>
      <c r="E19" s="30" t="s">
        <v>340</v>
      </c>
      <c r="F19" s="13">
        <f t="shared" si="0"/>
        <v>282000</v>
      </c>
    </row>
    <row r="20" spans="1:7" ht="75.599999999999994" customHeight="1">
      <c r="A20" s="2">
        <v>12</v>
      </c>
      <c r="B20" s="3">
        <f>'PC- Elec'!H83</f>
        <v>6</v>
      </c>
      <c r="C20" s="31" t="str">
        <f>'PC- Elec'!B81</f>
        <v xml:space="preserve">Supplying and fixing of Stair Case light point two way including cost of materials and labours etc.., completed </v>
      </c>
      <c r="D20" s="34" t="e">
        <f>#REF!</f>
        <v>#REF!</v>
      </c>
      <c r="E20" s="30" t="s">
        <v>340</v>
      </c>
      <c r="F20" s="13" t="e">
        <f t="shared" si="0"/>
        <v>#REF!</v>
      </c>
    </row>
    <row r="21" spans="1:7" ht="75.599999999999994" customHeight="1">
      <c r="A21" s="2">
        <v>13</v>
      </c>
      <c r="B21" s="3">
        <f>'PC- Elec'!H85</f>
        <v>24</v>
      </c>
      <c r="C21" s="31" t="str">
        <f>'PC- Elec'!B84</f>
        <v xml:space="preserve">Supply and fixing ofTNEB Meter board suitable for 3 phase 63 A service connection made up of suitable angle </v>
      </c>
      <c r="D21" s="34" t="e">
        <f>#REF!</f>
        <v>#REF!</v>
      </c>
      <c r="E21" s="30" t="s">
        <v>340</v>
      </c>
      <c r="F21" s="13" t="e">
        <f t="shared" si="0"/>
        <v>#REF!</v>
      </c>
    </row>
    <row r="22" spans="1:7">
      <c r="A22" s="2">
        <v>14</v>
      </c>
      <c r="B22" s="3" t="e">
        <f>'PC- Elec'!#REF!</f>
        <v>#REF!</v>
      </c>
      <c r="C22" s="31" t="e">
        <f>'PC- Elec'!#REF!</f>
        <v>#REF!</v>
      </c>
      <c r="D22" s="34" t="e">
        <f>#REF!</f>
        <v>#REF!</v>
      </c>
      <c r="E22" s="30" t="s">
        <v>306</v>
      </c>
      <c r="F22" s="13" t="e">
        <f t="shared" si="0"/>
        <v>#REF!</v>
      </c>
    </row>
    <row r="23" spans="1:7" ht="62.45" customHeight="1">
      <c r="A23" s="2">
        <v>15</v>
      </c>
      <c r="B23" s="3">
        <f>'PC- Elec'!H88</f>
        <v>120</v>
      </c>
      <c r="C23" s="31" t="str">
        <f>'PC- Elec'!B87</f>
        <v xml:space="preserve">Run off  2 wire of 4 sq mm multi strand flexible cable including cost of materials and labours etc.., completed </v>
      </c>
      <c r="D23" s="34">
        <v>246.7</v>
      </c>
      <c r="E23" s="30" t="s">
        <v>3723</v>
      </c>
      <c r="F23" s="13">
        <f t="shared" si="0"/>
        <v>29604</v>
      </c>
    </row>
    <row r="24" spans="1:7">
      <c r="A24" s="2"/>
      <c r="B24" s="3"/>
      <c r="C24" s="1954" t="s">
        <v>223</v>
      </c>
      <c r="D24" s="1954"/>
      <c r="E24" s="1954"/>
      <c r="F24" s="17" t="e">
        <f>SUM(F6:F23)</f>
        <v>#REF!</v>
      </c>
    </row>
    <row r="25" spans="1:7" ht="19.5" customHeight="1">
      <c r="A25" s="2"/>
      <c r="B25" s="3"/>
      <c r="C25" s="33" t="s">
        <v>382</v>
      </c>
      <c r="D25" s="1948" t="s">
        <v>226</v>
      </c>
      <c r="E25" s="1949"/>
      <c r="F25" s="16" t="e">
        <f>F24*12%</f>
        <v>#REF!</v>
      </c>
      <c r="G25" s="28"/>
    </row>
    <row r="26" spans="1:7">
      <c r="A26" s="2"/>
      <c r="B26" s="3"/>
      <c r="C26" s="1955" t="s">
        <v>3454</v>
      </c>
      <c r="D26" s="1956"/>
      <c r="E26" s="1957"/>
      <c r="F26" s="17" t="e">
        <f>SUM(F24:F25)</f>
        <v>#REF!</v>
      </c>
      <c r="G26" s="28"/>
    </row>
    <row r="27" spans="1:7" ht="21.75" customHeight="1">
      <c r="A27" s="2"/>
      <c r="B27" s="3"/>
      <c r="C27" s="12" t="s">
        <v>224</v>
      </c>
      <c r="D27" s="1948" t="s">
        <v>226</v>
      </c>
      <c r="E27" s="1949"/>
      <c r="F27" s="16" t="e">
        <f>F26*1%</f>
        <v>#REF!</v>
      </c>
    </row>
    <row r="28" spans="1:7" ht="33" customHeight="1">
      <c r="A28" s="2"/>
      <c r="B28" s="3"/>
      <c r="C28" s="12" t="s">
        <v>225</v>
      </c>
      <c r="D28" s="1948" t="s">
        <v>226</v>
      </c>
      <c r="E28" s="1949"/>
      <c r="F28" s="16" t="e">
        <f>F26*7.5%</f>
        <v>#REF!</v>
      </c>
    </row>
    <row r="29" spans="1:7" ht="36" customHeight="1">
      <c r="A29" s="2"/>
      <c r="B29" s="3"/>
      <c r="C29" s="698" t="s">
        <v>3612</v>
      </c>
      <c r="D29" s="1948" t="s">
        <v>226</v>
      </c>
      <c r="E29" s="1949"/>
      <c r="F29" s="16">
        <f>24*5000</f>
        <v>120000</v>
      </c>
      <c r="G29" s="28"/>
    </row>
    <row r="30" spans="1:7">
      <c r="A30" s="2"/>
      <c r="B30" s="3"/>
      <c r="C30" s="1955" t="s">
        <v>227</v>
      </c>
      <c r="D30" s="1956"/>
      <c r="E30" s="1957"/>
      <c r="F30" s="17" t="e">
        <f>SUM(F26:F29)</f>
        <v>#REF!</v>
      </c>
    </row>
    <row r="31" spans="1:7" ht="21" customHeight="1">
      <c r="A31" s="2"/>
      <c r="B31" s="3"/>
      <c r="C31" s="671"/>
      <c r="D31" s="671"/>
      <c r="E31" s="14" t="s">
        <v>9</v>
      </c>
      <c r="F31" s="17"/>
    </row>
    <row r="32" spans="1:7">
      <c r="D32" s="19"/>
      <c r="E32" s="1947"/>
      <c r="F32" s="1947"/>
    </row>
  </sheetData>
  <mergeCells count="12">
    <mergeCell ref="D27:E27"/>
    <mergeCell ref="D28:E28"/>
    <mergeCell ref="D29:E29"/>
    <mergeCell ref="C30:E30"/>
    <mergeCell ref="E32:F32"/>
    <mergeCell ref="C26:E26"/>
    <mergeCell ref="A1:F1"/>
    <mergeCell ref="A2:F2"/>
    <mergeCell ref="A4:F4"/>
    <mergeCell ref="C24:E24"/>
    <mergeCell ref="D25:E25"/>
    <mergeCell ref="A3:F3"/>
  </mergeCells>
  <pageMargins left="0.7" right="0.7" top="0.75" bottom="0.75" header="0.3" footer="0.3"/>
  <pageSetup paperSize="9" scale="94" orientation="portrait" r:id="rId1"/>
</worksheet>
</file>

<file path=xl/worksheets/sheet35.xml><?xml version="1.0" encoding="utf-8"?>
<worksheet xmlns="http://schemas.openxmlformats.org/spreadsheetml/2006/main" xmlns:r="http://schemas.openxmlformats.org/officeDocument/2006/relationships">
  <sheetPr codeName="Sheet17">
    <tabColor rgb="FF00B050"/>
  </sheetPr>
  <dimension ref="A1:F16"/>
  <sheetViews>
    <sheetView view="pageBreakPreview" zoomScale="90" zoomScaleSheetLayoutView="90" workbookViewId="0">
      <selection activeCell="L10" sqref="L10"/>
    </sheetView>
  </sheetViews>
  <sheetFormatPr defaultColWidth="9.140625" defaultRowHeight="15.75"/>
  <cols>
    <col min="1" max="1" width="9.140625" style="561"/>
    <col min="2" max="2" width="34.5703125" style="561" customWidth="1"/>
    <col min="3" max="3" width="9.42578125" style="561" bestFit="1" customWidth="1"/>
    <col min="4" max="4" width="11.5703125" style="561" customWidth="1"/>
    <col min="5" max="5" width="9.140625" style="561"/>
    <col min="6" max="6" width="14.7109375" style="561" customWidth="1"/>
    <col min="7" max="16384" width="9.140625" style="561"/>
  </cols>
  <sheetData>
    <row r="1" spans="1:6">
      <c r="A1" s="2054" t="s">
        <v>3516</v>
      </c>
      <c r="B1" s="2054"/>
      <c r="C1" s="2054"/>
      <c r="D1" s="2054"/>
      <c r="E1" s="2054"/>
      <c r="F1" s="2054"/>
    </row>
    <row r="2" spans="1:6">
      <c r="A2" s="2079" t="s">
        <v>3517</v>
      </c>
      <c r="B2" s="2080"/>
      <c r="C2" s="2080"/>
      <c r="D2" s="2080"/>
      <c r="E2" s="2080"/>
      <c r="F2" s="2081"/>
    </row>
    <row r="3" spans="1:6">
      <c r="A3" s="799" t="s">
        <v>648</v>
      </c>
      <c r="B3" s="799" t="s">
        <v>3518</v>
      </c>
      <c r="C3" s="799" t="s">
        <v>244</v>
      </c>
      <c r="D3" s="799" t="s">
        <v>246</v>
      </c>
      <c r="E3" s="799" t="s">
        <v>404</v>
      </c>
      <c r="F3" s="799" t="s">
        <v>248</v>
      </c>
    </row>
    <row r="4" spans="1:6">
      <c r="A4" s="798"/>
      <c r="B4" s="799" t="s">
        <v>3494</v>
      </c>
      <c r="C4" s="798"/>
      <c r="D4" s="798"/>
      <c r="E4" s="798"/>
      <c r="F4" s="798"/>
    </row>
    <row r="5" spans="1:6" ht="31.5">
      <c r="A5" s="730">
        <v>1</v>
      </c>
      <c r="B5" s="751" t="s">
        <v>3519</v>
      </c>
      <c r="C5" s="800"/>
      <c r="D5" s="798"/>
      <c r="E5" s="798"/>
      <c r="F5" s="800"/>
    </row>
    <row r="6" spans="1:6" ht="26.25" customHeight="1">
      <c r="A6" s="730"/>
      <c r="B6" s="801" t="s">
        <v>3520</v>
      </c>
      <c r="C6" s="731">
        <f>'INS - Sullage '!H10</f>
        <v>9.6</v>
      </c>
      <c r="D6" s="802" t="e">
        <f>#REF!</f>
        <v>#REF!</v>
      </c>
      <c r="E6" s="803" t="s">
        <v>151</v>
      </c>
      <c r="F6" s="804" t="e">
        <f t="shared" ref="F6:F13" si="0">C6*D6</f>
        <v>#REF!</v>
      </c>
    </row>
    <row r="7" spans="1:6" ht="39.75" customHeight="1">
      <c r="A7" s="730">
        <v>2</v>
      </c>
      <c r="B7" s="801" t="s">
        <v>3521</v>
      </c>
      <c r="C7" s="731">
        <f>'INS - Sullage '!H18</f>
        <v>2.4</v>
      </c>
      <c r="D7" s="731" t="e">
        <f>#REF!</f>
        <v>#REF!</v>
      </c>
      <c r="E7" s="803" t="s">
        <v>151</v>
      </c>
      <c r="F7" s="804" t="e">
        <f t="shared" si="0"/>
        <v>#REF!</v>
      </c>
    </row>
    <row r="8" spans="1:6" ht="31.5">
      <c r="A8" s="730">
        <v>3</v>
      </c>
      <c r="B8" s="751" t="s">
        <v>3522</v>
      </c>
      <c r="C8" s="731">
        <f>'INS - Sullage '!H18</f>
        <v>2.4</v>
      </c>
      <c r="D8" s="731" t="e">
        <f>#REF!</f>
        <v>#REF!</v>
      </c>
      <c r="E8" s="803" t="s">
        <v>151</v>
      </c>
      <c r="F8" s="804" t="e">
        <f t="shared" si="0"/>
        <v>#REF!</v>
      </c>
    </row>
    <row r="9" spans="1:6" ht="31.5">
      <c r="A9" s="730">
        <v>4</v>
      </c>
      <c r="B9" s="801" t="s">
        <v>3564</v>
      </c>
      <c r="C9" s="731">
        <f>'INS - Sullage '!H22</f>
        <v>0.2</v>
      </c>
      <c r="D9" s="802" t="e">
        <f>#REF!</f>
        <v>#REF!</v>
      </c>
      <c r="E9" s="803" t="s">
        <v>3523</v>
      </c>
      <c r="F9" s="804" t="e">
        <f t="shared" si="0"/>
        <v>#REF!</v>
      </c>
    </row>
    <row r="10" spans="1:6" ht="47.25">
      <c r="A10" s="730">
        <v>5</v>
      </c>
      <c r="B10" s="801" t="s">
        <v>3524</v>
      </c>
      <c r="C10" s="731">
        <f>'INS - Sullage '!H32</f>
        <v>48</v>
      </c>
      <c r="D10" s="731" t="e">
        <f>#REF!</f>
        <v>#REF!</v>
      </c>
      <c r="E10" s="803" t="s">
        <v>3523</v>
      </c>
      <c r="F10" s="804" t="e">
        <f t="shared" si="0"/>
        <v>#REF!</v>
      </c>
    </row>
    <row r="11" spans="1:6" ht="52.5" customHeight="1">
      <c r="A11" s="730">
        <v>6</v>
      </c>
      <c r="B11" s="805" t="s">
        <v>3525</v>
      </c>
      <c r="C11" s="731">
        <f>'INS - Sullage '!H44</f>
        <v>8.4</v>
      </c>
      <c r="D11" s="802" t="e">
        <f>#REF!</f>
        <v>#REF!</v>
      </c>
      <c r="E11" s="803" t="s">
        <v>151</v>
      </c>
      <c r="F11" s="804" t="e">
        <f t="shared" si="0"/>
        <v>#REF!</v>
      </c>
    </row>
    <row r="12" spans="1:6" ht="31.5">
      <c r="A12" s="730">
        <v>7</v>
      </c>
      <c r="B12" s="805" t="s">
        <v>3526</v>
      </c>
      <c r="C12" s="731">
        <f>'INS - Sullage '!H41</f>
        <v>58.849999999999994</v>
      </c>
      <c r="D12" s="731" t="e">
        <f>#REF!</f>
        <v>#REF!</v>
      </c>
      <c r="E12" s="803" t="s">
        <v>151</v>
      </c>
      <c r="F12" s="804" t="e">
        <f t="shared" si="0"/>
        <v>#REF!</v>
      </c>
    </row>
    <row r="13" spans="1:6" ht="31.5">
      <c r="A13" s="806">
        <v>8</v>
      </c>
      <c r="B13" s="807" t="s">
        <v>3527</v>
      </c>
      <c r="C13" s="731">
        <f>'INS - Sullage '!H32</f>
        <v>48</v>
      </c>
      <c r="D13" s="731" t="e">
        <f>#REF!</f>
        <v>#REF!</v>
      </c>
      <c r="E13" s="803" t="s">
        <v>3523</v>
      </c>
      <c r="F13" s="804" t="e">
        <f t="shared" si="0"/>
        <v>#REF!</v>
      </c>
    </row>
    <row r="14" spans="1:6">
      <c r="A14" s="798"/>
      <c r="B14" s="798"/>
      <c r="C14" s="798"/>
      <c r="D14" s="798"/>
      <c r="E14" s="798"/>
      <c r="F14" s="804" t="e">
        <f>SUM(F6:F13)</f>
        <v>#REF!</v>
      </c>
    </row>
    <row r="15" spans="1:6">
      <c r="A15" s="798"/>
      <c r="B15" s="798"/>
      <c r="C15" s="798"/>
      <c r="D15" s="798"/>
      <c r="E15" s="798"/>
      <c r="F15" s="808" t="e">
        <f>ROUNDUP(F14,0)</f>
        <v>#REF!</v>
      </c>
    </row>
    <row r="16" spans="1:6">
      <c r="D16" s="561" t="s">
        <v>3528</v>
      </c>
      <c r="F16" s="809" t="e">
        <f>F15/60</f>
        <v>#REF!</v>
      </c>
    </row>
  </sheetData>
  <mergeCells count="2">
    <mergeCell ref="A1:F1"/>
    <mergeCell ref="A2:F2"/>
  </mergeCells>
  <pageMargins left="0.7" right="0.7" top="0.75" bottom="0.75" header="0.3" footer="0.3"/>
  <pageSetup paperSize="9" scale="93" orientation="portrait" r:id="rId1"/>
</worksheet>
</file>

<file path=xl/worksheets/sheet36.xml><?xml version="1.0" encoding="utf-8"?>
<worksheet xmlns="http://schemas.openxmlformats.org/spreadsheetml/2006/main" xmlns:r="http://schemas.openxmlformats.org/officeDocument/2006/relationships">
  <sheetPr codeName="Sheet32">
    <tabColor rgb="FF00B050"/>
  </sheetPr>
  <dimension ref="A1:F16"/>
  <sheetViews>
    <sheetView view="pageBreakPreview" zoomScale="90" zoomScaleSheetLayoutView="90" workbookViewId="0">
      <selection activeCell="N8" sqref="N8"/>
    </sheetView>
  </sheetViews>
  <sheetFormatPr defaultColWidth="9.140625" defaultRowHeight="15.75"/>
  <cols>
    <col min="1" max="1" width="9.140625" style="561"/>
    <col min="2" max="2" width="34.5703125" style="561" customWidth="1"/>
    <col min="3" max="3" width="9.42578125" style="561" bestFit="1" customWidth="1"/>
    <col min="4" max="4" width="11.5703125" style="561" customWidth="1"/>
    <col min="5" max="5" width="9.140625" style="561"/>
    <col min="6" max="6" width="14.7109375" style="561" customWidth="1"/>
    <col min="7" max="16384" width="9.140625" style="561"/>
  </cols>
  <sheetData>
    <row r="1" spans="1:6">
      <c r="A1" s="2054" t="s">
        <v>3516</v>
      </c>
      <c r="B1" s="2054"/>
      <c r="C1" s="2054"/>
      <c r="D1" s="2054"/>
      <c r="E1" s="2054"/>
      <c r="F1" s="2054"/>
    </row>
    <row r="2" spans="1:6">
      <c r="A2" s="2079" t="s">
        <v>3517</v>
      </c>
      <c r="B2" s="2080"/>
      <c r="C2" s="2080"/>
      <c r="D2" s="2080"/>
      <c r="E2" s="2080"/>
      <c r="F2" s="2081"/>
    </row>
    <row r="3" spans="1:6">
      <c r="A3" s="799" t="s">
        <v>648</v>
      </c>
      <c r="B3" s="799" t="s">
        <v>3518</v>
      </c>
      <c r="C3" s="799" t="s">
        <v>244</v>
      </c>
      <c r="D3" s="799" t="s">
        <v>246</v>
      </c>
      <c r="E3" s="799" t="s">
        <v>404</v>
      </c>
      <c r="F3" s="799" t="s">
        <v>248</v>
      </c>
    </row>
    <row r="4" spans="1:6">
      <c r="A4" s="798"/>
      <c r="B4" s="799" t="s">
        <v>3494</v>
      </c>
      <c r="C4" s="798"/>
      <c r="D4" s="798"/>
      <c r="E4" s="798"/>
      <c r="F4" s="798"/>
    </row>
    <row r="5" spans="1:6" ht="31.5">
      <c r="A5" s="730">
        <v>1</v>
      </c>
      <c r="B5" s="751" t="s">
        <v>3519</v>
      </c>
      <c r="C5" s="800"/>
      <c r="D5" s="798"/>
      <c r="E5" s="798"/>
      <c r="F5" s="800"/>
    </row>
    <row r="6" spans="1:6" ht="26.25" customHeight="1">
      <c r="A6" s="730"/>
      <c r="B6" s="801" t="s">
        <v>3520</v>
      </c>
      <c r="C6" s="731">
        <f>'SI - Sullage  '!H10</f>
        <v>10.8</v>
      </c>
      <c r="D6" s="802" t="e">
        <f>#REF!</f>
        <v>#REF!</v>
      </c>
      <c r="E6" s="803" t="s">
        <v>151</v>
      </c>
      <c r="F6" s="804" t="e">
        <f t="shared" ref="F6:F13" si="0">C6*D6</f>
        <v>#REF!</v>
      </c>
    </row>
    <row r="7" spans="1:6" ht="39.75" customHeight="1">
      <c r="A7" s="730">
        <v>2</v>
      </c>
      <c r="B7" s="801" t="s">
        <v>3521</v>
      </c>
      <c r="C7" s="731">
        <f>'SI - Sullage  '!H18</f>
        <v>2.7</v>
      </c>
      <c r="D7" s="731" t="e">
        <f>#REF!</f>
        <v>#REF!</v>
      </c>
      <c r="E7" s="803" t="s">
        <v>151</v>
      </c>
      <c r="F7" s="804" t="e">
        <f t="shared" si="0"/>
        <v>#REF!</v>
      </c>
    </row>
    <row r="8" spans="1:6" ht="31.5">
      <c r="A8" s="730">
        <v>3</v>
      </c>
      <c r="B8" s="751" t="s">
        <v>3522</v>
      </c>
      <c r="C8" s="731">
        <f>'SI - Sullage  '!H18</f>
        <v>2.7</v>
      </c>
      <c r="D8" s="731" t="e">
        <f>#REF!</f>
        <v>#REF!</v>
      </c>
      <c r="E8" s="803" t="s">
        <v>151</v>
      </c>
      <c r="F8" s="804" t="e">
        <f t="shared" si="0"/>
        <v>#REF!</v>
      </c>
    </row>
    <row r="9" spans="1:6" ht="31.5">
      <c r="A9" s="730">
        <v>4</v>
      </c>
      <c r="B9" s="801" t="s">
        <v>3564</v>
      </c>
      <c r="C9" s="731">
        <f>'SI - Sullage  '!H22</f>
        <v>0.35</v>
      </c>
      <c r="D9" s="802" t="e">
        <f>#REF!</f>
        <v>#REF!</v>
      </c>
      <c r="E9" s="803" t="s">
        <v>3523</v>
      </c>
      <c r="F9" s="804" t="e">
        <f t="shared" si="0"/>
        <v>#REF!</v>
      </c>
    </row>
    <row r="10" spans="1:6" ht="47.25">
      <c r="A10" s="730">
        <v>5</v>
      </c>
      <c r="B10" s="801" t="s">
        <v>3524</v>
      </c>
      <c r="C10" s="731">
        <f>'SI - Sullage  '!H32</f>
        <v>108</v>
      </c>
      <c r="D10" s="731" t="e">
        <f>#REF!</f>
        <v>#REF!</v>
      </c>
      <c r="E10" s="803" t="s">
        <v>3523</v>
      </c>
      <c r="F10" s="804" t="e">
        <f t="shared" si="0"/>
        <v>#REF!</v>
      </c>
    </row>
    <row r="11" spans="1:6" ht="52.5" customHeight="1">
      <c r="A11" s="730">
        <v>6</v>
      </c>
      <c r="B11" s="805" t="s">
        <v>3525</v>
      </c>
      <c r="C11" s="731">
        <f>'SI - Sullage  '!H44</f>
        <v>8.4</v>
      </c>
      <c r="D11" s="802" t="e">
        <f>#REF!</f>
        <v>#REF!</v>
      </c>
      <c r="E11" s="803" t="s">
        <v>151</v>
      </c>
      <c r="F11" s="804" t="e">
        <f t="shared" si="0"/>
        <v>#REF!</v>
      </c>
    </row>
    <row r="12" spans="1:6" ht="31.5">
      <c r="A12" s="730">
        <v>7</v>
      </c>
      <c r="B12" s="805" t="s">
        <v>3526</v>
      </c>
      <c r="C12" s="731">
        <f>'SI - Sullage  '!H41</f>
        <v>67.149999999999991</v>
      </c>
      <c r="D12" s="731" t="e">
        <f>#REF!</f>
        <v>#REF!</v>
      </c>
      <c r="E12" s="803" t="s">
        <v>151</v>
      </c>
      <c r="F12" s="804" t="e">
        <f t="shared" si="0"/>
        <v>#REF!</v>
      </c>
    </row>
    <row r="13" spans="1:6" ht="31.5">
      <c r="A13" s="806">
        <v>8</v>
      </c>
      <c r="B13" s="807" t="s">
        <v>3527</v>
      </c>
      <c r="C13" s="731">
        <f>'SI - Sullage  '!H32</f>
        <v>108</v>
      </c>
      <c r="D13" s="731" t="e">
        <f>#REF!</f>
        <v>#REF!</v>
      </c>
      <c r="E13" s="803" t="s">
        <v>3523</v>
      </c>
      <c r="F13" s="804" t="e">
        <f t="shared" si="0"/>
        <v>#REF!</v>
      </c>
    </row>
    <row r="14" spans="1:6">
      <c r="A14" s="798"/>
      <c r="B14" s="798"/>
      <c r="C14" s="798"/>
      <c r="D14" s="798"/>
      <c r="E14" s="798"/>
      <c r="F14" s="804" t="e">
        <f>SUM(F6:F13)</f>
        <v>#REF!</v>
      </c>
    </row>
    <row r="15" spans="1:6">
      <c r="A15" s="798"/>
      <c r="B15" s="798"/>
      <c r="C15" s="798"/>
      <c r="D15" s="798"/>
      <c r="E15" s="798"/>
      <c r="F15" s="808" t="e">
        <f>ROUNDUP(F14,0)</f>
        <v>#REF!</v>
      </c>
    </row>
    <row r="16" spans="1:6">
      <c r="D16" s="561" t="s">
        <v>3528</v>
      </c>
      <c r="F16" s="809" t="e">
        <f>F15/60</f>
        <v>#REF!</v>
      </c>
    </row>
  </sheetData>
  <mergeCells count="2">
    <mergeCell ref="A1:F1"/>
    <mergeCell ref="A2:F2"/>
  </mergeCells>
  <pageMargins left="0.7" right="0.7" top="0.75" bottom="0.75" header="0.3" footer="0.3"/>
  <pageSetup paperSize="9" scale="93" orientation="portrait" r:id="rId1"/>
</worksheet>
</file>

<file path=xl/worksheets/sheet37.xml><?xml version="1.0" encoding="utf-8"?>
<worksheet xmlns="http://schemas.openxmlformats.org/spreadsheetml/2006/main" xmlns:r="http://schemas.openxmlformats.org/officeDocument/2006/relationships">
  <sheetPr codeName="Sheet33">
    <tabColor rgb="FFFF0000"/>
  </sheetPr>
  <dimension ref="A1:H45"/>
  <sheetViews>
    <sheetView view="pageBreakPreview" zoomScale="90" zoomScaleSheetLayoutView="90" workbookViewId="0">
      <selection activeCell="M18" sqref="M18"/>
    </sheetView>
  </sheetViews>
  <sheetFormatPr defaultColWidth="9.140625" defaultRowHeight="15.75"/>
  <cols>
    <col min="1" max="1" width="7.42578125" style="561" customWidth="1"/>
    <col min="2" max="2" width="35.7109375" style="561" customWidth="1"/>
    <col min="3" max="3" width="6" style="561" customWidth="1"/>
    <col min="4" max="4" width="5.85546875" style="561" customWidth="1"/>
    <col min="5" max="5" width="7.5703125" style="561" customWidth="1"/>
    <col min="6" max="7" width="6.5703125" style="561" customWidth="1"/>
    <col min="8" max="16384" width="9.140625" style="561"/>
  </cols>
  <sheetData>
    <row r="1" spans="1:8">
      <c r="A1" s="2054" t="s">
        <v>3493</v>
      </c>
      <c r="B1" s="2055"/>
      <c r="C1" s="2055"/>
      <c r="D1" s="2055"/>
      <c r="E1" s="2055"/>
      <c r="F1" s="2055"/>
      <c r="G1" s="2055"/>
      <c r="H1" s="2055"/>
    </row>
    <row r="2" spans="1:8">
      <c r="A2" s="2056" t="s">
        <v>5284</v>
      </c>
      <c r="B2" s="2055"/>
      <c r="C2" s="2055"/>
      <c r="D2" s="2055"/>
      <c r="E2" s="2055"/>
      <c r="F2" s="2055"/>
      <c r="G2" s="2055"/>
      <c r="H2" s="2055"/>
    </row>
    <row r="3" spans="1:8">
      <c r="A3" s="2059" t="s">
        <v>3766</v>
      </c>
      <c r="B3" s="2060"/>
      <c r="C3" s="2060"/>
      <c r="D3" s="2060"/>
      <c r="E3" s="2060"/>
      <c r="F3" s="2060"/>
      <c r="G3" s="2060"/>
      <c r="H3" s="2061"/>
    </row>
    <row r="4" spans="1:8">
      <c r="A4" s="2059" t="s">
        <v>3495</v>
      </c>
      <c r="B4" s="2060"/>
      <c r="C4" s="2060"/>
      <c r="D4" s="2060"/>
      <c r="E4" s="2060"/>
      <c r="F4" s="2060"/>
      <c r="G4" s="2060"/>
      <c r="H4" s="2061"/>
    </row>
    <row r="5" spans="1:8" ht="15" customHeight="1">
      <c r="A5" s="2057" t="s">
        <v>3496</v>
      </c>
      <c r="B5" s="2057" t="s">
        <v>3497</v>
      </c>
      <c r="C5" s="2057" t="s">
        <v>1717</v>
      </c>
      <c r="D5" s="2057"/>
      <c r="E5" s="2057" t="s">
        <v>3498</v>
      </c>
      <c r="F5" s="2057"/>
      <c r="G5" s="2057"/>
      <c r="H5" s="2058" t="s">
        <v>3</v>
      </c>
    </row>
    <row r="6" spans="1:8">
      <c r="A6" s="2057"/>
      <c r="B6" s="2057"/>
      <c r="C6" s="2057"/>
      <c r="D6" s="2057"/>
      <c r="E6" s="788" t="s">
        <v>5</v>
      </c>
      <c r="F6" s="788" t="s">
        <v>6</v>
      </c>
      <c r="G6" s="788" t="s">
        <v>7</v>
      </c>
      <c r="H6" s="2058"/>
    </row>
    <row r="7" spans="1:8" ht="45" customHeight="1">
      <c r="A7" s="672">
        <v>1.6</v>
      </c>
      <c r="B7" s="673" t="s">
        <v>3499</v>
      </c>
      <c r="C7" s="673"/>
      <c r="D7" s="673"/>
      <c r="E7" s="673"/>
      <c r="F7" s="673"/>
      <c r="G7" s="673"/>
      <c r="H7" s="674"/>
    </row>
    <row r="8" spans="1:8">
      <c r="A8" s="672"/>
      <c r="B8" s="786" t="s">
        <v>3500</v>
      </c>
      <c r="C8" s="673">
        <v>1</v>
      </c>
      <c r="D8" s="675">
        <v>1</v>
      </c>
      <c r="E8" s="676">
        <v>57</v>
      </c>
      <c r="F8" s="676">
        <v>0.6</v>
      </c>
      <c r="G8" s="676">
        <v>0.4</v>
      </c>
      <c r="H8" s="677">
        <f>ROUND(PRODUCT(C8:G8),2)</f>
        <v>13.68</v>
      </c>
    </row>
    <row r="9" spans="1:8">
      <c r="A9" s="672"/>
      <c r="B9" s="786" t="s">
        <v>337</v>
      </c>
      <c r="C9" s="673"/>
      <c r="D9" s="675"/>
      <c r="E9" s="676"/>
      <c r="F9" s="676"/>
      <c r="G9" s="678"/>
      <c r="H9" s="677">
        <v>0.02</v>
      </c>
    </row>
    <row r="10" spans="1:8">
      <c r="A10" s="672"/>
      <c r="B10" s="786"/>
      <c r="C10" s="673"/>
      <c r="D10" s="675"/>
      <c r="E10" s="676"/>
      <c r="F10" s="676"/>
      <c r="G10" s="676"/>
      <c r="H10" s="679">
        <f>SUM(H8:H9)</f>
        <v>13.7</v>
      </c>
    </row>
    <row r="11" spans="1:8">
      <c r="A11" s="672">
        <v>2.1</v>
      </c>
      <c r="B11" s="786" t="s">
        <v>3501</v>
      </c>
      <c r="C11" s="673"/>
      <c r="D11" s="675"/>
      <c r="E11" s="676"/>
      <c r="F11" s="676"/>
      <c r="G11" s="676"/>
      <c r="H11" s="679"/>
    </row>
    <row r="12" spans="1:8">
      <c r="A12" s="672"/>
      <c r="B12" s="786" t="s">
        <v>3502</v>
      </c>
      <c r="C12" s="673">
        <v>1</v>
      </c>
      <c r="D12" s="675">
        <v>1</v>
      </c>
      <c r="E12" s="676">
        <f>E8</f>
        <v>57</v>
      </c>
      <c r="F12" s="676">
        <v>0.6</v>
      </c>
      <c r="G12" s="676">
        <v>0.1</v>
      </c>
      <c r="H12" s="677">
        <f>ROUND(PRODUCT(C12:G12),2)</f>
        <v>3.42</v>
      </c>
    </row>
    <row r="13" spans="1:8">
      <c r="A13" s="672"/>
      <c r="B13" s="786"/>
      <c r="C13" s="673"/>
      <c r="D13" s="675"/>
      <c r="E13" s="676"/>
      <c r="F13" s="676"/>
      <c r="G13" s="676"/>
      <c r="H13" s="677">
        <v>0.03</v>
      </c>
    </row>
    <row r="14" spans="1:8">
      <c r="A14" s="672"/>
      <c r="B14" s="786"/>
      <c r="C14" s="673"/>
      <c r="D14" s="675"/>
      <c r="E14" s="676"/>
      <c r="F14" s="676"/>
      <c r="G14" s="676"/>
      <c r="H14" s="679">
        <f>SUM(H12:H13)</f>
        <v>3.4499999999999997</v>
      </c>
    </row>
    <row r="15" spans="1:8" ht="45" customHeight="1">
      <c r="A15" s="672">
        <v>3.1</v>
      </c>
      <c r="B15" s="673" t="s">
        <v>3503</v>
      </c>
      <c r="C15" s="673"/>
      <c r="D15" s="673"/>
      <c r="E15" s="673"/>
      <c r="F15" s="673"/>
      <c r="G15" s="673"/>
      <c r="H15" s="674"/>
    </row>
    <row r="16" spans="1:8">
      <c r="A16" s="672"/>
      <c r="B16" s="786" t="s">
        <v>3504</v>
      </c>
      <c r="C16" s="673">
        <v>1</v>
      </c>
      <c r="D16" s="675">
        <v>1</v>
      </c>
      <c r="E16" s="676">
        <f>E8</f>
        <v>57</v>
      </c>
      <c r="F16" s="676">
        <f>F8</f>
        <v>0.6</v>
      </c>
      <c r="G16" s="678">
        <v>0.1</v>
      </c>
      <c r="H16" s="677">
        <f>ROUND(PRODUCT(C16:G16),2)</f>
        <v>3.42</v>
      </c>
    </row>
    <row r="17" spans="1:8">
      <c r="A17" s="672"/>
      <c r="B17" s="786" t="s">
        <v>337</v>
      </c>
      <c r="C17" s="673"/>
      <c r="D17" s="675"/>
      <c r="E17" s="676"/>
      <c r="F17" s="676"/>
      <c r="G17" s="678"/>
      <c r="H17" s="677">
        <v>0.03</v>
      </c>
    </row>
    <row r="18" spans="1:8">
      <c r="A18" s="672"/>
      <c r="B18" s="786"/>
      <c r="C18" s="673"/>
      <c r="D18" s="675"/>
      <c r="E18" s="676"/>
      <c r="F18" s="676"/>
      <c r="G18" s="676"/>
      <c r="H18" s="679">
        <f>SUM(H16:H17)</f>
        <v>3.4499999999999997</v>
      </c>
    </row>
    <row r="19" spans="1:8" ht="24" customHeight="1">
      <c r="A19" s="672">
        <v>10.199999999999999</v>
      </c>
      <c r="B19" s="673" t="s">
        <v>3505</v>
      </c>
      <c r="C19" s="673"/>
      <c r="D19" s="673"/>
      <c r="E19" s="673"/>
      <c r="F19" s="673"/>
      <c r="G19" s="673"/>
      <c r="H19" s="674"/>
    </row>
    <row r="20" spans="1:8">
      <c r="A20" s="672"/>
      <c r="B20" s="786" t="s">
        <v>3500</v>
      </c>
      <c r="C20" s="673">
        <v>2</v>
      </c>
      <c r="D20" s="675">
        <v>5</v>
      </c>
      <c r="E20" s="676">
        <v>0.23</v>
      </c>
      <c r="F20" s="676">
        <v>0.23</v>
      </c>
      <c r="G20" s="678">
        <v>0.6</v>
      </c>
      <c r="H20" s="677">
        <f>ROUND(PRODUCT(C20:G20),2)</f>
        <v>0.32</v>
      </c>
    </row>
    <row r="21" spans="1:8">
      <c r="A21" s="672"/>
      <c r="B21" s="786" t="s">
        <v>3506</v>
      </c>
      <c r="C21" s="673"/>
      <c r="D21" s="675"/>
      <c r="E21" s="676"/>
      <c r="F21" s="676"/>
      <c r="G21" s="678"/>
      <c r="H21" s="677">
        <v>0.03</v>
      </c>
    </row>
    <row r="22" spans="1:8">
      <c r="A22" s="672"/>
      <c r="B22" s="786"/>
      <c r="C22" s="673"/>
      <c r="D22" s="675"/>
      <c r="E22" s="676"/>
      <c r="F22" s="676"/>
      <c r="G22" s="676"/>
      <c r="H22" s="679">
        <f>SUM(H20:H21)</f>
        <v>0.35</v>
      </c>
    </row>
    <row r="23" spans="1:8" ht="39.75" customHeight="1">
      <c r="A23" s="672">
        <v>10.199999999999999</v>
      </c>
      <c r="B23" s="673" t="s">
        <v>3507</v>
      </c>
      <c r="C23" s="673"/>
      <c r="D23" s="673"/>
      <c r="E23" s="673"/>
      <c r="F23" s="673"/>
      <c r="G23" s="673"/>
      <c r="H23" s="674"/>
    </row>
    <row r="24" spans="1:8">
      <c r="A24" s="672"/>
      <c r="B24" s="786" t="s">
        <v>3508</v>
      </c>
      <c r="C24" s="673">
        <v>1</v>
      </c>
      <c r="D24" s="675">
        <v>1</v>
      </c>
      <c r="E24" s="676">
        <f>E8</f>
        <v>57</v>
      </c>
      <c r="F24" s="676"/>
      <c r="G24" s="678">
        <v>0.6</v>
      </c>
      <c r="H24" s="677">
        <f>ROUND(PRODUCT(C24:G24),2)</f>
        <v>34.200000000000003</v>
      </c>
    </row>
    <row r="25" spans="1:8">
      <c r="A25" s="672"/>
      <c r="B25" s="786" t="s">
        <v>3509</v>
      </c>
      <c r="C25" s="673"/>
      <c r="D25" s="675"/>
      <c r="E25" s="676"/>
      <c r="F25" s="676"/>
      <c r="G25" s="678"/>
      <c r="H25" s="677"/>
    </row>
    <row r="26" spans="1:8">
      <c r="A26" s="672"/>
      <c r="B26" s="786" t="s">
        <v>3500</v>
      </c>
      <c r="C26" s="673">
        <v>-1</v>
      </c>
      <c r="D26" s="675">
        <v>5</v>
      </c>
      <c r="E26" s="676">
        <v>0.23</v>
      </c>
      <c r="F26" s="676"/>
      <c r="G26" s="678">
        <v>0.6</v>
      </c>
      <c r="H26" s="677">
        <f>ROUND(PRODUCT(C26:G26),2)</f>
        <v>-0.69</v>
      </c>
    </row>
    <row r="27" spans="1:8">
      <c r="A27" s="672"/>
      <c r="B27" s="786" t="s">
        <v>3500</v>
      </c>
      <c r="C27" s="673">
        <v>-1</v>
      </c>
      <c r="D27" s="675">
        <v>7</v>
      </c>
      <c r="E27" s="676">
        <v>0.23</v>
      </c>
      <c r="F27" s="676"/>
      <c r="G27" s="678">
        <v>0.6</v>
      </c>
      <c r="H27" s="677">
        <f>ROUND(PRODUCT(C27:G27),2)</f>
        <v>-0.97</v>
      </c>
    </row>
    <row r="28" spans="1:8">
      <c r="A28" s="672"/>
      <c r="B28" s="786" t="s">
        <v>3506</v>
      </c>
      <c r="C28" s="673"/>
      <c r="D28" s="675"/>
      <c r="E28" s="676"/>
      <c r="F28" s="676"/>
      <c r="G28" s="678"/>
      <c r="H28" s="677">
        <v>0.01</v>
      </c>
    </row>
    <row r="29" spans="1:8">
      <c r="A29" s="672"/>
      <c r="B29" s="786"/>
      <c r="C29" s="673"/>
      <c r="D29" s="675"/>
      <c r="E29" s="676"/>
      <c r="F29" s="676"/>
      <c r="G29" s="676"/>
      <c r="H29" s="679">
        <f>SUM(H24:H28)</f>
        <v>32.550000000000004</v>
      </c>
    </row>
    <row r="30" spans="1:8" ht="16.5" customHeight="1">
      <c r="A30" s="672">
        <v>28</v>
      </c>
      <c r="B30" s="2053" t="s">
        <v>3510</v>
      </c>
      <c r="C30" s="2053"/>
      <c r="D30" s="2053"/>
      <c r="E30" s="2053"/>
      <c r="F30" s="2053"/>
      <c r="G30" s="673"/>
      <c r="H30" s="674"/>
    </row>
    <row r="31" spans="1:8">
      <c r="A31" s="672"/>
      <c r="B31" s="786" t="s">
        <v>3511</v>
      </c>
      <c r="C31" s="673">
        <v>2</v>
      </c>
      <c r="D31" s="675">
        <v>2</v>
      </c>
      <c r="E31" s="676">
        <f>E8</f>
        <v>57</v>
      </c>
      <c r="F31" s="676"/>
      <c r="G31" s="676">
        <v>0.6</v>
      </c>
      <c r="H31" s="677">
        <f>ROUND(PRODUCT(C31:G31),2)</f>
        <v>136.80000000000001</v>
      </c>
    </row>
    <row r="32" spans="1:8">
      <c r="A32" s="672"/>
      <c r="B32" s="786"/>
      <c r="C32" s="673"/>
      <c r="D32" s="675"/>
      <c r="E32" s="676"/>
      <c r="F32" s="676"/>
      <c r="G32" s="676"/>
      <c r="H32" s="679">
        <f>SUM(H31:H31)</f>
        <v>136.80000000000001</v>
      </c>
    </row>
    <row r="33" spans="1:8">
      <c r="A33" s="672">
        <v>33</v>
      </c>
      <c r="B33" s="2053" t="s">
        <v>3512</v>
      </c>
      <c r="C33" s="2053"/>
      <c r="D33" s="2053"/>
      <c r="E33" s="2053"/>
      <c r="F33" s="2053"/>
      <c r="G33" s="673"/>
      <c r="H33" s="674"/>
    </row>
    <row r="34" spans="1:8">
      <c r="A34" s="672"/>
      <c r="B34" s="680" t="s">
        <v>3513</v>
      </c>
      <c r="C34" s="798"/>
      <c r="D34" s="798"/>
      <c r="E34" s="798"/>
      <c r="F34" s="798"/>
      <c r="G34" s="798"/>
      <c r="H34" s="798"/>
    </row>
    <row r="35" spans="1:8">
      <c r="A35" s="672"/>
      <c r="B35" s="786" t="s">
        <v>3500</v>
      </c>
      <c r="C35" s="673">
        <v>1</v>
      </c>
      <c r="D35" s="675">
        <v>2</v>
      </c>
      <c r="E35" s="676">
        <f>E8</f>
        <v>57</v>
      </c>
      <c r="F35" s="682" t="s">
        <v>21</v>
      </c>
      <c r="G35" s="678">
        <v>0.71499999999999997</v>
      </c>
      <c r="H35" s="677">
        <f>ROUND(PRODUCT(C35:G35),2)</f>
        <v>81.510000000000005</v>
      </c>
    </row>
    <row r="36" spans="1:8">
      <c r="A36" s="672"/>
      <c r="B36" s="786" t="s">
        <v>3514</v>
      </c>
      <c r="C36" s="673">
        <v>2</v>
      </c>
      <c r="D36" s="675">
        <v>5</v>
      </c>
      <c r="E36" s="676">
        <v>0.23</v>
      </c>
      <c r="F36" s="678">
        <v>0.115</v>
      </c>
      <c r="G36" s="682" t="s">
        <v>21</v>
      </c>
      <c r="H36" s="677">
        <f>ROUND(PRODUCT(C36:G36),2)</f>
        <v>0.26</v>
      </c>
    </row>
    <row r="37" spans="1:8">
      <c r="A37" s="672"/>
      <c r="B37" s="786" t="s">
        <v>3514</v>
      </c>
      <c r="C37" s="673">
        <v>1</v>
      </c>
      <c r="D37" s="675">
        <v>7</v>
      </c>
      <c r="E37" s="676">
        <v>0.23</v>
      </c>
      <c r="F37" s="678">
        <v>0.115</v>
      </c>
      <c r="G37" s="682" t="s">
        <v>21</v>
      </c>
      <c r="H37" s="677">
        <f>ROUND(PRODUCT(C37:G37),2)</f>
        <v>0.19</v>
      </c>
    </row>
    <row r="38" spans="1:8">
      <c r="A38" s="672"/>
      <c r="B38" s="786" t="s">
        <v>3514</v>
      </c>
      <c r="C38" s="673">
        <v>2</v>
      </c>
      <c r="D38" s="675">
        <v>10</v>
      </c>
      <c r="E38" s="678">
        <v>0.115</v>
      </c>
      <c r="F38" s="676"/>
      <c r="G38" s="682">
        <v>0.6</v>
      </c>
      <c r="H38" s="677">
        <f>ROUND(PRODUCT(C38:G38),2)</f>
        <v>1.38</v>
      </c>
    </row>
    <row r="39" spans="1:8">
      <c r="A39" s="672"/>
      <c r="B39" s="786" t="s">
        <v>3514</v>
      </c>
      <c r="C39" s="673">
        <v>2</v>
      </c>
      <c r="D39" s="675">
        <v>7</v>
      </c>
      <c r="E39" s="678">
        <v>0.115</v>
      </c>
      <c r="F39" s="676"/>
      <c r="G39" s="682">
        <v>0.6</v>
      </c>
      <c r="H39" s="677">
        <f>ROUND(PRODUCT(C39:G39),2)</f>
        <v>0.97</v>
      </c>
    </row>
    <row r="40" spans="1:8">
      <c r="A40" s="672"/>
      <c r="B40" s="786" t="s">
        <v>337</v>
      </c>
      <c r="C40" s="673"/>
      <c r="D40" s="675"/>
      <c r="E40" s="676"/>
      <c r="F40" s="676"/>
      <c r="G40" s="676"/>
      <c r="H40" s="677">
        <v>0.04</v>
      </c>
    </row>
    <row r="41" spans="1:8">
      <c r="A41" s="672"/>
      <c r="B41" s="786"/>
      <c r="C41" s="673"/>
      <c r="D41" s="675"/>
      <c r="E41" s="676"/>
      <c r="F41" s="676"/>
      <c r="G41" s="676"/>
      <c r="H41" s="679">
        <f>SUM(H35:H40)</f>
        <v>84.350000000000009</v>
      </c>
    </row>
    <row r="42" spans="1:8">
      <c r="A42" s="672">
        <v>33</v>
      </c>
      <c r="B42" s="2053" t="s">
        <v>3515</v>
      </c>
      <c r="C42" s="2053"/>
      <c r="D42" s="2053"/>
      <c r="E42" s="2053"/>
      <c r="F42" s="2053"/>
      <c r="G42" s="673"/>
      <c r="H42" s="674"/>
    </row>
    <row r="43" spans="1:8">
      <c r="A43" s="798"/>
      <c r="B43" s="798" t="s">
        <v>3500</v>
      </c>
      <c r="C43" s="798">
        <v>1</v>
      </c>
      <c r="D43" s="675">
        <v>2</v>
      </c>
      <c r="E43" s="798">
        <v>12</v>
      </c>
      <c r="F43" s="798">
        <v>0.35</v>
      </c>
      <c r="G43" s="730" t="s">
        <v>21</v>
      </c>
      <c r="H43" s="677">
        <f>ROUND(PRODUCT(C43:G43),2)</f>
        <v>8.4</v>
      </c>
    </row>
    <row r="44" spans="1:8">
      <c r="A44" s="798"/>
      <c r="B44" s="798"/>
      <c r="C44" s="798"/>
      <c r="D44" s="798"/>
      <c r="E44" s="798"/>
      <c r="F44" s="798"/>
      <c r="G44" s="798"/>
      <c r="H44" s="679">
        <f>SUM(H43)</f>
        <v>8.4</v>
      </c>
    </row>
    <row r="45" spans="1:8">
      <c r="A45" s="798"/>
      <c r="B45" s="798"/>
      <c r="C45" s="798"/>
      <c r="D45" s="798"/>
      <c r="E45" s="798"/>
      <c r="F45" s="798"/>
      <c r="G45" s="798"/>
      <c r="H45" s="798"/>
    </row>
  </sheetData>
  <mergeCells count="12">
    <mergeCell ref="B30:F30"/>
    <mergeCell ref="B33:F33"/>
    <mergeCell ref="B42:F42"/>
    <mergeCell ref="A1:H1"/>
    <mergeCell ref="A2:H2"/>
    <mergeCell ref="A4:H4"/>
    <mergeCell ref="A5:A6"/>
    <mergeCell ref="B5:B6"/>
    <mergeCell ref="C5:D6"/>
    <mergeCell ref="E5:G5"/>
    <mergeCell ref="H5:H6"/>
    <mergeCell ref="A3:H3"/>
  </mergeCell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sheetPr codeName="Sheet34">
    <tabColor rgb="FF00B050"/>
  </sheetPr>
  <dimension ref="A1:F16"/>
  <sheetViews>
    <sheetView view="pageBreakPreview" zoomScale="90" zoomScaleSheetLayoutView="90" workbookViewId="0">
      <selection activeCell="T19" sqref="T19"/>
    </sheetView>
  </sheetViews>
  <sheetFormatPr defaultColWidth="9.140625" defaultRowHeight="15.75"/>
  <cols>
    <col min="1" max="1" width="9.140625" style="561"/>
    <col min="2" max="2" width="34.5703125" style="561" customWidth="1"/>
    <col min="3" max="3" width="9.42578125" style="561" bestFit="1" customWidth="1"/>
    <col min="4" max="4" width="11.5703125" style="561" customWidth="1"/>
    <col min="5" max="5" width="9.140625" style="561"/>
    <col min="6" max="6" width="14.7109375" style="561" customWidth="1"/>
    <col min="7" max="16384" width="9.140625" style="561"/>
  </cols>
  <sheetData>
    <row r="1" spans="1:6">
      <c r="A1" s="2054" t="s">
        <v>3516</v>
      </c>
      <c r="B1" s="2054"/>
      <c r="C1" s="2054"/>
      <c r="D1" s="2054"/>
      <c r="E1" s="2054"/>
      <c r="F1" s="2054"/>
    </row>
    <row r="2" spans="1:6">
      <c r="A2" s="2079" t="s">
        <v>3517</v>
      </c>
      <c r="B2" s="2080"/>
      <c r="C2" s="2080"/>
      <c r="D2" s="2080"/>
      <c r="E2" s="2080"/>
      <c r="F2" s="2081"/>
    </row>
    <row r="3" spans="1:6">
      <c r="A3" s="799" t="s">
        <v>648</v>
      </c>
      <c r="B3" s="799" t="s">
        <v>3518</v>
      </c>
      <c r="C3" s="799" t="s">
        <v>244</v>
      </c>
      <c r="D3" s="799" t="s">
        <v>246</v>
      </c>
      <c r="E3" s="799" t="s">
        <v>404</v>
      </c>
      <c r="F3" s="799" t="s">
        <v>248</v>
      </c>
    </row>
    <row r="4" spans="1:6">
      <c r="A4" s="798"/>
      <c r="B4" s="799" t="s">
        <v>3494</v>
      </c>
      <c r="C4" s="798"/>
      <c r="D4" s="798"/>
      <c r="E4" s="798"/>
      <c r="F4" s="798"/>
    </row>
    <row r="5" spans="1:6" ht="31.5">
      <c r="A5" s="730">
        <v>1</v>
      </c>
      <c r="B5" s="751" t="s">
        <v>3519</v>
      </c>
      <c r="C5" s="800"/>
      <c r="D5" s="798"/>
      <c r="E5" s="798"/>
      <c r="F5" s="800"/>
    </row>
    <row r="6" spans="1:6" ht="26.25" customHeight="1">
      <c r="A6" s="730"/>
      <c r="B6" s="801" t="s">
        <v>3520</v>
      </c>
      <c r="C6" s="731">
        <f>'PC - Sullage   '!H10</f>
        <v>13.7</v>
      </c>
      <c r="D6" s="802" t="e">
        <f>#REF!</f>
        <v>#REF!</v>
      </c>
      <c r="E6" s="803" t="s">
        <v>151</v>
      </c>
      <c r="F6" s="804" t="e">
        <f t="shared" ref="F6:F13" si="0">C6*D6</f>
        <v>#REF!</v>
      </c>
    </row>
    <row r="7" spans="1:6" ht="39.75" customHeight="1">
      <c r="A7" s="730">
        <v>2</v>
      </c>
      <c r="B7" s="801" t="s">
        <v>3521</v>
      </c>
      <c r="C7" s="731">
        <f>'PC - Sullage   '!H18</f>
        <v>3.4499999999999997</v>
      </c>
      <c r="D7" s="731" t="e">
        <f>#REF!</f>
        <v>#REF!</v>
      </c>
      <c r="E7" s="803" t="s">
        <v>151</v>
      </c>
      <c r="F7" s="804" t="e">
        <f t="shared" si="0"/>
        <v>#REF!</v>
      </c>
    </row>
    <row r="8" spans="1:6" ht="31.5">
      <c r="A8" s="730">
        <v>3</v>
      </c>
      <c r="B8" s="751" t="s">
        <v>3522</v>
      </c>
      <c r="C8" s="731">
        <f>'PC - Sullage   '!H18</f>
        <v>3.4499999999999997</v>
      </c>
      <c r="D8" s="731" t="e">
        <f>#REF!</f>
        <v>#REF!</v>
      </c>
      <c r="E8" s="803" t="s">
        <v>151</v>
      </c>
      <c r="F8" s="804" t="e">
        <f t="shared" si="0"/>
        <v>#REF!</v>
      </c>
    </row>
    <row r="9" spans="1:6" ht="31.5">
      <c r="A9" s="730">
        <v>4</v>
      </c>
      <c r="B9" s="801" t="s">
        <v>3564</v>
      </c>
      <c r="C9" s="731">
        <f>'PC - Sullage   '!H22</f>
        <v>0.35</v>
      </c>
      <c r="D9" s="802" t="e">
        <f>#REF!</f>
        <v>#REF!</v>
      </c>
      <c r="E9" s="803" t="s">
        <v>3523</v>
      </c>
      <c r="F9" s="804" t="e">
        <f t="shared" si="0"/>
        <v>#REF!</v>
      </c>
    </row>
    <row r="10" spans="1:6" ht="47.25">
      <c r="A10" s="730">
        <v>5</v>
      </c>
      <c r="B10" s="801" t="s">
        <v>3524</v>
      </c>
      <c r="C10" s="731">
        <f>'PC - Sullage   '!H32</f>
        <v>136.80000000000001</v>
      </c>
      <c r="D10" s="731" t="e">
        <f>#REF!</f>
        <v>#REF!</v>
      </c>
      <c r="E10" s="803" t="s">
        <v>3523</v>
      </c>
      <c r="F10" s="804" t="e">
        <f t="shared" si="0"/>
        <v>#REF!</v>
      </c>
    </row>
    <row r="11" spans="1:6" ht="52.5" customHeight="1">
      <c r="A11" s="730">
        <v>6</v>
      </c>
      <c r="B11" s="805" t="s">
        <v>3525</v>
      </c>
      <c r="C11" s="731">
        <f>'PC - Sullage   '!H44</f>
        <v>8.4</v>
      </c>
      <c r="D11" s="802" t="e">
        <f>#REF!</f>
        <v>#REF!</v>
      </c>
      <c r="E11" s="803" t="s">
        <v>151</v>
      </c>
      <c r="F11" s="804" t="e">
        <f t="shared" si="0"/>
        <v>#REF!</v>
      </c>
    </row>
    <row r="12" spans="1:6" ht="31.5">
      <c r="A12" s="730">
        <v>7</v>
      </c>
      <c r="B12" s="805" t="s">
        <v>3526</v>
      </c>
      <c r="C12" s="731">
        <f>'PC - Sullage   '!H41</f>
        <v>84.350000000000009</v>
      </c>
      <c r="D12" s="731" t="e">
        <f>#REF!</f>
        <v>#REF!</v>
      </c>
      <c r="E12" s="803" t="s">
        <v>151</v>
      </c>
      <c r="F12" s="804" t="e">
        <f t="shared" si="0"/>
        <v>#REF!</v>
      </c>
    </row>
    <row r="13" spans="1:6" ht="31.5">
      <c r="A13" s="806">
        <v>8</v>
      </c>
      <c r="B13" s="807" t="s">
        <v>3527</v>
      </c>
      <c r="C13" s="731">
        <f>'PC - Sullage   '!H32</f>
        <v>136.80000000000001</v>
      </c>
      <c r="D13" s="731" t="e">
        <f>#REF!</f>
        <v>#REF!</v>
      </c>
      <c r="E13" s="803" t="s">
        <v>3523</v>
      </c>
      <c r="F13" s="804" t="e">
        <f t="shared" si="0"/>
        <v>#REF!</v>
      </c>
    </row>
    <row r="14" spans="1:6">
      <c r="A14" s="798"/>
      <c r="B14" s="798"/>
      <c r="C14" s="798"/>
      <c r="D14" s="798"/>
      <c r="E14" s="798"/>
      <c r="F14" s="804" t="e">
        <f>SUM(F6:F13)</f>
        <v>#REF!</v>
      </c>
    </row>
    <row r="15" spans="1:6">
      <c r="A15" s="798"/>
      <c r="B15" s="798"/>
      <c r="C15" s="798"/>
      <c r="D15" s="798"/>
      <c r="E15" s="798"/>
      <c r="F15" s="808" t="e">
        <f>ROUNDUP(F14,0)</f>
        <v>#REF!</v>
      </c>
    </row>
    <row r="16" spans="1:6">
      <c r="D16" s="561" t="s">
        <v>3528</v>
      </c>
      <c r="F16" s="809" t="e">
        <f>F15/60</f>
        <v>#REF!</v>
      </c>
    </row>
  </sheetData>
  <mergeCells count="2">
    <mergeCell ref="A1:F1"/>
    <mergeCell ref="A2:F2"/>
  </mergeCells>
  <pageMargins left="0.7" right="0.7" top="0.75" bottom="0.75" header="0.3" footer="0.3"/>
  <pageSetup paperSize="9" scale="93" orientation="portrait" r:id="rId1"/>
</worksheet>
</file>

<file path=xl/worksheets/sheet39.xml><?xml version="1.0" encoding="utf-8"?>
<worksheet xmlns="http://schemas.openxmlformats.org/spreadsheetml/2006/main" xmlns:r="http://schemas.openxmlformats.org/officeDocument/2006/relationships">
  <sheetPr codeName="Sheet19"/>
  <dimension ref="A1:F18"/>
  <sheetViews>
    <sheetView view="pageBreakPreview" zoomScale="70" zoomScaleSheetLayoutView="70" workbookViewId="0">
      <selection activeCell="I11" sqref="I11"/>
    </sheetView>
  </sheetViews>
  <sheetFormatPr defaultColWidth="10.85546875" defaultRowHeight="15.75"/>
  <cols>
    <col min="1" max="1" width="5.7109375" style="828" customWidth="1"/>
    <col min="2" max="2" width="9.140625" style="828" customWidth="1"/>
    <col min="3" max="3" width="33.7109375" style="828" customWidth="1"/>
    <col min="4" max="4" width="11.28515625" style="828" customWidth="1"/>
    <col min="5" max="5" width="10.85546875" style="828"/>
    <col min="6" max="6" width="14.7109375" style="828" customWidth="1"/>
    <col min="7" max="16384" width="10.85546875" style="828"/>
  </cols>
  <sheetData>
    <row r="1" spans="1:6">
      <c r="A1" s="2086" t="str">
        <f>[9]Details!A1</f>
        <v>TamilNadu Police Housing Corporation Limited</v>
      </c>
      <c r="B1" s="2086"/>
      <c r="C1" s="2086"/>
      <c r="D1" s="2086"/>
      <c r="E1" s="2086"/>
      <c r="F1" s="2086"/>
    </row>
    <row r="2" spans="1:6" ht="60.75" customHeight="1">
      <c r="A2" s="2087" t="str">
        <f>'INS - PP - Detail '!A2:I2</f>
        <v>Name of work: Providing Special Repair works for 5 Nos INS, 8 Nos SI, 24 Nos PC/HC Quarters  at Church Hill Ooty in the Nilgiri District</v>
      </c>
      <c r="B2" s="2088"/>
      <c r="C2" s="2088"/>
      <c r="D2" s="2088"/>
      <c r="E2" s="2088"/>
      <c r="F2" s="2089"/>
    </row>
    <row r="3" spans="1:6">
      <c r="A3" s="2090" t="s">
        <v>351</v>
      </c>
      <c r="B3" s="2090"/>
      <c r="C3" s="2090"/>
      <c r="D3" s="2090"/>
      <c r="E3" s="2090"/>
      <c r="F3" s="2090"/>
    </row>
    <row r="4" spans="1:6" ht="31.5">
      <c r="A4" s="829" t="s">
        <v>3545</v>
      </c>
      <c r="B4" s="829" t="s">
        <v>3</v>
      </c>
      <c r="C4" s="829" t="s">
        <v>3546</v>
      </c>
      <c r="D4" s="830" t="s">
        <v>217</v>
      </c>
      <c r="E4" s="829" t="s">
        <v>10</v>
      </c>
      <c r="F4" s="829" t="s">
        <v>218</v>
      </c>
    </row>
    <row r="5" spans="1:6" ht="57" customHeight="1">
      <c r="A5" s="831">
        <v>1</v>
      </c>
      <c r="B5" s="832">
        <f>'INS - PP - Detail '!H11</f>
        <v>6.75</v>
      </c>
      <c r="C5" s="833" t="str">
        <f>'INS - PP - Detail '!B7</f>
        <v>Earth work excavation for Open foundation in all soils and subsoils (excluding refilling)</v>
      </c>
      <c r="D5" s="832">
        <f>[10]Data!K88</f>
        <v>248.87</v>
      </c>
      <c r="E5" s="832" t="str">
        <f>'INS - PP - Detail '!I11</f>
        <v>m3</v>
      </c>
      <c r="F5" s="834">
        <f t="shared" ref="F5:F12" si="0">B5*D5</f>
        <v>1679.8724999999999</v>
      </c>
    </row>
    <row r="6" spans="1:6" ht="48.75" customHeight="1">
      <c r="A6" s="831">
        <v>2</v>
      </c>
      <c r="B6" s="832">
        <f>'INS - PP - Detail '!H16</f>
        <v>3.375</v>
      </c>
      <c r="C6" s="833" t="str">
        <f>'INS - PP - Detail '!B12</f>
        <v xml:space="preserve">Plain cement concrete 1:5:10 for foundation using 40mm stone jelly </v>
      </c>
      <c r="D6" s="832">
        <f>[10]Data!K204</f>
        <v>6158.05</v>
      </c>
      <c r="E6" s="832" t="str">
        <f>'INS - PP - Detail '!I16</f>
        <v>m3</v>
      </c>
      <c r="F6" s="834">
        <f t="shared" si="0"/>
        <v>20783.418750000001</v>
      </c>
    </row>
    <row r="7" spans="1:6" ht="48.75" customHeight="1">
      <c r="A7" s="831">
        <v>3</v>
      </c>
      <c r="B7" s="832">
        <f>'INS - PP - Detail '!H20</f>
        <v>1.0827232142857144</v>
      </c>
      <c r="C7" s="835" t="str">
        <f>'INS - PP - Detail '!B17</f>
        <v>Brick work in C.M. 1:6 using chamber Burnt bricks of size 23 x 11.4 x 7.5 cm (9" x 4 1/2"x 3")</v>
      </c>
      <c r="D7" s="832">
        <f>[10]Data!AI345</f>
        <v>7462.57</v>
      </c>
      <c r="E7" s="832">
        <f>'INS - PP - Detail '!I17</f>
        <v>0</v>
      </c>
      <c r="F7" s="834">
        <f t="shared" si="0"/>
        <v>8079.8977772321432</v>
      </c>
    </row>
    <row r="8" spans="1:6" ht="63">
      <c r="A8" s="831">
        <v>4</v>
      </c>
      <c r="B8" s="832">
        <f>'INS - PP - Detail '!H26</f>
        <v>51.669464285714284</v>
      </c>
      <c r="C8" s="833" t="str">
        <f>'INS - PP - Detail '!B21</f>
        <v>Brickwork partition wall in CM 1:4, 114mm thick using chamber bricks of size 9"x41/2"x3" for superstructure</v>
      </c>
      <c r="D8" s="832">
        <f>[10]Data!AI409</f>
        <v>938.23</v>
      </c>
      <c r="E8" s="831" t="str">
        <f>'INS - PP - Detail '!I26</f>
        <v>m2</v>
      </c>
      <c r="F8" s="834">
        <f t="shared" si="0"/>
        <v>48477.84147678571</v>
      </c>
    </row>
    <row r="9" spans="1:6" ht="57" customHeight="1">
      <c r="A9" s="831">
        <v>5</v>
      </c>
      <c r="B9" s="832">
        <f>'INS - PP - Detail '!H30</f>
        <v>17.298125000000002</v>
      </c>
      <c r="C9" s="833" t="str">
        <f>'INS - PP - Detail '!B27</f>
        <v>Filling the Basement with excavated earth in layers of 150mm thick</v>
      </c>
      <c r="D9" s="832">
        <f>[10]Data!K482</f>
        <v>41.02</v>
      </c>
      <c r="E9" s="832" t="str">
        <f>E5</f>
        <v>m3</v>
      </c>
      <c r="F9" s="834">
        <f t="shared" si="0"/>
        <v>709.56908750000014</v>
      </c>
    </row>
    <row r="10" spans="1:6" ht="57" customHeight="1">
      <c r="A10" s="831">
        <v>6</v>
      </c>
      <c r="B10" s="832">
        <f>'INS - PP - Detail '!H34</f>
        <v>2.7581249999999997</v>
      </c>
      <c r="C10" s="833" t="str">
        <f>'INS - PP - Detail '!B31</f>
        <v>Supplying and filling in foundation and basement with filling sand in layers of 150mm thk</v>
      </c>
      <c r="D10" s="832">
        <f>[10]Data!K144</f>
        <v>2498</v>
      </c>
      <c r="E10" s="832" t="str">
        <f>E6</f>
        <v>m3</v>
      </c>
      <c r="F10" s="834">
        <f t="shared" si="0"/>
        <v>6889.7962499999994</v>
      </c>
    </row>
    <row r="11" spans="1:6" ht="55.5" customHeight="1">
      <c r="A11" s="831">
        <v>7</v>
      </c>
      <c r="B11" s="832">
        <f>'INS - PP - Detail '!H38</f>
        <v>45</v>
      </c>
      <c r="C11" s="833" t="str">
        <f>'INS - PP - Detail '!B35</f>
        <v xml:space="preserve">Precast slab 50mm thk in PCC1:3:6 mixed with fibre including laying </v>
      </c>
      <c r="D11" s="832">
        <f>[10]Data!K1727</f>
        <v>479.3</v>
      </c>
      <c r="E11" s="831" t="str">
        <f>E8</f>
        <v>m2</v>
      </c>
      <c r="F11" s="834">
        <f t="shared" si="0"/>
        <v>21568.5</v>
      </c>
    </row>
    <row r="12" spans="1:6" ht="51" customHeight="1">
      <c r="A12" s="831">
        <v>8</v>
      </c>
      <c r="B12" s="832">
        <f>'INS - PP - Detail '!H42</f>
        <v>37.5</v>
      </c>
      <c r="C12" s="833" t="str">
        <f>'INS - PP - Detail '!B39</f>
        <v>Plastering with Cm 1:5, 12mm thk finishing with near cement</v>
      </c>
      <c r="D12" s="836">
        <f>[10]Data!K1400</f>
        <v>277.07</v>
      </c>
      <c r="E12" s="831" t="str">
        <f>E11</f>
        <v>m2</v>
      </c>
      <c r="F12" s="834">
        <f t="shared" si="0"/>
        <v>10390.125</v>
      </c>
    </row>
    <row r="13" spans="1:6">
      <c r="A13" s="837"/>
      <c r="B13" s="789"/>
      <c r="C13" s="2091" t="s">
        <v>3547</v>
      </c>
      <c r="D13" s="2092"/>
      <c r="E13" s="2093"/>
      <c r="F13" s="696">
        <f>SUM(F5:F12)</f>
        <v>118579.02084151786</v>
      </c>
    </row>
    <row r="14" spans="1:6">
      <c r="A14" s="837"/>
      <c r="B14" s="838"/>
      <c r="C14" s="2094" t="s">
        <v>3548</v>
      </c>
      <c r="D14" s="2095"/>
      <c r="E14" s="2096"/>
      <c r="F14" s="696">
        <f>F13*12%</f>
        <v>14229.482500982143</v>
      </c>
    </row>
    <row r="15" spans="1:6">
      <c r="A15" s="837"/>
      <c r="B15" s="838"/>
      <c r="C15" s="2091" t="s">
        <v>3549</v>
      </c>
      <c r="D15" s="2092"/>
      <c r="E15" s="2093"/>
      <c r="F15" s="696">
        <f>SUM(F13:F14)</f>
        <v>132808.50334250001</v>
      </c>
    </row>
    <row r="16" spans="1:6">
      <c r="A16" s="837"/>
      <c r="B16" s="838"/>
      <c r="C16" s="2082" t="s">
        <v>224</v>
      </c>
      <c r="D16" s="2083"/>
      <c r="E16" s="2084"/>
      <c r="F16" s="697">
        <f>F15*1%</f>
        <v>1328.0850334250001</v>
      </c>
    </row>
    <row r="17" spans="1:6">
      <c r="A17" s="837"/>
      <c r="B17" s="838"/>
      <c r="C17" s="2082" t="s">
        <v>3550</v>
      </c>
      <c r="D17" s="2083"/>
      <c r="E17" s="2084"/>
      <c r="F17" s="697">
        <f>F15*7.5%</f>
        <v>9960.6377506875015</v>
      </c>
    </row>
    <row r="18" spans="1:6">
      <c r="A18" s="837"/>
      <c r="B18" s="838"/>
      <c r="C18" s="2085" t="s">
        <v>3551</v>
      </c>
      <c r="D18" s="2085"/>
      <c r="E18" s="2085"/>
      <c r="F18" s="696">
        <f>SUM(F15:F17)</f>
        <v>144097.22612661254</v>
      </c>
    </row>
  </sheetData>
  <mergeCells count="9">
    <mergeCell ref="C16:E16"/>
    <mergeCell ref="C17:E17"/>
    <mergeCell ref="C18:E18"/>
    <mergeCell ref="A1:F1"/>
    <mergeCell ref="A2:F2"/>
    <mergeCell ref="A3:F3"/>
    <mergeCell ref="C13:E13"/>
    <mergeCell ref="C14:E14"/>
    <mergeCell ref="C15:E15"/>
  </mergeCells>
  <pageMargins left="0.7" right="0.7" top="0.75" bottom="0.75" header="0.3" footer="0.3"/>
  <pageSetup paperSize="9" scale="74" orientation="portrait" r:id="rId1"/>
</worksheet>
</file>

<file path=xl/worksheets/sheet40.xml><?xml version="1.0" encoding="utf-8"?>
<worksheet xmlns="http://schemas.openxmlformats.org/spreadsheetml/2006/main" xmlns:r="http://schemas.openxmlformats.org/officeDocument/2006/relationships">
  <sheetPr codeName="Sheet35"/>
  <dimension ref="A1:F18"/>
  <sheetViews>
    <sheetView view="pageBreakPreview" zoomScale="70" zoomScaleSheetLayoutView="70" workbookViewId="0">
      <selection activeCell="N7" sqref="N7"/>
    </sheetView>
  </sheetViews>
  <sheetFormatPr defaultColWidth="10.85546875" defaultRowHeight="15.75"/>
  <cols>
    <col min="1" max="1" width="5.7109375" style="828" customWidth="1"/>
    <col min="2" max="2" width="9.140625" style="828" customWidth="1"/>
    <col min="3" max="3" width="33.7109375" style="828" customWidth="1"/>
    <col min="4" max="4" width="11.28515625" style="828" customWidth="1"/>
    <col min="5" max="5" width="10.85546875" style="828"/>
    <col min="6" max="6" width="14.7109375" style="828" customWidth="1"/>
    <col min="7" max="16384" width="10.85546875" style="828"/>
  </cols>
  <sheetData>
    <row r="1" spans="1:6">
      <c r="A1" s="2086" t="str">
        <f>[9]Details!A1</f>
        <v>TamilNadu Police Housing Corporation Limited</v>
      </c>
      <c r="B1" s="2086"/>
      <c r="C1" s="2086"/>
      <c r="D1" s="2086"/>
      <c r="E1" s="2086"/>
      <c r="F1" s="2086"/>
    </row>
    <row r="2" spans="1:6" ht="60.75" customHeight="1">
      <c r="A2" s="2087" t="str">
        <f>'INS - PP - Detail '!A2:I2</f>
        <v>Name of work: Providing Special Repair works for 5 Nos INS, 8 Nos SI, 24 Nos PC/HC Quarters  at Church Hill Ooty in the Nilgiri District</v>
      </c>
      <c r="B2" s="2088"/>
      <c r="C2" s="2088"/>
      <c r="D2" s="2088"/>
      <c r="E2" s="2088"/>
      <c r="F2" s="2089"/>
    </row>
    <row r="3" spans="1:6">
      <c r="A3" s="2090" t="s">
        <v>351</v>
      </c>
      <c r="B3" s="2090"/>
      <c r="C3" s="2090"/>
      <c r="D3" s="2090"/>
      <c r="E3" s="2090"/>
      <c r="F3" s="2090"/>
    </row>
    <row r="4" spans="1:6" ht="31.5">
      <c r="A4" s="829" t="s">
        <v>3545</v>
      </c>
      <c r="B4" s="829" t="s">
        <v>3</v>
      </c>
      <c r="C4" s="829" t="s">
        <v>3546</v>
      </c>
      <c r="D4" s="830" t="s">
        <v>217</v>
      </c>
      <c r="E4" s="829" t="s">
        <v>10</v>
      </c>
      <c r="F4" s="829" t="s">
        <v>218</v>
      </c>
    </row>
    <row r="5" spans="1:6" ht="57" customHeight="1">
      <c r="A5" s="831">
        <v>1</v>
      </c>
      <c r="B5" s="832">
        <f>'SI - PP - Detail '!H11</f>
        <v>10.799999999999999</v>
      </c>
      <c r="C5" s="833" t="str">
        <f>'SI - PP - Detail '!B7</f>
        <v>Earth work excavation for Open foundation in all soils and subsoils (excluding refilling)</v>
      </c>
      <c r="D5" s="832">
        <f>[10]Data!K88</f>
        <v>248.87</v>
      </c>
      <c r="E5" s="832" t="str">
        <f>'SI - PP - Detail '!I11</f>
        <v>m3</v>
      </c>
      <c r="F5" s="834">
        <f t="shared" ref="F5:F12" si="0">B5*D5</f>
        <v>2687.7959999999998</v>
      </c>
    </row>
    <row r="6" spans="1:6" ht="48.75" customHeight="1">
      <c r="A6" s="831">
        <v>2</v>
      </c>
      <c r="B6" s="832">
        <f>'SI - PP - Detail '!H16</f>
        <v>5.4</v>
      </c>
      <c r="C6" s="833" t="str">
        <f>'SI - PP - Detail '!B12</f>
        <v xml:space="preserve">Plain cement concrete 1:5:10 for foundation using 40mm stone jelly </v>
      </c>
      <c r="D6" s="832">
        <f>[10]Data!K204</f>
        <v>6158.05</v>
      </c>
      <c r="E6" s="832" t="str">
        <f>'SI - PP - Detail '!I16</f>
        <v>m3</v>
      </c>
      <c r="F6" s="834">
        <f t="shared" si="0"/>
        <v>33253.47</v>
      </c>
    </row>
    <row r="7" spans="1:6" ht="66.599999999999994" customHeight="1">
      <c r="A7" s="831">
        <v>3</v>
      </c>
      <c r="B7" s="832">
        <f>'SI - PP - Detail '!H20</f>
        <v>1.7</v>
      </c>
      <c r="C7" s="835" t="str">
        <f>'SI - PP - Detail '!B17</f>
        <v>Brick work in C.M. 1:6 using chamber burn bricks of size 23 x 11.4 x 7.5 cm (9" x 4 1/2"x 3")</v>
      </c>
      <c r="D7" s="832">
        <f>[10]Data!AI345</f>
        <v>7462.57</v>
      </c>
      <c r="E7" s="832">
        <f>'SI - PP - Detail '!I17</f>
        <v>0</v>
      </c>
      <c r="F7" s="834">
        <f t="shared" si="0"/>
        <v>12686.368999999999</v>
      </c>
    </row>
    <row r="8" spans="1:6" ht="47.25">
      <c r="A8" s="831">
        <v>4</v>
      </c>
      <c r="B8" s="832">
        <f>'SI - PP - Detail '!H26</f>
        <v>82.647142857142867</v>
      </c>
      <c r="C8" s="833" t="str">
        <f>'SI - PP - Detail '!B21</f>
        <v>Brickwork partition wall in CM 1:4, 114mm thick using chmaber burn of size 9"x41/2"x3" for superstructure</v>
      </c>
      <c r="D8" s="832">
        <f>[10]Data!AI409</f>
        <v>938.23</v>
      </c>
      <c r="E8" s="831" t="str">
        <f>'SI - PP - Detail '!I26</f>
        <v>m2</v>
      </c>
      <c r="F8" s="834">
        <f t="shared" si="0"/>
        <v>77542.028842857151</v>
      </c>
    </row>
    <row r="9" spans="1:6" ht="57" customHeight="1">
      <c r="A9" s="831">
        <v>5</v>
      </c>
      <c r="B9" s="832">
        <f>'SI - PP - Detail '!H30</f>
        <v>27.645</v>
      </c>
      <c r="C9" s="833" t="str">
        <f>'SI - PP - Detail '!B27</f>
        <v>Filling the Basement with excavated earth in layers of 150mm thick</v>
      </c>
      <c r="D9" s="832">
        <f>[10]Data!K482</f>
        <v>41.02</v>
      </c>
      <c r="E9" s="832" t="str">
        <f>E5</f>
        <v>m3</v>
      </c>
      <c r="F9" s="834">
        <f t="shared" si="0"/>
        <v>1133.9979000000001</v>
      </c>
    </row>
    <row r="10" spans="1:6" ht="57" customHeight="1">
      <c r="A10" s="831">
        <v>6</v>
      </c>
      <c r="B10" s="832">
        <f>'SI - PP - Detail '!H34</f>
        <v>4.3950000000000005</v>
      </c>
      <c r="C10" s="833" t="str">
        <f>'SI - PP - Detail '!B31</f>
        <v>Supplying and filling in foundation and basement with filling sand in layers of 150mm thk</v>
      </c>
      <c r="D10" s="832">
        <f>[10]Data!K144</f>
        <v>2498</v>
      </c>
      <c r="E10" s="832" t="str">
        <f>E6</f>
        <v>m3</v>
      </c>
      <c r="F10" s="834">
        <f t="shared" si="0"/>
        <v>10978.710000000001</v>
      </c>
    </row>
    <row r="11" spans="1:6" ht="55.5" customHeight="1">
      <c r="A11" s="831">
        <v>7</v>
      </c>
      <c r="B11" s="832">
        <f>'SI - PP - Detail '!H38</f>
        <v>72</v>
      </c>
      <c r="C11" s="833" t="str">
        <f>'SI - PP - Detail '!B35</f>
        <v xml:space="preserve">Precast slab 50mm thk in PCC1:3:6 mixed with fibre including laying </v>
      </c>
      <c r="D11" s="832">
        <f>[10]Data!K1727</f>
        <v>479.3</v>
      </c>
      <c r="E11" s="831" t="str">
        <f>E8</f>
        <v>m2</v>
      </c>
      <c r="F11" s="834">
        <f t="shared" si="0"/>
        <v>34509.599999999999</v>
      </c>
    </row>
    <row r="12" spans="1:6" ht="51" customHeight="1">
      <c r="A12" s="831">
        <v>8</v>
      </c>
      <c r="B12" s="832">
        <f>'SI - PP - Detail '!H42</f>
        <v>60</v>
      </c>
      <c r="C12" s="833" t="str">
        <f>'SI - PP - Detail '!B39</f>
        <v>Plastering with Cm 1:5, 12mm thk finishing with near cement</v>
      </c>
      <c r="D12" s="836">
        <f>[10]Data!K1400</f>
        <v>277.07</v>
      </c>
      <c r="E12" s="831" t="str">
        <f>E11</f>
        <v>m2</v>
      </c>
      <c r="F12" s="834">
        <f t="shared" si="0"/>
        <v>16624.2</v>
      </c>
    </row>
    <row r="13" spans="1:6">
      <c r="A13" s="837"/>
      <c r="B13" s="789"/>
      <c r="C13" s="2091" t="s">
        <v>3547</v>
      </c>
      <c r="D13" s="2092"/>
      <c r="E13" s="2093"/>
      <c r="F13" s="696">
        <f>SUM(F5:F12)</f>
        <v>189416.17174285717</v>
      </c>
    </row>
    <row r="14" spans="1:6">
      <c r="A14" s="837"/>
      <c r="B14" s="838"/>
      <c r="C14" s="2094" t="s">
        <v>3548</v>
      </c>
      <c r="D14" s="2095"/>
      <c r="E14" s="2096"/>
      <c r="F14" s="696">
        <f>F13*12%</f>
        <v>22729.940609142861</v>
      </c>
    </row>
    <row r="15" spans="1:6">
      <c r="A15" s="837"/>
      <c r="B15" s="838"/>
      <c r="C15" s="2091" t="s">
        <v>3549</v>
      </c>
      <c r="D15" s="2092"/>
      <c r="E15" s="2093"/>
      <c r="F15" s="696">
        <f>SUM(F13:F14)</f>
        <v>212146.11235200003</v>
      </c>
    </row>
    <row r="16" spans="1:6">
      <c r="A16" s="837"/>
      <c r="B16" s="838"/>
      <c r="C16" s="2082" t="s">
        <v>224</v>
      </c>
      <c r="D16" s="2083"/>
      <c r="E16" s="2084"/>
      <c r="F16" s="697">
        <f>F15*1%</f>
        <v>2121.4611235200005</v>
      </c>
    </row>
    <row r="17" spans="1:6">
      <c r="A17" s="837"/>
      <c r="B17" s="838"/>
      <c r="C17" s="2082" t="s">
        <v>3550</v>
      </c>
      <c r="D17" s="2083"/>
      <c r="E17" s="2084"/>
      <c r="F17" s="697">
        <f>F15*7.5%</f>
        <v>15910.9584264</v>
      </c>
    </row>
    <row r="18" spans="1:6">
      <c r="A18" s="837"/>
      <c r="B18" s="838"/>
      <c r="C18" s="2085" t="s">
        <v>3551</v>
      </c>
      <c r="D18" s="2085"/>
      <c r="E18" s="2085"/>
      <c r="F18" s="696">
        <f>SUM(F15:F17)</f>
        <v>230178.53190192004</v>
      </c>
    </row>
  </sheetData>
  <mergeCells count="9">
    <mergeCell ref="C16:E16"/>
    <mergeCell ref="C17:E17"/>
    <mergeCell ref="C18:E18"/>
    <mergeCell ref="A1:F1"/>
    <mergeCell ref="A2:F2"/>
    <mergeCell ref="A3:F3"/>
    <mergeCell ref="C13:E13"/>
    <mergeCell ref="C14:E14"/>
    <mergeCell ref="C15:E15"/>
  </mergeCells>
  <pageMargins left="0.7" right="0.7" top="0.75" bottom="0.75" header="0.3" footer="0.3"/>
  <pageSetup paperSize="9" scale="74" orientation="portrait" r:id="rId1"/>
</worksheet>
</file>

<file path=xl/worksheets/sheet41.xml><?xml version="1.0" encoding="utf-8"?>
<worksheet xmlns="http://schemas.openxmlformats.org/spreadsheetml/2006/main" xmlns:r="http://schemas.openxmlformats.org/officeDocument/2006/relationships">
  <sheetPr codeName="Sheet7">
    <tabColor rgb="FFFF0000"/>
  </sheetPr>
  <dimension ref="A1:I42"/>
  <sheetViews>
    <sheetView view="pageBreakPreview" zoomScale="60" zoomScaleNormal="85" workbookViewId="0">
      <selection activeCell="S13" sqref="S13"/>
    </sheetView>
  </sheetViews>
  <sheetFormatPr defaultRowHeight="15.75"/>
  <cols>
    <col min="1" max="1" width="5.5703125" style="694" customWidth="1"/>
    <col min="2" max="2" width="38" style="692" customWidth="1"/>
    <col min="3" max="4" width="5.5703125" style="692" customWidth="1"/>
    <col min="5" max="7" width="8.85546875" style="692"/>
    <col min="8" max="8" width="12.28515625" style="692" customWidth="1"/>
    <col min="9" max="9" width="6.85546875" style="695" customWidth="1"/>
    <col min="10" max="257" width="8.85546875" style="692"/>
    <col min="258" max="258" width="38" style="692" customWidth="1"/>
    <col min="259" max="260" width="5.5703125" style="692" customWidth="1"/>
    <col min="261" max="263" width="8.85546875" style="692"/>
    <col min="264" max="264" width="12.28515625" style="692" customWidth="1"/>
    <col min="265" max="513" width="8.85546875" style="692"/>
    <col min="514" max="514" width="38" style="692" customWidth="1"/>
    <col min="515" max="516" width="5.5703125" style="692" customWidth="1"/>
    <col min="517" max="519" width="8.85546875" style="692"/>
    <col min="520" max="520" width="12.28515625" style="692" customWidth="1"/>
    <col min="521" max="769" width="8.85546875" style="692"/>
    <col min="770" max="770" width="38" style="692" customWidth="1"/>
    <col min="771" max="772" width="5.5703125" style="692" customWidth="1"/>
    <col min="773" max="775" width="8.85546875" style="692"/>
    <col min="776" max="776" width="12.28515625" style="692" customWidth="1"/>
    <col min="777" max="1025" width="8.85546875" style="692"/>
    <col min="1026" max="1026" width="38" style="692" customWidth="1"/>
    <col min="1027" max="1028" width="5.5703125" style="692" customWidth="1"/>
    <col min="1029" max="1031" width="8.85546875" style="692"/>
    <col min="1032" max="1032" width="12.28515625" style="692" customWidth="1"/>
    <col min="1033" max="1281" width="8.85546875" style="692"/>
    <col min="1282" max="1282" width="38" style="692" customWidth="1"/>
    <col min="1283" max="1284" width="5.5703125" style="692" customWidth="1"/>
    <col min="1285" max="1287" width="8.85546875" style="692"/>
    <col min="1288" max="1288" width="12.28515625" style="692" customWidth="1"/>
    <col min="1289" max="1537" width="8.85546875" style="692"/>
    <col min="1538" max="1538" width="38" style="692" customWidth="1"/>
    <col min="1539" max="1540" width="5.5703125" style="692" customWidth="1"/>
    <col min="1541" max="1543" width="8.85546875" style="692"/>
    <col min="1544" max="1544" width="12.28515625" style="692" customWidth="1"/>
    <col min="1545" max="1793" width="8.85546875" style="692"/>
    <col min="1794" max="1794" width="38" style="692" customWidth="1"/>
    <col min="1795" max="1796" width="5.5703125" style="692" customWidth="1"/>
    <col min="1797" max="1799" width="8.85546875" style="692"/>
    <col min="1800" max="1800" width="12.28515625" style="692" customWidth="1"/>
    <col min="1801" max="2049" width="8.85546875" style="692"/>
    <col min="2050" max="2050" width="38" style="692" customWidth="1"/>
    <col min="2051" max="2052" width="5.5703125" style="692" customWidth="1"/>
    <col min="2053" max="2055" width="8.85546875" style="692"/>
    <col min="2056" max="2056" width="12.28515625" style="692" customWidth="1"/>
    <col min="2057" max="2305" width="8.85546875" style="692"/>
    <col min="2306" max="2306" width="38" style="692" customWidth="1"/>
    <col min="2307" max="2308" width="5.5703125" style="692" customWidth="1"/>
    <col min="2309" max="2311" width="8.85546875" style="692"/>
    <col min="2312" max="2312" width="12.28515625" style="692" customWidth="1"/>
    <col min="2313" max="2561" width="8.85546875" style="692"/>
    <col min="2562" max="2562" width="38" style="692" customWidth="1"/>
    <col min="2563" max="2564" width="5.5703125" style="692" customWidth="1"/>
    <col min="2565" max="2567" width="8.85546875" style="692"/>
    <col min="2568" max="2568" width="12.28515625" style="692" customWidth="1"/>
    <col min="2569" max="2817" width="8.85546875" style="692"/>
    <col min="2818" max="2818" width="38" style="692" customWidth="1"/>
    <col min="2819" max="2820" width="5.5703125" style="692" customWidth="1"/>
    <col min="2821" max="2823" width="8.85546875" style="692"/>
    <col min="2824" max="2824" width="12.28515625" style="692" customWidth="1"/>
    <col min="2825" max="3073" width="8.85546875" style="692"/>
    <col min="3074" max="3074" width="38" style="692" customWidth="1"/>
    <col min="3075" max="3076" width="5.5703125" style="692" customWidth="1"/>
    <col min="3077" max="3079" width="8.85546875" style="692"/>
    <col min="3080" max="3080" width="12.28515625" style="692" customWidth="1"/>
    <col min="3081" max="3329" width="8.85546875" style="692"/>
    <col min="3330" max="3330" width="38" style="692" customWidth="1"/>
    <col min="3331" max="3332" width="5.5703125" style="692" customWidth="1"/>
    <col min="3333" max="3335" width="8.85546875" style="692"/>
    <col min="3336" max="3336" width="12.28515625" style="692" customWidth="1"/>
    <col min="3337" max="3585" width="8.85546875" style="692"/>
    <col min="3586" max="3586" width="38" style="692" customWidth="1"/>
    <col min="3587" max="3588" width="5.5703125" style="692" customWidth="1"/>
    <col min="3589" max="3591" width="8.85546875" style="692"/>
    <col min="3592" max="3592" width="12.28515625" style="692" customWidth="1"/>
    <col min="3593" max="3841" width="8.85546875" style="692"/>
    <col min="3842" max="3842" width="38" style="692" customWidth="1"/>
    <col min="3843" max="3844" width="5.5703125" style="692" customWidth="1"/>
    <col min="3845" max="3847" width="8.85546875" style="692"/>
    <col min="3848" max="3848" width="12.28515625" style="692" customWidth="1"/>
    <col min="3849" max="4097" width="8.85546875" style="692"/>
    <col min="4098" max="4098" width="38" style="692" customWidth="1"/>
    <col min="4099" max="4100" width="5.5703125" style="692" customWidth="1"/>
    <col min="4101" max="4103" width="8.85546875" style="692"/>
    <col min="4104" max="4104" width="12.28515625" style="692" customWidth="1"/>
    <col min="4105" max="4353" width="8.85546875" style="692"/>
    <col min="4354" max="4354" width="38" style="692" customWidth="1"/>
    <col min="4355" max="4356" width="5.5703125" style="692" customWidth="1"/>
    <col min="4357" max="4359" width="8.85546875" style="692"/>
    <col min="4360" max="4360" width="12.28515625" style="692" customWidth="1"/>
    <col min="4361" max="4609" width="8.85546875" style="692"/>
    <col min="4610" max="4610" width="38" style="692" customWidth="1"/>
    <col min="4611" max="4612" width="5.5703125" style="692" customWidth="1"/>
    <col min="4613" max="4615" width="8.85546875" style="692"/>
    <col min="4616" max="4616" width="12.28515625" style="692" customWidth="1"/>
    <col min="4617" max="4865" width="8.85546875" style="692"/>
    <col min="4866" max="4866" width="38" style="692" customWidth="1"/>
    <col min="4867" max="4868" width="5.5703125" style="692" customWidth="1"/>
    <col min="4869" max="4871" width="8.85546875" style="692"/>
    <col min="4872" max="4872" width="12.28515625" style="692" customWidth="1"/>
    <col min="4873" max="5121" width="8.85546875" style="692"/>
    <col min="5122" max="5122" width="38" style="692" customWidth="1"/>
    <col min="5123" max="5124" width="5.5703125" style="692" customWidth="1"/>
    <col min="5125" max="5127" width="8.85546875" style="692"/>
    <col min="5128" max="5128" width="12.28515625" style="692" customWidth="1"/>
    <col min="5129" max="5377" width="8.85546875" style="692"/>
    <col min="5378" max="5378" width="38" style="692" customWidth="1"/>
    <col min="5379" max="5380" width="5.5703125" style="692" customWidth="1"/>
    <col min="5381" max="5383" width="8.85546875" style="692"/>
    <col min="5384" max="5384" width="12.28515625" style="692" customWidth="1"/>
    <col min="5385" max="5633" width="8.85546875" style="692"/>
    <col min="5634" max="5634" width="38" style="692" customWidth="1"/>
    <col min="5635" max="5636" width="5.5703125" style="692" customWidth="1"/>
    <col min="5637" max="5639" width="8.85546875" style="692"/>
    <col min="5640" max="5640" width="12.28515625" style="692" customWidth="1"/>
    <col min="5641" max="5889" width="8.85546875" style="692"/>
    <col min="5890" max="5890" width="38" style="692" customWidth="1"/>
    <col min="5891" max="5892" width="5.5703125" style="692" customWidth="1"/>
    <col min="5893" max="5895" width="8.85546875" style="692"/>
    <col min="5896" max="5896" width="12.28515625" style="692" customWidth="1"/>
    <col min="5897" max="6145" width="8.85546875" style="692"/>
    <col min="6146" max="6146" width="38" style="692" customWidth="1"/>
    <col min="6147" max="6148" width="5.5703125" style="692" customWidth="1"/>
    <col min="6149" max="6151" width="8.85546875" style="692"/>
    <col min="6152" max="6152" width="12.28515625" style="692" customWidth="1"/>
    <col min="6153" max="6401" width="8.85546875" style="692"/>
    <col min="6402" max="6402" width="38" style="692" customWidth="1"/>
    <col min="6403" max="6404" width="5.5703125" style="692" customWidth="1"/>
    <col min="6405" max="6407" width="8.85546875" style="692"/>
    <col min="6408" max="6408" width="12.28515625" style="692" customWidth="1"/>
    <col min="6409" max="6657" width="8.85546875" style="692"/>
    <col min="6658" max="6658" width="38" style="692" customWidth="1"/>
    <col min="6659" max="6660" width="5.5703125" style="692" customWidth="1"/>
    <col min="6661" max="6663" width="8.85546875" style="692"/>
    <col min="6664" max="6664" width="12.28515625" style="692" customWidth="1"/>
    <col min="6665" max="6913" width="8.85546875" style="692"/>
    <col min="6914" max="6914" width="38" style="692" customWidth="1"/>
    <col min="6915" max="6916" width="5.5703125" style="692" customWidth="1"/>
    <col min="6917" max="6919" width="8.85546875" style="692"/>
    <col min="6920" max="6920" width="12.28515625" style="692" customWidth="1"/>
    <col min="6921" max="7169" width="8.85546875" style="692"/>
    <col min="7170" max="7170" width="38" style="692" customWidth="1"/>
    <col min="7171" max="7172" width="5.5703125" style="692" customWidth="1"/>
    <col min="7173" max="7175" width="8.85546875" style="692"/>
    <col min="7176" max="7176" width="12.28515625" style="692" customWidth="1"/>
    <col min="7177" max="7425" width="8.85546875" style="692"/>
    <col min="7426" max="7426" width="38" style="692" customWidth="1"/>
    <col min="7427" max="7428" width="5.5703125" style="692" customWidth="1"/>
    <col min="7429" max="7431" width="8.85546875" style="692"/>
    <col min="7432" max="7432" width="12.28515625" style="692" customWidth="1"/>
    <col min="7433" max="7681" width="8.85546875" style="692"/>
    <col min="7682" max="7682" width="38" style="692" customWidth="1"/>
    <col min="7683" max="7684" width="5.5703125" style="692" customWidth="1"/>
    <col min="7685" max="7687" width="8.85546875" style="692"/>
    <col min="7688" max="7688" width="12.28515625" style="692" customWidth="1"/>
    <col min="7689" max="7937" width="8.85546875" style="692"/>
    <col min="7938" max="7938" width="38" style="692" customWidth="1"/>
    <col min="7939" max="7940" width="5.5703125" style="692" customWidth="1"/>
    <col min="7941" max="7943" width="8.85546875" style="692"/>
    <col min="7944" max="7944" width="12.28515625" style="692" customWidth="1"/>
    <col min="7945" max="8193" width="8.85546875" style="692"/>
    <col min="8194" max="8194" width="38" style="692" customWidth="1"/>
    <col min="8195" max="8196" width="5.5703125" style="692" customWidth="1"/>
    <col min="8197" max="8199" width="8.85546875" style="692"/>
    <col min="8200" max="8200" width="12.28515625" style="692" customWidth="1"/>
    <col min="8201" max="8449" width="8.85546875" style="692"/>
    <col min="8450" max="8450" width="38" style="692" customWidth="1"/>
    <col min="8451" max="8452" width="5.5703125" style="692" customWidth="1"/>
    <col min="8453" max="8455" width="8.85546875" style="692"/>
    <col min="8456" max="8456" width="12.28515625" style="692" customWidth="1"/>
    <col min="8457" max="8705" width="8.85546875" style="692"/>
    <col min="8706" max="8706" width="38" style="692" customWidth="1"/>
    <col min="8707" max="8708" width="5.5703125" style="692" customWidth="1"/>
    <col min="8709" max="8711" width="8.85546875" style="692"/>
    <col min="8712" max="8712" width="12.28515625" style="692" customWidth="1"/>
    <col min="8713" max="8961" width="8.85546875" style="692"/>
    <col min="8962" max="8962" width="38" style="692" customWidth="1"/>
    <col min="8963" max="8964" width="5.5703125" style="692" customWidth="1"/>
    <col min="8965" max="8967" width="8.85546875" style="692"/>
    <col min="8968" max="8968" width="12.28515625" style="692" customWidth="1"/>
    <col min="8969" max="9217" width="8.85546875" style="692"/>
    <col min="9218" max="9218" width="38" style="692" customWidth="1"/>
    <col min="9219" max="9220" width="5.5703125" style="692" customWidth="1"/>
    <col min="9221" max="9223" width="8.85546875" style="692"/>
    <col min="9224" max="9224" width="12.28515625" style="692" customWidth="1"/>
    <col min="9225" max="9473" width="8.85546875" style="692"/>
    <col min="9474" max="9474" width="38" style="692" customWidth="1"/>
    <col min="9475" max="9476" width="5.5703125" style="692" customWidth="1"/>
    <col min="9477" max="9479" width="8.85546875" style="692"/>
    <col min="9480" max="9480" width="12.28515625" style="692" customWidth="1"/>
    <col min="9481" max="9729" width="8.85546875" style="692"/>
    <col min="9730" max="9730" width="38" style="692" customWidth="1"/>
    <col min="9731" max="9732" width="5.5703125" style="692" customWidth="1"/>
    <col min="9733" max="9735" width="8.85546875" style="692"/>
    <col min="9736" max="9736" width="12.28515625" style="692" customWidth="1"/>
    <col min="9737" max="9985" width="8.85546875" style="692"/>
    <col min="9986" max="9986" width="38" style="692" customWidth="1"/>
    <col min="9987" max="9988" width="5.5703125" style="692" customWidth="1"/>
    <col min="9989" max="9991" width="8.85546875" style="692"/>
    <col min="9992" max="9992" width="12.28515625" style="692" customWidth="1"/>
    <col min="9993" max="10241" width="8.85546875" style="692"/>
    <col min="10242" max="10242" width="38" style="692" customWidth="1"/>
    <col min="10243" max="10244" width="5.5703125" style="692" customWidth="1"/>
    <col min="10245" max="10247" width="8.85546875" style="692"/>
    <col min="10248" max="10248" width="12.28515625" style="692" customWidth="1"/>
    <col min="10249" max="10497" width="8.85546875" style="692"/>
    <col min="10498" max="10498" width="38" style="692" customWidth="1"/>
    <col min="10499" max="10500" width="5.5703125" style="692" customWidth="1"/>
    <col min="10501" max="10503" width="8.85546875" style="692"/>
    <col min="10504" max="10504" width="12.28515625" style="692" customWidth="1"/>
    <col min="10505" max="10753" width="8.85546875" style="692"/>
    <col min="10754" max="10754" width="38" style="692" customWidth="1"/>
    <col min="10755" max="10756" width="5.5703125" style="692" customWidth="1"/>
    <col min="10757" max="10759" width="8.85546875" style="692"/>
    <col min="10760" max="10760" width="12.28515625" style="692" customWidth="1"/>
    <col min="10761" max="11009" width="8.85546875" style="692"/>
    <col min="11010" max="11010" width="38" style="692" customWidth="1"/>
    <col min="11011" max="11012" width="5.5703125" style="692" customWidth="1"/>
    <col min="11013" max="11015" width="8.85546875" style="692"/>
    <col min="11016" max="11016" width="12.28515625" style="692" customWidth="1"/>
    <col min="11017" max="11265" width="8.85546875" style="692"/>
    <col min="11266" max="11266" width="38" style="692" customWidth="1"/>
    <col min="11267" max="11268" width="5.5703125" style="692" customWidth="1"/>
    <col min="11269" max="11271" width="8.85546875" style="692"/>
    <col min="11272" max="11272" width="12.28515625" style="692" customWidth="1"/>
    <col min="11273" max="11521" width="8.85546875" style="692"/>
    <col min="11522" max="11522" width="38" style="692" customWidth="1"/>
    <col min="11523" max="11524" width="5.5703125" style="692" customWidth="1"/>
    <col min="11525" max="11527" width="8.85546875" style="692"/>
    <col min="11528" max="11528" width="12.28515625" style="692" customWidth="1"/>
    <col min="11529" max="11777" width="8.85546875" style="692"/>
    <col min="11778" max="11778" width="38" style="692" customWidth="1"/>
    <col min="11779" max="11780" width="5.5703125" style="692" customWidth="1"/>
    <col min="11781" max="11783" width="8.85546875" style="692"/>
    <col min="11784" max="11784" width="12.28515625" style="692" customWidth="1"/>
    <col min="11785" max="12033" width="8.85546875" style="692"/>
    <col min="12034" max="12034" width="38" style="692" customWidth="1"/>
    <col min="12035" max="12036" width="5.5703125" style="692" customWidth="1"/>
    <col min="12037" max="12039" width="8.85546875" style="692"/>
    <col min="12040" max="12040" width="12.28515625" style="692" customWidth="1"/>
    <col min="12041" max="12289" width="8.85546875" style="692"/>
    <col min="12290" max="12290" width="38" style="692" customWidth="1"/>
    <col min="12291" max="12292" width="5.5703125" style="692" customWidth="1"/>
    <col min="12293" max="12295" width="8.85546875" style="692"/>
    <col min="12296" max="12296" width="12.28515625" style="692" customWidth="1"/>
    <col min="12297" max="12545" width="8.85546875" style="692"/>
    <col min="12546" max="12546" width="38" style="692" customWidth="1"/>
    <col min="12547" max="12548" width="5.5703125" style="692" customWidth="1"/>
    <col min="12549" max="12551" width="8.85546875" style="692"/>
    <col min="12552" max="12552" width="12.28515625" style="692" customWidth="1"/>
    <col min="12553" max="12801" width="8.85546875" style="692"/>
    <col min="12802" max="12802" width="38" style="692" customWidth="1"/>
    <col min="12803" max="12804" width="5.5703125" style="692" customWidth="1"/>
    <col min="12805" max="12807" width="8.85546875" style="692"/>
    <col min="12808" max="12808" width="12.28515625" style="692" customWidth="1"/>
    <col min="12809" max="13057" width="8.85546875" style="692"/>
    <col min="13058" max="13058" width="38" style="692" customWidth="1"/>
    <col min="13059" max="13060" width="5.5703125" style="692" customWidth="1"/>
    <col min="13061" max="13063" width="8.85546875" style="692"/>
    <col min="13064" max="13064" width="12.28515625" style="692" customWidth="1"/>
    <col min="13065" max="13313" width="8.85546875" style="692"/>
    <col min="13314" max="13314" width="38" style="692" customWidth="1"/>
    <col min="13315" max="13316" width="5.5703125" style="692" customWidth="1"/>
    <col min="13317" max="13319" width="8.85546875" style="692"/>
    <col min="13320" max="13320" width="12.28515625" style="692" customWidth="1"/>
    <col min="13321" max="13569" width="8.85546875" style="692"/>
    <col min="13570" max="13570" width="38" style="692" customWidth="1"/>
    <col min="13571" max="13572" width="5.5703125" style="692" customWidth="1"/>
    <col min="13573" max="13575" width="8.85546875" style="692"/>
    <col min="13576" max="13576" width="12.28515625" style="692" customWidth="1"/>
    <col min="13577" max="13825" width="8.85546875" style="692"/>
    <col min="13826" max="13826" width="38" style="692" customWidth="1"/>
    <col min="13827" max="13828" width="5.5703125" style="692" customWidth="1"/>
    <col min="13829" max="13831" width="8.85546875" style="692"/>
    <col min="13832" max="13832" width="12.28515625" style="692" customWidth="1"/>
    <col min="13833" max="14081" width="8.85546875" style="692"/>
    <col min="14082" max="14082" width="38" style="692" customWidth="1"/>
    <col min="14083" max="14084" width="5.5703125" style="692" customWidth="1"/>
    <col min="14085" max="14087" width="8.85546875" style="692"/>
    <col min="14088" max="14088" width="12.28515625" style="692" customWidth="1"/>
    <col min="14089" max="14337" width="8.85546875" style="692"/>
    <col min="14338" max="14338" width="38" style="692" customWidth="1"/>
    <col min="14339" max="14340" width="5.5703125" style="692" customWidth="1"/>
    <col min="14341" max="14343" width="8.85546875" style="692"/>
    <col min="14344" max="14344" width="12.28515625" style="692" customWidth="1"/>
    <col min="14345" max="14593" width="8.85546875" style="692"/>
    <col min="14594" max="14594" width="38" style="692" customWidth="1"/>
    <col min="14595" max="14596" width="5.5703125" style="692" customWidth="1"/>
    <col min="14597" max="14599" width="8.85546875" style="692"/>
    <col min="14600" max="14600" width="12.28515625" style="692" customWidth="1"/>
    <col min="14601" max="14849" width="8.85546875" style="692"/>
    <col min="14850" max="14850" width="38" style="692" customWidth="1"/>
    <col min="14851" max="14852" width="5.5703125" style="692" customWidth="1"/>
    <col min="14853" max="14855" width="8.85546875" style="692"/>
    <col min="14856" max="14856" width="12.28515625" style="692" customWidth="1"/>
    <col min="14857" max="15105" width="8.85546875" style="692"/>
    <col min="15106" max="15106" width="38" style="692" customWidth="1"/>
    <col min="15107" max="15108" width="5.5703125" style="692" customWidth="1"/>
    <col min="15109" max="15111" width="8.85546875" style="692"/>
    <col min="15112" max="15112" width="12.28515625" style="692" customWidth="1"/>
    <col min="15113" max="15361" width="8.85546875" style="692"/>
    <col min="15362" max="15362" width="38" style="692" customWidth="1"/>
    <col min="15363" max="15364" width="5.5703125" style="692" customWidth="1"/>
    <col min="15365" max="15367" width="8.85546875" style="692"/>
    <col min="15368" max="15368" width="12.28515625" style="692" customWidth="1"/>
    <col min="15369" max="15617" width="8.85546875" style="692"/>
    <col min="15618" max="15618" width="38" style="692" customWidth="1"/>
    <col min="15619" max="15620" width="5.5703125" style="692" customWidth="1"/>
    <col min="15621" max="15623" width="8.85546875" style="692"/>
    <col min="15624" max="15624" width="12.28515625" style="692" customWidth="1"/>
    <col min="15625" max="15873" width="8.85546875" style="692"/>
    <col min="15874" max="15874" width="38" style="692" customWidth="1"/>
    <col min="15875" max="15876" width="5.5703125" style="692" customWidth="1"/>
    <col min="15877" max="15879" width="8.85546875" style="692"/>
    <col min="15880" max="15880" width="12.28515625" style="692" customWidth="1"/>
    <col min="15881" max="16129" width="8.85546875" style="692"/>
    <col min="16130" max="16130" width="38" style="692" customWidth="1"/>
    <col min="16131" max="16132" width="5.5703125" style="692" customWidth="1"/>
    <col min="16133" max="16135" width="8.85546875" style="692"/>
    <col min="16136" max="16136" width="12.28515625" style="692" customWidth="1"/>
    <col min="16137" max="16384" width="8.85546875" style="692"/>
  </cols>
  <sheetData>
    <row r="1" spans="1:9" ht="15.75" customHeight="1">
      <c r="A1" s="2062" t="s">
        <v>3529</v>
      </c>
      <c r="B1" s="2063"/>
      <c r="C1" s="2063"/>
      <c r="D1" s="2063"/>
      <c r="E1" s="2063"/>
      <c r="F1" s="2063"/>
      <c r="G1" s="2063"/>
      <c r="H1" s="2063"/>
      <c r="I1" s="2064"/>
    </row>
    <row r="2" spans="1:9" ht="59.45" customHeight="1">
      <c r="A2" s="2071" t="str">
        <f>'PC -PP- Abs'!A2</f>
        <v>Name of work: Providing Special Repair works for 5 Nos INS, 8 Nos SI, 24 Nos PC/HC Quarters  at Church Hill Ooty in the Nilgiri District</v>
      </c>
      <c r="B2" s="2072"/>
      <c r="C2" s="2072"/>
      <c r="D2" s="2072"/>
      <c r="E2" s="2072"/>
      <c r="F2" s="2072"/>
      <c r="G2" s="2072"/>
      <c r="H2" s="2072"/>
      <c r="I2" s="2073"/>
    </row>
    <row r="3" spans="1:9" ht="28.15" customHeight="1">
      <c r="A3" s="2071" t="s">
        <v>3196</v>
      </c>
      <c r="B3" s="2072"/>
      <c r="C3" s="2072"/>
      <c r="D3" s="2072"/>
      <c r="E3" s="2072"/>
      <c r="F3" s="2072"/>
      <c r="G3" s="2072"/>
      <c r="H3" s="2072"/>
      <c r="I3" s="2073"/>
    </row>
    <row r="4" spans="1:9">
      <c r="A4" s="2068" t="s">
        <v>5392</v>
      </c>
      <c r="B4" s="2069"/>
      <c r="C4" s="2069"/>
      <c r="D4" s="2069"/>
      <c r="E4" s="2069"/>
      <c r="F4" s="2069"/>
      <c r="G4" s="2069"/>
      <c r="H4" s="2069"/>
      <c r="I4" s="2070"/>
    </row>
    <row r="5" spans="1:9">
      <c r="A5" s="2057" t="s">
        <v>3531</v>
      </c>
      <c r="B5" s="2057" t="s">
        <v>3497</v>
      </c>
      <c r="C5" s="2057" t="s">
        <v>1717</v>
      </c>
      <c r="D5" s="2057"/>
      <c r="E5" s="2057" t="s">
        <v>3498</v>
      </c>
      <c r="F5" s="2057"/>
      <c r="G5" s="2057"/>
      <c r="H5" s="2058" t="s">
        <v>3</v>
      </c>
      <c r="I5" s="693"/>
    </row>
    <row r="6" spans="1:9">
      <c r="A6" s="2057"/>
      <c r="B6" s="2057"/>
      <c r="C6" s="2057"/>
      <c r="D6" s="2057"/>
      <c r="E6" s="788" t="s">
        <v>5</v>
      </c>
      <c r="F6" s="788" t="s">
        <v>6</v>
      </c>
      <c r="G6" s="788" t="s">
        <v>7</v>
      </c>
      <c r="H6" s="2058"/>
      <c r="I6" s="693"/>
    </row>
    <row r="7" spans="1:9" ht="47.25">
      <c r="A7" s="810">
        <v>1</v>
      </c>
      <c r="B7" s="680" t="s">
        <v>3532</v>
      </c>
      <c r="C7" s="786"/>
      <c r="D7" s="811"/>
      <c r="E7" s="812"/>
      <c r="F7" s="812"/>
      <c r="G7" s="812"/>
      <c r="H7" s="813"/>
      <c r="I7" s="693"/>
    </row>
    <row r="8" spans="1:9">
      <c r="A8" s="810"/>
      <c r="B8" s="786" t="s">
        <v>3533</v>
      </c>
      <c r="C8" s="814"/>
      <c r="D8" s="815"/>
      <c r="E8" s="816"/>
      <c r="F8" s="816"/>
      <c r="G8" s="816"/>
      <c r="H8" s="814"/>
      <c r="I8" s="693"/>
    </row>
    <row r="9" spans="1:9">
      <c r="A9" s="810"/>
      <c r="B9" s="786" t="s">
        <v>3534</v>
      </c>
      <c r="C9" s="810">
        <v>3</v>
      </c>
      <c r="D9" s="817">
        <v>1</v>
      </c>
      <c r="E9" s="818">
        <v>19</v>
      </c>
      <c r="F9" s="818">
        <v>0.3</v>
      </c>
      <c r="G9" s="818">
        <v>0.3</v>
      </c>
      <c r="H9" s="819">
        <f>+PRODUCT(C9:G9)</f>
        <v>5.129999999999999</v>
      </c>
      <c r="I9" s="693"/>
    </row>
    <row r="10" spans="1:9">
      <c r="A10" s="810"/>
      <c r="B10" s="786" t="s">
        <v>337</v>
      </c>
      <c r="C10" s="810"/>
      <c r="D10" s="817"/>
      <c r="E10" s="818"/>
      <c r="F10" s="818"/>
      <c r="G10" s="818"/>
      <c r="H10" s="819">
        <v>0.02</v>
      </c>
      <c r="I10" s="693"/>
    </row>
    <row r="11" spans="1:9" ht="18.75">
      <c r="A11" s="810"/>
      <c r="B11" s="786"/>
      <c r="C11" s="810"/>
      <c r="D11" s="817"/>
      <c r="E11" s="818"/>
      <c r="F11" s="818"/>
      <c r="G11" s="818" t="s">
        <v>9</v>
      </c>
      <c r="H11" s="820">
        <f>SUM(H9:H10)</f>
        <v>5.1499999999999986</v>
      </c>
      <c r="I11" s="821" t="s">
        <v>3762</v>
      </c>
    </row>
    <row r="12" spans="1:9" ht="31.5">
      <c r="A12" s="810">
        <v>2</v>
      </c>
      <c r="B12" s="680" t="s">
        <v>3535</v>
      </c>
      <c r="C12" s="810"/>
      <c r="D12" s="817"/>
      <c r="E12" s="812"/>
      <c r="F12" s="812"/>
      <c r="G12" s="812"/>
      <c r="H12" s="813"/>
      <c r="I12" s="693"/>
    </row>
    <row r="13" spans="1:9">
      <c r="A13" s="810"/>
      <c r="B13" s="786" t="s">
        <v>3533</v>
      </c>
      <c r="C13" s="810"/>
      <c r="D13" s="817"/>
      <c r="E13" s="818"/>
      <c r="F13" s="818"/>
      <c r="G13" s="818"/>
      <c r="H13" s="819"/>
      <c r="I13" s="693"/>
    </row>
    <row r="14" spans="1:9">
      <c r="A14" s="810"/>
      <c r="B14" s="786" t="s">
        <v>3534</v>
      </c>
      <c r="C14" s="810">
        <v>3</v>
      </c>
      <c r="D14" s="817">
        <v>1</v>
      </c>
      <c r="E14" s="818">
        <f>E9</f>
        <v>19</v>
      </c>
      <c r="F14" s="818">
        <v>0.3</v>
      </c>
      <c r="G14" s="822">
        <v>0.15</v>
      </c>
      <c r="H14" s="819">
        <f>G14*F14*E14*D14*C14</f>
        <v>2.5649999999999999</v>
      </c>
      <c r="I14" s="693"/>
    </row>
    <row r="15" spans="1:9">
      <c r="A15" s="810"/>
      <c r="B15" s="786" t="s">
        <v>337</v>
      </c>
      <c r="C15" s="810"/>
      <c r="D15" s="817"/>
      <c r="E15" s="818"/>
      <c r="F15" s="818"/>
      <c r="G15" s="822"/>
      <c r="H15" s="819">
        <v>0.03</v>
      </c>
      <c r="I15" s="693"/>
    </row>
    <row r="16" spans="1:9" ht="18.75">
      <c r="A16" s="810"/>
      <c r="B16" s="786"/>
      <c r="C16" s="810"/>
      <c r="D16" s="817"/>
      <c r="E16" s="818"/>
      <c r="F16" s="818"/>
      <c r="G16" s="818" t="s">
        <v>9</v>
      </c>
      <c r="H16" s="820">
        <f>SUM(H14:H15)</f>
        <v>2.5949999999999998</v>
      </c>
      <c r="I16" s="821" t="s">
        <v>3762</v>
      </c>
    </row>
    <row r="17" spans="1:9" ht="47.25">
      <c r="A17" s="810">
        <v>3</v>
      </c>
      <c r="B17" s="823" t="s">
        <v>5280</v>
      </c>
      <c r="C17" s="810"/>
      <c r="D17" s="817"/>
      <c r="E17" s="818"/>
      <c r="F17" s="818"/>
      <c r="G17" s="818"/>
      <c r="H17" s="820"/>
      <c r="I17" s="821"/>
    </row>
    <row r="18" spans="1:9">
      <c r="A18" s="810"/>
      <c r="B18" s="786" t="s">
        <v>3536</v>
      </c>
      <c r="C18" s="810">
        <v>3</v>
      </c>
      <c r="D18" s="817">
        <f>E14/2.8</f>
        <v>6.7857142857142865</v>
      </c>
      <c r="E18" s="818">
        <v>0.23</v>
      </c>
      <c r="F18" s="818">
        <v>0.23</v>
      </c>
      <c r="G18" s="818">
        <v>0.75</v>
      </c>
      <c r="H18" s="819">
        <f>G18*F18*E18*D18*C18</f>
        <v>0.80766964285714304</v>
      </c>
      <c r="I18" s="821"/>
    </row>
    <row r="19" spans="1:9">
      <c r="A19" s="810"/>
      <c r="B19" s="786"/>
      <c r="C19" s="810"/>
      <c r="D19" s="817"/>
      <c r="E19" s="818"/>
      <c r="F19" s="818"/>
      <c r="G19" s="818"/>
      <c r="H19" s="819">
        <v>0.04</v>
      </c>
      <c r="I19" s="693"/>
    </row>
    <row r="20" spans="1:9" ht="18.75">
      <c r="A20" s="810"/>
      <c r="B20" s="786"/>
      <c r="C20" s="810"/>
      <c r="D20" s="817"/>
      <c r="E20" s="818"/>
      <c r="F20" s="818"/>
      <c r="G20" s="818"/>
      <c r="H20" s="820">
        <f>SUM(H18:H19)</f>
        <v>0.84766964285714308</v>
      </c>
      <c r="I20" s="821" t="s">
        <v>3762</v>
      </c>
    </row>
    <row r="21" spans="1:9" ht="63">
      <c r="A21" s="810">
        <v>4</v>
      </c>
      <c r="B21" s="680" t="s">
        <v>5279</v>
      </c>
      <c r="C21" s="810"/>
      <c r="D21" s="817"/>
      <c r="E21" s="812"/>
      <c r="F21" s="812"/>
      <c r="G21" s="812"/>
      <c r="H21" s="674"/>
      <c r="I21" s="693"/>
    </row>
    <row r="22" spans="1:9">
      <c r="A22" s="810"/>
      <c r="B22" s="786" t="s">
        <v>3538</v>
      </c>
      <c r="C22" s="810"/>
      <c r="D22" s="817"/>
      <c r="E22" s="822"/>
      <c r="F22" s="818"/>
      <c r="G22" s="818"/>
      <c r="H22" s="677"/>
      <c r="I22" s="693"/>
    </row>
    <row r="23" spans="1:9">
      <c r="A23" s="810"/>
      <c r="B23" s="786" t="s">
        <v>3539</v>
      </c>
      <c r="C23" s="810">
        <v>3</v>
      </c>
      <c r="D23" s="817">
        <v>1</v>
      </c>
      <c r="E23" s="818">
        <f>E9</f>
        <v>19</v>
      </c>
      <c r="F23" s="818" t="s">
        <v>21</v>
      </c>
      <c r="G23" s="818">
        <v>0.75</v>
      </c>
      <c r="H23" s="819">
        <f>G23*E23*D23*C23</f>
        <v>42.75</v>
      </c>
      <c r="I23" s="693"/>
    </row>
    <row r="24" spans="1:9">
      <c r="A24" s="810"/>
      <c r="B24" s="786" t="s">
        <v>3419</v>
      </c>
      <c r="C24" s="810">
        <v>-3</v>
      </c>
      <c r="D24" s="824">
        <f>E23/2.8</f>
        <v>6.7857142857142865</v>
      </c>
      <c r="E24" s="818">
        <v>0.23</v>
      </c>
      <c r="F24" s="818" t="s">
        <v>21</v>
      </c>
      <c r="G24" s="818">
        <v>0.75</v>
      </c>
      <c r="H24" s="819">
        <f>G24*E24*D24*C24</f>
        <v>-3.5116071428571436</v>
      </c>
      <c r="I24" s="693"/>
    </row>
    <row r="25" spans="1:9">
      <c r="A25" s="810"/>
      <c r="B25" s="786" t="s">
        <v>337</v>
      </c>
      <c r="C25" s="810"/>
      <c r="D25" s="817"/>
      <c r="E25" s="818"/>
      <c r="F25" s="818"/>
      <c r="G25" s="818"/>
      <c r="H25" s="819">
        <v>0.01</v>
      </c>
      <c r="I25" s="693"/>
    </row>
    <row r="26" spans="1:9" ht="18.75">
      <c r="A26" s="810"/>
      <c r="B26" s="786"/>
      <c r="C26" s="810"/>
      <c r="D26" s="817"/>
      <c r="E26" s="818"/>
      <c r="F26" s="818"/>
      <c r="G26" s="818" t="s">
        <v>9</v>
      </c>
      <c r="H26" s="820">
        <f>SUM(H23:H25)</f>
        <v>39.248392857142854</v>
      </c>
      <c r="I26" s="821" t="s">
        <v>3764</v>
      </c>
    </row>
    <row r="27" spans="1:9" ht="31.5">
      <c r="A27" s="810">
        <v>5</v>
      </c>
      <c r="B27" s="680" t="s">
        <v>3540</v>
      </c>
      <c r="C27" s="810"/>
      <c r="D27" s="817"/>
      <c r="E27" s="818"/>
      <c r="F27" s="818"/>
      <c r="G27" s="818"/>
      <c r="H27" s="820"/>
      <c r="I27" s="825"/>
    </row>
    <row r="28" spans="1:9">
      <c r="A28" s="810"/>
      <c r="B28" s="786" t="s">
        <v>3539</v>
      </c>
      <c r="C28" s="810">
        <v>3</v>
      </c>
      <c r="D28" s="817">
        <v>1</v>
      </c>
      <c r="E28" s="818">
        <f>E23</f>
        <v>19</v>
      </c>
      <c r="F28" s="822">
        <v>0.48499999999999999</v>
      </c>
      <c r="G28" s="822">
        <v>0.47499999999999998</v>
      </c>
      <c r="H28" s="819">
        <f>G28*F28*E28*D28*C28</f>
        <v>13.131374999999998</v>
      </c>
      <c r="I28" s="825"/>
    </row>
    <row r="29" spans="1:9">
      <c r="A29" s="810"/>
      <c r="B29" s="786" t="s">
        <v>337</v>
      </c>
      <c r="C29" s="810"/>
      <c r="D29" s="817"/>
      <c r="E29" s="818"/>
      <c r="F29" s="822"/>
      <c r="G29" s="818"/>
      <c r="H29" s="819">
        <v>0.02</v>
      </c>
      <c r="I29" s="825"/>
    </row>
    <row r="30" spans="1:9">
      <c r="A30" s="810"/>
      <c r="B30" s="786"/>
      <c r="C30" s="810"/>
      <c r="D30" s="817"/>
      <c r="E30" s="818"/>
      <c r="F30" s="818"/>
      <c r="G30" s="818"/>
      <c r="H30" s="820">
        <f>SUM(H28:H29)</f>
        <v>13.151374999999998</v>
      </c>
      <c r="I30" s="826" t="s">
        <v>3541</v>
      </c>
    </row>
    <row r="31" spans="1:9" ht="47.25">
      <c r="A31" s="810">
        <v>6</v>
      </c>
      <c r="B31" s="680" t="s">
        <v>3423</v>
      </c>
      <c r="C31" s="810"/>
      <c r="D31" s="817"/>
      <c r="E31" s="822"/>
      <c r="F31" s="818"/>
      <c r="G31" s="818"/>
      <c r="H31" s="677"/>
      <c r="I31" s="693"/>
    </row>
    <row r="32" spans="1:9">
      <c r="A32" s="810"/>
      <c r="B32" s="786" t="s">
        <v>3534</v>
      </c>
      <c r="C32" s="810">
        <v>3</v>
      </c>
      <c r="D32" s="817">
        <v>1</v>
      </c>
      <c r="E32" s="818">
        <f>E28</f>
        <v>19</v>
      </c>
      <c r="F32" s="822">
        <v>0.48499999999999999</v>
      </c>
      <c r="G32" s="822">
        <v>7.4999999999999997E-2</v>
      </c>
      <c r="H32" s="819">
        <f>G32*F32*E32*D32*C32</f>
        <v>2.073375</v>
      </c>
      <c r="I32" s="693"/>
    </row>
    <row r="33" spans="1:9">
      <c r="A33" s="810"/>
      <c r="B33" s="786" t="s">
        <v>337</v>
      </c>
      <c r="C33" s="810"/>
      <c r="D33" s="817"/>
      <c r="E33" s="818"/>
      <c r="F33" s="818"/>
      <c r="G33" s="818"/>
      <c r="H33" s="827">
        <v>0.03</v>
      </c>
      <c r="I33" s="693"/>
    </row>
    <row r="34" spans="1:9" ht="18.75">
      <c r="A34" s="810"/>
      <c r="B34" s="786"/>
      <c r="C34" s="810"/>
      <c r="D34" s="817"/>
      <c r="E34" s="818"/>
      <c r="F34" s="818"/>
      <c r="G34" s="818" t="s">
        <v>9</v>
      </c>
      <c r="H34" s="820">
        <f>SUM(H31:H33)</f>
        <v>2.1033749999999998</v>
      </c>
      <c r="I34" s="821" t="s">
        <v>3762</v>
      </c>
    </row>
    <row r="35" spans="1:9" ht="31.5">
      <c r="A35" s="810">
        <v>7</v>
      </c>
      <c r="B35" s="680" t="s">
        <v>3542</v>
      </c>
      <c r="C35" s="810"/>
      <c r="D35" s="817"/>
      <c r="E35" s="812"/>
      <c r="F35" s="812"/>
      <c r="G35" s="812"/>
      <c r="H35" s="813"/>
      <c r="I35" s="693"/>
    </row>
    <row r="36" spans="1:9">
      <c r="A36" s="810"/>
      <c r="B36" s="786" t="s">
        <v>3534</v>
      </c>
      <c r="C36" s="810">
        <v>3</v>
      </c>
      <c r="D36" s="817">
        <v>1</v>
      </c>
      <c r="E36" s="818">
        <f>E32</f>
        <v>19</v>
      </c>
      <c r="F36" s="818">
        <v>0.6</v>
      </c>
      <c r="G36" s="822" t="s">
        <v>21</v>
      </c>
      <c r="H36" s="819">
        <f>+PRODUCT(C36:G36)</f>
        <v>34.199999999999996</v>
      </c>
      <c r="I36" s="693"/>
    </row>
    <row r="37" spans="1:9">
      <c r="A37" s="810"/>
      <c r="B37" s="786" t="s">
        <v>337</v>
      </c>
      <c r="C37" s="810"/>
      <c r="D37" s="817"/>
      <c r="E37" s="818"/>
      <c r="F37" s="818"/>
      <c r="G37" s="822"/>
      <c r="H37" s="819"/>
      <c r="I37" s="693"/>
    </row>
    <row r="38" spans="1:9" ht="18.75">
      <c r="A38" s="810"/>
      <c r="B38" s="786"/>
      <c r="C38" s="810"/>
      <c r="D38" s="817"/>
      <c r="E38" s="818"/>
      <c r="F38" s="818"/>
      <c r="G38" s="818" t="s">
        <v>9</v>
      </c>
      <c r="H38" s="820">
        <f>SUM(H36:H37)</f>
        <v>34.199999999999996</v>
      </c>
      <c r="I38" s="821" t="s">
        <v>3764</v>
      </c>
    </row>
    <row r="39" spans="1:9" ht="31.5">
      <c r="A39" s="810">
        <v>8</v>
      </c>
      <c r="B39" s="680" t="s">
        <v>3543</v>
      </c>
      <c r="C39" s="810"/>
      <c r="D39" s="817"/>
      <c r="E39" s="812"/>
      <c r="F39" s="812"/>
      <c r="G39" s="812"/>
      <c r="H39" s="813"/>
      <c r="I39" s="693"/>
    </row>
    <row r="40" spans="1:9">
      <c r="A40" s="810"/>
      <c r="B40" s="786" t="s">
        <v>3544</v>
      </c>
      <c r="C40" s="810">
        <v>3</v>
      </c>
      <c r="D40" s="817">
        <v>1</v>
      </c>
      <c r="E40" s="818">
        <f>E36</f>
        <v>19</v>
      </c>
      <c r="F40" s="818"/>
      <c r="G40" s="822">
        <v>0.5</v>
      </c>
      <c r="H40" s="819">
        <f>+PRODUCT(C40:G40)</f>
        <v>28.5</v>
      </c>
      <c r="I40" s="693"/>
    </row>
    <row r="41" spans="1:9">
      <c r="A41" s="810"/>
      <c r="B41" s="786" t="s">
        <v>337</v>
      </c>
      <c r="C41" s="810"/>
      <c r="D41" s="817"/>
      <c r="E41" s="818"/>
      <c r="F41" s="818"/>
      <c r="G41" s="822"/>
      <c r="H41" s="819"/>
      <c r="I41" s="693"/>
    </row>
    <row r="42" spans="1:9" ht="18.75">
      <c r="A42" s="810"/>
      <c r="B42" s="786"/>
      <c r="C42" s="810"/>
      <c r="D42" s="817"/>
      <c r="E42" s="822"/>
      <c r="F42" s="818"/>
      <c r="G42" s="818" t="s">
        <v>9</v>
      </c>
      <c r="H42" s="820">
        <f>SUM(H40:H41)</f>
        <v>28.5</v>
      </c>
      <c r="I42" s="821" t="s">
        <v>3764</v>
      </c>
    </row>
  </sheetData>
  <mergeCells count="9">
    <mergeCell ref="A1:I1"/>
    <mergeCell ref="A2:I2"/>
    <mergeCell ref="A4:I4"/>
    <mergeCell ref="A5:A6"/>
    <mergeCell ref="B5:B6"/>
    <mergeCell ref="C5:D6"/>
    <mergeCell ref="E5:G5"/>
    <mergeCell ref="H5:H6"/>
    <mergeCell ref="A3:I3"/>
  </mergeCells>
  <pageMargins left="0.7" right="0.7" top="0.75" bottom="0.75" header="0.3" footer="0.3"/>
  <pageSetup paperSize="9" scale="87" orientation="portrait" r:id="rId1"/>
</worksheet>
</file>

<file path=xl/worksheets/sheet42.xml><?xml version="1.0" encoding="utf-8"?>
<worksheet xmlns="http://schemas.openxmlformats.org/spreadsheetml/2006/main" xmlns:r="http://schemas.openxmlformats.org/officeDocument/2006/relationships">
  <sheetPr codeName="Sheet8"/>
  <dimension ref="A1:F18"/>
  <sheetViews>
    <sheetView view="pageBreakPreview" zoomScale="70" zoomScaleSheetLayoutView="70" workbookViewId="0">
      <selection activeCell="R9" sqref="R9"/>
    </sheetView>
  </sheetViews>
  <sheetFormatPr defaultColWidth="10.85546875" defaultRowHeight="15.75"/>
  <cols>
    <col min="1" max="1" width="5.7109375" style="828" customWidth="1"/>
    <col min="2" max="2" width="9.140625" style="828" customWidth="1"/>
    <col min="3" max="3" width="33.7109375" style="828" customWidth="1"/>
    <col min="4" max="4" width="11.28515625" style="828" customWidth="1"/>
    <col min="5" max="5" width="10.85546875" style="828"/>
    <col min="6" max="6" width="14.7109375" style="828" customWidth="1"/>
    <col min="7" max="16384" width="10.85546875" style="828"/>
  </cols>
  <sheetData>
    <row r="1" spans="1:6">
      <c r="A1" s="2086" t="str">
        <f>[9]Details!A1</f>
        <v>TamilNadu Police Housing Corporation Limited</v>
      </c>
      <c r="B1" s="2086"/>
      <c r="C1" s="2086"/>
      <c r="D1" s="2086"/>
      <c r="E1" s="2086"/>
      <c r="F1" s="2086"/>
    </row>
    <row r="2" spans="1:6" ht="60.75" customHeight="1">
      <c r="A2" s="2087" t="str">
        <f>'SI -PP- Abs '!A2:F2</f>
        <v>Name of work: Providing Special Repair works for 5 Nos INS, 8 Nos SI, 24 Nos PC/HC Quarters  at Church Hill Ooty in the Nilgiri District</v>
      </c>
      <c r="B2" s="2088"/>
      <c r="C2" s="2088"/>
      <c r="D2" s="2088"/>
      <c r="E2" s="2088"/>
      <c r="F2" s="2089"/>
    </row>
    <row r="3" spans="1:6">
      <c r="A3" s="2090" t="s">
        <v>351</v>
      </c>
      <c r="B3" s="2090"/>
      <c r="C3" s="2090"/>
      <c r="D3" s="2090"/>
      <c r="E3" s="2090"/>
      <c r="F3" s="2090"/>
    </row>
    <row r="4" spans="1:6" ht="31.5">
      <c r="A4" s="829" t="s">
        <v>3545</v>
      </c>
      <c r="B4" s="829" t="s">
        <v>3</v>
      </c>
      <c r="C4" s="829" t="s">
        <v>3546</v>
      </c>
      <c r="D4" s="830" t="s">
        <v>217</v>
      </c>
      <c r="E4" s="829" t="s">
        <v>10</v>
      </c>
      <c r="F4" s="829" t="s">
        <v>218</v>
      </c>
    </row>
    <row r="5" spans="1:6" ht="57" customHeight="1">
      <c r="A5" s="831">
        <v>1</v>
      </c>
      <c r="B5" s="832">
        <f>'PC - PP - Detail'!H11</f>
        <v>5.1499999999999986</v>
      </c>
      <c r="C5" s="833" t="str">
        <f>'PC - PP - Detail'!B7</f>
        <v>Earth work excavation for Open foundation in all soils and subsoils (excluding refilling)</v>
      </c>
      <c r="D5" s="832">
        <f>[10]Data!K88</f>
        <v>248.87</v>
      </c>
      <c r="E5" s="832" t="str">
        <f>'PC - PP - Detail'!I11</f>
        <v>m3</v>
      </c>
      <c r="F5" s="834">
        <f t="shared" ref="F5:F12" si="0">B5*D5</f>
        <v>1281.6804999999997</v>
      </c>
    </row>
    <row r="6" spans="1:6" ht="48.75" customHeight="1">
      <c r="A6" s="831">
        <v>2</v>
      </c>
      <c r="B6" s="832">
        <f>'PC - PP - Detail'!H16</f>
        <v>2.5949999999999998</v>
      </c>
      <c r="C6" s="833" t="str">
        <f>'PC - PP - Detail'!B12</f>
        <v xml:space="preserve">Plain cement concrete 1:5:10 for foundation using 40mm stone jelly </v>
      </c>
      <c r="D6" s="832">
        <f>[10]Data!K204</f>
        <v>6158.05</v>
      </c>
      <c r="E6" s="832" t="str">
        <f>'PC - PP - Detail'!I16</f>
        <v>m3</v>
      </c>
      <c r="F6" s="834">
        <f t="shared" si="0"/>
        <v>15980.139749999998</v>
      </c>
    </row>
    <row r="7" spans="1:6" ht="48.75" customHeight="1">
      <c r="A7" s="831">
        <v>3</v>
      </c>
      <c r="B7" s="832">
        <f>'PC - PP - Detail'!H20</f>
        <v>0.84766964285714308</v>
      </c>
      <c r="C7" s="835" t="str">
        <f>'PC - PP - Detail'!B17</f>
        <v>Brick work in C.M. 1:6 using chmaber burn bricks of size 23 x 11.4 x 7.5 cm (9" x 4 1/2"x 3")</v>
      </c>
      <c r="D7" s="832">
        <f>[10]Data!AI345</f>
        <v>7462.57</v>
      </c>
      <c r="E7" s="832">
        <f>'PC - PP - Detail'!I17</f>
        <v>0</v>
      </c>
      <c r="F7" s="834">
        <f t="shared" si="0"/>
        <v>6325.7940466964301</v>
      </c>
    </row>
    <row r="8" spans="1:6" ht="63">
      <c r="A8" s="831">
        <v>4</v>
      </c>
      <c r="B8" s="832">
        <f>'PC - PP - Detail'!H26</f>
        <v>39.248392857142854</v>
      </c>
      <c r="C8" s="833" t="str">
        <f>'PC - PP - Detail'!B21</f>
        <v>Brickwork partition wall in CM 1:4, 114mm thick using fchmaber burn brick of size 9"x41/2"x3" for superstructure</v>
      </c>
      <c r="D8" s="832">
        <f>[10]Data!AI409</f>
        <v>938.23</v>
      </c>
      <c r="E8" s="831" t="str">
        <f>'PC - PP - Detail'!I26</f>
        <v>m2</v>
      </c>
      <c r="F8" s="834">
        <f t="shared" si="0"/>
        <v>36824.019630357143</v>
      </c>
    </row>
    <row r="9" spans="1:6" ht="57" customHeight="1">
      <c r="A9" s="831">
        <v>5</v>
      </c>
      <c r="B9" s="832">
        <f>'PC - PP - Detail'!H30</f>
        <v>13.151374999999998</v>
      </c>
      <c r="C9" s="833" t="str">
        <f>'PC - PP - Detail'!B27</f>
        <v>Filling the Basement with excavated earth in layers of 150mm thick</v>
      </c>
      <c r="D9" s="832">
        <f>[10]Data!K482</f>
        <v>41.02</v>
      </c>
      <c r="E9" s="832" t="str">
        <f>E5</f>
        <v>m3</v>
      </c>
      <c r="F9" s="834">
        <f t="shared" si="0"/>
        <v>539.4694025</v>
      </c>
    </row>
    <row r="10" spans="1:6" ht="57" customHeight="1">
      <c r="A10" s="831">
        <v>6</v>
      </c>
      <c r="B10" s="832">
        <f>'PC - PP - Detail'!H34</f>
        <v>2.1033749999999998</v>
      </c>
      <c r="C10" s="833" t="str">
        <f>'PC - PP - Detail'!B31</f>
        <v>Supplying and filling in foundation and basement with filling sand in layers of 150mm thk</v>
      </c>
      <c r="D10" s="832">
        <f>[10]Data!K144</f>
        <v>2498</v>
      </c>
      <c r="E10" s="832" t="str">
        <f>E6</f>
        <v>m3</v>
      </c>
      <c r="F10" s="834">
        <f t="shared" si="0"/>
        <v>5254.2307499999997</v>
      </c>
    </row>
    <row r="11" spans="1:6" ht="55.5" customHeight="1">
      <c r="A11" s="831">
        <v>7</v>
      </c>
      <c r="B11" s="832">
        <f>'PC - PP - Detail'!H38</f>
        <v>34.199999999999996</v>
      </c>
      <c r="C11" s="833" t="str">
        <f>'PC - PP - Detail'!B35</f>
        <v xml:space="preserve">Precast slab 50mm thk in PCC1:3:6 mixed with fibre including laying </v>
      </c>
      <c r="D11" s="832">
        <f>[10]Data!K1727</f>
        <v>479.3</v>
      </c>
      <c r="E11" s="831" t="str">
        <f>E8</f>
        <v>m2</v>
      </c>
      <c r="F11" s="834">
        <f t="shared" si="0"/>
        <v>16392.059999999998</v>
      </c>
    </row>
    <row r="12" spans="1:6" ht="51" customHeight="1">
      <c r="A12" s="831">
        <v>8</v>
      </c>
      <c r="B12" s="832">
        <f>'PC - PP - Detail'!H42</f>
        <v>28.5</v>
      </c>
      <c r="C12" s="833" t="str">
        <f>'PC - PP - Detail'!B39</f>
        <v>Plastering with Cm 1:5, 12mm thk finishing with near cement</v>
      </c>
      <c r="D12" s="836">
        <f>[10]Data!K1400</f>
        <v>277.07</v>
      </c>
      <c r="E12" s="831" t="str">
        <f>E11</f>
        <v>m2</v>
      </c>
      <c r="F12" s="834">
        <f t="shared" si="0"/>
        <v>7896.4949999999999</v>
      </c>
    </row>
    <row r="13" spans="1:6">
      <c r="A13" s="837"/>
      <c r="B13" s="789"/>
      <c r="C13" s="2091" t="s">
        <v>3547</v>
      </c>
      <c r="D13" s="2092"/>
      <c r="E13" s="2093"/>
      <c r="F13" s="696">
        <f>SUM(F5:F12)</f>
        <v>90493.889079553555</v>
      </c>
    </row>
    <row r="14" spans="1:6">
      <c r="A14" s="837"/>
      <c r="B14" s="838"/>
      <c r="C14" s="2094" t="s">
        <v>3548</v>
      </c>
      <c r="D14" s="2095"/>
      <c r="E14" s="2096"/>
      <c r="F14" s="696">
        <f>F13*12%</f>
        <v>10859.266689546426</v>
      </c>
    </row>
    <row r="15" spans="1:6">
      <c r="A15" s="837"/>
      <c r="B15" s="838"/>
      <c r="C15" s="2091" t="s">
        <v>3549</v>
      </c>
      <c r="D15" s="2092"/>
      <c r="E15" s="2093"/>
      <c r="F15" s="696">
        <f>SUM(F13:F14)</f>
        <v>101353.15576909998</v>
      </c>
    </row>
    <row r="16" spans="1:6">
      <c r="A16" s="837"/>
      <c r="B16" s="838"/>
      <c r="C16" s="2082" t="s">
        <v>224</v>
      </c>
      <c r="D16" s="2083"/>
      <c r="E16" s="2084"/>
      <c r="F16" s="697">
        <f>F15*1%</f>
        <v>1013.5315576909998</v>
      </c>
    </row>
    <row r="17" spans="1:6">
      <c r="A17" s="837"/>
      <c r="B17" s="838"/>
      <c r="C17" s="2082" t="s">
        <v>3550</v>
      </c>
      <c r="D17" s="2083"/>
      <c r="E17" s="2084"/>
      <c r="F17" s="697">
        <f>F15*7.5%</f>
        <v>7601.4866826824982</v>
      </c>
    </row>
    <row r="18" spans="1:6">
      <c r="A18" s="837"/>
      <c r="B18" s="838"/>
      <c r="C18" s="2085" t="s">
        <v>3551</v>
      </c>
      <c r="D18" s="2085"/>
      <c r="E18" s="2085"/>
      <c r="F18" s="696">
        <f>SUM(F15:F17)</f>
        <v>109968.17400947347</v>
      </c>
    </row>
  </sheetData>
  <mergeCells count="9">
    <mergeCell ref="C16:E16"/>
    <mergeCell ref="C17:E17"/>
    <mergeCell ref="C18:E18"/>
    <mergeCell ref="A1:F1"/>
    <mergeCell ref="A2:F2"/>
    <mergeCell ref="A3:F3"/>
    <mergeCell ref="C13:E13"/>
    <mergeCell ref="C14:E14"/>
    <mergeCell ref="C15:E15"/>
  </mergeCells>
  <pageMargins left="0.7" right="0.7" top="0.75" bottom="0.75" header="0.3" footer="0.3"/>
  <pageSetup paperSize="9" scale="74" orientation="portrait" r:id="rId1"/>
</worksheet>
</file>

<file path=xl/worksheets/sheet43.xml><?xml version="1.0" encoding="utf-8"?>
<worksheet xmlns="http://schemas.openxmlformats.org/spreadsheetml/2006/main" xmlns:r="http://schemas.openxmlformats.org/officeDocument/2006/relationships">
  <sheetPr codeName="Sheet37">
    <tabColor rgb="FF00B050"/>
  </sheetPr>
  <dimension ref="A1:F27"/>
  <sheetViews>
    <sheetView workbookViewId="0">
      <selection activeCell="L15" sqref="L15"/>
    </sheetView>
  </sheetViews>
  <sheetFormatPr defaultColWidth="8.85546875" defaultRowHeight="15.75"/>
  <cols>
    <col min="1" max="1" width="8.85546875" style="844"/>
    <col min="2" max="2" width="37.42578125" style="561" customWidth="1"/>
    <col min="3" max="3" width="8.85546875" style="844"/>
    <col min="4" max="4" width="10.5703125" style="844" customWidth="1"/>
    <col min="5" max="5" width="8.85546875" style="844"/>
    <col min="6" max="6" width="12.42578125" style="845" customWidth="1"/>
    <col min="7" max="16384" width="8.85546875" style="561"/>
  </cols>
  <sheetData>
    <row r="1" spans="1:6">
      <c r="A1" s="2054" t="s">
        <v>3516</v>
      </c>
      <c r="B1" s="2054"/>
      <c r="C1" s="2054"/>
      <c r="D1" s="2054"/>
      <c r="E1" s="2054"/>
      <c r="F1" s="2054"/>
    </row>
    <row r="2" spans="1:6">
      <c r="A2" s="2079" t="s">
        <v>3517</v>
      </c>
      <c r="B2" s="2080"/>
      <c r="C2" s="2080"/>
      <c r="D2" s="2080"/>
      <c r="E2" s="2080"/>
      <c r="F2" s="2081"/>
    </row>
    <row r="3" spans="1:6">
      <c r="A3" s="787" t="s">
        <v>648</v>
      </c>
      <c r="B3" s="799" t="s">
        <v>3518</v>
      </c>
      <c r="C3" s="787" t="s">
        <v>244</v>
      </c>
      <c r="D3" s="787" t="s">
        <v>246</v>
      </c>
      <c r="E3" s="787" t="s">
        <v>404</v>
      </c>
      <c r="F3" s="839" t="s">
        <v>248</v>
      </c>
    </row>
    <row r="4" spans="1:6">
      <c r="A4" s="730" t="s">
        <v>3675</v>
      </c>
      <c r="B4" s="799" t="s">
        <v>3676</v>
      </c>
      <c r="C4" s="730"/>
      <c r="D4" s="730"/>
      <c r="E4" s="730"/>
      <c r="F4" s="803"/>
    </row>
    <row r="5" spans="1:6" ht="31.5">
      <c r="A5" s="730">
        <v>1</v>
      </c>
      <c r="B5" s="751" t="s">
        <v>3678</v>
      </c>
      <c r="C5" s="731"/>
      <c r="D5" s="730"/>
      <c r="E5" s="730"/>
      <c r="F5" s="840"/>
    </row>
    <row r="6" spans="1:6">
      <c r="A6" s="730"/>
      <c r="B6" s="801" t="s">
        <v>3633</v>
      </c>
      <c r="C6" s="731" t="e">
        <f>#REF!</f>
        <v>#REF!</v>
      </c>
      <c r="D6" s="731">
        <f>[11]Data!K88</f>
        <v>286.15999999999997</v>
      </c>
      <c r="E6" s="730" t="s">
        <v>151</v>
      </c>
      <c r="F6" s="840" t="e">
        <f t="shared" ref="F6:F13" si="0">C6*D6</f>
        <v>#REF!</v>
      </c>
    </row>
    <row r="7" spans="1:6">
      <c r="A7" s="730"/>
      <c r="B7" s="801" t="s">
        <v>3636</v>
      </c>
      <c r="C7" s="731" t="e">
        <f>#REF!</f>
        <v>#REF!</v>
      </c>
      <c r="D7" s="730">
        <f>[11]Data!K89</f>
        <v>299.18</v>
      </c>
      <c r="E7" s="730" t="s">
        <v>151</v>
      </c>
      <c r="F7" s="840" t="e">
        <f t="shared" si="0"/>
        <v>#REF!</v>
      </c>
    </row>
    <row r="8" spans="1:6" ht="31.5">
      <c r="A8" s="730">
        <v>2</v>
      </c>
      <c r="B8" s="751" t="s">
        <v>3680</v>
      </c>
      <c r="C8" s="731" t="e">
        <f>#REF!</f>
        <v>#REF!</v>
      </c>
      <c r="D8" s="731">
        <f>'PC -PP- Abs'!D10</f>
        <v>2498</v>
      </c>
      <c r="E8" s="730" t="s">
        <v>151</v>
      </c>
      <c r="F8" s="840" t="e">
        <f t="shared" si="0"/>
        <v>#REF!</v>
      </c>
    </row>
    <row r="9" spans="1:6" ht="31.5">
      <c r="A9" s="730">
        <v>3</v>
      </c>
      <c r="B9" s="751" t="s">
        <v>3522</v>
      </c>
      <c r="C9" s="731" t="e">
        <f>#REF!</f>
        <v>#REF!</v>
      </c>
      <c r="D9" s="731">
        <f>'PC -PP- Abs'!D6</f>
        <v>6158.05</v>
      </c>
      <c r="E9" s="730" t="s">
        <v>151</v>
      </c>
      <c r="F9" s="840" t="e">
        <f t="shared" si="0"/>
        <v>#REF!</v>
      </c>
    </row>
    <row r="10" spans="1:6" ht="31.5">
      <c r="A10" s="730">
        <v>4</v>
      </c>
      <c r="B10" s="807" t="s">
        <v>3640</v>
      </c>
      <c r="C10" s="731">
        <v>5.6</v>
      </c>
      <c r="D10" s="802">
        <f>'[11]septic abs'!D14</f>
        <v>9466.0664780999996</v>
      </c>
      <c r="E10" s="730" t="s">
        <v>3523</v>
      </c>
      <c r="F10" s="803">
        <f t="shared" si="0"/>
        <v>53009.972277359993</v>
      </c>
    </row>
    <row r="11" spans="1:6" ht="31.5">
      <c r="A11" s="730">
        <v>5</v>
      </c>
      <c r="B11" s="801" t="s">
        <v>3524</v>
      </c>
      <c r="C11" s="731" t="e">
        <f>#REF!</f>
        <v>#REF!</v>
      </c>
      <c r="D11" s="806" t="e">
        <f>#REF!</f>
        <v>#REF!</v>
      </c>
      <c r="E11" s="730" t="s">
        <v>3523</v>
      </c>
      <c r="F11" s="840" t="e">
        <f t="shared" si="0"/>
        <v>#REF!</v>
      </c>
    </row>
    <row r="12" spans="1:6">
      <c r="A12" s="730">
        <v>6</v>
      </c>
      <c r="B12" s="841" t="s">
        <v>3650</v>
      </c>
      <c r="C12" s="731" t="e">
        <f>#REF!</f>
        <v>#REF!</v>
      </c>
      <c r="D12" s="731">
        <f>'INS -PP- Abs '!D9</f>
        <v>41.02</v>
      </c>
      <c r="E12" s="730" t="s">
        <v>151</v>
      </c>
      <c r="F12" s="840" t="e">
        <f t="shared" si="0"/>
        <v>#REF!</v>
      </c>
    </row>
    <row r="13" spans="1:6" ht="31.5">
      <c r="A13" s="730">
        <v>7</v>
      </c>
      <c r="B13" s="805" t="s">
        <v>3526</v>
      </c>
      <c r="C13" s="731" t="e">
        <f>#REF!</f>
        <v>#REF!</v>
      </c>
      <c r="D13" s="731" t="e">
        <f>'PC - Sullage - Abs'!D12</f>
        <v>#REF!</v>
      </c>
      <c r="E13" s="730" t="s">
        <v>151</v>
      </c>
      <c r="F13" s="840" t="e">
        <f t="shared" si="0"/>
        <v>#REF!</v>
      </c>
    </row>
    <row r="14" spans="1:6" ht="43.5" customHeight="1">
      <c r="A14" s="806">
        <v>8</v>
      </c>
      <c r="B14" s="807" t="s">
        <v>3654</v>
      </c>
      <c r="C14" s="731" t="e">
        <f>#REF!</f>
        <v>#REF!</v>
      </c>
      <c r="D14" s="731">
        <f>[11]Data!R304</f>
        <v>315.83972000000006</v>
      </c>
      <c r="E14" s="730" t="s">
        <v>3523</v>
      </c>
      <c r="F14" s="840" t="e">
        <f t="shared" ref="F14:F24" si="1">C14*D14</f>
        <v>#REF!</v>
      </c>
    </row>
    <row r="15" spans="1:6" ht="41.25" customHeight="1">
      <c r="A15" s="806">
        <v>9</v>
      </c>
      <c r="B15" s="805" t="s">
        <v>3660</v>
      </c>
      <c r="C15" s="731" t="e">
        <f>#REF!</f>
        <v>#REF!</v>
      </c>
      <c r="D15" s="802">
        <f>[11]Data!K1952</f>
        <v>30</v>
      </c>
      <c r="E15" s="730" t="s">
        <v>305</v>
      </c>
      <c r="F15" s="840" t="e">
        <f t="shared" si="1"/>
        <v>#REF!</v>
      </c>
    </row>
    <row r="16" spans="1:6">
      <c r="A16" s="806">
        <v>10</v>
      </c>
      <c r="B16" s="805" t="s">
        <v>3662</v>
      </c>
      <c r="C16" s="731"/>
      <c r="D16" s="730"/>
      <c r="E16" s="730"/>
      <c r="F16" s="840"/>
    </row>
    <row r="17" spans="1:6" ht="34.9" customHeight="1">
      <c r="A17" s="730"/>
      <c r="B17" s="842" t="e">
        <f>#REF!</f>
        <v>#REF!</v>
      </c>
      <c r="C17" s="731" t="e">
        <f>#REF!</f>
        <v>#REF!</v>
      </c>
      <c r="D17" s="731">
        <f>'[11]septic abs'!D24</f>
        <v>1001.4532549999999</v>
      </c>
      <c r="E17" s="730" t="s">
        <v>3523</v>
      </c>
      <c r="F17" s="840" t="e">
        <f t="shared" si="1"/>
        <v>#REF!</v>
      </c>
    </row>
    <row r="18" spans="1:6" ht="18.600000000000001" customHeight="1">
      <c r="A18" s="730"/>
      <c r="B18" s="842" t="e">
        <f>#REF!</f>
        <v>#REF!</v>
      </c>
      <c r="C18" s="731" t="e">
        <f>#REF!</f>
        <v>#REF!</v>
      </c>
      <c r="D18" s="731">
        <v>1221.18</v>
      </c>
      <c r="E18" s="730" t="s">
        <v>3523</v>
      </c>
      <c r="F18" s="840" t="e">
        <f t="shared" si="1"/>
        <v>#REF!</v>
      </c>
    </row>
    <row r="19" spans="1:6" ht="31.5">
      <c r="A19" s="730">
        <v>11</v>
      </c>
      <c r="B19" s="805" t="s">
        <v>3669</v>
      </c>
      <c r="C19" s="730" t="e">
        <f>#REF!</f>
        <v>#REF!</v>
      </c>
      <c r="D19" s="731">
        <f>'[11]septic abs'!D26</f>
        <v>88856</v>
      </c>
      <c r="E19" s="806" t="s">
        <v>552</v>
      </c>
      <c r="F19" s="840" t="e">
        <f t="shared" si="1"/>
        <v>#REF!</v>
      </c>
    </row>
    <row r="20" spans="1:6" ht="31.5">
      <c r="A20" s="730">
        <v>12</v>
      </c>
      <c r="B20" s="805" t="s">
        <v>3674</v>
      </c>
      <c r="C20" s="731" t="e">
        <f>#REF!</f>
        <v>#REF!</v>
      </c>
      <c r="D20" s="731">
        <f>'[11]septic abs'!D28</f>
        <v>1846</v>
      </c>
      <c r="E20" s="806" t="s">
        <v>295</v>
      </c>
      <c r="F20" s="840" t="e">
        <f t="shared" si="1"/>
        <v>#REF!</v>
      </c>
    </row>
    <row r="21" spans="1:6" ht="58.15" customHeight="1">
      <c r="A21" s="730">
        <v>13</v>
      </c>
      <c r="B21" s="4" t="e">
        <f>#REF!</f>
        <v>#REF!</v>
      </c>
      <c r="C21" s="731">
        <v>1</v>
      </c>
      <c r="D21" s="731"/>
      <c r="E21" s="806" t="s">
        <v>340</v>
      </c>
      <c r="F21" s="840">
        <f t="shared" si="1"/>
        <v>0</v>
      </c>
    </row>
    <row r="22" spans="1:6" ht="169.9" customHeight="1">
      <c r="A22" s="730">
        <v>14</v>
      </c>
      <c r="B22" s="805" t="e">
        <f>#REF!</f>
        <v>#REF!</v>
      </c>
      <c r="C22" s="731" t="e">
        <f>#REF!</f>
        <v>#REF!</v>
      </c>
      <c r="D22" s="731">
        <v>22938</v>
      </c>
      <c r="E22" s="806" t="s">
        <v>340</v>
      </c>
      <c r="F22" s="840" t="e">
        <f t="shared" si="1"/>
        <v>#REF!</v>
      </c>
    </row>
    <row r="23" spans="1:6" ht="126" customHeight="1">
      <c r="A23" s="730">
        <v>15</v>
      </c>
      <c r="B23" s="805" t="e">
        <f>#REF!</f>
        <v>#REF!</v>
      </c>
      <c r="C23" s="731" t="e">
        <f>#REF!</f>
        <v>#REF!</v>
      </c>
      <c r="D23" s="731">
        <v>11148</v>
      </c>
      <c r="E23" s="806" t="s">
        <v>340</v>
      </c>
      <c r="F23" s="840" t="e">
        <f t="shared" si="1"/>
        <v>#REF!</v>
      </c>
    </row>
    <row r="24" spans="1:6" ht="69" customHeight="1">
      <c r="A24" s="730">
        <v>16</v>
      </c>
      <c r="B24" s="805" t="e">
        <f>#REF!</f>
        <v>#REF!</v>
      </c>
      <c r="C24" s="731" t="e">
        <f>#REF!</f>
        <v>#REF!</v>
      </c>
      <c r="D24" s="731">
        <v>125</v>
      </c>
      <c r="E24" s="806" t="s">
        <v>306</v>
      </c>
      <c r="F24" s="840" t="e">
        <f t="shared" si="1"/>
        <v>#REF!</v>
      </c>
    </row>
    <row r="25" spans="1:6">
      <c r="A25" s="730"/>
      <c r="B25" s="805"/>
      <c r="C25" s="731"/>
      <c r="D25" s="731"/>
      <c r="E25" s="806"/>
      <c r="F25" s="840"/>
    </row>
    <row r="26" spans="1:6">
      <c r="A26" s="730"/>
      <c r="B26" s="798"/>
      <c r="C26" s="730"/>
      <c r="D26" s="730"/>
      <c r="E26" s="730"/>
      <c r="F26" s="840" t="e">
        <f>SUM(F6:F25)</f>
        <v>#REF!</v>
      </c>
    </row>
    <row r="27" spans="1:6">
      <c r="A27" s="730"/>
      <c r="B27" s="798"/>
      <c r="C27" s="730"/>
      <c r="D27" s="730"/>
      <c r="E27" s="730"/>
      <c r="F27" s="843" t="e">
        <f>ROUNDUP(F26,0)</f>
        <v>#REF!</v>
      </c>
    </row>
  </sheetData>
  <mergeCells count="2">
    <mergeCell ref="A1:F1"/>
    <mergeCell ref="A2:F2"/>
  </mergeCell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sheetPr codeName="Sheet38">
    <pageSetUpPr fitToPage="1"/>
  </sheetPr>
  <dimension ref="A1:J62"/>
  <sheetViews>
    <sheetView workbookViewId="0">
      <selection activeCell="A12" sqref="A12"/>
    </sheetView>
  </sheetViews>
  <sheetFormatPr defaultRowHeight="15.75"/>
  <cols>
    <col min="1" max="1" width="6.140625" style="703" customWidth="1"/>
    <col min="2" max="2" width="36.42578125" style="703" customWidth="1"/>
    <col min="3" max="4" width="6.5703125" style="720" customWidth="1"/>
    <col min="5" max="5" width="15.140625" style="720" customWidth="1"/>
    <col min="6" max="6" width="7.42578125" style="720" customWidth="1"/>
    <col min="7" max="7" width="8.85546875" style="720" customWidth="1"/>
    <col min="8" max="8" width="9.5703125" style="703" customWidth="1"/>
    <col min="9" max="256" width="8.85546875" style="703"/>
    <col min="257" max="257" width="6.140625" style="703" customWidth="1"/>
    <col min="258" max="258" width="36.42578125" style="703" customWidth="1"/>
    <col min="259" max="260" width="6.5703125" style="703" customWidth="1"/>
    <col min="261" max="261" width="15.140625" style="703" customWidth="1"/>
    <col min="262" max="262" width="7.42578125" style="703" customWidth="1"/>
    <col min="263" max="263" width="8.85546875" style="703" customWidth="1"/>
    <col min="264" max="264" width="9.5703125" style="703" customWidth="1"/>
    <col min="265" max="512" width="8.85546875" style="703"/>
    <col min="513" max="513" width="6.140625" style="703" customWidth="1"/>
    <col min="514" max="514" width="36.42578125" style="703" customWidth="1"/>
    <col min="515" max="516" width="6.5703125" style="703" customWidth="1"/>
    <col min="517" max="517" width="15.140625" style="703" customWidth="1"/>
    <col min="518" max="518" width="7.42578125" style="703" customWidth="1"/>
    <col min="519" max="519" width="8.85546875" style="703" customWidth="1"/>
    <col min="520" max="520" width="9.5703125" style="703" customWidth="1"/>
    <col min="521" max="768" width="8.85546875" style="703"/>
    <col min="769" max="769" width="6.140625" style="703" customWidth="1"/>
    <col min="770" max="770" width="36.42578125" style="703" customWidth="1"/>
    <col min="771" max="772" width="6.5703125" style="703" customWidth="1"/>
    <col min="773" max="773" width="15.140625" style="703" customWidth="1"/>
    <col min="774" max="774" width="7.42578125" style="703" customWidth="1"/>
    <col min="775" max="775" width="8.85546875" style="703" customWidth="1"/>
    <col min="776" max="776" width="9.5703125" style="703" customWidth="1"/>
    <col min="777" max="1024" width="8.85546875" style="703"/>
    <col min="1025" max="1025" width="6.140625" style="703" customWidth="1"/>
    <col min="1026" max="1026" width="36.42578125" style="703" customWidth="1"/>
    <col min="1027" max="1028" width="6.5703125" style="703" customWidth="1"/>
    <col min="1029" max="1029" width="15.140625" style="703" customWidth="1"/>
    <col min="1030" max="1030" width="7.42578125" style="703" customWidth="1"/>
    <col min="1031" max="1031" width="8.85546875" style="703" customWidth="1"/>
    <col min="1032" max="1032" width="9.5703125" style="703" customWidth="1"/>
    <col min="1033" max="1280" width="8.85546875" style="703"/>
    <col min="1281" max="1281" width="6.140625" style="703" customWidth="1"/>
    <col min="1282" max="1282" width="36.42578125" style="703" customWidth="1"/>
    <col min="1283" max="1284" width="6.5703125" style="703" customWidth="1"/>
    <col min="1285" max="1285" width="15.140625" style="703" customWidth="1"/>
    <col min="1286" max="1286" width="7.42578125" style="703" customWidth="1"/>
    <col min="1287" max="1287" width="8.85546875" style="703" customWidth="1"/>
    <col min="1288" max="1288" width="9.5703125" style="703" customWidth="1"/>
    <col min="1289" max="1536" width="8.85546875" style="703"/>
    <col min="1537" max="1537" width="6.140625" style="703" customWidth="1"/>
    <col min="1538" max="1538" width="36.42578125" style="703" customWidth="1"/>
    <col min="1539" max="1540" width="6.5703125" style="703" customWidth="1"/>
    <col min="1541" max="1541" width="15.140625" style="703" customWidth="1"/>
    <col min="1542" max="1542" width="7.42578125" style="703" customWidth="1"/>
    <col min="1543" max="1543" width="8.85546875" style="703" customWidth="1"/>
    <col min="1544" max="1544" width="9.5703125" style="703" customWidth="1"/>
    <col min="1545" max="1792" width="8.85546875" style="703"/>
    <col min="1793" max="1793" width="6.140625" style="703" customWidth="1"/>
    <col min="1794" max="1794" width="36.42578125" style="703" customWidth="1"/>
    <col min="1795" max="1796" width="6.5703125" style="703" customWidth="1"/>
    <col min="1797" max="1797" width="15.140625" style="703" customWidth="1"/>
    <col min="1798" max="1798" width="7.42578125" style="703" customWidth="1"/>
    <col min="1799" max="1799" width="8.85546875" style="703" customWidth="1"/>
    <col min="1800" max="1800" width="9.5703125" style="703" customWidth="1"/>
    <col min="1801" max="2048" width="8.85546875" style="703"/>
    <col min="2049" max="2049" width="6.140625" style="703" customWidth="1"/>
    <col min="2050" max="2050" width="36.42578125" style="703" customWidth="1"/>
    <col min="2051" max="2052" width="6.5703125" style="703" customWidth="1"/>
    <col min="2053" max="2053" width="15.140625" style="703" customWidth="1"/>
    <col min="2054" max="2054" width="7.42578125" style="703" customWidth="1"/>
    <col min="2055" max="2055" width="8.85546875" style="703" customWidth="1"/>
    <col min="2056" max="2056" width="9.5703125" style="703" customWidth="1"/>
    <col min="2057" max="2304" width="8.85546875" style="703"/>
    <col min="2305" max="2305" width="6.140625" style="703" customWidth="1"/>
    <col min="2306" max="2306" width="36.42578125" style="703" customWidth="1"/>
    <col min="2307" max="2308" width="6.5703125" style="703" customWidth="1"/>
    <col min="2309" max="2309" width="15.140625" style="703" customWidth="1"/>
    <col min="2310" max="2310" width="7.42578125" style="703" customWidth="1"/>
    <col min="2311" max="2311" width="8.85546875" style="703" customWidth="1"/>
    <col min="2312" max="2312" width="9.5703125" style="703" customWidth="1"/>
    <col min="2313" max="2560" width="8.85546875" style="703"/>
    <col min="2561" max="2561" width="6.140625" style="703" customWidth="1"/>
    <col min="2562" max="2562" width="36.42578125" style="703" customWidth="1"/>
    <col min="2563" max="2564" width="6.5703125" style="703" customWidth="1"/>
    <col min="2565" max="2565" width="15.140625" style="703" customWidth="1"/>
    <col min="2566" max="2566" width="7.42578125" style="703" customWidth="1"/>
    <col min="2567" max="2567" width="8.85546875" style="703" customWidth="1"/>
    <col min="2568" max="2568" width="9.5703125" style="703" customWidth="1"/>
    <col min="2569" max="2816" width="8.85546875" style="703"/>
    <col min="2817" max="2817" width="6.140625" style="703" customWidth="1"/>
    <col min="2818" max="2818" width="36.42578125" style="703" customWidth="1"/>
    <col min="2819" max="2820" width="6.5703125" style="703" customWidth="1"/>
    <col min="2821" max="2821" width="15.140625" style="703" customWidth="1"/>
    <col min="2822" max="2822" width="7.42578125" style="703" customWidth="1"/>
    <col min="2823" max="2823" width="8.85546875" style="703" customWidth="1"/>
    <col min="2824" max="2824" width="9.5703125" style="703" customWidth="1"/>
    <col min="2825" max="3072" width="8.85546875" style="703"/>
    <col min="3073" max="3073" width="6.140625" style="703" customWidth="1"/>
    <col min="3074" max="3074" width="36.42578125" style="703" customWidth="1"/>
    <col min="3075" max="3076" width="6.5703125" style="703" customWidth="1"/>
    <col min="3077" max="3077" width="15.140625" style="703" customWidth="1"/>
    <col min="3078" max="3078" width="7.42578125" style="703" customWidth="1"/>
    <col min="3079" max="3079" width="8.85546875" style="703" customWidth="1"/>
    <col min="3080" max="3080" width="9.5703125" style="703" customWidth="1"/>
    <col min="3081" max="3328" width="8.85546875" style="703"/>
    <col min="3329" max="3329" width="6.140625" style="703" customWidth="1"/>
    <col min="3330" max="3330" width="36.42578125" style="703" customWidth="1"/>
    <col min="3331" max="3332" width="6.5703125" style="703" customWidth="1"/>
    <col min="3333" max="3333" width="15.140625" style="703" customWidth="1"/>
    <col min="3334" max="3334" width="7.42578125" style="703" customWidth="1"/>
    <col min="3335" max="3335" width="8.85546875" style="703" customWidth="1"/>
    <col min="3336" max="3336" width="9.5703125" style="703" customWidth="1"/>
    <col min="3337" max="3584" width="8.85546875" style="703"/>
    <col min="3585" max="3585" width="6.140625" style="703" customWidth="1"/>
    <col min="3586" max="3586" width="36.42578125" style="703" customWidth="1"/>
    <col min="3587" max="3588" width="6.5703125" style="703" customWidth="1"/>
    <col min="3589" max="3589" width="15.140625" style="703" customWidth="1"/>
    <col min="3590" max="3590" width="7.42578125" style="703" customWidth="1"/>
    <col min="3591" max="3591" width="8.85546875" style="703" customWidth="1"/>
    <col min="3592" max="3592" width="9.5703125" style="703" customWidth="1"/>
    <col min="3593" max="3840" width="8.85546875" style="703"/>
    <col min="3841" max="3841" width="6.140625" style="703" customWidth="1"/>
    <col min="3842" max="3842" width="36.42578125" style="703" customWidth="1"/>
    <col min="3843" max="3844" width="6.5703125" style="703" customWidth="1"/>
    <col min="3845" max="3845" width="15.140625" style="703" customWidth="1"/>
    <col min="3846" max="3846" width="7.42578125" style="703" customWidth="1"/>
    <col min="3847" max="3847" width="8.85546875" style="703" customWidth="1"/>
    <col min="3848" max="3848" width="9.5703125" style="703" customWidth="1"/>
    <col min="3849" max="4096" width="8.85546875" style="703"/>
    <col min="4097" max="4097" width="6.140625" style="703" customWidth="1"/>
    <col min="4098" max="4098" width="36.42578125" style="703" customWidth="1"/>
    <col min="4099" max="4100" width="6.5703125" style="703" customWidth="1"/>
    <col min="4101" max="4101" width="15.140625" style="703" customWidth="1"/>
    <col min="4102" max="4102" width="7.42578125" style="703" customWidth="1"/>
    <col min="4103" max="4103" width="8.85546875" style="703" customWidth="1"/>
    <col min="4104" max="4104" width="9.5703125" style="703" customWidth="1"/>
    <col min="4105" max="4352" width="8.85546875" style="703"/>
    <col min="4353" max="4353" width="6.140625" style="703" customWidth="1"/>
    <col min="4354" max="4354" width="36.42578125" style="703" customWidth="1"/>
    <col min="4355" max="4356" width="6.5703125" style="703" customWidth="1"/>
    <col min="4357" max="4357" width="15.140625" style="703" customWidth="1"/>
    <col min="4358" max="4358" width="7.42578125" style="703" customWidth="1"/>
    <col min="4359" max="4359" width="8.85546875" style="703" customWidth="1"/>
    <col min="4360" max="4360" width="9.5703125" style="703" customWidth="1"/>
    <col min="4361" max="4608" width="8.85546875" style="703"/>
    <col min="4609" max="4609" width="6.140625" style="703" customWidth="1"/>
    <col min="4610" max="4610" width="36.42578125" style="703" customWidth="1"/>
    <col min="4611" max="4612" width="6.5703125" style="703" customWidth="1"/>
    <col min="4613" max="4613" width="15.140625" style="703" customWidth="1"/>
    <col min="4614" max="4614" width="7.42578125" style="703" customWidth="1"/>
    <col min="4615" max="4615" width="8.85546875" style="703" customWidth="1"/>
    <col min="4616" max="4616" width="9.5703125" style="703" customWidth="1"/>
    <col min="4617" max="4864" width="8.85546875" style="703"/>
    <col min="4865" max="4865" width="6.140625" style="703" customWidth="1"/>
    <col min="4866" max="4866" width="36.42578125" style="703" customWidth="1"/>
    <col min="4867" max="4868" width="6.5703125" style="703" customWidth="1"/>
    <col min="4869" max="4869" width="15.140625" style="703" customWidth="1"/>
    <col min="4870" max="4870" width="7.42578125" style="703" customWidth="1"/>
    <col min="4871" max="4871" width="8.85546875" style="703" customWidth="1"/>
    <col min="4872" max="4872" width="9.5703125" style="703" customWidth="1"/>
    <col min="4873" max="5120" width="8.85546875" style="703"/>
    <col min="5121" max="5121" width="6.140625" style="703" customWidth="1"/>
    <col min="5122" max="5122" width="36.42578125" style="703" customWidth="1"/>
    <col min="5123" max="5124" width="6.5703125" style="703" customWidth="1"/>
    <col min="5125" max="5125" width="15.140625" style="703" customWidth="1"/>
    <col min="5126" max="5126" width="7.42578125" style="703" customWidth="1"/>
    <col min="5127" max="5127" width="8.85546875" style="703" customWidth="1"/>
    <col min="5128" max="5128" width="9.5703125" style="703" customWidth="1"/>
    <col min="5129" max="5376" width="8.85546875" style="703"/>
    <col min="5377" max="5377" width="6.140625" style="703" customWidth="1"/>
    <col min="5378" max="5378" width="36.42578125" style="703" customWidth="1"/>
    <col min="5379" max="5380" width="6.5703125" style="703" customWidth="1"/>
    <col min="5381" max="5381" width="15.140625" style="703" customWidth="1"/>
    <col min="5382" max="5382" width="7.42578125" style="703" customWidth="1"/>
    <col min="5383" max="5383" width="8.85546875" style="703" customWidth="1"/>
    <col min="5384" max="5384" width="9.5703125" style="703" customWidth="1"/>
    <col min="5385" max="5632" width="8.85546875" style="703"/>
    <col min="5633" max="5633" width="6.140625" style="703" customWidth="1"/>
    <col min="5634" max="5634" width="36.42578125" style="703" customWidth="1"/>
    <col min="5635" max="5636" width="6.5703125" style="703" customWidth="1"/>
    <col min="5637" max="5637" width="15.140625" style="703" customWidth="1"/>
    <col min="5638" max="5638" width="7.42578125" style="703" customWidth="1"/>
    <col min="5639" max="5639" width="8.85546875" style="703" customWidth="1"/>
    <col min="5640" max="5640" width="9.5703125" style="703" customWidth="1"/>
    <col min="5641" max="5888" width="8.85546875" style="703"/>
    <col min="5889" max="5889" width="6.140625" style="703" customWidth="1"/>
    <col min="5890" max="5890" width="36.42578125" style="703" customWidth="1"/>
    <col min="5891" max="5892" width="6.5703125" style="703" customWidth="1"/>
    <col min="5893" max="5893" width="15.140625" style="703" customWidth="1"/>
    <col min="5894" max="5894" width="7.42578125" style="703" customWidth="1"/>
    <col min="5895" max="5895" width="8.85546875" style="703" customWidth="1"/>
    <col min="5896" max="5896" width="9.5703125" style="703" customWidth="1"/>
    <col min="5897" max="6144" width="8.85546875" style="703"/>
    <col min="6145" max="6145" width="6.140625" style="703" customWidth="1"/>
    <col min="6146" max="6146" width="36.42578125" style="703" customWidth="1"/>
    <col min="6147" max="6148" width="6.5703125" style="703" customWidth="1"/>
    <col min="6149" max="6149" width="15.140625" style="703" customWidth="1"/>
    <col min="6150" max="6150" width="7.42578125" style="703" customWidth="1"/>
    <col min="6151" max="6151" width="8.85546875" style="703" customWidth="1"/>
    <col min="6152" max="6152" width="9.5703125" style="703" customWidth="1"/>
    <col min="6153" max="6400" width="8.85546875" style="703"/>
    <col min="6401" max="6401" width="6.140625" style="703" customWidth="1"/>
    <col min="6402" max="6402" width="36.42578125" style="703" customWidth="1"/>
    <col min="6403" max="6404" width="6.5703125" style="703" customWidth="1"/>
    <col min="6405" max="6405" width="15.140625" style="703" customWidth="1"/>
    <col min="6406" max="6406" width="7.42578125" style="703" customWidth="1"/>
    <col min="6407" max="6407" width="8.85546875" style="703" customWidth="1"/>
    <col min="6408" max="6408" width="9.5703125" style="703" customWidth="1"/>
    <col min="6409" max="6656" width="8.85546875" style="703"/>
    <col min="6657" max="6657" width="6.140625" style="703" customWidth="1"/>
    <col min="6658" max="6658" width="36.42578125" style="703" customWidth="1"/>
    <col min="6659" max="6660" width="6.5703125" style="703" customWidth="1"/>
    <col min="6661" max="6661" width="15.140625" style="703" customWidth="1"/>
    <col min="6662" max="6662" width="7.42578125" style="703" customWidth="1"/>
    <col min="6663" max="6663" width="8.85546875" style="703" customWidth="1"/>
    <col min="6664" max="6664" width="9.5703125" style="703" customWidth="1"/>
    <col min="6665" max="6912" width="8.85546875" style="703"/>
    <col min="6913" max="6913" width="6.140625" style="703" customWidth="1"/>
    <col min="6914" max="6914" width="36.42578125" style="703" customWidth="1"/>
    <col min="6915" max="6916" width="6.5703125" style="703" customWidth="1"/>
    <col min="6917" max="6917" width="15.140625" style="703" customWidth="1"/>
    <col min="6918" max="6918" width="7.42578125" style="703" customWidth="1"/>
    <col min="6919" max="6919" width="8.85546875" style="703" customWidth="1"/>
    <col min="6920" max="6920" width="9.5703125" style="703" customWidth="1"/>
    <col min="6921" max="7168" width="8.85546875" style="703"/>
    <col min="7169" max="7169" width="6.140625" style="703" customWidth="1"/>
    <col min="7170" max="7170" width="36.42578125" style="703" customWidth="1"/>
    <col min="7171" max="7172" width="6.5703125" style="703" customWidth="1"/>
    <col min="7173" max="7173" width="15.140625" style="703" customWidth="1"/>
    <col min="7174" max="7174" width="7.42578125" style="703" customWidth="1"/>
    <col min="7175" max="7175" width="8.85546875" style="703" customWidth="1"/>
    <col min="7176" max="7176" width="9.5703125" style="703" customWidth="1"/>
    <col min="7177" max="7424" width="8.85546875" style="703"/>
    <col min="7425" max="7425" width="6.140625" style="703" customWidth="1"/>
    <col min="7426" max="7426" width="36.42578125" style="703" customWidth="1"/>
    <col min="7427" max="7428" width="6.5703125" style="703" customWidth="1"/>
    <col min="7429" max="7429" width="15.140625" style="703" customWidth="1"/>
    <col min="7430" max="7430" width="7.42578125" style="703" customWidth="1"/>
    <col min="7431" max="7431" width="8.85546875" style="703" customWidth="1"/>
    <col min="7432" max="7432" width="9.5703125" style="703" customWidth="1"/>
    <col min="7433" max="7680" width="8.85546875" style="703"/>
    <col min="7681" max="7681" width="6.140625" style="703" customWidth="1"/>
    <col min="7682" max="7682" width="36.42578125" style="703" customWidth="1"/>
    <col min="7683" max="7684" width="6.5703125" style="703" customWidth="1"/>
    <col min="7685" max="7685" width="15.140625" style="703" customWidth="1"/>
    <col min="7686" max="7686" width="7.42578125" style="703" customWidth="1"/>
    <col min="7687" max="7687" width="8.85546875" style="703" customWidth="1"/>
    <col min="7688" max="7688" width="9.5703125" style="703" customWidth="1"/>
    <col min="7689" max="7936" width="8.85546875" style="703"/>
    <col min="7937" max="7937" width="6.140625" style="703" customWidth="1"/>
    <col min="7938" max="7938" width="36.42578125" style="703" customWidth="1"/>
    <col min="7939" max="7940" width="6.5703125" style="703" customWidth="1"/>
    <col min="7941" max="7941" width="15.140625" style="703" customWidth="1"/>
    <col min="7942" max="7942" width="7.42578125" style="703" customWidth="1"/>
    <col min="7943" max="7943" width="8.85546875" style="703" customWidth="1"/>
    <col min="7944" max="7944" width="9.5703125" style="703" customWidth="1"/>
    <col min="7945" max="8192" width="8.85546875" style="703"/>
    <col min="8193" max="8193" width="6.140625" style="703" customWidth="1"/>
    <col min="8194" max="8194" width="36.42578125" style="703" customWidth="1"/>
    <col min="8195" max="8196" width="6.5703125" style="703" customWidth="1"/>
    <col min="8197" max="8197" width="15.140625" style="703" customWidth="1"/>
    <col min="8198" max="8198" width="7.42578125" style="703" customWidth="1"/>
    <col min="8199" max="8199" width="8.85546875" style="703" customWidth="1"/>
    <col min="8200" max="8200" width="9.5703125" style="703" customWidth="1"/>
    <col min="8201" max="8448" width="8.85546875" style="703"/>
    <col min="8449" max="8449" width="6.140625" style="703" customWidth="1"/>
    <col min="8450" max="8450" width="36.42578125" style="703" customWidth="1"/>
    <col min="8451" max="8452" width="6.5703125" style="703" customWidth="1"/>
    <col min="8453" max="8453" width="15.140625" style="703" customWidth="1"/>
    <col min="8454" max="8454" width="7.42578125" style="703" customWidth="1"/>
    <col min="8455" max="8455" width="8.85546875" style="703" customWidth="1"/>
    <col min="8456" max="8456" width="9.5703125" style="703" customWidth="1"/>
    <col min="8457" max="8704" width="8.85546875" style="703"/>
    <col min="8705" max="8705" width="6.140625" style="703" customWidth="1"/>
    <col min="8706" max="8706" width="36.42578125" style="703" customWidth="1"/>
    <col min="8707" max="8708" width="6.5703125" style="703" customWidth="1"/>
    <col min="8709" max="8709" width="15.140625" style="703" customWidth="1"/>
    <col min="8710" max="8710" width="7.42578125" style="703" customWidth="1"/>
    <col min="8711" max="8711" width="8.85546875" style="703" customWidth="1"/>
    <col min="8712" max="8712" width="9.5703125" style="703" customWidth="1"/>
    <col min="8713" max="8960" width="8.85546875" style="703"/>
    <col min="8961" max="8961" width="6.140625" style="703" customWidth="1"/>
    <col min="8962" max="8962" width="36.42578125" style="703" customWidth="1"/>
    <col min="8963" max="8964" width="6.5703125" style="703" customWidth="1"/>
    <col min="8965" max="8965" width="15.140625" style="703" customWidth="1"/>
    <col min="8966" max="8966" width="7.42578125" style="703" customWidth="1"/>
    <col min="8967" max="8967" width="8.85546875" style="703" customWidth="1"/>
    <col min="8968" max="8968" width="9.5703125" style="703" customWidth="1"/>
    <col min="8969" max="9216" width="8.85546875" style="703"/>
    <col min="9217" max="9217" width="6.140625" style="703" customWidth="1"/>
    <col min="9218" max="9218" width="36.42578125" style="703" customWidth="1"/>
    <col min="9219" max="9220" width="6.5703125" style="703" customWidth="1"/>
    <col min="9221" max="9221" width="15.140625" style="703" customWidth="1"/>
    <col min="9222" max="9222" width="7.42578125" style="703" customWidth="1"/>
    <col min="9223" max="9223" width="8.85546875" style="703" customWidth="1"/>
    <col min="9224" max="9224" width="9.5703125" style="703" customWidth="1"/>
    <col min="9225" max="9472" width="8.85546875" style="703"/>
    <col min="9473" max="9473" width="6.140625" style="703" customWidth="1"/>
    <col min="9474" max="9474" width="36.42578125" style="703" customWidth="1"/>
    <col min="9475" max="9476" width="6.5703125" style="703" customWidth="1"/>
    <col min="9477" max="9477" width="15.140625" style="703" customWidth="1"/>
    <col min="9478" max="9478" width="7.42578125" style="703" customWidth="1"/>
    <col min="9479" max="9479" width="8.85546875" style="703" customWidth="1"/>
    <col min="9480" max="9480" width="9.5703125" style="703" customWidth="1"/>
    <col min="9481" max="9728" width="8.85546875" style="703"/>
    <col min="9729" max="9729" width="6.140625" style="703" customWidth="1"/>
    <col min="9730" max="9730" width="36.42578125" style="703" customWidth="1"/>
    <col min="9731" max="9732" width="6.5703125" style="703" customWidth="1"/>
    <col min="9733" max="9733" width="15.140625" style="703" customWidth="1"/>
    <col min="9734" max="9734" width="7.42578125" style="703" customWidth="1"/>
    <col min="9735" max="9735" width="8.85546875" style="703" customWidth="1"/>
    <col min="9736" max="9736" width="9.5703125" style="703" customWidth="1"/>
    <col min="9737" max="9984" width="8.85546875" style="703"/>
    <col min="9985" max="9985" width="6.140625" style="703" customWidth="1"/>
    <col min="9986" max="9986" width="36.42578125" style="703" customWidth="1"/>
    <col min="9987" max="9988" width="6.5703125" style="703" customWidth="1"/>
    <col min="9989" max="9989" width="15.140625" style="703" customWidth="1"/>
    <col min="9990" max="9990" width="7.42578125" style="703" customWidth="1"/>
    <col min="9991" max="9991" width="8.85546875" style="703" customWidth="1"/>
    <col min="9992" max="9992" width="9.5703125" style="703" customWidth="1"/>
    <col min="9993" max="10240" width="8.85546875" style="703"/>
    <col min="10241" max="10241" width="6.140625" style="703" customWidth="1"/>
    <col min="10242" max="10242" width="36.42578125" style="703" customWidth="1"/>
    <col min="10243" max="10244" width="6.5703125" style="703" customWidth="1"/>
    <col min="10245" max="10245" width="15.140625" style="703" customWidth="1"/>
    <col min="10246" max="10246" width="7.42578125" style="703" customWidth="1"/>
    <col min="10247" max="10247" width="8.85546875" style="703" customWidth="1"/>
    <col min="10248" max="10248" width="9.5703125" style="703" customWidth="1"/>
    <col min="10249" max="10496" width="8.85546875" style="703"/>
    <col min="10497" max="10497" width="6.140625" style="703" customWidth="1"/>
    <col min="10498" max="10498" width="36.42578125" style="703" customWidth="1"/>
    <col min="10499" max="10500" width="6.5703125" style="703" customWidth="1"/>
    <col min="10501" max="10501" width="15.140625" style="703" customWidth="1"/>
    <col min="10502" max="10502" width="7.42578125" style="703" customWidth="1"/>
    <col min="10503" max="10503" width="8.85546875" style="703" customWidth="1"/>
    <col min="10504" max="10504" width="9.5703125" style="703" customWidth="1"/>
    <col min="10505" max="10752" width="8.85546875" style="703"/>
    <col min="10753" max="10753" width="6.140625" style="703" customWidth="1"/>
    <col min="10754" max="10754" width="36.42578125" style="703" customWidth="1"/>
    <col min="10755" max="10756" width="6.5703125" style="703" customWidth="1"/>
    <col min="10757" max="10757" width="15.140625" style="703" customWidth="1"/>
    <col min="10758" max="10758" width="7.42578125" style="703" customWidth="1"/>
    <col min="10759" max="10759" width="8.85546875" style="703" customWidth="1"/>
    <col min="10760" max="10760" width="9.5703125" style="703" customWidth="1"/>
    <col min="10761" max="11008" width="8.85546875" style="703"/>
    <col min="11009" max="11009" width="6.140625" style="703" customWidth="1"/>
    <col min="11010" max="11010" width="36.42578125" style="703" customWidth="1"/>
    <col min="11011" max="11012" width="6.5703125" style="703" customWidth="1"/>
    <col min="11013" max="11013" width="15.140625" style="703" customWidth="1"/>
    <col min="11014" max="11014" width="7.42578125" style="703" customWidth="1"/>
    <col min="11015" max="11015" width="8.85546875" style="703" customWidth="1"/>
    <col min="11016" max="11016" width="9.5703125" style="703" customWidth="1"/>
    <col min="11017" max="11264" width="8.85546875" style="703"/>
    <col min="11265" max="11265" width="6.140625" style="703" customWidth="1"/>
    <col min="11266" max="11266" width="36.42578125" style="703" customWidth="1"/>
    <col min="11267" max="11268" width="6.5703125" style="703" customWidth="1"/>
    <col min="11269" max="11269" width="15.140625" style="703" customWidth="1"/>
    <col min="11270" max="11270" width="7.42578125" style="703" customWidth="1"/>
    <col min="11271" max="11271" width="8.85546875" style="703" customWidth="1"/>
    <col min="11272" max="11272" width="9.5703125" style="703" customWidth="1"/>
    <col min="11273" max="11520" width="8.85546875" style="703"/>
    <col min="11521" max="11521" width="6.140625" style="703" customWidth="1"/>
    <col min="11522" max="11522" width="36.42578125" style="703" customWidth="1"/>
    <col min="11523" max="11524" width="6.5703125" style="703" customWidth="1"/>
    <col min="11525" max="11525" width="15.140625" style="703" customWidth="1"/>
    <col min="11526" max="11526" width="7.42578125" style="703" customWidth="1"/>
    <col min="11527" max="11527" width="8.85546875" style="703" customWidth="1"/>
    <col min="11528" max="11528" width="9.5703125" style="703" customWidth="1"/>
    <col min="11529" max="11776" width="8.85546875" style="703"/>
    <col min="11777" max="11777" width="6.140625" style="703" customWidth="1"/>
    <col min="11778" max="11778" width="36.42578125" style="703" customWidth="1"/>
    <col min="11779" max="11780" width="6.5703125" style="703" customWidth="1"/>
    <col min="11781" max="11781" width="15.140625" style="703" customWidth="1"/>
    <col min="11782" max="11782" width="7.42578125" style="703" customWidth="1"/>
    <col min="11783" max="11783" width="8.85546875" style="703" customWidth="1"/>
    <col min="11784" max="11784" width="9.5703125" style="703" customWidth="1"/>
    <col min="11785" max="12032" width="8.85546875" style="703"/>
    <col min="12033" max="12033" width="6.140625" style="703" customWidth="1"/>
    <col min="12034" max="12034" width="36.42578125" style="703" customWidth="1"/>
    <col min="12035" max="12036" width="6.5703125" style="703" customWidth="1"/>
    <col min="12037" max="12037" width="15.140625" style="703" customWidth="1"/>
    <col min="12038" max="12038" width="7.42578125" style="703" customWidth="1"/>
    <col min="12039" max="12039" width="8.85546875" style="703" customWidth="1"/>
    <col min="12040" max="12040" width="9.5703125" style="703" customWidth="1"/>
    <col min="12041" max="12288" width="8.85546875" style="703"/>
    <col min="12289" max="12289" width="6.140625" style="703" customWidth="1"/>
    <col min="12290" max="12290" width="36.42578125" style="703" customWidth="1"/>
    <col min="12291" max="12292" width="6.5703125" style="703" customWidth="1"/>
    <col min="12293" max="12293" width="15.140625" style="703" customWidth="1"/>
    <col min="12294" max="12294" width="7.42578125" style="703" customWidth="1"/>
    <col min="12295" max="12295" width="8.85546875" style="703" customWidth="1"/>
    <col min="12296" max="12296" width="9.5703125" style="703" customWidth="1"/>
    <col min="12297" max="12544" width="8.85546875" style="703"/>
    <col min="12545" max="12545" width="6.140625" style="703" customWidth="1"/>
    <col min="12546" max="12546" width="36.42578125" style="703" customWidth="1"/>
    <col min="12547" max="12548" width="6.5703125" style="703" customWidth="1"/>
    <col min="12549" max="12549" width="15.140625" style="703" customWidth="1"/>
    <col min="12550" max="12550" width="7.42578125" style="703" customWidth="1"/>
    <col min="12551" max="12551" width="8.85546875" style="703" customWidth="1"/>
    <col min="12552" max="12552" width="9.5703125" style="703" customWidth="1"/>
    <col min="12553" max="12800" width="8.85546875" style="703"/>
    <col min="12801" max="12801" width="6.140625" style="703" customWidth="1"/>
    <col min="12802" max="12802" width="36.42578125" style="703" customWidth="1"/>
    <col min="12803" max="12804" width="6.5703125" style="703" customWidth="1"/>
    <col min="12805" max="12805" width="15.140625" style="703" customWidth="1"/>
    <col min="12806" max="12806" width="7.42578125" style="703" customWidth="1"/>
    <col min="12807" max="12807" width="8.85546875" style="703" customWidth="1"/>
    <col min="12808" max="12808" width="9.5703125" style="703" customWidth="1"/>
    <col min="12809" max="13056" width="8.85546875" style="703"/>
    <col min="13057" max="13057" width="6.140625" style="703" customWidth="1"/>
    <col min="13058" max="13058" width="36.42578125" style="703" customWidth="1"/>
    <col min="13059" max="13060" width="6.5703125" style="703" customWidth="1"/>
    <col min="13061" max="13061" width="15.140625" style="703" customWidth="1"/>
    <col min="13062" max="13062" width="7.42578125" style="703" customWidth="1"/>
    <col min="13063" max="13063" width="8.85546875" style="703" customWidth="1"/>
    <col min="13064" max="13064" width="9.5703125" style="703" customWidth="1"/>
    <col min="13065" max="13312" width="8.85546875" style="703"/>
    <col min="13313" max="13313" width="6.140625" style="703" customWidth="1"/>
    <col min="13314" max="13314" width="36.42578125" style="703" customWidth="1"/>
    <col min="13315" max="13316" width="6.5703125" style="703" customWidth="1"/>
    <col min="13317" max="13317" width="15.140625" style="703" customWidth="1"/>
    <col min="13318" max="13318" width="7.42578125" style="703" customWidth="1"/>
    <col min="13319" max="13319" width="8.85546875" style="703" customWidth="1"/>
    <col min="13320" max="13320" width="9.5703125" style="703" customWidth="1"/>
    <col min="13321" max="13568" width="8.85546875" style="703"/>
    <col min="13569" max="13569" width="6.140625" style="703" customWidth="1"/>
    <col min="13570" max="13570" width="36.42578125" style="703" customWidth="1"/>
    <col min="13571" max="13572" width="6.5703125" style="703" customWidth="1"/>
    <col min="13573" max="13573" width="15.140625" style="703" customWidth="1"/>
    <col min="13574" max="13574" width="7.42578125" style="703" customWidth="1"/>
    <col min="13575" max="13575" width="8.85546875" style="703" customWidth="1"/>
    <col min="13576" max="13576" width="9.5703125" style="703" customWidth="1"/>
    <col min="13577" max="13824" width="8.85546875" style="703"/>
    <col min="13825" max="13825" width="6.140625" style="703" customWidth="1"/>
    <col min="13826" max="13826" width="36.42578125" style="703" customWidth="1"/>
    <col min="13827" max="13828" width="6.5703125" style="703" customWidth="1"/>
    <col min="13829" max="13829" width="15.140625" style="703" customWidth="1"/>
    <col min="13830" max="13830" width="7.42578125" style="703" customWidth="1"/>
    <col min="13831" max="13831" width="8.85546875" style="703" customWidth="1"/>
    <col min="13832" max="13832" width="9.5703125" style="703" customWidth="1"/>
    <col min="13833" max="14080" width="8.85546875" style="703"/>
    <col min="14081" max="14081" width="6.140625" style="703" customWidth="1"/>
    <col min="14082" max="14082" width="36.42578125" style="703" customWidth="1"/>
    <col min="14083" max="14084" width="6.5703125" style="703" customWidth="1"/>
    <col min="14085" max="14085" width="15.140625" style="703" customWidth="1"/>
    <col min="14086" max="14086" width="7.42578125" style="703" customWidth="1"/>
    <col min="14087" max="14087" width="8.85546875" style="703" customWidth="1"/>
    <col min="14088" max="14088" width="9.5703125" style="703" customWidth="1"/>
    <col min="14089" max="14336" width="8.85546875" style="703"/>
    <col min="14337" max="14337" width="6.140625" style="703" customWidth="1"/>
    <col min="14338" max="14338" width="36.42578125" style="703" customWidth="1"/>
    <col min="14339" max="14340" width="6.5703125" style="703" customWidth="1"/>
    <col min="14341" max="14341" width="15.140625" style="703" customWidth="1"/>
    <col min="14342" max="14342" width="7.42578125" style="703" customWidth="1"/>
    <col min="14343" max="14343" width="8.85546875" style="703" customWidth="1"/>
    <col min="14344" max="14344" width="9.5703125" style="703" customWidth="1"/>
    <col min="14345" max="14592" width="8.85546875" style="703"/>
    <col min="14593" max="14593" width="6.140625" style="703" customWidth="1"/>
    <col min="14594" max="14594" width="36.42578125" style="703" customWidth="1"/>
    <col min="14595" max="14596" width="6.5703125" style="703" customWidth="1"/>
    <col min="14597" max="14597" width="15.140625" style="703" customWidth="1"/>
    <col min="14598" max="14598" width="7.42578125" style="703" customWidth="1"/>
    <col min="14599" max="14599" width="8.85546875" style="703" customWidth="1"/>
    <col min="14600" max="14600" width="9.5703125" style="703" customWidth="1"/>
    <col min="14601" max="14848" width="8.85546875" style="703"/>
    <col min="14849" max="14849" width="6.140625" style="703" customWidth="1"/>
    <col min="14850" max="14850" width="36.42578125" style="703" customWidth="1"/>
    <col min="14851" max="14852" width="6.5703125" style="703" customWidth="1"/>
    <col min="14853" max="14853" width="15.140625" style="703" customWidth="1"/>
    <col min="14854" max="14854" width="7.42578125" style="703" customWidth="1"/>
    <col min="14855" max="14855" width="8.85546875" style="703" customWidth="1"/>
    <col min="14856" max="14856" width="9.5703125" style="703" customWidth="1"/>
    <col min="14857" max="15104" width="8.85546875" style="703"/>
    <col min="15105" max="15105" width="6.140625" style="703" customWidth="1"/>
    <col min="15106" max="15106" width="36.42578125" style="703" customWidth="1"/>
    <col min="15107" max="15108" width="6.5703125" style="703" customWidth="1"/>
    <col min="15109" max="15109" width="15.140625" style="703" customWidth="1"/>
    <col min="15110" max="15110" width="7.42578125" style="703" customWidth="1"/>
    <col min="15111" max="15111" width="8.85546875" style="703" customWidth="1"/>
    <col min="15112" max="15112" width="9.5703125" style="703" customWidth="1"/>
    <col min="15113" max="15360" width="8.85546875" style="703"/>
    <col min="15361" max="15361" width="6.140625" style="703" customWidth="1"/>
    <col min="15362" max="15362" width="36.42578125" style="703" customWidth="1"/>
    <col min="15363" max="15364" width="6.5703125" style="703" customWidth="1"/>
    <col min="15365" max="15365" width="15.140625" style="703" customWidth="1"/>
    <col min="15366" max="15366" width="7.42578125" style="703" customWidth="1"/>
    <col min="15367" max="15367" width="8.85546875" style="703" customWidth="1"/>
    <col min="15368" max="15368" width="9.5703125" style="703" customWidth="1"/>
    <col min="15369" max="15616" width="8.85546875" style="703"/>
    <col min="15617" max="15617" width="6.140625" style="703" customWidth="1"/>
    <col min="15618" max="15618" width="36.42578125" style="703" customWidth="1"/>
    <col min="15619" max="15620" width="6.5703125" style="703" customWidth="1"/>
    <col min="15621" max="15621" width="15.140625" style="703" customWidth="1"/>
    <col min="15622" max="15622" width="7.42578125" style="703" customWidth="1"/>
    <col min="15623" max="15623" width="8.85546875" style="703" customWidth="1"/>
    <col min="15624" max="15624" width="9.5703125" style="703" customWidth="1"/>
    <col min="15625" max="15872" width="8.85546875" style="703"/>
    <col min="15873" max="15873" width="6.140625" style="703" customWidth="1"/>
    <col min="15874" max="15874" width="36.42578125" style="703" customWidth="1"/>
    <col min="15875" max="15876" width="6.5703125" style="703" customWidth="1"/>
    <col min="15877" max="15877" width="15.140625" style="703" customWidth="1"/>
    <col min="15878" max="15878" width="7.42578125" style="703" customWidth="1"/>
    <col min="15879" max="15879" width="8.85546875" style="703" customWidth="1"/>
    <col min="15880" max="15880" width="9.5703125" style="703" customWidth="1"/>
    <col min="15881" max="16128" width="8.85546875" style="703"/>
    <col min="16129" max="16129" width="6.140625" style="703" customWidth="1"/>
    <col min="16130" max="16130" width="36.42578125" style="703" customWidth="1"/>
    <col min="16131" max="16132" width="6.5703125" style="703" customWidth="1"/>
    <col min="16133" max="16133" width="15.140625" style="703" customWidth="1"/>
    <col min="16134" max="16134" width="7.42578125" style="703" customWidth="1"/>
    <col min="16135" max="16135" width="8.85546875" style="703" customWidth="1"/>
    <col min="16136" max="16136" width="9.5703125" style="703" customWidth="1"/>
    <col min="16137" max="16384" width="8.85546875" style="703"/>
  </cols>
  <sheetData>
    <row r="1" spans="1:10" ht="24.75" customHeight="1">
      <c r="A1" s="2097" t="s">
        <v>3529</v>
      </c>
      <c r="B1" s="2097"/>
      <c r="C1" s="2097"/>
      <c r="D1" s="2097"/>
      <c r="E1" s="2097"/>
      <c r="F1" s="2097"/>
      <c r="G1" s="2097"/>
      <c r="H1" s="2097"/>
      <c r="I1" s="701"/>
      <c r="J1" s="702"/>
    </row>
    <row r="2" spans="1:10" ht="22.5" customHeight="1">
      <c r="A2" s="2097" t="s">
        <v>3629</v>
      </c>
      <c r="B2" s="2097"/>
      <c r="C2" s="2097"/>
      <c r="D2" s="2097"/>
      <c r="E2" s="2097"/>
      <c r="F2" s="2097"/>
      <c r="G2" s="2097"/>
      <c r="H2" s="2097"/>
      <c r="I2" s="701"/>
      <c r="J2" s="702"/>
    </row>
    <row r="3" spans="1:10" ht="20.25">
      <c r="A3" s="2098" t="s">
        <v>3630</v>
      </c>
      <c r="B3" s="2098"/>
      <c r="C3" s="2098"/>
      <c r="D3" s="2098"/>
      <c r="E3" s="2098"/>
      <c r="F3" s="2098"/>
      <c r="G3" s="2098"/>
      <c r="H3" s="2098"/>
    </row>
    <row r="4" spans="1:10" ht="20.25">
      <c r="A4" s="2098" t="s">
        <v>3631</v>
      </c>
      <c r="B4" s="2098"/>
      <c r="C4" s="2098"/>
      <c r="D4" s="2098"/>
      <c r="E4" s="2098"/>
      <c r="F4" s="2098"/>
      <c r="G4" s="2098"/>
      <c r="H4" s="2098"/>
    </row>
    <row r="5" spans="1:10" ht="1.5" customHeight="1">
      <c r="A5" s="2099" t="s">
        <v>12</v>
      </c>
      <c r="B5" s="2099" t="s">
        <v>3497</v>
      </c>
      <c r="C5" s="2099" t="s">
        <v>154</v>
      </c>
      <c r="D5" s="2099"/>
      <c r="E5" s="2099" t="s">
        <v>3498</v>
      </c>
      <c r="F5" s="2099"/>
      <c r="G5" s="2099"/>
      <c r="H5" s="2099" t="s">
        <v>3</v>
      </c>
    </row>
    <row r="6" spans="1:10" ht="36.75" customHeight="1">
      <c r="A6" s="2099"/>
      <c r="B6" s="2099"/>
      <c r="C6" s="2099"/>
      <c r="D6" s="2099"/>
      <c r="E6" s="2099"/>
      <c r="F6" s="2099"/>
      <c r="G6" s="2099"/>
      <c r="H6" s="2099"/>
    </row>
    <row r="7" spans="1:10" ht="71.25" customHeight="1">
      <c r="A7" s="704">
        <v>1.5</v>
      </c>
      <c r="B7" s="705" t="s">
        <v>3632</v>
      </c>
      <c r="C7" s="704"/>
      <c r="D7" s="704"/>
      <c r="E7" s="704"/>
      <c r="F7" s="704"/>
      <c r="G7" s="704"/>
      <c r="H7" s="704"/>
    </row>
    <row r="8" spans="1:10" ht="16.5">
      <c r="A8" s="704"/>
      <c r="B8" s="705" t="s">
        <v>3633</v>
      </c>
      <c r="C8" s="704"/>
      <c r="D8" s="704"/>
      <c r="E8" s="704"/>
      <c r="F8" s="704"/>
      <c r="G8" s="704"/>
      <c r="H8" s="706"/>
    </row>
    <row r="9" spans="1:10" ht="19.5">
      <c r="A9" s="704"/>
      <c r="B9" s="687" t="s">
        <v>3634</v>
      </c>
      <c r="C9" s="704">
        <v>1</v>
      </c>
      <c r="D9" s="704">
        <v>1</v>
      </c>
      <c r="E9" s="707" t="s">
        <v>3635</v>
      </c>
      <c r="F9" s="707"/>
      <c r="G9" s="707">
        <v>2</v>
      </c>
      <c r="H9" s="708">
        <v>18.8</v>
      </c>
    </row>
    <row r="10" spans="1:10" ht="16.5">
      <c r="A10" s="704"/>
      <c r="B10" s="687" t="s">
        <v>337</v>
      </c>
      <c r="C10" s="704"/>
      <c r="D10" s="704"/>
      <c r="E10" s="704"/>
      <c r="F10" s="704"/>
      <c r="G10" s="704"/>
      <c r="H10" s="706">
        <v>0.2</v>
      </c>
    </row>
    <row r="11" spans="1:10" ht="16.5">
      <c r="A11" s="704"/>
      <c r="B11" s="687"/>
      <c r="C11" s="704"/>
      <c r="D11" s="704"/>
      <c r="E11" s="704"/>
      <c r="F11" s="704"/>
      <c r="G11" s="704"/>
      <c r="H11" s="709">
        <f>SUM(H9:H10)</f>
        <v>19</v>
      </c>
    </row>
    <row r="12" spans="1:10" ht="16.5">
      <c r="A12" s="704"/>
      <c r="B12" s="705" t="s">
        <v>3636</v>
      </c>
      <c r="C12" s="704"/>
      <c r="D12" s="704"/>
      <c r="E12" s="704"/>
      <c r="F12" s="704"/>
      <c r="G12" s="704"/>
      <c r="H12" s="706"/>
    </row>
    <row r="13" spans="1:10" ht="19.5">
      <c r="A13" s="704"/>
      <c r="B13" s="687" t="s">
        <v>3634</v>
      </c>
      <c r="C13" s="704">
        <v>1</v>
      </c>
      <c r="D13" s="704">
        <v>1</v>
      </c>
      <c r="E13" s="707" t="s">
        <v>3635</v>
      </c>
      <c r="F13" s="704"/>
      <c r="G13" s="704">
        <v>0.95</v>
      </c>
      <c r="H13" s="708">
        <v>8.93</v>
      </c>
    </row>
    <row r="14" spans="1:10" ht="16.5">
      <c r="A14" s="704"/>
      <c r="B14" s="687" t="s">
        <v>337</v>
      </c>
      <c r="C14" s="704"/>
      <c r="D14" s="704"/>
      <c r="E14" s="704"/>
      <c r="F14" s="704"/>
      <c r="G14" s="704"/>
      <c r="H14" s="706">
        <v>7.0000000000000007E-2</v>
      </c>
    </row>
    <row r="15" spans="1:10" ht="16.5">
      <c r="A15" s="704"/>
      <c r="B15" s="687"/>
      <c r="C15" s="704"/>
      <c r="D15" s="704"/>
      <c r="E15" s="704"/>
      <c r="F15" s="704"/>
      <c r="G15" s="704"/>
      <c r="H15" s="709">
        <f>SUM(H13:H14)</f>
        <v>9</v>
      </c>
    </row>
    <row r="16" spans="1:10" ht="60.75" customHeight="1">
      <c r="A16" s="704">
        <v>2.1</v>
      </c>
      <c r="B16" s="705" t="s">
        <v>3637</v>
      </c>
      <c r="C16" s="704"/>
      <c r="D16" s="704"/>
      <c r="E16" s="704"/>
      <c r="F16" s="704"/>
      <c r="G16" s="704"/>
      <c r="H16" s="706"/>
    </row>
    <row r="17" spans="1:8" ht="19.5">
      <c r="A17" s="704"/>
      <c r="B17" s="687" t="s">
        <v>3634</v>
      </c>
      <c r="C17" s="704">
        <v>1</v>
      </c>
      <c r="D17" s="704">
        <v>1</v>
      </c>
      <c r="E17" s="704" t="s">
        <v>3635</v>
      </c>
      <c r="F17" s="704"/>
      <c r="G17" s="704">
        <v>0.15</v>
      </c>
      <c r="H17" s="708">
        <v>1.41</v>
      </c>
    </row>
    <row r="18" spans="1:8" ht="16.5">
      <c r="A18" s="704"/>
      <c r="B18" s="687" t="s">
        <v>337</v>
      </c>
      <c r="C18" s="704"/>
      <c r="D18" s="704"/>
      <c r="E18" s="704"/>
      <c r="F18" s="704"/>
      <c r="G18" s="704"/>
      <c r="H18" s="708">
        <v>0.04</v>
      </c>
    </row>
    <row r="19" spans="1:8" ht="16.5">
      <c r="A19" s="704"/>
      <c r="B19" s="687"/>
      <c r="C19" s="704"/>
      <c r="D19" s="704"/>
      <c r="E19" s="704"/>
      <c r="F19" s="704"/>
      <c r="G19" s="710" t="s">
        <v>3638</v>
      </c>
      <c r="H19" s="709">
        <f>SUM(H17:H18)</f>
        <v>1.45</v>
      </c>
    </row>
    <row r="20" spans="1:8" ht="51.75" customHeight="1">
      <c r="A20" s="704">
        <v>3.1</v>
      </c>
      <c r="B20" s="705" t="s">
        <v>3639</v>
      </c>
      <c r="C20" s="704"/>
      <c r="D20" s="704"/>
      <c r="E20" s="704"/>
      <c r="F20" s="704"/>
      <c r="G20" s="704"/>
      <c r="H20" s="706"/>
    </row>
    <row r="21" spans="1:8" ht="19.5">
      <c r="A21" s="704"/>
      <c r="B21" s="687" t="s">
        <v>3634</v>
      </c>
      <c r="C21" s="704">
        <v>1</v>
      </c>
      <c r="D21" s="704">
        <v>1</v>
      </c>
      <c r="E21" s="704" t="s">
        <v>3635</v>
      </c>
      <c r="F21" s="704"/>
      <c r="G21" s="704">
        <v>0.15</v>
      </c>
      <c r="H21" s="708">
        <v>1.41</v>
      </c>
    </row>
    <row r="22" spans="1:8" ht="16.5">
      <c r="A22" s="704"/>
      <c r="B22" s="687" t="s">
        <v>337</v>
      </c>
      <c r="C22" s="704"/>
      <c r="D22" s="704"/>
      <c r="E22" s="704"/>
      <c r="F22" s="704"/>
      <c r="G22" s="704"/>
      <c r="H22" s="708">
        <v>0.04</v>
      </c>
    </row>
    <row r="23" spans="1:8" ht="16.5">
      <c r="A23" s="704"/>
      <c r="B23" s="687"/>
      <c r="C23" s="704"/>
      <c r="D23" s="704"/>
      <c r="E23" s="704"/>
      <c r="F23" s="704"/>
      <c r="G23" s="710" t="s">
        <v>3638</v>
      </c>
      <c r="H23" s="709">
        <f>SUM(H21:H22)</f>
        <v>1.45</v>
      </c>
    </row>
    <row r="24" spans="1:8" ht="56.25" customHeight="1">
      <c r="A24" s="704">
        <v>4.0999999999999996</v>
      </c>
      <c r="B24" s="711" t="s">
        <v>3640</v>
      </c>
      <c r="C24" s="704"/>
      <c r="D24" s="704"/>
      <c r="E24" s="704"/>
      <c r="F24" s="704"/>
      <c r="G24" s="704"/>
      <c r="H24" s="706"/>
    </row>
    <row r="25" spans="1:8" ht="19.5">
      <c r="A25" s="704"/>
      <c r="B25" s="687" t="s">
        <v>3641</v>
      </c>
      <c r="C25" s="704">
        <v>1</v>
      </c>
      <c r="D25" s="704">
        <v>1</v>
      </c>
      <c r="E25" s="704" t="s">
        <v>3642</v>
      </c>
      <c r="F25" s="707"/>
      <c r="G25" s="707">
        <v>0.1</v>
      </c>
      <c r="H25" s="708">
        <v>0.78</v>
      </c>
    </row>
    <row r="26" spans="1:8" ht="16.5">
      <c r="A26" s="704"/>
      <c r="B26" s="687" t="s">
        <v>3643</v>
      </c>
      <c r="C26" s="704">
        <v>-2</v>
      </c>
      <c r="D26" s="704">
        <v>1</v>
      </c>
      <c r="E26" s="707">
        <v>0.6</v>
      </c>
      <c r="F26" s="707">
        <v>0.6</v>
      </c>
      <c r="G26" s="707">
        <v>0.1</v>
      </c>
      <c r="H26" s="708">
        <v>-7.0000000000000007E-2</v>
      </c>
    </row>
    <row r="27" spans="1:8" ht="19.5">
      <c r="A27" s="704"/>
      <c r="B27" s="687" t="s">
        <v>3644</v>
      </c>
      <c r="C27" s="704">
        <v>1</v>
      </c>
      <c r="D27" s="704">
        <v>1</v>
      </c>
      <c r="E27" s="704" t="s">
        <v>3642</v>
      </c>
      <c r="F27" s="707"/>
      <c r="G27" s="707">
        <v>0.15</v>
      </c>
      <c r="H27" s="708">
        <v>1.18</v>
      </c>
    </row>
    <row r="28" spans="1:8" ht="16.5">
      <c r="A28" s="704"/>
      <c r="B28" s="687" t="s">
        <v>337</v>
      </c>
      <c r="C28" s="704">
        <v>1</v>
      </c>
      <c r="D28" s="704">
        <v>1</v>
      </c>
      <c r="E28" s="704" t="s">
        <v>3645</v>
      </c>
      <c r="F28" s="707">
        <v>0.15</v>
      </c>
      <c r="G28" s="707">
        <v>2.7</v>
      </c>
      <c r="H28" s="708">
        <v>3.66</v>
      </c>
    </row>
    <row r="29" spans="1:8" ht="16.5">
      <c r="A29" s="704"/>
      <c r="B29" s="687"/>
      <c r="C29" s="704"/>
      <c r="D29" s="704"/>
      <c r="E29" s="704"/>
      <c r="F29" s="704"/>
      <c r="G29" s="704"/>
      <c r="H29" s="708">
        <f>SUM(H25:H28)</f>
        <v>5.55</v>
      </c>
    </row>
    <row r="30" spans="1:8" ht="16.5">
      <c r="A30" s="704"/>
      <c r="B30" s="687"/>
      <c r="C30" s="704"/>
      <c r="D30" s="704"/>
      <c r="E30" s="704"/>
      <c r="F30" s="704"/>
      <c r="G30" s="710" t="s">
        <v>3638</v>
      </c>
      <c r="H30" s="709">
        <v>5.6</v>
      </c>
    </row>
    <row r="31" spans="1:8" ht="55.5" customHeight="1">
      <c r="A31" s="704">
        <v>10</v>
      </c>
      <c r="B31" s="705" t="s">
        <v>3524</v>
      </c>
      <c r="C31" s="704"/>
      <c r="D31" s="704"/>
      <c r="E31" s="704"/>
      <c r="F31" s="704"/>
      <c r="G31" s="704"/>
      <c r="H31" s="706"/>
    </row>
    <row r="32" spans="1:8" ht="19.5" customHeight="1">
      <c r="A32" s="704"/>
      <c r="B32" s="687" t="s">
        <v>3646</v>
      </c>
      <c r="C32" s="704">
        <v>1</v>
      </c>
      <c r="D32" s="704">
        <v>1</v>
      </c>
      <c r="E32" s="704" t="s">
        <v>3647</v>
      </c>
      <c r="F32" s="704"/>
      <c r="G32" s="707">
        <v>2.7</v>
      </c>
      <c r="H32" s="706">
        <v>22.18</v>
      </c>
    </row>
    <row r="33" spans="1:9" ht="18.75" customHeight="1">
      <c r="A33" s="704"/>
      <c r="B33" s="687" t="s">
        <v>3648</v>
      </c>
      <c r="C33" s="704">
        <v>1</v>
      </c>
      <c r="D33" s="704">
        <v>1</v>
      </c>
      <c r="E33" s="704" t="s">
        <v>3649</v>
      </c>
      <c r="F33" s="704"/>
      <c r="G33" s="707">
        <v>2.7</v>
      </c>
      <c r="H33" s="706">
        <v>25.82</v>
      </c>
    </row>
    <row r="34" spans="1:9" ht="18.75" customHeight="1">
      <c r="A34" s="704"/>
      <c r="B34" s="687"/>
      <c r="C34" s="704"/>
      <c r="D34" s="704"/>
      <c r="E34" s="704"/>
      <c r="F34" s="704"/>
      <c r="G34" s="707"/>
      <c r="H34" s="708">
        <f>SUM(H32:H33)</f>
        <v>48</v>
      </c>
    </row>
    <row r="35" spans="1:9" ht="27.75" customHeight="1">
      <c r="A35" s="704"/>
      <c r="B35" s="687"/>
      <c r="C35" s="704"/>
      <c r="D35" s="704"/>
      <c r="E35" s="704"/>
      <c r="F35" s="704"/>
      <c r="G35" s="704"/>
      <c r="H35" s="709">
        <v>48</v>
      </c>
    </row>
    <row r="36" spans="1:9" ht="33">
      <c r="A36" s="704">
        <v>13.1</v>
      </c>
      <c r="B36" s="712" t="s">
        <v>3650</v>
      </c>
      <c r="C36" s="704"/>
      <c r="D36" s="704"/>
      <c r="E36" s="704"/>
      <c r="F36" s="704"/>
      <c r="G36" s="704"/>
      <c r="H36" s="706"/>
    </row>
    <row r="37" spans="1:9" ht="16.5">
      <c r="A37" s="704"/>
      <c r="B37" s="687" t="s">
        <v>3634</v>
      </c>
      <c r="C37" s="704">
        <v>1</v>
      </c>
      <c r="D37" s="704">
        <v>1</v>
      </c>
      <c r="E37" s="704" t="s">
        <v>3651</v>
      </c>
      <c r="F37" s="704">
        <v>0.15</v>
      </c>
      <c r="G37" s="704">
        <v>2.65</v>
      </c>
      <c r="H37" s="629">
        <v>3.5</v>
      </c>
    </row>
    <row r="38" spans="1:9" ht="37.5" customHeight="1">
      <c r="A38" s="704">
        <v>33</v>
      </c>
      <c r="B38" s="713" t="s">
        <v>3526</v>
      </c>
      <c r="C38" s="704"/>
      <c r="D38" s="704"/>
      <c r="E38" s="704"/>
      <c r="F38" s="704"/>
      <c r="G38" s="704"/>
      <c r="H38" s="706"/>
    </row>
    <row r="39" spans="1:9" ht="16.5">
      <c r="A39" s="704"/>
      <c r="B39" s="687" t="s">
        <v>3652</v>
      </c>
      <c r="C39" s="704">
        <v>1</v>
      </c>
      <c r="D39" s="704">
        <v>1</v>
      </c>
      <c r="E39" s="704" t="s">
        <v>3653</v>
      </c>
      <c r="F39" s="704"/>
      <c r="G39" s="707">
        <v>2.7</v>
      </c>
      <c r="H39" s="629">
        <v>26.8</v>
      </c>
    </row>
    <row r="40" spans="1:9" ht="33">
      <c r="A40" s="704">
        <v>34</v>
      </c>
      <c r="B40" s="711" t="s">
        <v>3654</v>
      </c>
      <c r="C40" s="704"/>
      <c r="D40" s="704"/>
      <c r="E40" s="704"/>
      <c r="F40" s="704"/>
      <c r="G40" s="704"/>
      <c r="H40" s="706"/>
    </row>
    <row r="41" spans="1:9" ht="16.5">
      <c r="A41" s="704"/>
      <c r="B41" s="714" t="s">
        <v>3655</v>
      </c>
      <c r="C41" s="704">
        <v>1</v>
      </c>
      <c r="D41" s="704">
        <v>1</v>
      </c>
      <c r="E41" s="704" t="s">
        <v>3656</v>
      </c>
      <c r="F41" s="704"/>
      <c r="G41" s="707">
        <v>2.7</v>
      </c>
      <c r="H41" s="626">
        <v>21.21</v>
      </c>
      <c r="I41" s="703" t="s">
        <v>3657</v>
      </c>
    </row>
    <row r="42" spans="1:9" ht="19.5">
      <c r="A42" s="704"/>
      <c r="B42" s="715" t="s">
        <v>3658</v>
      </c>
      <c r="C42" s="704">
        <v>1</v>
      </c>
      <c r="D42" s="704">
        <v>1</v>
      </c>
      <c r="E42" s="704" t="s">
        <v>3659</v>
      </c>
      <c r="F42" s="704"/>
      <c r="G42" s="704"/>
      <c r="H42" s="708">
        <v>4.91</v>
      </c>
    </row>
    <row r="43" spans="1:9" ht="16.5">
      <c r="A43" s="704"/>
      <c r="B43" s="715"/>
      <c r="C43" s="704"/>
      <c r="D43" s="704"/>
      <c r="E43" s="704"/>
      <c r="F43" s="704"/>
      <c r="G43" s="704"/>
      <c r="H43" s="708">
        <f>SUM(H41:H42)</f>
        <v>26.12</v>
      </c>
    </row>
    <row r="44" spans="1:9" ht="16.5">
      <c r="A44" s="704"/>
      <c r="B44" s="689"/>
      <c r="C44" s="704"/>
      <c r="D44" s="704"/>
      <c r="E44" s="704"/>
      <c r="F44" s="704"/>
      <c r="G44" s="710" t="s">
        <v>3638</v>
      </c>
      <c r="H44" s="709">
        <v>26.15</v>
      </c>
    </row>
    <row r="45" spans="1:9" ht="33">
      <c r="A45" s="704">
        <v>53.3</v>
      </c>
      <c r="B45" s="713" t="s">
        <v>3660</v>
      </c>
      <c r="C45" s="704"/>
      <c r="D45" s="704"/>
      <c r="E45" s="704"/>
      <c r="F45" s="704"/>
      <c r="G45" s="704"/>
      <c r="H45" s="706"/>
    </row>
    <row r="46" spans="1:9" ht="16.5">
      <c r="A46" s="704"/>
      <c r="B46" s="689" t="s">
        <v>3661</v>
      </c>
      <c r="C46" s="704">
        <v>1</v>
      </c>
      <c r="D46" s="704">
        <v>8</v>
      </c>
      <c r="E46" s="704"/>
      <c r="F46" s="704"/>
      <c r="G46" s="710" t="s">
        <v>3638</v>
      </c>
      <c r="H46" s="709">
        <v>8</v>
      </c>
    </row>
    <row r="47" spans="1:9" ht="16.5">
      <c r="A47" s="704">
        <v>18.100000000000001</v>
      </c>
      <c r="B47" s="713" t="s">
        <v>3662</v>
      </c>
      <c r="C47" s="704"/>
      <c r="D47" s="704"/>
      <c r="E47" s="704"/>
      <c r="F47" s="704"/>
      <c r="G47" s="704"/>
      <c r="H47" s="706"/>
    </row>
    <row r="48" spans="1:9" ht="33">
      <c r="A48" s="704"/>
      <c r="B48" s="622" t="s">
        <v>3663</v>
      </c>
      <c r="C48" s="704">
        <v>2</v>
      </c>
      <c r="D48" s="704">
        <v>1</v>
      </c>
      <c r="E48" s="707">
        <v>2.4</v>
      </c>
      <c r="F48" s="707"/>
      <c r="G48" s="707">
        <v>0.1</v>
      </c>
      <c r="H48" s="706">
        <f>C48*D48*E48*G48</f>
        <v>0.48</v>
      </c>
    </row>
    <row r="49" spans="1:8" ht="16.5">
      <c r="A49" s="704"/>
      <c r="B49" s="689"/>
      <c r="C49" s="704"/>
      <c r="D49" s="704"/>
      <c r="E49" s="707"/>
      <c r="F49" s="707"/>
      <c r="G49" s="707"/>
      <c r="H49" s="709">
        <v>0.5</v>
      </c>
    </row>
    <row r="50" spans="1:8" ht="16.5">
      <c r="A50" s="704"/>
      <c r="B50" s="713" t="s">
        <v>3664</v>
      </c>
      <c r="C50" s="704"/>
      <c r="D50" s="704"/>
      <c r="E50" s="707"/>
      <c r="F50" s="707"/>
      <c r="G50" s="707"/>
      <c r="H50" s="706"/>
    </row>
    <row r="51" spans="1:8" ht="16.5">
      <c r="A51" s="704"/>
      <c r="B51" s="689" t="s">
        <v>3665</v>
      </c>
      <c r="C51" s="704">
        <v>1</v>
      </c>
      <c r="D51" s="704">
        <v>1</v>
      </c>
      <c r="E51" s="707" t="s">
        <v>3653</v>
      </c>
      <c r="F51" s="707"/>
      <c r="G51" s="707">
        <v>0.15</v>
      </c>
      <c r="H51" s="716">
        <v>1.49</v>
      </c>
    </row>
    <row r="52" spans="1:8" ht="19.5">
      <c r="A52" s="704"/>
      <c r="B52" s="689" t="s">
        <v>3666</v>
      </c>
      <c r="C52" s="704">
        <v>1</v>
      </c>
      <c r="D52" s="704">
        <v>1</v>
      </c>
      <c r="E52" s="707" t="s">
        <v>3659</v>
      </c>
      <c r="F52" s="707"/>
      <c r="G52" s="707"/>
      <c r="H52" s="706">
        <v>4.91</v>
      </c>
    </row>
    <row r="53" spans="1:8" ht="16.5">
      <c r="A53" s="704"/>
      <c r="B53" s="689" t="s">
        <v>3667</v>
      </c>
      <c r="C53" s="704">
        <v>1</v>
      </c>
      <c r="D53" s="704">
        <v>1</v>
      </c>
      <c r="E53" s="707" t="s">
        <v>3656</v>
      </c>
      <c r="F53" s="707"/>
      <c r="G53" s="707">
        <v>0.1</v>
      </c>
      <c r="H53" s="716">
        <v>0.79</v>
      </c>
    </row>
    <row r="54" spans="1:8" ht="16.5">
      <c r="A54" s="704"/>
      <c r="B54" s="689" t="s">
        <v>3668</v>
      </c>
      <c r="C54" s="717">
        <v>-2</v>
      </c>
      <c r="D54" s="717">
        <v>1</v>
      </c>
      <c r="E54" s="707">
        <v>0.6</v>
      </c>
      <c r="F54" s="707">
        <v>0.6</v>
      </c>
      <c r="G54" s="707"/>
      <c r="H54" s="706">
        <f>F54*E54*D54*C54</f>
        <v>-0.72</v>
      </c>
    </row>
    <row r="55" spans="1:8" ht="16.5">
      <c r="A55" s="704"/>
      <c r="B55" s="689"/>
      <c r="C55" s="704"/>
      <c r="D55" s="704"/>
      <c r="E55" s="704"/>
      <c r="F55" s="704"/>
      <c r="G55" s="704"/>
      <c r="H55" s="706">
        <f>SUM(H51:H54)</f>
        <v>6.4700000000000006</v>
      </c>
    </row>
    <row r="56" spans="1:8" ht="16.5">
      <c r="A56" s="704"/>
      <c r="B56" s="689"/>
      <c r="C56" s="704"/>
      <c r="D56" s="704"/>
      <c r="E56" s="704"/>
      <c r="F56" s="704"/>
      <c r="G56" s="710" t="s">
        <v>3638</v>
      </c>
      <c r="H56" s="709">
        <v>6.5</v>
      </c>
    </row>
    <row r="57" spans="1:8" ht="49.5">
      <c r="A57" s="704">
        <v>43</v>
      </c>
      <c r="B57" s="713" t="s">
        <v>3669</v>
      </c>
      <c r="C57" s="704"/>
      <c r="D57" s="704"/>
      <c r="E57" s="704"/>
      <c r="F57" s="704"/>
      <c r="G57" s="704"/>
      <c r="H57" s="706"/>
    </row>
    <row r="58" spans="1:8" ht="16.5">
      <c r="A58" s="704"/>
      <c r="B58" s="689" t="s">
        <v>3670</v>
      </c>
      <c r="C58" s="707">
        <f>H30</f>
        <v>5.6</v>
      </c>
      <c r="D58" s="704"/>
      <c r="E58" s="704"/>
      <c r="F58" s="704"/>
      <c r="G58" s="704"/>
      <c r="H58" s="706"/>
    </row>
    <row r="59" spans="1:8" ht="19.5">
      <c r="A59" s="704"/>
      <c r="B59" s="689"/>
      <c r="C59" s="707">
        <f>SUM(C58:C58)</f>
        <v>5.6</v>
      </c>
      <c r="D59" s="704" t="s">
        <v>3671</v>
      </c>
      <c r="E59" s="704" t="s">
        <v>3672</v>
      </c>
      <c r="F59" s="704"/>
      <c r="G59" s="704" t="s">
        <v>3673</v>
      </c>
      <c r="H59" s="718">
        <f>C59*100</f>
        <v>560</v>
      </c>
    </row>
    <row r="60" spans="1:8" ht="16.5">
      <c r="A60" s="704"/>
      <c r="B60" s="689"/>
      <c r="C60" s="707"/>
      <c r="D60" s="704"/>
      <c r="E60" s="704"/>
      <c r="F60" s="704"/>
      <c r="G60" s="704" t="s">
        <v>251</v>
      </c>
      <c r="H60" s="719">
        <f>H59/1000</f>
        <v>0.56000000000000005</v>
      </c>
    </row>
    <row r="61" spans="1:8" ht="33">
      <c r="A61" s="704">
        <v>53.4</v>
      </c>
      <c r="B61" s="713" t="s">
        <v>3674</v>
      </c>
      <c r="C61" s="704"/>
      <c r="D61" s="704"/>
      <c r="E61" s="704"/>
      <c r="F61" s="704"/>
      <c r="G61" s="704"/>
      <c r="H61" s="706"/>
    </row>
    <row r="62" spans="1:8" ht="16.5">
      <c r="A62" s="704"/>
      <c r="B62" s="689" t="s">
        <v>3661</v>
      </c>
      <c r="C62" s="704">
        <v>1</v>
      </c>
      <c r="D62" s="704">
        <v>2</v>
      </c>
      <c r="E62" s="704"/>
      <c r="F62" s="704"/>
      <c r="G62" s="704"/>
      <c r="H62" s="709">
        <v>2</v>
      </c>
    </row>
  </sheetData>
  <mergeCells count="9">
    <mergeCell ref="A1:H1"/>
    <mergeCell ref="A2:H2"/>
    <mergeCell ref="A3:H3"/>
    <mergeCell ref="A4:H4"/>
    <mergeCell ref="A5:A6"/>
    <mergeCell ref="B5:B6"/>
    <mergeCell ref="C5:D6"/>
    <mergeCell ref="E5:G6"/>
    <mergeCell ref="H5:H6"/>
  </mergeCells>
  <pageMargins left="0.7" right="0.7" top="0.75" bottom="0.75" header="0.3" footer="0.3"/>
  <pageSetup paperSize="9" scale="82" fitToHeight="0" orientation="portrait" r:id="rId1"/>
</worksheet>
</file>

<file path=xl/worksheets/sheet45.xml><?xml version="1.0" encoding="utf-8"?>
<worksheet xmlns="http://schemas.openxmlformats.org/spreadsheetml/2006/main" xmlns:r="http://schemas.openxmlformats.org/officeDocument/2006/relationships">
  <sheetPr codeName="Sheet39">
    <tabColor rgb="FF00B050"/>
  </sheetPr>
  <dimension ref="A1:F23"/>
  <sheetViews>
    <sheetView workbookViewId="0">
      <selection activeCell="A22" sqref="A22"/>
    </sheetView>
  </sheetViews>
  <sheetFormatPr defaultRowHeight="15"/>
  <cols>
    <col min="2" max="2" width="28.5703125" customWidth="1"/>
    <col min="4" max="4" width="10.5703125" customWidth="1"/>
    <col min="6" max="6" width="12.42578125" customWidth="1"/>
  </cols>
  <sheetData>
    <row r="1" spans="1:6" ht="16.5">
      <c r="A1" s="2100" t="s">
        <v>3516</v>
      </c>
      <c r="B1" s="2100"/>
      <c r="C1" s="2100"/>
      <c r="D1" s="2100"/>
      <c r="E1" s="2100"/>
      <c r="F1" s="2100"/>
    </row>
    <row r="2" spans="1:6" ht="16.5">
      <c r="A2" s="2101" t="s">
        <v>3517</v>
      </c>
      <c r="B2" s="2102"/>
      <c r="C2" s="2102"/>
      <c r="D2" s="2102"/>
      <c r="E2" s="2102"/>
      <c r="F2" s="2103"/>
    </row>
    <row r="3" spans="1:6">
      <c r="A3" s="683" t="s">
        <v>648</v>
      </c>
      <c r="B3" s="683" t="s">
        <v>3518</v>
      </c>
      <c r="C3" s="683" t="s">
        <v>244</v>
      </c>
      <c r="D3" s="683" t="s">
        <v>246</v>
      </c>
      <c r="E3" s="683" t="s">
        <v>404</v>
      </c>
      <c r="F3" s="683" t="s">
        <v>248</v>
      </c>
    </row>
    <row r="4" spans="1:6" ht="18.75">
      <c r="A4" s="681" t="s">
        <v>3675</v>
      </c>
      <c r="B4" s="684" t="s">
        <v>3676</v>
      </c>
      <c r="C4" s="681"/>
      <c r="D4" s="681"/>
      <c r="E4" s="681"/>
      <c r="F4" s="681"/>
    </row>
    <row r="5" spans="1:6" ht="49.5">
      <c r="A5" s="686" t="s">
        <v>3677</v>
      </c>
      <c r="B5" s="623" t="s">
        <v>3678</v>
      </c>
      <c r="C5" s="685"/>
      <c r="D5" s="686"/>
      <c r="E5" s="686"/>
      <c r="F5" s="685"/>
    </row>
    <row r="6" spans="1:6" ht="16.5">
      <c r="A6" s="686"/>
      <c r="B6" s="687" t="s">
        <v>3633</v>
      </c>
      <c r="C6" s="685">
        <f>'sump (2)'!H11</f>
        <v>19</v>
      </c>
      <c r="D6" s="685">
        <f>[11]Data!K88</f>
        <v>286.15999999999997</v>
      </c>
      <c r="E6" s="686" t="s">
        <v>151</v>
      </c>
      <c r="F6" s="688">
        <f t="shared" ref="F6:F13" si="0">C6*D6</f>
        <v>5437.0399999999991</v>
      </c>
    </row>
    <row r="7" spans="1:6" ht="16.5">
      <c r="A7" s="686"/>
      <c r="B7" s="687" t="s">
        <v>3636</v>
      </c>
      <c r="C7" s="685">
        <f>'sump (2)'!H15</f>
        <v>9</v>
      </c>
      <c r="D7" s="686">
        <f>[11]Data!K89</f>
        <v>299.18</v>
      </c>
      <c r="E7" s="686" t="s">
        <v>151</v>
      </c>
      <c r="F7" s="688">
        <f t="shared" si="0"/>
        <v>2692.62</v>
      </c>
    </row>
    <row r="8" spans="1:6" ht="49.5">
      <c r="A8" s="686" t="s">
        <v>3679</v>
      </c>
      <c r="B8" s="623" t="s">
        <v>3680</v>
      </c>
      <c r="C8" s="685">
        <f>'sump (2)'!H19</f>
        <v>1.45</v>
      </c>
      <c r="D8" s="685">
        <f>'[11]CC ABS'!D6</f>
        <v>2248.4800000000005</v>
      </c>
      <c r="E8" s="686" t="s">
        <v>151</v>
      </c>
      <c r="F8" s="688">
        <f t="shared" si="0"/>
        <v>3260.2960000000007</v>
      </c>
    </row>
    <row r="9" spans="1:6" ht="33">
      <c r="A9" s="686" t="s">
        <v>3681</v>
      </c>
      <c r="B9" s="623" t="s">
        <v>3522</v>
      </c>
      <c r="C9" s="685">
        <f>'sump (2)'!H23</f>
        <v>1.45</v>
      </c>
      <c r="D9" s="686">
        <f>'[11]CC ABS'!D7</f>
        <v>6117.4169999999995</v>
      </c>
      <c r="E9" s="686" t="s">
        <v>151</v>
      </c>
      <c r="F9" s="688">
        <f t="shared" si="0"/>
        <v>8870.2546499999989</v>
      </c>
    </row>
    <row r="10" spans="1:6" ht="49.5">
      <c r="A10" s="686" t="s">
        <v>3682</v>
      </c>
      <c r="B10" s="690" t="s">
        <v>3640</v>
      </c>
      <c r="C10" s="685">
        <v>5.6</v>
      </c>
      <c r="D10" s="686">
        <f>'[11]septic abs'!D14</f>
        <v>9466.0664780999996</v>
      </c>
      <c r="E10" s="686" t="s">
        <v>3523</v>
      </c>
      <c r="F10" s="721">
        <f t="shared" si="0"/>
        <v>53009.972277359993</v>
      </c>
    </row>
    <row r="11" spans="1:6" ht="49.5">
      <c r="A11" s="686" t="s">
        <v>3683</v>
      </c>
      <c r="B11" s="687" t="s">
        <v>3524</v>
      </c>
      <c r="C11" s="685">
        <f>'sump (2)'!H35</f>
        <v>48</v>
      </c>
      <c r="D11" s="722">
        <f>[11]Data!AH411</f>
        <v>995.56168548000005</v>
      </c>
      <c r="E11" s="686" t="s">
        <v>3523</v>
      </c>
      <c r="F11" s="688">
        <f t="shared" si="0"/>
        <v>47786.960903040002</v>
      </c>
    </row>
    <row r="12" spans="1:6" ht="33">
      <c r="A12" s="686" t="s">
        <v>3684</v>
      </c>
      <c r="B12" s="714" t="s">
        <v>3650</v>
      </c>
      <c r="C12" s="685">
        <f>'sump (2)'!H37</f>
        <v>3.5</v>
      </c>
      <c r="D12" s="686">
        <f>'[11]septic abs'!D17</f>
        <v>47.04</v>
      </c>
      <c r="E12" s="686" t="s">
        <v>151</v>
      </c>
      <c r="F12" s="688">
        <f t="shared" si="0"/>
        <v>164.64</v>
      </c>
    </row>
    <row r="13" spans="1:6" ht="49.5">
      <c r="A13" s="686" t="s">
        <v>3685</v>
      </c>
      <c r="B13" s="689" t="s">
        <v>3526</v>
      </c>
      <c r="C13" s="685">
        <f>'sump (2)'!H39</f>
        <v>26.8</v>
      </c>
      <c r="D13" s="685">
        <f>'[11]septic abs'!D20</f>
        <v>299.81924000000004</v>
      </c>
      <c r="E13" s="686" t="s">
        <v>151</v>
      </c>
      <c r="F13" s="688">
        <f t="shared" si="0"/>
        <v>8035.1556320000009</v>
      </c>
    </row>
    <row r="14" spans="1:6" ht="43.5" customHeight="1">
      <c r="A14" s="722" t="s">
        <v>3686</v>
      </c>
      <c r="B14" s="690" t="s">
        <v>3654</v>
      </c>
      <c r="C14" s="685">
        <f>'sump (2)'!H44</f>
        <v>26.15</v>
      </c>
      <c r="D14" s="685">
        <f>[11]Data!R304</f>
        <v>315.83972000000006</v>
      </c>
      <c r="E14" s="686" t="s">
        <v>3523</v>
      </c>
      <c r="F14" s="688">
        <f t="shared" ref="F14:F20" si="1">C14*D14</f>
        <v>8259.2086780000009</v>
      </c>
    </row>
    <row r="15" spans="1:6" ht="41.25" customHeight="1">
      <c r="A15" s="722" t="s">
        <v>3687</v>
      </c>
      <c r="B15" s="689" t="s">
        <v>3660</v>
      </c>
      <c r="C15" s="685">
        <f>'sump (2)'!H46</f>
        <v>8</v>
      </c>
      <c r="D15" s="723">
        <f>[11]Data!K1952</f>
        <v>30</v>
      </c>
      <c r="E15" s="686" t="s">
        <v>305</v>
      </c>
      <c r="F15" s="688">
        <f t="shared" si="1"/>
        <v>240</v>
      </c>
    </row>
    <row r="16" spans="1:6" ht="16.5">
      <c r="A16" s="722" t="s">
        <v>3688</v>
      </c>
      <c r="B16" s="689" t="s">
        <v>3662</v>
      </c>
      <c r="C16" s="685"/>
      <c r="D16" s="686"/>
      <c r="E16" s="686"/>
      <c r="F16" s="688"/>
    </row>
    <row r="17" spans="1:6" ht="18.75" customHeight="1">
      <c r="A17" s="686"/>
      <c r="B17" s="715" t="s">
        <v>3689</v>
      </c>
      <c r="C17" s="685">
        <f>'sump (2)'!H49</f>
        <v>0.5</v>
      </c>
      <c r="D17" s="685">
        <f>'[11]septic abs'!D24</f>
        <v>1001.4532549999999</v>
      </c>
      <c r="E17" s="686" t="s">
        <v>3523</v>
      </c>
      <c r="F17" s="688">
        <f t="shared" si="1"/>
        <v>500.72662749999995</v>
      </c>
    </row>
    <row r="18" spans="1:6" ht="16.5">
      <c r="A18" s="686"/>
      <c r="B18" s="715" t="s">
        <v>3690</v>
      </c>
      <c r="C18" s="685">
        <f>'sump (2)'!H56</f>
        <v>6.5</v>
      </c>
      <c r="D18" s="685">
        <f>'[11]septic abs'!D25</f>
        <v>1110.1552549999999</v>
      </c>
      <c r="E18" s="686" t="s">
        <v>3523</v>
      </c>
      <c r="F18" s="688">
        <f t="shared" si="1"/>
        <v>7216.0091574999997</v>
      </c>
    </row>
    <row r="19" spans="1:6" ht="49.5">
      <c r="A19" s="686" t="s">
        <v>3691</v>
      </c>
      <c r="B19" s="689" t="s">
        <v>3669</v>
      </c>
      <c r="C19" s="686">
        <f>'sump (2)'!H60</f>
        <v>0.56000000000000005</v>
      </c>
      <c r="D19" s="685">
        <f>'[11]septic abs'!D26</f>
        <v>88856</v>
      </c>
      <c r="E19" s="722" t="s">
        <v>552</v>
      </c>
      <c r="F19" s="688">
        <f t="shared" si="1"/>
        <v>49759.360000000008</v>
      </c>
    </row>
    <row r="20" spans="1:6" ht="49.5">
      <c r="A20" s="686" t="s">
        <v>3692</v>
      </c>
      <c r="B20" s="689" t="s">
        <v>3674</v>
      </c>
      <c r="C20" s="685">
        <f>'sump (2)'!H62</f>
        <v>2</v>
      </c>
      <c r="D20" s="685">
        <f>'[11]septic abs'!D28</f>
        <v>1846</v>
      </c>
      <c r="E20" s="722" t="s">
        <v>295</v>
      </c>
      <c r="F20" s="688">
        <f t="shared" si="1"/>
        <v>3692</v>
      </c>
    </row>
    <row r="21" spans="1:6" ht="16.5">
      <c r="A21" s="686" t="s">
        <v>5307</v>
      </c>
      <c r="B21" s="689" t="e">
        <f>#REF!</f>
        <v>#REF!</v>
      </c>
      <c r="C21" s="685"/>
      <c r="D21" s="685"/>
      <c r="E21" s="722"/>
      <c r="F21" s="688"/>
    </row>
    <row r="22" spans="1:6" ht="16.5">
      <c r="A22" s="686"/>
      <c r="B22" s="686"/>
      <c r="C22" s="686"/>
      <c r="D22" s="686"/>
      <c r="E22" s="686"/>
      <c r="F22" s="688">
        <f>SUM(F6:F20)</f>
        <v>198924.24392540002</v>
      </c>
    </row>
    <row r="23" spans="1:6" ht="16.5">
      <c r="A23" s="686"/>
      <c r="B23" s="686"/>
      <c r="C23" s="686"/>
      <c r="D23" s="686"/>
      <c r="E23" s="686"/>
      <c r="F23" s="691">
        <f>ROUNDUP(F22,0)</f>
        <v>198925</v>
      </c>
    </row>
  </sheetData>
  <mergeCells count="2">
    <mergeCell ref="A1:F1"/>
    <mergeCell ref="A2:F2"/>
  </mergeCell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sheetPr codeName="Sheet20"/>
  <dimension ref="A4:I125"/>
  <sheetViews>
    <sheetView topLeftCell="A109" workbookViewId="0">
      <selection activeCell="F129" sqref="F129"/>
    </sheetView>
  </sheetViews>
  <sheetFormatPr defaultColWidth="9.28515625" defaultRowHeight="15"/>
  <cols>
    <col min="1" max="1" width="9.28515625" style="44"/>
    <col min="2" max="2" width="25.28515625" style="44" customWidth="1"/>
    <col min="3" max="16384" width="9.28515625" style="44"/>
  </cols>
  <sheetData>
    <row r="4" spans="1:9" s="29" customFormat="1" ht="35.25" customHeight="1">
      <c r="A4" s="30">
        <v>6</v>
      </c>
      <c r="B4" s="31" t="s">
        <v>475</v>
      </c>
      <c r="C4" s="30"/>
      <c r="D4" s="30"/>
      <c r="E4" s="34"/>
      <c r="F4" s="34"/>
      <c r="G4" s="34"/>
      <c r="H4" s="42"/>
      <c r="I4" s="30"/>
    </row>
    <row r="5" spans="1:9" s="29" customFormat="1" ht="15.75" customHeight="1">
      <c r="A5" s="30"/>
      <c r="B5" s="31" t="s">
        <v>498</v>
      </c>
      <c r="C5" s="30"/>
      <c r="D5" s="30"/>
      <c r="E5" s="34"/>
      <c r="F5" s="34"/>
      <c r="G5" s="34"/>
      <c r="H5" s="42"/>
      <c r="I5" s="30"/>
    </row>
    <row r="6" spans="1:9" s="29" customFormat="1" ht="15.75">
      <c r="A6" s="30"/>
      <c r="B6" s="31" t="s">
        <v>476</v>
      </c>
      <c r="C6" s="30">
        <v>1</v>
      </c>
      <c r="D6" s="30">
        <v>1</v>
      </c>
      <c r="E6" s="34">
        <v>14.7</v>
      </c>
      <c r="F6" s="34" t="s">
        <v>21</v>
      </c>
      <c r="G6" s="34">
        <v>3.26</v>
      </c>
      <c r="H6" s="42">
        <f t="shared" ref="H6:H37" si="0">C6*D6*E6*G6</f>
        <v>47.921999999999997</v>
      </c>
      <c r="I6" s="30"/>
    </row>
    <row r="7" spans="1:9" s="29" customFormat="1" ht="15.75">
      <c r="A7" s="30"/>
      <c r="B7" s="31" t="s">
        <v>478</v>
      </c>
      <c r="C7" s="30">
        <v>1</v>
      </c>
      <c r="D7" s="30">
        <v>-1</v>
      </c>
      <c r="E7" s="34">
        <v>0.9</v>
      </c>
      <c r="F7" s="34" t="s">
        <v>21</v>
      </c>
      <c r="G7" s="34">
        <v>1.86</v>
      </c>
      <c r="H7" s="42">
        <f t="shared" si="0"/>
        <v>-1.6740000000000002</v>
      </c>
      <c r="I7" s="30"/>
    </row>
    <row r="8" spans="1:9" s="29" customFormat="1" ht="15.75">
      <c r="A8" s="30"/>
      <c r="B8" s="31" t="s">
        <v>479</v>
      </c>
      <c r="C8" s="30">
        <v>1</v>
      </c>
      <c r="D8" s="30">
        <v>-1</v>
      </c>
      <c r="E8" s="34">
        <v>1.5</v>
      </c>
      <c r="F8" s="34" t="s">
        <v>21</v>
      </c>
      <c r="G8" s="34">
        <v>2.1</v>
      </c>
      <c r="H8" s="42">
        <f t="shared" si="0"/>
        <v>-3.1500000000000004</v>
      </c>
      <c r="I8" s="30"/>
    </row>
    <row r="9" spans="1:9" s="29" customFormat="1" ht="15.75">
      <c r="A9" s="30"/>
      <c r="B9" s="31" t="s">
        <v>480</v>
      </c>
      <c r="C9" s="30">
        <v>1</v>
      </c>
      <c r="D9" s="30">
        <v>-1</v>
      </c>
      <c r="E9" s="34">
        <v>0.9</v>
      </c>
      <c r="F9" s="34" t="s">
        <v>21</v>
      </c>
      <c r="G9" s="34">
        <v>2.1</v>
      </c>
      <c r="H9" s="42">
        <f t="shared" si="0"/>
        <v>-1.8900000000000001</v>
      </c>
      <c r="I9" s="30"/>
    </row>
    <row r="10" spans="1:9" s="29" customFormat="1" ht="15.75">
      <c r="A10" s="30"/>
      <c r="B10" s="31" t="s">
        <v>45</v>
      </c>
      <c r="C10" s="30">
        <v>1</v>
      </c>
      <c r="D10" s="30">
        <v>1</v>
      </c>
      <c r="E10" s="34">
        <v>5.7</v>
      </c>
      <c r="F10" s="34" t="s">
        <v>21</v>
      </c>
      <c r="G10" s="34">
        <v>0.14000000000000001</v>
      </c>
      <c r="H10" s="42">
        <f t="shared" si="0"/>
        <v>0.79800000000000015</v>
      </c>
      <c r="I10" s="30"/>
    </row>
    <row r="11" spans="1:9" s="29" customFormat="1" ht="15.75">
      <c r="A11" s="30"/>
      <c r="B11" s="31" t="s">
        <v>481</v>
      </c>
      <c r="C11" s="30">
        <v>1</v>
      </c>
      <c r="D11" s="30">
        <v>1</v>
      </c>
      <c r="E11" s="34">
        <v>18.079999999999998</v>
      </c>
      <c r="F11" s="34" t="s">
        <v>21</v>
      </c>
      <c r="G11" s="34">
        <v>3.17</v>
      </c>
      <c r="H11" s="42">
        <f t="shared" si="0"/>
        <v>57.313599999999994</v>
      </c>
      <c r="I11" s="30"/>
    </row>
    <row r="12" spans="1:9" s="29" customFormat="1" ht="15.75">
      <c r="A12" s="30"/>
      <c r="B12" s="31" t="s">
        <v>479</v>
      </c>
      <c r="C12" s="30">
        <v>1</v>
      </c>
      <c r="D12" s="30">
        <v>-1</v>
      </c>
      <c r="E12" s="34">
        <v>1.5</v>
      </c>
      <c r="F12" s="34" t="s">
        <v>21</v>
      </c>
      <c r="G12" s="34">
        <v>2.1</v>
      </c>
      <c r="H12" s="42">
        <f t="shared" si="0"/>
        <v>-3.1500000000000004</v>
      </c>
      <c r="I12" s="30"/>
    </row>
    <row r="13" spans="1:9" s="29" customFormat="1" ht="15.75">
      <c r="A13" s="30"/>
      <c r="B13" s="31" t="s">
        <v>480</v>
      </c>
      <c r="C13" s="30">
        <v>1</v>
      </c>
      <c r="D13" s="30">
        <v>-1</v>
      </c>
      <c r="E13" s="34">
        <v>0.9</v>
      </c>
      <c r="F13" s="34" t="s">
        <v>21</v>
      </c>
      <c r="G13" s="34">
        <v>2.1</v>
      </c>
      <c r="H13" s="42">
        <f t="shared" si="0"/>
        <v>-1.8900000000000001</v>
      </c>
      <c r="I13" s="30"/>
    </row>
    <row r="14" spans="1:9" s="29" customFormat="1" ht="15.75">
      <c r="A14" s="30"/>
      <c r="B14" s="31" t="s">
        <v>111</v>
      </c>
      <c r="C14" s="30">
        <v>1</v>
      </c>
      <c r="D14" s="30">
        <v>-4</v>
      </c>
      <c r="E14" s="34">
        <v>1</v>
      </c>
      <c r="F14" s="34" t="s">
        <v>21</v>
      </c>
      <c r="G14" s="34">
        <v>2.1</v>
      </c>
      <c r="H14" s="42">
        <f t="shared" si="0"/>
        <v>-8.4</v>
      </c>
      <c r="I14" s="30"/>
    </row>
    <row r="15" spans="1:9" s="29" customFormat="1" ht="15.75">
      <c r="A15" s="30"/>
      <c r="B15" s="31" t="s">
        <v>94</v>
      </c>
      <c r="C15" s="30">
        <v>1</v>
      </c>
      <c r="D15" s="30">
        <v>-1</v>
      </c>
      <c r="E15" s="34">
        <v>0.9</v>
      </c>
      <c r="F15" s="34" t="s">
        <v>21</v>
      </c>
      <c r="G15" s="34">
        <v>2.1</v>
      </c>
      <c r="H15" s="42">
        <f t="shared" si="0"/>
        <v>-1.8900000000000001</v>
      </c>
      <c r="I15" s="30"/>
    </row>
    <row r="16" spans="1:9" s="29" customFormat="1" ht="15.75">
      <c r="A16" s="30"/>
      <c r="B16" s="31" t="s">
        <v>482</v>
      </c>
      <c r="C16" s="30">
        <v>1</v>
      </c>
      <c r="D16" s="30">
        <v>-1</v>
      </c>
      <c r="E16" s="34">
        <v>0.9</v>
      </c>
      <c r="F16" s="34" t="s">
        <v>21</v>
      </c>
      <c r="G16" s="34">
        <v>2.1</v>
      </c>
      <c r="H16" s="42">
        <f t="shared" si="0"/>
        <v>-1.8900000000000001</v>
      </c>
      <c r="I16" s="30"/>
    </row>
    <row r="17" spans="1:9" s="29" customFormat="1" ht="15.75">
      <c r="A17" s="30"/>
      <c r="B17" s="31" t="s">
        <v>483</v>
      </c>
      <c r="C17" s="30">
        <v>1</v>
      </c>
      <c r="D17" s="30">
        <v>1</v>
      </c>
      <c r="E17" s="34">
        <v>15.45</v>
      </c>
      <c r="F17" s="34" t="s">
        <v>21</v>
      </c>
      <c r="G17" s="34">
        <v>3.16</v>
      </c>
      <c r="H17" s="42">
        <f t="shared" si="0"/>
        <v>48.822000000000003</v>
      </c>
      <c r="I17" s="30"/>
    </row>
    <row r="18" spans="1:9" s="29" customFormat="1" ht="15.75">
      <c r="A18" s="30"/>
      <c r="B18" s="31" t="s">
        <v>111</v>
      </c>
      <c r="C18" s="30">
        <v>1</v>
      </c>
      <c r="D18" s="30">
        <v>-1</v>
      </c>
      <c r="E18" s="34">
        <v>1</v>
      </c>
      <c r="F18" s="34" t="s">
        <v>21</v>
      </c>
      <c r="G18" s="34">
        <v>2.1</v>
      </c>
      <c r="H18" s="42">
        <f t="shared" si="0"/>
        <v>-2.1</v>
      </c>
      <c r="I18" s="32"/>
    </row>
    <row r="19" spans="1:9" s="29" customFormat="1" ht="15.75">
      <c r="A19" s="30"/>
      <c r="B19" s="31" t="s">
        <v>45</v>
      </c>
      <c r="C19" s="30">
        <v>1</v>
      </c>
      <c r="D19" s="30">
        <v>1</v>
      </c>
      <c r="E19" s="34">
        <v>5.2</v>
      </c>
      <c r="F19" s="34" t="s">
        <v>21</v>
      </c>
      <c r="G19" s="34">
        <v>0.14000000000000001</v>
      </c>
      <c r="H19" s="42">
        <f t="shared" si="0"/>
        <v>0.72800000000000009</v>
      </c>
      <c r="I19" s="30"/>
    </row>
    <row r="20" spans="1:9" s="29" customFormat="1" ht="15.75">
      <c r="A20" s="30"/>
      <c r="B20" s="31" t="s">
        <v>484</v>
      </c>
      <c r="C20" s="30">
        <v>1</v>
      </c>
      <c r="D20" s="30">
        <v>-1</v>
      </c>
      <c r="E20" s="34">
        <v>0.75</v>
      </c>
      <c r="F20" s="34" t="s">
        <v>21</v>
      </c>
      <c r="G20" s="34">
        <v>2.1</v>
      </c>
      <c r="H20" s="42">
        <f t="shared" si="0"/>
        <v>-1.5750000000000002</v>
      </c>
      <c r="I20" s="30"/>
    </row>
    <row r="21" spans="1:9" s="29" customFormat="1" ht="15.75">
      <c r="A21" s="30"/>
      <c r="B21" s="31" t="s">
        <v>109</v>
      </c>
      <c r="C21" s="30">
        <v>1</v>
      </c>
      <c r="D21" s="30">
        <v>-2</v>
      </c>
      <c r="E21" s="34">
        <v>1.5</v>
      </c>
      <c r="F21" s="34" t="s">
        <v>21</v>
      </c>
      <c r="G21" s="34">
        <v>1.35</v>
      </c>
      <c r="H21" s="42">
        <f t="shared" si="0"/>
        <v>-4.0500000000000007</v>
      </c>
      <c r="I21" s="30"/>
    </row>
    <row r="22" spans="1:9" s="29" customFormat="1" ht="15.75">
      <c r="A22" s="30"/>
      <c r="B22" s="31" t="s">
        <v>45</v>
      </c>
      <c r="C22" s="30">
        <v>1</v>
      </c>
      <c r="D22" s="30">
        <v>2</v>
      </c>
      <c r="E22" s="34">
        <v>5.7</v>
      </c>
      <c r="F22" s="34" t="s">
        <v>21</v>
      </c>
      <c r="G22" s="34">
        <v>0.14000000000000001</v>
      </c>
      <c r="H22" s="42">
        <f t="shared" si="0"/>
        <v>1.5960000000000003</v>
      </c>
      <c r="I22" s="30"/>
    </row>
    <row r="23" spans="1:9" s="29" customFormat="1" ht="15.75">
      <c r="A23" s="30"/>
      <c r="B23" s="31" t="s">
        <v>485</v>
      </c>
      <c r="C23" s="30">
        <v>1</v>
      </c>
      <c r="D23" s="30">
        <v>1</v>
      </c>
      <c r="E23" s="34">
        <v>4.4000000000000004</v>
      </c>
      <c r="F23" s="34" t="s">
        <v>21</v>
      </c>
      <c r="G23" s="34">
        <v>1.86</v>
      </c>
      <c r="H23" s="42">
        <f t="shared" si="0"/>
        <v>8.1840000000000011</v>
      </c>
      <c r="I23" s="30"/>
    </row>
    <row r="24" spans="1:9" s="29" customFormat="1" ht="15.75">
      <c r="A24" s="30"/>
      <c r="B24" s="31" t="s">
        <v>477</v>
      </c>
      <c r="C24" s="30">
        <v>1</v>
      </c>
      <c r="D24" s="30">
        <v>-1</v>
      </c>
      <c r="E24" s="34">
        <v>0.75</v>
      </c>
      <c r="F24" s="34" t="s">
        <v>21</v>
      </c>
      <c r="G24" s="34">
        <v>0.6</v>
      </c>
      <c r="H24" s="42">
        <f t="shared" si="0"/>
        <v>-0.44999999999999996</v>
      </c>
      <c r="I24" s="30"/>
    </row>
    <row r="25" spans="1:9" s="29" customFormat="1" ht="15.75">
      <c r="A25" s="30"/>
      <c r="B25" s="31" t="s">
        <v>45</v>
      </c>
      <c r="C25" s="30">
        <v>1</v>
      </c>
      <c r="D25" s="30">
        <v>1</v>
      </c>
      <c r="E25" s="34">
        <v>2.7</v>
      </c>
      <c r="F25" s="34" t="s">
        <v>21</v>
      </c>
      <c r="G25" s="34">
        <v>0.1</v>
      </c>
      <c r="H25" s="42">
        <f t="shared" si="0"/>
        <v>0.27</v>
      </c>
      <c r="I25" s="30"/>
    </row>
    <row r="26" spans="1:9" s="29" customFormat="1" ht="15.75">
      <c r="A26" s="30"/>
      <c r="B26" s="31" t="s">
        <v>486</v>
      </c>
      <c r="C26" s="30">
        <v>1</v>
      </c>
      <c r="D26" s="30">
        <v>-1</v>
      </c>
      <c r="E26" s="34">
        <v>0.6</v>
      </c>
      <c r="F26" s="34" t="s">
        <v>21</v>
      </c>
      <c r="G26" s="34">
        <v>0.6</v>
      </c>
      <c r="H26" s="42">
        <f t="shared" si="0"/>
        <v>-0.36</v>
      </c>
      <c r="I26" s="30"/>
    </row>
    <row r="27" spans="1:9" s="29" customFormat="1" ht="15.75">
      <c r="A27" s="30"/>
      <c r="B27" s="31" t="s">
        <v>45</v>
      </c>
      <c r="C27" s="30">
        <v>1</v>
      </c>
      <c r="D27" s="30">
        <v>1</v>
      </c>
      <c r="E27" s="34">
        <v>2.4</v>
      </c>
      <c r="F27" s="34" t="s">
        <v>21</v>
      </c>
      <c r="G27" s="34">
        <v>0.14000000000000001</v>
      </c>
      <c r="H27" s="42">
        <f t="shared" si="0"/>
        <v>0.33600000000000002</v>
      </c>
      <c r="I27" s="30"/>
    </row>
    <row r="28" spans="1:9" s="29" customFormat="1" ht="15.75">
      <c r="A28" s="30"/>
      <c r="B28" s="31" t="s">
        <v>487</v>
      </c>
      <c r="C28" s="30">
        <v>1</v>
      </c>
      <c r="D28" s="30">
        <v>1</v>
      </c>
      <c r="E28" s="34">
        <v>10.34</v>
      </c>
      <c r="F28" s="34" t="s">
        <v>21</v>
      </c>
      <c r="G28" s="34">
        <v>3.16</v>
      </c>
      <c r="H28" s="42">
        <f t="shared" si="0"/>
        <v>32.674399999999999</v>
      </c>
      <c r="I28" s="30"/>
    </row>
    <row r="29" spans="1:9" s="29" customFormat="1" ht="15.75">
      <c r="A29" s="30"/>
      <c r="B29" s="31" t="s">
        <v>111</v>
      </c>
      <c r="C29" s="30">
        <v>1</v>
      </c>
      <c r="D29" s="30">
        <v>-1</v>
      </c>
      <c r="E29" s="34">
        <v>1</v>
      </c>
      <c r="F29" s="34" t="s">
        <v>21</v>
      </c>
      <c r="G29" s="34">
        <v>2.1</v>
      </c>
      <c r="H29" s="42">
        <f t="shared" si="0"/>
        <v>-2.1</v>
      </c>
      <c r="I29" s="30"/>
    </row>
    <row r="30" spans="1:9" s="29" customFormat="1" ht="15.75">
      <c r="A30" s="30"/>
      <c r="B30" s="31" t="s">
        <v>45</v>
      </c>
      <c r="C30" s="30">
        <v>1</v>
      </c>
      <c r="D30" s="30">
        <v>1</v>
      </c>
      <c r="E30" s="34">
        <v>5.2</v>
      </c>
      <c r="F30" s="34"/>
      <c r="G30" s="34">
        <v>0.14000000000000001</v>
      </c>
      <c r="H30" s="42">
        <f t="shared" si="0"/>
        <v>0.72800000000000009</v>
      </c>
      <c r="I30" s="30"/>
    </row>
    <row r="31" spans="1:9" s="29" customFormat="1" ht="15.75">
      <c r="A31" s="30"/>
      <c r="B31" s="31" t="s">
        <v>109</v>
      </c>
      <c r="C31" s="30">
        <v>1</v>
      </c>
      <c r="D31" s="30">
        <v>-2</v>
      </c>
      <c r="E31" s="34">
        <v>1.5</v>
      </c>
      <c r="F31" s="34" t="s">
        <v>21</v>
      </c>
      <c r="G31" s="34">
        <v>1.35</v>
      </c>
      <c r="H31" s="42">
        <f t="shared" si="0"/>
        <v>-4.0500000000000007</v>
      </c>
      <c r="I31" s="30"/>
    </row>
    <row r="32" spans="1:9" s="29" customFormat="1" ht="15.75">
      <c r="A32" s="30"/>
      <c r="B32" s="31" t="s">
        <v>45</v>
      </c>
      <c r="C32" s="30">
        <v>1</v>
      </c>
      <c r="D32" s="30">
        <v>2</v>
      </c>
      <c r="E32" s="34">
        <v>5.7</v>
      </c>
      <c r="F32" s="34" t="s">
        <v>21</v>
      </c>
      <c r="G32" s="34">
        <v>0.14000000000000001</v>
      </c>
      <c r="H32" s="42">
        <f t="shared" si="0"/>
        <v>1.5960000000000003</v>
      </c>
      <c r="I32" s="30"/>
    </row>
    <row r="33" spans="1:9" s="29" customFormat="1" ht="15.75">
      <c r="A33" s="30"/>
      <c r="B33" s="31" t="s">
        <v>488</v>
      </c>
      <c r="C33" s="30">
        <v>1</v>
      </c>
      <c r="D33" s="30">
        <v>1</v>
      </c>
      <c r="E33" s="34">
        <v>10.34</v>
      </c>
      <c r="F33" s="34" t="s">
        <v>21</v>
      </c>
      <c r="G33" s="34">
        <v>3.16</v>
      </c>
      <c r="H33" s="42">
        <f t="shared" si="0"/>
        <v>32.674399999999999</v>
      </c>
      <c r="I33" s="30"/>
    </row>
    <row r="34" spans="1:9" s="29" customFormat="1" ht="15.75">
      <c r="A34" s="30"/>
      <c r="B34" s="31" t="s">
        <v>111</v>
      </c>
      <c r="C34" s="30">
        <v>1</v>
      </c>
      <c r="D34" s="30">
        <v>-1</v>
      </c>
      <c r="E34" s="34">
        <v>1</v>
      </c>
      <c r="F34" s="34" t="s">
        <v>21</v>
      </c>
      <c r="G34" s="34">
        <v>2.1</v>
      </c>
      <c r="H34" s="42">
        <f t="shared" si="0"/>
        <v>-2.1</v>
      </c>
      <c r="I34" s="30"/>
    </row>
    <row r="35" spans="1:9" s="29" customFormat="1" ht="15.75">
      <c r="A35" s="30"/>
      <c r="B35" s="31" t="s">
        <v>45</v>
      </c>
      <c r="C35" s="30">
        <v>1</v>
      </c>
      <c r="D35" s="30">
        <v>1</v>
      </c>
      <c r="E35" s="34">
        <v>5.2</v>
      </c>
      <c r="F35" s="34"/>
      <c r="G35" s="34">
        <v>0.14000000000000001</v>
      </c>
      <c r="H35" s="42">
        <f t="shared" si="0"/>
        <v>0.72800000000000009</v>
      </c>
      <c r="I35" s="30"/>
    </row>
    <row r="36" spans="1:9" s="29" customFormat="1" ht="15.75">
      <c r="A36" s="30"/>
      <c r="B36" s="31" t="s">
        <v>109</v>
      </c>
      <c r="C36" s="30">
        <v>1</v>
      </c>
      <c r="D36" s="30">
        <v>-1</v>
      </c>
      <c r="E36" s="34">
        <v>1.5</v>
      </c>
      <c r="F36" s="34" t="s">
        <v>21</v>
      </c>
      <c r="G36" s="34">
        <v>1.35</v>
      </c>
      <c r="H36" s="42">
        <f t="shared" si="0"/>
        <v>-2.0250000000000004</v>
      </c>
      <c r="I36" s="30"/>
    </row>
    <row r="37" spans="1:9" s="29" customFormat="1" ht="15.75">
      <c r="A37" s="30"/>
      <c r="B37" s="31" t="s">
        <v>45</v>
      </c>
      <c r="C37" s="30">
        <v>1</v>
      </c>
      <c r="D37" s="30">
        <v>1</v>
      </c>
      <c r="E37" s="34">
        <v>5.7</v>
      </c>
      <c r="F37" s="34" t="s">
        <v>21</v>
      </c>
      <c r="G37" s="34">
        <v>0.14000000000000001</v>
      </c>
      <c r="H37" s="42">
        <f t="shared" si="0"/>
        <v>0.79800000000000015</v>
      </c>
      <c r="I37" s="30"/>
    </row>
    <row r="38" spans="1:9" s="29" customFormat="1" ht="15.75">
      <c r="A38" s="30"/>
      <c r="B38" s="31" t="s">
        <v>489</v>
      </c>
      <c r="C38" s="30">
        <v>2</v>
      </c>
      <c r="D38" s="30">
        <v>3</v>
      </c>
      <c r="E38" s="34">
        <v>1</v>
      </c>
      <c r="F38" s="34">
        <v>0.46</v>
      </c>
      <c r="G38" s="34" t="s">
        <v>21</v>
      </c>
      <c r="H38" s="42">
        <f>C38*D38*E38*F38</f>
        <v>2.7600000000000002</v>
      </c>
      <c r="I38" s="30"/>
    </row>
    <row r="39" spans="1:9" s="29" customFormat="1" ht="15.75">
      <c r="A39" s="30"/>
      <c r="B39" s="31" t="s">
        <v>84</v>
      </c>
      <c r="C39" s="30">
        <v>1</v>
      </c>
      <c r="D39" s="30">
        <v>2</v>
      </c>
      <c r="E39" s="34">
        <v>0.46</v>
      </c>
      <c r="F39" s="34" t="s">
        <v>21</v>
      </c>
      <c r="G39" s="34">
        <v>1</v>
      </c>
      <c r="H39" s="42">
        <f t="shared" ref="H39:H45" si="1">C39*D39*E39*G39</f>
        <v>0.92</v>
      </c>
      <c r="I39" s="30"/>
    </row>
    <row r="40" spans="1:9" s="29" customFormat="1" ht="15.75">
      <c r="A40" s="30"/>
      <c r="B40" s="31" t="s">
        <v>490</v>
      </c>
      <c r="C40" s="30">
        <v>1</v>
      </c>
      <c r="D40" s="30">
        <v>1</v>
      </c>
      <c r="E40" s="34">
        <v>10.8</v>
      </c>
      <c r="F40" s="34" t="s">
        <v>21</v>
      </c>
      <c r="G40" s="34">
        <v>3.16</v>
      </c>
      <c r="H40" s="42">
        <f t="shared" si="1"/>
        <v>34.128000000000007</v>
      </c>
      <c r="I40" s="30"/>
    </row>
    <row r="41" spans="1:9" s="29" customFormat="1" ht="15.75">
      <c r="A41" s="30"/>
      <c r="B41" s="31" t="s">
        <v>111</v>
      </c>
      <c r="C41" s="30">
        <v>1</v>
      </c>
      <c r="D41" s="30">
        <v>-1</v>
      </c>
      <c r="E41" s="34">
        <v>1</v>
      </c>
      <c r="F41" s="34" t="s">
        <v>21</v>
      </c>
      <c r="G41" s="34">
        <v>2.1</v>
      </c>
      <c r="H41" s="42">
        <f t="shared" si="1"/>
        <v>-2.1</v>
      </c>
      <c r="I41" s="30"/>
    </row>
    <row r="42" spans="1:9" s="29" customFormat="1" ht="15.75">
      <c r="A42" s="30"/>
      <c r="B42" s="31" t="s">
        <v>45</v>
      </c>
      <c r="C42" s="30">
        <v>1</v>
      </c>
      <c r="D42" s="30">
        <v>1</v>
      </c>
      <c r="E42" s="34">
        <v>5.2</v>
      </c>
      <c r="F42" s="34"/>
      <c r="G42" s="34">
        <v>0.14000000000000001</v>
      </c>
      <c r="H42" s="42">
        <f t="shared" si="1"/>
        <v>0.72800000000000009</v>
      </c>
      <c r="I42" s="30"/>
    </row>
    <row r="43" spans="1:9" s="29" customFormat="1" ht="15.75">
      <c r="A43" s="30"/>
      <c r="B43" s="31" t="s">
        <v>102</v>
      </c>
      <c r="C43" s="30">
        <v>1</v>
      </c>
      <c r="D43" s="30">
        <v>-2</v>
      </c>
      <c r="E43" s="34">
        <v>1.5</v>
      </c>
      <c r="F43" s="34" t="s">
        <v>21</v>
      </c>
      <c r="G43" s="34">
        <v>0.5</v>
      </c>
      <c r="H43" s="42">
        <f t="shared" si="1"/>
        <v>-1.5</v>
      </c>
      <c r="I43" s="30"/>
    </row>
    <row r="44" spans="1:9" s="29" customFormat="1" ht="15.75">
      <c r="A44" s="30"/>
      <c r="B44" s="31" t="s">
        <v>45</v>
      </c>
      <c r="C44" s="30">
        <v>1</v>
      </c>
      <c r="D44" s="30">
        <v>2</v>
      </c>
      <c r="E44" s="34">
        <v>3</v>
      </c>
      <c r="F44" s="34" t="s">
        <v>21</v>
      </c>
      <c r="G44" s="34">
        <v>0.14000000000000001</v>
      </c>
      <c r="H44" s="42">
        <f t="shared" si="1"/>
        <v>0.84000000000000008</v>
      </c>
      <c r="I44" s="30"/>
    </row>
    <row r="45" spans="1:9" s="29" customFormat="1" ht="15.75">
      <c r="A45" s="30"/>
      <c r="B45" s="31" t="s">
        <v>491</v>
      </c>
      <c r="C45" s="30">
        <v>1</v>
      </c>
      <c r="D45" s="30">
        <v>4</v>
      </c>
      <c r="E45" s="34">
        <v>0.46</v>
      </c>
      <c r="F45" s="34" t="s">
        <v>21</v>
      </c>
      <c r="G45" s="34">
        <v>2.1</v>
      </c>
      <c r="H45" s="42">
        <f t="shared" si="1"/>
        <v>3.8640000000000003</v>
      </c>
      <c r="I45" s="30"/>
    </row>
    <row r="46" spans="1:9" s="29" customFormat="1" ht="15.75">
      <c r="A46" s="30"/>
      <c r="B46" s="31" t="s">
        <v>489</v>
      </c>
      <c r="C46" s="30">
        <v>4</v>
      </c>
      <c r="D46" s="30">
        <v>4</v>
      </c>
      <c r="E46" s="34">
        <v>0.45</v>
      </c>
      <c r="F46" s="34">
        <v>0.46</v>
      </c>
      <c r="G46" s="34" t="s">
        <v>21</v>
      </c>
      <c r="H46" s="42">
        <f>C46*D46*E46*F46</f>
        <v>3.3120000000000003</v>
      </c>
      <c r="I46" s="30"/>
    </row>
    <row r="47" spans="1:9" s="29" customFormat="1" ht="15.75">
      <c r="A47" s="30"/>
      <c r="B47" s="31" t="s">
        <v>492</v>
      </c>
      <c r="C47" s="30">
        <v>1</v>
      </c>
      <c r="D47" s="30">
        <v>1</v>
      </c>
      <c r="E47" s="34">
        <v>8.08</v>
      </c>
      <c r="F47" s="34" t="s">
        <v>21</v>
      </c>
      <c r="G47" s="34">
        <v>3.16</v>
      </c>
      <c r="H47" s="42">
        <f t="shared" ref="H47:H71" si="2">C47*D47*E47*G47</f>
        <v>25.532800000000002</v>
      </c>
      <c r="I47" s="30"/>
    </row>
    <row r="48" spans="1:9" s="29" customFormat="1" ht="15.75">
      <c r="A48" s="30"/>
      <c r="B48" s="31" t="s">
        <v>111</v>
      </c>
      <c r="C48" s="30">
        <v>1</v>
      </c>
      <c r="D48" s="30">
        <v>-1</v>
      </c>
      <c r="E48" s="34">
        <v>1</v>
      </c>
      <c r="F48" s="34" t="s">
        <v>21</v>
      </c>
      <c r="G48" s="34">
        <v>2.1</v>
      </c>
      <c r="H48" s="42">
        <f t="shared" si="2"/>
        <v>-2.1</v>
      </c>
      <c r="I48" s="30"/>
    </row>
    <row r="49" spans="1:9" s="29" customFormat="1" ht="15.75">
      <c r="A49" s="30"/>
      <c r="B49" s="31" t="s">
        <v>45</v>
      </c>
      <c r="C49" s="30">
        <v>1</v>
      </c>
      <c r="D49" s="30">
        <v>1</v>
      </c>
      <c r="E49" s="34">
        <v>5.2</v>
      </c>
      <c r="F49" s="34"/>
      <c r="G49" s="34">
        <v>0.14000000000000001</v>
      </c>
      <c r="H49" s="42">
        <f t="shared" si="2"/>
        <v>0.72800000000000009</v>
      </c>
      <c r="I49" s="30"/>
    </row>
    <row r="50" spans="1:9" s="29" customFormat="1" ht="15.75">
      <c r="A50" s="30"/>
      <c r="B50" s="31" t="s">
        <v>109</v>
      </c>
      <c r="C50" s="30">
        <v>1</v>
      </c>
      <c r="D50" s="30">
        <v>-1</v>
      </c>
      <c r="E50" s="34">
        <v>1.35</v>
      </c>
      <c r="F50" s="34" t="s">
        <v>21</v>
      </c>
      <c r="G50" s="34">
        <v>1.35</v>
      </c>
      <c r="H50" s="42">
        <f t="shared" si="2"/>
        <v>-1.8225000000000002</v>
      </c>
      <c r="I50" s="30"/>
    </row>
    <row r="51" spans="1:9" s="29" customFormat="1" ht="15.75">
      <c r="A51" s="30"/>
      <c r="B51" s="31" t="s">
        <v>45</v>
      </c>
      <c r="C51" s="30">
        <v>1</v>
      </c>
      <c r="D51" s="30">
        <v>1</v>
      </c>
      <c r="E51" s="34">
        <v>5.4</v>
      </c>
      <c r="F51" s="34" t="s">
        <v>21</v>
      </c>
      <c r="G51" s="34">
        <v>0.14000000000000001</v>
      </c>
      <c r="H51" s="42">
        <f t="shared" si="2"/>
        <v>0.75600000000000012</v>
      </c>
      <c r="I51" s="30"/>
    </row>
    <row r="52" spans="1:9" s="29" customFormat="1" ht="15.75">
      <c r="A52" s="30"/>
      <c r="B52" s="31" t="s">
        <v>493</v>
      </c>
      <c r="C52" s="30">
        <v>2</v>
      </c>
      <c r="D52" s="30">
        <v>2</v>
      </c>
      <c r="E52" s="34">
        <v>1.88</v>
      </c>
      <c r="F52" s="34" t="s">
        <v>21</v>
      </c>
      <c r="G52" s="34">
        <v>0.6</v>
      </c>
      <c r="H52" s="42">
        <f t="shared" si="2"/>
        <v>4.5119999999999996</v>
      </c>
      <c r="I52" s="30"/>
    </row>
    <row r="53" spans="1:9" s="29" customFormat="1" ht="15.75">
      <c r="A53" s="30"/>
      <c r="B53" s="31" t="s">
        <v>1</v>
      </c>
      <c r="C53" s="30">
        <v>1</v>
      </c>
      <c r="D53" s="30">
        <v>1</v>
      </c>
      <c r="E53" s="34">
        <v>6.17</v>
      </c>
      <c r="F53" s="34" t="s">
        <v>21</v>
      </c>
      <c r="G53" s="34">
        <v>1.66</v>
      </c>
      <c r="H53" s="42">
        <f t="shared" si="2"/>
        <v>10.242199999999999</v>
      </c>
      <c r="I53" s="30"/>
    </row>
    <row r="54" spans="1:9" s="29" customFormat="1" ht="15.75">
      <c r="A54" s="30"/>
      <c r="B54" s="31" t="s">
        <v>482</v>
      </c>
      <c r="C54" s="30">
        <v>1</v>
      </c>
      <c r="D54" s="30">
        <v>-1</v>
      </c>
      <c r="E54" s="34">
        <v>0.9</v>
      </c>
      <c r="F54" s="34" t="s">
        <v>21</v>
      </c>
      <c r="G54" s="34">
        <v>0.6</v>
      </c>
      <c r="H54" s="42">
        <f t="shared" si="2"/>
        <v>-0.54</v>
      </c>
      <c r="I54" s="30"/>
    </row>
    <row r="55" spans="1:9" s="29" customFormat="1" ht="15.75">
      <c r="A55" s="30"/>
      <c r="B55" s="31" t="s">
        <v>45</v>
      </c>
      <c r="C55" s="30">
        <v>1</v>
      </c>
      <c r="D55" s="30">
        <v>1</v>
      </c>
      <c r="E55" s="34">
        <v>5.0999999999999996</v>
      </c>
      <c r="F55" s="34" t="s">
        <v>21</v>
      </c>
      <c r="G55" s="34">
        <v>0.14000000000000001</v>
      </c>
      <c r="H55" s="42">
        <f t="shared" si="2"/>
        <v>0.71399999999999997</v>
      </c>
      <c r="I55" s="30"/>
    </row>
    <row r="56" spans="1:9" s="29" customFormat="1" ht="15.75">
      <c r="A56" s="30"/>
      <c r="B56" s="31" t="s">
        <v>494</v>
      </c>
      <c r="C56" s="30">
        <v>1</v>
      </c>
      <c r="D56" s="30">
        <v>1</v>
      </c>
      <c r="E56" s="34">
        <v>10.8</v>
      </c>
      <c r="F56" s="34" t="s">
        <v>21</v>
      </c>
      <c r="G56" s="34">
        <v>3.16</v>
      </c>
      <c r="H56" s="42">
        <f t="shared" si="2"/>
        <v>34.128000000000007</v>
      </c>
      <c r="I56" s="30"/>
    </row>
    <row r="57" spans="1:9" s="29" customFormat="1" ht="15.75">
      <c r="A57" s="30"/>
      <c r="B57" s="31" t="s">
        <v>94</v>
      </c>
      <c r="C57" s="30">
        <v>1</v>
      </c>
      <c r="D57" s="30">
        <v>-1</v>
      </c>
      <c r="E57" s="34">
        <v>1</v>
      </c>
      <c r="F57" s="34" t="s">
        <v>21</v>
      </c>
      <c r="G57" s="34">
        <v>2.1</v>
      </c>
      <c r="H57" s="42">
        <f t="shared" si="2"/>
        <v>-2.1</v>
      </c>
      <c r="I57" s="30"/>
    </row>
    <row r="58" spans="1:9" s="29" customFormat="1" ht="15.75">
      <c r="A58" s="30"/>
      <c r="B58" s="31" t="s">
        <v>45</v>
      </c>
      <c r="C58" s="30">
        <v>1</v>
      </c>
      <c r="D58" s="30">
        <v>1</v>
      </c>
      <c r="E58" s="34">
        <v>5.2</v>
      </c>
      <c r="F58" s="34"/>
      <c r="G58" s="34">
        <v>0.14000000000000001</v>
      </c>
      <c r="H58" s="42">
        <f t="shared" si="2"/>
        <v>0.72800000000000009</v>
      </c>
      <c r="I58" s="30"/>
    </row>
    <row r="59" spans="1:9" s="29" customFormat="1" ht="15.75">
      <c r="A59" s="30"/>
      <c r="B59" s="31" t="s">
        <v>109</v>
      </c>
      <c r="C59" s="30">
        <v>1</v>
      </c>
      <c r="D59" s="30">
        <v>-1</v>
      </c>
      <c r="E59" s="34">
        <v>1.35</v>
      </c>
      <c r="F59" s="34" t="s">
        <v>21</v>
      </c>
      <c r="G59" s="34">
        <v>1.35</v>
      </c>
      <c r="H59" s="42">
        <f t="shared" si="2"/>
        <v>-1.8225000000000002</v>
      </c>
      <c r="I59" s="30"/>
    </row>
    <row r="60" spans="1:9" s="29" customFormat="1" ht="15.75">
      <c r="A60" s="30"/>
      <c r="B60" s="31" t="s">
        <v>45</v>
      </c>
      <c r="C60" s="30">
        <v>1</v>
      </c>
      <c r="D60" s="30">
        <v>1</v>
      </c>
      <c r="E60" s="34">
        <v>5.4</v>
      </c>
      <c r="F60" s="34" t="s">
        <v>21</v>
      </c>
      <c r="G60" s="34">
        <v>0.14000000000000001</v>
      </c>
      <c r="H60" s="42">
        <f t="shared" si="2"/>
        <v>0.75600000000000012</v>
      </c>
      <c r="I60" s="30"/>
    </row>
    <row r="61" spans="1:9" s="29" customFormat="1" ht="15.75">
      <c r="A61" s="30"/>
      <c r="B61" s="31" t="s">
        <v>202</v>
      </c>
      <c r="C61" s="30">
        <v>1</v>
      </c>
      <c r="D61" s="30">
        <v>1</v>
      </c>
      <c r="E61" s="34">
        <v>14.03</v>
      </c>
      <c r="F61" s="34" t="s">
        <v>21</v>
      </c>
      <c r="G61" s="34">
        <v>3.16</v>
      </c>
      <c r="H61" s="42">
        <f t="shared" si="2"/>
        <v>44.334800000000001</v>
      </c>
      <c r="I61" s="30"/>
    </row>
    <row r="62" spans="1:9" s="29" customFormat="1" ht="15.75">
      <c r="A62" s="30"/>
      <c r="B62" s="31" t="s">
        <v>495</v>
      </c>
      <c r="C62" s="30">
        <v>1</v>
      </c>
      <c r="D62" s="30">
        <v>2</v>
      </c>
      <c r="E62" s="34">
        <v>9.5</v>
      </c>
      <c r="F62" s="34" t="s">
        <v>21</v>
      </c>
      <c r="G62" s="34">
        <v>0.8</v>
      </c>
      <c r="H62" s="42">
        <f t="shared" si="2"/>
        <v>15.200000000000001</v>
      </c>
      <c r="I62" s="30"/>
    </row>
    <row r="63" spans="1:9" s="29" customFormat="1" ht="15.75">
      <c r="A63" s="30"/>
      <c r="B63" s="31" t="s">
        <v>478</v>
      </c>
      <c r="C63" s="30">
        <v>1</v>
      </c>
      <c r="D63" s="30">
        <v>-1</v>
      </c>
      <c r="E63" s="34">
        <v>1.385</v>
      </c>
      <c r="F63" s="34" t="s">
        <v>21</v>
      </c>
      <c r="G63" s="34">
        <v>3.16</v>
      </c>
      <c r="H63" s="42">
        <f t="shared" si="2"/>
        <v>-4.3765999999999998</v>
      </c>
      <c r="I63" s="30"/>
    </row>
    <row r="64" spans="1:9" s="29" customFormat="1" ht="15.75">
      <c r="A64" s="30"/>
      <c r="B64" s="31" t="s">
        <v>109</v>
      </c>
      <c r="C64" s="30">
        <v>1</v>
      </c>
      <c r="D64" s="30">
        <v>-1</v>
      </c>
      <c r="E64" s="34">
        <v>1.35</v>
      </c>
      <c r="F64" s="34" t="s">
        <v>21</v>
      </c>
      <c r="G64" s="34">
        <v>1.35</v>
      </c>
      <c r="H64" s="42">
        <f t="shared" si="2"/>
        <v>-1.8225000000000002</v>
      </c>
      <c r="I64" s="30"/>
    </row>
    <row r="65" spans="1:9" s="29" customFormat="1" ht="15.75">
      <c r="A65" s="30"/>
      <c r="B65" s="31" t="s">
        <v>45</v>
      </c>
      <c r="C65" s="30">
        <v>1</v>
      </c>
      <c r="D65" s="30">
        <v>1</v>
      </c>
      <c r="E65" s="34">
        <v>5.4</v>
      </c>
      <c r="F65" s="34" t="s">
        <v>21</v>
      </c>
      <c r="G65" s="34">
        <v>0.14000000000000001</v>
      </c>
      <c r="H65" s="42">
        <f t="shared" si="2"/>
        <v>0.75600000000000012</v>
      </c>
      <c r="I65" s="30"/>
    </row>
    <row r="66" spans="1:9" s="29" customFormat="1" ht="15.75">
      <c r="A66" s="30"/>
      <c r="B66" s="31" t="s">
        <v>496</v>
      </c>
      <c r="C66" s="30">
        <v>1</v>
      </c>
      <c r="D66" s="30">
        <v>1</v>
      </c>
      <c r="E66" s="34">
        <v>2.86</v>
      </c>
      <c r="F66" s="34" t="s">
        <v>21</v>
      </c>
      <c r="G66" s="34">
        <v>3.16</v>
      </c>
      <c r="H66" s="42">
        <f t="shared" si="2"/>
        <v>9.0375999999999994</v>
      </c>
      <c r="I66" s="30"/>
    </row>
    <row r="67" spans="1:9" s="29" customFormat="1" ht="15.75">
      <c r="A67" s="30"/>
      <c r="B67" s="31" t="s">
        <v>499</v>
      </c>
      <c r="C67" s="30">
        <v>1</v>
      </c>
      <c r="D67" s="30">
        <v>1</v>
      </c>
      <c r="E67" s="34">
        <v>6.97</v>
      </c>
      <c r="F67" s="34" t="s">
        <v>21</v>
      </c>
      <c r="G67" s="34">
        <v>1.5</v>
      </c>
      <c r="H67" s="42">
        <f t="shared" si="2"/>
        <v>10.455</v>
      </c>
      <c r="I67" s="30"/>
    </row>
    <row r="68" spans="1:9" s="29" customFormat="1" ht="15.75">
      <c r="A68" s="30"/>
      <c r="B68" s="31" t="s">
        <v>484</v>
      </c>
      <c r="C68" s="30">
        <v>1</v>
      </c>
      <c r="D68" s="30">
        <v>-1</v>
      </c>
      <c r="E68" s="34">
        <v>0.75</v>
      </c>
      <c r="F68" s="34" t="s">
        <v>21</v>
      </c>
      <c r="G68" s="34">
        <v>0.6</v>
      </c>
      <c r="H68" s="42">
        <f t="shared" si="2"/>
        <v>-0.44999999999999996</v>
      </c>
      <c r="I68" s="30"/>
    </row>
    <row r="69" spans="1:9" s="29" customFormat="1" ht="15.75">
      <c r="A69" s="30"/>
      <c r="B69" s="31" t="s">
        <v>45</v>
      </c>
      <c r="C69" s="30">
        <v>1</v>
      </c>
      <c r="D69" s="30">
        <v>1</v>
      </c>
      <c r="E69" s="34">
        <v>4.95</v>
      </c>
      <c r="F69" s="34" t="s">
        <v>21</v>
      </c>
      <c r="G69" s="34">
        <v>0.12</v>
      </c>
      <c r="H69" s="42">
        <f t="shared" si="2"/>
        <v>0.59399999999999997</v>
      </c>
      <c r="I69" s="30"/>
    </row>
    <row r="70" spans="1:9" s="29" customFormat="1" ht="15.75">
      <c r="A70" s="30"/>
      <c r="B70" s="31" t="s">
        <v>95</v>
      </c>
      <c r="C70" s="30">
        <v>1</v>
      </c>
      <c r="D70" s="30">
        <v>-1</v>
      </c>
      <c r="E70" s="34">
        <v>0.9</v>
      </c>
      <c r="F70" s="34" t="s">
        <v>21</v>
      </c>
      <c r="G70" s="34">
        <v>0.6</v>
      </c>
      <c r="H70" s="42">
        <f t="shared" si="2"/>
        <v>-0.54</v>
      </c>
      <c r="I70" s="30"/>
    </row>
    <row r="71" spans="1:9" s="29" customFormat="1" ht="15.75">
      <c r="A71" s="30"/>
      <c r="B71" s="31" t="s">
        <v>45</v>
      </c>
      <c r="C71" s="30">
        <v>1</v>
      </c>
      <c r="D71" s="30">
        <v>1</v>
      </c>
      <c r="E71" s="34">
        <v>3</v>
      </c>
      <c r="F71" s="34" t="s">
        <v>21</v>
      </c>
      <c r="G71" s="34">
        <v>0.1</v>
      </c>
      <c r="H71" s="42">
        <f t="shared" si="2"/>
        <v>0.30000000000000004</v>
      </c>
      <c r="I71" s="30"/>
    </row>
    <row r="72" spans="1:9" s="29" customFormat="1" ht="15.75">
      <c r="A72" s="30"/>
      <c r="B72" s="31" t="s">
        <v>497</v>
      </c>
      <c r="C72" s="30"/>
      <c r="D72" s="30"/>
      <c r="E72" s="34"/>
      <c r="F72" s="34"/>
      <c r="G72" s="34"/>
      <c r="H72" s="42"/>
      <c r="I72" s="30"/>
    </row>
    <row r="73" spans="1:9" s="29" customFormat="1" ht="15.75">
      <c r="A73" s="30"/>
      <c r="B73" s="31" t="s">
        <v>476</v>
      </c>
      <c r="C73" s="30">
        <v>1</v>
      </c>
      <c r="D73" s="30">
        <v>1</v>
      </c>
      <c r="E73" s="34">
        <v>14.7</v>
      </c>
      <c r="F73" s="34" t="s">
        <v>21</v>
      </c>
      <c r="G73" s="34">
        <v>3.26</v>
      </c>
      <c r="H73" s="42">
        <f t="shared" ref="H73:H102" si="3">C73*D73*E73*G73</f>
        <v>47.921999999999997</v>
      </c>
      <c r="I73" s="30"/>
    </row>
    <row r="74" spans="1:9" s="29" customFormat="1" ht="15.75">
      <c r="A74" s="30"/>
      <c r="B74" s="31" t="s">
        <v>478</v>
      </c>
      <c r="C74" s="30">
        <v>1</v>
      </c>
      <c r="D74" s="30">
        <v>-1</v>
      </c>
      <c r="E74" s="34">
        <v>4.9000000000000004</v>
      </c>
      <c r="F74" s="34" t="s">
        <v>21</v>
      </c>
      <c r="G74" s="34">
        <v>1</v>
      </c>
      <c r="H74" s="42">
        <f t="shared" si="3"/>
        <v>-4.9000000000000004</v>
      </c>
      <c r="I74" s="30"/>
    </row>
    <row r="75" spans="1:9" s="29" customFormat="1" ht="15.75">
      <c r="A75" s="30"/>
      <c r="B75" s="31" t="s">
        <v>111</v>
      </c>
      <c r="C75" s="30">
        <v>1</v>
      </c>
      <c r="D75" s="30">
        <v>-1</v>
      </c>
      <c r="E75" s="34">
        <v>1</v>
      </c>
      <c r="F75" s="34" t="s">
        <v>21</v>
      </c>
      <c r="G75" s="34">
        <v>2.1</v>
      </c>
      <c r="H75" s="42">
        <f t="shared" si="3"/>
        <v>-2.1</v>
      </c>
      <c r="I75" s="30"/>
    </row>
    <row r="76" spans="1:9" s="29" customFormat="1" ht="15.75">
      <c r="A76" s="30"/>
      <c r="B76" s="31" t="s">
        <v>110</v>
      </c>
      <c r="C76" s="30">
        <v>1</v>
      </c>
      <c r="D76" s="30">
        <v>-1</v>
      </c>
      <c r="E76" s="34">
        <v>1.5</v>
      </c>
      <c r="F76" s="34" t="s">
        <v>21</v>
      </c>
      <c r="G76" s="34">
        <v>1.35</v>
      </c>
      <c r="H76" s="42">
        <f t="shared" si="3"/>
        <v>-2.0250000000000004</v>
      </c>
      <c r="I76" s="30"/>
    </row>
    <row r="77" spans="1:9" s="29" customFormat="1" ht="15.75">
      <c r="A77" s="30"/>
      <c r="B77" s="31" t="s">
        <v>45</v>
      </c>
      <c r="C77" s="30">
        <v>1</v>
      </c>
      <c r="D77" s="30">
        <v>1</v>
      </c>
      <c r="E77" s="34">
        <v>5.2</v>
      </c>
      <c r="F77" s="34" t="s">
        <v>21</v>
      </c>
      <c r="G77" s="34">
        <v>0.14000000000000001</v>
      </c>
      <c r="H77" s="42">
        <f t="shared" si="3"/>
        <v>0.72800000000000009</v>
      </c>
      <c r="I77" s="30"/>
    </row>
    <row r="78" spans="1:9" s="29" customFormat="1" ht="15.75">
      <c r="A78" s="30"/>
      <c r="B78" s="31" t="s">
        <v>45</v>
      </c>
      <c r="C78" s="30">
        <v>1</v>
      </c>
      <c r="D78" s="30">
        <v>1</v>
      </c>
      <c r="E78" s="34">
        <v>5.7</v>
      </c>
      <c r="F78" s="34" t="s">
        <v>21</v>
      </c>
      <c r="G78" s="34">
        <v>0.14000000000000001</v>
      </c>
      <c r="H78" s="42">
        <f t="shared" si="3"/>
        <v>0.79800000000000015</v>
      </c>
      <c r="I78" s="30"/>
    </row>
    <row r="79" spans="1:9" s="29" customFormat="1" ht="15.75">
      <c r="A79" s="30"/>
      <c r="B79" s="31" t="s">
        <v>79</v>
      </c>
      <c r="C79" s="30">
        <v>1</v>
      </c>
      <c r="D79" s="30">
        <v>2</v>
      </c>
      <c r="E79" s="34">
        <v>2.97</v>
      </c>
      <c r="F79" s="34" t="s">
        <v>21</v>
      </c>
      <c r="G79" s="34">
        <v>3.36</v>
      </c>
      <c r="H79" s="42">
        <f t="shared" si="3"/>
        <v>19.958400000000001</v>
      </c>
      <c r="I79" s="30"/>
    </row>
    <row r="80" spans="1:9" s="29" customFormat="1" ht="15.75">
      <c r="A80" s="30"/>
      <c r="B80" s="31" t="s">
        <v>500</v>
      </c>
      <c r="C80" s="30">
        <v>1</v>
      </c>
      <c r="D80" s="30">
        <v>1</v>
      </c>
      <c r="E80" s="34">
        <v>12.62</v>
      </c>
      <c r="F80" s="34" t="s">
        <v>21</v>
      </c>
      <c r="G80" s="34">
        <v>3.36</v>
      </c>
      <c r="H80" s="42">
        <f t="shared" si="3"/>
        <v>42.403199999999998</v>
      </c>
      <c r="I80" s="30"/>
    </row>
    <row r="81" spans="1:9" s="29" customFormat="1" ht="15.75">
      <c r="A81" s="30"/>
      <c r="B81" s="31" t="s">
        <v>111</v>
      </c>
      <c r="C81" s="30">
        <v>1</v>
      </c>
      <c r="D81" s="30">
        <v>-1</v>
      </c>
      <c r="E81" s="34">
        <v>1</v>
      </c>
      <c r="F81" s="34" t="s">
        <v>21</v>
      </c>
      <c r="G81" s="34">
        <v>2.1</v>
      </c>
      <c r="H81" s="42">
        <f t="shared" si="3"/>
        <v>-2.1</v>
      </c>
      <c r="I81" s="30"/>
    </row>
    <row r="82" spans="1:9" s="29" customFormat="1" ht="15.75">
      <c r="A82" s="30"/>
      <c r="B82" s="31" t="s">
        <v>110</v>
      </c>
      <c r="C82" s="30">
        <v>1</v>
      </c>
      <c r="D82" s="30">
        <v>-1</v>
      </c>
      <c r="E82" s="34">
        <v>1.5</v>
      </c>
      <c r="F82" s="34" t="s">
        <v>21</v>
      </c>
      <c r="G82" s="34">
        <v>1.35</v>
      </c>
      <c r="H82" s="42">
        <f t="shared" si="3"/>
        <v>-2.0250000000000004</v>
      </c>
      <c r="I82" s="30"/>
    </row>
    <row r="83" spans="1:9" s="29" customFormat="1" ht="15.75">
      <c r="A83" s="30"/>
      <c r="B83" s="31" t="s">
        <v>45</v>
      </c>
      <c r="C83" s="30">
        <v>1</v>
      </c>
      <c r="D83" s="30">
        <v>1</v>
      </c>
      <c r="E83" s="34">
        <v>5.2</v>
      </c>
      <c r="F83" s="34" t="s">
        <v>21</v>
      </c>
      <c r="G83" s="34">
        <v>0.14000000000000001</v>
      </c>
      <c r="H83" s="42">
        <f t="shared" si="3"/>
        <v>0.72800000000000009</v>
      </c>
      <c r="I83" s="30"/>
    </row>
    <row r="84" spans="1:9" s="29" customFormat="1" ht="15.75">
      <c r="A84" s="30"/>
      <c r="B84" s="31" t="s">
        <v>45</v>
      </c>
      <c r="C84" s="30">
        <v>1</v>
      </c>
      <c r="D84" s="30">
        <v>1</v>
      </c>
      <c r="E84" s="34">
        <v>5.7</v>
      </c>
      <c r="F84" s="34" t="s">
        <v>21</v>
      </c>
      <c r="G84" s="34">
        <v>0.14000000000000001</v>
      </c>
      <c r="H84" s="42">
        <f t="shared" si="3"/>
        <v>0.79800000000000015</v>
      </c>
      <c r="I84" s="30"/>
    </row>
    <row r="85" spans="1:9" s="29" customFormat="1" ht="15.75">
      <c r="A85" s="30"/>
      <c r="B85" s="31" t="s">
        <v>501</v>
      </c>
      <c r="C85" s="30">
        <v>1</v>
      </c>
      <c r="D85" s="30">
        <v>1</v>
      </c>
      <c r="E85" s="34">
        <v>12.65</v>
      </c>
      <c r="F85" s="34" t="s">
        <v>21</v>
      </c>
      <c r="G85" s="34">
        <v>3.36</v>
      </c>
      <c r="H85" s="42">
        <f t="shared" si="3"/>
        <v>42.503999999999998</v>
      </c>
      <c r="I85" s="30"/>
    </row>
    <row r="86" spans="1:9" s="29" customFormat="1" ht="15.75">
      <c r="A86" s="30"/>
      <c r="B86" s="31" t="s">
        <v>111</v>
      </c>
      <c r="C86" s="30">
        <v>1</v>
      </c>
      <c r="D86" s="30">
        <v>-1</v>
      </c>
      <c r="E86" s="34">
        <v>1</v>
      </c>
      <c r="F86" s="34" t="s">
        <v>21</v>
      </c>
      <c r="G86" s="34">
        <v>2.1</v>
      </c>
      <c r="H86" s="42">
        <f t="shared" si="3"/>
        <v>-2.1</v>
      </c>
      <c r="I86" s="30"/>
    </row>
    <row r="87" spans="1:9" s="29" customFormat="1" ht="15.75">
      <c r="A87" s="30"/>
      <c r="B87" s="31" t="s">
        <v>109</v>
      </c>
      <c r="C87" s="30">
        <v>1</v>
      </c>
      <c r="D87" s="30">
        <v>-2</v>
      </c>
      <c r="E87" s="34">
        <v>1.35</v>
      </c>
      <c r="F87" s="34" t="s">
        <v>21</v>
      </c>
      <c r="G87" s="34">
        <v>1.35</v>
      </c>
      <c r="H87" s="42">
        <f t="shared" si="3"/>
        <v>-3.6450000000000005</v>
      </c>
      <c r="I87" s="30"/>
    </row>
    <row r="88" spans="1:9" s="29" customFormat="1" ht="15.75">
      <c r="A88" s="30"/>
      <c r="B88" s="31" t="s">
        <v>45</v>
      </c>
      <c r="C88" s="30">
        <v>1</v>
      </c>
      <c r="D88" s="30">
        <v>1</v>
      </c>
      <c r="E88" s="34">
        <v>5.2</v>
      </c>
      <c r="F88" s="34" t="s">
        <v>21</v>
      </c>
      <c r="G88" s="34">
        <v>0.14000000000000001</v>
      </c>
      <c r="H88" s="42">
        <f t="shared" si="3"/>
        <v>0.72800000000000009</v>
      </c>
      <c r="I88" s="30"/>
    </row>
    <row r="89" spans="1:9" s="29" customFormat="1" ht="15.75">
      <c r="A89" s="30"/>
      <c r="B89" s="31" t="s">
        <v>45</v>
      </c>
      <c r="C89" s="30">
        <v>1</v>
      </c>
      <c r="D89" s="30">
        <v>2</v>
      </c>
      <c r="E89" s="34">
        <v>5.4</v>
      </c>
      <c r="F89" s="34" t="s">
        <v>21</v>
      </c>
      <c r="G89" s="34">
        <v>0.14000000000000001</v>
      </c>
      <c r="H89" s="42">
        <f t="shared" si="3"/>
        <v>1.5120000000000002</v>
      </c>
      <c r="I89" s="30"/>
    </row>
    <row r="90" spans="1:9" s="29" customFormat="1" ht="15.75">
      <c r="A90" s="30"/>
      <c r="B90" s="31" t="s">
        <v>502</v>
      </c>
      <c r="C90" s="30">
        <v>1</v>
      </c>
      <c r="D90" s="30">
        <v>1</v>
      </c>
      <c r="E90" s="34">
        <v>10.57</v>
      </c>
      <c r="F90" s="34" t="s">
        <v>21</v>
      </c>
      <c r="G90" s="34">
        <v>3.36</v>
      </c>
      <c r="H90" s="42">
        <f t="shared" si="3"/>
        <v>35.5152</v>
      </c>
      <c r="I90" s="30"/>
    </row>
    <row r="91" spans="1:9" s="29" customFormat="1" ht="15.75">
      <c r="A91" s="30"/>
      <c r="B91" s="31" t="s">
        <v>94</v>
      </c>
      <c r="C91" s="30">
        <v>1</v>
      </c>
      <c r="D91" s="30">
        <v>-1</v>
      </c>
      <c r="E91" s="34">
        <v>1</v>
      </c>
      <c r="F91" s="34" t="s">
        <v>21</v>
      </c>
      <c r="G91" s="34">
        <v>2.1</v>
      </c>
      <c r="H91" s="42">
        <f t="shared" si="3"/>
        <v>-2.1</v>
      </c>
      <c r="I91" s="30"/>
    </row>
    <row r="92" spans="1:9" s="29" customFormat="1" ht="15.75">
      <c r="A92" s="30"/>
      <c r="B92" s="31" t="s">
        <v>109</v>
      </c>
      <c r="C92" s="30">
        <v>1</v>
      </c>
      <c r="D92" s="30">
        <v>-1</v>
      </c>
      <c r="E92" s="34">
        <v>1.35</v>
      </c>
      <c r="F92" s="34" t="s">
        <v>21</v>
      </c>
      <c r="G92" s="34">
        <v>1.35</v>
      </c>
      <c r="H92" s="42">
        <f t="shared" si="3"/>
        <v>-1.8225000000000002</v>
      </c>
      <c r="I92" s="30"/>
    </row>
    <row r="93" spans="1:9" s="29" customFormat="1" ht="15.75">
      <c r="A93" s="30"/>
      <c r="B93" s="31" t="s">
        <v>45</v>
      </c>
      <c r="C93" s="30">
        <v>1</v>
      </c>
      <c r="D93" s="30">
        <v>1</v>
      </c>
      <c r="E93" s="34">
        <v>5.2</v>
      </c>
      <c r="F93" s="34" t="s">
        <v>21</v>
      </c>
      <c r="G93" s="34">
        <v>0.14000000000000001</v>
      </c>
      <c r="H93" s="42">
        <f t="shared" si="3"/>
        <v>0.72800000000000009</v>
      </c>
      <c r="I93" s="30"/>
    </row>
    <row r="94" spans="1:9" s="29" customFormat="1" ht="15.75">
      <c r="A94" s="30"/>
      <c r="B94" s="31" t="s">
        <v>45</v>
      </c>
      <c r="C94" s="30">
        <v>1</v>
      </c>
      <c r="D94" s="30">
        <v>1</v>
      </c>
      <c r="E94" s="34">
        <v>5.4</v>
      </c>
      <c r="F94" s="34" t="s">
        <v>21</v>
      </c>
      <c r="G94" s="34">
        <v>0.14000000000000001</v>
      </c>
      <c r="H94" s="42">
        <f t="shared" si="3"/>
        <v>0.75600000000000012</v>
      </c>
      <c r="I94" s="30"/>
    </row>
    <row r="95" spans="1:9" s="29" customFormat="1" ht="15.75">
      <c r="A95" s="30"/>
      <c r="B95" s="31" t="s">
        <v>503</v>
      </c>
      <c r="C95" s="30">
        <v>1</v>
      </c>
      <c r="D95" s="30">
        <v>1</v>
      </c>
      <c r="E95" s="34">
        <v>12.94</v>
      </c>
      <c r="F95" s="34" t="s">
        <v>21</v>
      </c>
      <c r="G95" s="34">
        <v>3.36</v>
      </c>
      <c r="H95" s="42">
        <f t="shared" si="3"/>
        <v>43.478399999999993</v>
      </c>
      <c r="I95" s="30"/>
    </row>
    <row r="96" spans="1:9" s="29" customFormat="1" ht="15.75">
      <c r="A96" s="30"/>
      <c r="B96" s="31" t="s">
        <v>111</v>
      </c>
      <c r="C96" s="30">
        <v>1</v>
      </c>
      <c r="D96" s="30">
        <v>-1</v>
      </c>
      <c r="E96" s="34">
        <v>1</v>
      </c>
      <c r="F96" s="34" t="s">
        <v>21</v>
      </c>
      <c r="G96" s="34">
        <v>2.1</v>
      </c>
      <c r="H96" s="42">
        <f t="shared" si="3"/>
        <v>-2.1</v>
      </c>
      <c r="I96" s="30"/>
    </row>
    <row r="97" spans="1:9" s="29" customFormat="1" ht="15.75">
      <c r="A97" s="30"/>
      <c r="B97" s="31" t="s">
        <v>109</v>
      </c>
      <c r="C97" s="30">
        <v>1</v>
      </c>
      <c r="D97" s="30">
        <v>-1</v>
      </c>
      <c r="E97" s="34">
        <v>1.35</v>
      </c>
      <c r="F97" s="34" t="s">
        <v>21</v>
      </c>
      <c r="G97" s="34">
        <v>1.35</v>
      </c>
      <c r="H97" s="42">
        <f t="shared" si="3"/>
        <v>-1.8225000000000002</v>
      </c>
      <c r="I97" s="30"/>
    </row>
    <row r="98" spans="1:9" s="29" customFormat="1" ht="15.75">
      <c r="A98" s="30"/>
      <c r="B98" s="31" t="s">
        <v>482</v>
      </c>
      <c r="C98" s="30">
        <v>1</v>
      </c>
      <c r="D98" s="30">
        <v>-1</v>
      </c>
      <c r="E98" s="34">
        <v>0.9</v>
      </c>
      <c r="F98" s="34" t="s">
        <v>21</v>
      </c>
      <c r="G98" s="34">
        <v>2.1</v>
      </c>
      <c r="H98" s="42">
        <f t="shared" si="3"/>
        <v>-1.8900000000000001</v>
      </c>
      <c r="I98" s="30"/>
    </row>
    <row r="99" spans="1:9" s="29" customFormat="1" ht="15.75">
      <c r="A99" s="30"/>
      <c r="B99" s="31" t="s">
        <v>45</v>
      </c>
      <c r="C99" s="30">
        <v>1</v>
      </c>
      <c r="D99" s="30">
        <v>1</v>
      </c>
      <c r="E99" s="34">
        <v>5.0999999999999996</v>
      </c>
      <c r="F99" s="34" t="s">
        <v>21</v>
      </c>
      <c r="G99" s="34">
        <v>0.05</v>
      </c>
      <c r="H99" s="42">
        <f t="shared" si="3"/>
        <v>0.255</v>
      </c>
      <c r="I99" s="30"/>
    </row>
    <row r="100" spans="1:9" s="29" customFormat="1" ht="15.75">
      <c r="A100" s="30"/>
      <c r="B100" s="31" t="s">
        <v>45</v>
      </c>
      <c r="C100" s="30">
        <v>1</v>
      </c>
      <c r="D100" s="30">
        <v>1</v>
      </c>
      <c r="E100" s="34">
        <v>5.4</v>
      </c>
      <c r="F100" s="34" t="s">
        <v>21</v>
      </c>
      <c r="G100" s="34">
        <v>0.14000000000000001</v>
      </c>
      <c r="H100" s="42">
        <f t="shared" si="3"/>
        <v>0.75600000000000012</v>
      </c>
      <c r="I100" s="30"/>
    </row>
    <row r="101" spans="1:9" s="29" customFormat="1" ht="15.75">
      <c r="A101" s="30"/>
      <c r="B101" s="31" t="s">
        <v>45</v>
      </c>
      <c r="C101" s="30">
        <v>1</v>
      </c>
      <c r="D101" s="30">
        <v>1</v>
      </c>
      <c r="E101" s="34">
        <v>4.95</v>
      </c>
      <c r="F101" s="34" t="s">
        <v>21</v>
      </c>
      <c r="G101" s="34">
        <v>0.06</v>
      </c>
      <c r="H101" s="42">
        <f t="shared" si="3"/>
        <v>0.29699999999999999</v>
      </c>
      <c r="I101" s="30"/>
    </row>
    <row r="102" spans="1:9" s="29" customFormat="1" ht="15.75">
      <c r="A102" s="30"/>
      <c r="B102" s="31" t="s">
        <v>84</v>
      </c>
      <c r="C102" s="30">
        <v>3</v>
      </c>
      <c r="D102" s="30">
        <v>2</v>
      </c>
      <c r="E102" s="34">
        <v>0.45</v>
      </c>
      <c r="F102" s="34" t="s">
        <v>21</v>
      </c>
      <c r="G102" s="34">
        <v>2.1</v>
      </c>
      <c r="H102" s="42">
        <f t="shared" si="3"/>
        <v>5.6700000000000008</v>
      </c>
      <c r="I102" s="30"/>
    </row>
    <row r="103" spans="1:9" s="29" customFormat="1" ht="15.75">
      <c r="A103" s="30"/>
      <c r="B103" s="31" t="s">
        <v>489</v>
      </c>
      <c r="C103" s="30">
        <v>3</v>
      </c>
      <c r="D103" s="30">
        <v>4</v>
      </c>
      <c r="E103" s="34">
        <v>0.85</v>
      </c>
      <c r="F103" s="34">
        <v>0.45</v>
      </c>
      <c r="G103" s="34" t="s">
        <v>21</v>
      </c>
      <c r="H103" s="42">
        <f>C103*D103*E103*F103</f>
        <v>4.59</v>
      </c>
      <c r="I103" s="30"/>
    </row>
    <row r="104" spans="1:9" s="29" customFormat="1" ht="15.75">
      <c r="A104" s="30"/>
      <c r="B104" s="31" t="s">
        <v>1</v>
      </c>
      <c r="C104" s="30">
        <v>1</v>
      </c>
      <c r="D104" s="30">
        <v>2</v>
      </c>
      <c r="E104" s="34">
        <v>5.66</v>
      </c>
      <c r="F104" s="34" t="s">
        <v>21</v>
      </c>
      <c r="G104" s="34">
        <v>1.86</v>
      </c>
      <c r="H104" s="42">
        <f t="shared" ref="H104:H118" si="4">C104*D104*E104*G104</f>
        <v>21.055200000000003</v>
      </c>
      <c r="I104" s="30"/>
    </row>
    <row r="105" spans="1:9" s="29" customFormat="1" ht="15.75">
      <c r="A105" s="30"/>
      <c r="B105" s="31" t="s">
        <v>482</v>
      </c>
      <c r="C105" s="30">
        <v>1</v>
      </c>
      <c r="D105" s="30">
        <v>-2</v>
      </c>
      <c r="E105" s="34">
        <v>0.9</v>
      </c>
      <c r="F105" s="34" t="s">
        <v>21</v>
      </c>
      <c r="G105" s="34">
        <v>2.1</v>
      </c>
      <c r="H105" s="42">
        <f t="shared" si="4"/>
        <v>-3.7800000000000002</v>
      </c>
      <c r="I105" s="30"/>
    </row>
    <row r="106" spans="1:9" s="29" customFormat="1" ht="15.75">
      <c r="A106" s="30"/>
      <c r="B106" s="31" t="s">
        <v>45</v>
      </c>
      <c r="C106" s="30">
        <v>1</v>
      </c>
      <c r="D106" s="30">
        <v>2</v>
      </c>
      <c r="E106" s="34">
        <v>5.0999999999999996</v>
      </c>
      <c r="F106" s="34" t="s">
        <v>21</v>
      </c>
      <c r="G106" s="34">
        <v>0.05</v>
      </c>
      <c r="H106" s="42">
        <f t="shared" si="4"/>
        <v>0.51</v>
      </c>
      <c r="I106" s="30"/>
    </row>
    <row r="107" spans="1:9" s="29" customFormat="1" ht="15.75">
      <c r="A107" s="30"/>
      <c r="B107" s="31" t="s">
        <v>504</v>
      </c>
      <c r="C107" s="30">
        <v>1</v>
      </c>
      <c r="D107" s="30">
        <v>-2</v>
      </c>
      <c r="E107" s="34">
        <v>0.9</v>
      </c>
      <c r="F107" s="34" t="s">
        <v>21</v>
      </c>
      <c r="G107" s="34">
        <v>0.6</v>
      </c>
      <c r="H107" s="42">
        <f t="shared" si="4"/>
        <v>-1.08</v>
      </c>
      <c r="I107" s="30"/>
    </row>
    <row r="108" spans="1:9" s="29" customFormat="1" ht="15.75">
      <c r="A108" s="30"/>
      <c r="B108" s="31" t="s">
        <v>45</v>
      </c>
      <c r="C108" s="30">
        <v>1</v>
      </c>
      <c r="D108" s="30">
        <v>2</v>
      </c>
      <c r="E108" s="34">
        <v>3</v>
      </c>
      <c r="F108" s="34" t="s">
        <v>21</v>
      </c>
      <c r="G108" s="34">
        <v>0.14000000000000001</v>
      </c>
      <c r="H108" s="42">
        <f t="shared" si="4"/>
        <v>0.84000000000000008</v>
      </c>
      <c r="I108" s="30"/>
    </row>
    <row r="109" spans="1:9" s="29" customFormat="1" ht="15.75">
      <c r="A109" s="30"/>
      <c r="B109" s="31" t="s">
        <v>202</v>
      </c>
      <c r="C109" s="30">
        <v>1</v>
      </c>
      <c r="D109" s="30">
        <v>1</v>
      </c>
      <c r="E109" s="34">
        <v>14.03</v>
      </c>
      <c r="F109" s="34" t="s">
        <v>21</v>
      </c>
      <c r="G109" s="34">
        <v>3.36</v>
      </c>
      <c r="H109" s="42">
        <f t="shared" si="4"/>
        <v>47.140799999999999</v>
      </c>
      <c r="I109" s="30"/>
    </row>
    <row r="110" spans="1:9" s="29" customFormat="1" ht="15.75">
      <c r="A110" s="30"/>
      <c r="B110" s="31" t="s">
        <v>478</v>
      </c>
      <c r="C110" s="30">
        <v>1</v>
      </c>
      <c r="D110" s="30">
        <v>-1</v>
      </c>
      <c r="E110" s="34">
        <v>1.5</v>
      </c>
      <c r="F110" s="34" t="s">
        <v>21</v>
      </c>
      <c r="G110" s="34">
        <v>3.16</v>
      </c>
      <c r="H110" s="42">
        <f t="shared" si="4"/>
        <v>-4.74</v>
      </c>
      <c r="I110" s="30"/>
    </row>
    <row r="111" spans="1:9" s="29" customFormat="1" ht="15.75">
      <c r="A111" s="30"/>
      <c r="B111" s="31" t="s">
        <v>505</v>
      </c>
      <c r="C111" s="30">
        <v>1</v>
      </c>
      <c r="D111" s="30">
        <v>-1</v>
      </c>
      <c r="E111" s="34">
        <v>1.8</v>
      </c>
      <c r="F111" s="34" t="s">
        <v>21</v>
      </c>
      <c r="G111" s="34">
        <v>2.2000000000000002</v>
      </c>
      <c r="H111" s="42">
        <f t="shared" si="4"/>
        <v>-3.9600000000000004</v>
      </c>
      <c r="I111" s="30"/>
    </row>
    <row r="112" spans="1:9" s="29" customFormat="1" ht="15.75">
      <c r="A112" s="30"/>
      <c r="B112" s="31" t="s">
        <v>45</v>
      </c>
      <c r="C112" s="30">
        <v>1</v>
      </c>
      <c r="D112" s="30">
        <v>1</v>
      </c>
      <c r="E112" s="34">
        <v>8</v>
      </c>
      <c r="F112" s="34" t="s">
        <v>21</v>
      </c>
      <c r="G112" s="34">
        <v>0.14000000000000001</v>
      </c>
      <c r="H112" s="42">
        <f t="shared" si="4"/>
        <v>1.1200000000000001</v>
      </c>
      <c r="I112" s="30"/>
    </row>
    <row r="113" spans="1:9" s="29" customFormat="1" ht="15.75">
      <c r="A113" s="30"/>
      <c r="B113" s="31" t="s">
        <v>507</v>
      </c>
      <c r="C113" s="30">
        <v>1</v>
      </c>
      <c r="D113" s="30">
        <v>1</v>
      </c>
      <c r="E113" s="34">
        <v>15.45</v>
      </c>
      <c r="F113" s="34" t="s">
        <v>21</v>
      </c>
      <c r="G113" s="34">
        <v>3.36</v>
      </c>
      <c r="H113" s="42">
        <f t="shared" si="4"/>
        <v>51.911999999999999</v>
      </c>
      <c r="I113" s="30"/>
    </row>
    <row r="114" spans="1:9" s="29" customFormat="1" ht="15.75">
      <c r="A114" s="30"/>
      <c r="B114" s="31" t="s">
        <v>111</v>
      </c>
      <c r="C114" s="30">
        <v>1</v>
      </c>
      <c r="D114" s="30">
        <v>-1</v>
      </c>
      <c r="E114" s="34">
        <v>1</v>
      </c>
      <c r="F114" s="34" t="s">
        <v>21</v>
      </c>
      <c r="G114" s="34">
        <v>2.1</v>
      </c>
      <c r="H114" s="42">
        <f t="shared" si="4"/>
        <v>-2.1</v>
      </c>
      <c r="I114" s="30"/>
    </row>
    <row r="115" spans="1:9" s="29" customFormat="1" ht="15.75">
      <c r="A115" s="30"/>
      <c r="B115" s="31" t="s">
        <v>109</v>
      </c>
      <c r="C115" s="30">
        <v>1</v>
      </c>
      <c r="D115" s="30">
        <v>-1</v>
      </c>
      <c r="E115" s="34">
        <v>1.35</v>
      </c>
      <c r="F115" s="34" t="s">
        <v>21</v>
      </c>
      <c r="G115" s="34">
        <v>1.35</v>
      </c>
      <c r="H115" s="42">
        <f t="shared" si="4"/>
        <v>-1.8225000000000002</v>
      </c>
      <c r="I115" s="30"/>
    </row>
    <row r="116" spans="1:9" s="29" customFormat="1" ht="15.75">
      <c r="A116" s="30"/>
      <c r="B116" s="31" t="s">
        <v>45</v>
      </c>
      <c r="C116" s="30">
        <v>1</v>
      </c>
      <c r="D116" s="30">
        <v>1</v>
      </c>
      <c r="E116" s="34">
        <v>5.2</v>
      </c>
      <c r="F116" s="34" t="s">
        <v>21</v>
      </c>
      <c r="G116" s="34">
        <v>0.14000000000000001</v>
      </c>
      <c r="H116" s="42">
        <f t="shared" si="4"/>
        <v>0.72800000000000009</v>
      </c>
      <c r="I116" s="30"/>
    </row>
    <row r="117" spans="1:9" s="29" customFormat="1" ht="15.75">
      <c r="A117" s="30"/>
      <c r="B117" s="31" t="s">
        <v>45</v>
      </c>
      <c r="C117" s="30">
        <v>1</v>
      </c>
      <c r="D117" s="30">
        <v>1</v>
      </c>
      <c r="E117" s="34">
        <v>5.4</v>
      </c>
      <c r="F117" s="34" t="s">
        <v>21</v>
      </c>
      <c r="G117" s="34">
        <v>0.14000000000000001</v>
      </c>
      <c r="H117" s="42">
        <f t="shared" si="4"/>
        <v>0.75600000000000012</v>
      </c>
      <c r="I117" s="30"/>
    </row>
    <row r="118" spans="1:9" s="29" customFormat="1" ht="15.75">
      <c r="A118" s="30"/>
      <c r="B118" s="31" t="s">
        <v>84</v>
      </c>
      <c r="C118" s="30">
        <v>3</v>
      </c>
      <c r="D118" s="30">
        <v>2</v>
      </c>
      <c r="E118" s="34">
        <v>0.45</v>
      </c>
      <c r="F118" s="34" t="s">
        <v>21</v>
      </c>
      <c r="G118" s="34">
        <v>2.1</v>
      </c>
      <c r="H118" s="42">
        <f t="shared" si="4"/>
        <v>5.6700000000000008</v>
      </c>
      <c r="I118" s="30"/>
    </row>
    <row r="119" spans="1:9" s="29" customFormat="1" ht="15.75">
      <c r="A119" s="30"/>
      <c r="B119" s="31" t="s">
        <v>489</v>
      </c>
      <c r="C119" s="30">
        <v>3</v>
      </c>
      <c r="D119" s="30">
        <v>4</v>
      </c>
      <c r="E119" s="34">
        <v>0.85</v>
      </c>
      <c r="F119" s="34">
        <v>0.45</v>
      </c>
      <c r="G119" s="34" t="s">
        <v>21</v>
      </c>
      <c r="H119" s="42">
        <f>C119*D119*E119*F119</f>
        <v>4.59</v>
      </c>
      <c r="I119" s="30"/>
    </row>
    <row r="120" spans="1:9" s="29" customFormat="1" ht="15.75">
      <c r="A120" s="30"/>
      <c r="B120" s="31" t="s">
        <v>506</v>
      </c>
      <c r="C120" s="30">
        <v>1</v>
      </c>
      <c r="D120" s="30">
        <v>1</v>
      </c>
      <c r="E120" s="34">
        <f>20.92-1.5</f>
        <v>19.420000000000002</v>
      </c>
      <c r="F120" s="34" t="s">
        <v>21</v>
      </c>
      <c r="G120" s="34">
        <v>3.46</v>
      </c>
      <c r="H120" s="42">
        <f>C120*D120*E120*G120</f>
        <v>67.193200000000004</v>
      </c>
      <c r="I120" s="30"/>
    </row>
    <row r="121" spans="1:9" s="29" customFormat="1" ht="15.75">
      <c r="A121" s="30"/>
      <c r="B121" s="31" t="s">
        <v>111</v>
      </c>
      <c r="C121" s="30">
        <v>1</v>
      </c>
      <c r="D121" s="30">
        <v>-5</v>
      </c>
      <c r="E121" s="34">
        <v>1</v>
      </c>
      <c r="F121" s="34" t="s">
        <v>21</v>
      </c>
      <c r="G121" s="34">
        <v>2.1</v>
      </c>
      <c r="H121" s="42">
        <f>C121*D121*E121*G121</f>
        <v>-10.5</v>
      </c>
      <c r="I121" s="30"/>
    </row>
    <row r="122" spans="1:9" s="29" customFormat="1" ht="15.75">
      <c r="A122" s="30"/>
      <c r="B122" s="31" t="s">
        <v>482</v>
      </c>
      <c r="C122" s="30">
        <v>1</v>
      </c>
      <c r="D122" s="30">
        <v>-2</v>
      </c>
      <c r="E122" s="34">
        <v>0.9</v>
      </c>
      <c r="F122" s="34" t="s">
        <v>21</v>
      </c>
      <c r="G122" s="34">
        <v>2.1</v>
      </c>
      <c r="H122" s="42">
        <f>C122*D122*E122*G122</f>
        <v>-3.7800000000000002</v>
      </c>
      <c r="I122" s="30"/>
    </row>
    <row r="123" spans="1:9" s="29" customFormat="1" ht="15.75">
      <c r="A123" s="30"/>
      <c r="B123" s="31" t="s">
        <v>94</v>
      </c>
      <c r="C123" s="30">
        <v>1</v>
      </c>
      <c r="D123" s="30">
        <v>-1</v>
      </c>
      <c r="E123" s="34">
        <v>1</v>
      </c>
      <c r="F123" s="34" t="s">
        <v>21</v>
      </c>
      <c r="G123" s="34">
        <v>2.1</v>
      </c>
      <c r="H123" s="42">
        <f>C123*D123*E123*G123</f>
        <v>-2.1</v>
      </c>
      <c r="I123" s="30"/>
    </row>
    <row r="124" spans="1:9" s="29" customFormat="1" ht="15.75">
      <c r="A124" s="30"/>
      <c r="B124" s="31"/>
      <c r="C124" s="30"/>
      <c r="D124" s="30"/>
      <c r="E124" s="34"/>
      <c r="F124" s="34"/>
      <c r="G124" s="34"/>
      <c r="H124" s="42">
        <f>SUM(H6:H123)</f>
        <v>767.72459999999967</v>
      </c>
      <c r="I124" s="30"/>
    </row>
    <row r="125" spans="1:9" s="29" customFormat="1" ht="19.5" customHeight="1">
      <c r="A125" s="30"/>
      <c r="B125" s="31"/>
      <c r="C125" s="30"/>
      <c r="D125" s="30"/>
      <c r="E125" s="34"/>
      <c r="F125" s="34"/>
      <c r="G125" s="34" t="s">
        <v>9</v>
      </c>
      <c r="H125" s="43">
        <v>767.8</v>
      </c>
      <c r="I125" s="30" t="s">
        <v>26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sheetPr codeName="Sheet21"/>
  <dimension ref="A1:IU4079"/>
  <sheetViews>
    <sheetView zoomScale="70" zoomScaleNormal="70" workbookViewId="0">
      <selection activeCell="B11" sqref="B11"/>
    </sheetView>
  </sheetViews>
  <sheetFormatPr defaultColWidth="9.5703125" defaultRowHeight="24" customHeight="1"/>
  <cols>
    <col min="1" max="1" width="10.5703125" style="52" customWidth="1"/>
    <col min="2" max="2" width="80.42578125" style="52" customWidth="1"/>
    <col min="3" max="6" width="10.5703125" style="52" customWidth="1"/>
    <col min="7" max="7" width="10.5703125" style="53" customWidth="1"/>
    <col min="8" max="8" width="73.7109375" style="52" customWidth="1"/>
    <col min="9" max="9" width="15.42578125" style="52" customWidth="1"/>
    <col min="10" max="10" width="10.5703125" style="55" customWidth="1"/>
    <col min="11" max="11" width="14.42578125" style="52" customWidth="1"/>
    <col min="12" max="14" width="10.5703125" style="52" customWidth="1"/>
    <col min="15" max="15" width="39" style="52" customWidth="1"/>
    <col min="16" max="17" width="10.5703125" style="52" customWidth="1"/>
    <col min="18" max="18" width="17.42578125" style="52" customWidth="1"/>
    <col min="19" max="19" width="10.5703125" style="56" customWidth="1"/>
    <col min="20" max="20" width="10.5703125" style="52" customWidth="1"/>
    <col min="21" max="21" width="56.28515625" style="52" customWidth="1"/>
    <col min="22" max="22" width="9.7109375" style="52" customWidth="1"/>
    <col min="23" max="23" width="18.28515625" style="52" customWidth="1"/>
    <col min="24" max="24" width="13.28515625" style="52" customWidth="1"/>
    <col min="25" max="25" width="10.5703125" style="52" customWidth="1"/>
    <col min="26" max="26" width="12.7109375" style="52" customWidth="1"/>
    <col min="27" max="29" width="10.5703125" style="52" customWidth="1"/>
    <col min="30" max="30" width="9" style="52" customWidth="1"/>
    <col min="31" max="31" width="17.42578125" style="52" customWidth="1"/>
    <col min="32" max="32" width="32.7109375" style="52" customWidth="1"/>
    <col min="33" max="33" width="14" style="52" customWidth="1"/>
    <col min="34" max="39" width="10.5703125" style="52" customWidth="1"/>
    <col min="40" max="40" width="13.28515625" style="52" customWidth="1"/>
    <col min="41" max="43" width="10.5703125" style="52" customWidth="1"/>
    <col min="44" max="44" width="38.28515625" style="52" customWidth="1"/>
    <col min="45" max="256" width="10.5703125" style="52" customWidth="1"/>
    <col min="257" max="16384" width="9.5703125" style="52"/>
  </cols>
  <sheetData>
    <row r="1" spans="1:40" ht="43.5" customHeight="1">
      <c r="A1" s="50"/>
      <c r="B1" s="51" t="s">
        <v>641</v>
      </c>
      <c r="E1" s="50" t="s">
        <v>150</v>
      </c>
      <c r="H1" s="54" t="s">
        <v>241</v>
      </c>
      <c r="O1" s="50" t="s">
        <v>241</v>
      </c>
      <c r="T1" s="57"/>
      <c r="U1" s="58" t="s">
        <v>402</v>
      </c>
      <c r="V1" s="58"/>
      <c r="W1" s="51" t="s">
        <v>150</v>
      </c>
      <c r="X1" s="57"/>
      <c r="Y1" s="57"/>
      <c r="Z1" s="57"/>
      <c r="AA1" s="57"/>
      <c r="AB1" s="57"/>
      <c r="AC1" s="57"/>
      <c r="AD1" s="57"/>
      <c r="AE1" s="57"/>
      <c r="AF1" s="57"/>
      <c r="AG1" s="57"/>
    </row>
    <row r="2" spans="1:40" ht="39" customHeight="1">
      <c r="B2" s="59" t="s">
        <v>156</v>
      </c>
      <c r="E2" s="50" t="s">
        <v>150</v>
      </c>
      <c r="H2" s="51" t="s">
        <v>642</v>
      </c>
      <c r="O2" s="51" t="s">
        <v>642</v>
      </c>
      <c r="S2" s="56">
        <f>(581+645+954)/3</f>
        <v>726.66666666666663</v>
      </c>
      <c r="U2" s="2122" t="s">
        <v>643</v>
      </c>
      <c r="V2" s="2123"/>
      <c r="W2" s="2123"/>
      <c r="X2" s="2123"/>
      <c r="Y2" s="51"/>
    </row>
    <row r="3" spans="1:40" ht="15.75">
      <c r="A3" s="50" t="s">
        <v>242</v>
      </c>
      <c r="B3" s="60" t="s">
        <v>243</v>
      </c>
      <c r="C3" s="50" t="s">
        <v>644</v>
      </c>
      <c r="E3" s="50" t="s">
        <v>150</v>
      </c>
      <c r="F3" s="61" t="s">
        <v>242</v>
      </c>
      <c r="G3" s="62" t="s">
        <v>150</v>
      </c>
      <c r="H3" s="63" t="str">
        <f>U3</f>
        <v>Ooty</v>
      </c>
      <c r="J3" s="54" t="str">
        <f>C3</f>
        <v>2020-2021</v>
      </c>
      <c r="M3" s="50" t="s">
        <v>242</v>
      </c>
      <c r="N3" s="50" t="s">
        <v>150</v>
      </c>
      <c r="O3" s="64" t="str">
        <f>B3</f>
        <v>OOTY</v>
      </c>
      <c r="Q3" s="64" t="str">
        <f>C3</f>
        <v>2020-2021</v>
      </c>
      <c r="T3" s="54" t="s">
        <v>242</v>
      </c>
      <c r="U3" s="63" t="s">
        <v>645</v>
      </c>
      <c r="V3" s="65" t="str">
        <f>Q3</f>
        <v>2020-2021</v>
      </c>
      <c r="W3" s="63" t="str">
        <f>C3</f>
        <v>2020-2021</v>
      </c>
      <c r="X3" s="65"/>
      <c r="Y3" s="65"/>
      <c r="Z3" s="65"/>
      <c r="AA3" s="65"/>
      <c r="AB3" s="65"/>
      <c r="AC3" s="54"/>
      <c r="AD3" s="65"/>
      <c r="AE3" s="65"/>
      <c r="AF3" s="65"/>
      <c r="AG3" s="65"/>
    </row>
    <row r="4" spans="1:40" ht="53.25" customHeight="1">
      <c r="F4" s="59" t="s">
        <v>21</v>
      </c>
      <c r="G4" s="59" t="s">
        <v>21</v>
      </c>
      <c r="H4" s="59" t="s">
        <v>21</v>
      </c>
      <c r="I4" s="59" t="s">
        <v>21</v>
      </c>
      <c r="J4" s="59" t="s">
        <v>21</v>
      </c>
      <c r="K4" s="59" t="s">
        <v>21</v>
      </c>
      <c r="M4" s="59" t="s">
        <v>21</v>
      </c>
      <c r="N4" s="59" t="s">
        <v>21</v>
      </c>
      <c r="O4" s="59" t="s">
        <v>21</v>
      </c>
      <c r="P4" s="59" t="s">
        <v>21</v>
      </c>
      <c r="Q4" s="59" t="s">
        <v>21</v>
      </c>
      <c r="R4" s="59" t="s">
        <v>21</v>
      </c>
      <c r="T4" s="65"/>
      <c r="U4" s="54" t="s">
        <v>150</v>
      </c>
      <c r="V4" s="65"/>
      <c r="W4" s="54" t="s">
        <v>150</v>
      </c>
      <c r="X4" s="54" t="s">
        <v>646</v>
      </c>
      <c r="Y4" s="54"/>
      <c r="Z4" s="54"/>
      <c r="AA4" s="65"/>
      <c r="AB4" s="65"/>
      <c r="AC4" s="65"/>
      <c r="AD4" s="65"/>
      <c r="AE4" s="54" t="s">
        <v>150</v>
      </c>
      <c r="AF4" s="65"/>
      <c r="AG4" s="65"/>
      <c r="AI4" s="50" t="s">
        <v>647</v>
      </c>
    </row>
    <row r="5" spans="1:40" ht="15.75">
      <c r="A5" s="59" t="s">
        <v>21</v>
      </c>
      <c r="B5" s="59" t="s">
        <v>21</v>
      </c>
      <c r="C5" s="59" t="s">
        <v>21</v>
      </c>
      <c r="D5" s="59" t="s">
        <v>21</v>
      </c>
      <c r="E5" s="50" t="s">
        <v>150</v>
      </c>
      <c r="F5" s="61" t="s">
        <v>244</v>
      </c>
      <c r="G5" s="62" t="s">
        <v>150</v>
      </c>
      <c r="H5" s="66" t="s">
        <v>245</v>
      </c>
      <c r="I5" s="66" t="s">
        <v>246</v>
      </c>
      <c r="J5" s="66" t="s">
        <v>247</v>
      </c>
      <c r="K5" s="66" t="s">
        <v>248</v>
      </c>
      <c r="M5" s="51" t="s">
        <v>244</v>
      </c>
      <c r="N5" s="50" t="s">
        <v>150</v>
      </c>
      <c r="O5" s="51" t="s">
        <v>245</v>
      </c>
      <c r="P5" s="51" t="s">
        <v>246</v>
      </c>
      <c r="Q5" s="51" t="s">
        <v>247</v>
      </c>
      <c r="R5" s="51" t="s">
        <v>248</v>
      </c>
      <c r="T5" s="67"/>
      <c r="U5" s="67" t="s">
        <v>21</v>
      </c>
      <c r="V5" s="67" t="s">
        <v>21</v>
      </c>
      <c r="W5" s="67" t="s">
        <v>21</v>
      </c>
      <c r="X5" s="67" t="s">
        <v>21</v>
      </c>
      <c r="Y5" s="67"/>
      <c r="Z5" s="67" t="s">
        <v>21</v>
      </c>
      <c r="AA5" s="67" t="s">
        <v>21</v>
      </c>
      <c r="AB5" s="67"/>
      <c r="AC5" s="67" t="s">
        <v>21</v>
      </c>
      <c r="AD5" s="67" t="s">
        <v>21</v>
      </c>
      <c r="AE5" s="67" t="s">
        <v>21</v>
      </c>
      <c r="AF5" s="67" t="s">
        <v>21</v>
      </c>
      <c r="AG5" s="67" t="s">
        <v>21</v>
      </c>
    </row>
    <row r="6" spans="1:40" ht="15.75">
      <c r="A6" s="50" t="s">
        <v>648</v>
      </c>
      <c r="B6" s="50" t="s">
        <v>245</v>
      </c>
      <c r="C6" s="50" t="s">
        <v>246</v>
      </c>
      <c r="D6" s="50" t="s">
        <v>247</v>
      </c>
      <c r="F6" s="59" t="s">
        <v>21</v>
      </c>
      <c r="G6" s="59" t="s">
        <v>21</v>
      </c>
      <c r="H6" s="59" t="s">
        <v>21</v>
      </c>
      <c r="I6" s="59" t="s">
        <v>21</v>
      </c>
      <c r="J6" s="59" t="s">
        <v>21</v>
      </c>
      <c r="K6" s="59" t="s">
        <v>21</v>
      </c>
      <c r="M6" s="59" t="s">
        <v>21</v>
      </c>
      <c r="N6" s="59" t="s">
        <v>21</v>
      </c>
      <c r="O6" s="59" t="s">
        <v>21</v>
      </c>
      <c r="P6" s="59" t="s">
        <v>21</v>
      </c>
      <c r="Q6" s="59" t="s">
        <v>21</v>
      </c>
      <c r="R6" s="59" t="s">
        <v>21</v>
      </c>
      <c r="T6" s="66" t="s">
        <v>648</v>
      </c>
      <c r="U6" s="66" t="s">
        <v>403</v>
      </c>
      <c r="V6" s="66" t="s">
        <v>404</v>
      </c>
      <c r="W6" s="66" t="s">
        <v>405</v>
      </c>
      <c r="X6" s="2124" t="s">
        <v>649</v>
      </c>
      <c r="Y6" s="2124"/>
      <c r="Z6" s="66" t="s">
        <v>650</v>
      </c>
      <c r="AA6" s="2124" t="s">
        <v>651</v>
      </c>
      <c r="AB6" s="2124"/>
      <c r="AC6" s="54" t="s">
        <v>652</v>
      </c>
      <c r="AD6" s="54" t="s">
        <v>653</v>
      </c>
      <c r="AE6" s="54" t="s">
        <v>654</v>
      </c>
      <c r="AF6" s="66" t="s">
        <v>406</v>
      </c>
      <c r="AG6" s="65"/>
    </row>
    <row r="7" spans="1:40" ht="45" customHeight="1">
      <c r="A7" s="59" t="s">
        <v>21</v>
      </c>
      <c r="B7" s="59" t="s">
        <v>21</v>
      </c>
      <c r="C7" s="59" t="s">
        <v>21</v>
      </c>
      <c r="D7" s="59" t="s">
        <v>21</v>
      </c>
      <c r="G7" s="62" t="s">
        <v>249</v>
      </c>
      <c r="H7" s="50" t="s">
        <v>250</v>
      </c>
      <c r="O7" s="50" t="s">
        <v>655</v>
      </c>
      <c r="T7" s="65"/>
      <c r="U7" s="65"/>
      <c r="V7" s="65"/>
      <c r="W7" s="65"/>
      <c r="X7" s="66" t="s">
        <v>656</v>
      </c>
      <c r="Y7" s="66" t="s">
        <v>657</v>
      </c>
      <c r="Z7" s="66" t="s">
        <v>654</v>
      </c>
      <c r="AA7" s="66" t="s">
        <v>656</v>
      </c>
      <c r="AB7" s="66" t="s">
        <v>657</v>
      </c>
      <c r="AC7" s="54" t="s">
        <v>658</v>
      </c>
      <c r="AD7" s="54" t="s">
        <v>659</v>
      </c>
      <c r="AE7" s="54" t="s">
        <v>660</v>
      </c>
      <c r="AF7" s="65"/>
      <c r="AG7" s="65"/>
    </row>
    <row r="8" spans="1:40" ht="45" customHeight="1">
      <c r="B8" s="50" t="s">
        <v>661</v>
      </c>
      <c r="H8" s="59" t="s">
        <v>21</v>
      </c>
      <c r="O8" s="59" t="s">
        <v>21</v>
      </c>
      <c r="T8" s="59" t="s">
        <v>21</v>
      </c>
      <c r="U8" s="59" t="s">
        <v>21</v>
      </c>
      <c r="V8" s="59" t="s">
        <v>21</v>
      </c>
      <c r="W8" s="59" t="s">
        <v>21</v>
      </c>
      <c r="X8" s="59" t="s">
        <v>21</v>
      </c>
      <c r="Y8" s="59"/>
      <c r="Z8" s="59" t="s">
        <v>21</v>
      </c>
      <c r="AA8" s="59" t="s">
        <v>21</v>
      </c>
      <c r="AB8" s="59"/>
      <c r="AC8" s="59" t="s">
        <v>662</v>
      </c>
      <c r="AD8" s="59" t="s">
        <v>21</v>
      </c>
      <c r="AE8" s="59" t="s">
        <v>21</v>
      </c>
      <c r="AF8" s="59" t="s">
        <v>21</v>
      </c>
      <c r="AG8" s="59" t="s">
        <v>21</v>
      </c>
      <c r="AI8" s="68" t="s">
        <v>663</v>
      </c>
      <c r="AJ8" s="68" t="s">
        <v>664</v>
      </c>
      <c r="AK8" s="69" t="s">
        <v>665</v>
      </c>
      <c r="AL8" s="69" t="s">
        <v>666</v>
      </c>
      <c r="AM8" s="69" t="s">
        <v>667</v>
      </c>
      <c r="AN8" s="69" t="s">
        <v>668</v>
      </c>
    </row>
    <row r="9" spans="1:40" ht="45" customHeight="1">
      <c r="B9" s="50" t="s">
        <v>669</v>
      </c>
      <c r="F9" s="64">
        <v>0.96</v>
      </c>
      <c r="G9" s="62" t="s">
        <v>251</v>
      </c>
      <c r="H9" s="50" t="s">
        <v>252</v>
      </c>
      <c r="I9" s="64">
        <f>(C67)</f>
        <v>5800</v>
      </c>
      <c r="J9" s="50" t="s">
        <v>251</v>
      </c>
      <c r="K9" s="64">
        <f>(F9*I9)</f>
        <v>5568</v>
      </c>
      <c r="M9" s="64">
        <v>0.5</v>
      </c>
      <c r="N9" s="50" t="s">
        <v>251</v>
      </c>
      <c r="O9" s="50" t="s">
        <v>670</v>
      </c>
      <c r="P9" s="64">
        <f>(C85)</f>
        <v>1637.95</v>
      </c>
      <c r="Q9" s="50" t="s">
        <v>251</v>
      </c>
      <c r="R9" s="64">
        <f>(M9*P9)</f>
        <v>818.97500000000002</v>
      </c>
      <c r="T9" s="51" t="s">
        <v>407</v>
      </c>
      <c r="U9" s="50" t="s">
        <v>603</v>
      </c>
      <c r="V9" s="50" t="s">
        <v>408</v>
      </c>
      <c r="W9" s="70" t="s">
        <v>409</v>
      </c>
      <c r="X9" s="64">
        <f>'[12]lead  charge'!D12</f>
        <v>10</v>
      </c>
      <c r="Y9" s="64">
        <f>'[12]lead  charge'!D36</f>
        <v>51</v>
      </c>
      <c r="Z9" s="71">
        <v>437</v>
      </c>
      <c r="AA9" s="64">
        <f>'[12]lead  charge'!E12</f>
        <v>104</v>
      </c>
      <c r="AB9" s="64">
        <f>'[12]lead  charge'!E36</f>
        <v>786.78</v>
      </c>
      <c r="AC9" s="51"/>
      <c r="AD9" s="50">
        <v>0</v>
      </c>
      <c r="AE9" s="50">
        <f>SUM(Z9:AD9)</f>
        <v>1327.78</v>
      </c>
      <c r="AF9" s="50" t="s">
        <v>410</v>
      </c>
      <c r="AG9" s="72">
        <f>AN9</f>
        <v>1076.5999999999999</v>
      </c>
      <c r="AH9" s="73">
        <v>769</v>
      </c>
      <c r="AI9" s="64">
        <f>AH9*1.1</f>
        <v>845.90000000000009</v>
      </c>
      <c r="AJ9" s="52">
        <f>AH9*1.2</f>
        <v>922.8</v>
      </c>
      <c r="AK9" s="52">
        <f>AH9*1.5</f>
        <v>1153.5</v>
      </c>
      <c r="AL9" s="52">
        <f>AH9*1.05</f>
        <v>807.45</v>
      </c>
      <c r="AM9" s="52">
        <f>AH9*1.25</f>
        <v>961.25</v>
      </c>
      <c r="AN9" s="52">
        <f>AH9*1.4</f>
        <v>1076.5999999999999</v>
      </c>
    </row>
    <row r="10" spans="1:40" ht="45" customHeight="1">
      <c r="A10" s="74">
        <v>1</v>
      </c>
      <c r="B10" s="75" t="s">
        <v>671</v>
      </c>
      <c r="C10" s="76">
        <f>AG9</f>
        <v>1076.5999999999999</v>
      </c>
      <c r="D10" s="75" t="e">
        <f>[12]Data!Fbi</f>
        <v>#NAME?</v>
      </c>
      <c r="F10" s="64">
        <v>1</v>
      </c>
      <c r="G10" s="62" t="s">
        <v>151</v>
      </c>
      <c r="H10" s="50" t="s">
        <v>253</v>
      </c>
      <c r="I10" s="64">
        <f>(C78)</f>
        <v>2116.9</v>
      </c>
      <c r="J10" s="50" t="s">
        <v>151</v>
      </c>
      <c r="K10" s="64">
        <f>(F10*I10)</f>
        <v>2116.9</v>
      </c>
      <c r="M10" s="64">
        <v>1</v>
      </c>
      <c r="N10" s="50" t="s">
        <v>151</v>
      </c>
      <c r="O10" s="50" t="s">
        <v>253</v>
      </c>
      <c r="P10" s="64">
        <f>(C78)</f>
        <v>2116.9</v>
      </c>
      <c r="Q10" s="50" t="s">
        <v>151</v>
      </c>
      <c r="R10" s="64">
        <f>(M10*P10)</f>
        <v>2116.9</v>
      </c>
      <c r="T10" s="51" t="s">
        <v>411</v>
      </c>
      <c r="U10" s="50" t="s">
        <v>604</v>
      </c>
      <c r="V10" s="50" t="s">
        <v>408</v>
      </c>
      <c r="W10" s="70" t="str">
        <f t="shared" ref="W10:W15" si="0">+W9</f>
        <v>Kurunthamalai</v>
      </c>
      <c r="X10" s="64">
        <f>'[12]lead  charge'!D12</f>
        <v>10</v>
      </c>
      <c r="Y10" s="64">
        <f>Y9</f>
        <v>51</v>
      </c>
      <c r="Z10" s="71">
        <v>630</v>
      </c>
      <c r="AA10" s="64">
        <f>AA9</f>
        <v>104</v>
      </c>
      <c r="AB10" s="64">
        <f>AB9</f>
        <v>786.78</v>
      </c>
      <c r="AC10" s="51"/>
      <c r="AD10" s="55">
        <v>0</v>
      </c>
      <c r="AE10" s="50">
        <f t="shared" ref="AE10:AE47" si="1">SUM(Z10:AD10)</f>
        <v>1520.78</v>
      </c>
      <c r="AF10" s="50" t="s">
        <v>412</v>
      </c>
      <c r="AG10" s="72">
        <f t="shared" ref="AG10:AG46" si="2">AN10</f>
        <v>1005.1999999999999</v>
      </c>
      <c r="AH10" s="73">
        <v>718</v>
      </c>
      <c r="AI10" s="64">
        <f t="shared" ref="AI10:AI47" si="3">AH10*1.1</f>
        <v>789.80000000000007</v>
      </c>
      <c r="AJ10" s="52">
        <f t="shared" ref="AJ10:AJ47" si="4">AH10*1.2</f>
        <v>861.6</v>
      </c>
      <c r="AK10" s="52">
        <f t="shared" ref="AK10:AK47" si="5">AH10*1.5</f>
        <v>1077</v>
      </c>
      <c r="AL10" s="52">
        <f t="shared" ref="AL10:AL44" si="6">AH10*1.05</f>
        <v>753.9</v>
      </c>
      <c r="AM10" s="52">
        <f t="shared" ref="AM10:AM47" si="7">AH10*1.25</f>
        <v>897.5</v>
      </c>
      <c r="AN10" s="52">
        <f t="shared" ref="AN10:AN47" si="8">AH10*1.4</f>
        <v>1005.1999999999999</v>
      </c>
    </row>
    <row r="11" spans="1:40" ht="45" customHeight="1">
      <c r="A11" s="74">
        <f t="shared" ref="A11:A35" si="9">(A10+1)</f>
        <v>2</v>
      </c>
      <c r="B11" s="75" t="s">
        <v>672</v>
      </c>
      <c r="C11" s="76">
        <f>AG10</f>
        <v>1005.1999999999999</v>
      </c>
      <c r="D11" s="75">
        <f>AG9</f>
        <v>1076.5999999999999</v>
      </c>
      <c r="F11" s="64">
        <v>1</v>
      </c>
      <c r="G11" s="62" t="s">
        <v>151</v>
      </c>
      <c r="H11" s="50" t="s">
        <v>254</v>
      </c>
      <c r="I11" s="64">
        <f>(C18)</f>
        <v>121.8</v>
      </c>
      <c r="J11" s="50" t="s">
        <v>151</v>
      </c>
      <c r="K11" s="64">
        <f>(F11*I11)</f>
        <v>121.8</v>
      </c>
      <c r="M11" s="64">
        <v>1</v>
      </c>
      <c r="N11" s="50" t="s">
        <v>151</v>
      </c>
      <c r="O11" s="50" t="s">
        <v>673</v>
      </c>
      <c r="P11" s="64">
        <f>(C64)</f>
        <v>211</v>
      </c>
      <c r="Q11" s="50" t="s">
        <v>151</v>
      </c>
      <c r="R11" s="64">
        <f>(M11*P11)</f>
        <v>211</v>
      </c>
      <c r="T11" s="51" t="s">
        <v>413</v>
      </c>
      <c r="U11" s="50" t="s">
        <v>414</v>
      </c>
      <c r="V11" s="50" t="s">
        <v>408</v>
      </c>
      <c r="W11" s="70" t="str">
        <f t="shared" si="0"/>
        <v>Kurunthamalai</v>
      </c>
      <c r="X11" s="64">
        <f>'[12]lead  charge'!D10:D10</f>
        <v>10</v>
      </c>
      <c r="Y11" s="64">
        <f>Y9</f>
        <v>51</v>
      </c>
      <c r="Z11" s="71">
        <v>726.67</v>
      </c>
      <c r="AA11" s="64">
        <f>'[12]lead  charge'!E10</f>
        <v>104</v>
      </c>
      <c r="AB11" s="64">
        <f>AB9</f>
        <v>786.78</v>
      </c>
      <c r="AC11" s="51"/>
      <c r="AD11" s="55">
        <v>0</v>
      </c>
      <c r="AE11" s="50">
        <f t="shared" si="1"/>
        <v>1617.4499999999998</v>
      </c>
      <c r="AF11" s="50" t="s">
        <v>415</v>
      </c>
      <c r="AG11" s="72">
        <f t="shared" si="2"/>
        <v>702.8</v>
      </c>
      <c r="AH11" s="73">
        <v>502</v>
      </c>
      <c r="AI11" s="64">
        <f t="shared" si="3"/>
        <v>552.20000000000005</v>
      </c>
      <c r="AJ11" s="52">
        <f t="shared" si="4"/>
        <v>602.4</v>
      </c>
      <c r="AK11" s="52">
        <f t="shared" si="5"/>
        <v>753</v>
      </c>
      <c r="AL11" s="52">
        <f t="shared" si="6"/>
        <v>527.1</v>
      </c>
      <c r="AM11" s="52">
        <f t="shared" si="7"/>
        <v>627.5</v>
      </c>
      <c r="AN11" s="52">
        <f t="shared" si="8"/>
        <v>702.8</v>
      </c>
    </row>
    <row r="12" spans="1:40" ht="45" customHeight="1">
      <c r="A12" s="74">
        <f t="shared" si="9"/>
        <v>3</v>
      </c>
      <c r="B12" s="75" t="s">
        <v>674</v>
      </c>
      <c r="C12" s="76">
        <f>AG11</f>
        <v>702.8</v>
      </c>
      <c r="D12" s="75" t="s">
        <v>153</v>
      </c>
      <c r="G12" s="62" t="s">
        <v>226</v>
      </c>
      <c r="H12" s="50" t="s">
        <v>237</v>
      </c>
      <c r="I12" s="50" t="s">
        <v>150</v>
      </c>
      <c r="J12" s="50" t="s">
        <v>226</v>
      </c>
      <c r="K12" s="64">
        <v>0</v>
      </c>
      <c r="N12" s="50" t="s">
        <v>226</v>
      </c>
      <c r="O12" s="50" t="s">
        <v>237</v>
      </c>
      <c r="P12" s="50" t="s">
        <v>150</v>
      </c>
      <c r="Q12" s="50" t="s">
        <v>226</v>
      </c>
      <c r="R12" s="64">
        <v>0</v>
      </c>
      <c r="T12" s="51" t="s">
        <v>416</v>
      </c>
      <c r="U12" s="50" t="s">
        <v>417</v>
      </c>
      <c r="V12" s="50" t="s">
        <v>408</v>
      </c>
      <c r="W12" s="70" t="str">
        <f t="shared" si="0"/>
        <v>Kurunthamalai</v>
      </c>
      <c r="X12" s="64">
        <f>X11</f>
        <v>10</v>
      </c>
      <c r="Y12" s="64">
        <f>Y9</f>
        <v>51</v>
      </c>
      <c r="Z12" s="71">
        <v>954</v>
      </c>
      <c r="AA12" s="64">
        <f>AA11</f>
        <v>104</v>
      </c>
      <c r="AB12" s="64">
        <f>AB9</f>
        <v>786.78</v>
      </c>
      <c r="AC12" s="51"/>
      <c r="AD12" s="55">
        <v>0</v>
      </c>
      <c r="AE12" s="50">
        <f t="shared" si="1"/>
        <v>1844.78</v>
      </c>
      <c r="AF12" s="50" t="s">
        <v>418</v>
      </c>
      <c r="AG12" s="72">
        <f t="shared" si="2"/>
        <v>576.79999999999995</v>
      </c>
      <c r="AH12" s="73">
        <v>412</v>
      </c>
      <c r="AI12" s="64">
        <f t="shared" si="3"/>
        <v>453.20000000000005</v>
      </c>
      <c r="AJ12" s="52">
        <f t="shared" si="4"/>
        <v>494.4</v>
      </c>
      <c r="AK12" s="52">
        <f t="shared" si="5"/>
        <v>618</v>
      </c>
      <c r="AL12" s="52">
        <f t="shared" si="6"/>
        <v>432.6</v>
      </c>
      <c r="AM12" s="52">
        <f t="shared" si="7"/>
        <v>515</v>
      </c>
      <c r="AN12" s="52">
        <f t="shared" si="8"/>
        <v>576.79999999999995</v>
      </c>
    </row>
    <row r="13" spans="1:40" ht="45" customHeight="1">
      <c r="A13" s="74">
        <f t="shared" si="9"/>
        <v>4</v>
      </c>
      <c r="B13" s="75" t="s">
        <v>675</v>
      </c>
      <c r="C13" s="76">
        <f>AG12</f>
        <v>576.79999999999995</v>
      </c>
      <c r="D13" s="75" t="s">
        <v>153</v>
      </c>
      <c r="K13" s="59" t="s">
        <v>21</v>
      </c>
      <c r="R13" s="59" t="s">
        <v>21</v>
      </c>
      <c r="T13" s="51" t="s">
        <v>419</v>
      </c>
      <c r="U13" s="50" t="s">
        <v>420</v>
      </c>
      <c r="V13" s="50" t="s">
        <v>408</v>
      </c>
      <c r="W13" s="70" t="str">
        <f t="shared" si="0"/>
        <v>Kurunthamalai</v>
      </c>
      <c r="X13" s="64">
        <f>X11</f>
        <v>10</v>
      </c>
      <c r="Y13" s="64">
        <f>Y9</f>
        <v>51</v>
      </c>
      <c r="Z13" s="71">
        <v>1297</v>
      </c>
      <c r="AA13" s="64">
        <f>AA12</f>
        <v>104</v>
      </c>
      <c r="AB13" s="64">
        <f>AB9</f>
        <v>786.78</v>
      </c>
      <c r="AC13" s="51"/>
      <c r="AD13" s="55">
        <v>0</v>
      </c>
      <c r="AE13" s="50">
        <f t="shared" si="1"/>
        <v>2187.7799999999997</v>
      </c>
      <c r="AF13" s="50" t="s">
        <v>421</v>
      </c>
      <c r="AG13" s="72">
        <f t="shared" si="2"/>
        <v>861</v>
      </c>
      <c r="AH13" s="73">
        <v>615</v>
      </c>
      <c r="AI13" s="64">
        <f t="shared" si="3"/>
        <v>676.5</v>
      </c>
      <c r="AJ13" s="52">
        <f t="shared" si="4"/>
        <v>738</v>
      </c>
      <c r="AK13" s="52">
        <f t="shared" si="5"/>
        <v>922.5</v>
      </c>
      <c r="AL13" s="52">
        <f t="shared" si="6"/>
        <v>645.75</v>
      </c>
      <c r="AM13" s="52">
        <f t="shared" si="7"/>
        <v>768.75</v>
      </c>
      <c r="AN13" s="52">
        <f t="shared" si="8"/>
        <v>861</v>
      </c>
    </row>
    <row r="14" spans="1:40" ht="45" customHeight="1">
      <c r="A14" s="74">
        <f t="shared" si="9"/>
        <v>5</v>
      </c>
      <c r="B14" s="75" t="s">
        <v>676</v>
      </c>
      <c r="C14" s="76">
        <f>AG13</f>
        <v>861</v>
      </c>
      <c r="D14" s="76">
        <f>AG14</f>
        <v>833</v>
      </c>
      <c r="H14" s="50" t="s">
        <v>255</v>
      </c>
      <c r="K14" s="63">
        <f>SUM(K9:K12)</f>
        <v>7806.7</v>
      </c>
      <c r="N14" s="64">
        <f>SUM(K9:K12)</f>
        <v>7806.7</v>
      </c>
      <c r="O14" s="50" t="s">
        <v>255</v>
      </c>
      <c r="R14" s="64">
        <f>SUM(R9:R12)</f>
        <v>3146.875</v>
      </c>
      <c r="T14" s="51" t="s">
        <v>422</v>
      </c>
      <c r="U14" s="50" t="s">
        <v>423</v>
      </c>
      <c r="V14" s="50" t="s">
        <v>408</v>
      </c>
      <c r="W14" s="70" t="str">
        <f t="shared" si="0"/>
        <v>Kurunthamalai</v>
      </c>
      <c r="X14" s="64">
        <f>X11</f>
        <v>10</v>
      </c>
      <c r="Y14" s="64">
        <f>Y9</f>
        <v>51</v>
      </c>
      <c r="Z14" s="71">
        <v>1398</v>
      </c>
      <c r="AA14" s="64">
        <f>AA13</f>
        <v>104</v>
      </c>
      <c r="AB14" s="64">
        <f>AB9</f>
        <v>786.78</v>
      </c>
      <c r="AC14" s="51"/>
      <c r="AD14" s="55">
        <v>0</v>
      </c>
      <c r="AE14" s="50">
        <f t="shared" si="1"/>
        <v>2288.7799999999997</v>
      </c>
      <c r="AF14" s="50" t="s">
        <v>424</v>
      </c>
      <c r="AG14" s="72">
        <f t="shared" si="2"/>
        <v>833</v>
      </c>
      <c r="AH14" s="73">
        <v>595</v>
      </c>
      <c r="AI14" s="64">
        <f t="shared" si="3"/>
        <v>654.5</v>
      </c>
      <c r="AJ14" s="52">
        <f t="shared" si="4"/>
        <v>714</v>
      </c>
      <c r="AK14" s="52">
        <f t="shared" si="5"/>
        <v>892.5</v>
      </c>
      <c r="AL14" s="52">
        <f t="shared" si="6"/>
        <v>624.75</v>
      </c>
      <c r="AM14" s="52">
        <f t="shared" si="7"/>
        <v>743.75</v>
      </c>
      <c r="AN14" s="52">
        <f t="shared" si="8"/>
        <v>833</v>
      </c>
    </row>
    <row r="15" spans="1:40" ht="45" customHeight="1">
      <c r="A15" s="74">
        <f t="shared" si="9"/>
        <v>6</v>
      </c>
      <c r="B15" s="75" t="s">
        <v>677</v>
      </c>
      <c r="C15" s="76">
        <f>AG15</f>
        <v>933.8</v>
      </c>
      <c r="D15" s="75" t="s">
        <v>153</v>
      </c>
      <c r="K15" s="59" t="s">
        <v>21</v>
      </c>
      <c r="R15" s="59" t="s">
        <v>21</v>
      </c>
      <c r="T15" s="51" t="s">
        <v>425</v>
      </c>
      <c r="U15" s="50" t="s">
        <v>426</v>
      </c>
      <c r="V15" s="50" t="s">
        <v>408</v>
      </c>
      <c r="W15" s="70" t="str">
        <f t="shared" si="0"/>
        <v>Kurunthamalai</v>
      </c>
      <c r="X15" s="64">
        <f>X11</f>
        <v>10</v>
      </c>
      <c r="Y15" s="64">
        <f>Y9</f>
        <v>51</v>
      </c>
      <c r="Z15" s="71">
        <v>1004</v>
      </c>
      <c r="AA15" s="64">
        <f>AA14</f>
        <v>104</v>
      </c>
      <c r="AB15" s="64">
        <f>AB9</f>
        <v>786.78</v>
      </c>
      <c r="AC15" s="51"/>
      <c r="AD15" s="55">
        <v>0</v>
      </c>
      <c r="AE15" s="50">
        <f t="shared" si="1"/>
        <v>1894.78</v>
      </c>
      <c r="AF15" s="50" t="s">
        <v>427</v>
      </c>
      <c r="AG15" s="72">
        <f t="shared" si="2"/>
        <v>933.8</v>
      </c>
      <c r="AH15" s="73">
        <v>667</v>
      </c>
      <c r="AI15" s="64">
        <f t="shared" si="3"/>
        <v>733.7</v>
      </c>
      <c r="AJ15" s="52">
        <f t="shared" si="4"/>
        <v>800.4</v>
      </c>
      <c r="AK15" s="52">
        <f t="shared" si="5"/>
        <v>1000.5</v>
      </c>
      <c r="AL15" s="52">
        <f t="shared" si="6"/>
        <v>700.35</v>
      </c>
      <c r="AM15" s="52">
        <f t="shared" si="7"/>
        <v>833.75</v>
      </c>
      <c r="AN15" s="52">
        <f t="shared" si="8"/>
        <v>933.8</v>
      </c>
    </row>
    <row r="16" spans="1:40" ht="45" customHeight="1">
      <c r="A16" s="74">
        <f t="shared" si="9"/>
        <v>7</v>
      </c>
      <c r="B16" s="75" t="s">
        <v>678</v>
      </c>
      <c r="C16" s="76">
        <f>AG19</f>
        <v>1052.8</v>
      </c>
      <c r="D16" s="76">
        <f>AG20</f>
        <v>1005.1999999999999</v>
      </c>
      <c r="G16" s="62" t="s">
        <v>249</v>
      </c>
      <c r="H16" s="50" t="s">
        <v>256</v>
      </c>
      <c r="N16" s="50" t="s">
        <v>249</v>
      </c>
      <c r="O16" s="50" t="s">
        <v>679</v>
      </c>
      <c r="T16" s="51" t="s">
        <v>428</v>
      </c>
      <c r="U16" s="50" t="s">
        <v>680</v>
      </c>
      <c r="V16" s="50" t="s">
        <v>408</v>
      </c>
      <c r="W16" s="77" t="s">
        <v>429</v>
      </c>
      <c r="X16" s="64">
        <f>'[12]lead  charge'!D11</f>
        <v>4</v>
      </c>
      <c r="Y16" s="64">
        <f>'[12]lead  charge'!D50</f>
        <v>51</v>
      </c>
      <c r="Z16" s="78">
        <v>1250</v>
      </c>
      <c r="AA16" s="64">
        <f>'[12]lead  charge'!E11</f>
        <v>41.6</v>
      </c>
      <c r="AB16" s="64">
        <f>'[12]lead  charge'!E50</f>
        <v>825.30000000000007</v>
      </c>
      <c r="AC16" s="51"/>
      <c r="AD16" s="55">
        <v>0</v>
      </c>
      <c r="AE16" s="50">
        <f t="shared" si="1"/>
        <v>2116.9</v>
      </c>
      <c r="AF16" s="50" t="s">
        <v>430</v>
      </c>
      <c r="AG16" s="72">
        <f t="shared" si="2"/>
        <v>905.8</v>
      </c>
      <c r="AH16" s="73">
        <v>647</v>
      </c>
      <c r="AI16" s="64">
        <f t="shared" si="3"/>
        <v>711.7</v>
      </c>
      <c r="AJ16" s="52">
        <f t="shared" si="4"/>
        <v>776.4</v>
      </c>
      <c r="AK16" s="52">
        <f t="shared" si="5"/>
        <v>970.5</v>
      </c>
      <c r="AL16" s="52">
        <f t="shared" si="6"/>
        <v>679.35</v>
      </c>
      <c r="AM16" s="52">
        <f t="shared" si="7"/>
        <v>808.75</v>
      </c>
      <c r="AN16" s="52">
        <f t="shared" si="8"/>
        <v>905.8</v>
      </c>
    </row>
    <row r="17" spans="1:40" ht="45" customHeight="1">
      <c r="A17" s="74">
        <f t="shared" si="9"/>
        <v>8</v>
      </c>
      <c r="B17" s="75" t="s">
        <v>681</v>
      </c>
      <c r="C17" s="76">
        <f>AG17</f>
        <v>950.59999999999991</v>
      </c>
      <c r="D17" s="76">
        <f>AG18</f>
        <v>923.99999999999989</v>
      </c>
      <c r="H17" s="59" t="s">
        <v>21</v>
      </c>
      <c r="O17" s="50" t="s">
        <v>682</v>
      </c>
      <c r="T17" s="51" t="s">
        <v>431</v>
      </c>
      <c r="U17" s="50" t="s">
        <v>683</v>
      </c>
      <c r="V17" s="50" t="s">
        <v>408</v>
      </c>
      <c r="W17" s="79" t="str">
        <f>+W16</f>
        <v>Karamadai [Kannarpalayam]</v>
      </c>
      <c r="X17" s="64">
        <f>X16</f>
        <v>4</v>
      </c>
      <c r="Y17" s="64">
        <f>Y16</f>
        <v>51</v>
      </c>
      <c r="Z17" s="78">
        <f>Z16</f>
        <v>1250</v>
      </c>
      <c r="AA17" s="64">
        <f>AA16</f>
        <v>41.6</v>
      </c>
      <c r="AB17" s="64">
        <f>AB16</f>
        <v>825.30000000000007</v>
      </c>
      <c r="AC17" s="51"/>
      <c r="AD17" s="55">
        <v>0</v>
      </c>
      <c r="AE17" s="50">
        <f t="shared" si="1"/>
        <v>2116.9</v>
      </c>
      <c r="AF17" s="50" t="s">
        <v>432</v>
      </c>
      <c r="AG17" s="72">
        <f t="shared" si="2"/>
        <v>950.59999999999991</v>
      </c>
      <c r="AH17" s="73">
        <v>679</v>
      </c>
      <c r="AI17" s="64">
        <f t="shared" si="3"/>
        <v>746.90000000000009</v>
      </c>
      <c r="AJ17" s="52">
        <f t="shared" si="4"/>
        <v>814.8</v>
      </c>
      <c r="AK17" s="52">
        <f t="shared" si="5"/>
        <v>1018.5</v>
      </c>
      <c r="AL17" s="52">
        <f t="shared" si="6"/>
        <v>712.95</v>
      </c>
      <c r="AM17" s="52">
        <f t="shared" si="7"/>
        <v>848.75</v>
      </c>
      <c r="AN17" s="52">
        <f t="shared" si="8"/>
        <v>950.59999999999991</v>
      </c>
    </row>
    <row r="18" spans="1:40" ht="45" customHeight="1">
      <c r="A18" s="74">
        <f t="shared" si="9"/>
        <v>9</v>
      </c>
      <c r="B18" s="75" t="s">
        <v>684</v>
      </c>
      <c r="C18" s="76">
        <f>AG24</f>
        <v>121.8</v>
      </c>
      <c r="D18" s="75" t="s">
        <v>685</v>
      </c>
      <c r="F18" s="64">
        <v>0.72</v>
      </c>
      <c r="G18" s="62" t="s">
        <v>251</v>
      </c>
      <c r="H18" s="50" t="s">
        <v>252</v>
      </c>
      <c r="I18" s="64">
        <f>(C67)</f>
        <v>5800</v>
      </c>
      <c r="J18" s="50" t="s">
        <v>251</v>
      </c>
      <c r="K18" s="64">
        <f>(F18*I18)</f>
        <v>4176</v>
      </c>
      <c r="O18" s="50" t="s">
        <v>686</v>
      </c>
      <c r="T18" s="51" t="s">
        <v>433</v>
      </c>
      <c r="U18" s="50" t="s">
        <v>606</v>
      </c>
      <c r="V18" s="50" t="s">
        <v>434</v>
      </c>
      <c r="W18" s="70" t="s">
        <v>435</v>
      </c>
      <c r="X18" s="64">
        <f>'[12]lead  charge'!G10</f>
        <v>35</v>
      </c>
      <c r="Y18" s="64">
        <f>'[12]lead  charge'!G36</f>
        <v>51</v>
      </c>
      <c r="Z18" s="71">
        <v>5438</v>
      </c>
      <c r="AA18" s="64">
        <f>'[12]lead  charge'!H10</f>
        <v>259.64999999999998</v>
      </c>
      <c r="AB18" s="64">
        <f>'[12]lead  charge'!H36</f>
        <v>576.94000000000005</v>
      </c>
      <c r="AC18" s="51"/>
      <c r="AD18" s="55">
        <v>0</v>
      </c>
      <c r="AE18" s="50">
        <f t="shared" si="1"/>
        <v>6274.59</v>
      </c>
      <c r="AF18" s="50" t="s">
        <v>436</v>
      </c>
      <c r="AG18" s="72">
        <f t="shared" si="2"/>
        <v>923.99999999999989</v>
      </c>
      <c r="AH18" s="73">
        <v>660</v>
      </c>
      <c r="AI18" s="64">
        <f t="shared" si="3"/>
        <v>726.00000000000011</v>
      </c>
      <c r="AJ18" s="52">
        <f t="shared" si="4"/>
        <v>792</v>
      </c>
      <c r="AK18" s="52">
        <f t="shared" si="5"/>
        <v>990</v>
      </c>
      <c r="AL18" s="52">
        <f t="shared" si="6"/>
        <v>693</v>
      </c>
      <c r="AM18" s="52">
        <f t="shared" si="7"/>
        <v>825</v>
      </c>
      <c r="AN18" s="52">
        <f t="shared" si="8"/>
        <v>923.99999999999989</v>
      </c>
    </row>
    <row r="19" spans="1:40" ht="45" customHeight="1">
      <c r="A19" s="74">
        <f t="shared" si="9"/>
        <v>10</v>
      </c>
      <c r="B19" s="75" t="s">
        <v>687</v>
      </c>
      <c r="C19" s="71">
        <f t="shared" ref="C19:C24" si="10">AG41</f>
        <v>82.88</v>
      </c>
      <c r="D19" s="75" t="s">
        <v>151</v>
      </c>
      <c r="F19" s="64">
        <v>1</v>
      </c>
      <c r="G19" s="62" t="s">
        <v>151</v>
      </c>
      <c r="H19" s="50" t="s">
        <v>253</v>
      </c>
      <c r="I19" s="64">
        <f>I36</f>
        <v>2116.9</v>
      </c>
      <c r="J19" s="50" t="s">
        <v>151</v>
      </c>
      <c r="K19" s="64">
        <f>(F19*I19)</f>
        <v>2116.9</v>
      </c>
      <c r="O19" s="50" t="s">
        <v>688</v>
      </c>
      <c r="T19" s="51" t="s">
        <v>437</v>
      </c>
      <c r="U19" s="50" t="s">
        <v>607</v>
      </c>
      <c r="V19" s="50" t="s">
        <v>151</v>
      </c>
      <c r="W19" s="80" t="str">
        <f>W18</f>
        <v>Thadagam</v>
      </c>
      <c r="X19" s="64">
        <f>'[12]lead  charge'!P10</f>
        <v>35</v>
      </c>
      <c r="Y19" s="64">
        <f>'[12]lead  charge'!P36</f>
        <v>51</v>
      </c>
      <c r="Z19" s="71">
        <v>672</v>
      </c>
      <c r="AA19" s="81">
        <f>'[12]lead  charge'!Q10</f>
        <v>211.64999999999998</v>
      </c>
      <c r="AB19" s="81">
        <f>'[12]lead  charge'!Q36</f>
        <v>471.29999999999995</v>
      </c>
      <c r="AC19" s="51"/>
      <c r="AD19" s="55">
        <v>0</v>
      </c>
      <c r="AE19" s="50">
        <f t="shared" si="1"/>
        <v>1354.9499999999998</v>
      </c>
      <c r="AF19" s="50" t="s">
        <v>438</v>
      </c>
      <c r="AG19" s="72">
        <f t="shared" si="2"/>
        <v>1052.8</v>
      </c>
      <c r="AH19" s="73">
        <v>752</v>
      </c>
      <c r="AI19" s="64">
        <f t="shared" si="3"/>
        <v>827.2</v>
      </c>
      <c r="AJ19" s="52">
        <f t="shared" si="4"/>
        <v>902.4</v>
      </c>
      <c r="AK19" s="52">
        <f t="shared" si="5"/>
        <v>1128</v>
      </c>
      <c r="AL19" s="52">
        <f t="shared" si="6"/>
        <v>789.6</v>
      </c>
      <c r="AM19" s="52">
        <f t="shared" si="7"/>
        <v>940</v>
      </c>
      <c r="AN19" s="52">
        <f t="shared" si="8"/>
        <v>1052.8</v>
      </c>
    </row>
    <row r="20" spans="1:40" ht="45" customHeight="1">
      <c r="A20" s="74">
        <f t="shared" si="9"/>
        <v>11</v>
      </c>
      <c r="B20" s="75" t="s">
        <v>689</v>
      </c>
      <c r="C20" s="71">
        <f t="shared" si="10"/>
        <v>167.01999999999998</v>
      </c>
      <c r="D20" s="75" t="s">
        <v>151</v>
      </c>
      <c r="F20" s="64">
        <v>1</v>
      </c>
      <c r="G20" s="62" t="s">
        <v>151</v>
      </c>
      <c r="H20" s="50" t="s">
        <v>254</v>
      </c>
      <c r="I20" s="64">
        <f>(C18)</f>
        <v>121.8</v>
      </c>
      <c r="J20" s="50" t="s">
        <v>151</v>
      </c>
      <c r="K20" s="64">
        <f>(F20*I20)</f>
        <v>121.8</v>
      </c>
      <c r="O20" s="50" t="s">
        <v>690</v>
      </c>
      <c r="T20" s="51" t="s">
        <v>439</v>
      </c>
      <c r="U20" s="50" t="s">
        <v>440</v>
      </c>
      <c r="V20" s="50" t="s">
        <v>151</v>
      </c>
      <c r="W20" s="80" t="str">
        <f>W18</f>
        <v>Thadagam</v>
      </c>
      <c r="X20" s="64">
        <f>X19</f>
        <v>35</v>
      </c>
      <c r="Y20" s="64">
        <f>Y19</f>
        <v>51</v>
      </c>
      <c r="Z20" s="71">
        <v>749</v>
      </c>
      <c r="AA20" s="64">
        <f>AA19</f>
        <v>211.64999999999998</v>
      </c>
      <c r="AB20" s="64">
        <f>AB19</f>
        <v>471.29999999999995</v>
      </c>
      <c r="AC20" s="51"/>
      <c r="AD20" s="55">
        <v>0</v>
      </c>
      <c r="AE20" s="50">
        <f t="shared" si="1"/>
        <v>1431.9499999999998</v>
      </c>
      <c r="AF20" s="50" t="s">
        <v>441</v>
      </c>
      <c r="AG20" s="72">
        <f t="shared" si="2"/>
        <v>1005.1999999999999</v>
      </c>
      <c r="AH20" s="73">
        <v>718</v>
      </c>
      <c r="AI20" s="64">
        <f t="shared" si="3"/>
        <v>789.80000000000007</v>
      </c>
      <c r="AJ20" s="52">
        <f t="shared" si="4"/>
        <v>861.6</v>
      </c>
      <c r="AK20" s="52">
        <f t="shared" si="5"/>
        <v>1077</v>
      </c>
      <c r="AL20" s="52">
        <f t="shared" si="6"/>
        <v>753.9</v>
      </c>
      <c r="AM20" s="52">
        <f t="shared" si="7"/>
        <v>897.5</v>
      </c>
      <c r="AN20" s="52">
        <f t="shared" si="8"/>
        <v>1005.1999999999999</v>
      </c>
    </row>
    <row r="21" spans="1:40" ht="45" customHeight="1">
      <c r="A21" s="74">
        <f t="shared" si="9"/>
        <v>12</v>
      </c>
      <c r="B21" s="75" t="s">
        <v>691</v>
      </c>
      <c r="C21" s="71">
        <f t="shared" si="10"/>
        <v>167.01999999999998</v>
      </c>
      <c r="D21" s="75" t="s">
        <v>151</v>
      </c>
      <c r="G21" s="62" t="s">
        <v>226</v>
      </c>
      <c r="H21" s="50" t="s">
        <v>237</v>
      </c>
      <c r="I21" s="50" t="s">
        <v>150</v>
      </c>
      <c r="J21" s="50" t="s">
        <v>226</v>
      </c>
      <c r="K21" s="64">
        <v>0</v>
      </c>
      <c r="O21" s="59" t="s">
        <v>21</v>
      </c>
      <c r="T21" s="51" t="s">
        <v>442</v>
      </c>
      <c r="U21" s="50" t="s">
        <v>608</v>
      </c>
      <c r="V21" s="50" t="s">
        <v>434</v>
      </c>
      <c r="W21" s="70" t="s">
        <v>443</v>
      </c>
      <c r="X21" s="64">
        <f>'[12]lead  charge'!J12</f>
        <v>0</v>
      </c>
      <c r="Y21" s="64"/>
      <c r="Z21" s="71">
        <v>16106</v>
      </c>
      <c r="AA21" s="64">
        <f>'[12]lead  charge'!K11</f>
        <v>0</v>
      </c>
      <c r="AB21" s="64"/>
      <c r="AC21" s="51"/>
      <c r="AD21" s="55">
        <v>0</v>
      </c>
      <c r="AE21" s="50">
        <f t="shared" si="1"/>
        <v>16106</v>
      </c>
      <c r="AF21" s="50" t="s">
        <v>444</v>
      </c>
      <c r="AG21" s="72">
        <f t="shared" si="2"/>
        <v>827.4</v>
      </c>
      <c r="AH21" s="73">
        <v>591</v>
      </c>
      <c r="AI21" s="64">
        <f t="shared" si="3"/>
        <v>650.1</v>
      </c>
      <c r="AJ21" s="52">
        <f t="shared" si="4"/>
        <v>709.19999999999993</v>
      </c>
      <c r="AK21" s="52">
        <f t="shared" si="5"/>
        <v>886.5</v>
      </c>
      <c r="AL21" s="52">
        <f t="shared" si="6"/>
        <v>620.55000000000007</v>
      </c>
      <c r="AM21" s="52">
        <f t="shared" si="7"/>
        <v>738.75</v>
      </c>
      <c r="AN21" s="52">
        <f t="shared" si="8"/>
        <v>827.4</v>
      </c>
    </row>
    <row r="22" spans="1:40" ht="45" customHeight="1">
      <c r="A22" s="74">
        <f t="shared" si="9"/>
        <v>13</v>
      </c>
      <c r="B22" s="75" t="s">
        <v>692</v>
      </c>
      <c r="C22" s="71">
        <f t="shared" si="10"/>
        <v>125.86</v>
      </c>
      <c r="D22" s="75" t="s">
        <v>151</v>
      </c>
      <c r="K22" s="59" t="s">
        <v>21</v>
      </c>
      <c r="M22" s="64">
        <v>1</v>
      </c>
      <c r="N22" s="50" t="s">
        <v>151</v>
      </c>
      <c r="O22" s="50" t="s">
        <v>693</v>
      </c>
      <c r="P22" s="64">
        <f>C79</f>
        <v>2116.9</v>
      </c>
      <c r="Q22" s="50" t="s">
        <v>151</v>
      </c>
      <c r="R22" s="64">
        <f>(M22*P22)</f>
        <v>2116.9</v>
      </c>
      <c r="T22" s="51" t="s">
        <v>445</v>
      </c>
      <c r="U22" s="50" t="s">
        <v>609</v>
      </c>
      <c r="V22" s="50" t="s">
        <v>408</v>
      </c>
      <c r="W22" s="70" t="s">
        <v>443</v>
      </c>
      <c r="X22" s="64"/>
      <c r="Y22" s="64"/>
      <c r="Z22" s="71">
        <v>1297</v>
      </c>
      <c r="AA22" s="64"/>
      <c r="AB22" s="64"/>
      <c r="AC22" s="51"/>
      <c r="AD22" s="55">
        <v>0</v>
      </c>
      <c r="AE22" s="50">
        <f t="shared" si="1"/>
        <v>1297</v>
      </c>
      <c r="AF22" s="50" t="s">
        <v>446</v>
      </c>
      <c r="AG22" s="72">
        <f t="shared" si="2"/>
        <v>796.59999999999991</v>
      </c>
      <c r="AH22" s="73">
        <v>569</v>
      </c>
      <c r="AI22" s="64">
        <f t="shared" si="3"/>
        <v>625.90000000000009</v>
      </c>
      <c r="AJ22" s="52">
        <f t="shared" si="4"/>
        <v>682.8</v>
      </c>
      <c r="AK22" s="52">
        <f t="shared" si="5"/>
        <v>853.5</v>
      </c>
      <c r="AL22" s="52">
        <f t="shared" si="6"/>
        <v>597.45000000000005</v>
      </c>
      <c r="AM22" s="52">
        <f t="shared" si="7"/>
        <v>711.25</v>
      </c>
      <c r="AN22" s="52">
        <f t="shared" si="8"/>
        <v>796.59999999999991</v>
      </c>
    </row>
    <row r="23" spans="1:40" ht="45" customHeight="1">
      <c r="A23" s="74">
        <f t="shared" si="9"/>
        <v>14</v>
      </c>
      <c r="B23" s="75" t="s">
        <v>694</v>
      </c>
      <c r="C23" s="71">
        <f t="shared" si="10"/>
        <v>247.79999999999998</v>
      </c>
      <c r="D23" s="75" t="s">
        <v>151</v>
      </c>
      <c r="H23" s="50" t="s">
        <v>255</v>
      </c>
      <c r="K23" s="63">
        <f>SUM(K18:K21)</f>
        <v>6414.7</v>
      </c>
      <c r="M23" s="64">
        <v>1</v>
      </c>
      <c r="N23" s="50" t="s">
        <v>151</v>
      </c>
      <c r="O23" s="50" t="s">
        <v>695</v>
      </c>
      <c r="P23" s="64">
        <f>C85</f>
        <v>1637.95</v>
      </c>
      <c r="Q23" s="50" t="s">
        <v>151</v>
      </c>
      <c r="R23" s="64">
        <f>(M23*P23)</f>
        <v>1637.95</v>
      </c>
      <c r="T23" s="51" t="s">
        <v>447</v>
      </c>
      <c r="U23" s="50" t="s">
        <v>610</v>
      </c>
      <c r="V23" s="50" t="s">
        <v>408</v>
      </c>
      <c r="W23" s="70" t="s">
        <v>435</v>
      </c>
      <c r="X23" s="64">
        <f>X19</f>
        <v>35</v>
      </c>
      <c r="Y23" s="64">
        <f>Y19</f>
        <v>51</v>
      </c>
      <c r="Z23" s="71">
        <v>955</v>
      </c>
      <c r="AA23" s="64">
        <f>AA20</f>
        <v>211.64999999999998</v>
      </c>
      <c r="AB23" s="64">
        <f>AB19</f>
        <v>471.29999999999995</v>
      </c>
      <c r="AC23" s="51"/>
      <c r="AD23" s="55">
        <v>0</v>
      </c>
      <c r="AE23" s="50">
        <f t="shared" si="1"/>
        <v>1637.95</v>
      </c>
      <c r="AF23" s="50" t="s">
        <v>448</v>
      </c>
      <c r="AG23" s="72">
        <f t="shared" si="2"/>
        <v>828.8</v>
      </c>
      <c r="AH23" s="73">
        <v>592</v>
      </c>
      <c r="AI23" s="64">
        <f t="shared" si="3"/>
        <v>651.20000000000005</v>
      </c>
      <c r="AJ23" s="52">
        <f t="shared" si="4"/>
        <v>710.4</v>
      </c>
      <c r="AK23" s="52">
        <f t="shared" si="5"/>
        <v>888</v>
      </c>
      <c r="AL23" s="52">
        <f t="shared" si="6"/>
        <v>621.6</v>
      </c>
      <c r="AM23" s="52">
        <f t="shared" si="7"/>
        <v>740</v>
      </c>
      <c r="AN23" s="52">
        <f t="shared" si="8"/>
        <v>828.8</v>
      </c>
    </row>
    <row r="24" spans="1:40" ht="45" customHeight="1">
      <c r="A24" s="74">
        <f t="shared" si="9"/>
        <v>15</v>
      </c>
      <c r="B24" s="75" t="s">
        <v>696</v>
      </c>
      <c r="C24" s="71">
        <f t="shared" si="10"/>
        <v>247.79999999999998</v>
      </c>
      <c r="D24" s="75" t="s">
        <v>151</v>
      </c>
      <c r="K24" s="59" t="s">
        <v>21</v>
      </c>
      <c r="M24" s="64">
        <v>1.5</v>
      </c>
      <c r="N24" s="50" t="s">
        <v>151</v>
      </c>
      <c r="O24" s="50" t="s">
        <v>697</v>
      </c>
      <c r="P24" s="64">
        <f>C18</f>
        <v>121.8</v>
      </c>
      <c r="Q24" s="50" t="s">
        <v>151</v>
      </c>
      <c r="R24" s="64">
        <f>(M24*P24)</f>
        <v>182.7</v>
      </c>
      <c r="T24" s="51" t="s">
        <v>449</v>
      </c>
      <c r="U24" s="50" t="s">
        <v>611</v>
      </c>
      <c r="V24" s="50" t="s">
        <v>408</v>
      </c>
      <c r="W24" s="70" t="s">
        <v>450</v>
      </c>
      <c r="X24" s="52">
        <f>X25</f>
        <v>0</v>
      </c>
      <c r="Z24" s="71">
        <v>34300</v>
      </c>
      <c r="AA24" s="52">
        <f>AA25</f>
        <v>0</v>
      </c>
      <c r="AC24" s="57"/>
      <c r="AD24" s="55">
        <v>0</v>
      </c>
      <c r="AE24" s="50">
        <f t="shared" si="1"/>
        <v>34300</v>
      </c>
      <c r="AF24" s="50" t="s">
        <v>612</v>
      </c>
      <c r="AG24" s="72">
        <f t="shared" si="2"/>
        <v>121.8</v>
      </c>
      <c r="AH24" s="82">
        <v>87</v>
      </c>
      <c r="AI24" s="64">
        <f t="shared" si="3"/>
        <v>95.7</v>
      </c>
      <c r="AJ24" s="52">
        <f t="shared" si="4"/>
        <v>104.39999999999999</v>
      </c>
      <c r="AK24" s="52">
        <f t="shared" si="5"/>
        <v>130.5</v>
      </c>
      <c r="AL24" s="52">
        <f t="shared" si="6"/>
        <v>91.350000000000009</v>
      </c>
      <c r="AM24" s="52">
        <f t="shared" si="7"/>
        <v>108.75</v>
      </c>
      <c r="AN24" s="52">
        <f t="shared" si="8"/>
        <v>121.8</v>
      </c>
    </row>
    <row r="25" spans="1:40" ht="45" customHeight="1">
      <c r="A25" s="74">
        <f t="shared" si="9"/>
        <v>16</v>
      </c>
      <c r="B25" s="75" t="s">
        <v>698</v>
      </c>
      <c r="C25" s="76">
        <f>AG25</f>
        <v>98.98</v>
      </c>
      <c r="D25" s="75" t="s">
        <v>151</v>
      </c>
      <c r="G25" s="62" t="s">
        <v>249</v>
      </c>
      <c r="H25" s="50" t="s">
        <v>257</v>
      </c>
      <c r="M25" s="64">
        <v>1.5</v>
      </c>
      <c r="N25" s="50" t="s">
        <v>151</v>
      </c>
      <c r="O25" s="50" t="s">
        <v>377</v>
      </c>
      <c r="P25" s="64">
        <f>C27</f>
        <v>35.979999999999997</v>
      </c>
      <c r="Q25" s="50" t="s">
        <v>151</v>
      </c>
      <c r="R25" s="64">
        <f>(M25*P25)</f>
        <v>53.97</v>
      </c>
      <c r="T25" s="51" t="s">
        <v>451</v>
      </c>
      <c r="U25" s="83" t="s">
        <v>452</v>
      </c>
      <c r="V25" s="50" t="s">
        <v>408</v>
      </c>
      <c r="W25" s="70" t="s">
        <v>450</v>
      </c>
      <c r="X25" s="52">
        <f>'[12]lead  charge'!P12</f>
        <v>0</v>
      </c>
      <c r="Z25" s="71">
        <v>39400</v>
      </c>
      <c r="AA25" s="52">
        <f>'[12]lead  charge'!Q12</f>
        <v>0</v>
      </c>
      <c r="AC25" s="57"/>
      <c r="AD25" s="55">
        <v>0</v>
      </c>
      <c r="AE25" s="50">
        <f t="shared" si="1"/>
        <v>39400</v>
      </c>
      <c r="AF25" s="50" t="s">
        <v>613</v>
      </c>
      <c r="AG25" s="72">
        <f t="shared" si="2"/>
        <v>98.98</v>
      </c>
      <c r="AH25" s="82">
        <v>70.7</v>
      </c>
      <c r="AI25" s="64">
        <f t="shared" si="3"/>
        <v>77.77000000000001</v>
      </c>
      <c r="AJ25" s="52">
        <f t="shared" si="4"/>
        <v>84.84</v>
      </c>
      <c r="AK25" s="52">
        <f t="shared" si="5"/>
        <v>106.05000000000001</v>
      </c>
      <c r="AL25" s="52">
        <f t="shared" si="6"/>
        <v>74.234999999999999</v>
      </c>
      <c r="AM25" s="52">
        <f t="shared" si="7"/>
        <v>88.375</v>
      </c>
      <c r="AN25" s="52">
        <f t="shared" si="8"/>
        <v>98.98</v>
      </c>
    </row>
    <row r="26" spans="1:40" ht="45" customHeight="1">
      <c r="A26" s="74">
        <f t="shared" si="9"/>
        <v>17</v>
      </c>
      <c r="B26" s="75" t="s">
        <v>699</v>
      </c>
      <c r="C26" s="76">
        <f>AG28</f>
        <v>41.019999999999996</v>
      </c>
      <c r="D26" s="75" t="s">
        <v>700</v>
      </c>
      <c r="E26" s="52">
        <f>(65.8+87.9+100.7)/3</f>
        <v>84.8</v>
      </c>
      <c r="H26" s="59" t="s">
        <v>21</v>
      </c>
      <c r="N26" s="50" t="s">
        <v>226</v>
      </c>
      <c r="O26" s="50" t="s">
        <v>237</v>
      </c>
      <c r="P26" s="50" t="s">
        <v>150</v>
      </c>
      <c r="Q26" s="50" t="s">
        <v>226</v>
      </c>
      <c r="R26" s="64">
        <v>0</v>
      </c>
      <c r="T26" s="51" t="s">
        <v>453</v>
      </c>
      <c r="U26" s="50" t="s">
        <v>614</v>
      </c>
      <c r="V26" s="50" t="s">
        <v>408</v>
      </c>
      <c r="W26" s="70" t="s">
        <v>450</v>
      </c>
      <c r="X26" s="52">
        <f>X25</f>
        <v>0</v>
      </c>
      <c r="Z26" s="71">
        <v>111600</v>
      </c>
      <c r="AA26" s="52">
        <f>'[12]lead  charge'!Q12</f>
        <v>0</v>
      </c>
      <c r="AC26" s="57"/>
      <c r="AD26" s="55">
        <v>0</v>
      </c>
      <c r="AE26" s="50">
        <f t="shared" si="1"/>
        <v>111600</v>
      </c>
      <c r="AF26" s="50" t="s">
        <v>454</v>
      </c>
      <c r="AG26" s="72">
        <f t="shared" si="2"/>
        <v>73.36</v>
      </c>
      <c r="AH26" s="82">
        <v>52.4</v>
      </c>
      <c r="AI26" s="64">
        <f t="shared" si="3"/>
        <v>57.64</v>
      </c>
      <c r="AJ26" s="52">
        <f t="shared" si="4"/>
        <v>62.879999999999995</v>
      </c>
      <c r="AK26" s="52">
        <f t="shared" si="5"/>
        <v>78.599999999999994</v>
      </c>
      <c r="AL26" s="52">
        <f t="shared" si="6"/>
        <v>55.02</v>
      </c>
      <c r="AM26" s="52">
        <f t="shared" si="7"/>
        <v>65.5</v>
      </c>
      <c r="AN26" s="52">
        <f t="shared" si="8"/>
        <v>73.36</v>
      </c>
    </row>
    <row r="27" spans="1:40" ht="45" customHeight="1">
      <c r="A27" s="74">
        <f t="shared" si="9"/>
        <v>18</v>
      </c>
      <c r="B27" s="75" t="s">
        <v>701</v>
      </c>
      <c r="C27" s="76">
        <f>AG27</f>
        <v>35.979999999999997</v>
      </c>
      <c r="D27" s="75" t="s">
        <v>700</v>
      </c>
      <c r="E27" s="52">
        <f>(59.3+83+95)/3</f>
        <v>79.100000000000009</v>
      </c>
      <c r="F27" s="64">
        <v>0.48</v>
      </c>
      <c r="G27" s="62" t="s">
        <v>251</v>
      </c>
      <c r="H27" s="50" t="s">
        <v>252</v>
      </c>
      <c r="I27" s="64">
        <f>(C67)</f>
        <v>5800</v>
      </c>
      <c r="J27" s="50" t="s">
        <v>251</v>
      </c>
      <c r="K27" s="64">
        <f>(F27*I27)</f>
        <v>2784</v>
      </c>
      <c r="R27" s="59" t="s">
        <v>21</v>
      </c>
      <c r="T27" s="51" t="s">
        <v>455</v>
      </c>
      <c r="U27" s="50" t="s">
        <v>615</v>
      </c>
      <c r="V27" s="50" t="s">
        <v>408</v>
      </c>
      <c r="W27" s="70" t="s">
        <v>450</v>
      </c>
      <c r="X27" s="52">
        <f>X26</f>
        <v>0</v>
      </c>
      <c r="Z27" s="71">
        <v>99400</v>
      </c>
      <c r="AA27" s="52">
        <f>AA26</f>
        <v>0</v>
      </c>
      <c r="AC27" s="57"/>
      <c r="AD27" s="55">
        <v>0</v>
      </c>
      <c r="AE27" s="50">
        <f t="shared" si="1"/>
        <v>99400</v>
      </c>
      <c r="AF27" s="50" t="s">
        <v>616</v>
      </c>
      <c r="AG27" s="72">
        <f t="shared" si="2"/>
        <v>35.979999999999997</v>
      </c>
      <c r="AH27" s="73">
        <v>25.7</v>
      </c>
      <c r="AI27" s="64">
        <f t="shared" si="3"/>
        <v>28.270000000000003</v>
      </c>
      <c r="AJ27" s="52">
        <f t="shared" si="4"/>
        <v>30.839999999999996</v>
      </c>
      <c r="AK27" s="52">
        <f t="shared" si="5"/>
        <v>38.549999999999997</v>
      </c>
      <c r="AL27" s="52">
        <f t="shared" si="6"/>
        <v>26.984999999999999</v>
      </c>
      <c r="AM27" s="52">
        <f t="shared" si="7"/>
        <v>32.125</v>
      </c>
      <c r="AN27" s="52">
        <f t="shared" si="8"/>
        <v>35.979999999999997</v>
      </c>
    </row>
    <row r="28" spans="1:40" ht="45" customHeight="1">
      <c r="A28" s="74">
        <f t="shared" si="9"/>
        <v>19</v>
      </c>
      <c r="B28" s="75" t="s">
        <v>702</v>
      </c>
      <c r="C28" s="84">
        <v>84.8</v>
      </c>
      <c r="D28" s="75" t="s">
        <v>226</v>
      </c>
      <c r="E28" s="52">
        <v>226.12</v>
      </c>
      <c r="F28" s="64">
        <v>1</v>
      </c>
      <c r="G28" s="62" t="s">
        <v>151</v>
      </c>
      <c r="H28" s="50" t="s">
        <v>253</v>
      </c>
      <c r="I28" s="64">
        <f>(C78)</f>
        <v>2116.9</v>
      </c>
      <c r="J28" s="50" t="s">
        <v>151</v>
      </c>
      <c r="K28" s="64">
        <f>(F28*I28)</f>
        <v>2116.9</v>
      </c>
      <c r="O28" s="50" t="s">
        <v>703</v>
      </c>
      <c r="R28" s="64">
        <f>SUM(R22:R26)</f>
        <v>3991.52</v>
      </c>
      <c r="T28" s="51" t="s">
        <v>456</v>
      </c>
      <c r="U28" s="50" t="s">
        <v>617</v>
      </c>
      <c r="V28" s="50" t="s">
        <v>408</v>
      </c>
      <c r="W28" s="70" t="s">
        <v>450</v>
      </c>
      <c r="X28" s="52">
        <f>X27</f>
        <v>0</v>
      </c>
      <c r="Z28" s="71">
        <v>95000</v>
      </c>
      <c r="AA28" s="52">
        <f>AA27</f>
        <v>0</v>
      </c>
      <c r="AC28" s="57"/>
      <c r="AD28" s="55">
        <v>0</v>
      </c>
      <c r="AE28" s="50">
        <f t="shared" si="1"/>
        <v>95000</v>
      </c>
      <c r="AF28" s="50" t="s">
        <v>618</v>
      </c>
      <c r="AG28" s="72">
        <f t="shared" si="2"/>
        <v>41.019999999999996</v>
      </c>
      <c r="AH28" s="73">
        <v>29.3</v>
      </c>
      <c r="AI28" s="64">
        <f t="shared" si="3"/>
        <v>32.230000000000004</v>
      </c>
      <c r="AJ28" s="52">
        <f t="shared" si="4"/>
        <v>35.159999999999997</v>
      </c>
      <c r="AK28" s="52">
        <f t="shared" si="5"/>
        <v>43.95</v>
      </c>
      <c r="AL28" s="52">
        <f t="shared" si="6"/>
        <v>30.765000000000001</v>
      </c>
      <c r="AM28" s="52">
        <f t="shared" si="7"/>
        <v>36.625</v>
      </c>
      <c r="AN28" s="52">
        <f t="shared" si="8"/>
        <v>41.019999999999996</v>
      </c>
    </row>
    <row r="29" spans="1:40" ht="45" customHeight="1">
      <c r="A29" s="74">
        <f t="shared" si="9"/>
        <v>20</v>
      </c>
      <c r="B29" s="75" t="s">
        <v>704</v>
      </c>
      <c r="C29" s="76">
        <f>AG23</f>
        <v>828.8</v>
      </c>
      <c r="D29" s="75" t="s">
        <v>4</v>
      </c>
      <c r="E29" s="52">
        <f>E28/3</f>
        <v>75.373333333333335</v>
      </c>
      <c r="F29" s="64">
        <v>1</v>
      </c>
      <c r="G29" s="62" t="s">
        <v>151</v>
      </c>
      <c r="H29" s="50" t="s">
        <v>254</v>
      </c>
      <c r="I29" s="64">
        <f>(C18)</f>
        <v>121.8</v>
      </c>
      <c r="J29" s="50" t="s">
        <v>151</v>
      </c>
      <c r="K29" s="64">
        <f>(F29*I29)</f>
        <v>121.8</v>
      </c>
      <c r="R29" s="59" t="s">
        <v>21</v>
      </c>
      <c r="T29" s="51" t="s">
        <v>457</v>
      </c>
      <c r="U29" s="50" t="s">
        <v>619</v>
      </c>
      <c r="V29" s="50" t="s">
        <v>434</v>
      </c>
      <c r="W29" s="85" t="str">
        <f>W18</f>
        <v>Thadagam</v>
      </c>
      <c r="X29" s="64">
        <f>X18</f>
        <v>35</v>
      </c>
      <c r="Y29" s="64">
        <f>Y18</f>
        <v>51</v>
      </c>
      <c r="Z29" s="71">
        <v>4095</v>
      </c>
      <c r="AA29" s="64">
        <f>'[12]lead  charge'!H10</f>
        <v>259.64999999999998</v>
      </c>
      <c r="AB29" s="64">
        <f>AB18</f>
        <v>576.94000000000005</v>
      </c>
      <c r="AC29" s="57"/>
      <c r="AD29" s="55">
        <v>0</v>
      </c>
      <c r="AE29" s="50">
        <f t="shared" si="1"/>
        <v>4931.59</v>
      </c>
      <c r="AF29" s="50" t="s">
        <v>620</v>
      </c>
      <c r="AG29" s="72">
        <f t="shared" si="2"/>
        <v>117.6</v>
      </c>
      <c r="AH29" s="73">
        <v>84</v>
      </c>
      <c r="AI29" s="64">
        <f t="shared" si="3"/>
        <v>92.4</v>
      </c>
      <c r="AJ29" s="52">
        <f t="shared" si="4"/>
        <v>100.8</v>
      </c>
      <c r="AK29" s="52">
        <f t="shared" si="5"/>
        <v>126</v>
      </c>
      <c r="AL29" s="52">
        <f t="shared" si="6"/>
        <v>88.2</v>
      </c>
      <c r="AM29" s="52">
        <f t="shared" si="7"/>
        <v>105</v>
      </c>
      <c r="AN29" s="52">
        <f t="shared" si="8"/>
        <v>117.6</v>
      </c>
    </row>
    <row r="30" spans="1:40" ht="45" customHeight="1">
      <c r="A30" s="74">
        <f t="shared" si="9"/>
        <v>21</v>
      </c>
      <c r="B30" s="75" t="s">
        <v>705</v>
      </c>
      <c r="C30" s="76">
        <f>AG33</f>
        <v>14384.999999999998</v>
      </c>
      <c r="D30" s="86">
        <f>AG31</f>
        <v>1348.1999999999998</v>
      </c>
      <c r="G30" s="62" t="s">
        <v>226</v>
      </c>
      <c r="H30" s="50" t="s">
        <v>237</v>
      </c>
      <c r="I30" s="50" t="s">
        <v>150</v>
      </c>
      <c r="J30" s="50" t="s">
        <v>226</v>
      </c>
      <c r="K30" s="64">
        <v>0</v>
      </c>
      <c r="O30" s="50" t="s">
        <v>270</v>
      </c>
      <c r="R30" s="64">
        <f>(R28/1.5)</f>
        <v>2661.0133333333333</v>
      </c>
      <c r="T30" s="51" t="s">
        <v>458</v>
      </c>
      <c r="U30" s="50" t="s">
        <v>621</v>
      </c>
      <c r="V30" s="50" t="s">
        <v>434</v>
      </c>
      <c r="W30" s="70" t="s">
        <v>450</v>
      </c>
      <c r="X30" s="64"/>
      <c r="Y30" s="64"/>
      <c r="Z30" s="71">
        <v>11559</v>
      </c>
      <c r="AA30" s="64"/>
      <c r="AB30" s="64"/>
      <c r="AC30" s="51"/>
      <c r="AD30" s="55">
        <v>0</v>
      </c>
      <c r="AE30" s="50">
        <f t="shared" si="1"/>
        <v>11559</v>
      </c>
      <c r="AF30" s="50" t="s">
        <v>622</v>
      </c>
      <c r="AG30" s="72">
        <f t="shared" si="2"/>
        <v>1617</v>
      </c>
      <c r="AH30" s="82">
        <v>1155</v>
      </c>
      <c r="AI30" s="64">
        <f t="shared" si="3"/>
        <v>1270.5</v>
      </c>
      <c r="AJ30" s="52">
        <f t="shared" si="4"/>
        <v>1386</v>
      </c>
      <c r="AK30" s="52">
        <f t="shared" si="5"/>
        <v>1732.5</v>
      </c>
      <c r="AL30" s="52">
        <f t="shared" si="6"/>
        <v>1212.75</v>
      </c>
      <c r="AM30" s="52">
        <f t="shared" si="7"/>
        <v>1443.75</v>
      </c>
      <c r="AN30" s="52">
        <f t="shared" si="8"/>
        <v>1617</v>
      </c>
    </row>
    <row r="31" spans="1:40" ht="45" customHeight="1">
      <c r="A31" s="74">
        <f t="shared" si="9"/>
        <v>22</v>
      </c>
      <c r="B31" s="75" t="s">
        <v>706</v>
      </c>
      <c r="C31" s="76">
        <f>AG30</f>
        <v>1617</v>
      </c>
      <c r="D31" s="86">
        <f>AG32</f>
        <v>1509.1999999999998</v>
      </c>
      <c r="K31" s="59" t="s">
        <v>21</v>
      </c>
      <c r="O31" s="50" t="s">
        <v>646</v>
      </c>
      <c r="R31" s="59" t="s">
        <v>156</v>
      </c>
      <c r="T31" s="51" t="s">
        <v>459</v>
      </c>
      <c r="U31" s="50" t="s">
        <v>460</v>
      </c>
      <c r="V31" s="50" t="s">
        <v>251</v>
      </c>
      <c r="W31" s="70" t="s">
        <v>450</v>
      </c>
      <c r="X31" s="64">
        <f>'[12]lead  charge'!D14</f>
        <v>0</v>
      </c>
      <c r="Y31" s="64"/>
      <c r="Z31" s="71">
        <v>5800</v>
      </c>
      <c r="AA31" s="64">
        <f>'[12]lead  charge'!E14</f>
        <v>0</v>
      </c>
      <c r="AB31" s="64"/>
      <c r="AC31" s="51"/>
      <c r="AD31" s="55"/>
      <c r="AE31" s="50">
        <f t="shared" si="1"/>
        <v>5800</v>
      </c>
      <c r="AF31" s="50" t="s">
        <v>623</v>
      </c>
      <c r="AG31" s="72">
        <f t="shared" si="2"/>
        <v>1348.1999999999998</v>
      </c>
      <c r="AH31" s="82">
        <v>963</v>
      </c>
      <c r="AI31" s="64">
        <f t="shared" si="3"/>
        <v>1059.3000000000002</v>
      </c>
      <c r="AJ31" s="52">
        <f t="shared" si="4"/>
        <v>1155.5999999999999</v>
      </c>
      <c r="AK31" s="52">
        <f t="shared" si="5"/>
        <v>1444.5</v>
      </c>
      <c r="AL31" s="52">
        <f t="shared" si="6"/>
        <v>1011.1500000000001</v>
      </c>
      <c r="AM31" s="52">
        <f t="shared" si="7"/>
        <v>1203.75</v>
      </c>
      <c r="AN31" s="52">
        <f t="shared" si="8"/>
        <v>1348.1999999999998</v>
      </c>
    </row>
    <row r="32" spans="1:40" ht="45" customHeight="1">
      <c r="A32" s="74">
        <f t="shared" si="9"/>
        <v>23</v>
      </c>
      <c r="B32" s="75" t="s">
        <v>707</v>
      </c>
      <c r="C32" s="87">
        <v>2.5</v>
      </c>
      <c r="D32" s="76">
        <f>AG34</f>
        <v>1261.3999999999999</v>
      </c>
      <c r="H32" s="50" t="s">
        <v>255</v>
      </c>
      <c r="K32" s="63">
        <f>SUM(K27:K30)</f>
        <v>5022.7</v>
      </c>
      <c r="T32" s="51" t="s">
        <v>461</v>
      </c>
      <c r="U32" s="50" t="s">
        <v>462</v>
      </c>
      <c r="V32" s="50" t="s">
        <v>251</v>
      </c>
      <c r="W32" s="70" t="s">
        <v>443</v>
      </c>
      <c r="X32" s="64">
        <f>'[12]lead  charge'!D15</f>
        <v>0</v>
      </c>
      <c r="Y32" s="64"/>
      <c r="Z32" s="71">
        <v>45000</v>
      </c>
      <c r="AA32" s="64">
        <f>AA31</f>
        <v>0</v>
      </c>
      <c r="AB32" s="64"/>
      <c r="AC32" s="51"/>
      <c r="AD32" s="55">
        <v>0</v>
      </c>
      <c r="AE32" s="50">
        <f t="shared" si="1"/>
        <v>45000</v>
      </c>
      <c r="AF32" s="50" t="s">
        <v>624</v>
      </c>
      <c r="AG32" s="72">
        <f t="shared" si="2"/>
        <v>1509.1999999999998</v>
      </c>
      <c r="AH32" s="82">
        <v>1078</v>
      </c>
      <c r="AI32" s="64">
        <f t="shared" si="3"/>
        <v>1185.8000000000002</v>
      </c>
      <c r="AJ32" s="52">
        <f t="shared" si="4"/>
        <v>1293.5999999999999</v>
      </c>
      <c r="AK32" s="52">
        <f t="shared" si="5"/>
        <v>1617</v>
      </c>
      <c r="AL32" s="52">
        <f t="shared" si="6"/>
        <v>1131.9000000000001</v>
      </c>
      <c r="AM32" s="52">
        <f t="shared" si="7"/>
        <v>1347.5</v>
      </c>
      <c r="AN32" s="52">
        <f t="shared" si="8"/>
        <v>1509.1999999999998</v>
      </c>
    </row>
    <row r="33" spans="1:40" ht="45" customHeight="1">
      <c r="A33" s="74">
        <f t="shared" si="9"/>
        <v>24</v>
      </c>
      <c r="B33" s="75" t="s">
        <v>708</v>
      </c>
      <c r="C33" s="87">
        <v>3.64</v>
      </c>
      <c r="D33" s="76">
        <f>AG35</f>
        <v>1127</v>
      </c>
      <c r="K33" s="59" t="s">
        <v>21</v>
      </c>
      <c r="T33" s="88" t="s">
        <v>463</v>
      </c>
      <c r="U33" s="50" t="s">
        <v>464</v>
      </c>
      <c r="V33" s="50" t="s">
        <v>251</v>
      </c>
      <c r="W33" s="70" t="s">
        <v>443</v>
      </c>
      <c r="X33" s="64">
        <f>X32</f>
        <v>0</v>
      </c>
      <c r="Y33" s="64"/>
      <c r="Z33" s="71">
        <f>Z32</f>
        <v>45000</v>
      </c>
      <c r="AA33" s="64">
        <f>AA32</f>
        <v>0</v>
      </c>
      <c r="AB33" s="64"/>
      <c r="AC33" s="51"/>
      <c r="AD33" s="55">
        <v>0</v>
      </c>
      <c r="AE33" s="50">
        <f t="shared" si="1"/>
        <v>45000</v>
      </c>
      <c r="AF33" s="50" t="s">
        <v>625</v>
      </c>
      <c r="AG33" s="72">
        <f t="shared" si="2"/>
        <v>14384.999999999998</v>
      </c>
      <c r="AH33" s="82">
        <v>10275</v>
      </c>
      <c r="AI33" s="64">
        <f t="shared" si="3"/>
        <v>11302.500000000002</v>
      </c>
      <c r="AJ33" s="52">
        <f t="shared" si="4"/>
        <v>12330</v>
      </c>
      <c r="AK33" s="52">
        <f t="shared" si="5"/>
        <v>15412.5</v>
      </c>
      <c r="AL33" s="52">
        <f t="shared" si="6"/>
        <v>10788.75</v>
      </c>
      <c r="AM33" s="52">
        <f t="shared" si="7"/>
        <v>12843.75</v>
      </c>
      <c r="AN33" s="52">
        <f t="shared" si="8"/>
        <v>14384.999999999998</v>
      </c>
    </row>
    <row r="34" spans="1:40" ht="45" customHeight="1">
      <c r="A34" s="74">
        <f t="shared" si="9"/>
        <v>25</v>
      </c>
      <c r="B34" s="75" t="s">
        <v>709</v>
      </c>
      <c r="C34" s="71">
        <v>41200</v>
      </c>
      <c r="D34" s="71">
        <f>C34</f>
        <v>41200</v>
      </c>
      <c r="G34" s="62" t="s">
        <v>249</v>
      </c>
      <c r="H34" s="50" t="s">
        <v>258</v>
      </c>
      <c r="T34" s="88" t="s">
        <v>465</v>
      </c>
      <c r="U34" s="50" t="s">
        <v>466</v>
      </c>
      <c r="V34" s="50" t="s">
        <v>434</v>
      </c>
      <c r="W34" s="89" t="str">
        <f>W18</f>
        <v>Thadagam</v>
      </c>
      <c r="X34" s="64">
        <f>'[12]lead  charge'!G10</f>
        <v>35</v>
      </c>
      <c r="Y34" s="64">
        <f>Y29</f>
        <v>51</v>
      </c>
      <c r="Z34" s="71">
        <f>Z29</f>
        <v>4095</v>
      </c>
      <c r="AA34" s="64">
        <f>AA29</f>
        <v>259.64999999999998</v>
      </c>
      <c r="AB34" s="64">
        <f>AB29</f>
        <v>576.94000000000005</v>
      </c>
      <c r="AC34" s="51"/>
      <c r="AD34" s="55">
        <v>0</v>
      </c>
      <c r="AE34" s="50">
        <f t="shared" si="1"/>
        <v>4931.59</v>
      </c>
      <c r="AF34" s="50" t="s">
        <v>626</v>
      </c>
      <c r="AG34" s="72">
        <f t="shared" si="2"/>
        <v>1261.3999999999999</v>
      </c>
      <c r="AH34" s="82">
        <v>901</v>
      </c>
      <c r="AI34" s="64">
        <f t="shared" si="3"/>
        <v>991.10000000000014</v>
      </c>
      <c r="AJ34" s="52">
        <f t="shared" si="4"/>
        <v>1081.2</v>
      </c>
      <c r="AK34" s="52">
        <f t="shared" si="5"/>
        <v>1351.5</v>
      </c>
      <c r="AL34" s="52">
        <f t="shared" si="6"/>
        <v>946.05000000000007</v>
      </c>
      <c r="AM34" s="52">
        <f t="shared" si="7"/>
        <v>1126.25</v>
      </c>
      <c r="AN34" s="52">
        <f t="shared" si="8"/>
        <v>1261.3999999999999</v>
      </c>
    </row>
    <row r="35" spans="1:40" ht="45" customHeight="1">
      <c r="A35" s="74">
        <f t="shared" si="9"/>
        <v>26</v>
      </c>
      <c r="B35" s="75" t="s">
        <v>710</v>
      </c>
      <c r="C35" s="76">
        <f>AE38</f>
        <v>210</v>
      </c>
      <c r="D35" s="90"/>
      <c r="F35" s="64">
        <v>0.36</v>
      </c>
      <c r="G35" s="62" t="s">
        <v>251</v>
      </c>
      <c r="H35" s="50" t="s">
        <v>252</v>
      </c>
      <c r="I35" s="64">
        <f>C67</f>
        <v>5800</v>
      </c>
      <c r="J35" s="50" t="s">
        <v>251</v>
      </c>
      <c r="K35" s="64">
        <f>(F35*I35)</f>
        <v>2088</v>
      </c>
      <c r="T35" s="91" t="s">
        <v>467</v>
      </c>
      <c r="U35" s="92" t="s">
        <v>468</v>
      </c>
      <c r="V35" s="92" t="s">
        <v>408</v>
      </c>
      <c r="W35" s="93" t="str">
        <f>W11</f>
        <v>Kurunthamalai</v>
      </c>
      <c r="X35" s="81">
        <f>X11</f>
        <v>10</v>
      </c>
      <c r="Y35" s="81">
        <f>Y9</f>
        <v>51</v>
      </c>
      <c r="Z35" s="94">
        <v>835</v>
      </c>
      <c r="AA35" s="64">
        <f>AA11</f>
        <v>104</v>
      </c>
      <c r="AB35" s="64">
        <f>AB9</f>
        <v>786.78</v>
      </c>
      <c r="AC35" s="51"/>
      <c r="AD35" s="55"/>
      <c r="AE35" s="50">
        <f t="shared" si="1"/>
        <v>1725.78</v>
      </c>
      <c r="AF35" s="50" t="s">
        <v>627</v>
      </c>
      <c r="AG35" s="72">
        <f t="shared" si="2"/>
        <v>1127</v>
      </c>
      <c r="AH35" s="82">
        <v>805</v>
      </c>
      <c r="AI35" s="64">
        <f t="shared" si="3"/>
        <v>885.50000000000011</v>
      </c>
      <c r="AJ35" s="52">
        <f t="shared" si="4"/>
        <v>966</v>
      </c>
      <c r="AK35" s="52">
        <f t="shared" si="5"/>
        <v>1207.5</v>
      </c>
      <c r="AL35" s="52">
        <f t="shared" si="6"/>
        <v>845.25</v>
      </c>
      <c r="AM35" s="52">
        <f t="shared" si="7"/>
        <v>1006.25</v>
      </c>
      <c r="AN35" s="52">
        <f t="shared" si="8"/>
        <v>1127</v>
      </c>
    </row>
    <row r="36" spans="1:40" ht="45" customHeight="1">
      <c r="A36" s="90" t="s">
        <v>150</v>
      </c>
      <c r="B36" s="75" t="s">
        <v>711</v>
      </c>
      <c r="C36" s="71">
        <v>8.1</v>
      </c>
      <c r="D36" s="90"/>
      <c r="F36" s="64">
        <v>1</v>
      </c>
      <c r="G36" s="62" t="s">
        <v>151</v>
      </c>
      <c r="H36" s="50" t="s">
        <v>253</v>
      </c>
      <c r="I36" s="64">
        <f>AE16</f>
        <v>2116.9</v>
      </c>
      <c r="J36" s="50" t="s">
        <v>151</v>
      </c>
      <c r="K36" s="64">
        <f>(F36*I36)</f>
        <v>2116.9</v>
      </c>
      <c r="T36" s="91" t="s">
        <v>469</v>
      </c>
      <c r="U36" s="92" t="s">
        <v>470</v>
      </c>
      <c r="V36" s="92" t="s">
        <v>408</v>
      </c>
      <c r="W36" s="93" t="str">
        <f>W12</f>
        <v>Kurunthamalai</v>
      </c>
      <c r="X36" s="81">
        <f>X11</f>
        <v>10</v>
      </c>
      <c r="Y36" s="81">
        <f>Y35</f>
        <v>51</v>
      </c>
      <c r="Z36" s="94">
        <v>941</v>
      </c>
      <c r="AA36" s="64">
        <f>AA11</f>
        <v>104</v>
      </c>
      <c r="AB36" s="64">
        <f>AB35</f>
        <v>786.78</v>
      </c>
      <c r="AC36" s="51"/>
      <c r="AD36" s="55">
        <v>0</v>
      </c>
      <c r="AE36" s="50">
        <f t="shared" si="1"/>
        <v>1831.78</v>
      </c>
      <c r="AF36" s="50" t="s">
        <v>628</v>
      </c>
      <c r="AG36" s="72">
        <f t="shared" si="2"/>
        <v>175.28</v>
      </c>
      <c r="AH36" s="73">
        <v>125.2</v>
      </c>
      <c r="AI36" s="64">
        <f t="shared" si="3"/>
        <v>137.72000000000003</v>
      </c>
      <c r="AJ36" s="52">
        <f t="shared" si="4"/>
        <v>150.24</v>
      </c>
      <c r="AK36" s="52">
        <f t="shared" si="5"/>
        <v>187.8</v>
      </c>
      <c r="AL36" s="52">
        <f t="shared" si="6"/>
        <v>131.46</v>
      </c>
      <c r="AM36" s="52">
        <f t="shared" si="7"/>
        <v>156.5</v>
      </c>
      <c r="AN36" s="52">
        <f t="shared" si="8"/>
        <v>175.28</v>
      </c>
    </row>
    <row r="37" spans="1:40" ht="45" customHeight="1">
      <c r="A37" s="90"/>
      <c r="B37" s="75" t="s">
        <v>712</v>
      </c>
      <c r="C37" s="95">
        <v>41.6</v>
      </c>
      <c r="D37" s="90"/>
      <c r="F37" s="64">
        <v>1</v>
      </c>
      <c r="G37" s="62" t="s">
        <v>151</v>
      </c>
      <c r="H37" s="50" t="s">
        <v>254</v>
      </c>
      <c r="I37" s="64">
        <f>C18</f>
        <v>121.8</v>
      </c>
      <c r="J37" s="50" t="s">
        <v>151</v>
      </c>
      <c r="K37" s="64">
        <f>(F37*I37)</f>
        <v>121.8</v>
      </c>
      <c r="T37" s="91" t="s">
        <v>471</v>
      </c>
      <c r="U37" s="92" t="s">
        <v>472</v>
      </c>
      <c r="V37" s="92" t="s">
        <v>408</v>
      </c>
      <c r="W37" s="93" t="str">
        <f>W13</f>
        <v>Kurunthamalai</v>
      </c>
      <c r="X37" s="81">
        <f>X36</f>
        <v>10</v>
      </c>
      <c r="Y37" s="81">
        <f>Y35</f>
        <v>51</v>
      </c>
      <c r="Z37" s="94">
        <v>795.75</v>
      </c>
      <c r="AA37" s="64">
        <f>AA11</f>
        <v>104</v>
      </c>
      <c r="AB37" s="64">
        <f>AB35</f>
        <v>786.78</v>
      </c>
      <c r="AC37" s="51"/>
      <c r="AD37" s="55">
        <v>0</v>
      </c>
      <c r="AE37" s="50">
        <f t="shared" si="1"/>
        <v>1686.53</v>
      </c>
      <c r="AF37" s="50" t="s">
        <v>629</v>
      </c>
      <c r="AG37" s="72">
        <f t="shared" si="2"/>
        <v>905.8</v>
      </c>
      <c r="AH37" s="73">
        <v>647</v>
      </c>
      <c r="AI37" s="64">
        <f t="shared" si="3"/>
        <v>711.7</v>
      </c>
      <c r="AJ37" s="52">
        <f t="shared" si="4"/>
        <v>776.4</v>
      </c>
      <c r="AK37" s="52">
        <f t="shared" si="5"/>
        <v>970.5</v>
      </c>
      <c r="AL37" s="52">
        <f t="shared" si="6"/>
        <v>679.35</v>
      </c>
      <c r="AM37" s="52">
        <f t="shared" si="7"/>
        <v>808.75</v>
      </c>
      <c r="AN37" s="52">
        <f t="shared" si="8"/>
        <v>905.8</v>
      </c>
    </row>
    <row r="38" spans="1:40" ht="45" customHeight="1">
      <c r="A38" s="74">
        <f>(A35+1)</f>
        <v>27</v>
      </c>
      <c r="B38" s="75" t="s">
        <v>713</v>
      </c>
      <c r="C38" s="87">
        <v>40</v>
      </c>
      <c r="D38" s="75">
        <v>1.6</v>
      </c>
      <c r="G38" s="62" t="s">
        <v>226</v>
      </c>
      <c r="H38" s="50" t="s">
        <v>237</v>
      </c>
      <c r="I38" s="50" t="s">
        <v>150</v>
      </c>
      <c r="J38" s="50" t="s">
        <v>226</v>
      </c>
      <c r="K38" s="64">
        <v>0</v>
      </c>
      <c r="T38" s="51" t="s">
        <v>473</v>
      </c>
      <c r="U38" s="50" t="s">
        <v>630</v>
      </c>
      <c r="V38" s="50" t="s">
        <v>408</v>
      </c>
      <c r="W38" s="70"/>
      <c r="X38" s="64">
        <f>'[12]lead  charge'!D13</f>
        <v>0</v>
      </c>
      <c r="Y38" s="64"/>
      <c r="Z38" s="96">
        <v>210</v>
      </c>
      <c r="AA38" s="64">
        <f>'[12]lead  charge'!E13</f>
        <v>0</v>
      </c>
      <c r="AB38" s="64"/>
      <c r="AC38" s="51"/>
      <c r="AD38" s="55">
        <v>0</v>
      </c>
      <c r="AE38" s="50">
        <f t="shared" si="1"/>
        <v>210</v>
      </c>
      <c r="AF38" s="50" t="s">
        <v>631</v>
      </c>
      <c r="AG38" s="72">
        <f t="shared" si="2"/>
        <v>933.8</v>
      </c>
      <c r="AH38" s="73">
        <v>667</v>
      </c>
      <c r="AI38" s="64">
        <f t="shared" si="3"/>
        <v>733.7</v>
      </c>
      <c r="AJ38" s="52">
        <f t="shared" si="4"/>
        <v>800.4</v>
      </c>
      <c r="AK38" s="52">
        <f t="shared" si="5"/>
        <v>1000.5</v>
      </c>
      <c r="AL38" s="52">
        <f t="shared" si="6"/>
        <v>700.35</v>
      </c>
      <c r="AM38" s="52">
        <f t="shared" si="7"/>
        <v>833.75</v>
      </c>
      <c r="AN38" s="52">
        <f t="shared" si="8"/>
        <v>933.8</v>
      </c>
    </row>
    <row r="39" spans="1:40" ht="45" customHeight="1">
      <c r="A39" s="74">
        <f t="shared" ref="A39:A58" si="11">(A38+1)</f>
        <v>28</v>
      </c>
      <c r="B39" s="75" t="s">
        <v>714</v>
      </c>
      <c r="C39" s="87">
        <v>41</v>
      </c>
      <c r="D39" s="76">
        <v>500</v>
      </c>
      <c r="K39" s="59" t="s">
        <v>21</v>
      </c>
      <c r="T39" s="88">
        <v>31</v>
      </c>
      <c r="U39" s="50" t="s">
        <v>632</v>
      </c>
      <c r="V39" s="50" t="s">
        <v>408</v>
      </c>
      <c r="W39" s="70"/>
      <c r="X39" s="64">
        <f>'[12]lead  charge'!D16</f>
        <v>0</v>
      </c>
      <c r="Y39" s="64"/>
      <c r="Z39" s="96">
        <v>157</v>
      </c>
      <c r="AA39" s="64">
        <f>'[12]lead  charge'!E16</f>
        <v>0</v>
      </c>
      <c r="AB39" s="64"/>
      <c r="AC39" s="51"/>
      <c r="AD39" s="55">
        <v>0</v>
      </c>
      <c r="AE39" s="50">
        <f t="shared" si="1"/>
        <v>157</v>
      </c>
      <c r="AF39" s="50" t="s">
        <v>633</v>
      </c>
      <c r="AG39" s="72">
        <f t="shared" si="2"/>
        <v>78.539999999999992</v>
      </c>
      <c r="AH39" s="73">
        <v>56.1</v>
      </c>
      <c r="AI39" s="64">
        <f t="shared" si="3"/>
        <v>61.710000000000008</v>
      </c>
      <c r="AJ39" s="52">
        <f t="shared" si="4"/>
        <v>67.319999999999993</v>
      </c>
      <c r="AK39" s="52">
        <f t="shared" si="5"/>
        <v>84.15</v>
      </c>
      <c r="AL39" s="52">
        <f t="shared" si="6"/>
        <v>58.905000000000001</v>
      </c>
      <c r="AM39" s="52">
        <f t="shared" si="7"/>
        <v>70.125</v>
      </c>
      <c r="AN39" s="52">
        <f t="shared" si="8"/>
        <v>78.539999999999992</v>
      </c>
    </row>
    <row r="40" spans="1:40" ht="45" customHeight="1">
      <c r="A40" s="74">
        <f t="shared" si="11"/>
        <v>29</v>
      </c>
      <c r="B40" s="75" t="s">
        <v>715</v>
      </c>
      <c r="C40" s="87">
        <v>28</v>
      </c>
      <c r="D40" s="97">
        <v>116.2</v>
      </c>
      <c r="H40" s="50" t="s">
        <v>255</v>
      </c>
      <c r="K40" s="63">
        <f>SUM(K35:K38)</f>
        <v>4326.7</v>
      </c>
      <c r="T40" s="59"/>
      <c r="W40" s="98" t="s">
        <v>21</v>
      </c>
      <c r="AE40" s="50">
        <f t="shared" si="1"/>
        <v>0</v>
      </c>
      <c r="AG40" s="72"/>
      <c r="AI40" s="64"/>
      <c r="AN40" s="52">
        <f t="shared" si="8"/>
        <v>0</v>
      </c>
    </row>
    <row r="41" spans="1:40" ht="45" customHeight="1">
      <c r="A41" s="74">
        <f t="shared" si="11"/>
        <v>30</v>
      </c>
      <c r="B41" s="75" t="s">
        <v>716</v>
      </c>
      <c r="C41" s="76">
        <f>AG22</f>
        <v>796.59999999999991</v>
      </c>
      <c r="D41" s="75" t="s">
        <v>4</v>
      </c>
      <c r="K41" s="59" t="s">
        <v>21</v>
      </c>
      <c r="U41" s="50" t="s">
        <v>634</v>
      </c>
      <c r="V41" s="50" t="s">
        <v>434</v>
      </c>
      <c r="W41" s="70" t="str">
        <f>+W18</f>
        <v>Thadagam</v>
      </c>
      <c r="X41" s="64">
        <f>'[12]lead  charge'!M10</f>
        <v>35</v>
      </c>
      <c r="Y41" s="64">
        <f>'[12]lead  charge'!M36</f>
        <v>51</v>
      </c>
      <c r="Z41" s="71">
        <v>6282</v>
      </c>
      <c r="AA41" s="64">
        <f>'[12]lead  charge'!N10</f>
        <v>432.94999999999993</v>
      </c>
      <c r="AB41" s="64">
        <f>'[12]lead  charge'!N36</f>
        <v>963.3</v>
      </c>
      <c r="AC41" s="51">
        <v>0</v>
      </c>
      <c r="AD41" s="55">
        <v>0</v>
      </c>
      <c r="AE41" s="50">
        <f t="shared" si="1"/>
        <v>7678.25</v>
      </c>
      <c r="AF41" s="75" t="s">
        <v>687</v>
      </c>
      <c r="AG41" s="72">
        <f t="shared" si="2"/>
        <v>82.88</v>
      </c>
      <c r="AH41" s="73">
        <v>59.2</v>
      </c>
      <c r="AI41" s="64">
        <f t="shared" si="3"/>
        <v>65.12</v>
      </c>
      <c r="AJ41" s="52">
        <f t="shared" si="4"/>
        <v>71.040000000000006</v>
      </c>
      <c r="AK41" s="52">
        <f t="shared" si="5"/>
        <v>88.800000000000011</v>
      </c>
      <c r="AL41" s="52">
        <f t="shared" si="6"/>
        <v>62.160000000000004</v>
      </c>
      <c r="AM41" s="52">
        <f t="shared" si="7"/>
        <v>74</v>
      </c>
      <c r="AN41" s="52">
        <f t="shared" si="8"/>
        <v>82.88</v>
      </c>
    </row>
    <row r="42" spans="1:40" ht="45" customHeight="1">
      <c r="A42" s="74">
        <f t="shared" si="11"/>
        <v>31</v>
      </c>
      <c r="B42" s="75" t="s">
        <v>717</v>
      </c>
      <c r="C42" s="87">
        <v>5</v>
      </c>
      <c r="D42" s="99" t="s">
        <v>552</v>
      </c>
      <c r="G42" s="62" t="s">
        <v>249</v>
      </c>
      <c r="H42" s="50" t="s">
        <v>259</v>
      </c>
      <c r="U42" s="50" t="s">
        <v>635</v>
      </c>
      <c r="V42" s="50" t="s">
        <v>434</v>
      </c>
      <c r="W42" s="70" t="str">
        <f>+W41</f>
        <v>Thadagam</v>
      </c>
      <c r="X42" s="64">
        <f>X41</f>
        <v>35</v>
      </c>
      <c r="Y42" s="64">
        <f>Y41</f>
        <v>51</v>
      </c>
      <c r="Z42" s="71">
        <v>6469</v>
      </c>
      <c r="AA42" s="64">
        <f>AA41</f>
        <v>432.94999999999993</v>
      </c>
      <c r="AB42" s="64">
        <f>AB41</f>
        <v>963.3</v>
      </c>
      <c r="AC42" s="51">
        <v>0</v>
      </c>
      <c r="AD42" s="55">
        <v>0</v>
      </c>
      <c r="AE42" s="50">
        <f t="shared" si="1"/>
        <v>7865.25</v>
      </c>
      <c r="AF42" s="75" t="s">
        <v>689</v>
      </c>
      <c r="AG42" s="72">
        <f t="shared" si="2"/>
        <v>167.01999999999998</v>
      </c>
      <c r="AH42" s="73">
        <v>119.3</v>
      </c>
      <c r="AI42" s="64">
        <f t="shared" si="3"/>
        <v>131.23000000000002</v>
      </c>
      <c r="AJ42" s="52">
        <f t="shared" si="4"/>
        <v>143.16</v>
      </c>
      <c r="AK42" s="52">
        <f t="shared" si="5"/>
        <v>178.95</v>
      </c>
      <c r="AL42" s="52">
        <f t="shared" si="6"/>
        <v>125.265</v>
      </c>
      <c r="AM42" s="52">
        <f t="shared" si="7"/>
        <v>149.125</v>
      </c>
      <c r="AN42" s="52">
        <f t="shared" si="8"/>
        <v>167.01999999999998</v>
      </c>
    </row>
    <row r="43" spans="1:40" ht="26.25" customHeight="1">
      <c r="A43" s="74">
        <f t="shared" si="11"/>
        <v>32</v>
      </c>
      <c r="B43" s="75" t="s">
        <v>718</v>
      </c>
      <c r="C43" s="71">
        <v>7.1</v>
      </c>
      <c r="D43" s="99" t="s">
        <v>4</v>
      </c>
      <c r="H43" s="59" t="s">
        <v>21</v>
      </c>
      <c r="U43" s="50" t="s">
        <v>636</v>
      </c>
      <c r="V43" s="50" t="s">
        <v>313</v>
      </c>
      <c r="W43" s="70"/>
      <c r="X43" s="52">
        <f>'[12]lead  charge'!P13</f>
        <v>0</v>
      </c>
      <c r="Z43" s="71">
        <v>120.1</v>
      </c>
      <c r="AA43" s="64">
        <f>'[12]lead  charge'!Q13</f>
        <v>0</v>
      </c>
      <c r="AB43" s="64"/>
      <c r="AC43" s="51">
        <v>0</v>
      </c>
      <c r="AD43" s="55">
        <v>0</v>
      </c>
      <c r="AE43" s="50">
        <f t="shared" si="1"/>
        <v>120.1</v>
      </c>
      <c r="AF43" s="75" t="s">
        <v>691</v>
      </c>
      <c r="AG43" s="72">
        <f t="shared" si="2"/>
        <v>167.01999999999998</v>
      </c>
      <c r="AH43" s="73">
        <f>AH42</f>
        <v>119.3</v>
      </c>
      <c r="AI43" s="64">
        <f t="shared" si="3"/>
        <v>131.23000000000002</v>
      </c>
      <c r="AJ43" s="52">
        <f t="shared" si="4"/>
        <v>143.16</v>
      </c>
      <c r="AK43" s="52">
        <f t="shared" si="5"/>
        <v>178.95</v>
      </c>
      <c r="AL43" s="52">
        <f t="shared" si="6"/>
        <v>125.265</v>
      </c>
      <c r="AM43" s="52">
        <f t="shared" si="7"/>
        <v>149.125</v>
      </c>
      <c r="AN43" s="52">
        <f t="shared" si="8"/>
        <v>167.01999999999998</v>
      </c>
    </row>
    <row r="44" spans="1:40" ht="15.75">
      <c r="A44" s="74">
        <f t="shared" si="11"/>
        <v>33</v>
      </c>
      <c r="B44" s="75" t="s">
        <v>719</v>
      </c>
      <c r="C44" s="71">
        <v>7.1</v>
      </c>
      <c r="D44" s="99" t="s">
        <v>4</v>
      </c>
      <c r="F44" s="100">
        <v>0.28799999999999998</v>
      </c>
      <c r="G44" s="62" t="s">
        <v>251</v>
      </c>
      <c r="H44" s="50" t="s">
        <v>252</v>
      </c>
      <c r="I44" s="64">
        <f>(C67)</f>
        <v>5800</v>
      </c>
      <c r="J44" s="50" t="s">
        <v>251</v>
      </c>
      <c r="K44" s="64">
        <f>(F44*I44)</f>
        <v>1670.3999999999999</v>
      </c>
      <c r="U44" s="50" t="s">
        <v>637</v>
      </c>
      <c r="V44" s="50" t="s">
        <v>313</v>
      </c>
      <c r="W44" s="70"/>
      <c r="X44" s="52">
        <f>X11</f>
        <v>10</v>
      </c>
      <c r="Y44" s="52">
        <v>51</v>
      </c>
      <c r="Z44" s="71">
        <v>799.5</v>
      </c>
      <c r="AA44" s="64">
        <f>AA11</f>
        <v>104</v>
      </c>
      <c r="AB44" s="64"/>
      <c r="AC44" s="51">
        <v>0</v>
      </c>
      <c r="AD44" s="55">
        <v>0</v>
      </c>
      <c r="AE44" s="50">
        <f t="shared" si="1"/>
        <v>903.5</v>
      </c>
      <c r="AF44" s="75" t="s">
        <v>692</v>
      </c>
      <c r="AG44" s="72">
        <f t="shared" si="2"/>
        <v>125.86</v>
      </c>
      <c r="AH44" s="73">
        <v>89.9</v>
      </c>
      <c r="AI44" s="64">
        <f t="shared" si="3"/>
        <v>98.890000000000015</v>
      </c>
      <c r="AJ44" s="52">
        <f t="shared" si="4"/>
        <v>107.88000000000001</v>
      </c>
      <c r="AK44" s="52">
        <f t="shared" si="5"/>
        <v>134.85000000000002</v>
      </c>
      <c r="AL44" s="52">
        <f t="shared" si="6"/>
        <v>94.39500000000001</v>
      </c>
      <c r="AM44" s="52">
        <f t="shared" si="7"/>
        <v>112.375</v>
      </c>
      <c r="AN44" s="52">
        <f t="shared" si="8"/>
        <v>125.86</v>
      </c>
    </row>
    <row r="45" spans="1:40" ht="15.75">
      <c r="A45" s="74">
        <f t="shared" si="11"/>
        <v>34</v>
      </c>
      <c r="B45" s="75" t="s">
        <v>720</v>
      </c>
      <c r="C45" s="71">
        <v>8.5</v>
      </c>
      <c r="D45" s="99" t="s">
        <v>4</v>
      </c>
      <c r="F45" s="64">
        <v>1</v>
      </c>
      <c r="G45" s="62" t="s">
        <v>151</v>
      </c>
      <c r="H45" s="50" t="s">
        <v>253</v>
      </c>
      <c r="I45" s="64">
        <f>I36</f>
        <v>2116.9</v>
      </c>
      <c r="J45" s="50" t="s">
        <v>151</v>
      </c>
      <c r="K45" s="64">
        <f>(F45*I45)</f>
        <v>2116.9</v>
      </c>
      <c r="U45" s="50" t="s">
        <v>638</v>
      </c>
      <c r="W45" s="70"/>
      <c r="X45" s="52">
        <f>'[12]lead  charge'!M10</f>
        <v>35</v>
      </c>
      <c r="Y45" s="52">
        <v>51</v>
      </c>
      <c r="Z45" s="71">
        <v>6282</v>
      </c>
      <c r="AA45" s="52">
        <f>AA41</f>
        <v>432.94999999999993</v>
      </c>
      <c r="AE45" s="50">
        <f t="shared" si="1"/>
        <v>6714.95</v>
      </c>
      <c r="AF45" s="75" t="s">
        <v>694</v>
      </c>
      <c r="AG45" s="72">
        <f t="shared" si="2"/>
        <v>247.79999999999998</v>
      </c>
      <c r="AH45" s="73">
        <v>177</v>
      </c>
      <c r="AI45" s="64">
        <f t="shared" si="3"/>
        <v>194.70000000000002</v>
      </c>
      <c r="AJ45" s="52">
        <f t="shared" si="4"/>
        <v>212.4</v>
      </c>
      <c r="AK45" s="52">
        <f t="shared" si="5"/>
        <v>265.5</v>
      </c>
      <c r="AM45" s="52">
        <f t="shared" si="7"/>
        <v>221.25</v>
      </c>
      <c r="AN45" s="52">
        <f t="shared" si="8"/>
        <v>247.79999999999998</v>
      </c>
    </row>
    <row r="46" spans="1:40" ht="25.5" customHeight="1">
      <c r="A46" s="74">
        <f t="shared" si="11"/>
        <v>35</v>
      </c>
      <c r="B46" s="75" t="s">
        <v>721</v>
      </c>
      <c r="C46" s="71">
        <v>10.199999999999999</v>
      </c>
      <c r="D46" s="99" t="s">
        <v>4</v>
      </c>
      <c r="F46" s="64">
        <v>1</v>
      </c>
      <c r="G46" s="62" t="s">
        <v>151</v>
      </c>
      <c r="H46" s="50" t="s">
        <v>254</v>
      </c>
      <c r="I46" s="64">
        <f>(C18)</f>
        <v>121.8</v>
      </c>
      <c r="J46" s="50" t="s">
        <v>151</v>
      </c>
      <c r="K46" s="64">
        <f>(F46*I46)</f>
        <v>121.8</v>
      </c>
      <c r="U46" s="50" t="s">
        <v>639</v>
      </c>
      <c r="V46" s="50" t="s">
        <v>408</v>
      </c>
      <c r="W46" s="70"/>
      <c r="X46" s="64">
        <f>'[12]lead  charge'!D17</f>
        <v>0</v>
      </c>
      <c r="Y46" s="64"/>
      <c r="Z46" s="78">
        <v>1250</v>
      </c>
      <c r="AA46" s="64">
        <f>'[12]lead  charge'!E17</f>
        <v>0</v>
      </c>
      <c r="AB46" s="64"/>
      <c r="AC46" s="51"/>
      <c r="AD46" s="55">
        <v>0</v>
      </c>
      <c r="AE46" s="50">
        <f t="shared" si="1"/>
        <v>1250</v>
      </c>
      <c r="AF46" s="75" t="s">
        <v>696</v>
      </c>
      <c r="AG46" s="72">
        <f t="shared" si="2"/>
        <v>247.79999999999998</v>
      </c>
      <c r="AH46" s="73">
        <f>AH45</f>
        <v>177</v>
      </c>
      <c r="AI46" s="64">
        <f t="shared" si="3"/>
        <v>194.70000000000002</v>
      </c>
      <c r="AJ46" s="52">
        <f t="shared" si="4"/>
        <v>212.4</v>
      </c>
      <c r="AK46" s="52">
        <f t="shared" si="5"/>
        <v>265.5</v>
      </c>
      <c r="AL46" s="52">
        <f>AH46*1.05</f>
        <v>185.85</v>
      </c>
      <c r="AM46" s="52">
        <f t="shared" si="7"/>
        <v>221.25</v>
      </c>
      <c r="AN46" s="52">
        <f t="shared" si="8"/>
        <v>247.79999999999998</v>
      </c>
    </row>
    <row r="47" spans="1:40" ht="15.75">
      <c r="A47" s="74">
        <f t="shared" si="11"/>
        <v>36</v>
      </c>
      <c r="B47" s="75" t="s">
        <v>722</v>
      </c>
      <c r="C47" s="71">
        <v>13.8</v>
      </c>
      <c r="D47" s="99" t="s">
        <v>4</v>
      </c>
      <c r="G47" s="62" t="s">
        <v>226</v>
      </c>
      <c r="H47" s="50" t="s">
        <v>237</v>
      </c>
      <c r="I47" s="50" t="s">
        <v>150</v>
      </c>
      <c r="J47" s="50" t="s">
        <v>226</v>
      </c>
      <c r="K47" s="64">
        <v>0</v>
      </c>
      <c r="N47" s="50" t="s">
        <v>249</v>
      </c>
      <c r="O47" s="50" t="s">
        <v>723</v>
      </c>
      <c r="U47" s="50" t="s">
        <v>640</v>
      </c>
      <c r="V47" s="50" t="s">
        <v>408</v>
      </c>
      <c r="W47" s="70"/>
      <c r="X47" s="64">
        <f>X46</f>
        <v>0</v>
      </c>
      <c r="Y47" s="64"/>
      <c r="Z47" s="78">
        <f>Z46</f>
        <v>1250</v>
      </c>
      <c r="AA47" s="64">
        <f>AA46</f>
        <v>0</v>
      </c>
      <c r="AB47" s="64"/>
      <c r="AC47" s="51"/>
      <c r="AD47" s="55">
        <v>0</v>
      </c>
      <c r="AE47" s="50">
        <f t="shared" si="1"/>
        <v>1250</v>
      </c>
      <c r="AF47" s="50"/>
      <c r="AG47" s="72"/>
      <c r="AH47" s="73"/>
      <c r="AI47" s="64">
        <f t="shared" si="3"/>
        <v>0</v>
      </c>
      <c r="AJ47" s="52">
        <f t="shared" si="4"/>
        <v>0</v>
      </c>
      <c r="AK47" s="52">
        <f t="shared" si="5"/>
        <v>0</v>
      </c>
      <c r="AL47" s="52">
        <f>AH47*1.05</f>
        <v>0</v>
      </c>
      <c r="AM47" s="52">
        <f t="shared" si="7"/>
        <v>0</v>
      </c>
      <c r="AN47" s="52">
        <f t="shared" si="8"/>
        <v>0</v>
      </c>
    </row>
    <row r="48" spans="1:40" ht="15.75">
      <c r="A48" s="74">
        <f t="shared" si="11"/>
        <v>37</v>
      </c>
      <c r="B48" s="75" t="s">
        <v>724</v>
      </c>
      <c r="C48" s="71">
        <v>17.7</v>
      </c>
      <c r="D48" s="73">
        <v>31</v>
      </c>
      <c r="K48" s="59" t="s">
        <v>21</v>
      </c>
      <c r="O48" s="50" t="s">
        <v>725</v>
      </c>
      <c r="U48" s="59" t="s">
        <v>21</v>
      </c>
      <c r="V48" s="59" t="s">
        <v>21</v>
      </c>
      <c r="W48" s="59" t="s">
        <v>21</v>
      </c>
      <c r="X48" s="59" t="s">
        <v>21</v>
      </c>
      <c r="Y48" s="59"/>
      <c r="Z48" s="59" t="s">
        <v>21</v>
      </c>
      <c r="AA48" s="59" t="s">
        <v>21</v>
      </c>
      <c r="AB48" s="59"/>
      <c r="AC48" s="59" t="s">
        <v>21</v>
      </c>
      <c r="AD48" s="59" t="s">
        <v>21</v>
      </c>
      <c r="AE48" s="59" t="s">
        <v>21</v>
      </c>
      <c r="AF48" s="59" t="s">
        <v>21</v>
      </c>
      <c r="AG48" s="72" t="str">
        <f>AI48</f>
        <v>-</v>
      </c>
      <c r="AH48" s="59" t="s">
        <v>21</v>
      </c>
      <c r="AI48" s="59" t="s">
        <v>21</v>
      </c>
      <c r="AJ48" s="59" t="s">
        <v>21</v>
      </c>
      <c r="AK48" s="59" t="s">
        <v>21</v>
      </c>
      <c r="AL48" s="59" t="s">
        <v>21</v>
      </c>
      <c r="AM48" s="59" t="s">
        <v>21</v>
      </c>
    </row>
    <row r="49" spans="1:47" ht="15.75">
      <c r="A49" s="74">
        <f t="shared" si="11"/>
        <v>38</v>
      </c>
      <c r="B49" s="75" t="s">
        <v>726</v>
      </c>
      <c r="C49" s="71">
        <v>19.2</v>
      </c>
      <c r="D49" s="73">
        <v>21.8</v>
      </c>
      <c r="H49" s="50" t="s">
        <v>255</v>
      </c>
      <c r="K49" s="63">
        <f>SUM(K44:K47)</f>
        <v>3909.1000000000004</v>
      </c>
      <c r="O49" s="59" t="s">
        <v>21</v>
      </c>
      <c r="U49" s="52" t="s">
        <v>474</v>
      </c>
      <c r="AG49" s="72"/>
      <c r="AI49" s="64"/>
    </row>
    <row r="50" spans="1:47" ht="15.75">
      <c r="A50" s="74">
        <f t="shared" si="11"/>
        <v>39</v>
      </c>
      <c r="B50" s="75" t="s">
        <v>727</v>
      </c>
      <c r="C50" s="71">
        <v>10</v>
      </c>
      <c r="D50" s="99" t="s">
        <v>4</v>
      </c>
      <c r="K50" s="59" t="s">
        <v>21</v>
      </c>
      <c r="M50" s="64">
        <v>9</v>
      </c>
      <c r="N50" s="50" t="s">
        <v>151</v>
      </c>
      <c r="O50" s="50" t="s">
        <v>725</v>
      </c>
      <c r="P50" s="64">
        <f>(C81)</f>
        <v>1354.9499999999998</v>
      </c>
      <c r="Q50" s="50" t="s">
        <v>151</v>
      </c>
      <c r="R50" s="64">
        <f>(M50*P50)</f>
        <v>12194.55</v>
      </c>
      <c r="AC50" s="50" t="s">
        <v>728</v>
      </c>
      <c r="AG50" s="72"/>
      <c r="AI50" s="64"/>
    </row>
    <row r="51" spans="1:47" ht="15.75">
      <c r="A51" s="74">
        <f t="shared" si="11"/>
        <v>40</v>
      </c>
      <c r="B51" s="75" t="s">
        <v>729</v>
      </c>
      <c r="C51" s="71">
        <v>10.199999999999999</v>
      </c>
      <c r="D51" s="99" t="s">
        <v>4</v>
      </c>
      <c r="G51" s="62" t="s">
        <v>249</v>
      </c>
      <c r="H51" s="50" t="s">
        <v>260</v>
      </c>
      <c r="M51" s="64">
        <v>4.5</v>
      </c>
      <c r="N51" s="50" t="s">
        <v>151</v>
      </c>
      <c r="O51" s="50" t="s">
        <v>384</v>
      </c>
      <c r="P51" s="64">
        <f>(K77)</f>
        <v>3282.7000000000003</v>
      </c>
      <c r="Q51" s="50" t="s">
        <v>151</v>
      </c>
      <c r="R51" s="64">
        <f>(M51*P51)</f>
        <v>14772.150000000001</v>
      </c>
      <c r="W51" s="50"/>
      <c r="AG51" s="72"/>
      <c r="AI51" s="50"/>
    </row>
    <row r="52" spans="1:47" ht="15.75">
      <c r="A52" s="74">
        <f t="shared" si="11"/>
        <v>41</v>
      </c>
      <c r="B52" s="75" t="s">
        <v>730</v>
      </c>
      <c r="C52" s="71">
        <v>21.1</v>
      </c>
      <c r="D52" s="99" t="s">
        <v>4</v>
      </c>
      <c r="H52" s="59" t="s">
        <v>21</v>
      </c>
      <c r="M52" s="64">
        <v>1.8</v>
      </c>
      <c r="N52" s="50" t="s">
        <v>153</v>
      </c>
      <c r="O52" s="50" t="s">
        <v>234</v>
      </c>
      <c r="P52" s="64">
        <f>(C11)</f>
        <v>1005.1999999999999</v>
      </c>
      <c r="Q52" s="50" t="s">
        <v>153</v>
      </c>
      <c r="R52" s="64">
        <f>(M52*P52)</f>
        <v>1809.36</v>
      </c>
      <c r="AG52" s="72"/>
      <c r="AI52" s="50"/>
    </row>
    <row r="53" spans="1:47" ht="15.75">
      <c r="A53" s="74">
        <f t="shared" si="11"/>
        <v>42</v>
      </c>
      <c r="B53" s="75" t="s">
        <v>731</v>
      </c>
      <c r="C53" s="71">
        <v>28.5</v>
      </c>
      <c r="D53" s="73">
        <v>62.4</v>
      </c>
      <c r="F53" s="64">
        <v>0.24</v>
      </c>
      <c r="G53" s="62" t="s">
        <v>251</v>
      </c>
      <c r="H53" s="50" t="s">
        <v>252</v>
      </c>
      <c r="I53" s="64">
        <f>(C67)</f>
        <v>5800</v>
      </c>
      <c r="J53" s="50" t="s">
        <v>251</v>
      </c>
      <c r="K53" s="64">
        <f>(F53*I53)</f>
        <v>1392</v>
      </c>
      <c r="M53" s="64">
        <v>17.7</v>
      </c>
      <c r="N53" s="50" t="s">
        <v>153</v>
      </c>
      <c r="O53" s="50" t="s">
        <v>235</v>
      </c>
      <c r="P53" s="64">
        <f>(C12)</f>
        <v>702.8</v>
      </c>
      <c r="Q53" s="50" t="s">
        <v>153</v>
      </c>
      <c r="R53" s="64">
        <f>(M53*P53)</f>
        <v>12439.56</v>
      </c>
      <c r="U53" s="52" t="s">
        <v>732</v>
      </c>
      <c r="V53" s="52" t="s">
        <v>733</v>
      </c>
      <c r="AA53" s="52" t="s">
        <v>734</v>
      </c>
      <c r="AG53" s="72"/>
      <c r="AI53" s="50"/>
    </row>
    <row r="54" spans="1:47" ht="15.75">
      <c r="A54" s="74">
        <f t="shared" si="11"/>
        <v>43</v>
      </c>
      <c r="B54" s="75" t="s">
        <v>735</v>
      </c>
      <c r="C54" s="73">
        <v>32</v>
      </c>
      <c r="D54" s="73">
        <v>47.1</v>
      </c>
      <c r="F54" s="64">
        <v>1</v>
      </c>
      <c r="G54" s="62" t="s">
        <v>151</v>
      </c>
      <c r="H54" s="50" t="s">
        <v>253</v>
      </c>
      <c r="I54" s="64">
        <f>(C78)</f>
        <v>2116.9</v>
      </c>
      <c r="J54" s="50" t="s">
        <v>151</v>
      </c>
      <c r="K54" s="64">
        <f>(F54*I54)</f>
        <v>2116.9</v>
      </c>
      <c r="M54" s="64">
        <v>14.1</v>
      </c>
      <c r="N54" s="50" t="s">
        <v>153</v>
      </c>
      <c r="O54" s="50" t="s">
        <v>236</v>
      </c>
      <c r="P54" s="64">
        <f>(C13)</f>
        <v>576.79999999999995</v>
      </c>
      <c r="Q54" s="50" t="s">
        <v>153</v>
      </c>
      <c r="R54" s="64">
        <f>(M54*P54)</f>
        <v>8132.8799999999992</v>
      </c>
      <c r="AG54" s="72"/>
      <c r="AI54" s="50"/>
    </row>
    <row r="55" spans="1:47" ht="15.75">
      <c r="A55" s="74">
        <f t="shared" si="11"/>
        <v>44</v>
      </c>
      <c r="B55" s="75" t="s">
        <v>736</v>
      </c>
      <c r="C55" s="71">
        <v>35.6</v>
      </c>
      <c r="D55" s="73">
        <v>37.4</v>
      </c>
      <c r="F55" s="64">
        <v>1</v>
      </c>
      <c r="G55" s="62" t="s">
        <v>151</v>
      </c>
      <c r="H55" s="50" t="s">
        <v>254</v>
      </c>
      <c r="I55" s="64">
        <f>(C18)</f>
        <v>121.8</v>
      </c>
      <c r="J55" s="50" t="s">
        <v>151</v>
      </c>
      <c r="K55" s="64">
        <f>(F55*I55)</f>
        <v>121.8</v>
      </c>
      <c r="N55" s="50" t="s">
        <v>226</v>
      </c>
      <c r="O55" s="50" t="s">
        <v>237</v>
      </c>
      <c r="Q55" s="50" t="s">
        <v>226</v>
      </c>
      <c r="R55" s="64">
        <v>0</v>
      </c>
      <c r="AG55" s="72"/>
    </row>
    <row r="56" spans="1:47" ht="15.75">
      <c r="A56" s="74">
        <f t="shared" si="11"/>
        <v>45</v>
      </c>
      <c r="B56" s="75" t="s">
        <v>737</v>
      </c>
      <c r="C56" s="76">
        <v>12.1</v>
      </c>
      <c r="D56" s="75" t="s">
        <v>226</v>
      </c>
      <c r="G56" s="62" t="s">
        <v>226</v>
      </c>
      <c r="H56" s="50" t="s">
        <v>237</v>
      </c>
      <c r="I56" s="50" t="s">
        <v>150</v>
      </c>
      <c r="J56" s="50" t="s">
        <v>226</v>
      </c>
      <c r="K56" s="64">
        <v>0</v>
      </c>
      <c r="R56" s="59" t="s">
        <v>21</v>
      </c>
      <c r="AG56" s="72"/>
    </row>
    <row r="57" spans="1:47" ht="15.75">
      <c r="A57" s="74">
        <f t="shared" si="11"/>
        <v>46</v>
      </c>
      <c r="B57" s="75" t="s">
        <v>738</v>
      </c>
      <c r="C57" s="76">
        <v>35</v>
      </c>
      <c r="D57" s="75" t="s">
        <v>226</v>
      </c>
      <c r="K57" s="59" t="s">
        <v>21</v>
      </c>
      <c r="O57" s="50" t="s">
        <v>263</v>
      </c>
      <c r="R57" s="64">
        <f>SUM(R50:R55)</f>
        <v>49348.5</v>
      </c>
      <c r="AG57" s="72"/>
      <c r="AI57" s="50"/>
    </row>
    <row r="58" spans="1:47" ht="15.75">
      <c r="A58" s="74">
        <f t="shared" si="11"/>
        <v>47</v>
      </c>
      <c r="B58" s="75" t="s">
        <v>739</v>
      </c>
      <c r="C58" s="76">
        <v>15</v>
      </c>
      <c r="D58" s="75" t="s">
        <v>226</v>
      </c>
      <c r="H58" s="50" t="s">
        <v>255</v>
      </c>
      <c r="K58" s="63">
        <f>SUM(K53:K56)</f>
        <v>3630.7000000000003</v>
      </c>
      <c r="R58" s="59" t="s">
        <v>21</v>
      </c>
      <c r="AG58" s="72"/>
      <c r="AI58" s="50"/>
    </row>
    <row r="59" spans="1:47" ht="15.75">
      <c r="A59" s="90"/>
      <c r="B59" s="90"/>
      <c r="C59" s="90"/>
      <c r="D59" s="90"/>
      <c r="F59" s="50" t="s">
        <v>150</v>
      </c>
      <c r="AG59" s="72"/>
      <c r="AR59" s="65" t="s">
        <v>740</v>
      </c>
    </row>
    <row r="60" spans="1:47" ht="15.75">
      <c r="A60" s="74">
        <f>(A58+1)</f>
        <v>48</v>
      </c>
      <c r="B60" s="75" t="s">
        <v>741</v>
      </c>
      <c r="C60" s="71">
        <v>24</v>
      </c>
      <c r="D60" s="75" t="s">
        <v>742</v>
      </c>
      <c r="K60" s="59" t="s">
        <v>21</v>
      </c>
      <c r="O60" s="50" t="s">
        <v>270</v>
      </c>
      <c r="R60" s="64">
        <f>(R57/10)</f>
        <v>4934.8500000000004</v>
      </c>
      <c r="AG60" s="72"/>
      <c r="AI60" s="50"/>
      <c r="AP60" s="101">
        <v>6.5</v>
      </c>
      <c r="AQ60" s="62" t="s">
        <v>249</v>
      </c>
      <c r="AR60" s="102" t="s">
        <v>743</v>
      </c>
      <c r="AT60" s="55"/>
    </row>
    <row r="61" spans="1:47" ht="15.75">
      <c r="A61" s="74">
        <f t="shared" ref="A61:A91" si="12">(A60+1)</f>
        <v>49</v>
      </c>
      <c r="B61" s="75" t="s">
        <v>744</v>
      </c>
      <c r="C61" s="76">
        <f>AG29</f>
        <v>117.6</v>
      </c>
      <c r="D61" s="76">
        <f>AG36</f>
        <v>175.28</v>
      </c>
      <c r="G61" s="62" t="s">
        <v>249</v>
      </c>
      <c r="H61" s="50" t="s">
        <v>383</v>
      </c>
      <c r="R61" s="59" t="s">
        <v>156</v>
      </c>
      <c r="AG61" s="72"/>
      <c r="AI61" s="50"/>
      <c r="AQ61" s="53"/>
      <c r="AR61" s="102" t="s">
        <v>745</v>
      </c>
      <c r="AT61" s="55"/>
    </row>
    <row r="62" spans="1:47" ht="15.75">
      <c r="A62" s="74">
        <f t="shared" si="12"/>
        <v>50</v>
      </c>
      <c r="B62" s="75" t="s">
        <v>746</v>
      </c>
      <c r="C62" s="71">
        <v>546</v>
      </c>
      <c r="D62" s="75" t="s">
        <v>153</v>
      </c>
      <c r="H62" s="59" t="s">
        <v>21</v>
      </c>
      <c r="N62" s="50" t="s">
        <v>249</v>
      </c>
      <c r="O62" s="50" t="s">
        <v>747</v>
      </c>
      <c r="AG62" s="72"/>
      <c r="AI62" s="50"/>
      <c r="AQ62" s="53"/>
      <c r="AR62" s="59" t="s">
        <v>21</v>
      </c>
      <c r="AT62" s="55"/>
    </row>
    <row r="63" spans="1:47" ht="15.75">
      <c r="A63" s="74">
        <f t="shared" si="12"/>
        <v>51</v>
      </c>
      <c r="B63" s="103" t="s">
        <v>748</v>
      </c>
      <c r="C63" s="76">
        <v>42</v>
      </c>
      <c r="D63" s="75" t="s">
        <v>226</v>
      </c>
      <c r="F63" s="100">
        <v>0.20599999999999999</v>
      </c>
      <c r="G63" s="62" t="s">
        <v>251</v>
      </c>
      <c r="H63" s="50" t="s">
        <v>252</v>
      </c>
      <c r="I63" s="64">
        <f>(C67)</f>
        <v>5800</v>
      </c>
      <c r="J63" s="50" t="s">
        <v>251</v>
      </c>
      <c r="K63" s="64">
        <f>(F63*I63)</f>
        <v>1194.8</v>
      </c>
      <c r="O63" s="50" t="s">
        <v>398</v>
      </c>
      <c r="AD63" s="104"/>
      <c r="AG63" s="72"/>
      <c r="AI63" s="50"/>
      <c r="AP63" s="64">
        <v>1300</v>
      </c>
      <c r="AQ63" s="62" t="s">
        <v>267</v>
      </c>
      <c r="AR63" s="64" t="str">
        <f>AR61</f>
        <v>Bricks of size 23x11x7 cm</v>
      </c>
      <c r="AS63" s="64">
        <f>AE45</f>
        <v>6714.95</v>
      </c>
      <c r="AT63" s="50" t="s">
        <v>268</v>
      </c>
      <c r="AU63" s="64">
        <f>(AP63*AS63)/1000</f>
        <v>8729.4349999999995</v>
      </c>
    </row>
    <row r="64" spans="1:47" ht="15.75">
      <c r="A64" s="74">
        <f t="shared" si="12"/>
        <v>52</v>
      </c>
      <c r="B64" s="75" t="s">
        <v>749</v>
      </c>
      <c r="C64" s="71">
        <v>211</v>
      </c>
      <c r="D64" s="75" t="s">
        <v>151</v>
      </c>
      <c r="F64" s="64">
        <v>1</v>
      </c>
      <c r="G64" s="62" t="s">
        <v>151</v>
      </c>
      <c r="H64" s="50" t="s">
        <v>253</v>
      </c>
      <c r="I64" s="64">
        <f>(C78)</f>
        <v>2116.9</v>
      </c>
      <c r="J64" s="50" t="s">
        <v>151</v>
      </c>
      <c r="K64" s="64">
        <f>(F64*I64)</f>
        <v>2116.9</v>
      </c>
      <c r="O64" s="59" t="s">
        <v>21</v>
      </c>
      <c r="AG64" s="72"/>
      <c r="AI64" s="50"/>
      <c r="AP64" s="100">
        <v>0.70799999999999996</v>
      </c>
      <c r="AQ64" s="62" t="s">
        <v>151</v>
      </c>
      <c r="AR64" s="50" t="s">
        <v>259</v>
      </c>
      <c r="AS64" s="64">
        <f>K49</f>
        <v>3909.1000000000004</v>
      </c>
      <c r="AT64" s="50" t="s">
        <v>151</v>
      </c>
      <c r="AU64" s="64">
        <f>(AP64*AS64)</f>
        <v>2767.6428000000001</v>
      </c>
    </row>
    <row r="65" spans="1:47" ht="15.75">
      <c r="A65" s="74">
        <f t="shared" si="12"/>
        <v>53</v>
      </c>
      <c r="B65" s="75" t="s">
        <v>750</v>
      </c>
      <c r="C65" s="105">
        <v>304</v>
      </c>
      <c r="D65" s="75" t="s">
        <v>751</v>
      </c>
      <c r="F65" s="64">
        <v>1</v>
      </c>
      <c r="G65" s="62" t="s">
        <v>151</v>
      </c>
      <c r="H65" s="50" t="s">
        <v>254</v>
      </c>
      <c r="I65" s="64">
        <f>(C18)</f>
        <v>121.8</v>
      </c>
      <c r="J65" s="50" t="s">
        <v>151</v>
      </c>
      <c r="K65" s="64">
        <f>(F65*I65)</f>
        <v>121.8</v>
      </c>
      <c r="M65" s="64">
        <v>9</v>
      </c>
      <c r="N65" s="50" t="s">
        <v>151</v>
      </c>
      <c r="O65" s="50" t="s">
        <v>398</v>
      </c>
      <c r="P65" s="64">
        <f>(C73)</f>
        <v>2288.7799999999997</v>
      </c>
      <c r="Q65" s="50" t="s">
        <v>151</v>
      </c>
      <c r="R65" s="64">
        <f>(M65*P65)</f>
        <v>20599.019999999997</v>
      </c>
      <c r="AG65" s="72"/>
      <c r="AI65" s="50"/>
      <c r="AP65" s="64">
        <v>1</v>
      </c>
      <c r="AQ65" s="62" t="s">
        <v>153</v>
      </c>
      <c r="AR65" s="50" t="s">
        <v>269</v>
      </c>
      <c r="AS65" s="64">
        <f>V313</f>
        <v>1076.5999999999999</v>
      </c>
      <c r="AT65" s="50" t="s">
        <v>153</v>
      </c>
      <c r="AU65" s="64">
        <f>(AP65*AS65)</f>
        <v>1076.5999999999999</v>
      </c>
    </row>
    <row r="66" spans="1:47" ht="15.75">
      <c r="A66" s="74">
        <f t="shared" si="12"/>
        <v>54</v>
      </c>
      <c r="B66" s="75" t="s">
        <v>752</v>
      </c>
      <c r="C66" s="76">
        <f>AG18</f>
        <v>923.99999999999989</v>
      </c>
      <c r="D66" s="75" t="s">
        <v>153</v>
      </c>
      <c r="G66" s="62" t="s">
        <v>226</v>
      </c>
      <c r="H66" s="50" t="s">
        <v>237</v>
      </c>
      <c r="I66" s="50" t="s">
        <v>150</v>
      </c>
      <c r="J66" s="50" t="s">
        <v>226</v>
      </c>
      <c r="K66" s="64">
        <v>0</v>
      </c>
      <c r="M66" s="64">
        <v>4.5</v>
      </c>
      <c r="N66" s="50" t="s">
        <v>151</v>
      </c>
      <c r="O66" s="50" t="s">
        <v>256</v>
      </c>
      <c r="P66" s="64">
        <f>(K23)</f>
        <v>6414.7</v>
      </c>
      <c r="Q66" s="50" t="s">
        <v>151</v>
      </c>
      <c r="R66" s="64">
        <f>(M66*P66)</f>
        <v>28866.149999999998</v>
      </c>
      <c r="AG66" s="72"/>
      <c r="AI66" s="50"/>
      <c r="AP66" s="64">
        <v>3</v>
      </c>
      <c r="AQ66" s="62" t="s">
        <v>153</v>
      </c>
      <c r="AR66" s="50" t="s">
        <v>234</v>
      </c>
      <c r="AS66" s="64">
        <f>V314</f>
        <v>1005.1999999999999</v>
      </c>
      <c r="AT66" s="50" t="s">
        <v>153</v>
      </c>
      <c r="AU66" s="64">
        <f>(AP66*AS66)</f>
        <v>3015.6</v>
      </c>
    </row>
    <row r="67" spans="1:47" ht="15.75">
      <c r="A67" s="74">
        <f t="shared" si="12"/>
        <v>55</v>
      </c>
      <c r="B67" s="75" t="s">
        <v>252</v>
      </c>
      <c r="C67" s="76">
        <f>AE31</f>
        <v>5800</v>
      </c>
      <c r="D67" s="75" t="s">
        <v>251</v>
      </c>
      <c r="K67" s="59" t="s">
        <v>21</v>
      </c>
      <c r="M67" s="64">
        <v>1.8</v>
      </c>
      <c r="N67" s="50" t="s">
        <v>153</v>
      </c>
      <c r="O67" s="50" t="s">
        <v>234</v>
      </c>
      <c r="P67" s="64">
        <f>(C11)</f>
        <v>1005.1999999999999</v>
      </c>
      <c r="Q67" s="50" t="s">
        <v>153</v>
      </c>
      <c r="R67" s="64">
        <f>(M67*P67)</f>
        <v>1809.36</v>
      </c>
      <c r="AG67" s="72"/>
      <c r="AI67" s="50"/>
      <c r="AP67" s="64">
        <v>2</v>
      </c>
      <c r="AQ67" s="62" t="s">
        <v>153</v>
      </c>
      <c r="AR67" s="50" t="s">
        <v>235</v>
      </c>
      <c r="AS67" s="64">
        <f>V315</f>
        <v>702.8</v>
      </c>
      <c r="AT67" s="50" t="s">
        <v>153</v>
      </c>
      <c r="AU67" s="64">
        <f>(AP67*AS67)</f>
        <v>1405.6</v>
      </c>
    </row>
    <row r="68" spans="1:47" ht="15.75">
      <c r="A68" s="74">
        <f t="shared" si="12"/>
        <v>56</v>
      </c>
      <c r="B68" s="75" t="s">
        <v>753</v>
      </c>
      <c r="C68" s="106">
        <f t="shared" ref="C68:C74" si="13">AE9</f>
        <v>1327.78</v>
      </c>
      <c r="D68" s="75" t="s">
        <v>151</v>
      </c>
      <c r="H68" s="50" t="s">
        <v>255</v>
      </c>
      <c r="K68" s="63">
        <f>SUM(K63:K66)</f>
        <v>3433.5</v>
      </c>
      <c r="M68" s="64">
        <v>17.7</v>
      </c>
      <c r="N68" s="50" t="s">
        <v>153</v>
      </c>
      <c r="O68" s="50" t="s">
        <v>235</v>
      </c>
      <c r="P68" s="64">
        <f>(C12)</f>
        <v>702.8</v>
      </c>
      <c r="Q68" s="50" t="s">
        <v>153</v>
      </c>
      <c r="R68" s="64">
        <f>(M68*P68)</f>
        <v>12439.56</v>
      </c>
      <c r="AG68" s="72"/>
      <c r="AI68" s="50"/>
      <c r="AP68" s="64">
        <v>6</v>
      </c>
      <c r="AQ68" s="62" t="s">
        <v>153</v>
      </c>
      <c r="AR68" s="50" t="s">
        <v>236</v>
      </c>
      <c r="AS68" s="64">
        <f>V316</f>
        <v>576.79999999999995</v>
      </c>
      <c r="AT68" s="50" t="s">
        <v>153</v>
      </c>
      <c r="AU68" s="64">
        <f>(AP68*AS68)</f>
        <v>3460.7999999999997</v>
      </c>
    </row>
    <row r="69" spans="1:47" ht="15.75">
      <c r="A69" s="74">
        <f t="shared" si="12"/>
        <v>57</v>
      </c>
      <c r="B69" s="75" t="s">
        <v>754</v>
      </c>
      <c r="C69" s="76">
        <f t="shared" si="13"/>
        <v>1520.78</v>
      </c>
      <c r="D69" s="75" t="s">
        <v>151</v>
      </c>
      <c r="K69" s="59" t="s">
        <v>21</v>
      </c>
      <c r="M69" s="64">
        <v>14.1</v>
      </c>
      <c r="N69" s="50" t="s">
        <v>153</v>
      </c>
      <c r="O69" s="50" t="s">
        <v>236</v>
      </c>
      <c r="P69" s="64">
        <f>(C13)</f>
        <v>576.79999999999995</v>
      </c>
      <c r="Q69" s="50" t="s">
        <v>153</v>
      </c>
      <c r="R69" s="64">
        <f>(M69*P69)</f>
        <v>8132.8799999999992</v>
      </c>
      <c r="AG69" s="72"/>
      <c r="AI69" s="50"/>
      <c r="AQ69" s="62" t="s">
        <v>226</v>
      </c>
      <c r="AR69" s="50" t="s">
        <v>237</v>
      </c>
      <c r="AT69" s="50" t="s">
        <v>226</v>
      </c>
      <c r="AU69" s="64">
        <v>0</v>
      </c>
    </row>
    <row r="70" spans="1:47" ht="15.75">
      <c r="A70" s="74">
        <f t="shared" si="12"/>
        <v>58</v>
      </c>
      <c r="B70" s="75" t="s">
        <v>755</v>
      </c>
      <c r="C70" s="76">
        <f t="shared" si="13"/>
        <v>1617.4499999999998</v>
      </c>
      <c r="D70" s="75" t="s">
        <v>151</v>
      </c>
      <c r="G70" s="62" t="s">
        <v>249</v>
      </c>
      <c r="H70" s="50" t="s">
        <v>384</v>
      </c>
      <c r="N70" s="50" t="s">
        <v>226</v>
      </c>
      <c r="O70" s="50" t="s">
        <v>237</v>
      </c>
      <c r="Q70" s="50" t="s">
        <v>226</v>
      </c>
      <c r="R70" s="64">
        <v>0</v>
      </c>
      <c r="AG70" s="72"/>
      <c r="AI70" s="50"/>
      <c r="AQ70" s="53"/>
      <c r="AT70" s="55"/>
      <c r="AU70" s="59" t="s">
        <v>21</v>
      </c>
    </row>
    <row r="71" spans="1:47" ht="15.75">
      <c r="A71" s="74">
        <f t="shared" si="12"/>
        <v>59</v>
      </c>
      <c r="B71" s="75" t="s">
        <v>756</v>
      </c>
      <c r="C71" s="76">
        <f t="shared" si="13"/>
        <v>1844.78</v>
      </c>
      <c r="D71" s="75" t="s">
        <v>151</v>
      </c>
      <c r="H71" s="59" t="s">
        <v>21</v>
      </c>
      <c r="R71" s="59" t="s">
        <v>21</v>
      </c>
      <c r="AG71" s="72"/>
      <c r="AI71" s="50"/>
      <c r="AQ71" s="53"/>
      <c r="AR71" s="50" t="s">
        <v>757</v>
      </c>
      <c r="AT71" s="55"/>
      <c r="AU71" s="64">
        <f>SUM(AU63:AU69)</f>
        <v>20455.677799999998</v>
      </c>
    </row>
    <row r="72" spans="1:47" ht="15.75">
      <c r="A72" s="74">
        <f t="shared" si="12"/>
        <v>60</v>
      </c>
      <c r="B72" s="75" t="s">
        <v>758</v>
      </c>
      <c r="C72" s="76">
        <f t="shared" si="13"/>
        <v>2187.7799999999997</v>
      </c>
      <c r="D72" s="75" t="s">
        <v>151</v>
      </c>
      <c r="F72" s="64">
        <v>0.18</v>
      </c>
      <c r="G72" s="62" t="s">
        <v>251</v>
      </c>
      <c r="H72" s="50" t="s">
        <v>252</v>
      </c>
      <c r="I72" s="64">
        <f>(C67)</f>
        <v>5800</v>
      </c>
      <c r="J72" s="50" t="s">
        <v>251</v>
      </c>
      <c r="K72" s="64">
        <f>(F72*I72)</f>
        <v>1044</v>
      </c>
      <c r="O72" s="50" t="s">
        <v>263</v>
      </c>
      <c r="R72" s="64">
        <f>SUM(R65:R70)</f>
        <v>71846.97</v>
      </c>
      <c r="AG72" s="72"/>
      <c r="AI72" s="50"/>
      <c r="AQ72" s="53"/>
      <c r="AT72" s="55"/>
      <c r="AU72" s="59" t="s">
        <v>21</v>
      </c>
    </row>
    <row r="73" spans="1:47" ht="15.75">
      <c r="A73" s="74">
        <f t="shared" si="12"/>
        <v>61</v>
      </c>
      <c r="B73" s="75" t="s">
        <v>759</v>
      </c>
      <c r="C73" s="76">
        <f t="shared" si="13"/>
        <v>2288.7799999999997</v>
      </c>
      <c r="D73" s="75" t="s">
        <v>151</v>
      </c>
      <c r="F73" s="64">
        <v>1</v>
      </c>
      <c r="G73" s="62" t="s">
        <v>151</v>
      </c>
      <c r="H73" s="50" t="s">
        <v>253</v>
      </c>
      <c r="I73" s="64">
        <f>(C78)</f>
        <v>2116.9</v>
      </c>
      <c r="J73" s="50" t="s">
        <v>151</v>
      </c>
      <c r="K73" s="64">
        <f>(F73*I73)</f>
        <v>2116.9</v>
      </c>
      <c r="R73" s="59" t="s">
        <v>21</v>
      </c>
      <c r="AG73" s="72"/>
      <c r="AI73" s="50"/>
      <c r="AQ73" s="53"/>
      <c r="AR73" s="66" t="s">
        <v>270</v>
      </c>
      <c r="AT73" s="55"/>
      <c r="AU73" s="63">
        <f>(AU71/2.83168)</f>
        <v>7223.8663267035818</v>
      </c>
    </row>
    <row r="74" spans="1:47" ht="15.75">
      <c r="A74" s="74">
        <f t="shared" si="12"/>
        <v>62</v>
      </c>
      <c r="B74" s="75" t="s">
        <v>760</v>
      </c>
      <c r="C74" s="76">
        <f t="shared" si="13"/>
        <v>1894.78</v>
      </c>
      <c r="D74" s="75" t="s">
        <v>151</v>
      </c>
      <c r="F74" s="64">
        <v>1</v>
      </c>
      <c r="G74" s="62" t="s">
        <v>151</v>
      </c>
      <c r="H74" s="50" t="s">
        <v>254</v>
      </c>
      <c r="I74" s="64">
        <f>(C18)</f>
        <v>121.8</v>
      </c>
      <c r="J74" s="50" t="s">
        <v>151</v>
      </c>
      <c r="K74" s="64">
        <f>(F74*I74)</f>
        <v>121.8</v>
      </c>
      <c r="O74" s="50" t="s">
        <v>270</v>
      </c>
      <c r="R74" s="64">
        <f>(R72/10)</f>
        <v>7184.6970000000001</v>
      </c>
      <c r="AG74" s="72"/>
      <c r="AI74" s="50"/>
      <c r="AQ74" s="53"/>
      <c r="AT74" s="55"/>
      <c r="AU74" s="59" t="s">
        <v>156</v>
      </c>
    </row>
    <row r="75" spans="1:47" ht="15.75">
      <c r="A75" s="74">
        <f t="shared" si="12"/>
        <v>63</v>
      </c>
      <c r="B75" s="75" t="s">
        <v>761</v>
      </c>
      <c r="C75" s="87">
        <v>175</v>
      </c>
      <c r="D75" s="75" t="s">
        <v>249</v>
      </c>
      <c r="G75" s="62" t="s">
        <v>226</v>
      </c>
      <c r="H75" s="50" t="s">
        <v>237</v>
      </c>
      <c r="I75" s="50" t="s">
        <v>150</v>
      </c>
      <c r="J75" s="50" t="s">
        <v>226</v>
      </c>
      <c r="K75" s="64">
        <v>0</v>
      </c>
      <c r="R75" s="59" t="s">
        <v>156</v>
      </c>
      <c r="AG75" s="72"/>
      <c r="AI75" s="50"/>
      <c r="AQ75" s="53"/>
      <c r="AR75" s="50" t="s">
        <v>271</v>
      </c>
      <c r="AT75" s="55"/>
      <c r="AU75" s="64">
        <f>AU73+C19</f>
        <v>7306.7463267035819</v>
      </c>
    </row>
    <row r="76" spans="1:47" ht="15.75">
      <c r="A76" s="74">
        <f t="shared" si="12"/>
        <v>64</v>
      </c>
      <c r="B76" s="75" t="s">
        <v>762</v>
      </c>
      <c r="C76" s="87">
        <v>460</v>
      </c>
      <c r="D76" s="97">
        <v>290</v>
      </c>
      <c r="E76" s="52" t="s">
        <v>763</v>
      </c>
      <c r="K76" s="59" t="s">
        <v>21</v>
      </c>
      <c r="N76" s="50" t="s">
        <v>249</v>
      </c>
      <c r="O76" s="50" t="s">
        <v>764</v>
      </c>
      <c r="AG76" s="72"/>
      <c r="AI76" s="50"/>
      <c r="AQ76" s="53"/>
      <c r="AR76" s="50" t="s">
        <v>272</v>
      </c>
      <c r="AT76" s="55"/>
      <c r="AU76" s="64">
        <f>AU75+C20</f>
        <v>7473.7663267035823</v>
      </c>
    </row>
    <row r="77" spans="1:47" ht="15.75">
      <c r="A77" s="74">
        <f t="shared" si="12"/>
        <v>65</v>
      </c>
      <c r="B77" s="75" t="s">
        <v>765</v>
      </c>
      <c r="C77" s="76">
        <f>AE34</f>
        <v>4931.59</v>
      </c>
      <c r="D77" s="75" t="s">
        <v>151</v>
      </c>
      <c r="H77" s="50" t="s">
        <v>255</v>
      </c>
      <c r="K77" s="63">
        <f>SUM(K72:K75)</f>
        <v>3282.7000000000003</v>
      </c>
      <c r="O77" s="50" t="s">
        <v>766</v>
      </c>
      <c r="AG77" s="72"/>
      <c r="AI77" s="50"/>
      <c r="AQ77" s="53"/>
      <c r="AR77" s="50" t="s">
        <v>767</v>
      </c>
      <c r="AT77" s="55"/>
      <c r="AU77" s="64">
        <f>AU76+C20</f>
        <v>7640.7863267035827</v>
      </c>
    </row>
    <row r="78" spans="1:47" ht="15.75">
      <c r="A78" s="74">
        <f t="shared" si="12"/>
        <v>66</v>
      </c>
      <c r="B78" s="75" t="s">
        <v>768</v>
      </c>
      <c r="C78" s="76">
        <f t="shared" ref="C78:C91" si="14">AE16</f>
        <v>2116.9</v>
      </c>
      <c r="D78" s="75" t="s">
        <v>151</v>
      </c>
      <c r="K78" s="59" t="s">
        <v>21</v>
      </c>
      <c r="O78" s="59" t="s">
        <v>21</v>
      </c>
      <c r="AG78" s="72"/>
      <c r="AI78" s="50"/>
      <c r="AQ78" s="53"/>
      <c r="AR78" s="50" t="s">
        <v>769</v>
      </c>
      <c r="AT78" s="55"/>
      <c r="AU78" s="64">
        <f>AU77+C20</f>
        <v>7807.8063267035832</v>
      </c>
    </row>
    <row r="79" spans="1:47" ht="15.75">
      <c r="A79" s="74">
        <f t="shared" si="12"/>
        <v>67</v>
      </c>
      <c r="B79" s="75" t="s">
        <v>605</v>
      </c>
      <c r="C79" s="76">
        <f t="shared" si="14"/>
        <v>2116.9</v>
      </c>
      <c r="D79" s="75" t="s">
        <v>151</v>
      </c>
      <c r="F79" s="101">
        <v>1.1000000000000001</v>
      </c>
      <c r="G79" s="62" t="s">
        <v>150</v>
      </c>
      <c r="H79" s="50" t="s">
        <v>770</v>
      </c>
      <c r="M79" s="64">
        <v>4600</v>
      </c>
      <c r="N79" s="50" t="s">
        <v>267</v>
      </c>
      <c r="O79" s="50" t="s">
        <v>771</v>
      </c>
      <c r="P79" s="64">
        <f>AE41</f>
        <v>7678.25</v>
      </c>
      <c r="Q79" s="50" t="s">
        <v>268</v>
      </c>
      <c r="R79" s="64">
        <f>(M79*P79)/1000</f>
        <v>35319.949999999997</v>
      </c>
      <c r="S79" s="107">
        <v>1.1000000000000001</v>
      </c>
      <c r="T79" s="62" t="s">
        <v>150</v>
      </c>
      <c r="U79" s="54" t="s">
        <v>772</v>
      </c>
      <c r="W79" s="55"/>
      <c r="AG79" s="72"/>
      <c r="AI79" s="50"/>
      <c r="AQ79" s="53"/>
      <c r="AR79" s="50" t="s">
        <v>773</v>
      </c>
      <c r="AT79" s="55"/>
      <c r="AU79" s="64">
        <f>AU78+C20</f>
        <v>7974.8263267035836</v>
      </c>
    </row>
    <row r="80" spans="1:47" ht="15.75">
      <c r="A80" s="74">
        <f t="shared" si="12"/>
        <v>68</v>
      </c>
      <c r="B80" s="75" t="s">
        <v>774</v>
      </c>
      <c r="C80" s="76">
        <f t="shared" si="14"/>
        <v>6274.59</v>
      </c>
      <c r="D80" s="75" t="s">
        <v>297</v>
      </c>
      <c r="F80" s="108" t="s">
        <v>150</v>
      </c>
      <c r="H80" s="50" t="s">
        <v>775</v>
      </c>
      <c r="M80" s="64">
        <v>2.5</v>
      </c>
      <c r="N80" s="50" t="s">
        <v>151</v>
      </c>
      <c r="O80" s="50" t="s">
        <v>259</v>
      </c>
      <c r="P80" s="64">
        <f>(K49)</f>
        <v>3909.1000000000004</v>
      </c>
      <c r="Q80" s="50" t="s">
        <v>151</v>
      </c>
      <c r="R80" s="64">
        <f>(M80*P80)</f>
        <v>9772.75</v>
      </c>
      <c r="S80" s="109" t="s">
        <v>150</v>
      </c>
      <c r="T80" s="53"/>
      <c r="U80" s="50" t="s">
        <v>775</v>
      </c>
      <c r="W80" s="55"/>
      <c r="AG80" s="72"/>
      <c r="AI80" s="50"/>
      <c r="AS80" s="71"/>
      <c r="AU80" s="50"/>
    </row>
    <row r="81" spans="1:47" ht="15.75">
      <c r="A81" s="74">
        <f t="shared" si="12"/>
        <v>69</v>
      </c>
      <c r="B81" s="75" t="s">
        <v>776</v>
      </c>
      <c r="C81" s="76">
        <f t="shared" si="14"/>
        <v>1354.9499999999998</v>
      </c>
      <c r="D81" s="75" t="s">
        <v>151</v>
      </c>
      <c r="F81" s="64">
        <v>10</v>
      </c>
      <c r="G81" s="62" t="s">
        <v>151</v>
      </c>
      <c r="H81" s="50" t="s">
        <v>261</v>
      </c>
      <c r="I81" s="64">
        <f>(C61)</f>
        <v>117.6</v>
      </c>
      <c r="J81" s="50" t="s">
        <v>151</v>
      </c>
      <c r="K81" s="64">
        <f>(F81*I81)</f>
        <v>1176</v>
      </c>
      <c r="M81" s="64">
        <v>3.5</v>
      </c>
      <c r="N81" s="50" t="s">
        <v>153</v>
      </c>
      <c r="O81" s="50" t="s">
        <v>269</v>
      </c>
      <c r="P81" s="64">
        <f>(C10)</f>
        <v>1076.5999999999999</v>
      </c>
      <c r="Q81" s="50" t="s">
        <v>153</v>
      </c>
      <c r="R81" s="64">
        <f>(M81*P81)</f>
        <v>3768.0999999999995</v>
      </c>
      <c r="S81" s="100">
        <v>10</v>
      </c>
      <c r="T81" s="62" t="s">
        <v>151</v>
      </c>
      <c r="U81" s="50" t="s">
        <v>261</v>
      </c>
      <c r="V81" s="64">
        <f>AG39</f>
        <v>78.539999999999992</v>
      </c>
      <c r="W81" s="50" t="s">
        <v>151</v>
      </c>
      <c r="X81" s="64">
        <f>(S81*V81)</f>
        <v>785.39999999999986</v>
      </c>
      <c r="Y81" s="64"/>
      <c r="AG81" s="72"/>
      <c r="AI81" s="50"/>
      <c r="AS81" s="71"/>
      <c r="AU81" s="50"/>
    </row>
    <row r="82" spans="1:47" ht="15.75">
      <c r="A82" s="74">
        <f t="shared" si="12"/>
        <v>70</v>
      </c>
      <c r="B82" s="75" t="s">
        <v>777</v>
      </c>
      <c r="C82" s="76">
        <f t="shared" si="14"/>
        <v>1431.9499999999998</v>
      </c>
      <c r="D82" s="75" t="s">
        <v>151</v>
      </c>
      <c r="F82" s="64">
        <v>10</v>
      </c>
      <c r="G82" s="62" t="s">
        <v>151</v>
      </c>
      <c r="H82" s="50" t="s">
        <v>778</v>
      </c>
      <c r="I82" s="64">
        <f>(C61)</f>
        <v>117.6</v>
      </c>
      <c r="J82" s="50" t="s">
        <v>151</v>
      </c>
      <c r="K82" s="64">
        <f>(F82*I82)</f>
        <v>1176</v>
      </c>
      <c r="L82" s="52">
        <f>I82+I81</f>
        <v>235.2</v>
      </c>
      <c r="M82" s="64">
        <v>10.6</v>
      </c>
      <c r="N82" s="50" t="s">
        <v>153</v>
      </c>
      <c r="O82" s="50" t="s">
        <v>234</v>
      </c>
      <c r="P82" s="64">
        <f>(C11)</f>
        <v>1005.1999999999999</v>
      </c>
      <c r="Q82" s="50" t="s">
        <v>153</v>
      </c>
      <c r="R82" s="64">
        <f>(M82*P82)</f>
        <v>10655.119999999999</v>
      </c>
      <c r="S82" s="100">
        <v>10</v>
      </c>
      <c r="T82" s="62" t="s">
        <v>151</v>
      </c>
      <c r="U82" s="50" t="s">
        <v>778</v>
      </c>
      <c r="V82" s="64">
        <f>V81</f>
        <v>78.539999999999992</v>
      </c>
      <c r="W82" s="50" t="s">
        <v>151</v>
      </c>
      <c r="X82" s="64">
        <f>(S82*V82)</f>
        <v>785.39999999999986</v>
      </c>
      <c r="Y82" s="64"/>
      <c r="AG82" s="72"/>
      <c r="AI82" s="50"/>
      <c r="AS82" s="71"/>
      <c r="AU82" s="50"/>
    </row>
    <row r="83" spans="1:47" ht="15.75">
      <c r="A83" s="74">
        <f t="shared" si="12"/>
        <v>71</v>
      </c>
      <c r="B83" s="75" t="s">
        <v>779</v>
      </c>
      <c r="C83" s="76">
        <f t="shared" si="14"/>
        <v>16106</v>
      </c>
      <c r="D83" s="75" t="s">
        <v>297</v>
      </c>
      <c r="E83" s="52">
        <v>8710</v>
      </c>
      <c r="F83" s="64">
        <v>10</v>
      </c>
      <c r="G83" s="62" t="s">
        <v>151</v>
      </c>
      <c r="H83" s="50" t="s">
        <v>262</v>
      </c>
      <c r="I83" s="64">
        <f>(C26)/3</f>
        <v>13.673333333333332</v>
      </c>
      <c r="J83" s="50" t="s">
        <v>151</v>
      </c>
      <c r="K83" s="64">
        <f>(F83*I83)</f>
        <v>136.73333333333332</v>
      </c>
      <c r="M83" s="64">
        <v>7.1</v>
      </c>
      <c r="N83" s="50" t="s">
        <v>153</v>
      </c>
      <c r="O83" s="50" t="s">
        <v>235</v>
      </c>
      <c r="P83" s="64">
        <f>(C12)</f>
        <v>702.8</v>
      </c>
      <c r="Q83" s="50" t="s">
        <v>153</v>
      </c>
      <c r="R83" s="64">
        <f>(M83*P83)</f>
        <v>4989.8799999999992</v>
      </c>
      <c r="S83" s="100">
        <v>10</v>
      </c>
      <c r="T83" s="62" t="s">
        <v>151</v>
      </c>
      <c r="U83" s="50" t="s">
        <v>262</v>
      </c>
      <c r="V83" s="64">
        <f>AG27/3</f>
        <v>11.993333333333332</v>
      </c>
      <c r="W83" s="50" t="s">
        <v>151</v>
      </c>
      <c r="X83" s="64">
        <f>(S83*V83)</f>
        <v>119.93333333333332</v>
      </c>
      <c r="Y83" s="64"/>
      <c r="AG83" s="72"/>
      <c r="AI83" s="50"/>
      <c r="AS83" s="71"/>
      <c r="AU83" s="50"/>
    </row>
    <row r="84" spans="1:47" ht="15.75">
      <c r="A84" s="74">
        <f t="shared" si="12"/>
        <v>72</v>
      </c>
      <c r="B84" s="75" t="s">
        <v>780</v>
      </c>
      <c r="C84" s="76">
        <f t="shared" si="14"/>
        <v>1297</v>
      </c>
      <c r="D84" s="75" t="s">
        <v>151</v>
      </c>
      <c r="G84" s="62" t="s">
        <v>226</v>
      </c>
      <c r="H84" s="50" t="s">
        <v>237</v>
      </c>
      <c r="J84" s="50" t="s">
        <v>226</v>
      </c>
      <c r="K84" s="64">
        <v>0</v>
      </c>
      <c r="M84" s="72">
        <v>21.2</v>
      </c>
      <c r="N84" s="50" t="s">
        <v>153</v>
      </c>
      <c r="O84" s="50" t="s">
        <v>236</v>
      </c>
      <c r="P84" s="64">
        <f>(C13)</f>
        <v>576.79999999999995</v>
      </c>
      <c r="Q84" s="50" t="s">
        <v>153</v>
      </c>
      <c r="R84" s="64">
        <f>(M84*P84)</f>
        <v>12228.159999999998</v>
      </c>
      <c r="T84" s="62" t="s">
        <v>226</v>
      </c>
      <c r="U84" s="50" t="s">
        <v>237</v>
      </c>
      <c r="W84" s="50" t="s">
        <v>226</v>
      </c>
      <c r="X84" s="64">
        <v>0</v>
      </c>
      <c r="Y84" s="64"/>
      <c r="AG84" s="72"/>
      <c r="AI84" s="50"/>
      <c r="AP84" s="88">
        <v>9</v>
      </c>
      <c r="AQ84" s="62" t="s">
        <v>249</v>
      </c>
      <c r="AR84" s="50" t="s">
        <v>781</v>
      </c>
      <c r="AT84" s="55"/>
    </row>
    <row r="85" spans="1:47" ht="15.75">
      <c r="A85" s="74">
        <f t="shared" si="12"/>
        <v>73</v>
      </c>
      <c r="B85" s="75" t="s">
        <v>315</v>
      </c>
      <c r="C85" s="76">
        <f t="shared" si="14"/>
        <v>1637.95</v>
      </c>
      <c r="D85" s="75" t="s">
        <v>151</v>
      </c>
      <c r="K85" s="59" t="s">
        <v>21</v>
      </c>
      <c r="N85" s="50" t="s">
        <v>226</v>
      </c>
      <c r="O85" s="50" t="s">
        <v>237</v>
      </c>
      <c r="Q85" s="50" t="s">
        <v>226</v>
      </c>
      <c r="R85" s="64">
        <v>0</v>
      </c>
      <c r="T85" s="53"/>
      <c r="W85" s="55"/>
      <c r="X85" s="59" t="s">
        <v>21</v>
      </c>
      <c r="Y85" s="59"/>
      <c r="AG85" s="72"/>
      <c r="AI85" s="50"/>
      <c r="AQ85" s="53"/>
      <c r="AR85" s="50" t="str">
        <f>AR61</f>
        <v>Bricks of size 23x11x7 cm</v>
      </c>
      <c r="AT85" s="55"/>
    </row>
    <row r="86" spans="1:47" ht="15.75">
      <c r="A86" s="74">
        <f t="shared" si="12"/>
        <v>74</v>
      </c>
      <c r="B86" s="75" t="s">
        <v>782</v>
      </c>
      <c r="C86" s="76">
        <f t="shared" si="14"/>
        <v>34300</v>
      </c>
      <c r="D86" s="75" t="s">
        <v>151</v>
      </c>
      <c r="H86" s="50" t="s">
        <v>263</v>
      </c>
      <c r="K86" s="64">
        <f>SUM(K81:K84)</f>
        <v>2488.7333333333331</v>
      </c>
      <c r="R86" s="59" t="s">
        <v>21</v>
      </c>
      <c r="T86" s="53"/>
      <c r="U86" s="50" t="s">
        <v>263</v>
      </c>
      <c r="W86" s="55"/>
      <c r="X86" s="64">
        <f>SUM(X81:X84)</f>
        <v>1690.7333333333331</v>
      </c>
      <c r="Y86" s="64"/>
      <c r="AG86" s="72"/>
      <c r="AI86" s="50"/>
      <c r="AQ86" s="53"/>
      <c r="AR86" s="59" t="s">
        <v>21</v>
      </c>
      <c r="AT86" s="55"/>
    </row>
    <row r="87" spans="1:47" ht="15.75">
      <c r="A87" s="74">
        <f t="shared" si="12"/>
        <v>75</v>
      </c>
      <c r="B87" s="75" t="s">
        <v>783</v>
      </c>
      <c r="C87" s="76">
        <f t="shared" si="14"/>
        <v>39400</v>
      </c>
      <c r="D87" s="75" t="s">
        <v>151</v>
      </c>
      <c r="K87" s="59" t="s">
        <v>21</v>
      </c>
      <c r="O87" s="50" t="s">
        <v>263</v>
      </c>
      <c r="R87" s="64">
        <f>SUM(R79:R85)</f>
        <v>76733.959999999992</v>
      </c>
      <c r="T87" s="53"/>
      <c r="W87" s="55"/>
      <c r="X87" s="59" t="s">
        <v>21</v>
      </c>
      <c r="Y87" s="59"/>
      <c r="AG87" s="72"/>
      <c r="AI87" s="50"/>
      <c r="AP87" s="64">
        <f>AP63</f>
        <v>1300</v>
      </c>
      <c r="AQ87" s="62" t="s">
        <v>267</v>
      </c>
      <c r="AR87" s="64" t="str">
        <f>AR61</f>
        <v>Bricks of size 23x11x7 cm</v>
      </c>
      <c r="AS87" s="64">
        <f>AE45</f>
        <v>6714.95</v>
      </c>
      <c r="AT87" s="50" t="s">
        <v>268</v>
      </c>
      <c r="AU87" s="64">
        <f>AS87*AP87/1000</f>
        <v>8729.4349999999995</v>
      </c>
    </row>
    <row r="88" spans="1:47" ht="15.75">
      <c r="A88" s="74">
        <f t="shared" si="12"/>
        <v>76</v>
      </c>
      <c r="B88" s="75" t="s">
        <v>784</v>
      </c>
      <c r="C88" s="76">
        <f t="shared" si="14"/>
        <v>111600</v>
      </c>
      <c r="D88" s="75" t="s">
        <v>151</v>
      </c>
      <c r="H88" s="54" t="s">
        <v>785</v>
      </c>
      <c r="I88" s="65" t="s">
        <v>265</v>
      </c>
      <c r="J88" s="110"/>
      <c r="K88" s="63">
        <f>(K86/10)</f>
        <v>248.87333333333331</v>
      </c>
      <c r="R88" s="59" t="s">
        <v>21</v>
      </c>
      <c r="T88" s="53"/>
      <c r="U88" s="54" t="s">
        <v>785</v>
      </c>
      <c r="V88" s="65" t="s">
        <v>265</v>
      </c>
      <c r="W88" s="110"/>
      <c r="X88" s="63">
        <f>(X86/10)</f>
        <v>169.07333333333332</v>
      </c>
      <c r="Y88" s="63"/>
      <c r="AG88" s="72"/>
      <c r="AI88" s="50"/>
      <c r="AP88" s="100">
        <f>AP64</f>
        <v>0.70799999999999996</v>
      </c>
      <c r="AQ88" s="62" t="s">
        <v>151</v>
      </c>
      <c r="AR88" s="50" t="s">
        <v>260</v>
      </c>
      <c r="AS88" s="64">
        <f>K58</f>
        <v>3630.7000000000003</v>
      </c>
      <c r="AT88" s="50" t="s">
        <v>151</v>
      </c>
      <c r="AU88" s="64">
        <f>AS88*AP88</f>
        <v>2570.5356000000002</v>
      </c>
    </row>
    <row r="89" spans="1:47" ht="15.75">
      <c r="A89" s="74">
        <f t="shared" si="12"/>
        <v>77</v>
      </c>
      <c r="B89" s="75" t="s">
        <v>786</v>
      </c>
      <c r="C89" s="76">
        <f t="shared" si="14"/>
        <v>99400</v>
      </c>
      <c r="D89" s="75" t="s">
        <v>151</v>
      </c>
      <c r="I89" s="65" t="s">
        <v>266</v>
      </c>
      <c r="J89" s="110"/>
      <c r="K89" s="61">
        <f>ROUND(K88+C36,2)</f>
        <v>256.97000000000003</v>
      </c>
      <c r="O89" s="50" t="s">
        <v>270</v>
      </c>
      <c r="R89" s="64">
        <f>(R87/10)</f>
        <v>7673.3959999999988</v>
      </c>
      <c r="T89" s="53"/>
      <c r="V89" s="65" t="s">
        <v>266</v>
      </c>
      <c r="W89" s="110"/>
      <c r="X89" s="61">
        <f>ROUND(X88+C36,2)</f>
        <v>177.17</v>
      </c>
      <c r="Y89" s="61"/>
      <c r="AG89" s="72"/>
      <c r="AI89" s="50"/>
      <c r="AP89" s="64">
        <v>1</v>
      </c>
      <c r="AQ89" s="62" t="s">
        <v>153</v>
      </c>
      <c r="AR89" s="50" t="s">
        <v>269</v>
      </c>
      <c r="AS89" s="64">
        <f>AS65</f>
        <v>1076.5999999999999</v>
      </c>
      <c r="AT89" s="50" t="s">
        <v>153</v>
      </c>
      <c r="AU89" s="64">
        <f>AS89*AP89</f>
        <v>1076.5999999999999</v>
      </c>
    </row>
    <row r="90" spans="1:47" ht="47.25">
      <c r="A90" s="74">
        <f t="shared" si="12"/>
        <v>78</v>
      </c>
      <c r="B90" s="75" t="s">
        <v>787</v>
      </c>
      <c r="C90" s="76">
        <f>AE28</f>
        <v>95000</v>
      </c>
      <c r="D90" s="75" t="s">
        <v>151</v>
      </c>
      <c r="F90" s="88" t="s">
        <v>788</v>
      </c>
      <c r="H90" s="111" t="s">
        <v>789</v>
      </c>
      <c r="I90" s="65" t="s">
        <v>265</v>
      </c>
      <c r="J90" s="110"/>
      <c r="K90" s="63">
        <f>K88-K83/10</f>
        <v>235.2</v>
      </c>
      <c r="R90" s="59" t="s">
        <v>156</v>
      </c>
      <c r="S90" s="107" t="s">
        <v>788</v>
      </c>
      <c r="T90" s="53"/>
      <c r="U90" s="111" t="s">
        <v>790</v>
      </c>
      <c r="V90" s="65" t="s">
        <v>265</v>
      </c>
      <c r="W90" s="110"/>
      <c r="X90" s="63">
        <f>X88-X83/10</f>
        <v>157.07999999999998</v>
      </c>
      <c r="Y90" s="63"/>
      <c r="AG90" s="72"/>
      <c r="AI90" s="50"/>
      <c r="AP90" s="64">
        <v>3</v>
      </c>
      <c r="AQ90" s="62" t="s">
        <v>153</v>
      </c>
      <c r="AR90" s="50" t="s">
        <v>234</v>
      </c>
      <c r="AS90" s="64">
        <f>AS66</f>
        <v>1005.1999999999999</v>
      </c>
      <c r="AT90" s="50" t="s">
        <v>153</v>
      </c>
      <c r="AU90" s="64">
        <f>AS90*AP90</f>
        <v>3015.6</v>
      </c>
    </row>
    <row r="91" spans="1:47" ht="15.75">
      <c r="A91" s="74">
        <f t="shared" si="12"/>
        <v>79</v>
      </c>
      <c r="B91" s="75" t="s">
        <v>791</v>
      </c>
      <c r="C91" s="76">
        <f t="shared" si="14"/>
        <v>4931.59</v>
      </c>
      <c r="D91" s="75" t="s">
        <v>297</v>
      </c>
      <c r="I91" s="65" t="s">
        <v>266</v>
      </c>
      <c r="J91" s="110"/>
      <c r="K91" s="61">
        <f>ROUND(K90+C36,2)</f>
        <v>243.3</v>
      </c>
      <c r="T91" s="53"/>
      <c r="V91" s="65" t="s">
        <v>266</v>
      </c>
      <c r="W91" s="110"/>
      <c r="X91" s="61">
        <f>ROUND(X90+C36,2)</f>
        <v>165.18</v>
      </c>
      <c r="Y91" s="61"/>
      <c r="AG91" s="72"/>
      <c r="AI91" s="50"/>
      <c r="AP91" s="64">
        <v>2</v>
      </c>
      <c r="AQ91" s="62" t="s">
        <v>153</v>
      </c>
      <c r="AR91" s="50" t="s">
        <v>235</v>
      </c>
      <c r="AS91" s="64">
        <f>AS67</f>
        <v>702.8</v>
      </c>
      <c r="AT91" s="50" t="s">
        <v>153</v>
      </c>
      <c r="AU91" s="64">
        <f>AS91*AP91</f>
        <v>1405.6</v>
      </c>
    </row>
    <row r="92" spans="1:47" ht="15.75">
      <c r="A92" s="90"/>
      <c r="B92" s="90"/>
      <c r="C92" s="90"/>
      <c r="D92" s="90"/>
      <c r="F92" s="88" t="s">
        <v>792</v>
      </c>
      <c r="G92" s="62" t="s">
        <v>150</v>
      </c>
      <c r="H92" s="50" t="s">
        <v>793</v>
      </c>
      <c r="S92" s="107"/>
      <c r="T92" s="62"/>
      <c r="U92" s="50"/>
      <c r="W92" s="55"/>
      <c r="AG92" s="72"/>
      <c r="AP92" s="64">
        <v>6</v>
      </c>
      <c r="AQ92" s="62" t="s">
        <v>153</v>
      </c>
      <c r="AR92" s="50" t="s">
        <v>236</v>
      </c>
      <c r="AS92" s="64">
        <f>AS68</f>
        <v>576.79999999999995</v>
      </c>
      <c r="AT92" s="50" t="s">
        <v>153</v>
      </c>
      <c r="AU92" s="64">
        <f>AS92*AP92</f>
        <v>3460.7999999999997</v>
      </c>
    </row>
    <row r="93" spans="1:47" ht="15.75">
      <c r="A93" s="90"/>
      <c r="B93" s="90"/>
      <c r="C93" s="90"/>
      <c r="D93" s="90"/>
      <c r="F93" s="108" t="s">
        <v>150</v>
      </c>
      <c r="H93" s="59" t="s">
        <v>21</v>
      </c>
      <c r="M93" s="52" t="s">
        <v>794</v>
      </c>
      <c r="S93" s="109"/>
      <c r="T93" s="53"/>
      <c r="U93" s="59"/>
      <c r="W93" s="55"/>
      <c r="AG93" s="72"/>
      <c r="AQ93" s="62" t="s">
        <v>226</v>
      </c>
      <c r="AR93" s="50" t="s">
        <v>237</v>
      </c>
      <c r="AT93" s="50" t="s">
        <v>226</v>
      </c>
      <c r="AU93" s="64">
        <v>0</v>
      </c>
    </row>
    <row r="94" spans="1:47" ht="15.75">
      <c r="A94" s="90"/>
      <c r="B94" s="90"/>
      <c r="C94" s="90"/>
      <c r="D94" s="90"/>
      <c r="F94" s="64">
        <v>10</v>
      </c>
      <c r="G94" s="62" t="s">
        <v>151</v>
      </c>
      <c r="H94" s="50" t="s">
        <v>795</v>
      </c>
      <c r="I94" s="64">
        <f>D61</f>
        <v>175.28</v>
      </c>
      <c r="J94" s="50" t="s">
        <v>151</v>
      </c>
      <c r="K94" s="64">
        <f>(F94*I94)</f>
        <v>1752.8</v>
      </c>
      <c r="M94" s="52">
        <v>23.2</v>
      </c>
      <c r="S94" s="100"/>
      <c r="T94" s="62"/>
      <c r="U94" s="50"/>
      <c r="V94" s="64"/>
      <c r="W94" s="50"/>
      <c r="X94" s="64"/>
      <c r="Y94" s="64"/>
      <c r="AG94" s="72"/>
      <c r="AQ94" s="53"/>
      <c r="AT94" s="55"/>
      <c r="AU94" s="59" t="s">
        <v>21</v>
      </c>
    </row>
    <row r="95" spans="1:47" ht="15.75">
      <c r="A95" s="90"/>
      <c r="B95" s="90"/>
      <c r="C95" s="90"/>
      <c r="D95" s="90"/>
      <c r="F95" s="64">
        <v>10</v>
      </c>
      <c r="G95" s="62" t="s">
        <v>151</v>
      </c>
      <c r="H95" s="50" t="s">
        <v>778</v>
      </c>
      <c r="I95" s="64">
        <f>D61</f>
        <v>175.28</v>
      </c>
      <c r="J95" s="50" t="s">
        <v>151</v>
      </c>
      <c r="K95" s="64">
        <f>(F95*I95)</f>
        <v>1752.8</v>
      </c>
      <c r="M95" s="52">
        <v>23.2</v>
      </c>
      <c r="S95" s="100"/>
      <c r="T95" s="62"/>
      <c r="U95" s="50"/>
      <c r="V95" s="64"/>
      <c r="W95" s="50"/>
      <c r="X95" s="64"/>
      <c r="Y95" s="64"/>
      <c r="AG95" s="72"/>
      <c r="AQ95" s="53"/>
      <c r="AR95" s="50" t="s">
        <v>263</v>
      </c>
      <c r="AT95" s="55"/>
      <c r="AU95" s="64">
        <f>SUM(AU87:AU93)</f>
        <v>20258.570599999999</v>
      </c>
    </row>
    <row r="96" spans="1:47" ht="15.75">
      <c r="A96" s="90"/>
      <c r="B96" s="90"/>
      <c r="C96" s="90"/>
      <c r="D96" s="90"/>
      <c r="F96" s="64">
        <v>10</v>
      </c>
      <c r="G96" s="62" t="s">
        <v>151</v>
      </c>
      <c r="H96" s="50" t="s">
        <v>262</v>
      </c>
      <c r="I96" s="64">
        <f>I83</f>
        <v>13.673333333333332</v>
      </c>
      <c r="J96" s="50" t="s">
        <v>151</v>
      </c>
      <c r="K96" s="64">
        <f>(F96*I96)</f>
        <v>136.73333333333332</v>
      </c>
      <c r="M96" s="52">
        <f>I96</f>
        <v>13.673333333333332</v>
      </c>
      <c r="S96" s="100"/>
      <c r="T96" s="62"/>
      <c r="U96" s="50"/>
      <c r="V96" s="64"/>
      <c r="W96" s="50"/>
      <c r="X96" s="64"/>
      <c r="Y96" s="64"/>
      <c r="AG96" s="72"/>
      <c r="AQ96" s="53"/>
      <c r="AT96" s="55"/>
      <c r="AU96" s="59" t="s">
        <v>21</v>
      </c>
    </row>
    <row r="97" spans="1:50" ht="15.75">
      <c r="A97" s="90"/>
      <c r="B97" s="90"/>
      <c r="C97" s="90"/>
      <c r="D97" s="90"/>
      <c r="G97" s="62" t="s">
        <v>226</v>
      </c>
      <c r="H97" s="50" t="s">
        <v>237</v>
      </c>
      <c r="J97" s="50" t="s">
        <v>226</v>
      </c>
      <c r="K97" s="64">
        <v>0</v>
      </c>
      <c r="M97" s="52">
        <f>SUM(M94:M96)</f>
        <v>60.073333333333331</v>
      </c>
      <c r="T97" s="62"/>
      <c r="U97" s="50"/>
      <c r="W97" s="50"/>
      <c r="X97" s="64"/>
      <c r="Y97" s="64"/>
      <c r="AG97" s="72"/>
      <c r="AQ97" s="53"/>
      <c r="AR97" s="51" t="s">
        <v>270</v>
      </c>
      <c r="AT97" s="55"/>
      <c r="AU97" s="64">
        <f>(AU95/2.83168)</f>
        <v>7154.2584614080688</v>
      </c>
    </row>
    <row r="98" spans="1:50" ht="15.75">
      <c r="A98" s="90"/>
      <c r="B98" s="90"/>
      <c r="C98" s="90"/>
      <c r="D98" s="90"/>
      <c r="K98" s="59" t="s">
        <v>21</v>
      </c>
      <c r="T98" s="53"/>
      <c r="W98" s="55"/>
      <c r="X98" s="59"/>
      <c r="Y98" s="59"/>
      <c r="AG98" s="72"/>
      <c r="AQ98" s="53"/>
      <c r="AT98" s="55"/>
      <c r="AU98" s="59" t="s">
        <v>156</v>
      </c>
    </row>
    <row r="99" spans="1:50" ht="15.75">
      <c r="A99" s="90"/>
      <c r="B99" s="90"/>
      <c r="C99" s="90"/>
      <c r="D99" s="90"/>
      <c r="H99" s="50" t="s">
        <v>263</v>
      </c>
      <c r="K99" s="64">
        <f>SUM(K94:K97)</f>
        <v>3642.333333333333</v>
      </c>
      <c r="T99" s="53"/>
      <c r="U99" s="50"/>
      <c r="W99" s="55"/>
      <c r="X99" s="64"/>
      <c r="Y99" s="64"/>
      <c r="AG99" s="72"/>
      <c r="AQ99" s="53"/>
      <c r="AR99" s="50" t="s">
        <v>271</v>
      </c>
      <c r="AT99" s="55"/>
      <c r="AU99" s="63">
        <f>AU97+C19</f>
        <v>7237.1384614080689</v>
      </c>
      <c r="AW99" s="52">
        <f>AU99*22.69/100</f>
        <v>1642.1067168934908</v>
      </c>
      <c r="AX99" s="52">
        <f>AU99-AW99</f>
        <v>5595.0317445145783</v>
      </c>
    </row>
    <row r="100" spans="1:50" ht="15.75">
      <c r="A100" s="90"/>
      <c r="B100" s="90"/>
      <c r="C100" s="90"/>
      <c r="D100" s="90"/>
      <c r="K100" s="59" t="s">
        <v>21</v>
      </c>
      <c r="T100" s="53"/>
      <c r="W100" s="55"/>
      <c r="X100" s="59"/>
      <c r="Y100" s="59"/>
      <c r="AG100" s="72"/>
      <c r="AQ100" s="53"/>
      <c r="AR100" s="50" t="s">
        <v>272</v>
      </c>
      <c r="AT100" s="55"/>
      <c r="AU100" s="63">
        <f>(AU99+C20)</f>
        <v>7404.1584614080693</v>
      </c>
      <c r="AW100" s="52">
        <f t="shared" ref="AW100:AW163" si="15">AU100*22.69/100</f>
        <v>1680.0035548934911</v>
      </c>
      <c r="AX100" s="52">
        <f t="shared" ref="AX100:AX163" si="16">AU100-AW100</f>
        <v>5724.1549065145782</v>
      </c>
    </row>
    <row r="101" spans="1:50" ht="15.75">
      <c r="A101" s="90"/>
      <c r="B101" s="90"/>
      <c r="C101" s="90"/>
      <c r="D101" s="90"/>
      <c r="H101" s="54" t="s">
        <v>785</v>
      </c>
      <c r="I101" s="65" t="s">
        <v>265</v>
      </c>
      <c r="J101" s="110"/>
      <c r="K101" s="63">
        <f>(K99/10)</f>
        <v>364.23333333333329</v>
      </c>
      <c r="M101" s="52">
        <f>SUM(M94:M95)</f>
        <v>46.4</v>
      </c>
      <c r="T101" s="53"/>
      <c r="U101" s="54"/>
      <c r="V101" s="65"/>
      <c r="W101" s="110"/>
      <c r="X101" s="63"/>
      <c r="Y101" s="63"/>
      <c r="AG101" s="72"/>
      <c r="AQ101" s="53"/>
      <c r="AR101" s="50" t="s">
        <v>767</v>
      </c>
      <c r="AT101" s="55"/>
      <c r="AU101" s="63">
        <f>(AU100+C20)</f>
        <v>7571.1784614080698</v>
      </c>
      <c r="AW101" s="52">
        <f t="shared" si="15"/>
        <v>1717.900392893491</v>
      </c>
      <c r="AX101" s="52">
        <f t="shared" si="16"/>
        <v>5853.278068514579</v>
      </c>
    </row>
    <row r="102" spans="1:50" ht="15.75">
      <c r="A102" s="90"/>
      <c r="B102" s="90"/>
      <c r="C102" s="90"/>
      <c r="D102" s="90"/>
      <c r="I102" s="65" t="s">
        <v>266</v>
      </c>
      <c r="J102" s="110"/>
      <c r="K102" s="61">
        <f>ROUND(K101+C36,2)</f>
        <v>372.33</v>
      </c>
      <c r="T102" s="53"/>
      <c r="V102" s="65"/>
      <c r="W102" s="110"/>
      <c r="X102" s="61"/>
      <c r="Y102" s="61"/>
      <c r="AG102" s="72"/>
      <c r="AQ102" s="53"/>
      <c r="AR102" s="50" t="s">
        <v>769</v>
      </c>
      <c r="AT102" s="55"/>
      <c r="AU102" s="63">
        <f>(AU101+C20)</f>
        <v>7738.1984614080702</v>
      </c>
      <c r="AW102" s="52">
        <f t="shared" si="15"/>
        <v>1755.7972308934914</v>
      </c>
      <c r="AX102" s="52">
        <f t="shared" si="16"/>
        <v>5982.4012305145789</v>
      </c>
    </row>
    <row r="103" spans="1:50" ht="15.75">
      <c r="A103" s="90"/>
      <c r="B103" s="90"/>
      <c r="C103" s="90"/>
      <c r="D103" s="90"/>
      <c r="I103" s="65"/>
      <c r="J103" s="110"/>
      <c r="K103" s="67"/>
      <c r="T103" s="53"/>
      <c r="V103" s="65"/>
      <c r="W103" s="110"/>
      <c r="X103" s="67"/>
      <c r="Y103" s="67"/>
      <c r="AG103" s="72"/>
      <c r="AP103" s="50" t="s">
        <v>150</v>
      </c>
      <c r="AQ103" s="53"/>
      <c r="AR103" s="50" t="s">
        <v>773</v>
      </c>
      <c r="AT103" s="55"/>
      <c r="AU103" s="63">
        <f>(AU102+C20)</f>
        <v>7905.2184614080707</v>
      </c>
      <c r="AW103" s="52">
        <f t="shared" si="15"/>
        <v>1793.6940688934912</v>
      </c>
      <c r="AX103" s="52">
        <f t="shared" si="16"/>
        <v>6111.5243925145796</v>
      </c>
    </row>
    <row r="104" spans="1:50" ht="15.75">
      <c r="A104" s="90"/>
      <c r="B104" s="90"/>
      <c r="C104" s="90"/>
      <c r="D104" s="90"/>
      <c r="F104" s="101">
        <v>1.7</v>
      </c>
      <c r="H104" s="111" t="s">
        <v>796</v>
      </c>
      <c r="I104" s="65" t="s">
        <v>265</v>
      </c>
      <c r="J104" s="110"/>
      <c r="K104" s="61">
        <f>ROUND(K101-K96/10,2)</f>
        <v>350.56</v>
      </c>
      <c r="S104" s="107"/>
      <c r="T104" s="53"/>
      <c r="U104" s="111"/>
      <c r="V104" s="65"/>
      <c r="W104" s="110"/>
      <c r="X104" s="61"/>
      <c r="Y104" s="61"/>
      <c r="AG104" s="72"/>
      <c r="AP104" s="88">
        <v>27</v>
      </c>
      <c r="AQ104" s="62" t="s">
        <v>249</v>
      </c>
      <c r="AR104" s="50" t="s">
        <v>797</v>
      </c>
      <c r="AT104" s="55"/>
    </row>
    <row r="105" spans="1:50" ht="15.75">
      <c r="A105" s="90"/>
      <c r="B105" s="90"/>
      <c r="C105" s="90"/>
      <c r="D105" s="90"/>
      <c r="I105" s="65" t="s">
        <v>266</v>
      </c>
      <c r="J105" s="110"/>
      <c r="K105" s="61">
        <f>ROUND(K104+C36,2)</f>
        <v>358.66</v>
      </c>
      <c r="T105" s="53"/>
      <c r="V105" s="65"/>
      <c r="W105" s="110"/>
      <c r="X105" s="61"/>
      <c r="Y105" s="61"/>
      <c r="AG105" s="72"/>
      <c r="AQ105" s="53"/>
      <c r="AR105" s="50" t="str">
        <f>AR85</f>
        <v>Bricks of size 23x11x7 cm</v>
      </c>
      <c r="AT105" s="55"/>
    </row>
    <row r="106" spans="1:50" ht="15.75">
      <c r="A106" s="90"/>
      <c r="B106" s="90"/>
      <c r="C106" s="90"/>
      <c r="D106" s="90"/>
      <c r="K106" s="59"/>
      <c r="T106" s="53"/>
      <c r="W106" s="55"/>
      <c r="X106" s="59"/>
      <c r="Y106" s="59"/>
      <c r="AG106" s="72"/>
      <c r="AQ106" s="53"/>
      <c r="AR106" s="59" t="s">
        <v>21</v>
      </c>
      <c r="AT106" s="55"/>
    </row>
    <row r="107" spans="1:50" ht="15.75">
      <c r="A107" s="90"/>
      <c r="B107" s="90"/>
      <c r="C107" s="90"/>
      <c r="D107" s="90"/>
      <c r="K107" s="59"/>
      <c r="T107" s="53"/>
      <c r="W107" s="55"/>
      <c r="X107" s="59"/>
      <c r="Y107" s="59"/>
      <c r="AG107" s="72"/>
      <c r="AP107" s="64">
        <v>1300</v>
      </c>
      <c r="AQ107" s="62" t="s">
        <v>267</v>
      </c>
      <c r="AR107" s="64" t="str">
        <f>AR61</f>
        <v>Bricks of size 23x11x7 cm</v>
      </c>
      <c r="AS107" s="64">
        <f>AE45</f>
        <v>6714.95</v>
      </c>
      <c r="AT107" s="50" t="s">
        <v>268</v>
      </c>
      <c r="AU107" s="64">
        <f>(AP107*AS107)/1000</f>
        <v>8729.4349999999995</v>
      </c>
      <c r="AW107" s="52">
        <f t="shared" si="15"/>
        <v>1980.7088015000002</v>
      </c>
      <c r="AX107" s="52">
        <f t="shared" si="16"/>
        <v>6748.7261984999996</v>
      </c>
    </row>
    <row r="108" spans="1:50" ht="31.5">
      <c r="A108" s="90"/>
      <c r="B108" s="90"/>
      <c r="C108" s="90"/>
      <c r="D108" s="90"/>
      <c r="F108" s="101">
        <v>1.4</v>
      </c>
      <c r="G108" s="62" t="s">
        <v>150</v>
      </c>
      <c r="H108" s="2125" t="s">
        <v>798</v>
      </c>
      <c r="I108" s="2125"/>
      <c r="J108" s="2125"/>
      <c r="K108" s="2125"/>
      <c r="S108" s="107">
        <v>1.4</v>
      </c>
      <c r="T108" s="62" t="s">
        <v>150</v>
      </c>
      <c r="U108" s="112" t="s">
        <v>798</v>
      </c>
      <c r="W108" s="55"/>
      <c r="AG108" s="72"/>
      <c r="AP108" s="100">
        <v>0.70799999999999996</v>
      </c>
      <c r="AQ108" s="62" t="s">
        <v>151</v>
      </c>
      <c r="AR108" s="50" t="s">
        <v>258</v>
      </c>
      <c r="AS108" s="64">
        <f>K40</f>
        <v>4326.7</v>
      </c>
      <c r="AT108" s="50" t="s">
        <v>151</v>
      </c>
      <c r="AU108" s="64">
        <f>(AP108*AS108)</f>
        <v>3063.3035999999997</v>
      </c>
      <c r="AW108" s="52">
        <f t="shared" si="15"/>
        <v>695.06358683999997</v>
      </c>
      <c r="AX108" s="52">
        <f t="shared" si="16"/>
        <v>2368.2400131599998</v>
      </c>
    </row>
    <row r="109" spans="1:50" ht="15.75">
      <c r="A109" s="90"/>
      <c r="B109" s="90"/>
      <c r="C109" s="90"/>
      <c r="D109" s="90"/>
      <c r="T109" s="53"/>
      <c r="W109" s="55"/>
      <c r="AG109" s="72"/>
      <c r="AP109" s="64">
        <v>1</v>
      </c>
      <c r="AQ109" s="62" t="s">
        <v>153</v>
      </c>
      <c r="AR109" s="50" t="s">
        <v>269</v>
      </c>
      <c r="AS109" s="64">
        <f>AS89</f>
        <v>1076.5999999999999</v>
      </c>
      <c r="AT109" s="50" t="s">
        <v>153</v>
      </c>
      <c r="AU109" s="64">
        <f>(AP109*AS109)</f>
        <v>1076.5999999999999</v>
      </c>
      <c r="AW109" s="52">
        <f t="shared" si="15"/>
        <v>244.28054</v>
      </c>
      <c r="AX109" s="52">
        <f t="shared" si="16"/>
        <v>832.31945999999994</v>
      </c>
    </row>
    <row r="110" spans="1:50" ht="15.75">
      <c r="A110" s="90"/>
      <c r="B110" s="90"/>
      <c r="C110" s="90"/>
      <c r="D110" s="90"/>
      <c r="F110" s="64">
        <v>10</v>
      </c>
      <c r="G110" s="62" t="s">
        <v>151</v>
      </c>
      <c r="H110" s="50" t="s">
        <v>261</v>
      </c>
      <c r="I110" s="64">
        <f>C61</f>
        <v>117.6</v>
      </c>
      <c r="J110" s="50" t="s">
        <v>151</v>
      </c>
      <c r="K110" s="64">
        <f>(F110*I110)</f>
        <v>1176</v>
      </c>
      <c r="S110" s="100">
        <v>10</v>
      </c>
      <c r="T110" s="62" t="s">
        <v>151</v>
      </c>
      <c r="U110" s="50" t="s">
        <v>261</v>
      </c>
      <c r="V110" s="64">
        <f>V81</f>
        <v>78.539999999999992</v>
      </c>
      <c r="W110" s="50" t="s">
        <v>151</v>
      </c>
      <c r="X110" s="64">
        <f>(S110*V110)</f>
        <v>785.39999999999986</v>
      </c>
      <c r="Y110" s="64"/>
      <c r="AG110" s="72"/>
      <c r="AP110" s="64">
        <v>3</v>
      </c>
      <c r="AQ110" s="62" t="s">
        <v>153</v>
      </c>
      <c r="AR110" s="50" t="s">
        <v>234</v>
      </c>
      <c r="AS110" s="64">
        <f>AS90</f>
        <v>1005.1999999999999</v>
      </c>
      <c r="AT110" s="50" t="s">
        <v>153</v>
      </c>
      <c r="AU110" s="64">
        <f>(AP110*AS110)</f>
        <v>3015.6</v>
      </c>
      <c r="AW110" s="52">
        <f t="shared" si="15"/>
        <v>684.23964000000012</v>
      </c>
      <c r="AX110" s="52">
        <f t="shared" si="16"/>
        <v>2331.3603599999997</v>
      </c>
    </row>
    <row r="111" spans="1:50" ht="15.75">
      <c r="A111" s="90"/>
      <c r="B111" s="90"/>
      <c r="C111" s="90"/>
      <c r="D111" s="90"/>
      <c r="F111" s="64">
        <v>10</v>
      </c>
      <c r="G111" s="62" t="s">
        <v>151</v>
      </c>
      <c r="H111" s="50" t="s">
        <v>262</v>
      </c>
      <c r="I111" s="64">
        <f>I83</f>
        <v>13.673333333333332</v>
      </c>
      <c r="J111" s="50" t="s">
        <v>151</v>
      </c>
      <c r="K111" s="64">
        <f>(F111*I111)</f>
        <v>136.73333333333332</v>
      </c>
      <c r="S111" s="100">
        <v>10</v>
      </c>
      <c r="T111" s="62" t="s">
        <v>151</v>
      </c>
      <c r="U111" s="50" t="s">
        <v>262</v>
      </c>
      <c r="V111" s="64">
        <f>V83</f>
        <v>11.993333333333332</v>
      </c>
      <c r="W111" s="50" t="s">
        <v>151</v>
      </c>
      <c r="X111" s="64">
        <f>(S111*V111)</f>
        <v>119.93333333333332</v>
      </c>
      <c r="Y111" s="64"/>
      <c r="AG111" s="72"/>
      <c r="AP111" s="64">
        <v>2</v>
      </c>
      <c r="AQ111" s="62" t="s">
        <v>153</v>
      </c>
      <c r="AR111" s="50" t="s">
        <v>235</v>
      </c>
      <c r="AS111" s="64">
        <f>AS91</f>
        <v>702.8</v>
      </c>
      <c r="AT111" s="50" t="s">
        <v>153</v>
      </c>
      <c r="AU111" s="64">
        <f>(AP111*AS111)</f>
        <v>1405.6</v>
      </c>
      <c r="AW111" s="52">
        <f t="shared" si="15"/>
        <v>318.93063999999998</v>
      </c>
      <c r="AX111" s="52">
        <f t="shared" si="16"/>
        <v>1086.6693599999999</v>
      </c>
    </row>
    <row r="112" spans="1:50" ht="15.75">
      <c r="A112" s="90"/>
      <c r="B112" s="90"/>
      <c r="C112" s="90"/>
      <c r="D112" s="90"/>
      <c r="G112" s="62" t="s">
        <v>226</v>
      </c>
      <c r="H112" s="50" t="s">
        <v>237</v>
      </c>
      <c r="J112" s="50" t="s">
        <v>226</v>
      </c>
      <c r="K112" s="64">
        <v>0</v>
      </c>
      <c r="T112" s="62" t="s">
        <v>226</v>
      </c>
      <c r="U112" s="50" t="s">
        <v>237</v>
      </c>
      <c r="W112" s="50" t="s">
        <v>226</v>
      </c>
      <c r="X112" s="64">
        <v>0</v>
      </c>
      <c r="Y112" s="64"/>
      <c r="AG112" s="72"/>
      <c r="AP112" s="64">
        <v>6</v>
      </c>
      <c r="AQ112" s="62" t="s">
        <v>153</v>
      </c>
      <c r="AR112" s="50" t="s">
        <v>236</v>
      </c>
      <c r="AS112" s="64">
        <f>AS92</f>
        <v>576.79999999999995</v>
      </c>
      <c r="AT112" s="50" t="s">
        <v>153</v>
      </c>
      <c r="AU112" s="64">
        <f>(AP112*AS112)</f>
        <v>3460.7999999999997</v>
      </c>
      <c r="AW112" s="52">
        <f t="shared" si="15"/>
        <v>785.25551999999993</v>
      </c>
      <c r="AX112" s="52">
        <f t="shared" si="16"/>
        <v>2675.5444799999996</v>
      </c>
    </row>
    <row r="113" spans="1:50" ht="15.75">
      <c r="A113" s="90"/>
      <c r="B113" s="90"/>
      <c r="C113" s="90"/>
      <c r="D113" s="90"/>
      <c r="K113" s="59" t="s">
        <v>21</v>
      </c>
      <c r="T113" s="53"/>
      <c r="W113" s="55"/>
      <c r="X113" s="59" t="s">
        <v>21</v>
      </c>
      <c r="Y113" s="59"/>
      <c r="AG113" s="72"/>
      <c r="AQ113" s="62" t="s">
        <v>226</v>
      </c>
      <c r="AR113" s="50" t="s">
        <v>237</v>
      </c>
      <c r="AT113" s="50" t="s">
        <v>226</v>
      </c>
      <c r="AU113" s="64">
        <v>0</v>
      </c>
      <c r="AW113" s="52">
        <f t="shared" si="15"/>
        <v>0</v>
      </c>
      <c r="AX113" s="52">
        <f t="shared" si="16"/>
        <v>0</v>
      </c>
    </row>
    <row r="114" spans="1:50" ht="15.75">
      <c r="A114" s="90"/>
      <c r="B114" s="90"/>
      <c r="C114" s="90"/>
      <c r="D114" s="90"/>
      <c r="H114" s="50" t="s">
        <v>263</v>
      </c>
      <c r="K114" s="64">
        <f>SUM(K110:K112)</f>
        <v>1312.7333333333333</v>
      </c>
      <c r="T114" s="53"/>
      <c r="U114" s="50" t="s">
        <v>263</v>
      </c>
      <c r="W114" s="55"/>
      <c r="X114" s="64">
        <f>SUM(X110:X112)</f>
        <v>905.33333333333314</v>
      </c>
      <c r="Y114" s="64"/>
      <c r="AG114" s="72"/>
      <c r="AQ114" s="53"/>
      <c r="AT114" s="55"/>
      <c r="AU114" s="59" t="s">
        <v>21</v>
      </c>
      <c r="AW114" s="52" t="e">
        <f t="shared" si="15"/>
        <v>#VALUE!</v>
      </c>
      <c r="AX114" s="52" t="e">
        <f t="shared" si="16"/>
        <v>#VALUE!</v>
      </c>
    </row>
    <row r="115" spans="1:50" ht="15.75">
      <c r="A115" s="90"/>
      <c r="B115" s="90"/>
      <c r="C115" s="90"/>
      <c r="D115" s="90"/>
      <c r="K115" s="59" t="s">
        <v>21</v>
      </c>
      <c r="T115" s="53"/>
      <c r="W115" s="55"/>
      <c r="X115" s="59" t="s">
        <v>21</v>
      </c>
      <c r="Y115" s="59"/>
      <c r="AG115" s="72"/>
      <c r="AQ115" s="53"/>
      <c r="AR115" s="50" t="s">
        <v>263</v>
      </c>
      <c r="AT115" s="55"/>
      <c r="AU115" s="64">
        <f>SUM(AU107:AU113)</f>
        <v>20751.338599999999</v>
      </c>
      <c r="AW115" s="52">
        <f t="shared" si="15"/>
        <v>4708.4787283400001</v>
      </c>
      <c r="AX115" s="52">
        <f t="shared" si="16"/>
        <v>16042.859871659999</v>
      </c>
    </row>
    <row r="116" spans="1:50" ht="15.75">
      <c r="A116" s="90"/>
      <c r="B116" s="90"/>
      <c r="C116" s="90"/>
      <c r="D116" s="90"/>
      <c r="H116" s="50"/>
      <c r="K116" s="63">
        <f>(K114/10)</f>
        <v>131.27333333333334</v>
      </c>
      <c r="L116" s="65">
        <f>K116+C36</f>
        <v>139.37333333333333</v>
      </c>
      <c r="M116" s="52">
        <f>M94</f>
        <v>23.2</v>
      </c>
      <c r="T116" s="53"/>
      <c r="U116" s="50"/>
      <c r="W116" s="55"/>
      <c r="X116" s="63">
        <f>(X114/10)</f>
        <v>90.533333333333317</v>
      </c>
      <c r="Y116" s="63"/>
      <c r="AG116" s="72"/>
      <c r="AQ116" s="53"/>
      <c r="AT116" s="55"/>
      <c r="AU116" s="59" t="s">
        <v>21</v>
      </c>
      <c r="AW116" s="52" t="e">
        <f t="shared" si="15"/>
        <v>#VALUE!</v>
      </c>
      <c r="AX116" s="52" t="e">
        <f t="shared" si="16"/>
        <v>#VALUE!</v>
      </c>
    </row>
    <row r="117" spans="1:50" ht="15.75">
      <c r="A117" s="90"/>
      <c r="B117" s="90"/>
      <c r="C117" s="90"/>
      <c r="D117" s="90"/>
      <c r="K117" s="59"/>
      <c r="T117" s="53"/>
      <c r="W117" s="55"/>
      <c r="X117" s="59"/>
      <c r="Y117" s="59"/>
      <c r="AG117" s="72"/>
      <c r="AQ117" s="53"/>
      <c r="AR117" s="50" t="s">
        <v>270</v>
      </c>
      <c r="AT117" s="55"/>
      <c r="AU117" s="63">
        <f>(AU115/2.83168)</f>
        <v>7328.2781246468521</v>
      </c>
      <c r="AW117" s="52">
        <f t="shared" si="15"/>
        <v>1662.7863064823707</v>
      </c>
      <c r="AX117" s="52">
        <f t="shared" si="16"/>
        <v>5665.4918181644816</v>
      </c>
    </row>
    <row r="118" spans="1:50" ht="15.75">
      <c r="A118" s="90"/>
      <c r="B118" s="90"/>
      <c r="C118" s="90"/>
      <c r="D118" s="90"/>
      <c r="F118" s="101">
        <v>1.5</v>
      </c>
      <c r="H118" s="50" t="s">
        <v>264</v>
      </c>
      <c r="I118" s="65" t="s">
        <v>265</v>
      </c>
      <c r="K118" s="63">
        <f>K116-K111/10</f>
        <v>117.60000000000001</v>
      </c>
      <c r="S118" s="107">
        <v>1.5</v>
      </c>
      <c r="T118" s="53"/>
      <c r="U118" s="50" t="s">
        <v>264</v>
      </c>
      <c r="V118" s="65" t="s">
        <v>265</v>
      </c>
      <c r="W118" s="55"/>
      <c r="X118" s="63">
        <f>X116-X111/10</f>
        <v>78.539999999999992</v>
      </c>
      <c r="Y118" s="63"/>
      <c r="AG118" s="72"/>
      <c r="AQ118" s="53"/>
      <c r="AT118" s="55"/>
      <c r="AU118" s="59" t="s">
        <v>156</v>
      </c>
      <c r="AW118" s="52" t="e">
        <f t="shared" si="15"/>
        <v>#VALUE!</v>
      </c>
      <c r="AX118" s="52" t="e">
        <f t="shared" si="16"/>
        <v>#VALUE!</v>
      </c>
    </row>
    <row r="119" spans="1:50" ht="15.75">
      <c r="A119" s="90"/>
      <c r="B119" s="90"/>
      <c r="C119" s="90"/>
      <c r="D119" s="90"/>
      <c r="I119" s="65" t="s">
        <v>266</v>
      </c>
      <c r="K119" s="61">
        <f>ROUND(K118+C36,2)</f>
        <v>125.7</v>
      </c>
      <c r="T119" s="53"/>
      <c r="V119" s="65" t="s">
        <v>266</v>
      </c>
      <c r="W119" s="55"/>
      <c r="X119" s="61">
        <f>ROUND(X118+P36,2)</f>
        <v>78.540000000000006</v>
      </c>
      <c r="Y119" s="61"/>
      <c r="AG119" s="72"/>
      <c r="AQ119" s="53"/>
      <c r="AR119" s="50" t="s">
        <v>271</v>
      </c>
      <c r="AT119" s="55"/>
      <c r="AU119" s="64">
        <f>(AU117+C19)</f>
        <v>7411.1581246468522</v>
      </c>
      <c r="AV119" s="52">
        <f>AU119-AU117</f>
        <v>82.880000000000109</v>
      </c>
      <c r="AW119" s="52">
        <f t="shared" si="15"/>
        <v>1681.591778482371</v>
      </c>
      <c r="AX119" s="52">
        <f t="shared" si="16"/>
        <v>5729.5663461644817</v>
      </c>
    </row>
    <row r="120" spans="1:50" ht="15.75">
      <c r="A120" s="90"/>
      <c r="B120" s="90"/>
      <c r="C120" s="90"/>
      <c r="D120" s="90"/>
      <c r="I120" s="52" t="s">
        <v>799</v>
      </c>
      <c r="K120" s="61">
        <f>ROUND(K119+C36,2)</f>
        <v>133.80000000000001</v>
      </c>
      <c r="T120" s="53"/>
      <c r="W120" s="55"/>
      <c r="X120" s="59"/>
      <c r="Y120" s="59"/>
      <c r="AG120" s="72"/>
      <c r="AQ120" s="53"/>
      <c r="AR120" s="50" t="s">
        <v>272</v>
      </c>
      <c r="AT120" s="55"/>
      <c r="AU120" s="64">
        <f>(AU119+C20)</f>
        <v>7578.1781246468527</v>
      </c>
      <c r="AV120" s="52">
        <f>AU120-AU119</f>
        <v>167.02000000000044</v>
      </c>
      <c r="AW120" s="52">
        <f t="shared" si="15"/>
        <v>1719.4886164823711</v>
      </c>
      <c r="AX120" s="52">
        <f t="shared" si="16"/>
        <v>5858.6895081644816</v>
      </c>
    </row>
    <row r="121" spans="1:50" ht="15.75">
      <c r="A121" s="90"/>
      <c r="B121" s="90"/>
      <c r="C121" s="90"/>
      <c r="D121" s="90"/>
      <c r="I121" s="52" t="s">
        <v>800</v>
      </c>
      <c r="K121" s="61">
        <f>ROUND(K120+C36,2)</f>
        <v>141.9</v>
      </c>
      <c r="T121" s="53"/>
      <c r="W121" s="55"/>
      <c r="X121" s="59"/>
      <c r="Y121" s="59"/>
      <c r="AG121" s="72"/>
      <c r="AQ121" s="53"/>
      <c r="AR121" s="50" t="s">
        <v>767</v>
      </c>
      <c r="AT121" s="55"/>
      <c r="AU121" s="64">
        <f>(AU120+C20)</f>
        <v>7745.1981246468531</v>
      </c>
      <c r="AW121" s="52">
        <f t="shared" si="15"/>
        <v>1757.385454482371</v>
      </c>
      <c r="AX121" s="52">
        <f t="shared" si="16"/>
        <v>5987.8126701644824</v>
      </c>
    </row>
    <row r="122" spans="1:50" ht="30.75">
      <c r="A122" s="90"/>
      <c r="B122" s="90"/>
      <c r="C122" s="90"/>
      <c r="D122" s="90"/>
      <c r="F122" s="113">
        <v>1.8</v>
      </c>
      <c r="H122" s="112" t="s">
        <v>801</v>
      </c>
      <c r="K122" s="59"/>
      <c r="M122" s="51" t="s">
        <v>374</v>
      </c>
      <c r="N122" s="62" t="s">
        <v>249</v>
      </c>
      <c r="O122" s="50" t="s">
        <v>375</v>
      </c>
      <c r="Q122" s="55"/>
      <c r="S122" s="114"/>
      <c r="T122" s="53"/>
      <c r="U122" s="112"/>
      <c r="W122" s="55"/>
      <c r="X122" s="59"/>
      <c r="Y122" s="59"/>
      <c r="AG122" s="72"/>
      <c r="AQ122" s="53"/>
      <c r="AR122" s="50" t="s">
        <v>769</v>
      </c>
      <c r="AT122" s="55"/>
      <c r="AU122" s="64">
        <f>AU121+C20</f>
        <v>7912.2181246468535</v>
      </c>
      <c r="AW122" s="52">
        <f t="shared" si="15"/>
        <v>1795.2822924823713</v>
      </c>
      <c r="AX122" s="52">
        <f t="shared" si="16"/>
        <v>6116.9358321644822</v>
      </c>
    </row>
    <row r="123" spans="1:50" ht="15.75">
      <c r="A123" s="90"/>
      <c r="B123" s="90"/>
      <c r="C123" s="90"/>
      <c r="D123" s="90"/>
      <c r="K123" s="59"/>
      <c r="N123" s="53"/>
      <c r="O123" s="50" t="s">
        <v>802</v>
      </c>
      <c r="Q123" s="55"/>
      <c r="T123" s="53"/>
      <c r="W123" s="55"/>
      <c r="X123" s="59"/>
      <c r="Y123" s="59"/>
      <c r="AG123" s="72"/>
      <c r="AQ123" s="53"/>
      <c r="AR123" s="50" t="s">
        <v>773</v>
      </c>
      <c r="AT123" s="55"/>
      <c r="AU123" s="64">
        <f>AU122+C20</f>
        <v>8079.238124646854</v>
      </c>
      <c r="AW123" s="52">
        <f t="shared" si="15"/>
        <v>1833.1791304823712</v>
      </c>
      <c r="AX123" s="52">
        <f t="shared" si="16"/>
        <v>6246.058994164483</v>
      </c>
    </row>
    <row r="124" spans="1:50" ht="15.75">
      <c r="A124" s="90"/>
      <c r="B124" s="90"/>
      <c r="C124" s="90"/>
      <c r="D124" s="90"/>
      <c r="F124" s="64">
        <v>10</v>
      </c>
      <c r="G124" s="62" t="s">
        <v>151</v>
      </c>
      <c r="H124" s="50" t="s">
        <v>795</v>
      </c>
      <c r="I124" s="52">
        <f>D61</f>
        <v>175.28</v>
      </c>
      <c r="J124" s="50" t="s">
        <v>151</v>
      </c>
      <c r="K124" s="64">
        <f>(F124*I124)</f>
        <v>1752.8</v>
      </c>
      <c r="N124" s="53"/>
      <c r="O124" s="59" t="s">
        <v>21</v>
      </c>
      <c r="Q124" s="55"/>
      <c r="S124" s="100"/>
      <c r="T124" s="62"/>
      <c r="U124" s="50"/>
      <c r="W124" s="50" t="s">
        <v>151</v>
      </c>
      <c r="X124" s="64"/>
      <c r="Y124" s="64"/>
      <c r="AG124" s="72"/>
      <c r="AQ124" s="53"/>
      <c r="AR124" s="50" t="s">
        <v>803</v>
      </c>
      <c r="AT124" s="55"/>
      <c r="AU124" s="64">
        <f>(AU119+AU120+AU121+AU122)/4</f>
        <v>7661.6881246468529</v>
      </c>
      <c r="AW124" s="52">
        <f t="shared" si="15"/>
        <v>1738.4370354823709</v>
      </c>
      <c r="AX124" s="52">
        <f t="shared" si="16"/>
        <v>5923.2510891644815</v>
      </c>
    </row>
    <row r="125" spans="1:50" ht="15.75">
      <c r="A125" s="90"/>
      <c r="B125" s="90"/>
      <c r="C125" s="90"/>
      <c r="D125" s="90"/>
      <c r="G125" s="53" t="s">
        <v>287</v>
      </c>
      <c r="J125" s="55" t="s">
        <v>287</v>
      </c>
      <c r="K125" s="64">
        <v>0</v>
      </c>
      <c r="M125" s="64">
        <v>1</v>
      </c>
      <c r="N125" s="62" t="s">
        <v>151</v>
      </c>
      <c r="O125" s="50" t="s">
        <v>804</v>
      </c>
      <c r="P125" s="64">
        <f>AE39</f>
        <v>157</v>
      </c>
      <c r="Q125" s="50" t="s">
        <v>151</v>
      </c>
      <c r="R125" s="64">
        <f>(M125*P125)</f>
        <v>157</v>
      </c>
      <c r="T125" s="53"/>
      <c r="W125" s="55" t="s">
        <v>287</v>
      </c>
      <c r="X125" s="64"/>
      <c r="Y125" s="64"/>
      <c r="AG125" s="72"/>
      <c r="AQ125" s="53"/>
    </row>
    <row r="126" spans="1:50" ht="15.75">
      <c r="A126" s="90"/>
      <c r="B126" s="90"/>
      <c r="C126" s="90"/>
      <c r="D126" s="90"/>
      <c r="K126" s="59" t="s">
        <v>21</v>
      </c>
      <c r="M126" s="64">
        <v>1</v>
      </c>
      <c r="N126" s="62" t="s">
        <v>151</v>
      </c>
      <c r="O126" s="50" t="s">
        <v>377</v>
      </c>
      <c r="P126" s="64">
        <f>P141</f>
        <v>41.019999999999996</v>
      </c>
      <c r="Q126" s="50" t="s">
        <v>151</v>
      </c>
      <c r="R126" s="64">
        <f>(M126*P126)</f>
        <v>41.019999999999996</v>
      </c>
      <c r="T126" s="53"/>
      <c r="W126" s="55"/>
      <c r="X126" s="59"/>
      <c r="Y126" s="59"/>
      <c r="AG126" s="72"/>
      <c r="AQ126" s="53"/>
      <c r="AT126" s="55"/>
    </row>
    <row r="127" spans="1:50" ht="15.75">
      <c r="A127" s="90"/>
      <c r="B127" s="90"/>
      <c r="C127" s="90"/>
      <c r="D127" s="90"/>
      <c r="H127" s="50" t="s">
        <v>263</v>
      </c>
      <c r="K127" s="64">
        <f>SUM(K124:K125)</f>
        <v>1752.8</v>
      </c>
      <c r="N127" s="62" t="s">
        <v>226</v>
      </c>
      <c r="O127" s="50" t="s">
        <v>237</v>
      </c>
      <c r="P127" s="50" t="s">
        <v>150</v>
      </c>
      <c r="Q127" s="50" t="s">
        <v>226</v>
      </c>
      <c r="R127" s="64">
        <v>0</v>
      </c>
      <c r="T127" s="53"/>
      <c r="U127" s="50"/>
      <c r="W127" s="55"/>
      <c r="X127" s="64"/>
      <c r="Y127" s="64"/>
      <c r="AG127" s="72"/>
      <c r="AQ127" s="53"/>
      <c r="AR127" s="66" t="s">
        <v>388</v>
      </c>
      <c r="AT127" s="55"/>
    </row>
    <row r="128" spans="1:50" ht="15.75">
      <c r="A128" s="90"/>
      <c r="B128" s="90"/>
      <c r="C128" s="90"/>
      <c r="D128" s="90"/>
      <c r="K128" s="59" t="s">
        <v>21</v>
      </c>
      <c r="N128" s="53"/>
      <c r="Q128" s="55"/>
      <c r="R128" s="59" t="s">
        <v>21</v>
      </c>
      <c r="T128" s="53"/>
      <c r="W128" s="55"/>
      <c r="X128" s="59"/>
      <c r="Y128" s="59"/>
      <c r="AG128" s="72"/>
      <c r="AQ128" s="53"/>
      <c r="AR128" s="59" t="s">
        <v>21</v>
      </c>
      <c r="AT128" s="55"/>
    </row>
    <row r="129" spans="1:50" ht="31.5">
      <c r="A129" s="90"/>
      <c r="B129" s="90"/>
      <c r="C129" s="90"/>
      <c r="D129" s="90"/>
      <c r="F129" s="115"/>
      <c r="H129" s="116" t="s">
        <v>805</v>
      </c>
      <c r="I129" s="65" t="s">
        <v>265</v>
      </c>
      <c r="K129" s="61">
        <f>ROUND(K127/10,2)</f>
        <v>175.28</v>
      </c>
      <c r="N129" s="53"/>
      <c r="O129" s="50" t="s">
        <v>255</v>
      </c>
      <c r="Q129" s="55"/>
      <c r="R129" s="64">
        <f>SUM(R125:R127)</f>
        <v>198.01999999999998</v>
      </c>
      <c r="S129" s="117"/>
      <c r="T129" s="53"/>
      <c r="U129" s="116"/>
      <c r="V129" s="65"/>
      <c r="W129" s="55"/>
      <c r="X129" s="61"/>
      <c r="Y129" s="61"/>
      <c r="AG129" s="72"/>
      <c r="AP129" s="88">
        <v>10</v>
      </c>
      <c r="AQ129" s="62" t="s">
        <v>249</v>
      </c>
      <c r="AR129" s="50" t="s">
        <v>806</v>
      </c>
      <c r="AT129" s="55"/>
    </row>
    <row r="130" spans="1:50" ht="15.75">
      <c r="A130" s="90"/>
      <c r="B130" s="90"/>
      <c r="C130" s="90"/>
      <c r="D130" s="90"/>
      <c r="I130" s="65" t="s">
        <v>266</v>
      </c>
      <c r="K130" s="61">
        <f>ROUND(K129+C36,2)</f>
        <v>183.38</v>
      </c>
      <c r="T130" s="53"/>
      <c r="V130" s="65"/>
      <c r="W130" s="55"/>
      <c r="X130" s="61"/>
      <c r="Y130" s="61"/>
      <c r="AG130" s="72"/>
      <c r="AQ130" s="53"/>
      <c r="AR130" s="64" t="str">
        <f>AR61</f>
        <v>Bricks of size 23x11x7 cm</v>
      </c>
      <c r="AT130" s="55"/>
    </row>
    <row r="131" spans="1:50" ht="15.75">
      <c r="A131" s="90"/>
      <c r="B131" s="90"/>
      <c r="C131" s="90"/>
      <c r="D131" s="90"/>
      <c r="I131" s="65"/>
      <c r="K131" s="59"/>
      <c r="T131" s="53"/>
      <c r="V131" s="65"/>
      <c r="W131" s="55"/>
      <c r="X131" s="59"/>
      <c r="Y131" s="59"/>
      <c r="AG131" s="72"/>
      <c r="AQ131" s="53"/>
      <c r="AR131" s="59" t="s">
        <v>21</v>
      </c>
      <c r="AT131" s="55"/>
    </row>
    <row r="132" spans="1:50" ht="15.75">
      <c r="A132" s="90"/>
      <c r="B132" s="90"/>
      <c r="C132" s="90"/>
      <c r="D132" s="90"/>
      <c r="F132" s="101">
        <v>1.6</v>
      </c>
      <c r="H132" s="50" t="s">
        <v>807</v>
      </c>
      <c r="I132" s="65"/>
      <c r="S132" s="107">
        <v>1.6</v>
      </c>
      <c r="T132" s="53"/>
      <c r="U132" s="50" t="s">
        <v>807</v>
      </c>
      <c r="V132" s="65"/>
      <c r="W132" s="55"/>
      <c r="AG132" s="72"/>
      <c r="AP132" s="64">
        <f>AP63</f>
        <v>1300</v>
      </c>
      <c r="AQ132" s="62" t="s">
        <v>267</v>
      </c>
      <c r="AR132" s="64" t="str">
        <f>AR61</f>
        <v>Bricks of size 23x11x7 cm</v>
      </c>
      <c r="AS132" s="64">
        <f>AE45</f>
        <v>6714.95</v>
      </c>
      <c r="AT132" s="50" t="s">
        <v>268</v>
      </c>
      <c r="AU132" s="64">
        <f>(AP132*AS132)/1000</f>
        <v>8729.4349999999995</v>
      </c>
      <c r="AW132" s="52">
        <f t="shared" si="15"/>
        <v>1980.7088015000002</v>
      </c>
      <c r="AX132" s="52">
        <f t="shared" si="16"/>
        <v>6748.7261984999996</v>
      </c>
    </row>
    <row r="133" spans="1:50" ht="15.75">
      <c r="A133" s="90"/>
      <c r="B133" s="90"/>
      <c r="C133" s="90"/>
      <c r="D133" s="90"/>
      <c r="H133" s="50" t="s">
        <v>808</v>
      </c>
      <c r="I133" s="65" t="s">
        <v>265</v>
      </c>
      <c r="K133" s="63">
        <f>C61*1.5</f>
        <v>176.39999999999998</v>
      </c>
      <c r="L133" s="63"/>
      <c r="M133" s="52">
        <f>M116*1.5</f>
        <v>34.799999999999997</v>
      </c>
      <c r="T133" s="53"/>
      <c r="U133" s="50" t="s">
        <v>808</v>
      </c>
      <c r="V133" s="65" t="s">
        <v>265</v>
      </c>
      <c r="W133" s="55"/>
      <c r="X133" s="63">
        <f>V81*1.5</f>
        <v>117.80999999999999</v>
      </c>
      <c r="Y133" s="63"/>
      <c r="AG133" s="72"/>
      <c r="AP133" s="100">
        <v>0.70799999999999996</v>
      </c>
      <c r="AQ133" s="62" t="s">
        <v>151</v>
      </c>
      <c r="AR133" s="50" t="s">
        <v>258</v>
      </c>
      <c r="AS133" s="64">
        <f>K40</f>
        <v>4326.7</v>
      </c>
      <c r="AT133" s="50" t="s">
        <v>151</v>
      </c>
      <c r="AU133" s="64">
        <f>(AP133*AS133)</f>
        <v>3063.3035999999997</v>
      </c>
      <c r="AW133" s="52">
        <f t="shared" si="15"/>
        <v>695.06358683999997</v>
      </c>
      <c r="AX133" s="52">
        <f t="shared" si="16"/>
        <v>2368.2400131599998</v>
      </c>
    </row>
    <row r="134" spans="1:50" ht="15.75">
      <c r="A134" s="90"/>
      <c r="B134" s="90"/>
      <c r="C134" s="90"/>
      <c r="D134" s="90"/>
      <c r="F134" s="50" t="s">
        <v>150</v>
      </c>
      <c r="H134" s="50" t="s">
        <v>809</v>
      </c>
      <c r="I134" s="65" t="s">
        <v>266</v>
      </c>
      <c r="K134" s="61">
        <f>ROUND(K133+C36,2)</f>
        <v>184.5</v>
      </c>
      <c r="S134" s="109" t="s">
        <v>150</v>
      </c>
      <c r="T134" s="53"/>
      <c r="U134" s="50" t="s">
        <v>809</v>
      </c>
      <c r="V134" s="65" t="s">
        <v>266</v>
      </c>
      <c r="W134" s="55"/>
      <c r="X134" s="61">
        <f>ROUND(X133+C36,2)</f>
        <v>125.91</v>
      </c>
      <c r="Y134" s="61"/>
      <c r="AG134" s="72"/>
      <c r="AP134" s="64">
        <v>1</v>
      </c>
      <c r="AQ134" s="62" t="s">
        <v>153</v>
      </c>
      <c r="AR134" s="50" t="s">
        <v>269</v>
      </c>
      <c r="AS134" s="64">
        <f>AS109</f>
        <v>1076.5999999999999</v>
      </c>
      <c r="AT134" s="50" t="s">
        <v>153</v>
      </c>
      <c r="AU134" s="64">
        <f>(AP134*AS134)</f>
        <v>1076.5999999999999</v>
      </c>
      <c r="AW134" s="52">
        <f t="shared" si="15"/>
        <v>244.28054</v>
      </c>
      <c r="AX134" s="52">
        <f t="shared" si="16"/>
        <v>832.31945999999994</v>
      </c>
    </row>
    <row r="135" spans="1:50" ht="15.75">
      <c r="A135" s="90"/>
      <c r="B135" s="90"/>
      <c r="C135" s="90"/>
      <c r="D135" s="90"/>
      <c r="K135" s="59" t="s">
        <v>156</v>
      </c>
      <c r="T135" s="53"/>
      <c r="W135" s="55"/>
      <c r="X135" s="59" t="s">
        <v>156</v>
      </c>
      <c r="Y135" s="59"/>
      <c r="AG135" s="72"/>
      <c r="AP135" s="64">
        <v>3</v>
      </c>
      <c r="AQ135" s="62" t="s">
        <v>153</v>
      </c>
      <c r="AR135" s="50" t="s">
        <v>234</v>
      </c>
      <c r="AS135" s="64">
        <f>AS110</f>
        <v>1005.1999999999999</v>
      </c>
      <c r="AT135" s="50" t="s">
        <v>153</v>
      </c>
      <c r="AU135" s="64">
        <f>(AP135*AS135)</f>
        <v>3015.6</v>
      </c>
      <c r="AW135" s="52">
        <f t="shared" si="15"/>
        <v>684.23964000000012</v>
      </c>
      <c r="AX135" s="52">
        <f t="shared" si="16"/>
        <v>2331.3603599999997</v>
      </c>
    </row>
    <row r="136" spans="1:50" ht="15.75">
      <c r="A136" s="90"/>
      <c r="B136" s="90"/>
      <c r="C136" s="90"/>
      <c r="D136" s="90"/>
      <c r="H136" s="54" t="s">
        <v>810</v>
      </c>
      <c r="I136" s="65" t="s">
        <v>265</v>
      </c>
      <c r="K136" s="63">
        <f>C61*1.25</f>
        <v>147</v>
      </c>
      <c r="T136" s="53"/>
      <c r="U136" s="54" t="s">
        <v>811</v>
      </c>
      <c r="V136" s="65" t="s">
        <v>265</v>
      </c>
      <c r="W136" s="55"/>
      <c r="X136" s="63">
        <f>V81*1.25</f>
        <v>98.174999999999983</v>
      </c>
      <c r="Y136" s="63"/>
      <c r="AG136" s="72"/>
      <c r="AP136" s="64">
        <v>2</v>
      </c>
      <c r="AQ136" s="62" t="s">
        <v>153</v>
      </c>
      <c r="AR136" s="50" t="s">
        <v>235</v>
      </c>
      <c r="AS136" s="64">
        <f>AS111</f>
        <v>702.8</v>
      </c>
      <c r="AT136" s="50" t="s">
        <v>153</v>
      </c>
      <c r="AU136" s="64">
        <f>(AP136*AS136)</f>
        <v>1405.6</v>
      </c>
      <c r="AW136" s="52">
        <f t="shared" si="15"/>
        <v>318.93063999999998</v>
      </c>
      <c r="AX136" s="52">
        <f t="shared" si="16"/>
        <v>1086.6693599999999</v>
      </c>
    </row>
    <row r="137" spans="1:50" ht="15.75">
      <c r="A137" s="74">
        <f>(A91+1)</f>
        <v>80</v>
      </c>
      <c r="B137" s="75" t="s">
        <v>812</v>
      </c>
      <c r="C137" s="76">
        <f>AE30</f>
        <v>11559</v>
      </c>
      <c r="D137" s="118">
        <v>13.87</v>
      </c>
      <c r="E137" s="50" t="s">
        <v>150</v>
      </c>
      <c r="F137" s="51" t="s">
        <v>374</v>
      </c>
      <c r="G137" s="62" t="s">
        <v>249</v>
      </c>
      <c r="H137" s="50" t="s">
        <v>375</v>
      </c>
      <c r="M137" s="51" t="s">
        <v>374</v>
      </c>
      <c r="N137" s="62" t="s">
        <v>249</v>
      </c>
      <c r="O137" s="50" t="s">
        <v>375</v>
      </c>
      <c r="Q137" s="55"/>
      <c r="AG137" s="72"/>
      <c r="AI137" s="50"/>
      <c r="AP137" s="64">
        <v>6</v>
      </c>
      <c r="AQ137" s="62" t="s">
        <v>153</v>
      </c>
      <c r="AR137" s="50" t="s">
        <v>236</v>
      </c>
      <c r="AS137" s="64">
        <f>AS112</f>
        <v>576.79999999999995</v>
      </c>
      <c r="AT137" s="50" t="s">
        <v>153</v>
      </c>
      <c r="AU137" s="64">
        <f>(AP137*AS137)</f>
        <v>3460.7999999999997</v>
      </c>
      <c r="AW137" s="52">
        <f t="shared" si="15"/>
        <v>785.25551999999993</v>
      </c>
      <c r="AX137" s="52">
        <f t="shared" si="16"/>
        <v>2675.5444799999996</v>
      </c>
    </row>
    <row r="138" spans="1:50" ht="15.75">
      <c r="A138" s="74">
        <f t="shared" ref="A138:A143" si="17">(A137+1)</f>
        <v>81</v>
      </c>
      <c r="B138" s="75" t="s">
        <v>813</v>
      </c>
      <c r="C138" s="76">
        <f>AE33</f>
        <v>45000</v>
      </c>
      <c r="D138" s="75" t="s">
        <v>251</v>
      </c>
      <c r="H138" s="50" t="s">
        <v>814</v>
      </c>
      <c r="N138" s="53"/>
      <c r="O138" s="50" t="s">
        <v>815</v>
      </c>
      <c r="Q138" s="55"/>
      <c r="AG138" s="72"/>
      <c r="AI138" s="50"/>
      <c r="AQ138" s="62" t="s">
        <v>226</v>
      </c>
      <c r="AR138" s="50" t="s">
        <v>237</v>
      </c>
      <c r="AS138" s="50" t="s">
        <v>150</v>
      </c>
      <c r="AT138" s="50" t="s">
        <v>226</v>
      </c>
      <c r="AU138" s="64">
        <v>0</v>
      </c>
      <c r="AW138" s="52">
        <f t="shared" si="15"/>
        <v>0</v>
      </c>
      <c r="AX138" s="52">
        <f t="shared" si="16"/>
        <v>0</v>
      </c>
    </row>
    <row r="139" spans="1:50" ht="15.75">
      <c r="A139" s="74">
        <f t="shared" si="17"/>
        <v>82</v>
      </c>
      <c r="B139" s="75" t="s">
        <v>816</v>
      </c>
      <c r="C139" s="76">
        <f>AE32</f>
        <v>45000</v>
      </c>
      <c r="D139" s="75" t="s">
        <v>251</v>
      </c>
      <c r="H139" s="59" t="s">
        <v>21</v>
      </c>
      <c r="N139" s="53"/>
      <c r="O139" s="59" t="s">
        <v>21</v>
      </c>
      <c r="Q139" s="55"/>
      <c r="AG139" s="72"/>
      <c r="AI139" s="50"/>
      <c r="AQ139" s="53"/>
      <c r="AT139" s="55"/>
      <c r="AU139" s="59" t="s">
        <v>21</v>
      </c>
      <c r="AW139" s="52" t="e">
        <f t="shared" si="15"/>
        <v>#VALUE!</v>
      </c>
      <c r="AX139" s="52" t="e">
        <f t="shared" si="16"/>
        <v>#VALUE!</v>
      </c>
    </row>
    <row r="140" spans="1:50" ht="15.75">
      <c r="A140" s="74">
        <f t="shared" si="17"/>
        <v>83</v>
      </c>
      <c r="B140" s="75" t="s">
        <v>817</v>
      </c>
      <c r="C140" s="76">
        <f>AE33</f>
        <v>45000</v>
      </c>
      <c r="D140" s="75" t="s">
        <v>251</v>
      </c>
      <c r="F140" s="64">
        <v>1</v>
      </c>
      <c r="G140" s="62" t="s">
        <v>151</v>
      </c>
      <c r="H140" s="50" t="s">
        <v>376</v>
      </c>
      <c r="I140" s="64">
        <f>I36</f>
        <v>2116.9</v>
      </c>
      <c r="J140" s="50" t="s">
        <v>151</v>
      </c>
      <c r="K140" s="64">
        <f>(F140*I140)</f>
        <v>2116.9</v>
      </c>
      <c r="M140" s="64">
        <v>1</v>
      </c>
      <c r="N140" s="62" t="s">
        <v>151</v>
      </c>
      <c r="O140" s="50" t="s">
        <v>804</v>
      </c>
      <c r="P140" s="64">
        <f>AE38</f>
        <v>210</v>
      </c>
      <c r="Q140" s="50" t="s">
        <v>151</v>
      </c>
      <c r="R140" s="64">
        <f>(M140*P140)</f>
        <v>210</v>
      </c>
      <c r="AG140" s="72"/>
      <c r="AI140" s="50"/>
      <c r="AQ140" s="53"/>
      <c r="AR140" s="50" t="s">
        <v>263</v>
      </c>
      <c r="AT140" s="55"/>
      <c r="AU140" s="64">
        <f>SUM(AU132:AU138)</f>
        <v>20751.338599999999</v>
      </c>
      <c r="AW140" s="52">
        <f t="shared" si="15"/>
        <v>4708.4787283400001</v>
      </c>
      <c r="AX140" s="52">
        <f t="shared" si="16"/>
        <v>16042.859871659999</v>
      </c>
    </row>
    <row r="141" spans="1:50" ht="15.75">
      <c r="A141" s="74">
        <f t="shared" si="17"/>
        <v>84</v>
      </c>
      <c r="B141" s="75" t="s">
        <v>818</v>
      </c>
      <c r="C141" s="76">
        <f>AE38</f>
        <v>210</v>
      </c>
      <c r="D141" s="75" t="s">
        <v>151</v>
      </c>
      <c r="F141" s="64">
        <v>1</v>
      </c>
      <c r="G141" s="62" t="s">
        <v>151</v>
      </c>
      <c r="H141" s="50" t="s">
        <v>377</v>
      </c>
      <c r="I141" s="64">
        <f>C27</f>
        <v>35.979999999999997</v>
      </c>
      <c r="J141" s="50" t="s">
        <v>151</v>
      </c>
      <c r="K141" s="64">
        <f>(F141*I141)</f>
        <v>35.979999999999997</v>
      </c>
      <c r="M141" s="64">
        <v>1</v>
      </c>
      <c r="N141" s="62" t="s">
        <v>151</v>
      </c>
      <c r="O141" s="50" t="s">
        <v>377</v>
      </c>
      <c r="P141" s="64">
        <f>C26</f>
        <v>41.019999999999996</v>
      </c>
      <c r="Q141" s="50" t="s">
        <v>151</v>
      </c>
      <c r="R141" s="64">
        <f>(M141*P141)</f>
        <v>41.019999999999996</v>
      </c>
      <c r="AG141" s="72"/>
      <c r="AI141" s="50"/>
      <c r="AQ141" s="53"/>
      <c r="AT141" s="55"/>
      <c r="AU141" s="59" t="s">
        <v>21</v>
      </c>
      <c r="AW141" s="52" t="e">
        <f t="shared" si="15"/>
        <v>#VALUE!</v>
      </c>
      <c r="AX141" s="52" t="e">
        <f t="shared" si="16"/>
        <v>#VALUE!</v>
      </c>
    </row>
    <row r="142" spans="1:50" ht="15.75">
      <c r="A142" s="74">
        <f t="shared" si="17"/>
        <v>85</v>
      </c>
      <c r="B142" s="75" t="s">
        <v>819</v>
      </c>
      <c r="C142" s="76">
        <v>43563.69</v>
      </c>
      <c r="D142" s="75" t="s">
        <v>251</v>
      </c>
      <c r="G142" s="62" t="s">
        <v>226</v>
      </c>
      <c r="H142" s="50" t="s">
        <v>237</v>
      </c>
      <c r="I142" s="50" t="s">
        <v>150</v>
      </c>
      <c r="J142" s="50" t="s">
        <v>226</v>
      </c>
      <c r="K142" s="64">
        <v>0</v>
      </c>
      <c r="N142" s="62" t="s">
        <v>226</v>
      </c>
      <c r="O142" s="50" t="s">
        <v>237</v>
      </c>
      <c r="P142" s="50" t="s">
        <v>150</v>
      </c>
      <c r="Q142" s="50" t="s">
        <v>226</v>
      </c>
      <c r="R142" s="64">
        <v>0</v>
      </c>
      <c r="AG142" s="72"/>
      <c r="AI142" s="50"/>
      <c r="AQ142" s="53"/>
      <c r="AR142" s="50" t="s">
        <v>270</v>
      </c>
      <c r="AT142" s="55"/>
      <c r="AU142" s="64">
        <f>(AU140/2.83168)</f>
        <v>7328.2781246468521</v>
      </c>
      <c r="AW142" s="52">
        <f t="shared" si="15"/>
        <v>1662.7863064823707</v>
      </c>
      <c r="AX142" s="52">
        <f t="shared" si="16"/>
        <v>5665.4918181644816</v>
      </c>
    </row>
    <row r="143" spans="1:50" ht="15.75">
      <c r="A143" s="74">
        <f t="shared" si="17"/>
        <v>86</v>
      </c>
      <c r="B143" s="75" t="s">
        <v>820</v>
      </c>
      <c r="C143" s="71">
        <v>43750</v>
      </c>
      <c r="D143" s="75" t="s">
        <v>251</v>
      </c>
      <c r="E143" s="52">
        <v>5</v>
      </c>
      <c r="K143" s="59" t="s">
        <v>21</v>
      </c>
      <c r="N143" s="53"/>
      <c r="Q143" s="55"/>
      <c r="R143" s="59" t="s">
        <v>21</v>
      </c>
      <c r="AG143" s="72"/>
      <c r="AI143" s="50"/>
      <c r="AQ143" s="53"/>
      <c r="AT143" s="55"/>
      <c r="AU143" s="59" t="s">
        <v>156</v>
      </c>
      <c r="AW143" s="52" t="e">
        <f t="shared" si="15"/>
        <v>#VALUE!</v>
      </c>
      <c r="AX143" s="52" t="e">
        <f t="shared" si="16"/>
        <v>#VALUE!</v>
      </c>
    </row>
    <row r="144" spans="1:50" ht="15.75">
      <c r="A144" s="90"/>
      <c r="B144" s="75" t="s">
        <v>150</v>
      </c>
      <c r="C144" s="90"/>
      <c r="D144" s="90"/>
      <c r="H144" s="50" t="s">
        <v>378</v>
      </c>
      <c r="K144" s="63">
        <f>SUM(K138:K142)</f>
        <v>2152.88</v>
      </c>
      <c r="N144" s="53"/>
      <c r="O144" s="50" t="s">
        <v>255</v>
      </c>
      <c r="Q144" s="55"/>
      <c r="R144" s="64">
        <f>SUM(R140:R142)</f>
        <v>251.01999999999998</v>
      </c>
      <c r="AG144" s="72"/>
      <c r="AI144" s="50"/>
      <c r="AQ144" s="53"/>
      <c r="AT144" s="55"/>
      <c r="AW144" s="52">
        <f t="shared" si="15"/>
        <v>0</v>
      </c>
      <c r="AX144" s="52">
        <f t="shared" si="16"/>
        <v>0</v>
      </c>
    </row>
    <row r="145" spans="1:50" ht="15.75">
      <c r="A145" s="74">
        <f>(A143+1)</f>
        <v>87</v>
      </c>
      <c r="B145" s="75" t="s">
        <v>821</v>
      </c>
      <c r="C145" s="87">
        <v>7.5</v>
      </c>
      <c r="D145" s="75" t="s">
        <v>226</v>
      </c>
      <c r="K145" s="59" t="s">
        <v>21</v>
      </c>
      <c r="N145" s="53"/>
      <c r="O145" s="50" t="s">
        <v>327</v>
      </c>
      <c r="Q145" s="55"/>
      <c r="R145" s="59" t="s">
        <v>21</v>
      </c>
      <c r="AG145" s="72"/>
      <c r="AI145" s="50"/>
      <c r="AQ145" s="62" t="s">
        <v>230</v>
      </c>
      <c r="AR145" s="50" t="s">
        <v>822</v>
      </c>
      <c r="AT145" s="55"/>
      <c r="AW145" s="52">
        <f t="shared" si="15"/>
        <v>0</v>
      </c>
      <c r="AX145" s="52">
        <f t="shared" si="16"/>
        <v>0</v>
      </c>
    </row>
    <row r="146" spans="1:50" ht="15.75">
      <c r="A146" s="90"/>
      <c r="B146" s="50" t="s">
        <v>823</v>
      </c>
      <c r="C146" s="73">
        <v>15.5</v>
      </c>
      <c r="D146" s="90"/>
      <c r="F146" s="51" t="s">
        <v>824</v>
      </c>
      <c r="G146" s="62" t="s">
        <v>249</v>
      </c>
      <c r="H146" s="50" t="s">
        <v>825</v>
      </c>
      <c r="AG146" s="72"/>
      <c r="AQ146" s="53"/>
      <c r="AR146" s="59" t="s">
        <v>21</v>
      </c>
      <c r="AT146" s="55"/>
      <c r="AW146" s="52">
        <f t="shared" si="15"/>
        <v>0</v>
      </c>
      <c r="AX146" s="52">
        <f t="shared" si="16"/>
        <v>0</v>
      </c>
    </row>
    <row r="147" spans="1:50" ht="15.75">
      <c r="A147" s="74">
        <f>(A145+1)</f>
        <v>88</v>
      </c>
      <c r="B147" s="75" t="s">
        <v>826</v>
      </c>
      <c r="C147" s="76">
        <v>15.25</v>
      </c>
      <c r="D147" s="75" t="s">
        <v>13</v>
      </c>
      <c r="H147" s="50" t="s">
        <v>827</v>
      </c>
      <c r="M147" s="51" t="s">
        <v>374</v>
      </c>
      <c r="N147" s="62" t="s">
        <v>249</v>
      </c>
      <c r="O147" s="50" t="s">
        <v>375</v>
      </c>
      <c r="Q147" s="55"/>
      <c r="AG147" s="72"/>
      <c r="AP147" s="64">
        <v>1.1000000000000001</v>
      </c>
      <c r="AQ147" s="62" t="s">
        <v>151</v>
      </c>
      <c r="AR147" s="50" t="s">
        <v>273</v>
      </c>
      <c r="AS147" s="64">
        <f>(AU142)</f>
        <v>7328.2781246468521</v>
      </c>
      <c r="AT147" s="50" t="s">
        <v>151</v>
      </c>
      <c r="AU147" s="72">
        <f>(AP147*AS147)</f>
        <v>8061.105937111538</v>
      </c>
      <c r="AW147" s="52">
        <f t="shared" si="15"/>
        <v>1829.0649371306081</v>
      </c>
      <c r="AX147" s="52">
        <f t="shared" si="16"/>
        <v>6232.0409999809299</v>
      </c>
    </row>
    <row r="148" spans="1:50" ht="15.75">
      <c r="A148" s="74">
        <f>(A147+1)</f>
        <v>89</v>
      </c>
      <c r="B148" s="75" t="s">
        <v>828</v>
      </c>
      <c r="C148" s="73">
        <v>142.4</v>
      </c>
      <c r="D148" s="75" t="s">
        <v>13</v>
      </c>
      <c r="H148" s="50" t="s">
        <v>829</v>
      </c>
      <c r="N148" s="53"/>
      <c r="O148" s="50" t="s">
        <v>830</v>
      </c>
      <c r="Q148" s="55"/>
      <c r="AG148" s="72"/>
      <c r="AP148" s="64">
        <v>1</v>
      </c>
      <c r="AQ148" s="62" t="s">
        <v>4</v>
      </c>
      <c r="AR148" s="50" t="s">
        <v>269</v>
      </c>
      <c r="AS148" s="64">
        <f>AS134</f>
        <v>1076.5999999999999</v>
      </c>
      <c r="AT148" s="50" t="s">
        <v>153</v>
      </c>
      <c r="AU148" s="72">
        <f>(AP148*AS148)</f>
        <v>1076.5999999999999</v>
      </c>
      <c r="AW148" s="52">
        <f t="shared" si="15"/>
        <v>244.28054</v>
      </c>
      <c r="AX148" s="52">
        <f t="shared" si="16"/>
        <v>832.31945999999994</v>
      </c>
    </row>
    <row r="149" spans="1:50" ht="15.75">
      <c r="A149" s="90"/>
      <c r="B149" s="90"/>
      <c r="C149" s="90"/>
      <c r="D149" s="90"/>
      <c r="H149" s="50" t="s">
        <v>831</v>
      </c>
      <c r="N149" s="53"/>
      <c r="O149" s="59" t="s">
        <v>21</v>
      </c>
      <c r="Q149" s="55"/>
      <c r="AG149" s="72"/>
      <c r="AQ149" s="62" t="s">
        <v>226</v>
      </c>
      <c r="AR149" s="50" t="s">
        <v>237</v>
      </c>
      <c r="AS149" s="50" t="s">
        <v>150</v>
      </c>
      <c r="AT149" s="50" t="s">
        <v>226</v>
      </c>
      <c r="AU149" s="72">
        <v>0</v>
      </c>
      <c r="AW149" s="52">
        <f t="shared" si="15"/>
        <v>0</v>
      </c>
      <c r="AX149" s="52">
        <f t="shared" si="16"/>
        <v>0</v>
      </c>
    </row>
    <row r="150" spans="1:50" ht="15.75">
      <c r="A150" s="90"/>
      <c r="B150" s="90"/>
      <c r="C150" s="90"/>
      <c r="D150" s="90"/>
      <c r="H150" s="50" t="s">
        <v>832</v>
      </c>
      <c r="M150" s="64">
        <v>1</v>
      </c>
      <c r="N150" s="62" t="s">
        <v>151</v>
      </c>
      <c r="O150" s="50" t="s">
        <v>833</v>
      </c>
      <c r="P150" s="64">
        <f>AE43</f>
        <v>120.1</v>
      </c>
      <c r="Q150" s="50" t="s">
        <v>151</v>
      </c>
      <c r="R150" s="64">
        <f>(M150*P150)</f>
        <v>120.1</v>
      </c>
      <c r="AG150" s="72"/>
      <c r="AQ150" s="53"/>
      <c r="AT150" s="55"/>
      <c r="AU150" s="119" t="s">
        <v>21</v>
      </c>
      <c r="AW150" s="52" t="e">
        <f t="shared" si="15"/>
        <v>#VALUE!</v>
      </c>
      <c r="AX150" s="52" t="e">
        <f t="shared" si="16"/>
        <v>#VALUE!</v>
      </c>
    </row>
    <row r="151" spans="1:50" ht="15.75">
      <c r="A151" s="90"/>
      <c r="B151" s="90"/>
      <c r="C151" s="90"/>
      <c r="D151" s="90"/>
      <c r="H151" s="59" t="s">
        <v>21</v>
      </c>
      <c r="M151" s="64">
        <v>1</v>
      </c>
      <c r="N151" s="62" t="s">
        <v>151</v>
      </c>
      <c r="O151" s="50" t="s">
        <v>377</v>
      </c>
      <c r="P151" s="64">
        <f>AG28</f>
        <v>41.019999999999996</v>
      </c>
      <c r="Q151" s="50" t="s">
        <v>151</v>
      </c>
      <c r="R151" s="64">
        <f>(M151*P151)</f>
        <v>41.019999999999996</v>
      </c>
      <c r="AG151" s="72"/>
      <c r="AQ151" s="53"/>
      <c r="AR151" s="50" t="s">
        <v>238</v>
      </c>
      <c r="AT151" s="55"/>
      <c r="AU151" s="63">
        <f>SUM(AU147:AU149)</f>
        <v>9137.7059371115374</v>
      </c>
      <c r="AW151" s="52">
        <f t="shared" si="15"/>
        <v>2073.3454771306078</v>
      </c>
      <c r="AX151" s="52">
        <f t="shared" si="16"/>
        <v>7064.3604599809296</v>
      </c>
    </row>
    <row r="152" spans="1:50" ht="15.75">
      <c r="A152" s="90"/>
      <c r="B152" s="90"/>
      <c r="C152" s="90"/>
      <c r="D152" s="90"/>
      <c r="F152" s="64">
        <v>0.7</v>
      </c>
      <c r="G152" s="62" t="s">
        <v>151</v>
      </c>
      <c r="H152" s="50" t="s">
        <v>693</v>
      </c>
      <c r="I152" s="64">
        <f>C79</f>
        <v>2116.9</v>
      </c>
      <c r="J152" s="50" t="s">
        <v>151</v>
      </c>
      <c r="K152" s="64">
        <f t="shared" ref="K152:K157" si="18">(F152*I152)</f>
        <v>1481.83</v>
      </c>
      <c r="N152" s="62" t="s">
        <v>226</v>
      </c>
      <c r="O152" s="50" t="s">
        <v>237</v>
      </c>
      <c r="P152" s="50" t="s">
        <v>150</v>
      </c>
      <c r="Q152" s="50" t="s">
        <v>226</v>
      </c>
      <c r="R152" s="64">
        <v>0</v>
      </c>
      <c r="AG152" s="72"/>
      <c r="AQ152" s="53"/>
      <c r="AT152" s="55"/>
      <c r="AU152" s="119" t="s">
        <v>21</v>
      </c>
      <c r="AW152" s="52" t="e">
        <f t="shared" si="15"/>
        <v>#VALUE!</v>
      </c>
      <c r="AX152" s="52" t="e">
        <f t="shared" si="16"/>
        <v>#VALUE!</v>
      </c>
    </row>
    <row r="153" spans="1:50" ht="15.75">
      <c r="A153" s="90"/>
      <c r="B153" s="90"/>
      <c r="C153" s="90"/>
      <c r="D153" s="90"/>
      <c r="F153" s="64">
        <v>0.7</v>
      </c>
      <c r="G153" s="62" t="s">
        <v>151</v>
      </c>
      <c r="H153" s="120" t="s">
        <v>834</v>
      </c>
      <c r="I153" s="121">
        <f>C812</f>
        <v>3.15</v>
      </c>
      <c r="J153" s="50" t="s">
        <v>151</v>
      </c>
      <c r="K153" s="64">
        <f t="shared" si="18"/>
        <v>2.2049999999999996</v>
      </c>
      <c r="N153" s="53"/>
      <c r="Q153" s="55"/>
      <c r="R153" s="59" t="s">
        <v>21</v>
      </c>
      <c r="AG153" s="72"/>
      <c r="AQ153" s="53"/>
      <c r="AR153" s="50" t="s">
        <v>155</v>
      </c>
      <c r="AT153" s="55"/>
      <c r="AU153" s="72">
        <f>(AU151/10)</f>
        <v>913.77059371115377</v>
      </c>
      <c r="AW153" s="52">
        <f t="shared" si="15"/>
        <v>207.33454771306077</v>
      </c>
      <c r="AX153" s="52">
        <f t="shared" si="16"/>
        <v>706.43604599809305</v>
      </c>
    </row>
    <row r="154" spans="1:50" ht="15.75">
      <c r="A154" s="90"/>
      <c r="B154" s="90"/>
      <c r="C154" s="90"/>
      <c r="D154" s="90"/>
      <c r="F154" s="64">
        <v>0.72</v>
      </c>
      <c r="G154" s="62" t="s">
        <v>151</v>
      </c>
      <c r="H154" s="50" t="s">
        <v>835</v>
      </c>
      <c r="I154" s="64">
        <f>C35</f>
        <v>210</v>
      </c>
      <c r="J154" s="50" t="s">
        <v>151</v>
      </c>
      <c r="K154" s="64">
        <f t="shared" si="18"/>
        <v>151.19999999999999</v>
      </c>
      <c r="N154" s="53"/>
      <c r="O154" s="50" t="s">
        <v>255</v>
      </c>
      <c r="Q154" s="55"/>
      <c r="R154" s="64">
        <f>SUM(R150:R152)</f>
        <v>161.12</v>
      </c>
      <c r="AG154" s="72"/>
      <c r="AQ154" s="53"/>
      <c r="AT154" s="55"/>
      <c r="AU154" s="119" t="s">
        <v>156</v>
      </c>
      <c r="AW154" s="52" t="e">
        <f t="shared" si="15"/>
        <v>#VALUE!</v>
      </c>
      <c r="AX154" s="52" t="e">
        <f t="shared" si="16"/>
        <v>#VALUE!</v>
      </c>
    </row>
    <row r="155" spans="1:50" ht="15.75">
      <c r="A155" s="90"/>
      <c r="B155" s="90"/>
      <c r="C155" s="90"/>
      <c r="D155" s="90"/>
      <c r="F155" s="64">
        <v>0.72</v>
      </c>
      <c r="G155" s="62" t="s">
        <v>151</v>
      </c>
      <c r="H155" s="120" t="s">
        <v>834</v>
      </c>
      <c r="I155" s="121">
        <f>C812</f>
        <v>3.15</v>
      </c>
      <c r="J155" s="50" t="s">
        <v>151</v>
      </c>
      <c r="K155" s="64">
        <f t="shared" si="18"/>
        <v>2.2679999999999998</v>
      </c>
      <c r="N155" s="53"/>
      <c r="O155" s="50" t="s">
        <v>327</v>
      </c>
      <c r="Q155" s="55"/>
      <c r="R155" s="59" t="s">
        <v>21</v>
      </c>
      <c r="AG155" s="72"/>
      <c r="AQ155" s="53"/>
      <c r="AR155" s="50" t="s">
        <v>271</v>
      </c>
      <c r="AT155" s="55">
        <f>AU155-AU153</f>
        <v>9.116800000000012</v>
      </c>
      <c r="AU155" s="63">
        <f>(AU153+C19/10*AP147)</f>
        <v>922.88739371115378</v>
      </c>
      <c r="AV155" s="52">
        <f>AU153-AU155</f>
        <v>-9.116800000000012</v>
      </c>
      <c r="AW155" s="52">
        <f t="shared" si="15"/>
        <v>209.40314963306082</v>
      </c>
      <c r="AX155" s="52">
        <f t="shared" si="16"/>
        <v>713.48424407809296</v>
      </c>
    </row>
    <row r="156" spans="1:50" ht="15.75">
      <c r="A156" s="90"/>
      <c r="B156" s="90"/>
      <c r="C156" s="90"/>
      <c r="D156" s="90"/>
      <c r="F156" s="64">
        <v>1</v>
      </c>
      <c r="G156" s="62" t="s">
        <v>151</v>
      </c>
      <c r="H156" s="50" t="s">
        <v>697</v>
      </c>
      <c r="I156" s="64">
        <f>C18</f>
        <v>121.8</v>
      </c>
      <c r="J156" s="50" t="s">
        <v>151</v>
      </c>
      <c r="K156" s="64">
        <f t="shared" si="18"/>
        <v>121.8</v>
      </c>
      <c r="AG156" s="72"/>
      <c r="AQ156" s="53"/>
      <c r="AR156" s="50" t="s">
        <v>272</v>
      </c>
      <c r="AT156" s="55">
        <f>AU156-AU155</f>
        <v>18.372200000000021</v>
      </c>
      <c r="AU156" s="63">
        <f>(AU155+C20/10*AP147)</f>
        <v>941.2595937111538</v>
      </c>
      <c r="AV156" s="52">
        <f>AU156-AU155</f>
        <v>18.372200000000021</v>
      </c>
      <c r="AW156" s="52">
        <f t="shared" si="15"/>
        <v>213.5718018130608</v>
      </c>
      <c r="AX156" s="52">
        <f t="shared" si="16"/>
        <v>727.687791898093</v>
      </c>
    </row>
    <row r="157" spans="1:50" ht="15.75">
      <c r="A157" s="90"/>
      <c r="B157" s="90"/>
      <c r="C157" s="90"/>
      <c r="D157" s="90"/>
      <c r="F157" s="64">
        <v>1</v>
      </c>
      <c r="G157" s="62" t="s">
        <v>151</v>
      </c>
      <c r="H157" s="120" t="s">
        <v>836</v>
      </c>
      <c r="I157" s="122">
        <f>C146</f>
        <v>15.5</v>
      </c>
      <c r="J157" s="50" t="s">
        <v>151</v>
      </c>
      <c r="K157" s="64">
        <f t="shared" si="18"/>
        <v>15.5</v>
      </c>
      <c r="AG157" s="72"/>
      <c r="AQ157" s="53"/>
      <c r="AR157" s="50" t="s">
        <v>767</v>
      </c>
      <c r="AT157" s="55">
        <f>AU157-AU156</f>
        <v>18.372200000000021</v>
      </c>
      <c r="AU157" s="63">
        <f>(AU156+C21/10*AP147)</f>
        <v>959.63179371115382</v>
      </c>
      <c r="AW157" s="52">
        <f t="shared" si="15"/>
        <v>217.74045399306081</v>
      </c>
      <c r="AX157" s="52">
        <f t="shared" si="16"/>
        <v>741.89133971809304</v>
      </c>
    </row>
    <row r="158" spans="1:50" ht="15.75">
      <c r="A158" s="90"/>
      <c r="B158" s="90"/>
      <c r="C158" s="90"/>
      <c r="D158" s="90"/>
      <c r="H158" s="50" t="s">
        <v>837</v>
      </c>
      <c r="AG158" s="72"/>
      <c r="AQ158" s="53"/>
      <c r="AR158" s="50" t="s">
        <v>769</v>
      </c>
      <c r="AT158" s="55">
        <f>AU158-AU157</f>
        <v>18.372200000000021</v>
      </c>
      <c r="AU158" s="63">
        <f>(AU157+C21/10*AP147)</f>
        <v>978.00399371115384</v>
      </c>
      <c r="AW158" s="52">
        <f t="shared" si="15"/>
        <v>221.90910617306082</v>
      </c>
      <c r="AX158" s="52">
        <f t="shared" si="16"/>
        <v>756.09488753809296</v>
      </c>
    </row>
    <row r="159" spans="1:50" ht="15.75">
      <c r="A159" s="90"/>
      <c r="B159" s="90"/>
      <c r="C159" s="90"/>
      <c r="D159" s="90"/>
      <c r="G159" s="62" t="s">
        <v>226</v>
      </c>
      <c r="H159" s="50" t="s">
        <v>237</v>
      </c>
      <c r="I159" s="50" t="s">
        <v>150</v>
      </c>
      <c r="J159" s="50" t="s">
        <v>226</v>
      </c>
      <c r="K159" s="64">
        <v>0</v>
      </c>
      <c r="AG159" s="72"/>
      <c r="AQ159" s="53"/>
      <c r="AR159" s="50" t="s">
        <v>838</v>
      </c>
      <c r="AT159" s="55">
        <f>AU159-AU158</f>
        <v>18.372200000000021</v>
      </c>
      <c r="AU159" s="63">
        <f>(AU158+C21/10*AP147)</f>
        <v>996.37619371115386</v>
      </c>
      <c r="AW159" s="52">
        <f t="shared" si="15"/>
        <v>226.07775835306083</v>
      </c>
      <c r="AX159" s="52">
        <f t="shared" si="16"/>
        <v>770.298435358093</v>
      </c>
    </row>
    <row r="160" spans="1:50" ht="15.75">
      <c r="A160" s="90"/>
      <c r="B160" s="90"/>
      <c r="C160" s="90"/>
      <c r="D160" s="90"/>
      <c r="K160" s="59" t="s">
        <v>21</v>
      </c>
      <c r="M160" s="51" t="s">
        <v>309</v>
      </c>
      <c r="N160" s="62" t="s">
        <v>249</v>
      </c>
      <c r="O160" s="50" t="s">
        <v>839</v>
      </c>
      <c r="Q160" s="55"/>
      <c r="AG160" s="72"/>
      <c r="AP160" s="123">
        <v>11</v>
      </c>
      <c r="AQ160" s="124" t="s">
        <v>249</v>
      </c>
      <c r="AR160" s="54" t="s">
        <v>840</v>
      </c>
      <c r="AS160" s="65"/>
      <c r="AT160" s="110"/>
      <c r="AU160" s="65"/>
      <c r="AW160" s="52">
        <f t="shared" si="15"/>
        <v>0</v>
      </c>
      <c r="AX160" s="52">
        <f t="shared" si="16"/>
        <v>0</v>
      </c>
    </row>
    <row r="161" spans="1:50" ht="15.75">
      <c r="A161" s="90"/>
      <c r="B161" s="90"/>
      <c r="C161" s="90"/>
      <c r="D161" s="90"/>
      <c r="H161" s="66" t="s">
        <v>378</v>
      </c>
      <c r="K161" s="63">
        <f>SUM(K152:K159)</f>
        <v>1774.8029999999999</v>
      </c>
      <c r="N161" s="53"/>
      <c r="O161" s="50" t="s">
        <v>311</v>
      </c>
      <c r="Q161" s="55"/>
      <c r="AG161" s="72"/>
      <c r="AP161" s="65"/>
      <c r="AQ161" s="125"/>
      <c r="AR161" s="63" t="str">
        <f>AR61</f>
        <v>Bricks of size 23x11x7 cm</v>
      </c>
      <c r="AS161" s="65"/>
      <c r="AT161" s="110"/>
      <c r="AU161" s="65"/>
      <c r="AW161" s="52">
        <f t="shared" si="15"/>
        <v>0</v>
      </c>
      <c r="AX161" s="52">
        <f t="shared" si="16"/>
        <v>0</v>
      </c>
    </row>
    <row r="162" spans="1:50" ht="15.75">
      <c r="A162" s="90"/>
      <c r="B162" s="90"/>
      <c r="C162" s="90"/>
      <c r="D162" s="90"/>
      <c r="K162" s="59" t="s">
        <v>21</v>
      </c>
      <c r="N162" s="53"/>
      <c r="O162" s="59" t="s">
        <v>21</v>
      </c>
      <c r="Q162" s="55"/>
      <c r="AG162" s="72"/>
      <c r="AQ162" s="53"/>
      <c r="AR162" s="59" t="s">
        <v>21</v>
      </c>
      <c r="AT162" s="55"/>
      <c r="AW162" s="52">
        <f t="shared" si="15"/>
        <v>0</v>
      </c>
      <c r="AX162" s="52">
        <f t="shared" si="16"/>
        <v>0</v>
      </c>
    </row>
    <row r="163" spans="1:50" ht="15.75">
      <c r="A163" s="90"/>
      <c r="B163" s="90"/>
      <c r="C163" s="90"/>
      <c r="D163" s="90"/>
      <c r="H163" s="50" t="s">
        <v>150</v>
      </c>
      <c r="K163" s="50" t="s">
        <v>150</v>
      </c>
      <c r="M163" s="64">
        <v>9</v>
      </c>
      <c r="N163" s="62" t="s">
        <v>151</v>
      </c>
      <c r="O163" s="50" t="s">
        <v>312</v>
      </c>
      <c r="P163" s="64">
        <f>I195</f>
        <v>1894.78</v>
      </c>
      <c r="Q163" s="50" t="s">
        <v>151</v>
      </c>
      <c r="R163" s="64">
        <f>(M163*P163)</f>
        <v>17053.02</v>
      </c>
      <c r="AG163" s="72"/>
      <c r="AP163" s="64">
        <f>AP63</f>
        <v>1300</v>
      </c>
      <c r="AQ163" s="62" t="s">
        <v>267</v>
      </c>
      <c r="AR163" s="64" t="str">
        <f>AR61</f>
        <v>Bricks of size 23x11x7 cm</v>
      </c>
      <c r="AS163" s="64">
        <f>AE45</f>
        <v>6714.95</v>
      </c>
      <c r="AT163" s="50" t="s">
        <v>841</v>
      </c>
      <c r="AU163" s="64">
        <f>(AP163*AS163)/1000</f>
        <v>8729.4349999999995</v>
      </c>
      <c r="AW163" s="52">
        <f t="shared" si="15"/>
        <v>1980.7088015000002</v>
      </c>
      <c r="AX163" s="52">
        <f t="shared" si="16"/>
        <v>6748.7261984999996</v>
      </c>
    </row>
    <row r="164" spans="1:50" ht="15.75">
      <c r="A164" s="90"/>
      <c r="B164" s="90"/>
      <c r="C164" s="90"/>
      <c r="D164" s="90"/>
      <c r="K164" s="50" t="s">
        <v>150</v>
      </c>
      <c r="M164" s="64">
        <v>4.5</v>
      </c>
      <c r="N164" s="62" t="s">
        <v>151</v>
      </c>
      <c r="O164" s="50" t="s">
        <v>258</v>
      </c>
      <c r="P164" s="64">
        <f>K40</f>
        <v>4326.7</v>
      </c>
      <c r="Q164" s="50" t="s">
        <v>151</v>
      </c>
      <c r="R164" s="64">
        <f>(M164*P164)</f>
        <v>19470.149999999998</v>
      </c>
      <c r="AG164" s="72"/>
      <c r="AP164" s="100">
        <f>AP133</f>
        <v>0.70799999999999996</v>
      </c>
      <c r="AQ164" s="62" t="s">
        <v>151</v>
      </c>
      <c r="AR164" s="50" t="s">
        <v>258</v>
      </c>
      <c r="AS164" s="64">
        <f>AS133</f>
        <v>4326.7</v>
      </c>
      <c r="AT164" s="50" t="s">
        <v>151</v>
      </c>
      <c r="AU164" s="64">
        <f>(AP164*AS164)</f>
        <v>3063.3035999999997</v>
      </c>
      <c r="AW164" s="52">
        <f t="shared" ref="AW164:AW217" si="19">AU164*22.69/100</f>
        <v>695.06358683999997</v>
      </c>
      <c r="AX164" s="52">
        <f t="shared" ref="AX164:AX217" si="20">AU164-AW164</f>
        <v>2368.2400131599998</v>
      </c>
    </row>
    <row r="165" spans="1:50" ht="15.75">
      <c r="A165" s="126">
        <v>2.2999999999999998</v>
      </c>
      <c r="B165" s="75" t="s">
        <v>842</v>
      </c>
      <c r="C165" s="90">
        <f>AE19+I168</f>
        <v>1395.9699999999998</v>
      </c>
      <c r="D165" s="90"/>
      <c r="F165" s="101">
        <v>2.6</v>
      </c>
      <c r="G165" s="62" t="s">
        <v>249</v>
      </c>
      <c r="H165" s="50" t="s">
        <v>843</v>
      </c>
      <c r="M165" s="64">
        <v>1.8</v>
      </c>
      <c r="N165" s="62" t="s">
        <v>153</v>
      </c>
      <c r="O165" s="50" t="s">
        <v>234</v>
      </c>
      <c r="P165" s="64">
        <f>I197</f>
        <v>1005.1999999999999</v>
      </c>
      <c r="Q165" s="50" t="s">
        <v>153</v>
      </c>
      <c r="R165" s="64">
        <f>(M165*P165)</f>
        <v>1809.36</v>
      </c>
      <c r="AG165" s="72"/>
      <c r="AP165" s="64">
        <v>1</v>
      </c>
      <c r="AQ165" s="62" t="s">
        <v>153</v>
      </c>
      <c r="AR165" s="50" t="s">
        <v>269</v>
      </c>
      <c r="AS165" s="64">
        <f>AS134</f>
        <v>1076.5999999999999</v>
      </c>
      <c r="AT165" s="50" t="s">
        <v>153</v>
      </c>
      <c r="AU165" s="64">
        <f>(AP165*AS165)</f>
        <v>1076.5999999999999</v>
      </c>
      <c r="AW165" s="52">
        <f t="shared" si="19"/>
        <v>244.28054</v>
      </c>
      <c r="AX165" s="52">
        <f t="shared" si="20"/>
        <v>832.31945999999994</v>
      </c>
    </row>
    <row r="166" spans="1:50" ht="15.75">
      <c r="A166" s="126">
        <v>2.4</v>
      </c>
      <c r="B166" s="75" t="s">
        <v>844</v>
      </c>
      <c r="C166" s="90">
        <f>AE20+I168</f>
        <v>1472.9699999999998</v>
      </c>
      <c r="D166" s="90"/>
      <c r="H166" s="59" t="s">
        <v>21</v>
      </c>
      <c r="M166" s="64">
        <v>17.7</v>
      </c>
      <c r="N166" s="62" t="s">
        <v>153</v>
      </c>
      <c r="O166" s="50" t="s">
        <v>235</v>
      </c>
      <c r="P166" s="64">
        <f>I198</f>
        <v>702.8</v>
      </c>
      <c r="Q166" s="50" t="s">
        <v>153</v>
      </c>
      <c r="R166" s="64">
        <f>(M166*P166)</f>
        <v>12439.56</v>
      </c>
      <c r="AG166" s="72"/>
      <c r="AP166" s="64">
        <v>3</v>
      </c>
      <c r="AQ166" s="62" t="s">
        <v>153</v>
      </c>
      <c r="AR166" s="50" t="s">
        <v>234</v>
      </c>
      <c r="AS166" s="64">
        <f>AS135</f>
        <v>1005.1999999999999</v>
      </c>
      <c r="AT166" s="50" t="s">
        <v>153</v>
      </c>
      <c r="AU166" s="64">
        <f>(AP166*AS166)</f>
        <v>3015.6</v>
      </c>
      <c r="AW166" s="52">
        <f t="shared" si="19"/>
        <v>684.23964000000012</v>
      </c>
      <c r="AX166" s="52">
        <f t="shared" si="20"/>
        <v>2331.3603599999997</v>
      </c>
    </row>
    <row r="167" spans="1:50" ht="15.75">
      <c r="A167" s="90"/>
      <c r="B167" s="90"/>
      <c r="C167" s="90"/>
      <c r="D167" s="90"/>
      <c r="F167" s="64">
        <v>1</v>
      </c>
      <c r="G167" s="62" t="s">
        <v>151</v>
      </c>
      <c r="H167" s="50" t="s">
        <v>845</v>
      </c>
      <c r="I167" s="64">
        <f>AE15</f>
        <v>1894.78</v>
      </c>
      <c r="J167" s="50" t="s">
        <v>151</v>
      </c>
      <c r="K167" s="64">
        <f>(F167*I167)</f>
        <v>1894.78</v>
      </c>
      <c r="M167" s="64">
        <v>14.1</v>
      </c>
      <c r="N167" s="62" t="s">
        <v>153</v>
      </c>
      <c r="O167" s="50" t="s">
        <v>236</v>
      </c>
      <c r="P167" s="64">
        <f>I199</f>
        <v>576.79999999999995</v>
      </c>
      <c r="Q167" s="50" t="s">
        <v>153</v>
      </c>
      <c r="R167" s="64">
        <f>(M167*P167)</f>
        <v>8132.8799999999992</v>
      </c>
      <c r="AG167" s="72"/>
      <c r="AP167" s="64">
        <v>2</v>
      </c>
      <c r="AQ167" s="62" t="s">
        <v>153</v>
      </c>
      <c r="AR167" s="50" t="s">
        <v>235</v>
      </c>
      <c r="AS167" s="64">
        <f>AS136</f>
        <v>702.8</v>
      </c>
      <c r="AT167" s="50" t="s">
        <v>153</v>
      </c>
      <c r="AU167" s="64">
        <f>(AP167*AS167)</f>
        <v>1405.6</v>
      </c>
      <c r="AW167" s="52">
        <f t="shared" si="19"/>
        <v>318.93063999999998</v>
      </c>
      <c r="AX167" s="52">
        <f t="shared" si="20"/>
        <v>1086.6693599999999</v>
      </c>
    </row>
    <row r="168" spans="1:50" ht="15.75">
      <c r="A168" s="90"/>
      <c r="B168" s="90"/>
      <c r="C168" s="90"/>
      <c r="D168" s="90"/>
      <c r="F168" s="64">
        <v>1</v>
      </c>
      <c r="G168" s="62" t="s">
        <v>151</v>
      </c>
      <c r="H168" s="50" t="s">
        <v>377</v>
      </c>
      <c r="I168" s="64">
        <f>C26</f>
        <v>41.019999999999996</v>
      </c>
      <c r="J168" s="50" t="s">
        <v>151</v>
      </c>
      <c r="K168" s="64">
        <f>(F168*I168)</f>
        <v>41.019999999999996</v>
      </c>
      <c r="N168" s="62" t="s">
        <v>226</v>
      </c>
      <c r="O168" s="50" t="s">
        <v>237</v>
      </c>
      <c r="Q168" s="50" t="s">
        <v>226</v>
      </c>
      <c r="R168" s="64">
        <v>0</v>
      </c>
      <c r="AG168" s="72"/>
      <c r="AP168" s="64">
        <v>6</v>
      </c>
      <c r="AQ168" s="62" t="s">
        <v>153</v>
      </c>
      <c r="AR168" s="50" t="s">
        <v>236</v>
      </c>
      <c r="AS168" s="64">
        <f>AS137</f>
        <v>576.79999999999995</v>
      </c>
      <c r="AT168" s="50" t="s">
        <v>153</v>
      </c>
      <c r="AU168" s="64">
        <f>(AP168*AS168)</f>
        <v>3460.7999999999997</v>
      </c>
      <c r="AW168" s="52">
        <f t="shared" si="19"/>
        <v>785.25551999999993</v>
      </c>
      <c r="AX168" s="52">
        <f t="shared" si="20"/>
        <v>2675.5444799999996</v>
      </c>
    </row>
    <row r="169" spans="1:50" ht="15.75">
      <c r="A169" s="90"/>
      <c r="B169" s="90"/>
      <c r="C169" s="90"/>
      <c r="D169" s="90"/>
      <c r="G169" s="62" t="s">
        <v>226</v>
      </c>
      <c r="H169" s="50" t="s">
        <v>237</v>
      </c>
      <c r="I169" s="50" t="s">
        <v>150</v>
      </c>
      <c r="J169" s="50" t="s">
        <v>226</v>
      </c>
      <c r="K169" s="64">
        <v>0</v>
      </c>
      <c r="N169" s="53"/>
      <c r="Q169" s="55"/>
      <c r="R169" s="59" t="s">
        <v>21</v>
      </c>
      <c r="AG169" s="72"/>
      <c r="AQ169" s="62" t="s">
        <v>226</v>
      </c>
      <c r="AR169" s="50" t="s">
        <v>237</v>
      </c>
      <c r="AS169" s="50" t="s">
        <v>150</v>
      </c>
      <c r="AT169" s="50" t="s">
        <v>226</v>
      </c>
      <c r="AU169" s="64">
        <v>0</v>
      </c>
      <c r="AW169" s="52">
        <f t="shared" si="19"/>
        <v>0</v>
      </c>
      <c r="AX169" s="52">
        <f t="shared" si="20"/>
        <v>0</v>
      </c>
    </row>
    <row r="170" spans="1:50" ht="15.75">
      <c r="A170" s="90"/>
      <c r="B170" s="90"/>
      <c r="C170" s="90"/>
      <c r="D170" s="90"/>
      <c r="K170" s="59" t="s">
        <v>21</v>
      </c>
      <c r="N170" s="53"/>
      <c r="Q170" s="55"/>
      <c r="R170" s="64">
        <f>SUM(R163:R168)</f>
        <v>58904.969999999994</v>
      </c>
      <c r="AG170" s="72"/>
      <c r="AQ170" s="53"/>
      <c r="AT170" s="55"/>
      <c r="AU170" s="59" t="s">
        <v>21</v>
      </c>
      <c r="AW170" s="52" t="e">
        <f t="shared" si="19"/>
        <v>#VALUE!</v>
      </c>
      <c r="AX170" s="52" t="e">
        <f t="shared" si="20"/>
        <v>#VALUE!</v>
      </c>
    </row>
    <row r="171" spans="1:50" ht="15.75">
      <c r="A171" s="90"/>
      <c r="B171" s="90"/>
      <c r="C171" s="90"/>
      <c r="D171" s="90"/>
      <c r="H171" s="66" t="s">
        <v>378</v>
      </c>
      <c r="K171" s="63">
        <f>SUM(K166:K169)</f>
        <v>1935.8</v>
      </c>
      <c r="N171" s="53"/>
      <c r="O171" s="127" t="s">
        <v>263</v>
      </c>
      <c r="Q171" s="55"/>
      <c r="R171" s="59" t="s">
        <v>21</v>
      </c>
      <c r="AG171" s="72"/>
      <c r="AQ171" s="53"/>
      <c r="AR171" s="50" t="s">
        <v>263</v>
      </c>
      <c r="AT171" s="55"/>
      <c r="AU171" s="64">
        <f>SUM(AU163:AU169)</f>
        <v>20751.338599999999</v>
      </c>
      <c r="AW171" s="52">
        <f t="shared" si="19"/>
        <v>4708.4787283400001</v>
      </c>
      <c r="AX171" s="52">
        <f t="shared" si="20"/>
        <v>16042.859871659999</v>
      </c>
    </row>
    <row r="172" spans="1:50" ht="15.75">
      <c r="A172" s="90"/>
      <c r="B172" s="90"/>
      <c r="C172" s="90"/>
      <c r="D172" s="90"/>
      <c r="K172" s="59" t="s">
        <v>21</v>
      </c>
      <c r="N172" s="53"/>
      <c r="Q172" s="55"/>
      <c r="R172" s="63">
        <f>(R170/10)</f>
        <v>5890.4969999999994</v>
      </c>
      <c r="AG172" s="72"/>
      <c r="AQ172" s="53"/>
      <c r="AT172" s="55"/>
      <c r="AU172" s="59" t="s">
        <v>21</v>
      </c>
      <c r="AW172" s="52" t="e">
        <f t="shared" si="19"/>
        <v>#VALUE!</v>
      </c>
      <c r="AX172" s="52" t="e">
        <f t="shared" si="20"/>
        <v>#VALUE!</v>
      </c>
    </row>
    <row r="173" spans="1:50" ht="15.75">
      <c r="A173" s="90"/>
      <c r="B173" s="90"/>
      <c r="C173" s="90"/>
      <c r="D173" s="90"/>
      <c r="F173" s="101">
        <v>2.7</v>
      </c>
      <c r="G173" s="62" t="s">
        <v>249</v>
      </c>
      <c r="H173" s="50" t="s">
        <v>846</v>
      </c>
      <c r="N173" s="53"/>
      <c r="O173" s="66" t="s">
        <v>270</v>
      </c>
      <c r="Q173" s="55"/>
      <c r="R173" s="59" t="s">
        <v>156</v>
      </c>
      <c r="AG173" s="72"/>
      <c r="AQ173" s="53"/>
      <c r="AR173" s="50" t="s">
        <v>270</v>
      </c>
      <c r="AT173" s="55"/>
      <c r="AU173" s="64">
        <f>(AU171/2.83168)</f>
        <v>7328.2781246468521</v>
      </c>
      <c r="AW173" s="52">
        <f t="shared" si="19"/>
        <v>1662.7863064823707</v>
      </c>
      <c r="AX173" s="52">
        <f t="shared" si="20"/>
        <v>5665.4918181644816</v>
      </c>
    </row>
    <row r="174" spans="1:50" ht="15.75">
      <c r="A174" s="90"/>
      <c r="B174" s="90"/>
      <c r="C174" s="90"/>
      <c r="D174" s="90"/>
      <c r="H174" s="59" t="s">
        <v>21</v>
      </c>
      <c r="AG174" s="72"/>
      <c r="AQ174" s="53"/>
      <c r="AT174" s="55"/>
      <c r="AU174" s="59" t="s">
        <v>156</v>
      </c>
      <c r="AW174" s="52" t="e">
        <f t="shared" si="19"/>
        <v>#VALUE!</v>
      </c>
      <c r="AX174" s="52" t="e">
        <f t="shared" si="20"/>
        <v>#VALUE!</v>
      </c>
    </row>
    <row r="175" spans="1:50" ht="15.75">
      <c r="A175" s="90"/>
      <c r="B175" s="90"/>
      <c r="C175" s="90"/>
      <c r="D175" s="90"/>
      <c r="F175" s="64">
        <v>1</v>
      </c>
      <c r="G175" s="62" t="s">
        <v>151</v>
      </c>
      <c r="H175" s="50" t="s">
        <v>847</v>
      </c>
      <c r="I175" s="64">
        <f>AE14</f>
        <v>2288.7799999999997</v>
      </c>
      <c r="J175" s="50" t="s">
        <v>151</v>
      </c>
      <c r="K175" s="64">
        <f>(F175*I175)</f>
        <v>2288.7799999999997</v>
      </c>
      <c r="AG175" s="72"/>
      <c r="AP175" s="50" t="s">
        <v>646</v>
      </c>
      <c r="AQ175" s="53"/>
      <c r="AT175" s="55"/>
      <c r="AW175" s="52">
        <f t="shared" si="19"/>
        <v>0</v>
      </c>
      <c r="AX175" s="52">
        <f t="shared" si="20"/>
        <v>0</v>
      </c>
    </row>
    <row r="176" spans="1:50" ht="15.75">
      <c r="A176" s="90"/>
      <c r="B176" s="90"/>
      <c r="C176" s="90"/>
      <c r="D176" s="90"/>
      <c r="F176" s="64">
        <v>1</v>
      </c>
      <c r="G176" s="62" t="s">
        <v>151</v>
      </c>
      <c r="H176" s="50" t="s">
        <v>377</v>
      </c>
      <c r="I176" s="64">
        <f>C26</f>
        <v>41.019999999999996</v>
      </c>
      <c r="J176" s="50" t="s">
        <v>151</v>
      </c>
      <c r="K176" s="64">
        <f>(F176*I176)</f>
        <v>41.019999999999996</v>
      </c>
      <c r="AG176" s="72"/>
      <c r="AQ176" s="53"/>
      <c r="AT176" s="55"/>
      <c r="AW176" s="52">
        <f t="shared" si="19"/>
        <v>0</v>
      </c>
      <c r="AX176" s="52">
        <f t="shared" si="20"/>
        <v>0</v>
      </c>
    </row>
    <row r="177" spans="1:50" ht="15.75">
      <c r="A177" s="90"/>
      <c r="B177" s="90"/>
      <c r="C177" s="90"/>
      <c r="D177" s="90"/>
      <c r="G177" s="62" t="s">
        <v>226</v>
      </c>
      <c r="H177" s="50" t="s">
        <v>237</v>
      </c>
      <c r="I177" s="50" t="s">
        <v>150</v>
      </c>
      <c r="J177" s="50" t="s">
        <v>226</v>
      </c>
      <c r="K177" s="64">
        <v>0</v>
      </c>
      <c r="AG177" s="72"/>
      <c r="AQ177" s="62" t="s">
        <v>848</v>
      </c>
      <c r="AR177" s="50" t="s">
        <v>849</v>
      </c>
      <c r="AT177" s="55"/>
      <c r="AW177" s="52">
        <f t="shared" si="19"/>
        <v>0</v>
      </c>
      <c r="AX177" s="52">
        <f t="shared" si="20"/>
        <v>0</v>
      </c>
    </row>
    <row r="178" spans="1:50" ht="15.75">
      <c r="A178" s="90"/>
      <c r="B178" s="90"/>
      <c r="C178" s="90"/>
      <c r="D178" s="90"/>
      <c r="K178" s="59" t="s">
        <v>21</v>
      </c>
      <c r="AG178" s="72"/>
      <c r="AQ178" s="53"/>
      <c r="AR178" s="59" t="s">
        <v>21</v>
      </c>
      <c r="AT178" s="55"/>
      <c r="AW178" s="52">
        <f t="shared" si="19"/>
        <v>0</v>
      </c>
      <c r="AX178" s="52">
        <f t="shared" si="20"/>
        <v>0</v>
      </c>
    </row>
    <row r="179" spans="1:50" ht="15.75">
      <c r="A179" s="90"/>
      <c r="B179" s="90"/>
      <c r="C179" s="90"/>
      <c r="D179" s="90"/>
      <c r="H179" s="66" t="s">
        <v>378</v>
      </c>
      <c r="K179" s="63">
        <f>SUM(K174:K177)</f>
        <v>2329.7999999999997</v>
      </c>
      <c r="AG179" s="72"/>
      <c r="AP179" s="64">
        <v>0.7</v>
      </c>
      <c r="AQ179" s="62" t="s">
        <v>151</v>
      </c>
      <c r="AR179" s="50" t="s">
        <v>850</v>
      </c>
      <c r="AS179" s="64">
        <f>AS147</f>
        <v>7328.2781246468521</v>
      </c>
      <c r="AT179" s="50" t="s">
        <v>153</v>
      </c>
      <c r="AU179" s="64">
        <f>(AP179*AS179)</f>
        <v>5129.7946872527964</v>
      </c>
      <c r="AW179" s="52">
        <f t="shared" si="19"/>
        <v>1163.9504145376595</v>
      </c>
      <c r="AX179" s="52">
        <f t="shared" si="20"/>
        <v>3965.8442727151369</v>
      </c>
    </row>
    <row r="180" spans="1:50" ht="15.75">
      <c r="K180" s="59" t="s">
        <v>21</v>
      </c>
      <c r="M180" s="64">
        <v>2.5</v>
      </c>
      <c r="N180" s="50" t="s">
        <v>151</v>
      </c>
      <c r="O180" s="50" t="s">
        <v>260</v>
      </c>
      <c r="P180" s="64">
        <f>(K58)</f>
        <v>3630.7000000000003</v>
      </c>
      <c r="Q180" s="50" t="s">
        <v>151</v>
      </c>
      <c r="R180" s="64">
        <f>(M180*P180)</f>
        <v>9076.75</v>
      </c>
      <c r="AG180" s="72"/>
      <c r="AI180" s="50"/>
      <c r="AP180" s="64">
        <v>1</v>
      </c>
      <c r="AQ180" s="62" t="s">
        <v>4</v>
      </c>
      <c r="AR180" s="50" t="s">
        <v>269</v>
      </c>
      <c r="AS180" s="64">
        <f>AS165</f>
        <v>1076.5999999999999</v>
      </c>
      <c r="AT180" s="50" t="s">
        <v>153</v>
      </c>
      <c r="AU180" s="64">
        <f>(AP180*AS180)</f>
        <v>1076.5999999999999</v>
      </c>
      <c r="AW180" s="52">
        <f t="shared" si="19"/>
        <v>244.28054</v>
      </c>
      <c r="AX180" s="52">
        <f t="shared" si="20"/>
        <v>832.31945999999994</v>
      </c>
    </row>
    <row r="181" spans="1:50" ht="15.75">
      <c r="H181" s="50" t="s">
        <v>150</v>
      </c>
      <c r="M181" s="64">
        <v>3.5</v>
      </c>
      <c r="N181" s="50" t="s">
        <v>153</v>
      </c>
      <c r="O181" s="50" t="s">
        <v>269</v>
      </c>
      <c r="P181" s="64">
        <f>(C10)</f>
        <v>1076.5999999999999</v>
      </c>
      <c r="Q181" s="50" t="s">
        <v>153</v>
      </c>
      <c r="R181" s="64">
        <f>(M181*P181)</f>
        <v>3768.0999999999995</v>
      </c>
      <c r="AG181" s="72"/>
      <c r="AI181" s="50"/>
      <c r="AQ181" s="62" t="s">
        <v>226</v>
      </c>
      <c r="AR181" s="50" t="s">
        <v>237</v>
      </c>
      <c r="AS181" s="50" t="s">
        <v>150</v>
      </c>
      <c r="AT181" s="50" t="s">
        <v>226</v>
      </c>
      <c r="AU181" s="64">
        <v>0</v>
      </c>
      <c r="AW181" s="52">
        <f t="shared" si="19"/>
        <v>0</v>
      </c>
      <c r="AX181" s="52">
        <f t="shared" si="20"/>
        <v>0</v>
      </c>
    </row>
    <row r="182" spans="1:50" ht="15.75">
      <c r="F182" s="51" t="s">
        <v>851</v>
      </c>
      <c r="H182" s="50" t="s">
        <v>852</v>
      </c>
      <c r="AG182" s="72"/>
      <c r="AQ182" s="53"/>
      <c r="AT182" s="55"/>
      <c r="AU182" s="59" t="s">
        <v>21</v>
      </c>
      <c r="AW182" s="52" t="e">
        <f t="shared" si="19"/>
        <v>#VALUE!</v>
      </c>
      <c r="AX182" s="52" t="e">
        <f t="shared" si="20"/>
        <v>#VALUE!</v>
      </c>
    </row>
    <row r="183" spans="1:50" ht="15.75">
      <c r="A183" s="90"/>
      <c r="B183" s="90"/>
      <c r="C183" s="90"/>
      <c r="D183" s="90"/>
      <c r="AG183" s="72"/>
      <c r="AQ183" s="53"/>
      <c r="AR183" s="50" t="s">
        <v>238</v>
      </c>
      <c r="AT183" s="55"/>
      <c r="AU183" s="63">
        <f>SUM(AU179:AU181)</f>
        <v>6206.3946872527958</v>
      </c>
      <c r="AW183" s="52">
        <f t="shared" si="19"/>
        <v>1408.2309545376595</v>
      </c>
      <c r="AX183" s="52">
        <f t="shared" si="20"/>
        <v>4798.1637327151366</v>
      </c>
    </row>
    <row r="184" spans="1:50" ht="15.75">
      <c r="A184" s="90"/>
      <c r="B184" s="90"/>
      <c r="C184" s="90"/>
      <c r="D184" s="90"/>
      <c r="F184" s="64">
        <v>1</v>
      </c>
      <c r="G184" s="62" t="s">
        <v>151</v>
      </c>
      <c r="H184" s="50" t="s">
        <v>853</v>
      </c>
      <c r="I184" s="64">
        <f>C35</f>
        <v>210</v>
      </c>
      <c r="J184" s="50" t="s">
        <v>151</v>
      </c>
      <c r="K184" s="64">
        <f>(F184*I184)</f>
        <v>210</v>
      </c>
      <c r="AG184" s="72"/>
      <c r="AQ184" s="53"/>
      <c r="AT184" s="55"/>
      <c r="AU184" s="59" t="s">
        <v>21</v>
      </c>
      <c r="AW184" s="52" t="e">
        <f t="shared" si="19"/>
        <v>#VALUE!</v>
      </c>
      <c r="AX184" s="52" t="e">
        <f t="shared" si="20"/>
        <v>#VALUE!</v>
      </c>
    </row>
    <row r="185" spans="1:50" ht="15.75">
      <c r="A185" s="90"/>
      <c r="B185" s="90"/>
      <c r="C185" s="90"/>
      <c r="D185" s="90"/>
      <c r="F185" s="64">
        <v>1</v>
      </c>
      <c r="G185" s="62" t="s">
        <v>151</v>
      </c>
      <c r="H185" s="50" t="s">
        <v>834</v>
      </c>
      <c r="I185" s="128">
        <f>C812</f>
        <v>3.15</v>
      </c>
      <c r="J185" s="50" t="s">
        <v>151</v>
      </c>
      <c r="K185" s="64">
        <f>(F185*I185)</f>
        <v>3.15</v>
      </c>
      <c r="AG185" s="72"/>
      <c r="AQ185" s="53"/>
      <c r="AR185" s="50" t="s">
        <v>155</v>
      </c>
      <c r="AT185" s="55"/>
      <c r="AU185" s="64">
        <f>(AU183/10)</f>
        <v>620.63946872527958</v>
      </c>
      <c r="AW185" s="52">
        <f t="shared" si="19"/>
        <v>140.82309545376594</v>
      </c>
      <c r="AX185" s="52">
        <f t="shared" si="20"/>
        <v>479.81637327151361</v>
      </c>
    </row>
    <row r="186" spans="1:50" ht="15.75">
      <c r="A186" s="90"/>
      <c r="B186" s="90"/>
      <c r="C186" s="90"/>
      <c r="D186" s="90"/>
      <c r="F186" s="64">
        <v>1</v>
      </c>
      <c r="G186" s="62" t="s">
        <v>151</v>
      </c>
      <c r="H186" s="50" t="s">
        <v>836</v>
      </c>
      <c r="I186" s="128">
        <f>C146</f>
        <v>15.5</v>
      </c>
      <c r="J186" s="50" t="s">
        <v>151</v>
      </c>
      <c r="K186" s="64">
        <f>(F186*I186)</f>
        <v>15.5</v>
      </c>
      <c r="AG186" s="72"/>
      <c r="AQ186" s="53"/>
      <c r="AT186" s="55"/>
      <c r="AU186" s="59" t="s">
        <v>156</v>
      </c>
      <c r="AW186" s="52" t="e">
        <f t="shared" si="19"/>
        <v>#VALUE!</v>
      </c>
      <c r="AX186" s="52" t="e">
        <f t="shared" si="20"/>
        <v>#VALUE!</v>
      </c>
    </row>
    <row r="187" spans="1:50" ht="15.75">
      <c r="A187" s="90"/>
      <c r="B187" s="90"/>
      <c r="C187" s="90"/>
      <c r="D187" s="90"/>
      <c r="H187" s="50" t="s">
        <v>837</v>
      </c>
      <c r="AG187" s="72"/>
      <c r="AQ187" s="53"/>
      <c r="AR187" s="50" t="s">
        <v>271</v>
      </c>
      <c r="AT187" s="55">
        <f>AU187-AU185</f>
        <v>5.8016000000000076</v>
      </c>
      <c r="AU187" s="63">
        <f>(AU185+C19/10*AP179)</f>
        <v>626.44106872527959</v>
      </c>
      <c r="AW187" s="52">
        <f t="shared" si="19"/>
        <v>142.13947849376595</v>
      </c>
      <c r="AX187" s="52">
        <f t="shared" si="20"/>
        <v>484.30159023151361</v>
      </c>
    </row>
    <row r="188" spans="1:50" ht="15.75">
      <c r="A188" s="90"/>
      <c r="B188" s="90"/>
      <c r="C188" s="90"/>
      <c r="D188" s="90"/>
      <c r="K188" s="59" t="s">
        <v>21</v>
      </c>
      <c r="AG188" s="72"/>
      <c r="AQ188" s="53"/>
      <c r="AR188" s="50" t="s">
        <v>272</v>
      </c>
      <c r="AT188" s="55">
        <f>AU188-AU187</f>
        <v>11.691400000000044</v>
      </c>
      <c r="AU188" s="63">
        <f>(AU187+C20/10*AP179)</f>
        <v>638.13246872527964</v>
      </c>
      <c r="AW188" s="52">
        <f t="shared" si="19"/>
        <v>144.79225715376595</v>
      </c>
      <c r="AX188" s="52">
        <f t="shared" si="20"/>
        <v>493.34021157151369</v>
      </c>
    </row>
    <row r="189" spans="1:50" ht="15.75">
      <c r="A189" s="90"/>
      <c r="B189" s="90"/>
      <c r="C189" s="90"/>
      <c r="D189" s="90"/>
      <c r="H189" s="66" t="s">
        <v>378</v>
      </c>
      <c r="K189" s="63">
        <f>SUM(K182:K187)</f>
        <v>228.65</v>
      </c>
      <c r="AG189" s="72"/>
      <c r="AQ189" s="53"/>
      <c r="AR189" s="50" t="s">
        <v>767</v>
      </c>
      <c r="AT189" s="55">
        <f>AU189-AU188</f>
        <v>11.691400000000044</v>
      </c>
      <c r="AU189" s="63">
        <f>(AU188+C21/10*AP179)</f>
        <v>649.82386872527968</v>
      </c>
      <c r="AW189" s="52">
        <f t="shared" si="19"/>
        <v>147.44503581376597</v>
      </c>
      <c r="AX189" s="52">
        <f t="shared" si="20"/>
        <v>502.37883291151371</v>
      </c>
    </row>
    <row r="190" spans="1:50" ht="15.75">
      <c r="A190" s="90"/>
      <c r="B190" s="90"/>
      <c r="C190" s="90"/>
      <c r="D190" s="90"/>
      <c r="F190" s="50" t="s">
        <v>150</v>
      </c>
      <c r="K190" s="59" t="s">
        <v>21</v>
      </c>
      <c r="AG190" s="72"/>
      <c r="AQ190" s="53"/>
      <c r="AR190" s="50" t="s">
        <v>769</v>
      </c>
      <c r="AT190" s="55">
        <f>AU190-AU189</f>
        <v>11.691400000000044</v>
      </c>
      <c r="AU190" s="63">
        <f>(AU189+C21/10*AP179)</f>
        <v>661.51526872527973</v>
      </c>
      <c r="AW190" s="52">
        <f t="shared" si="19"/>
        <v>150.09781447376596</v>
      </c>
      <c r="AX190" s="52">
        <f t="shared" si="20"/>
        <v>511.41745425151373</v>
      </c>
    </row>
    <row r="191" spans="1:50" ht="15.75">
      <c r="A191" s="90"/>
      <c r="B191" s="90"/>
      <c r="C191" s="90"/>
      <c r="D191" s="90"/>
      <c r="K191" s="50" t="s">
        <v>150</v>
      </c>
      <c r="AG191" s="72"/>
      <c r="AQ191" s="53"/>
      <c r="AR191" s="50" t="s">
        <v>854</v>
      </c>
      <c r="AT191" s="55">
        <f>AU191-AU190</f>
        <v>11.691400000000044</v>
      </c>
      <c r="AU191" s="63">
        <f>(AU190+C21/10*AP179)</f>
        <v>673.20666872527977</v>
      </c>
      <c r="AW191" s="52">
        <f t="shared" si="19"/>
        <v>152.75059313376599</v>
      </c>
      <c r="AX191" s="52">
        <f t="shared" si="20"/>
        <v>520.45607559151381</v>
      </c>
    </row>
    <row r="192" spans="1:50" ht="15.75">
      <c r="A192" s="74">
        <f>(A148+1)</f>
        <v>90</v>
      </c>
      <c r="B192" s="75" t="s">
        <v>855</v>
      </c>
      <c r="C192" s="76">
        <v>65</v>
      </c>
      <c r="D192" s="75" t="s">
        <v>856</v>
      </c>
      <c r="F192" s="51" t="s">
        <v>309</v>
      </c>
      <c r="G192" s="62" t="s">
        <v>249</v>
      </c>
      <c r="H192" s="50" t="s">
        <v>310</v>
      </c>
      <c r="M192" s="51" t="s">
        <v>309</v>
      </c>
      <c r="N192" s="62" t="s">
        <v>249</v>
      </c>
      <c r="O192" s="50" t="s">
        <v>857</v>
      </c>
      <c r="Q192" s="55"/>
      <c r="S192" s="51" t="s">
        <v>309</v>
      </c>
      <c r="T192" s="62" t="s">
        <v>249</v>
      </c>
      <c r="U192" s="50" t="s">
        <v>857</v>
      </c>
      <c r="W192" s="55"/>
      <c r="AG192" s="72"/>
      <c r="AI192" s="50"/>
      <c r="AR192" s="50"/>
      <c r="AT192" s="55"/>
      <c r="AU192" s="63"/>
      <c r="AW192" s="52">
        <f t="shared" si="19"/>
        <v>0</v>
      </c>
      <c r="AX192" s="52">
        <f t="shared" si="20"/>
        <v>0</v>
      </c>
    </row>
    <row r="193" spans="1:50" ht="15.75">
      <c r="A193" s="74">
        <f t="shared" ref="A193:A208" si="21">(A192+1)</f>
        <v>91</v>
      </c>
      <c r="B193" s="75" t="s">
        <v>858</v>
      </c>
      <c r="C193" s="76">
        <v>25</v>
      </c>
      <c r="D193" s="75" t="s">
        <v>856</v>
      </c>
      <c r="H193" s="50" t="s">
        <v>311</v>
      </c>
      <c r="N193" s="53"/>
      <c r="O193" s="50" t="s">
        <v>398</v>
      </c>
      <c r="Q193" s="55"/>
      <c r="S193" s="52"/>
      <c r="T193" s="53"/>
      <c r="U193" s="50" t="s">
        <v>311</v>
      </c>
      <c r="W193" s="55"/>
      <c r="AG193" s="72"/>
      <c r="AI193" s="50"/>
      <c r="AR193" s="50"/>
      <c r="AT193" s="55"/>
      <c r="AU193" s="63"/>
      <c r="AW193" s="52">
        <f t="shared" si="19"/>
        <v>0</v>
      </c>
      <c r="AX193" s="52">
        <f t="shared" si="20"/>
        <v>0</v>
      </c>
    </row>
    <row r="194" spans="1:50" ht="15.75">
      <c r="A194" s="74">
        <f t="shared" si="21"/>
        <v>92</v>
      </c>
      <c r="B194" s="75" t="s">
        <v>859</v>
      </c>
      <c r="C194" s="73">
        <v>266</v>
      </c>
      <c r="D194" s="75" t="s">
        <v>856</v>
      </c>
      <c r="H194" s="59" t="s">
        <v>21</v>
      </c>
      <c r="N194" s="53"/>
      <c r="O194" s="59" t="s">
        <v>21</v>
      </c>
      <c r="Q194" s="55"/>
      <c r="S194" s="52"/>
      <c r="T194" s="53"/>
      <c r="U194" s="59" t="s">
        <v>21</v>
      </c>
      <c r="W194" s="55"/>
      <c r="AG194" s="72"/>
      <c r="AI194" s="50"/>
      <c r="AW194" s="52">
        <f t="shared" si="19"/>
        <v>0</v>
      </c>
      <c r="AX194" s="52">
        <f t="shared" si="20"/>
        <v>0</v>
      </c>
    </row>
    <row r="195" spans="1:50" ht="15.75">
      <c r="A195" s="74">
        <f t="shared" si="21"/>
        <v>93</v>
      </c>
      <c r="B195" s="75" t="s">
        <v>860</v>
      </c>
      <c r="C195" s="73">
        <v>234.3</v>
      </c>
      <c r="D195" s="97">
        <v>96.11</v>
      </c>
      <c r="F195" s="64">
        <v>9</v>
      </c>
      <c r="G195" s="62" t="s">
        <v>151</v>
      </c>
      <c r="H195" s="50" t="s">
        <v>312</v>
      </c>
      <c r="I195" s="64">
        <f>(C74)</f>
        <v>1894.78</v>
      </c>
      <c r="J195" s="50" t="s">
        <v>151</v>
      </c>
      <c r="K195" s="64">
        <f>(F195*I195)</f>
        <v>17053.02</v>
      </c>
      <c r="M195" s="64">
        <v>9</v>
      </c>
      <c r="N195" s="62" t="s">
        <v>151</v>
      </c>
      <c r="O195" s="50" t="s">
        <v>399</v>
      </c>
      <c r="P195" s="64">
        <f>(C73)</f>
        <v>2288.7799999999997</v>
      </c>
      <c r="Q195" s="50" t="s">
        <v>151</v>
      </c>
      <c r="R195" s="64">
        <f>(M195*P195)</f>
        <v>20599.019999999997</v>
      </c>
      <c r="S195" s="64">
        <v>9</v>
      </c>
      <c r="T195" s="62" t="s">
        <v>151</v>
      </c>
      <c r="U195" s="50" t="s">
        <v>312</v>
      </c>
      <c r="V195" s="64">
        <f>(C74)</f>
        <v>1894.78</v>
      </c>
      <c r="W195" s="50" t="s">
        <v>151</v>
      </c>
      <c r="X195" s="64">
        <f>(S195*V195)</f>
        <v>17053.02</v>
      </c>
      <c r="Y195" s="64"/>
      <c r="AG195" s="72"/>
      <c r="AI195" s="50"/>
      <c r="AR195" s="50"/>
      <c r="AT195" s="55"/>
      <c r="AU195" s="63"/>
      <c r="AW195" s="52">
        <f t="shared" si="19"/>
        <v>0</v>
      </c>
      <c r="AX195" s="52">
        <f t="shared" si="20"/>
        <v>0</v>
      </c>
    </row>
    <row r="196" spans="1:50" ht="15.75">
      <c r="A196" s="74">
        <f t="shared" si="21"/>
        <v>94</v>
      </c>
      <c r="B196" s="75" t="s">
        <v>861</v>
      </c>
      <c r="C196" s="73">
        <v>144.69999999999999</v>
      </c>
      <c r="D196" s="75" t="s">
        <v>856</v>
      </c>
      <c r="F196" s="64">
        <v>4.5</v>
      </c>
      <c r="G196" s="62" t="s">
        <v>151</v>
      </c>
      <c r="H196" s="50" t="s">
        <v>259</v>
      </c>
      <c r="I196" s="64">
        <f>(K49)</f>
        <v>3909.1000000000004</v>
      </c>
      <c r="J196" s="50" t="s">
        <v>151</v>
      </c>
      <c r="K196" s="64">
        <f>(F196*I196)</f>
        <v>17590.95</v>
      </c>
      <c r="M196" s="64">
        <v>4.5</v>
      </c>
      <c r="N196" s="62" t="s">
        <v>151</v>
      </c>
      <c r="O196" s="50" t="s">
        <v>257</v>
      </c>
      <c r="P196" s="64">
        <f>K32</f>
        <v>5022.7</v>
      </c>
      <c r="Q196" s="50" t="s">
        <v>151</v>
      </c>
      <c r="R196" s="64">
        <f>(M196*P196)</f>
        <v>22602.149999999998</v>
      </c>
      <c r="S196" s="64">
        <v>4.5</v>
      </c>
      <c r="T196" s="62" t="s">
        <v>151</v>
      </c>
      <c r="U196" s="50" t="s">
        <v>257</v>
      </c>
      <c r="V196" s="64">
        <f>P196</f>
        <v>5022.7</v>
      </c>
      <c r="W196" s="50" t="s">
        <v>151</v>
      </c>
      <c r="X196" s="64">
        <f>(S196*V196)</f>
        <v>22602.149999999998</v>
      </c>
      <c r="Y196" s="64"/>
      <c r="AG196" s="72"/>
      <c r="AI196" s="50"/>
      <c r="AR196" s="50"/>
      <c r="AU196" s="63"/>
      <c r="AW196" s="52">
        <f t="shared" si="19"/>
        <v>0</v>
      </c>
      <c r="AX196" s="52">
        <f t="shared" si="20"/>
        <v>0</v>
      </c>
    </row>
    <row r="197" spans="1:50" ht="15.75">
      <c r="A197" s="74">
        <f t="shared" si="21"/>
        <v>95</v>
      </c>
      <c r="B197" s="75" t="s">
        <v>862</v>
      </c>
      <c r="C197" s="76">
        <v>0.25</v>
      </c>
      <c r="D197" s="75" t="s">
        <v>153</v>
      </c>
      <c r="F197" s="64">
        <v>1.8</v>
      </c>
      <c r="G197" s="62" t="s">
        <v>153</v>
      </c>
      <c r="H197" s="50" t="s">
        <v>234</v>
      </c>
      <c r="I197" s="64">
        <f>(C11)</f>
        <v>1005.1999999999999</v>
      </c>
      <c r="J197" s="50" t="s">
        <v>153</v>
      </c>
      <c r="K197" s="64">
        <f>(F197*I197)</f>
        <v>1809.36</v>
      </c>
      <c r="M197" s="64">
        <v>1.8</v>
      </c>
      <c r="N197" s="62" t="s">
        <v>153</v>
      </c>
      <c r="O197" s="50" t="s">
        <v>234</v>
      </c>
      <c r="P197" s="64">
        <f>I197</f>
        <v>1005.1999999999999</v>
      </c>
      <c r="Q197" s="50" t="s">
        <v>153</v>
      </c>
      <c r="R197" s="64">
        <f>(M197*P197)</f>
        <v>1809.36</v>
      </c>
      <c r="S197" s="64">
        <v>1.8</v>
      </c>
      <c r="T197" s="62" t="s">
        <v>153</v>
      </c>
      <c r="U197" s="50" t="s">
        <v>234</v>
      </c>
      <c r="V197" s="64">
        <f>P197</f>
        <v>1005.1999999999999</v>
      </c>
      <c r="W197" s="50" t="s">
        <v>153</v>
      </c>
      <c r="X197" s="64">
        <f>(S197*V197)</f>
        <v>1809.36</v>
      </c>
      <c r="Y197" s="64"/>
      <c r="AG197" s="72"/>
      <c r="AI197" s="50"/>
      <c r="AR197" s="50"/>
      <c r="AU197" s="63"/>
      <c r="AW197" s="52">
        <f t="shared" si="19"/>
        <v>0</v>
      </c>
      <c r="AX197" s="52">
        <f t="shared" si="20"/>
        <v>0</v>
      </c>
    </row>
    <row r="198" spans="1:50" ht="15.75">
      <c r="A198" s="74">
        <f t="shared" si="21"/>
        <v>96</v>
      </c>
      <c r="B198" s="75" t="s">
        <v>863</v>
      </c>
      <c r="C198" s="71">
        <v>31.65</v>
      </c>
      <c r="D198" s="75" t="s">
        <v>152</v>
      </c>
      <c r="F198" s="64">
        <v>17.7</v>
      </c>
      <c r="G198" s="62" t="s">
        <v>153</v>
      </c>
      <c r="H198" s="50" t="s">
        <v>235</v>
      </c>
      <c r="I198" s="64">
        <f>(C12)</f>
        <v>702.8</v>
      </c>
      <c r="J198" s="50" t="s">
        <v>153</v>
      </c>
      <c r="K198" s="64">
        <f>(F198*I198)</f>
        <v>12439.56</v>
      </c>
      <c r="M198" s="64">
        <v>17.7</v>
      </c>
      <c r="N198" s="62" t="s">
        <v>153</v>
      </c>
      <c r="O198" s="50" t="s">
        <v>235</v>
      </c>
      <c r="P198" s="64">
        <f>I198</f>
        <v>702.8</v>
      </c>
      <c r="Q198" s="50" t="s">
        <v>153</v>
      </c>
      <c r="R198" s="64">
        <f>(M198*P198)</f>
        <v>12439.56</v>
      </c>
      <c r="S198" s="64">
        <v>17.7</v>
      </c>
      <c r="T198" s="62" t="s">
        <v>153</v>
      </c>
      <c r="U198" s="50" t="s">
        <v>235</v>
      </c>
      <c r="V198" s="64">
        <f>P198</f>
        <v>702.8</v>
      </c>
      <c r="W198" s="50" t="s">
        <v>153</v>
      </c>
      <c r="X198" s="64">
        <f>(S198*V198)</f>
        <v>12439.56</v>
      </c>
      <c r="Y198" s="64"/>
      <c r="AG198" s="72"/>
      <c r="AI198" s="50"/>
      <c r="AR198" s="50"/>
      <c r="AU198" s="63"/>
      <c r="AW198" s="52">
        <f t="shared" si="19"/>
        <v>0</v>
      </c>
      <c r="AX198" s="52">
        <f t="shared" si="20"/>
        <v>0</v>
      </c>
    </row>
    <row r="199" spans="1:50" ht="15.75">
      <c r="A199" s="74">
        <f t="shared" si="21"/>
        <v>97</v>
      </c>
      <c r="B199" s="75" t="s">
        <v>864</v>
      </c>
      <c r="C199" s="71">
        <v>295</v>
      </c>
      <c r="D199" s="71">
        <v>91</v>
      </c>
      <c r="E199" s="75" t="s">
        <v>152</v>
      </c>
      <c r="F199" s="64">
        <v>14.1</v>
      </c>
      <c r="G199" s="62" t="s">
        <v>153</v>
      </c>
      <c r="H199" s="50" t="s">
        <v>236</v>
      </c>
      <c r="I199" s="64">
        <f>(C13)</f>
        <v>576.79999999999995</v>
      </c>
      <c r="J199" s="50" t="s">
        <v>153</v>
      </c>
      <c r="K199" s="64">
        <f>(F199*I199)</f>
        <v>8132.8799999999992</v>
      </c>
      <c r="M199" s="64">
        <v>14.1</v>
      </c>
      <c r="N199" s="62" t="s">
        <v>153</v>
      </c>
      <c r="O199" s="50" t="s">
        <v>236</v>
      </c>
      <c r="P199" s="64">
        <f>I199</f>
        <v>576.79999999999995</v>
      </c>
      <c r="Q199" s="50" t="s">
        <v>153</v>
      </c>
      <c r="R199" s="64">
        <f>(M199*P199)</f>
        <v>8132.8799999999992</v>
      </c>
      <c r="S199" s="64">
        <v>14.1</v>
      </c>
      <c r="T199" s="62" t="s">
        <v>153</v>
      </c>
      <c r="U199" s="50" t="s">
        <v>236</v>
      </c>
      <c r="V199" s="64">
        <f>P199</f>
        <v>576.79999999999995</v>
      </c>
      <c r="W199" s="50" t="s">
        <v>153</v>
      </c>
      <c r="X199" s="64">
        <f>(S199*V199)</f>
        <v>8132.8799999999992</v>
      </c>
      <c r="Y199" s="64"/>
      <c r="AG199" s="72"/>
      <c r="AI199" s="50"/>
      <c r="AR199" s="50"/>
      <c r="AU199" s="63"/>
      <c r="AW199" s="52">
        <f t="shared" si="19"/>
        <v>0</v>
      </c>
      <c r="AX199" s="52">
        <f t="shared" si="20"/>
        <v>0</v>
      </c>
    </row>
    <row r="200" spans="1:50" ht="15.75">
      <c r="A200" s="74">
        <f t="shared" si="21"/>
        <v>98</v>
      </c>
      <c r="B200" s="75" t="s">
        <v>865</v>
      </c>
      <c r="C200" s="71">
        <v>143</v>
      </c>
      <c r="D200" s="75" t="s">
        <v>4</v>
      </c>
      <c r="G200" s="62" t="s">
        <v>226</v>
      </c>
      <c r="H200" s="50" t="s">
        <v>237</v>
      </c>
      <c r="J200" s="50" t="s">
        <v>226</v>
      </c>
      <c r="K200" s="64">
        <v>0</v>
      </c>
      <c r="N200" s="62" t="s">
        <v>226</v>
      </c>
      <c r="O200" s="50" t="s">
        <v>237</v>
      </c>
      <c r="Q200" s="50" t="s">
        <v>226</v>
      </c>
      <c r="R200" s="64">
        <v>0</v>
      </c>
      <c r="S200" s="52"/>
      <c r="T200" s="62" t="s">
        <v>226</v>
      </c>
      <c r="U200" s="50" t="s">
        <v>237</v>
      </c>
      <c r="W200" s="50" t="s">
        <v>226</v>
      </c>
      <c r="X200" s="64">
        <v>0</v>
      </c>
      <c r="Y200" s="64"/>
      <c r="AG200" s="72"/>
      <c r="AI200" s="50"/>
      <c r="AW200" s="52">
        <f t="shared" si="19"/>
        <v>0</v>
      </c>
      <c r="AX200" s="52">
        <f t="shared" si="20"/>
        <v>0</v>
      </c>
    </row>
    <row r="201" spans="1:50" ht="15.75">
      <c r="A201" s="74">
        <f t="shared" si="21"/>
        <v>99</v>
      </c>
      <c r="B201" s="75" t="s">
        <v>866</v>
      </c>
      <c r="C201" s="71">
        <v>1180</v>
      </c>
      <c r="D201" s="75" t="s">
        <v>4</v>
      </c>
      <c r="K201" s="59" t="s">
        <v>21</v>
      </c>
      <c r="N201" s="53"/>
      <c r="Q201" s="55"/>
      <c r="R201" s="59" t="s">
        <v>21</v>
      </c>
      <c r="S201" s="52"/>
      <c r="T201" s="53"/>
      <c r="W201" s="55"/>
      <c r="X201" s="59" t="s">
        <v>21</v>
      </c>
      <c r="Y201" s="59"/>
      <c r="AG201" s="72"/>
      <c r="AI201" s="50"/>
      <c r="AW201" s="52">
        <f t="shared" si="19"/>
        <v>0</v>
      </c>
      <c r="AX201" s="52">
        <f t="shared" si="20"/>
        <v>0</v>
      </c>
    </row>
    <row r="202" spans="1:50" ht="15.75">
      <c r="A202" s="74">
        <f t="shared" si="21"/>
        <v>100</v>
      </c>
      <c r="B202" s="75" t="s">
        <v>867</v>
      </c>
      <c r="C202" s="87">
        <v>47.2</v>
      </c>
      <c r="D202" s="75" t="s">
        <v>4</v>
      </c>
      <c r="K202" s="64">
        <f>SUM(K195:K200)</f>
        <v>57025.77</v>
      </c>
      <c r="N202" s="53"/>
      <c r="Q202" s="55"/>
      <c r="R202" s="64">
        <f>SUM(R195:R200)</f>
        <v>65582.97</v>
      </c>
      <c r="S202" s="52"/>
      <c r="T202" s="53"/>
      <c r="W202" s="55"/>
      <c r="X202" s="64">
        <f>SUM(X195:X200)</f>
        <v>62036.969999999994</v>
      </c>
      <c r="Y202" s="64"/>
      <c r="AG202" s="72"/>
      <c r="AI202" s="50"/>
      <c r="AW202" s="52">
        <f t="shared" si="19"/>
        <v>0</v>
      </c>
      <c r="AX202" s="52">
        <f t="shared" si="20"/>
        <v>0</v>
      </c>
    </row>
    <row r="203" spans="1:50" ht="15.75">
      <c r="A203" s="74">
        <f t="shared" si="21"/>
        <v>101</v>
      </c>
      <c r="B203" s="75" t="s">
        <v>868</v>
      </c>
      <c r="C203" s="73">
        <v>125.6</v>
      </c>
      <c r="D203" s="75" t="s">
        <v>4</v>
      </c>
      <c r="E203" s="129">
        <v>162.9</v>
      </c>
      <c r="H203" s="127" t="s">
        <v>263</v>
      </c>
      <c r="K203" s="59" t="s">
        <v>21</v>
      </c>
      <c r="N203" s="53"/>
      <c r="O203" s="50" t="s">
        <v>263</v>
      </c>
      <c r="Q203" s="55"/>
      <c r="R203" s="59" t="s">
        <v>21</v>
      </c>
      <c r="S203" s="52"/>
      <c r="T203" s="53"/>
      <c r="U203" s="50" t="s">
        <v>263</v>
      </c>
      <c r="W203" s="55"/>
      <c r="X203" s="59" t="s">
        <v>21</v>
      </c>
      <c r="Y203" s="59"/>
      <c r="AG203" s="72"/>
      <c r="AI203" s="50"/>
      <c r="AW203" s="52">
        <f t="shared" si="19"/>
        <v>0</v>
      </c>
      <c r="AX203" s="52">
        <f t="shared" si="20"/>
        <v>0</v>
      </c>
    </row>
    <row r="204" spans="1:50" ht="15.75">
      <c r="A204" s="74">
        <f t="shared" si="21"/>
        <v>102</v>
      </c>
      <c r="B204" s="75" t="s">
        <v>869</v>
      </c>
      <c r="C204" s="73">
        <v>62.2</v>
      </c>
      <c r="D204" s="75" t="s">
        <v>4</v>
      </c>
      <c r="K204" s="63">
        <f>(K202/10)</f>
        <v>5702.5769999999993</v>
      </c>
      <c r="N204" s="53"/>
      <c r="Q204" s="55"/>
      <c r="R204" s="64">
        <f>(R202/10)</f>
        <v>6558.2970000000005</v>
      </c>
      <c r="S204" s="52"/>
      <c r="T204" s="53"/>
      <c r="W204" s="55"/>
      <c r="X204" s="64">
        <f>(X202/10)</f>
        <v>6203.6969999999992</v>
      </c>
      <c r="Y204" s="64"/>
      <c r="AG204" s="72"/>
      <c r="AW204" s="52">
        <f t="shared" si="19"/>
        <v>0</v>
      </c>
      <c r="AX204" s="52">
        <f t="shared" si="20"/>
        <v>0</v>
      </c>
    </row>
    <row r="205" spans="1:50" ht="15.75">
      <c r="A205" s="74">
        <f t="shared" si="21"/>
        <v>103</v>
      </c>
      <c r="B205" s="75" t="s">
        <v>870</v>
      </c>
      <c r="C205" s="73">
        <v>100</v>
      </c>
      <c r="D205" s="75" t="s">
        <v>4</v>
      </c>
      <c r="H205" s="66" t="s">
        <v>270</v>
      </c>
      <c r="K205" s="59" t="s">
        <v>156</v>
      </c>
      <c r="N205" s="53"/>
      <c r="O205" s="50" t="s">
        <v>270</v>
      </c>
      <c r="Q205" s="55"/>
      <c r="R205" s="59" t="s">
        <v>156</v>
      </c>
      <c r="S205" s="52"/>
      <c r="T205" s="53"/>
      <c r="U205" s="50" t="s">
        <v>270</v>
      </c>
      <c r="W205" s="55"/>
      <c r="X205" s="59" t="s">
        <v>156</v>
      </c>
      <c r="Y205" s="59"/>
      <c r="AG205" s="72"/>
      <c r="AW205" s="52">
        <f t="shared" si="19"/>
        <v>0</v>
      </c>
      <c r="AX205" s="52">
        <f t="shared" si="20"/>
        <v>0</v>
      </c>
    </row>
    <row r="206" spans="1:50" ht="15.75">
      <c r="A206" s="74">
        <f t="shared" si="21"/>
        <v>104</v>
      </c>
      <c r="B206" s="75" t="s">
        <v>871</v>
      </c>
      <c r="C206" s="73">
        <v>99.6</v>
      </c>
      <c r="D206" s="75" t="s">
        <v>4</v>
      </c>
      <c r="E206" s="129">
        <v>138</v>
      </c>
      <c r="AG206" s="72"/>
      <c r="AI206" s="50"/>
      <c r="AW206" s="52">
        <f t="shared" si="19"/>
        <v>0</v>
      </c>
      <c r="AX206" s="52">
        <f t="shared" si="20"/>
        <v>0</v>
      </c>
    </row>
    <row r="207" spans="1:50" ht="15.75">
      <c r="A207" s="74">
        <f t="shared" si="21"/>
        <v>105</v>
      </c>
      <c r="B207" s="75" t="s">
        <v>872</v>
      </c>
      <c r="C207" s="73">
        <v>223.2</v>
      </c>
      <c r="D207" s="75" t="s">
        <v>873</v>
      </c>
      <c r="F207" s="51" t="s">
        <v>397</v>
      </c>
      <c r="G207" s="62" t="s">
        <v>249</v>
      </c>
      <c r="H207" s="50" t="s">
        <v>874</v>
      </c>
      <c r="AG207" s="72"/>
      <c r="AW207" s="52">
        <f t="shared" si="19"/>
        <v>0</v>
      </c>
      <c r="AX207" s="52">
        <f t="shared" si="20"/>
        <v>0</v>
      </c>
    </row>
    <row r="208" spans="1:50" ht="15.75">
      <c r="A208" s="74">
        <f t="shared" si="21"/>
        <v>106</v>
      </c>
      <c r="B208" s="75" t="s">
        <v>875</v>
      </c>
      <c r="C208" s="73">
        <v>162.9</v>
      </c>
      <c r="D208" s="75" t="s">
        <v>4</v>
      </c>
      <c r="H208" s="50" t="s">
        <v>398</v>
      </c>
      <c r="N208" s="50" t="s">
        <v>588</v>
      </c>
      <c r="O208" s="50" t="s">
        <v>876</v>
      </c>
      <c r="AG208" s="72"/>
      <c r="AW208" s="52">
        <f t="shared" si="19"/>
        <v>0</v>
      </c>
      <c r="AX208" s="52">
        <f t="shared" si="20"/>
        <v>0</v>
      </c>
    </row>
    <row r="209" spans="1:50" ht="15.75">
      <c r="A209" s="90"/>
      <c r="B209" s="90"/>
      <c r="C209" s="90"/>
      <c r="D209" s="90"/>
      <c r="H209" s="59" t="s">
        <v>21</v>
      </c>
      <c r="O209" s="59" t="s">
        <v>21</v>
      </c>
      <c r="AG209" s="72"/>
      <c r="AW209" s="52">
        <f t="shared" si="19"/>
        <v>0</v>
      </c>
      <c r="AX209" s="52">
        <f t="shared" si="20"/>
        <v>0</v>
      </c>
    </row>
    <row r="210" spans="1:50" ht="15.75">
      <c r="A210" s="90"/>
      <c r="B210" s="90"/>
      <c r="C210" s="90"/>
      <c r="D210" s="90"/>
      <c r="F210" s="64">
        <v>9</v>
      </c>
      <c r="G210" s="62" t="s">
        <v>151</v>
      </c>
      <c r="H210" s="50" t="s">
        <v>399</v>
      </c>
      <c r="I210" s="64">
        <f>C73</f>
        <v>2288.7799999999997</v>
      </c>
      <c r="J210" s="50" t="s">
        <v>151</v>
      </c>
      <c r="K210" s="64">
        <f>(F210*I210)</f>
        <v>20599.019999999997</v>
      </c>
      <c r="M210" s="130">
        <v>1.153E-2</v>
      </c>
      <c r="N210" s="50" t="s">
        <v>151</v>
      </c>
      <c r="O210" s="50" t="s">
        <v>877</v>
      </c>
      <c r="P210" s="64">
        <f>C88</f>
        <v>111600</v>
      </c>
      <c r="Q210" s="50" t="s">
        <v>151</v>
      </c>
      <c r="R210" s="64">
        <f t="shared" ref="R210:R219" si="22">(M210*P210)</f>
        <v>1286.748</v>
      </c>
      <c r="AG210" s="72"/>
      <c r="AW210" s="52">
        <f t="shared" si="19"/>
        <v>0</v>
      </c>
      <c r="AX210" s="52">
        <f t="shared" si="20"/>
        <v>0</v>
      </c>
    </row>
    <row r="211" spans="1:50" ht="15.75">
      <c r="A211" s="90"/>
      <c r="B211" s="90"/>
      <c r="C211" s="90"/>
      <c r="D211" s="90"/>
      <c r="F211" s="64">
        <v>4.5</v>
      </c>
      <c r="G211" s="62" t="s">
        <v>151</v>
      </c>
      <c r="H211" s="50" t="s">
        <v>256</v>
      </c>
      <c r="I211" s="64">
        <f>K23</f>
        <v>6414.7</v>
      </c>
      <c r="J211" s="50" t="s">
        <v>151</v>
      </c>
      <c r="K211" s="64">
        <f>(F211*I211)</f>
        <v>28866.149999999998</v>
      </c>
      <c r="M211" s="130">
        <v>1.013E-2</v>
      </c>
      <c r="N211" s="50" t="s">
        <v>151</v>
      </c>
      <c r="O211" s="50" t="s">
        <v>878</v>
      </c>
      <c r="P211" s="64">
        <f>C89</f>
        <v>99400</v>
      </c>
      <c r="Q211" s="50" t="s">
        <v>151</v>
      </c>
      <c r="R211" s="64">
        <f t="shared" si="22"/>
        <v>1006.922</v>
      </c>
      <c r="AG211" s="72"/>
      <c r="AW211" s="52">
        <f t="shared" si="19"/>
        <v>0</v>
      </c>
      <c r="AX211" s="52">
        <f t="shared" si="20"/>
        <v>0</v>
      </c>
    </row>
    <row r="212" spans="1:50" ht="15.75">
      <c r="A212" s="90"/>
      <c r="B212" s="90"/>
      <c r="C212" s="90"/>
      <c r="D212" s="90"/>
      <c r="F212" s="64">
        <v>1.8</v>
      </c>
      <c r="G212" s="62" t="s">
        <v>153</v>
      </c>
      <c r="H212" s="50" t="s">
        <v>234</v>
      </c>
      <c r="I212" s="64">
        <f>C11</f>
        <v>1005.1999999999999</v>
      </c>
      <c r="J212" s="50" t="s">
        <v>153</v>
      </c>
      <c r="K212" s="64">
        <f>(F212*I212)</f>
        <v>1809.36</v>
      </c>
      <c r="M212" s="130">
        <v>0.77780000000000005</v>
      </c>
      <c r="N212" s="50" t="s">
        <v>152</v>
      </c>
      <c r="O212" s="50" t="s">
        <v>879</v>
      </c>
      <c r="P212" s="64">
        <f>C783</f>
        <v>387.4</v>
      </c>
      <c r="Q212" s="50" t="s">
        <v>152</v>
      </c>
      <c r="R212" s="64">
        <f t="shared" si="22"/>
        <v>301.31972000000002</v>
      </c>
      <c r="AG212" s="72"/>
      <c r="AW212" s="52">
        <f t="shared" si="19"/>
        <v>0</v>
      </c>
      <c r="AX212" s="52">
        <f t="shared" si="20"/>
        <v>0</v>
      </c>
    </row>
    <row r="213" spans="1:50" ht="15.75">
      <c r="A213" s="90"/>
      <c r="B213" s="90"/>
      <c r="C213" s="90"/>
      <c r="D213" s="90"/>
      <c r="F213" s="64">
        <v>17.7</v>
      </c>
      <c r="G213" s="62" t="s">
        <v>153</v>
      </c>
      <c r="H213" s="50" t="s">
        <v>235</v>
      </c>
      <c r="I213" s="64">
        <f>C12</f>
        <v>702.8</v>
      </c>
      <c r="J213" s="50" t="s">
        <v>153</v>
      </c>
      <c r="K213" s="64">
        <f>(F213*I213)</f>
        <v>12439.56</v>
      </c>
      <c r="M213" s="130">
        <v>1.23</v>
      </c>
      <c r="N213" s="50" t="s">
        <v>152</v>
      </c>
      <c r="O213" s="50" t="s">
        <v>880</v>
      </c>
      <c r="P213" s="64">
        <f>D30</f>
        <v>1348.1999999999998</v>
      </c>
      <c r="Q213" s="50" t="s">
        <v>152</v>
      </c>
      <c r="R213" s="64">
        <f t="shared" si="22"/>
        <v>1658.2859999999998</v>
      </c>
      <c r="AG213" s="72"/>
      <c r="AW213" s="52">
        <f t="shared" si="19"/>
        <v>0</v>
      </c>
      <c r="AX213" s="52">
        <f t="shared" si="20"/>
        <v>0</v>
      </c>
    </row>
    <row r="214" spans="1:50" ht="15.75">
      <c r="A214" s="90"/>
      <c r="B214" s="90"/>
      <c r="C214" s="90"/>
      <c r="D214" s="90"/>
      <c r="F214" s="64">
        <v>14.1</v>
      </c>
      <c r="G214" s="62" t="s">
        <v>153</v>
      </c>
      <c r="H214" s="50" t="s">
        <v>236</v>
      </c>
      <c r="I214" s="64">
        <f>C13</f>
        <v>576.79999999999995</v>
      </c>
      <c r="J214" s="50" t="s">
        <v>153</v>
      </c>
      <c r="K214" s="64">
        <f>(F214*I214)</f>
        <v>8132.8799999999992</v>
      </c>
      <c r="M214" s="64">
        <v>2</v>
      </c>
      <c r="N214" s="50" t="s">
        <v>153</v>
      </c>
      <c r="O214" s="50" t="s">
        <v>881</v>
      </c>
      <c r="P214" s="64">
        <f>C284</f>
        <v>57.2</v>
      </c>
      <c r="Q214" s="50" t="s">
        <v>153</v>
      </c>
      <c r="R214" s="64">
        <f t="shared" si="22"/>
        <v>114.4</v>
      </c>
      <c r="AG214" s="72"/>
      <c r="AW214" s="52">
        <f t="shared" si="19"/>
        <v>0</v>
      </c>
      <c r="AX214" s="52">
        <f t="shared" si="20"/>
        <v>0</v>
      </c>
    </row>
    <row r="215" spans="1:50" ht="15.75">
      <c r="A215" s="90"/>
      <c r="B215" s="90"/>
      <c r="C215" s="90"/>
      <c r="D215" s="90"/>
      <c r="G215" s="62" t="s">
        <v>226</v>
      </c>
      <c r="H215" s="50" t="s">
        <v>237</v>
      </c>
      <c r="J215" s="50" t="s">
        <v>226</v>
      </c>
      <c r="K215" s="64">
        <v>0</v>
      </c>
      <c r="M215" s="64">
        <v>3</v>
      </c>
      <c r="N215" s="50" t="s">
        <v>153</v>
      </c>
      <c r="O215" s="50" t="s">
        <v>882</v>
      </c>
      <c r="P215" s="64">
        <f>C279</f>
        <v>79.099999999999994</v>
      </c>
      <c r="Q215" s="50" t="s">
        <v>153</v>
      </c>
      <c r="R215" s="64">
        <f t="shared" si="22"/>
        <v>237.29999999999998</v>
      </c>
      <c r="AG215" s="72"/>
      <c r="AW215" s="52">
        <f t="shared" si="19"/>
        <v>0</v>
      </c>
      <c r="AX215" s="52">
        <f t="shared" si="20"/>
        <v>0</v>
      </c>
    </row>
    <row r="216" spans="1:50" ht="15.75">
      <c r="A216" s="90"/>
      <c r="B216" s="90"/>
      <c r="C216" s="90"/>
      <c r="D216" s="90"/>
      <c r="K216" s="59" t="s">
        <v>21</v>
      </c>
      <c r="M216" s="64">
        <v>1</v>
      </c>
      <c r="N216" s="50" t="s">
        <v>153</v>
      </c>
      <c r="O216" s="50" t="s">
        <v>883</v>
      </c>
      <c r="P216" s="64">
        <f>C286</f>
        <v>159.69999999999999</v>
      </c>
      <c r="Q216" s="50" t="s">
        <v>153</v>
      </c>
      <c r="R216" s="64">
        <f t="shared" si="22"/>
        <v>159.69999999999999</v>
      </c>
      <c r="T216" s="52">
        <v>0</v>
      </c>
      <c r="AG216" s="72"/>
      <c r="AW216" s="52">
        <f t="shared" si="19"/>
        <v>0</v>
      </c>
      <c r="AX216" s="52">
        <f t="shared" si="20"/>
        <v>0</v>
      </c>
    </row>
    <row r="217" spans="1:50" ht="15.75">
      <c r="A217" s="90"/>
      <c r="B217" s="90"/>
      <c r="C217" s="90"/>
      <c r="D217" s="90"/>
      <c r="K217" s="64">
        <f>SUM(K210:K215)</f>
        <v>71846.97</v>
      </c>
      <c r="M217" s="64">
        <v>1</v>
      </c>
      <c r="N217" s="50" t="s">
        <v>153</v>
      </c>
      <c r="O217" s="50" t="s">
        <v>884</v>
      </c>
      <c r="P217" s="64">
        <f>C288</f>
        <v>7.3</v>
      </c>
      <c r="Q217" s="50" t="s">
        <v>153</v>
      </c>
      <c r="R217" s="64">
        <f t="shared" si="22"/>
        <v>7.3</v>
      </c>
      <c r="AG217" s="72"/>
      <c r="AW217" s="52">
        <f t="shared" si="19"/>
        <v>0</v>
      </c>
      <c r="AX217" s="52">
        <f t="shared" si="20"/>
        <v>0</v>
      </c>
    </row>
    <row r="218" spans="1:50" ht="15.75">
      <c r="A218" s="90"/>
      <c r="B218" s="90"/>
      <c r="C218" s="90"/>
      <c r="D218" s="90"/>
      <c r="H218" s="50" t="s">
        <v>263</v>
      </c>
      <c r="K218" s="59" t="s">
        <v>21</v>
      </c>
      <c r="M218" s="64">
        <v>1</v>
      </c>
      <c r="N218" s="50" t="s">
        <v>153</v>
      </c>
      <c r="O218" s="50" t="s">
        <v>885</v>
      </c>
      <c r="P218" s="64">
        <f>C598</f>
        <v>50.9</v>
      </c>
      <c r="Q218" s="50" t="s">
        <v>153</v>
      </c>
      <c r="R218" s="64">
        <f t="shared" si="22"/>
        <v>50.9</v>
      </c>
      <c r="AG218" s="72"/>
    </row>
    <row r="219" spans="1:50" ht="15.75">
      <c r="A219" s="90"/>
      <c r="B219" s="90"/>
      <c r="C219" s="90"/>
      <c r="D219" s="90"/>
      <c r="K219" s="63">
        <f>(K217/10)</f>
        <v>7184.6970000000001</v>
      </c>
      <c r="M219" s="64">
        <v>1</v>
      </c>
      <c r="N219" s="50" t="s">
        <v>153</v>
      </c>
      <c r="O219" s="50" t="s">
        <v>886</v>
      </c>
      <c r="P219" s="64">
        <f>D598</f>
        <v>43.8</v>
      </c>
      <c r="Q219" s="50" t="s">
        <v>153</v>
      </c>
      <c r="R219" s="64">
        <f t="shared" si="22"/>
        <v>43.8</v>
      </c>
      <c r="AG219" s="72"/>
    </row>
    <row r="220" spans="1:50" ht="15.75">
      <c r="A220" s="90"/>
      <c r="B220" s="90"/>
      <c r="C220" s="90"/>
      <c r="D220" s="90"/>
      <c r="H220" s="66" t="s">
        <v>270</v>
      </c>
      <c r="K220" s="59" t="s">
        <v>156</v>
      </c>
      <c r="R220" s="59" t="s">
        <v>21</v>
      </c>
      <c r="AG220" s="72"/>
    </row>
    <row r="221" spans="1:50" ht="15.75">
      <c r="A221" s="90"/>
      <c r="B221" s="90"/>
      <c r="C221" s="90"/>
      <c r="D221" s="90"/>
      <c r="O221" s="51" t="s">
        <v>887</v>
      </c>
      <c r="R221" s="64">
        <f>SUM(R210:R219)</f>
        <v>4866.6757199999993</v>
      </c>
      <c r="AG221" s="72"/>
    </row>
    <row r="222" spans="1:50" ht="15.75">
      <c r="A222" s="90"/>
      <c r="B222" s="90"/>
      <c r="C222" s="90"/>
      <c r="D222" s="90"/>
      <c r="F222" s="51" t="s">
        <v>888</v>
      </c>
      <c r="G222" s="62" t="s">
        <v>249</v>
      </c>
      <c r="H222" s="50" t="s">
        <v>889</v>
      </c>
      <c r="N222" s="50" t="s">
        <v>150</v>
      </c>
      <c r="R222" s="59" t="s">
        <v>21</v>
      </c>
      <c r="AG222" s="72"/>
    </row>
    <row r="223" spans="1:50" ht="15.75">
      <c r="A223" s="90"/>
      <c r="B223" s="90"/>
      <c r="C223" s="90"/>
      <c r="D223" s="90"/>
      <c r="H223" s="50" t="s">
        <v>890</v>
      </c>
      <c r="M223" s="50" t="s">
        <v>150</v>
      </c>
      <c r="AG223" s="72"/>
    </row>
    <row r="224" spans="1:50" ht="15.75">
      <c r="A224" s="90"/>
      <c r="B224" s="90"/>
      <c r="C224" s="90"/>
      <c r="D224" s="90"/>
      <c r="H224" s="59" t="s">
        <v>21</v>
      </c>
      <c r="O224" s="51" t="s">
        <v>155</v>
      </c>
      <c r="R224" s="64">
        <f>R221/M213</f>
        <v>3956.6469268292676</v>
      </c>
      <c r="AG224" s="72"/>
    </row>
    <row r="225" spans="1:33" ht="15.75">
      <c r="A225" s="90"/>
      <c r="B225" s="90"/>
      <c r="C225" s="90"/>
      <c r="D225" s="90"/>
      <c r="F225" s="64">
        <v>9</v>
      </c>
      <c r="G225" s="62" t="s">
        <v>151</v>
      </c>
      <c r="H225" s="50" t="s">
        <v>891</v>
      </c>
      <c r="I225" s="64">
        <f>AE20</f>
        <v>1431.9499999999998</v>
      </c>
      <c r="J225" s="50" t="s">
        <v>151</v>
      </c>
      <c r="K225" s="64">
        <f>(F225*I225)</f>
        <v>12887.55</v>
      </c>
      <c r="M225" s="50" t="s">
        <v>892</v>
      </c>
      <c r="AG225" s="72"/>
    </row>
    <row r="226" spans="1:33" ht="15.75">
      <c r="A226" s="90"/>
      <c r="B226" s="90"/>
      <c r="C226" s="90"/>
      <c r="D226" s="90"/>
      <c r="F226" s="64">
        <v>4.5</v>
      </c>
      <c r="G226" s="62" t="s">
        <v>151</v>
      </c>
      <c r="H226" s="50" t="s">
        <v>384</v>
      </c>
      <c r="I226" s="64">
        <f>K77</f>
        <v>3282.7000000000003</v>
      </c>
      <c r="J226" s="50" t="s">
        <v>151</v>
      </c>
      <c r="K226" s="64">
        <f>(F226*I226)</f>
        <v>14772.150000000001</v>
      </c>
      <c r="AG226" s="72"/>
    </row>
    <row r="227" spans="1:33" ht="15.75">
      <c r="A227" s="90"/>
      <c r="B227" s="90"/>
      <c r="C227" s="90"/>
      <c r="D227" s="90"/>
      <c r="F227" s="64">
        <v>1.8</v>
      </c>
      <c r="G227" s="62" t="s">
        <v>153</v>
      </c>
      <c r="H227" s="50" t="s">
        <v>234</v>
      </c>
      <c r="I227" s="64">
        <f>C11</f>
        <v>1005.1999999999999</v>
      </c>
      <c r="J227" s="50" t="s">
        <v>153</v>
      </c>
      <c r="K227" s="64">
        <f>(F227*I227)</f>
        <v>1809.36</v>
      </c>
      <c r="AG227" s="72"/>
    </row>
    <row r="228" spans="1:33" ht="15.75">
      <c r="A228" s="90"/>
      <c r="B228" s="90"/>
      <c r="C228" s="90"/>
      <c r="D228" s="90"/>
      <c r="F228" s="64">
        <v>17.7</v>
      </c>
      <c r="G228" s="62" t="s">
        <v>153</v>
      </c>
      <c r="H228" s="50" t="s">
        <v>235</v>
      </c>
      <c r="I228" s="64">
        <f>C12</f>
        <v>702.8</v>
      </c>
      <c r="J228" s="50" t="s">
        <v>153</v>
      </c>
      <c r="K228" s="64">
        <f>(F228*I228)</f>
        <v>12439.56</v>
      </c>
      <c r="M228" s="51" t="s">
        <v>888</v>
      </c>
      <c r="N228" s="62" t="s">
        <v>249</v>
      </c>
      <c r="O228" s="50" t="s">
        <v>893</v>
      </c>
      <c r="Q228" s="55"/>
      <c r="AG228" s="72"/>
    </row>
    <row r="229" spans="1:33" ht="15.75">
      <c r="A229" s="90"/>
      <c r="B229" s="90"/>
      <c r="C229" s="90"/>
      <c r="D229" s="90"/>
      <c r="F229" s="64">
        <v>14.1</v>
      </c>
      <c r="G229" s="62" t="s">
        <v>153</v>
      </c>
      <c r="H229" s="50" t="s">
        <v>236</v>
      </c>
      <c r="I229" s="64">
        <f>C13</f>
        <v>576.79999999999995</v>
      </c>
      <c r="J229" s="50" t="s">
        <v>153</v>
      </c>
      <c r="K229" s="64">
        <f>(F229*I229)</f>
        <v>8132.8799999999992</v>
      </c>
      <c r="N229" s="53"/>
      <c r="O229" s="50" t="s">
        <v>894</v>
      </c>
      <c r="Q229" s="55"/>
      <c r="AG229" s="72"/>
    </row>
    <row r="230" spans="1:33" ht="15.75">
      <c r="A230" s="90"/>
      <c r="B230" s="90"/>
      <c r="C230" s="90"/>
      <c r="D230" s="90"/>
      <c r="G230" s="62" t="s">
        <v>226</v>
      </c>
      <c r="H230" s="50" t="s">
        <v>237</v>
      </c>
      <c r="J230" s="50" t="s">
        <v>226</v>
      </c>
      <c r="K230" s="64">
        <v>0</v>
      </c>
      <c r="N230" s="53"/>
      <c r="O230" s="59" t="s">
        <v>21</v>
      </c>
      <c r="Q230" s="55"/>
      <c r="AG230" s="72"/>
    </row>
    <row r="231" spans="1:33" ht="15.75">
      <c r="A231" s="90"/>
      <c r="B231" s="90"/>
      <c r="C231" s="90"/>
      <c r="D231" s="90"/>
      <c r="K231" s="59" t="s">
        <v>21</v>
      </c>
      <c r="M231" s="64">
        <v>9</v>
      </c>
      <c r="N231" s="62" t="s">
        <v>151</v>
      </c>
      <c r="O231" s="50" t="s">
        <v>895</v>
      </c>
      <c r="P231" s="64">
        <f>AE15</f>
        <v>1894.78</v>
      </c>
      <c r="Q231" s="50" t="s">
        <v>151</v>
      </c>
      <c r="R231" s="64">
        <f>(M231*P231)</f>
        <v>17053.02</v>
      </c>
      <c r="AG231" s="72"/>
    </row>
    <row r="232" spans="1:33" ht="15.75">
      <c r="A232" s="90"/>
      <c r="B232" s="90"/>
      <c r="C232" s="90"/>
      <c r="D232" s="90"/>
      <c r="K232" s="64">
        <f>SUM(K225:K230)</f>
        <v>50041.5</v>
      </c>
      <c r="M232" s="64">
        <v>4.5</v>
      </c>
      <c r="N232" s="62" t="s">
        <v>151</v>
      </c>
      <c r="O232" s="50" t="s">
        <v>258</v>
      </c>
      <c r="P232" s="64">
        <f>K40</f>
        <v>4326.7</v>
      </c>
      <c r="Q232" s="50" t="s">
        <v>151</v>
      </c>
      <c r="R232" s="64">
        <f>(M232*P232)</f>
        <v>19470.149999999998</v>
      </c>
      <c r="AG232" s="72"/>
    </row>
    <row r="233" spans="1:33" ht="15.75">
      <c r="A233" s="90"/>
      <c r="B233" s="90"/>
      <c r="C233" s="90"/>
      <c r="D233" s="90"/>
      <c r="H233" s="50" t="s">
        <v>263</v>
      </c>
      <c r="K233" s="59" t="s">
        <v>21</v>
      </c>
      <c r="M233" s="64">
        <v>1.8</v>
      </c>
      <c r="N233" s="62" t="s">
        <v>153</v>
      </c>
      <c r="O233" s="50" t="s">
        <v>234</v>
      </c>
      <c r="P233" s="64">
        <f>I227</f>
        <v>1005.1999999999999</v>
      </c>
      <c r="Q233" s="50" t="s">
        <v>153</v>
      </c>
      <c r="R233" s="64">
        <f>(M233*P233)</f>
        <v>1809.36</v>
      </c>
      <c r="AG233" s="72"/>
    </row>
    <row r="234" spans="1:33" ht="15.75">
      <c r="A234" s="90"/>
      <c r="B234" s="90"/>
      <c r="C234" s="90"/>
      <c r="D234" s="90"/>
      <c r="K234" s="63">
        <f>(K232/10)</f>
        <v>5004.1499999999996</v>
      </c>
      <c r="M234" s="64">
        <v>17.7</v>
      </c>
      <c r="N234" s="62" t="s">
        <v>153</v>
      </c>
      <c r="O234" s="50" t="s">
        <v>235</v>
      </c>
      <c r="P234" s="64">
        <f>I228</f>
        <v>702.8</v>
      </c>
      <c r="Q234" s="50" t="s">
        <v>153</v>
      </c>
      <c r="R234" s="64">
        <f>(M234*P234)</f>
        <v>12439.56</v>
      </c>
      <c r="AG234" s="72"/>
    </row>
    <row r="235" spans="1:33" ht="15.75">
      <c r="A235" s="90"/>
      <c r="B235" s="90"/>
      <c r="C235" s="90"/>
      <c r="D235" s="90"/>
      <c r="H235" s="66" t="s">
        <v>270</v>
      </c>
      <c r="K235" s="59" t="s">
        <v>156</v>
      </c>
      <c r="M235" s="64">
        <v>14.1</v>
      </c>
      <c r="N235" s="62" t="s">
        <v>153</v>
      </c>
      <c r="O235" s="50" t="s">
        <v>236</v>
      </c>
      <c r="P235" s="64">
        <f>I229</f>
        <v>576.79999999999995</v>
      </c>
      <c r="Q235" s="50" t="s">
        <v>153</v>
      </c>
      <c r="R235" s="64">
        <f>(M235*P235)</f>
        <v>8132.8799999999992</v>
      </c>
      <c r="AG235" s="72"/>
    </row>
    <row r="236" spans="1:33" ht="15.75">
      <c r="A236" s="90"/>
      <c r="B236" s="90"/>
      <c r="C236" s="90"/>
      <c r="D236" s="90"/>
      <c r="N236" s="62" t="s">
        <v>226</v>
      </c>
      <c r="O236" s="50" t="s">
        <v>237</v>
      </c>
      <c r="Q236" s="50" t="s">
        <v>226</v>
      </c>
      <c r="R236" s="64">
        <v>0</v>
      </c>
      <c r="AG236" s="72"/>
    </row>
    <row r="237" spans="1:33" ht="15.75">
      <c r="A237" s="90"/>
      <c r="B237" s="90"/>
      <c r="C237" s="90"/>
      <c r="D237" s="90"/>
      <c r="N237" s="53"/>
      <c r="Q237" s="55"/>
      <c r="R237" s="59" t="s">
        <v>21</v>
      </c>
      <c r="AG237" s="72"/>
    </row>
    <row r="238" spans="1:33" ht="15.75">
      <c r="A238" s="90"/>
      <c r="B238" s="90"/>
      <c r="C238" s="90"/>
      <c r="D238" s="90"/>
      <c r="F238" s="101">
        <v>3.6</v>
      </c>
      <c r="H238" s="50" t="s">
        <v>896</v>
      </c>
      <c r="N238" s="53"/>
      <c r="Q238" s="55"/>
      <c r="R238" s="64">
        <f>SUM(R231:R236)</f>
        <v>58904.969999999994</v>
      </c>
      <c r="AG238" s="72"/>
    </row>
    <row r="239" spans="1:33" ht="15.75">
      <c r="A239" s="90"/>
      <c r="B239" s="90"/>
      <c r="C239" s="90"/>
      <c r="D239" s="90"/>
      <c r="H239" s="50" t="s">
        <v>897</v>
      </c>
      <c r="N239" s="53"/>
      <c r="O239" s="50" t="s">
        <v>263</v>
      </c>
      <c r="Q239" s="55"/>
      <c r="R239" s="59" t="s">
        <v>21</v>
      </c>
      <c r="AG239" s="72"/>
    </row>
    <row r="240" spans="1:33" ht="15.75">
      <c r="A240" s="90"/>
      <c r="B240" s="90"/>
      <c r="C240" s="90"/>
      <c r="D240" s="90"/>
      <c r="H240" s="59" t="s">
        <v>156</v>
      </c>
      <c r="N240" s="53"/>
      <c r="Q240" s="55"/>
      <c r="R240" s="63">
        <f>(R238/10)</f>
        <v>5890.4969999999994</v>
      </c>
      <c r="AG240" s="72"/>
    </row>
    <row r="241" spans="1:33" ht="15.75">
      <c r="A241" s="90"/>
      <c r="B241" s="90"/>
      <c r="C241" s="90"/>
      <c r="D241" s="90"/>
      <c r="F241" s="64">
        <v>1.25</v>
      </c>
      <c r="G241" s="62" t="s">
        <v>276</v>
      </c>
      <c r="H241" s="50" t="s">
        <v>898</v>
      </c>
      <c r="I241" s="128">
        <f>C812</f>
        <v>3.15</v>
      </c>
      <c r="J241" s="50" t="s">
        <v>276</v>
      </c>
      <c r="K241" s="64">
        <f>(F241*I241)</f>
        <v>3.9375</v>
      </c>
      <c r="N241" s="53"/>
      <c r="O241" s="66" t="s">
        <v>270</v>
      </c>
      <c r="Q241" s="55"/>
      <c r="R241" s="59" t="s">
        <v>156</v>
      </c>
      <c r="AG241" s="72"/>
    </row>
    <row r="242" spans="1:33" ht="15.75">
      <c r="A242" s="90"/>
      <c r="B242" s="90"/>
      <c r="C242" s="90"/>
      <c r="D242" s="90"/>
      <c r="F242" s="64">
        <v>0.75</v>
      </c>
      <c r="G242" s="62" t="s">
        <v>276</v>
      </c>
      <c r="H242" s="50" t="s">
        <v>899</v>
      </c>
      <c r="I242" s="64">
        <f>AE37</f>
        <v>1686.53</v>
      </c>
      <c r="J242" s="50" t="s">
        <v>276</v>
      </c>
      <c r="K242" s="64">
        <f>(F242*I242)</f>
        <v>1264.8975</v>
      </c>
      <c r="AG242" s="72"/>
    </row>
    <row r="243" spans="1:33" ht="15.75">
      <c r="A243" s="90"/>
      <c r="B243" s="90"/>
      <c r="C243" s="90"/>
      <c r="D243" s="90"/>
      <c r="F243" s="64">
        <v>0.5</v>
      </c>
      <c r="G243" s="62" t="s">
        <v>276</v>
      </c>
      <c r="H243" s="50" t="s">
        <v>900</v>
      </c>
      <c r="I243" s="64">
        <f>AE36</f>
        <v>1831.78</v>
      </c>
      <c r="J243" s="50" t="s">
        <v>276</v>
      </c>
      <c r="K243" s="64">
        <f>(F243*I243)</f>
        <v>915.89</v>
      </c>
      <c r="AG243" s="72"/>
    </row>
    <row r="244" spans="1:33" ht="15.75">
      <c r="A244" s="90"/>
      <c r="B244" s="90"/>
      <c r="C244" s="90"/>
      <c r="D244" s="90"/>
      <c r="F244" s="64">
        <v>0.45</v>
      </c>
      <c r="G244" s="62" t="s">
        <v>276</v>
      </c>
      <c r="H244" s="50" t="s">
        <v>901</v>
      </c>
      <c r="I244" s="64">
        <f>AE38</f>
        <v>210</v>
      </c>
      <c r="J244" s="50" t="s">
        <v>276</v>
      </c>
      <c r="K244" s="64">
        <f>(F244*I244)</f>
        <v>94.5</v>
      </c>
      <c r="AG244" s="72"/>
    </row>
    <row r="245" spans="1:33" ht="15.75">
      <c r="A245" s="90"/>
      <c r="B245" s="90"/>
      <c r="C245" s="90"/>
      <c r="D245" s="90"/>
      <c r="F245" s="64">
        <v>10</v>
      </c>
      <c r="G245" s="62" t="s">
        <v>533</v>
      </c>
      <c r="H245" s="50" t="s">
        <v>902</v>
      </c>
      <c r="I245" s="128">
        <v>17.82</v>
      </c>
      <c r="J245" s="50" t="s">
        <v>533</v>
      </c>
      <c r="K245" s="64">
        <f>(F245*I245)</f>
        <v>178.2</v>
      </c>
      <c r="AG245" s="72"/>
    </row>
    <row r="246" spans="1:33" ht="15.75">
      <c r="A246" s="90"/>
      <c r="B246" s="90"/>
      <c r="C246" s="90"/>
      <c r="D246" s="90"/>
      <c r="H246" s="50" t="s">
        <v>903</v>
      </c>
      <c r="K246" s="59" t="s">
        <v>21</v>
      </c>
      <c r="AG246" s="72"/>
    </row>
    <row r="247" spans="1:33" ht="15.75">
      <c r="A247" s="90"/>
      <c r="B247" s="90"/>
      <c r="C247" s="90"/>
      <c r="D247" s="90"/>
      <c r="H247" s="50" t="s">
        <v>904</v>
      </c>
      <c r="K247" s="64">
        <f>SUM(K241:K245)</f>
        <v>2457.4249999999997</v>
      </c>
      <c r="AG247" s="72"/>
    </row>
    <row r="248" spans="1:33" ht="15.75">
      <c r="A248" s="90"/>
      <c r="B248" s="90"/>
      <c r="C248" s="90"/>
      <c r="D248" s="90"/>
      <c r="K248" s="59" t="s">
        <v>21</v>
      </c>
      <c r="AG248" s="72"/>
    </row>
    <row r="249" spans="1:33" ht="15.75">
      <c r="A249" s="90"/>
      <c r="B249" s="90"/>
      <c r="C249" s="90"/>
      <c r="D249" s="90"/>
      <c r="H249" s="66" t="s">
        <v>905</v>
      </c>
      <c r="K249" s="63">
        <f>K247/10</f>
        <v>245.74249999999998</v>
      </c>
      <c r="AG249" s="72"/>
    </row>
    <row r="250" spans="1:33" ht="15.75">
      <c r="A250" s="90"/>
      <c r="B250" s="90"/>
      <c r="C250" s="90"/>
      <c r="D250" s="90"/>
      <c r="K250" s="59" t="s">
        <v>156</v>
      </c>
      <c r="AG250" s="72"/>
    </row>
    <row r="251" spans="1:33" ht="15.75">
      <c r="A251" s="90"/>
      <c r="B251" s="90"/>
      <c r="C251" s="90"/>
      <c r="D251" s="90"/>
      <c r="AG251" s="72"/>
    </row>
    <row r="252" spans="1:33" ht="15.75">
      <c r="A252" s="90"/>
      <c r="B252" s="90"/>
      <c r="C252" s="90"/>
      <c r="D252" s="90"/>
      <c r="F252" s="101">
        <v>3.7</v>
      </c>
      <c r="H252" s="50" t="s">
        <v>906</v>
      </c>
      <c r="AG252" s="72"/>
    </row>
    <row r="253" spans="1:33" ht="15.75">
      <c r="A253" s="90"/>
      <c r="B253" s="90"/>
      <c r="C253" s="90"/>
      <c r="D253" s="90"/>
      <c r="H253" s="59" t="s">
        <v>21</v>
      </c>
      <c r="AG253" s="72"/>
    </row>
    <row r="254" spans="1:33" ht="15.75">
      <c r="A254" s="90"/>
      <c r="B254" s="90"/>
      <c r="C254" s="90"/>
      <c r="D254" s="90"/>
      <c r="F254" s="64">
        <v>2.7</v>
      </c>
      <c r="G254" s="62" t="s">
        <v>276</v>
      </c>
      <c r="H254" s="50" t="s">
        <v>907</v>
      </c>
      <c r="I254" s="64">
        <f>AE35</f>
        <v>1725.78</v>
      </c>
      <c r="J254" s="50" t="s">
        <v>276</v>
      </c>
      <c r="K254" s="64">
        <f>(F254*I254)</f>
        <v>4659.6060000000007</v>
      </c>
      <c r="AG254" s="72"/>
    </row>
    <row r="255" spans="1:33" ht="15.75">
      <c r="A255" s="90"/>
      <c r="B255" s="90"/>
      <c r="C255" s="90"/>
      <c r="D255" s="90"/>
      <c r="F255" s="131">
        <v>0.14499999999999999</v>
      </c>
      <c r="G255" s="62" t="s">
        <v>276</v>
      </c>
      <c r="H255" s="50" t="s">
        <v>908</v>
      </c>
      <c r="I255" s="64">
        <f>AE17</f>
        <v>2116.9</v>
      </c>
      <c r="J255" s="50" t="s">
        <v>276</v>
      </c>
      <c r="K255" s="64">
        <f>(F255*I255)</f>
        <v>306.95049999999998</v>
      </c>
      <c r="AG255" s="72"/>
    </row>
    <row r="256" spans="1:33" ht="15.75">
      <c r="A256" s="90"/>
      <c r="B256" s="90"/>
      <c r="C256" s="90"/>
      <c r="D256" s="90"/>
      <c r="F256" s="64">
        <v>218.8</v>
      </c>
      <c r="G256" s="62" t="s">
        <v>534</v>
      </c>
      <c r="H256" s="50" t="s">
        <v>909</v>
      </c>
      <c r="I256" s="64">
        <f>C142</f>
        <v>43563.69</v>
      </c>
      <c r="J256" s="50" t="s">
        <v>534</v>
      </c>
      <c r="K256" s="64">
        <f>(F256*I256)/1000</f>
        <v>9531.735372000001</v>
      </c>
      <c r="AG256" s="72"/>
    </row>
    <row r="257" spans="1:35" ht="15.75">
      <c r="A257" s="90"/>
      <c r="B257" s="90"/>
      <c r="C257" s="90"/>
      <c r="D257" s="90"/>
      <c r="F257" s="64">
        <v>100</v>
      </c>
      <c r="G257" s="62" t="s">
        <v>533</v>
      </c>
      <c r="H257" s="50" t="s">
        <v>910</v>
      </c>
      <c r="I257" s="128">
        <v>14.3</v>
      </c>
      <c r="J257" s="50" t="s">
        <v>533</v>
      </c>
      <c r="K257" s="64">
        <f>(F257*I257)</f>
        <v>1430</v>
      </c>
      <c r="AG257" s="72"/>
    </row>
    <row r="258" spans="1:35" ht="15.75">
      <c r="A258" s="90"/>
      <c r="B258" s="90"/>
      <c r="C258" s="90"/>
      <c r="D258" s="90"/>
      <c r="K258" s="59" t="s">
        <v>21</v>
      </c>
      <c r="AG258" s="72"/>
    </row>
    <row r="259" spans="1:35" ht="15.75">
      <c r="A259" s="90"/>
      <c r="B259" s="90"/>
      <c r="C259" s="90"/>
      <c r="D259" s="90"/>
      <c r="H259" s="50" t="s">
        <v>911</v>
      </c>
      <c r="K259" s="64">
        <f>SUM(K254:K257)</f>
        <v>15928.291872000002</v>
      </c>
      <c r="AG259" s="72"/>
    </row>
    <row r="260" spans="1:35" ht="15.75">
      <c r="A260" s="90"/>
      <c r="B260" s="90"/>
      <c r="C260" s="90"/>
      <c r="D260" s="90"/>
      <c r="K260" s="59" t="s">
        <v>21</v>
      </c>
      <c r="AG260" s="72"/>
    </row>
    <row r="261" spans="1:35" ht="15.75">
      <c r="A261" s="90"/>
      <c r="B261" s="90"/>
      <c r="C261" s="90"/>
      <c r="D261" s="90"/>
      <c r="H261" s="66" t="s">
        <v>905</v>
      </c>
      <c r="K261" s="63">
        <f>K259/100</f>
        <v>159.28291872000003</v>
      </c>
      <c r="AG261" s="72"/>
    </row>
    <row r="262" spans="1:35" ht="15.75">
      <c r="A262" s="90"/>
      <c r="B262" s="90"/>
      <c r="C262" s="90"/>
      <c r="D262" s="90"/>
      <c r="F262" s="50" t="s">
        <v>150</v>
      </c>
      <c r="G262" s="62" t="s">
        <v>150</v>
      </c>
      <c r="K262" s="59" t="s">
        <v>156</v>
      </c>
      <c r="AG262" s="72"/>
    </row>
    <row r="263" spans="1:35" ht="15.75">
      <c r="A263" s="90"/>
      <c r="B263" s="90"/>
      <c r="C263" s="90"/>
      <c r="D263" s="90"/>
      <c r="AG263" s="72"/>
    </row>
    <row r="264" spans="1:35" ht="15.75">
      <c r="A264" s="90"/>
      <c r="B264" s="90"/>
      <c r="C264" s="90"/>
      <c r="D264" s="90"/>
      <c r="AG264" s="72"/>
    </row>
    <row r="265" spans="1:35" ht="15.75">
      <c r="A265" s="74">
        <f>(A206+1)</f>
        <v>105</v>
      </c>
      <c r="B265" s="132" t="s">
        <v>912</v>
      </c>
      <c r="C265" s="71">
        <v>138</v>
      </c>
      <c r="D265" s="75" t="s">
        <v>4</v>
      </c>
      <c r="F265" s="51" t="s">
        <v>913</v>
      </c>
      <c r="H265" s="50" t="s">
        <v>914</v>
      </c>
      <c r="N265" s="50" t="s">
        <v>230</v>
      </c>
      <c r="O265" s="50" t="s">
        <v>915</v>
      </c>
      <c r="AG265" s="72"/>
      <c r="AI265" s="50"/>
    </row>
    <row r="266" spans="1:35" ht="15.75">
      <c r="A266" s="74">
        <f t="shared" ref="A266:A280" si="23">(A265+1)</f>
        <v>106</v>
      </c>
      <c r="B266" s="132" t="s">
        <v>916</v>
      </c>
      <c r="C266" s="73">
        <v>167.1</v>
      </c>
      <c r="D266" s="75" t="s">
        <v>4</v>
      </c>
      <c r="H266" s="59" t="s">
        <v>156</v>
      </c>
      <c r="O266" s="59" t="s">
        <v>21</v>
      </c>
      <c r="AG266" s="72"/>
      <c r="AI266" s="50"/>
    </row>
    <row r="267" spans="1:35" ht="15.75">
      <c r="A267" s="74">
        <f t="shared" si="23"/>
        <v>107</v>
      </c>
      <c r="B267" s="133" t="s">
        <v>917</v>
      </c>
      <c r="C267" s="134">
        <v>63</v>
      </c>
      <c r="D267" s="73">
        <v>132.69999999999999</v>
      </c>
      <c r="G267" s="62" t="s">
        <v>249</v>
      </c>
      <c r="H267" s="50" t="s">
        <v>918</v>
      </c>
      <c r="M267" s="64">
        <v>1.1399999999999999</v>
      </c>
      <c r="N267" s="50" t="s">
        <v>151</v>
      </c>
      <c r="O267" s="50" t="s">
        <v>850</v>
      </c>
      <c r="P267" s="64">
        <f>(K420)</f>
        <v>6888.8644999999988</v>
      </c>
      <c r="Q267" s="50" t="s">
        <v>153</v>
      </c>
      <c r="R267" s="64">
        <f>(M267*P267)</f>
        <v>7853.3055299999978</v>
      </c>
      <c r="AG267" s="72"/>
      <c r="AI267" s="50"/>
    </row>
    <row r="268" spans="1:35" ht="31.5">
      <c r="A268" s="74">
        <f t="shared" si="23"/>
        <v>108</v>
      </c>
      <c r="B268" s="135" t="s">
        <v>919</v>
      </c>
      <c r="C268" s="71">
        <v>17600</v>
      </c>
      <c r="D268" s="75" t="s">
        <v>151</v>
      </c>
      <c r="H268" s="50" t="s">
        <v>920</v>
      </c>
      <c r="M268" s="64">
        <v>1</v>
      </c>
      <c r="N268" s="50" t="s">
        <v>4</v>
      </c>
      <c r="O268" s="50" t="s">
        <v>269</v>
      </c>
      <c r="P268" s="64">
        <f>(C10)</f>
        <v>1076.5999999999999</v>
      </c>
      <c r="Q268" s="50" t="s">
        <v>153</v>
      </c>
      <c r="R268" s="64">
        <f>(M268*P268)</f>
        <v>1076.5999999999999</v>
      </c>
      <c r="AG268" s="72"/>
      <c r="AI268" s="50"/>
    </row>
    <row r="269" spans="1:35" ht="15.75">
      <c r="A269" s="74">
        <f t="shared" si="23"/>
        <v>109</v>
      </c>
      <c r="B269" s="75" t="s">
        <v>921</v>
      </c>
      <c r="C269" s="71">
        <v>15500</v>
      </c>
      <c r="D269" s="75" t="s">
        <v>151</v>
      </c>
      <c r="H269" s="59" t="s">
        <v>21</v>
      </c>
      <c r="N269" s="50" t="s">
        <v>226</v>
      </c>
      <c r="O269" s="50" t="s">
        <v>237</v>
      </c>
      <c r="P269" s="50" t="s">
        <v>150</v>
      </c>
      <c r="Q269" s="50" t="s">
        <v>226</v>
      </c>
      <c r="R269" s="64">
        <v>0.05</v>
      </c>
      <c r="AG269" s="72"/>
      <c r="AI269" s="50"/>
    </row>
    <row r="270" spans="1:35" ht="15.75">
      <c r="A270" s="74">
        <f t="shared" si="23"/>
        <v>110</v>
      </c>
      <c r="B270" s="75" t="s">
        <v>922</v>
      </c>
      <c r="C270" s="71">
        <v>25.2</v>
      </c>
      <c r="D270" s="75" t="s">
        <v>4</v>
      </c>
      <c r="F270" s="64">
        <v>9</v>
      </c>
      <c r="G270" s="62" t="s">
        <v>151</v>
      </c>
      <c r="H270" s="50" t="s">
        <v>923</v>
      </c>
      <c r="I270" s="64">
        <f>(C73)</f>
        <v>2288.7799999999997</v>
      </c>
      <c r="J270" s="50" t="s">
        <v>151</v>
      </c>
      <c r="K270" s="64">
        <f t="shared" ref="K270:K275" si="24">(F270*I270)</f>
        <v>20599.019999999997</v>
      </c>
      <c r="R270" s="59" t="s">
        <v>21</v>
      </c>
      <c r="AG270" s="72"/>
      <c r="AI270" s="50"/>
    </row>
    <row r="271" spans="1:35" ht="15.75">
      <c r="A271" s="74">
        <f t="shared" si="23"/>
        <v>111</v>
      </c>
      <c r="B271" s="75" t="s">
        <v>924</v>
      </c>
      <c r="C271" s="73">
        <v>48.95</v>
      </c>
      <c r="D271" s="75" t="s">
        <v>13</v>
      </c>
      <c r="E271" s="129">
        <v>155</v>
      </c>
      <c r="F271" s="100">
        <v>3.2309999999999999</v>
      </c>
      <c r="G271" s="62" t="s">
        <v>251</v>
      </c>
      <c r="H271" s="50" t="s">
        <v>252</v>
      </c>
      <c r="I271" s="64">
        <f>(C67)</f>
        <v>5800</v>
      </c>
      <c r="J271" s="50" t="s">
        <v>251</v>
      </c>
      <c r="K271" s="64">
        <f t="shared" si="24"/>
        <v>18739.8</v>
      </c>
      <c r="O271" s="50" t="s">
        <v>238</v>
      </c>
      <c r="R271" s="64">
        <f>SUM(R267:R269)</f>
        <v>8929.9555299999975</v>
      </c>
      <c r="AG271" s="72"/>
      <c r="AI271" s="50"/>
    </row>
    <row r="272" spans="1:35" ht="15.75">
      <c r="A272" s="74">
        <f t="shared" si="23"/>
        <v>112</v>
      </c>
      <c r="B272" s="75" t="s">
        <v>925</v>
      </c>
      <c r="C272" s="73">
        <v>300.89999999999998</v>
      </c>
      <c r="D272" s="97">
        <v>452.09</v>
      </c>
      <c r="E272" s="136">
        <v>250</v>
      </c>
      <c r="F272" s="64">
        <v>4.5</v>
      </c>
      <c r="G272" s="62" t="s">
        <v>151</v>
      </c>
      <c r="H272" s="50" t="s">
        <v>253</v>
      </c>
      <c r="I272" s="64">
        <f>(C78)</f>
        <v>2116.9</v>
      </c>
      <c r="J272" s="50" t="s">
        <v>151</v>
      </c>
      <c r="K272" s="64">
        <f t="shared" si="24"/>
        <v>9526.0500000000011</v>
      </c>
      <c r="R272" s="59" t="s">
        <v>21</v>
      </c>
      <c r="AG272" s="72"/>
      <c r="AI272" s="50"/>
    </row>
    <row r="273" spans="1:35" ht="15.75">
      <c r="A273" s="74">
        <f t="shared" si="23"/>
        <v>113</v>
      </c>
      <c r="B273" s="75" t="s">
        <v>926</v>
      </c>
      <c r="C273" s="73">
        <v>141.30000000000001</v>
      </c>
      <c r="D273" s="75" t="s">
        <v>552</v>
      </c>
      <c r="F273" s="64">
        <v>3.5</v>
      </c>
      <c r="G273" s="62" t="s">
        <v>153</v>
      </c>
      <c r="H273" s="50" t="s">
        <v>234</v>
      </c>
      <c r="I273" s="64">
        <f>(C11)</f>
        <v>1005.1999999999999</v>
      </c>
      <c r="J273" s="50" t="s">
        <v>153</v>
      </c>
      <c r="K273" s="64">
        <f t="shared" si="24"/>
        <v>3518.2</v>
      </c>
      <c r="O273" s="50" t="s">
        <v>155</v>
      </c>
      <c r="R273" s="64">
        <f>(R271/10)</f>
        <v>892.99555299999975</v>
      </c>
      <c r="AG273" s="72"/>
      <c r="AI273" s="50"/>
    </row>
    <row r="274" spans="1:35" ht="15.75">
      <c r="A274" s="74">
        <f t="shared" si="23"/>
        <v>114</v>
      </c>
      <c r="B274" s="75" t="s">
        <v>927</v>
      </c>
      <c r="C274" s="73">
        <v>51.3</v>
      </c>
      <c r="D274" s="75" t="s">
        <v>4</v>
      </c>
      <c r="F274" s="64">
        <v>21.2</v>
      </c>
      <c r="G274" s="62" t="s">
        <v>153</v>
      </c>
      <c r="H274" s="50" t="s">
        <v>235</v>
      </c>
      <c r="I274" s="64">
        <f>(C12)</f>
        <v>702.8</v>
      </c>
      <c r="J274" s="50" t="s">
        <v>153</v>
      </c>
      <c r="K274" s="64">
        <f t="shared" si="24"/>
        <v>14899.359999999999</v>
      </c>
      <c r="R274" s="59" t="s">
        <v>156</v>
      </c>
      <c r="Z274" s="56">
        <v>1.51</v>
      </c>
      <c r="AA274" s="56">
        <v>1.08</v>
      </c>
      <c r="AB274" s="56"/>
      <c r="AD274" s="52">
        <v>55.07</v>
      </c>
      <c r="AE274" s="52">
        <f>Z274*AD274</f>
        <v>83.155699999999996</v>
      </c>
      <c r="AF274" s="52">
        <f>AA274*AD274</f>
        <v>59.475600000000007</v>
      </c>
      <c r="AG274" s="72"/>
      <c r="AI274" s="50"/>
    </row>
    <row r="275" spans="1:35" ht="15.75">
      <c r="A275" s="74">
        <f t="shared" si="23"/>
        <v>115</v>
      </c>
      <c r="B275" s="75" t="s">
        <v>928</v>
      </c>
      <c r="C275" s="73">
        <v>44.8</v>
      </c>
      <c r="D275" s="75" t="s">
        <v>4</v>
      </c>
      <c r="F275" s="64">
        <v>35.299999999999997</v>
      </c>
      <c r="G275" s="62" t="s">
        <v>153</v>
      </c>
      <c r="H275" s="50" t="s">
        <v>236</v>
      </c>
      <c r="I275" s="64">
        <f>(C13)</f>
        <v>576.79999999999995</v>
      </c>
      <c r="J275" s="50" t="s">
        <v>153</v>
      </c>
      <c r="K275" s="64">
        <f t="shared" si="24"/>
        <v>20361.039999999997</v>
      </c>
      <c r="N275" s="50" t="s">
        <v>929</v>
      </c>
      <c r="O275" s="50" t="s">
        <v>271</v>
      </c>
      <c r="R275" s="64">
        <f>(R273+C19/10*M267)</f>
        <v>902.44387299999971</v>
      </c>
      <c r="Z275" s="56">
        <v>0.216</v>
      </c>
      <c r="AA275" s="56">
        <v>0.216</v>
      </c>
      <c r="AB275" s="56"/>
      <c r="AD275" s="52">
        <v>993.48</v>
      </c>
      <c r="AE275" s="52">
        <f>Z275*AD275</f>
        <v>214.59168</v>
      </c>
      <c r="AF275" s="52">
        <f>AA275*AD275</f>
        <v>214.59168</v>
      </c>
      <c r="AG275" s="72"/>
      <c r="AI275" s="50"/>
    </row>
    <row r="276" spans="1:35" ht="15.75">
      <c r="A276" s="74">
        <f t="shared" si="23"/>
        <v>116</v>
      </c>
      <c r="B276" s="75" t="s">
        <v>930</v>
      </c>
      <c r="C276" s="87">
        <v>16.440000000000001</v>
      </c>
      <c r="D276" s="75" t="s">
        <v>4</v>
      </c>
      <c r="G276" s="62" t="s">
        <v>226</v>
      </c>
      <c r="H276" s="50" t="s">
        <v>237</v>
      </c>
      <c r="I276" s="50" t="s">
        <v>150</v>
      </c>
      <c r="J276" s="50" t="s">
        <v>226</v>
      </c>
      <c r="K276" s="64">
        <v>0</v>
      </c>
      <c r="N276" s="50" t="s">
        <v>931</v>
      </c>
      <c r="O276" s="50" t="s">
        <v>272</v>
      </c>
      <c r="R276" s="64">
        <f>(R275+C20/10*M267)</f>
        <v>921.48415299999965</v>
      </c>
      <c r="Z276" s="56">
        <v>0.71599999999999997</v>
      </c>
      <c r="AA276" s="56">
        <v>0.48699999999999999</v>
      </c>
      <c r="AB276" s="56"/>
      <c r="AD276" s="52">
        <v>1762.91</v>
      </c>
      <c r="AE276" s="52">
        <f>Z276*AD276</f>
        <v>1262.2435600000001</v>
      </c>
      <c r="AF276" s="52">
        <f>AA276*AD276</f>
        <v>858.53717000000006</v>
      </c>
      <c r="AG276" s="72"/>
      <c r="AI276" s="50"/>
    </row>
    <row r="277" spans="1:35" ht="15.75">
      <c r="A277" s="74">
        <f t="shared" si="23"/>
        <v>117</v>
      </c>
      <c r="B277" s="75" t="s">
        <v>932</v>
      </c>
      <c r="C277" s="73">
        <v>31.5</v>
      </c>
      <c r="D277" s="76">
        <v>6.25</v>
      </c>
      <c r="K277" s="59" t="s">
        <v>21</v>
      </c>
      <c r="N277" s="50" t="s">
        <v>933</v>
      </c>
      <c r="O277" s="50" t="s">
        <v>767</v>
      </c>
      <c r="R277" s="64">
        <f>(R276+C21/10*M267)</f>
        <v>940.52443299999959</v>
      </c>
      <c r="Z277" s="56">
        <v>7.35</v>
      </c>
      <c r="AA277" s="56">
        <v>5.36</v>
      </c>
      <c r="AB277" s="56"/>
      <c r="AD277" s="52">
        <v>69.709999999999994</v>
      </c>
      <c r="AE277" s="52">
        <f>Z277*AD277</f>
        <v>512.36849999999993</v>
      </c>
      <c r="AF277" s="52">
        <f>AA277*AD277</f>
        <v>373.6456</v>
      </c>
      <c r="AG277" s="72"/>
      <c r="AI277" s="50"/>
    </row>
    <row r="278" spans="1:35" ht="15.75">
      <c r="A278" s="74">
        <f t="shared" si="23"/>
        <v>118</v>
      </c>
      <c r="B278" s="75" t="s">
        <v>934</v>
      </c>
      <c r="C278" s="73">
        <v>357.5</v>
      </c>
      <c r="D278" s="75" t="s">
        <v>152</v>
      </c>
      <c r="H278" s="50" t="s">
        <v>935</v>
      </c>
      <c r="K278" s="64">
        <f>SUM(K270:K276)</f>
        <v>87643.469999999987</v>
      </c>
      <c r="N278" s="50" t="s">
        <v>936</v>
      </c>
      <c r="O278" s="50" t="s">
        <v>769</v>
      </c>
      <c r="R278" s="64">
        <f>(R277+C21/10*M267)</f>
        <v>959.56471299999953</v>
      </c>
      <c r="Z278" s="56">
        <v>3.2000000000000001E-2</v>
      </c>
      <c r="AA278" s="56">
        <v>3.2000000000000001E-2</v>
      </c>
      <c r="AB278" s="56"/>
      <c r="AD278" s="52">
        <v>2824.15</v>
      </c>
      <c r="AE278" s="52">
        <f>Z278*AD278</f>
        <v>90.372799999999998</v>
      </c>
      <c r="AF278" s="52">
        <f>AA278*AD278</f>
        <v>90.372799999999998</v>
      </c>
      <c r="AG278" s="72"/>
      <c r="AI278" s="50"/>
    </row>
    <row r="279" spans="1:35" ht="15.75">
      <c r="A279" s="74">
        <f t="shared" si="23"/>
        <v>119</v>
      </c>
      <c r="B279" s="75" t="s">
        <v>937</v>
      </c>
      <c r="C279" s="73">
        <v>79.099999999999994</v>
      </c>
      <c r="D279" s="75" t="s">
        <v>4</v>
      </c>
      <c r="K279" s="59" t="s">
        <v>21</v>
      </c>
      <c r="AA279" s="56"/>
      <c r="AB279" s="56"/>
      <c r="AF279" s="52">
        <v>13.38</v>
      </c>
      <c r="AG279" s="72"/>
      <c r="AI279" s="50"/>
    </row>
    <row r="280" spans="1:35" ht="15.75">
      <c r="A280" s="74">
        <f t="shared" si="23"/>
        <v>120</v>
      </c>
      <c r="B280" s="75" t="s">
        <v>938</v>
      </c>
      <c r="C280" s="73">
        <v>63.5</v>
      </c>
      <c r="D280" s="75" t="s">
        <v>4</v>
      </c>
      <c r="H280" s="66" t="s">
        <v>270</v>
      </c>
      <c r="K280" s="63">
        <f>(K278/10)</f>
        <v>8764.3469999999979</v>
      </c>
      <c r="R280" s="50" t="s">
        <v>150</v>
      </c>
      <c r="AE280" s="52">
        <f>SUM(AE274:AE279)</f>
        <v>2162.7322400000003</v>
      </c>
      <c r="AF280" s="52">
        <f>SUM(AF274:AF279)</f>
        <v>1610.0028500000003</v>
      </c>
      <c r="AG280" s="72"/>
      <c r="AI280" s="50"/>
    </row>
    <row r="281" spans="1:35" ht="15.75">
      <c r="A281" s="90"/>
      <c r="B281" s="90"/>
      <c r="C281" s="129"/>
      <c r="D281" s="90"/>
      <c r="F281" s="50" t="s">
        <v>150</v>
      </c>
      <c r="N281" s="50" t="s">
        <v>230</v>
      </c>
      <c r="O281" s="50" t="s">
        <v>939</v>
      </c>
      <c r="AG281" s="72"/>
    </row>
    <row r="282" spans="1:35" ht="15.75">
      <c r="A282" s="74">
        <f>(A280+1)</f>
        <v>121</v>
      </c>
      <c r="B282" s="75" t="s">
        <v>940</v>
      </c>
      <c r="C282" s="73">
        <v>43.6</v>
      </c>
      <c r="D282" s="75" t="s">
        <v>4</v>
      </c>
      <c r="O282" s="50" t="s">
        <v>941</v>
      </c>
      <c r="AG282" s="72"/>
      <c r="AI282" s="50"/>
    </row>
    <row r="283" spans="1:35" ht="15.75">
      <c r="A283" s="74">
        <f t="shared" ref="A283:A346" si="25">(A282+1)</f>
        <v>122</v>
      </c>
      <c r="B283" s="75" t="s">
        <v>942</v>
      </c>
      <c r="C283" s="73">
        <v>35.15</v>
      </c>
      <c r="D283" s="75" t="s">
        <v>4</v>
      </c>
      <c r="F283" s="64">
        <v>1</v>
      </c>
      <c r="G283" s="62" t="s">
        <v>151</v>
      </c>
      <c r="H283" s="50" t="s">
        <v>943</v>
      </c>
      <c r="K283" s="64">
        <f>(C25)</f>
        <v>98.98</v>
      </c>
      <c r="O283" s="59" t="s">
        <v>21</v>
      </c>
      <c r="AG283" s="72"/>
      <c r="AI283" s="50"/>
    </row>
    <row r="284" spans="1:35" ht="15.75">
      <c r="A284" s="74">
        <f t="shared" si="25"/>
        <v>123</v>
      </c>
      <c r="B284" s="75" t="s">
        <v>944</v>
      </c>
      <c r="C284" s="73">
        <v>57.2</v>
      </c>
      <c r="D284" s="75" t="s">
        <v>4</v>
      </c>
      <c r="K284" s="59" t="s">
        <v>21</v>
      </c>
      <c r="M284" s="64">
        <v>10</v>
      </c>
      <c r="N284" s="50" t="s">
        <v>152</v>
      </c>
      <c r="O284" s="50" t="s">
        <v>945</v>
      </c>
      <c r="P284" s="64">
        <f>(K1241)</f>
        <v>1304.6546999999998</v>
      </c>
      <c r="Q284" s="50" t="s">
        <v>152</v>
      </c>
      <c r="R284" s="64">
        <f>(M284*P284)</f>
        <v>13046.546999999999</v>
      </c>
      <c r="AG284" s="72"/>
      <c r="AI284" s="50"/>
    </row>
    <row r="285" spans="1:35" ht="15.75">
      <c r="A285" s="74">
        <f t="shared" si="25"/>
        <v>124</v>
      </c>
      <c r="B285" s="75" t="s">
        <v>946</v>
      </c>
      <c r="C285" s="73">
        <v>35.1</v>
      </c>
      <c r="D285" s="75" t="s">
        <v>4</v>
      </c>
      <c r="E285" s="129">
        <v>50.3</v>
      </c>
      <c r="H285" s="50" t="s">
        <v>947</v>
      </c>
      <c r="K285" s="63">
        <f>SUM(K280:K283)</f>
        <v>8863.3269999999975</v>
      </c>
      <c r="M285" s="64">
        <v>1.1000000000000001</v>
      </c>
      <c r="N285" s="50" t="s">
        <v>153</v>
      </c>
      <c r="O285" s="50" t="s">
        <v>234</v>
      </c>
      <c r="P285" s="64">
        <f>(C11)</f>
        <v>1005.1999999999999</v>
      </c>
      <c r="Q285" s="50" t="s">
        <v>153</v>
      </c>
      <c r="R285" s="64">
        <f>(M285*P285)</f>
        <v>1105.72</v>
      </c>
      <c r="AG285" s="72"/>
      <c r="AI285" s="50"/>
    </row>
    <row r="286" spans="1:35" ht="15.75">
      <c r="A286" s="74">
        <f t="shared" si="25"/>
        <v>125</v>
      </c>
      <c r="B286" s="75" t="s">
        <v>948</v>
      </c>
      <c r="C286" s="73">
        <v>159.69999999999999</v>
      </c>
      <c r="D286" s="75" t="s">
        <v>4</v>
      </c>
      <c r="K286" s="59" t="s">
        <v>21</v>
      </c>
      <c r="M286" s="64">
        <v>1.1000000000000001</v>
      </c>
      <c r="N286" s="50" t="s">
        <v>153</v>
      </c>
      <c r="O286" s="50" t="s">
        <v>235</v>
      </c>
      <c r="P286" s="64">
        <f>(C12)</f>
        <v>702.8</v>
      </c>
      <c r="Q286" s="50" t="s">
        <v>153</v>
      </c>
      <c r="R286" s="64">
        <f>(M286*P286)</f>
        <v>773.08</v>
      </c>
      <c r="AG286" s="72"/>
      <c r="AI286" s="50"/>
    </row>
    <row r="287" spans="1:35" ht="15.75">
      <c r="A287" s="74">
        <f t="shared" si="25"/>
        <v>126</v>
      </c>
      <c r="B287" s="75" t="s">
        <v>949</v>
      </c>
      <c r="C287" s="73">
        <v>89.7</v>
      </c>
      <c r="D287" s="75" t="s">
        <v>4</v>
      </c>
      <c r="H287" s="50" t="s">
        <v>271</v>
      </c>
      <c r="K287" s="63">
        <f>(K285+C22)</f>
        <v>8989.1869999999981</v>
      </c>
      <c r="L287" s="52">
        <v>54</v>
      </c>
      <c r="M287" s="64">
        <v>1.1000000000000001</v>
      </c>
      <c r="N287" s="50" t="s">
        <v>153</v>
      </c>
      <c r="O287" s="50" t="s">
        <v>646</v>
      </c>
      <c r="P287" s="64">
        <f>(C13)</f>
        <v>576.79999999999995</v>
      </c>
      <c r="Q287" s="50" t="s">
        <v>153</v>
      </c>
      <c r="R287" s="64">
        <f>(M287*P287)</f>
        <v>634.48</v>
      </c>
      <c r="AG287" s="72"/>
      <c r="AI287" s="50"/>
    </row>
    <row r="288" spans="1:35" ht="15.75">
      <c r="A288" s="74">
        <f t="shared" si="25"/>
        <v>127</v>
      </c>
      <c r="B288" s="75" t="s">
        <v>950</v>
      </c>
      <c r="C288" s="97">
        <v>7.3</v>
      </c>
      <c r="D288" s="75" t="s">
        <v>4</v>
      </c>
      <c r="H288" s="50" t="s">
        <v>272</v>
      </c>
      <c r="K288" s="63">
        <f>(K287+C23)</f>
        <v>9236.9869999999974</v>
      </c>
      <c r="L288" s="52">
        <v>107</v>
      </c>
      <c r="R288" s="59" t="s">
        <v>21</v>
      </c>
      <c r="AG288" s="72"/>
      <c r="AI288" s="50"/>
    </row>
    <row r="289" spans="1:35" ht="15.75">
      <c r="A289" s="74">
        <f t="shared" si="25"/>
        <v>128</v>
      </c>
      <c r="B289" s="75" t="s">
        <v>951</v>
      </c>
      <c r="C289" s="97">
        <v>7.3</v>
      </c>
      <c r="D289" s="75" t="s">
        <v>4</v>
      </c>
      <c r="H289" s="50" t="s">
        <v>767</v>
      </c>
      <c r="K289" s="63">
        <f>(K288+C24)</f>
        <v>9484.7869999999966</v>
      </c>
      <c r="O289" s="50" t="s">
        <v>238</v>
      </c>
      <c r="R289" s="64">
        <f>SUM(R284:R287)</f>
        <v>15559.826999999997</v>
      </c>
      <c r="AG289" s="72"/>
      <c r="AI289" s="50"/>
    </row>
    <row r="290" spans="1:35" ht="15.75">
      <c r="A290" s="74">
        <f t="shared" si="25"/>
        <v>129</v>
      </c>
      <c r="B290" s="75" t="s">
        <v>952</v>
      </c>
      <c r="C290" s="87">
        <v>2.9</v>
      </c>
      <c r="D290" s="75" t="s">
        <v>953</v>
      </c>
      <c r="H290" s="50" t="s">
        <v>769</v>
      </c>
      <c r="K290" s="63">
        <f>(K289+C24)</f>
        <v>9732.5869999999959</v>
      </c>
      <c r="R290" s="59" t="s">
        <v>21</v>
      </c>
      <c r="AG290" s="72"/>
      <c r="AI290" s="50"/>
    </row>
    <row r="291" spans="1:35" ht="15.75">
      <c r="A291" s="74">
        <f t="shared" si="25"/>
        <v>130</v>
      </c>
      <c r="B291" s="75" t="s">
        <v>954</v>
      </c>
      <c r="C291" s="97">
        <v>11.8</v>
      </c>
      <c r="D291" s="75" t="s">
        <v>953</v>
      </c>
      <c r="H291" s="50" t="s">
        <v>773</v>
      </c>
      <c r="K291" s="63">
        <f>(K290+C24)</f>
        <v>9980.3869999999952</v>
      </c>
      <c r="O291" s="50" t="s">
        <v>155</v>
      </c>
      <c r="R291" s="64">
        <f>(R289/10)</f>
        <v>1555.9826999999998</v>
      </c>
      <c r="AG291" s="72"/>
      <c r="AI291" s="50"/>
    </row>
    <row r="292" spans="1:35" ht="15.75">
      <c r="A292" s="74">
        <f t="shared" si="25"/>
        <v>131</v>
      </c>
      <c r="B292" s="75" t="s">
        <v>955</v>
      </c>
      <c r="C292" s="97">
        <v>8.9</v>
      </c>
      <c r="D292" s="75" t="s">
        <v>4</v>
      </c>
      <c r="R292" s="59" t="s">
        <v>156</v>
      </c>
      <c r="AG292" s="72"/>
      <c r="AI292" s="50"/>
    </row>
    <row r="293" spans="1:35" ht="15.75">
      <c r="A293" s="74">
        <f t="shared" si="25"/>
        <v>132</v>
      </c>
      <c r="B293" s="75" t="s">
        <v>956</v>
      </c>
      <c r="C293" s="97">
        <v>6.1</v>
      </c>
      <c r="D293" s="75" t="s">
        <v>4</v>
      </c>
      <c r="F293" s="51" t="s">
        <v>419</v>
      </c>
      <c r="G293" s="62" t="s">
        <v>249</v>
      </c>
      <c r="H293" s="50" t="s">
        <v>957</v>
      </c>
      <c r="AG293" s="72"/>
      <c r="AI293" s="50"/>
    </row>
    <row r="294" spans="1:35" ht="15.75">
      <c r="A294" s="74">
        <f t="shared" si="25"/>
        <v>133</v>
      </c>
      <c r="B294" s="75" t="s">
        <v>958</v>
      </c>
      <c r="C294" s="87">
        <v>5.75</v>
      </c>
      <c r="D294" s="75" t="s">
        <v>4</v>
      </c>
      <c r="H294" s="59" t="s">
        <v>156</v>
      </c>
      <c r="N294" s="50" t="s">
        <v>249</v>
      </c>
      <c r="O294" s="50" t="s">
        <v>959</v>
      </c>
      <c r="AG294" s="72"/>
      <c r="AI294" s="50"/>
    </row>
    <row r="295" spans="1:35" ht="15.75">
      <c r="A295" s="74">
        <f t="shared" si="25"/>
        <v>134</v>
      </c>
      <c r="B295" s="75" t="s">
        <v>960</v>
      </c>
      <c r="C295" s="87">
        <v>8.5</v>
      </c>
      <c r="D295" s="75" t="s">
        <v>4</v>
      </c>
      <c r="F295" s="64">
        <v>10</v>
      </c>
      <c r="G295" s="62" t="s">
        <v>151</v>
      </c>
      <c r="H295" s="50" t="s">
        <v>961</v>
      </c>
      <c r="I295" s="64">
        <f>(C68)</f>
        <v>1327.78</v>
      </c>
      <c r="J295" s="50" t="s">
        <v>151</v>
      </c>
      <c r="K295" s="64">
        <f t="shared" ref="K295:K301" si="26">(F295*I295)</f>
        <v>13277.8</v>
      </c>
      <c r="O295" s="59" t="s">
        <v>21</v>
      </c>
      <c r="AG295" s="72"/>
      <c r="AI295" s="50"/>
    </row>
    <row r="296" spans="1:35" ht="15.75">
      <c r="A296" s="74">
        <f t="shared" si="25"/>
        <v>135</v>
      </c>
      <c r="B296" s="75" t="s">
        <v>962</v>
      </c>
      <c r="C296" s="87">
        <v>10</v>
      </c>
      <c r="D296" s="75" t="s">
        <v>4</v>
      </c>
      <c r="F296" s="64">
        <v>1</v>
      </c>
      <c r="G296" s="62" t="s">
        <v>151</v>
      </c>
      <c r="H296" s="50" t="s">
        <v>754</v>
      </c>
      <c r="I296" s="64">
        <f>(C69)</f>
        <v>1520.78</v>
      </c>
      <c r="J296" s="50" t="s">
        <v>151</v>
      </c>
      <c r="K296" s="64">
        <f t="shared" si="26"/>
        <v>1520.78</v>
      </c>
      <c r="M296" s="64">
        <v>0.14000000000000001</v>
      </c>
      <c r="N296" s="50" t="s">
        <v>151</v>
      </c>
      <c r="O296" s="50" t="s">
        <v>257</v>
      </c>
      <c r="P296" s="64">
        <f>(K32)</f>
        <v>5022.7</v>
      </c>
      <c r="Q296" s="50" t="s">
        <v>151</v>
      </c>
      <c r="R296" s="64">
        <f>(M296*P296)</f>
        <v>703.178</v>
      </c>
      <c r="AG296" s="72"/>
      <c r="AI296" s="50"/>
    </row>
    <row r="297" spans="1:35" ht="15.75">
      <c r="A297" s="74">
        <f t="shared" si="25"/>
        <v>136</v>
      </c>
      <c r="B297" s="75" t="s">
        <v>963</v>
      </c>
      <c r="C297" s="97">
        <v>7</v>
      </c>
      <c r="D297" s="75" t="s">
        <v>4</v>
      </c>
      <c r="F297" s="64">
        <v>3.4</v>
      </c>
      <c r="G297" s="62" t="s">
        <v>151</v>
      </c>
      <c r="H297" s="50" t="s">
        <v>259</v>
      </c>
      <c r="I297" s="64">
        <f>(K49)</f>
        <v>3909.1000000000004</v>
      </c>
      <c r="J297" s="50" t="s">
        <v>151</v>
      </c>
      <c r="K297" s="64">
        <f t="shared" si="26"/>
        <v>13290.94</v>
      </c>
      <c r="M297" s="64">
        <v>1.1000000000000001</v>
      </c>
      <c r="N297" s="50" t="s">
        <v>153</v>
      </c>
      <c r="O297" s="50" t="s">
        <v>269</v>
      </c>
      <c r="P297" s="64">
        <f>(C10)</f>
        <v>1076.5999999999999</v>
      </c>
      <c r="Q297" s="50" t="s">
        <v>153</v>
      </c>
      <c r="R297" s="64">
        <f>(M297*P297)</f>
        <v>1184.26</v>
      </c>
      <c r="AG297" s="72"/>
      <c r="AI297" s="50"/>
    </row>
    <row r="298" spans="1:35" ht="15.75">
      <c r="A298" s="74">
        <f t="shared" si="25"/>
        <v>137</v>
      </c>
      <c r="B298" s="75" t="s">
        <v>964</v>
      </c>
      <c r="C298" s="87">
        <v>2.2000000000000002</v>
      </c>
      <c r="D298" s="75" t="s">
        <v>4</v>
      </c>
      <c r="F298" s="64">
        <v>7.1</v>
      </c>
      <c r="G298" s="62" t="s">
        <v>153</v>
      </c>
      <c r="H298" s="50" t="s">
        <v>269</v>
      </c>
      <c r="I298" s="64">
        <f>(C10)</f>
        <v>1076.5999999999999</v>
      </c>
      <c r="J298" s="50" t="s">
        <v>153</v>
      </c>
      <c r="K298" s="64">
        <f t="shared" si="26"/>
        <v>7643.8599999999988</v>
      </c>
      <c r="M298" s="64">
        <v>0.5</v>
      </c>
      <c r="N298" s="50" t="s">
        <v>153</v>
      </c>
      <c r="O298" s="50" t="s">
        <v>235</v>
      </c>
      <c r="P298" s="64">
        <f>(C12)</f>
        <v>702.8</v>
      </c>
      <c r="Q298" s="50" t="s">
        <v>153</v>
      </c>
      <c r="R298" s="64">
        <f>(M298*P298)</f>
        <v>351.4</v>
      </c>
      <c r="AG298" s="72"/>
      <c r="AI298" s="50"/>
    </row>
    <row r="299" spans="1:35" ht="15.75">
      <c r="A299" s="74">
        <f t="shared" si="25"/>
        <v>138</v>
      </c>
      <c r="B299" s="75" t="s">
        <v>965</v>
      </c>
      <c r="C299" s="87">
        <v>10.5</v>
      </c>
      <c r="D299" s="75" t="s">
        <v>4</v>
      </c>
      <c r="F299" s="64">
        <v>10.6</v>
      </c>
      <c r="G299" s="62" t="s">
        <v>153</v>
      </c>
      <c r="H299" s="50" t="s">
        <v>234</v>
      </c>
      <c r="I299" s="64">
        <f>(C11)</f>
        <v>1005.1999999999999</v>
      </c>
      <c r="J299" s="50" t="s">
        <v>153</v>
      </c>
      <c r="K299" s="64">
        <f t="shared" si="26"/>
        <v>10655.119999999999</v>
      </c>
      <c r="M299" s="64">
        <v>1.1000000000000001</v>
      </c>
      <c r="N299" s="50" t="s">
        <v>153</v>
      </c>
      <c r="O299" s="50" t="s">
        <v>236</v>
      </c>
      <c r="P299" s="64">
        <f>(C13)</f>
        <v>576.79999999999995</v>
      </c>
      <c r="Q299" s="50" t="s">
        <v>153</v>
      </c>
      <c r="R299" s="64">
        <f>(M299*P299)</f>
        <v>634.48</v>
      </c>
      <c r="AG299" s="72"/>
      <c r="AI299" s="50"/>
    </row>
    <row r="300" spans="1:35" ht="15.75">
      <c r="A300" s="74">
        <f t="shared" si="25"/>
        <v>139</v>
      </c>
      <c r="B300" s="75" t="s">
        <v>966</v>
      </c>
      <c r="C300" s="87">
        <v>5.5</v>
      </c>
      <c r="D300" s="75" t="s">
        <v>4</v>
      </c>
      <c r="F300" s="64">
        <v>14.1</v>
      </c>
      <c r="G300" s="62" t="s">
        <v>153</v>
      </c>
      <c r="H300" s="50" t="s">
        <v>235</v>
      </c>
      <c r="I300" s="64">
        <f>(C12)</f>
        <v>702.8</v>
      </c>
      <c r="J300" s="50" t="s">
        <v>153</v>
      </c>
      <c r="K300" s="64">
        <f t="shared" si="26"/>
        <v>9909.48</v>
      </c>
      <c r="N300" s="50" t="s">
        <v>226</v>
      </c>
      <c r="O300" s="50" t="s">
        <v>237</v>
      </c>
      <c r="P300" s="50" t="s">
        <v>150</v>
      </c>
      <c r="Q300" s="50" t="s">
        <v>226</v>
      </c>
      <c r="R300" s="64">
        <v>5</v>
      </c>
      <c r="AG300" s="72"/>
      <c r="AI300" s="50"/>
    </row>
    <row r="301" spans="1:35" ht="15.75">
      <c r="A301" s="74">
        <f t="shared" si="25"/>
        <v>140</v>
      </c>
      <c r="B301" s="75" t="s">
        <v>967</v>
      </c>
      <c r="C301" s="87">
        <v>21</v>
      </c>
      <c r="D301" s="75" t="s">
        <v>4</v>
      </c>
      <c r="F301" s="64">
        <v>14.1</v>
      </c>
      <c r="G301" s="62" t="s">
        <v>153</v>
      </c>
      <c r="H301" s="50" t="s">
        <v>236</v>
      </c>
      <c r="I301" s="64">
        <f>(C13)</f>
        <v>576.79999999999995</v>
      </c>
      <c r="J301" s="50" t="s">
        <v>153</v>
      </c>
      <c r="K301" s="64">
        <f t="shared" si="26"/>
        <v>8132.8799999999992</v>
      </c>
      <c r="R301" s="59" t="s">
        <v>21</v>
      </c>
      <c r="AG301" s="72"/>
      <c r="AI301" s="50"/>
    </row>
    <row r="302" spans="1:35" ht="15.75">
      <c r="A302" s="74">
        <f t="shared" si="25"/>
        <v>141</v>
      </c>
      <c r="B302" s="75" t="s">
        <v>968</v>
      </c>
      <c r="C302" s="87">
        <v>10</v>
      </c>
      <c r="D302" s="75" t="s">
        <v>4</v>
      </c>
      <c r="G302" s="62" t="s">
        <v>226</v>
      </c>
      <c r="H302" s="50" t="s">
        <v>237</v>
      </c>
      <c r="J302" s="50" t="s">
        <v>226</v>
      </c>
      <c r="K302" s="64">
        <v>0</v>
      </c>
      <c r="O302" s="50" t="s">
        <v>150</v>
      </c>
      <c r="R302" s="64">
        <f>SUM(R296:R300)</f>
        <v>2878.3180000000002</v>
      </c>
      <c r="AG302" s="72"/>
      <c r="AI302" s="50"/>
    </row>
    <row r="303" spans="1:35" ht="15.75">
      <c r="A303" s="74">
        <f t="shared" si="25"/>
        <v>142</v>
      </c>
      <c r="B303" s="75" t="s">
        <v>969</v>
      </c>
      <c r="C303" s="87">
        <v>4</v>
      </c>
      <c r="D303" s="75" t="s">
        <v>4</v>
      </c>
      <c r="K303" s="59" t="s">
        <v>21</v>
      </c>
      <c r="R303" s="59" t="s">
        <v>21</v>
      </c>
      <c r="AG303" s="72"/>
      <c r="AI303" s="50"/>
    </row>
    <row r="304" spans="1:35" ht="15.75">
      <c r="A304" s="74">
        <f t="shared" si="25"/>
        <v>143</v>
      </c>
      <c r="B304" s="75" t="s">
        <v>951</v>
      </c>
      <c r="C304" s="87">
        <v>8</v>
      </c>
      <c r="D304" s="75" t="s">
        <v>153</v>
      </c>
      <c r="H304" s="50" t="s">
        <v>263</v>
      </c>
      <c r="K304" s="64">
        <f>SUM(K295:K302)</f>
        <v>64430.859999999993</v>
      </c>
      <c r="O304" s="50" t="s">
        <v>155</v>
      </c>
      <c r="R304" s="64">
        <f>(R302/10)</f>
        <v>287.83180000000004</v>
      </c>
      <c r="AG304" s="72"/>
      <c r="AI304" s="50"/>
    </row>
    <row r="305" spans="1:35" ht="15.75">
      <c r="A305" s="74">
        <f t="shared" si="25"/>
        <v>144</v>
      </c>
      <c r="B305" s="75" t="s">
        <v>952</v>
      </c>
      <c r="C305" s="87">
        <v>8.5</v>
      </c>
      <c r="D305" s="75" t="s">
        <v>4</v>
      </c>
      <c r="K305" s="59" t="s">
        <v>21</v>
      </c>
      <c r="N305" s="50" t="s">
        <v>249</v>
      </c>
      <c r="O305" s="50" t="s">
        <v>970</v>
      </c>
      <c r="R305" s="59" t="s">
        <v>156</v>
      </c>
      <c r="AG305" s="72"/>
      <c r="AI305" s="50"/>
    </row>
    <row r="306" spans="1:35" ht="15.75">
      <c r="A306" s="74">
        <f t="shared" si="25"/>
        <v>145</v>
      </c>
      <c r="B306" s="75" t="s">
        <v>971</v>
      </c>
      <c r="C306" s="87">
        <v>2.8</v>
      </c>
      <c r="D306" s="75" t="s">
        <v>4</v>
      </c>
      <c r="H306" s="66" t="s">
        <v>270</v>
      </c>
      <c r="K306" s="63">
        <f>(K304/10)</f>
        <v>6443.0859999999993</v>
      </c>
      <c r="O306" s="59" t="s">
        <v>21</v>
      </c>
      <c r="AG306" s="72"/>
      <c r="AI306" s="50"/>
    </row>
    <row r="307" spans="1:35" ht="15.75">
      <c r="A307" s="74">
        <f t="shared" si="25"/>
        <v>146</v>
      </c>
      <c r="B307" s="75" t="s">
        <v>972</v>
      </c>
      <c r="C307" s="87">
        <v>1.8</v>
      </c>
      <c r="D307" s="75" t="s">
        <v>4</v>
      </c>
      <c r="K307" s="59" t="s">
        <v>156</v>
      </c>
      <c r="M307" s="64">
        <v>0.14000000000000001</v>
      </c>
      <c r="N307" s="50" t="s">
        <v>151</v>
      </c>
      <c r="O307" s="50" t="s">
        <v>256</v>
      </c>
      <c r="P307" s="64">
        <f>(K23)</f>
        <v>6414.7</v>
      </c>
      <c r="Q307" s="50" t="s">
        <v>151</v>
      </c>
      <c r="R307" s="64">
        <f>(M307*P307)</f>
        <v>898.05800000000011</v>
      </c>
      <c r="AG307" s="72"/>
      <c r="AI307" s="50"/>
    </row>
    <row r="308" spans="1:35" ht="15.75">
      <c r="A308" s="74">
        <f t="shared" si="25"/>
        <v>147</v>
      </c>
      <c r="B308" s="97" t="s">
        <v>973</v>
      </c>
      <c r="C308" s="97">
        <v>3</v>
      </c>
      <c r="D308" s="75" t="s">
        <v>4</v>
      </c>
      <c r="F308" s="101">
        <v>6.5</v>
      </c>
      <c r="G308" s="62" t="s">
        <v>249</v>
      </c>
      <c r="H308" s="50" t="s">
        <v>974</v>
      </c>
      <c r="M308" s="64">
        <v>1.1000000000000001</v>
      </c>
      <c r="N308" s="50" t="s">
        <v>153</v>
      </c>
      <c r="O308" s="50" t="s">
        <v>269</v>
      </c>
      <c r="P308" s="64">
        <f>(C10)</f>
        <v>1076.5999999999999</v>
      </c>
      <c r="Q308" s="50" t="s">
        <v>153</v>
      </c>
      <c r="R308" s="64">
        <f>(M308*P308)</f>
        <v>1184.26</v>
      </c>
      <c r="S308" s="56">
        <v>6.1</v>
      </c>
      <c r="T308" s="52" t="s">
        <v>249</v>
      </c>
      <c r="U308" s="52" t="s">
        <v>975</v>
      </c>
      <c r="AD308" s="88">
        <v>6</v>
      </c>
      <c r="AE308" s="62" t="s">
        <v>249</v>
      </c>
      <c r="AF308" s="50" t="s">
        <v>385</v>
      </c>
      <c r="AH308" s="55"/>
    </row>
    <row r="309" spans="1:35" ht="15.75">
      <c r="A309" s="74">
        <f t="shared" si="25"/>
        <v>148</v>
      </c>
      <c r="B309" s="75" t="s">
        <v>976</v>
      </c>
      <c r="C309" s="137" t="s">
        <v>150</v>
      </c>
      <c r="D309" s="138"/>
      <c r="H309" s="50" t="s">
        <v>977</v>
      </c>
      <c r="M309" s="64">
        <v>0.5</v>
      </c>
      <c r="N309" s="50" t="s">
        <v>153</v>
      </c>
      <c r="O309" s="50" t="s">
        <v>235</v>
      </c>
      <c r="P309" s="64">
        <f>(C12)</f>
        <v>702.8</v>
      </c>
      <c r="Q309" s="50" t="s">
        <v>153</v>
      </c>
      <c r="R309" s="64">
        <f>(M309*P309)</f>
        <v>351.4</v>
      </c>
      <c r="U309" s="52" t="s">
        <v>978</v>
      </c>
      <c r="AE309" s="53"/>
      <c r="AF309" s="50" t="s">
        <v>386</v>
      </c>
      <c r="AH309" s="55"/>
    </row>
    <row r="310" spans="1:35" ht="15.75">
      <c r="A310" s="74">
        <f t="shared" si="25"/>
        <v>149</v>
      </c>
      <c r="B310" s="75" t="s">
        <v>979</v>
      </c>
      <c r="C310" s="139">
        <v>66.44</v>
      </c>
      <c r="D310" s="140" t="s">
        <v>552</v>
      </c>
      <c r="H310" s="59" t="s">
        <v>21</v>
      </c>
      <c r="M310" s="64">
        <v>1.1000000000000001</v>
      </c>
      <c r="N310" s="50" t="s">
        <v>153</v>
      </c>
      <c r="O310" s="50" t="s">
        <v>236</v>
      </c>
      <c r="P310" s="64">
        <f>(C13)</f>
        <v>576.79999999999995</v>
      </c>
      <c r="Q310" s="50" t="s">
        <v>153</v>
      </c>
      <c r="R310" s="64">
        <f>(M310*P310)</f>
        <v>634.48</v>
      </c>
      <c r="U310" s="52" t="s">
        <v>21</v>
      </c>
      <c r="AE310" s="53"/>
      <c r="AF310" s="59" t="s">
        <v>21</v>
      </c>
      <c r="AH310" s="55"/>
    </row>
    <row r="311" spans="1:35" ht="15.75">
      <c r="A311" s="74">
        <f t="shared" si="25"/>
        <v>150</v>
      </c>
      <c r="B311" s="75" t="s">
        <v>980</v>
      </c>
      <c r="C311" s="139">
        <v>83.5</v>
      </c>
      <c r="D311" s="140" t="s">
        <v>552</v>
      </c>
      <c r="F311" s="64">
        <v>4800</v>
      </c>
      <c r="G311" s="62" t="s">
        <v>267</v>
      </c>
      <c r="H311" s="64" t="str">
        <f>H309</f>
        <v>Bricks of size 22x11x7 cm</v>
      </c>
      <c r="I311" s="64">
        <f>C80</f>
        <v>6274.59</v>
      </c>
      <c r="J311" s="50" t="s">
        <v>268</v>
      </c>
      <c r="K311" s="64">
        <f>(F311*I311)/1000</f>
        <v>30118.031999999999</v>
      </c>
      <c r="N311" s="50" t="s">
        <v>226</v>
      </c>
      <c r="O311" s="50" t="s">
        <v>237</v>
      </c>
      <c r="P311" s="50" t="s">
        <v>150</v>
      </c>
      <c r="Q311" s="50" t="s">
        <v>226</v>
      </c>
      <c r="R311" s="64">
        <v>0</v>
      </c>
      <c r="S311" s="56">
        <v>4600</v>
      </c>
      <c r="T311" s="52" t="s">
        <v>267</v>
      </c>
      <c r="U311" s="52" t="s">
        <v>978</v>
      </c>
      <c r="V311" s="141">
        <f>AE41</f>
        <v>7678.25</v>
      </c>
      <c r="W311" s="56" t="s">
        <v>981</v>
      </c>
      <c r="X311" s="52">
        <f>(V311*S311)/1000</f>
        <v>35319.949999999997</v>
      </c>
      <c r="AD311" s="64">
        <v>4240</v>
      </c>
      <c r="AE311" s="62" t="s">
        <v>267</v>
      </c>
      <c r="AF311" s="64" t="str">
        <f>AF309</f>
        <v>Bricks of size 23x11.4x7.5 cm</v>
      </c>
      <c r="AG311" s="64">
        <f>AE42</f>
        <v>7865.25</v>
      </c>
      <c r="AH311" s="50" t="s">
        <v>268</v>
      </c>
      <c r="AI311" s="64">
        <f>(AD311*AG311)/1000</f>
        <v>33348.660000000003</v>
      </c>
    </row>
    <row r="312" spans="1:35" ht="15.75">
      <c r="A312" s="74">
        <f t="shared" si="25"/>
        <v>151</v>
      </c>
      <c r="B312" s="75" t="s">
        <v>982</v>
      </c>
      <c r="C312" s="139">
        <v>102.12</v>
      </c>
      <c r="D312" s="140" t="s">
        <v>552</v>
      </c>
      <c r="F312" s="64">
        <v>2.5</v>
      </c>
      <c r="G312" s="62" t="s">
        <v>151</v>
      </c>
      <c r="H312" s="50" t="s">
        <v>259</v>
      </c>
      <c r="I312" s="64">
        <f>K49</f>
        <v>3909.1000000000004</v>
      </c>
      <c r="J312" s="50" t="s">
        <v>151</v>
      </c>
      <c r="K312" s="64">
        <f>(F312*I312)</f>
        <v>9772.75</v>
      </c>
      <c r="R312" s="59" t="s">
        <v>21</v>
      </c>
      <c r="S312" s="56">
        <v>2.5</v>
      </c>
      <c r="T312" s="52" t="s">
        <v>151</v>
      </c>
      <c r="U312" s="52" t="s">
        <v>259</v>
      </c>
      <c r="V312" s="141">
        <f>K49</f>
        <v>3909.1000000000004</v>
      </c>
      <c r="W312" s="52" t="s">
        <v>151</v>
      </c>
      <c r="X312" s="52">
        <f>V312*S312</f>
        <v>9772.75</v>
      </c>
      <c r="AD312" s="64">
        <v>2</v>
      </c>
      <c r="AE312" s="62" t="s">
        <v>151</v>
      </c>
      <c r="AF312" s="50" t="s">
        <v>259</v>
      </c>
      <c r="AG312" s="64">
        <f>K49</f>
        <v>3909.1000000000004</v>
      </c>
      <c r="AH312" s="50" t="s">
        <v>151</v>
      </c>
      <c r="AI312" s="64">
        <f>(AD312*AG312)</f>
        <v>7818.2000000000007</v>
      </c>
    </row>
    <row r="313" spans="1:35" ht="15.75">
      <c r="A313" s="74">
        <f t="shared" si="25"/>
        <v>152</v>
      </c>
      <c r="B313" s="75" t="s">
        <v>983</v>
      </c>
      <c r="C313" s="139">
        <v>182.52</v>
      </c>
      <c r="D313" s="140" t="s">
        <v>552</v>
      </c>
      <c r="F313" s="64">
        <v>3.5</v>
      </c>
      <c r="G313" s="62" t="s">
        <v>153</v>
      </c>
      <c r="H313" s="50" t="s">
        <v>269</v>
      </c>
      <c r="I313" s="64">
        <f>C10</f>
        <v>1076.5999999999999</v>
      </c>
      <c r="J313" s="50" t="s">
        <v>153</v>
      </c>
      <c r="K313" s="64">
        <f>(F313*I313)</f>
        <v>3768.0999999999995</v>
      </c>
      <c r="O313" s="50" t="s">
        <v>238</v>
      </c>
      <c r="R313" s="64">
        <f>SUM(R307:R311)</f>
        <v>3068.1980000000003</v>
      </c>
      <c r="S313" s="56">
        <v>3.5</v>
      </c>
      <c r="T313" s="52" t="s">
        <v>153</v>
      </c>
      <c r="U313" s="52" t="s">
        <v>269</v>
      </c>
      <c r="V313" s="141">
        <f>I313</f>
        <v>1076.5999999999999</v>
      </c>
      <c r="W313" s="52" t="s">
        <v>153</v>
      </c>
      <c r="X313" s="52">
        <f>V313*S313</f>
        <v>3768.0999999999995</v>
      </c>
      <c r="AD313" s="64">
        <v>3.5</v>
      </c>
      <c r="AE313" s="62" t="s">
        <v>153</v>
      </c>
      <c r="AF313" s="50" t="s">
        <v>269</v>
      </c>
      <c r="AG313" s="64">
        <f>V313</f>
        <v>1076.5999999999999</v>
      </c>
      <c r="AH313" s="50" t="s">
        <v>153</v>
      </c>
      <c r="AI313" s="64">
        <f>(AD313*AG313)</f>
        <v>3768.0999999999995</v>
      </c>
    </row>
    <row r="314" spans="1:35" ht="15.75">
      <c r="A314" s="74">
        <f t="shared" si="25"/>
        <v>153</v>
      </c>
      <c r="B314" s="75" t="s">
        <v>984</v>
      </c>
      <c r="C314" s="142"/>
      <c r="D314" s="142"/>
      <c r="F314" s="64">
        <v>10.6</v>
      </c>
      <c r="G314" s="62" t="s">
        <v>153</v>
      </c>
      <c r="H314" s="50" t="s">
        <v>234</v>
      </c>
      <c r="I314" s="64">
        <f>C11</f>
        <v>1005.1999999999999</v>
      </c>
      <c r="J314" s="50" t="s">
        <v>153</v>
      </c>
      <c r="K314" s="64">
        <f>(F314*I314)</f>
        <v>10655.119999999999</v>
      </c>
      <c r="R314" s="59" t="s">
        <v>21</v>
      </c>
      <c r="S314" s="56">
        <v>10.6</v>
      </c>
      <c r="T314" s="52" t="s">
        <v>153</v>
      </c>
      <c r="U314" s="52" t="s">
        <v>234</v>
      </c>
      <c r="V314" s="141">
        <f>I314</f>
        <v>1005.1999999999999</v>
      </c>
      <c r="W314" s="52" t="s">
        <v>153</v>
      </c>
      <c r="X314" s="52">
        <f>V314*S314</f>
        <v>10655.119999999999</v>
      </c>
      <c r="AD314" s="64">
        <v>10.6</v>
      </c>
      <c r="AE314" s="62" t="s">
        <v>153</v>
      </c>
      <c r="AF314" s="50" t="s">
        <v>234</v>
      </c>
      <c r="AG314" s="64">
        <f>V314</f>
        <v>1005.1999999999999</v>
      </c>
      <c r="AH314" s="50" t="s">
        <v>153</v>
      </c>
      <c r="AI314" s="64">
        <f>(AD314*AG314)</f>
        <v>10655.119999999999</v>
      </c>
    </row>
    <row r="315" spans="1:35" ht="15.75">
      <c r="A315" s="74">
        <f t="shared" si="25"/>
        <v>154</v>
      </c>
      <c r="B315" s="75" t="s">
        <v>979</v>
      </c>
      <c r="C315" s="139">
        <v>26.62</v>
      </c>
      <c r="D315" s="140" t="s">
        <v>4</v>
      </c>
      <c r="F315" s="64">
        <v>7.1</v>
      </c>
      <c r="G315" s="62" t="s">
        <v>153</v>
      </c>
      <c r="H315" s="50" t="s">
        <v>235</v>
      </c>
      <c r="I315" s="64">
        <f>C12</f>
        <v>702.8</v>
      </c>
      <c r="J315" s="50" t="s">
        <v>153</v>
      </c>
      <c r="K315" s="64">
        <f>(F315*I315)</f>
        <v>4989.8799999999992</v>
      </c>
      <c r="O315" s="50" t="s">
        <v>155</v>
      </c>
      <c r="R315" s="64">
        <f>(R313/10)</f>
        <v>306.81980000000004</v>
      </c>
      <c r="S315" s="56">
        <v>7.1</v>
      </c>
      <c r="T315" s="52" t="s">
        <v>153</v>
      </c>
      <c r="U315" s="52" t="s">
        <v>235</v>
      </c>
      <c r="V315" s="141">
        <f>I315</f>
        <v>702.8</v>
      </c>
      <c r="W315" s="52" t="s">
        <v>153</v>
      </c>
      <c r="X315" s="52">
        <f>V315*S315</f>
        <v>4989.8799999999992</v>
      </c>
      <c r="AD315" s="64">
        <v>7.1</v>
      </c>
      <c r="AE315" s="62" t="s">
        <v>153</v>
      </c>
      <c r="AF315" s="50" t="s">
        <v>235</v>
      </c>
      <c r="AG315" s="64">
        <f>V315</f>
        <v>702.8</v>
      </c>
      <c r="AH315" s="50" t="s">
        <v>153</v>
      </c>
      <c r="AI315" s="64">
        <f>(AD315*AG315)</f>
        <v>4989.8799999999992</v>
      </c>
    </row>
    <row r="316" spans="1:35" ht="15.75">
      <c r="A316" s="74">
        <f t="shared" si="25"/>
        <v>155</v>
      </c>
      <c r="B316" s="75" t="s">
        <v>980</v>
      </c>
      <c r="C316" s="139">
        <v>34.869999999999997</v>
      </c>
      <c r="D316" s="140" t="s">
        <v>4</v>
      </c>
      <c r="F316" s="64">
        <v>21.2</v>
      </c>
      <c r="G316" s="62" t="s">
        <v>153</v>
      </c>
      <c r="H316" s="50" t="s">
        <v>236</v>
      </c>
      <c r="I316" s="64">
        <f>C13</f>
        <v>576.79999999999995</v>
      </c>
      <c r="J316" s="50" t="s">
        <v>153</v>
      </c>
      <c r="K316" s="64">
        <f>(F316*I316)</f>
        <v>12228.159999999998</v>
      </c>
      <c r="R316" s="59" t="s">
        <v>156</v>
      </c>
      <c r="S316" s="56">
        <v>21.2</v>
      </c>
      <c r="T316" s="52" t="s">
        <v>153</v>
      </c>
      <c r="U316" s="52" t="s">
        <v>236</v>
      </c>
      <c r="V316" s="141">
        <f>I316</f>
        <v>576.79999999999995</v>
      </c>
      <c r="W316" s="52" t="s">
        <v>153</v>
      </c>
      <c r="X316" s="52">
        <f>V316*S316</f>
        <v>12228.159999999998</v>
      </c>
      <c r="AD316" s="64">
        <v>21.2</v>
      </c>
      <c r="AE316" s="62" t="s">
        <v>153</v>
      </c>
      <c r="AF316" s="50" t="s">
        <v>236</v>
      </c>
      <c r="AG316" s="64">
        <f>V316</f>
        <v>576.79999999999995</v>
      </c>
      <c r="AH316" s="50" t="s">
        <v>153</v>
      </c>
      <c r="AI316" s="64">
        <f>(AD316*AG316)</f>
        <v>12228.159999999998</v>
      </c>
    </row>
    <row r="317" spans="1:35" ht="15.75">
      <c r="A317" s="74">
        <f t="shared" si="25"/>
        <v>156</v>
      </c>
      <c r="B317" s="75" t="s">
        <v>982</v>
      </c>
      <c r="C317" s="139">
        <v>45</v>
      </c>
      <c r="D317" s="140" t="s">
        <v>4</v>
      </c>
      <c r="G317" s="62" t="s">
        <v>226</v>
      </c>
      <c r="H317" s="50" t="s">
        <v>237</v>
      </c>
      <c r="J317" s="50" t="s">
        <v>226</v>
      </c>
      <c r="K317" s="64">
        <v>0</v>
      </c>
      <c r="N317" s="50" t="s">
        <v>249</v>
      </c>
      <c r="O317" s="50" t="s">
        <v>985</v>
      </c>
      <c r="T317" s="52" t="s">
        <v>226</v>
      </c>
      <c r="U317" s="52" t="s">
        <v>237</v>
      </c>
      <c r="W317" s="52" t="s">
        <v>226</v>
      </c>
      <c r="X317" s="52">
        <v>0</v>
      </c>
      <c r="AE317" s="62" t="s">
        <v>226</v>
      </c>
      <c r="AF317" s="50" t="s">
        <v>237</v>
      </c>
      <c r="AH317" s="50" t="s">
        <v>226</v>
      </c>
      <c r="AI317" s="64">
        <v>0</v>
      </c>
    </row>
    <row r="318" spans="1:35" ht="15.75">
      <c r="A318" s="74">
        <f t="shared" si="25"/>
        <v>157</v>
      </c>
      <c r="B318" s="75" t="s">
        <v>983</v>
      </c>
      <c r="C318" s="139">
        <v>99.75</v>
      </c>
      <c r="D318" s="140" t="s">
        <v>4</v>
      </c>
      <c r="K318" s="59" t="s">
        <v>21</v>
      </c>
      <c r="O318" s="59" t="s">
        <v>21</v>
      </c>
      <c r="X318" s="52" t="s">
        <v>21</v>
      </c>
      <c r="AE318" s="53"/>
      <c r="AH318" s="55"/>
      <c r="AI318" s="59" t="s">
        <v>21</v>
      </c>
    </row>
    <row r="319" spans="1:35" ht="15.75">
      <c r="A319" s="74">
        <f t="shared" si="25"/>
        <v>158</v>
      </c>
      <c r="B319" s="75" t="s">
        <v>986</v>
      </c>
      <c r="C319" s="142"/>
      <c r="D319" s="142"/>
      <c r="H319" s="50" t="s">
        <v>263</v>
      </c>
      <c r="K319" s="64">
        <f>SUM(K311:K317)</f>
        <v>71532.041999999987</v>
      </c>
      <c r="M319" s="64">
        <v>0.1</v>
      </c>
      <c r="N319" s="50" t="s">
        <v>151</v>
      </c>
      <c r="O319" s="50" t="s">
        <v>256</v>
      </c>
      <c r="P319" s="64">
        <f>(K23)</f>
        <v>6414.7</v>
      </c>
      <c r="Q319" s="50" t="s">
        <v>151</v>
      </c>
      <c r="R319" s="64">
        <f>(M319*P319)</f>
        <v>641.47</v>
      </c>
      <c r="U319" s="52" t="s">
        <v>263</v>
      </c>
      <c r="X319" s="52">
        <f>SUM(X311:X318)</f>
        <v>76733.959999999992</v>
      </c>
      <c r="AE319" s="53"/>
      <c r="AF319" s="50" t="s">
        <v>263</v>
      </c>
      <c r="AH319" s="55"/>
      <c r="AI319" s="64">
        <f>SUM(AI311:AI317)</f>
        <v>72808.12</v>
      </c>
    </row>
    <row r="320" spans="1:35" ht="15.75">
      <c r="A320" s="74">
        <f t="shared" si="25"/>
        <v>159</v>
      </c>
      <c r="B320" s="75" t="s">
        <v>979</v>
      </c>
      <c r="C320" s="139">
        <v>43.47</v>
      </c>
      <c r="D320" s="140" t="s">
        <v>4</v>
      </c>
      <c r="K320" s="59" t="s">
        <v>21</v>
      </c>
      <c r="M320" s="64">
        <v>1.1000000000000001</v>
      </c>
      <c r="N320" s="50" t="s">
        <v>153</v>
      </c>
      <c r="O320" s="50" t="s">
        <v>269</v>
      </c>
      <c r="P320" s="64">
        <f>(C10)</f>
        <v>1076.5999999999999</v>
      </c>
      <c r="Q320" s="50" t="s">
        <v>153</v>
      </c>
      <c r="R320" s="64">
        <f>(M320*P320)</f>
        <v>1184.26</v>
      </c>
      <c r="X320" s="52" t="s">
        <v>21</v>
      </c>
      <c r="AE320" s="53"/>
      <c r="AH320" s="55"/>
      <c r="AI320" s="59" t="s">
        <v>21</v>
      </c>
    </row>
    <row r="321" spans="1:36" ht="15.75">
      <c r="A321" s="74">
        <f t="shared" si="25"/>
        <v>160</v>
      </c>
      <c r="B321" s="75" t="s">
        <v>980</v>
      </c>
      <c r="C321" s="139">
        <v>50.34</v>
      </c>
      <c r="D321" s="140" t="s">
        <v>4</v>
      </c>
      <c r="H321" s="66" t="s">
        <v>270</v>
      </c>
      <c r="K321" s="63">
        <f>(K319/10)</f>
        <v>7153.2041999999983</v>
      </c>
      <c r="M321" s="64">
        <v>1.1000000000000001</v>
      </c>
      <c r="N321" s="50" t="s">
        <v>153</v>
      </c>
      <c r="O321" s="50" t="s">
        <v>235</v>
      </c>
      <c r="P321" s="64">
        <f>(C12)</f>
        <v>702.8</v>
      </c>
      <c r="Q321" s="50" t="s">
        <v>153</v>
      </c>
      <c r="R321" s="64">
        <f>(M321*P321)</f>
        <v>773.08</v>
      </c>
      <c r="U321" s="52" t="s">
        <v>270</v>
      </c>
      <c r="X321" s="65">
        <f>X319/10</f>
        <v>7673.3959999999988</v>
      </c>
      <c r="Y321" s="65"/>
      <c r="AE321" s="53"/>
      <c r="AF321" s="66" t="s">
        <v>270</v>
      </c>
      <c r="AH321" s="55"/>
      <c r="AI321" s="63">
        <f>(AI319/10)</f>
        <v>7280.8119999999999</v>
      </c>
    </row>
    <row r="322" spans="1:36" ht="15.75">
      <c r="A322" s="74">
        <f t="shared" si="25"/>
        <v>161</v>
      </c>
      <c r="B322" s="75" t="s">
        <v>982</v>
      </c>
      <c r="C322" s="139">
        <v>65.209999999999994</v>
      </c>
      <c r="D322" s="140" t="s">
        <v>4</v>
      </c>
      <c r="K322" s="59" t="s">
        <v>156</v>
      </c>
      <c r="M322" s="64">
        <v>1.1000000000000001</v>
      </c>
      <c r="N322" s="50" t="s">
        <v>153</v>
      </c>
      <c r="O322" s="50" t="s">
        <v>236</v>
      </c>
      <c r="P322" s="64">
        <f>(C13)</f>
        <v>576.79999999999995</v>
      </c>
      <c r="Q322" s="50" t="s">
        <v>153</v>
      </c>
      <c r="R322" s="64">
        <f>(M322*P322)</f>
        <v>634.48</v>
      </c>
      <c r="AE322" s="53"/>
      <c r="AH322" s="55"/>
      <c r="AI322" s="59" t="s">
        <v>156</v>
      </c>
    </row>
    <row r="323" spans="1:36" ht="15.75">
      <c r="A323" s="74">
        <f t="shared" si="25"/>
        <v>162</v>
      </c>
      <c r="B323" s="75" t="s">
        <v>983</v>
      </c>
      <c r="C323" s="139">
        <v>145.29</v>
      </c>
      <c r="D323" s="140" t="s">
        <v>4</v>
      </c>
      <c r="H323" s="50" t="s">
        <v>271</v>
      </c>
      <c r="K323" s="64">
        <f>(K321+C19)</f>
        <v>7236.0841999999984</v>
      </c>
      <c r="L323" s="52">
        <f>K323-K321</f>
        <v>82.880000000000109</v>
      </c>
      <c r="N323" s="50" t="s">
        <v>226</v>
      </c>
      <c r="O323" s="50" t="s">
        <v>237</v>
      </c>
      <c r="P323" s="50" t="s">
        <v>150</v>
      </c>
      <c r="Q323" s="50" t="s">
        <v>226</v>
      </c>
      <c r="R323" s="64">
        <v>0</v>
      </c>
      <c r="U323" s="52" t="s">
        <v>271</v>
      </c>
      <c r="X323" s="52">
        <f>X321+C19</f>
        <v>7756.2759999999989</v>
      </c>
      <c r="Z323" s="52">
        <f>X323-X321</f>
        <v>82.880000000000109</v>
      </c>
      <c r="AE323" s="53"/>
      <c r="AF323" s="50" t="s">
        <v>271</v>
      </c>
      <c r="AH323" s="55"/>
      <c r="AI323" s="64">
        <f>AI321+C19</f>
        <v>7363.692</v>
      </c>
      <c r="AJ323" s="52">
        <f>AI323-AI321</f>
        <v>82.880000000000109</v>
      </c>
    </row>
    <row r="324" spans="1:36" ht="15.75">
      <c r="A324" s="74">
        <f t="shared" si="25"/>
        <v>163</v>
      </c>
      <c r="B324" s="75" t="s">
        <v>987</v>
      </c>
      <c r="C324" s="142"/>
      <c r="D324" s="142"/>
      <c r="H324" s="50" t="s">
        <v>272</v>
      </c>
      <c r="K324" s="64">
        <f>(K323+C20)</f>
        <v>7403.1041999999979</v>
      </c>
      <c r="L324" s="52">
        <f>K324-K323</f>
        <v>167.01999999999953</v>
      </c>
      <c r="R324" s="59" t="s">
        <v>21</v>
      </c>
      <c r="U324" s="52" t="s">
        <v>272</v>
      </c>
      <c r="X324" s="52">
        <f>X323+C20</f>
        <v>7923.2959999999985</v>
      </c>
      <c r="Z324" s="52">
        <f>X324-X323</f>
        <v>167.01999999999953</v>
      </c>
      <c r="AE324" s="53"/>
      <c r="AF324" s="50" t="s">
        <v>272</v>
      </c>
      <c r="AH324" s="55"/>
      <c r="AI324" s="64">
        <f>AI323+C20</f>
        <v>7530.7119999999995</v>
      </c>
      <c r="AJ324" s="52">
        <f>AI324-AI323</f>
        <v>167.01999999999953</v>
      </c>
    </row>
    <row r="325" spans="1:36" ht="15.75">
      <c r="A325" s="74">
        <f t="shared" si="25"/>
        <v>164</v>
      </c>
      <c r="B325" s="75" t="s">
        <v>979</v>
      </c>
      <c r="C325" s="139">
        <v>14.91</v>
      </c>
      <c r="D325" s="140" t="s">
        <v>552</v>
      </c>
      <c r="H325" s="50" t="s">
        <v>767</v>
      </c>
      <c r="K325" s="64">
        <f>(K324+C21)</f>
        <v>7570.1241999999984</v>
      </c>
      <c r="M325" s="52">
        <f>(K325+K324)/2</f>
        <v>7486.6141999999982</v>
      </c>
      <c r="O325" s="50" t="s">
        <v>238</v>
      </c>
      <c r="R325" s="64">
        <f>SUM(R319:R323)</f>
        <v>3233.29</v>
      </c>
      <c r="U325" s="52" t="s">
        <v>767</v>
      </c>
      <c r="X325" s="52">
        <f>X324+C20</f>
        <v>8090.3159999999989</v>
      </c>
      <c r="AE325" s="53"/>
      <c r="AF325" s="50" t="s">
        <v>767</v>
      </c>
      <c r="AH325" s="55"/>
      <c r="AI325" s="64">
        <f>AI324+C20</f>
        <v>7697.732</v>
      </c>
      <c r="AJ325" s="52">
        <f>AI324-AI323</f>
        <v>167.01999999999953</v>
      </c>
    </row>
    <row r="326" spans="1:36" ht="15.75">
      <c r="A326" s="74">
        <f t="shared" si="25"/>
        <v>165</v>
      </c>
      <c r="B326" s="75" t="s">
        <v>980</v>
      </c>
      <c r="C326" s="139">
        <v>19.41</v>
      </c>
      <c r="D326" s="140" t="s">
        <v>552</v>
      </c>
      <c r="H326" s="50" t="s">
        <v>769</v>
      </c>
      <c r="K326" s="64">
        <f>(K325+C21)</f>
        <v>7737.1441999999988</v>
      </c>
      <c r="R326" s="59" t="s">
        <v>21</v>
      </c>
      <c r="U326" s="52" t="s">
        <v>769</v>
      </c>
      <c r="X326" s="52">
        <f>X325+C20</f>
        <v>8257.3359999999993</v>
      </c>
      <c r="AE326" s="53"/>
      <c r="AF326" s="50" t="s">
        <v>769</v>
      </c>
      <c r="AH326" s="55"/>
      <c r="AI326" s="64">
        <f>AI325+C20</f>
        <v>7864.7520000000004</v>
      </c>
    </row>
    <row r="327" spans="1:36" ht="15.75">
      <c r="A327" s="74">
        <f t="shared" si="25"/>
        <v>166</v>
      </c>
      <c r="B327" s="75" t="s">
        <v>982</v>
      </c>
      <c r="C327" s="139">
        <v>22.22</v>
      </c>
      <c r="D327" s="140" t="s">
        <v>552</v>
      </c>
      <c r="H327" s="50" t="s">
        <v>773</v>
      </c>
      <c r="K327" s="64">
        <f>(K326+C21)</f>
        <v>7904.1641999999993</v>
      </c>
      <c r="O327" s="50" t="s">
        <v>155</v>
      </c>
      <c r="R327" s="64">
        <f>(R325/10)</f>
        <v>323.32900000000001</v>
      </c>
      <c r="U327" s="52" t="s">
        <v>773</v>
      </c>
      <c r="X327" s="52">
        <f>X326+C20</f>
        <v>8424.3559999999998</v>
      </c>
      <c r="AE327" s="53"/>
      <c r="AF327" s="50" t="s">
        <v>773</v>
      </c>
      <c r="AH327" s="55"/>
      <c r="AI327" s="64">
        <f>AI326+C20</f>
        <v>8031.7720000000008</v>
      </c>
    </row>
    <row r="328" spans="1:36" ht="15.75">
      <c r="A328" s="74"/>
      <c r="B328" s="75"/>
      <c r="C328" s="139"/>
      <c r="D328" s="140"/>
      <c r="H328" s="50"/>
      <c r="K328" s="64"/>
      <c r="O328" s="50"/>
      <c r="R328" s="64"/>
      <c r="AG328" s="71"/>
      <c r="AI328" s="50"/>
    </row>
    <row r="329" spans="1:36" ht="15.75">
      <c r="A329" s="74"/>
      <c r="B329" s="75"/>
      <c r="C329" s="139"/>
      <c r="D329" s="140"/>
      <c r="F329" s="51" t="s">
        <v>988</v>
      </c>
      <c r="H329" s="50" t="s">
        <v>989</v>
      </c>
      <c r="K329" s="143">
        <v>705</v>
      </c>
      <c r="L329" s="52" t="s">
        <v>990</v>
      </c>
      <c r="O329" s="50"/>
      <c r="R329" s="64"/>
      <c r="AG329" s="71"/>
      <c r="AI329" s="50"/>
    </row>
    <row r="330" spans="1:36" ht="15.75">
      <c r="A330" s="74"/>
      <c r="B330" s="75"/>
      <c r="C330" s="139"/>
      <c r="D330" s="140"/>
      <c r="H330" s="50" t="s">
        <v>991</v>
      </c>
      <c r="K330" s="59" t="s">
        <v>156</v>
      </c>
      <c r="O330" s="50"/>
      <c r="R330" s="64"/>
      <c r="AG330" s="71"/>
      <c r="AI330" s="50"/>
    </row>
    <row r="331" spans="1:36" ht="15.75">
      <c r="A331" s="74"/>
      <c r="B331" s="75"/>
      <c r="C331" s="139"/>
      <c r="D331" s="140"/>
      <c r="H331" s="50"/>
      <c r="K331" s="64"/>
      <c r="O331" s="50"/>
      <c r="R331" s="64"/>
      <c r="AG331" s="71"/>
      <c r="AI331" s="50"/>
    </row>
    <row r="332" spans="1:36" ht="15.75">
      <c r="A332" s="74">
        <f>(A327+1)</f>
        <v>167</v>
      </c>
      <c r="B332" s="75" t="s">
        <v>983</v>
      </c>
      <c r="C332" s="139">
        <v>46.42</v>
      </c>
      <c r="D332" s="140" t="s">
        <v>552</v>
      </c>
      <c r="F332" s="88">
        <v>9</v>
      </c>
      <c r="G332" s="62" t="s">
        <v>249</v>
      </c>
      <c r="H332" s="50" t="s">
        <v>992</v>
      </c>
      <c r="R332" s="59" t="s">
        <v>156</v>
      </c>
      <c r="S332" s="56">
        <v>9</v>
      </c>
      <c r="T332" s="52" t="s">
        <v>249</v>
      </c>
      <c r="U332" s="52" t="s">
        <v>993</v>
      </c>
      <c r="AD332" s="88">
        <v>9</v>
      </c>
      <c r="AE332" s="62" t="s">
        <v>249</v>
      </c>
      <c r="AF332" s="50" t="s">
        <v>387</v>
      </c>
      <c r="AH332" s="55"/>
    </row>
    <row r="333" spans="1:36" ht="15.75">
      <c r="A333" s="74">
        <f t="shared" si="25"/>
        <v>168</v>
      </c>
      <c r="B333" s="75" t="s">
        <v>994</v>
      </c>
      <c r="C333" s="142"/>
      <c r="D333" s="142"/>
      <c r="H333" s="50" t="str">
        <f>H309</f>
        <v>Bricks of size 22x11x7 cm</v>
      </c>
      <c r="U333" s="52" t="s">
        <v>978</v>
      </c>
      <c r="AE333" s="53"/>
      <c r="AF333" s="50" t="str">
        <f>AF309</f>
        <v>Bricks of size 23x11.4x7.5 cm</v>
      </c>
      <c r="AH333" s="55"/>
    </row>
    <row r="334" spans="1:36" ht="15.75">
      <c r="A334" s="74">
        <f t="shared" si="25"/>
        <v>169</v>
      </c>
      <c r="B334" s="75" t="s">
        <v>979</v>
      </c>
      <c r="C334" s="139">
        <v>8.58</v>
      </c>
      <c r="D334" s="140" t="s">
        <v>4</v>
      </c>
      <c r="H334" s="59" t="s">
        <v>21</v>
      </c>
      <c r="N334" s="50" t="s">
        <v>249</v>
      </c>
      <c r="O334" s="50" t="s">
        <v>995</v>
      </c>
      <c r="U334" s="52" t="s">
        <v>21</v>
      </c>
      <c r="AE334" s="53"/>
      <c r="AF334" s="59" t="s">
        <v>21</v>
      </c>
      <c r="AH334" s="55"/>
    </row>
    <row r="335" spans="1:36" ht="15.75">
      <c r="A335" s="74">
        <f t="shared" si="25"/>
        <v>170</v>
      </c>
      <c r="B335" s="75" t="s">
        <v>980</v>
      </c>
      <c r="C335" s="139">
        <v>12.26</v>
      </c>
      <c r="D335" s="140" t="s">
        <v>4</v>
      </c>
      <c r="F335" s="64">
        <f>F311</f>
        <v>4800</v>
      </c>
      <c r="G335" s="62" t="s">
        <v>267</v>
      </c>
      <c r="H335" s="64" t="str">
        <f>H309</f>
        <v>Bricks of size 22x11x7 cm</v>
      </c>
      <c r="I335" s="64">
        <f>C80</f>
        <v>6274.59</v>
      </c>
      <c r="J335" s="50" t="s">
        <v>268</v>
      </c>
      <c r="K335" s="64">
        <f>(F335*I335)/1000</f>
        <v>30118.031999999999</v>
      </c>
      <c r="O335" s="59" t="s">
        <v>21</v>
      </c>
      <c r="S335" s="56">
        <v>4600</v>
      </c>
      <c r="T335" s="52" t="s">
        <v>267</v>
      </c>
      <c r="U335" s="52" t="s">
        <v>978</v>
      </c>
      <c r="V335" s="52">
        <f>AE41</f>
        <v>7678.25</v>
      </c>
      <c r="W335" s="52" t="s">
        <v>268</v>
      </c>
      <c r="X335" s="52">
        <f>V335*S335/1000</f>
        <v>35319.949999999997</v>
      </c>
      <c r="AD335" s="64">
        <f>AD311</f>
        <v>4240</v>
      </c>
      <c r="AE335" s="62" t="s">
        <v>267</v>
      </c>
      <c r="AF335" s="64" t="str">
        <f>AF309</f>
        <v>Bricks of size 23x11.4x7.5 cm</v>
      </c>
      <c r="AG335" s="64">
        <f>AE42</f>
        <v>7865.25</v>
      </c>
      <c r="AH335" s="50" t="s">
        <v>268</v>
      </c>
      <c r="AI335" s="64">
        <f>AG335*AD335/1000</f>
        <v>33348.660000000003</v>
      </c>
    </row>
    <row r="336" spans="1:36" ht="15.75">
      <c r="A336" s="74">
        <f t="shared" si="25"/>
        <v>171</v>
      </c>
      <c r="B336" s="75" t="s">
        <v>982</v>
      </c>
      <c r="C336" s="139">
        <v>13.89</v>
      </c>
      <c r="D336" s="140" t="s">
        <v>4</v>
      </c>
      <c r="F336" s="64">
        <f>F312</f>
        <v>2.5</v>
      </c>
      <c r="G336" s="62" t="s">
        <v>151</v>
      </c>
      <c r="H336" s="50" t="s">
        <v>260</v>
      </c>
      <c r="I336" s="64">
        <f>K58</f>
        <v>3630.7000000000003</v>
      </c>
      <c r="J336" s="50" t="s">
        <v>151</v>
      </c>
      <c r="K336" s="64">
        <f>(F336*I336)</f>
        <v>9076.75</v>
      </c>
      <c r="M336" s="64">
        <v>0.22</v>
      </c>
      <c r="N336" s="50" t="s">
        <v>151</v>
      </c>
      <c r="O336" s="50" t="s">
        <v>259</v>
      </c>
      <c r="P336" s="64">
        <f>(K49)</f>
        <v>3909.1000000000004</v>
      </c>
      <c r="Q336" s="50" t="s">
        <v>151</v>
      </c>
      <c r="R336" s="64">
        <f>(M336*P336)</f>
        <v>860.00200000000007</v>
      </c>
      <c r="S336" s="56">
        <v>2.5</v>
      </c>
      <c r="T336" s="52" t="s">
        <v>151</v>
      </c>
      <c r="U336" s="52" t="s">
        <v>260</v>
      </c>
      <c r="V336" s="52">
        <f>I336</f>
        <v>3630.7000000000003</v>
      </c>
      <c r="W336" s="52" t="s">
        <v>151</v>
      </c>
      <c r="X336" s="52">
        <f t="shared" ref="X336:X341" si="27">V336*S336</f>
        <v>9076.75</v>
      </c>
      <c r="AD336" s="64">
        <f>AD312</f>
        <v>2</v>
      </c>
      <c r="AE336" s="62" t="s">
        <v>151</v>
      </c>
      <c r="AF336" s="50" t="s">
        <v>260</v>
      </c>
      <c r="AG336" s="64">
        <f>V336</f>
        <v>3630.7000000000003</v>
      </c>
      <c r="AH336" s="50" t="s">
        <v>151</v>
      </c>
      <c r="AI336" s="64">
        <f>AG336*AD336</f>
        <v>7261.4000000000005</v>
      </c>
    </row>
    <row r="337" spans="1:35" ht="15.75">
      <c r="A337" s="74">
        <f t="shared" si="25"/>
        <v>172</v>
      </c>
      <c r="B337" s="75" t="s">
        <v>983</v>
      </c>
      <c r="C337" s="139">
        <v>36.25</v>
      </c>
      <c r="D337" s="140" t="s">
        <v>4</v>
      </c>
      <c r="F337" s="64">
        <v>3.5</v>
      </c>
      <c r="G337" s="62" t="s">
        <v>153</v>
      </c>
      <c r="H337" s="50" t="s">
        <v>269</v>
      </c>
      <c r="I337" s="64">
        <f>C10</f>
        <v>1076.5999999999999</v>
      </c>
      <c r="J337" s="50" t="s">
        <v>153</v>
      </c>
      <c r="K337" s="64">
        <f>(F337*I337)</f>
        <v>3768.0999999999995</v>
      </c>
      <c r="M337" s="64">
        <v>2.2000000000000002</v>
      </c>
      <c r="N337" s="50" t="s">
        <v>153</v>
      </c>
      <c r="O337" s="50" t="s">
        <v>269</v>
      </c>
      <c r="P337" s="64">
        <f>(C10)</f>
        <v>1076.5999999999999</v>
      </c>
      <c r="Q337" s="50" t="s">
        <v>153</v>
      </c>
      <c r="R337" s="64">
        <f>(M337*P337)</f>
        <v>2368.52</v>
      </c>
      <c r="S337" s="56">
        <v>3.5</v>
      </c>
      <c r="T337" s="52" t="s">
        <v>153</v>
      </c>
      <c r="U337" s="52" t="s">
        <v>269</v>
      </c>
      <c r="V337" s="52">
        <f>I337</f>
        <v>1076.5999999999999</v>
      </c>
      <c r="W337" s="52" t="s">
        <v>153</v>
      </c>
      <c r="X337" s="52">
        <f t="shared" si="27"/>
        <v>3768.0999999999995</v>
      </c>
      <c r="AD337" s="64">
        <v>3.5</v>
      </c>
      <c r="AE337" s="62" t="s">
        <v>153</v>
      </c>
      <c r="AF337" s="50" t="s">
        <v>269</v>
      </c>
      <c r="AG337" s="64">
        <f>V337</f>
        <v>1076.5999999999999</v>
      </c>
      <c r="AH337" s="50" t="s">
        <v>153</v>
      </c>
      <c r="AI337" s="64">
        <f>AG337*AD337</f>
        <v>3768.0999999999995</v>
      </c>
    </row>
    <row r="338" spans="1:35" ht="15.75">
      <c r="A338" s="74">
        <f t="shared" si="25"/>
        <v>173</v>
      </c>
      <c r="B338" s="75" t="s">
        <v>996</v>
      </c>
      <c r="C338" s="142"/>
      <c r="D338" s="142"/>
      <c r="F338" s="64">
        <v>10.6</v>
      </c>
      <c r="G338" s="62" t="s">
        <v>153</v>
      </c>
      <c r="H338" s="50" t="s">
        <v>234</v>
      </c>
      <c r="I338" s="64">
        <f>C11</f>
        <v>1005.1999999999999</v>
      </c>
      <c r="J338" s="50" t="s">
        <v>153</v>
      </c>
      <c r="K338" s="64">
        <f>(F338*I338)</f>
        <v>10655.119999999999</v>
      </c>
      <c r="M338" s="64">
        <v>0.5</v>
      </c>
      <c r="N338" s="50" t="s">
        <v>153</v>
      </c>
      <c r="O338" s="50" t="s">
        <v>235</v>
      </c>
      <c r="P338" s="64">
        <f>(C12)</f>
        <v>702.8</v>
      </c>
      <c r="Q338" s="50" t="s">
        <v>153</v>
      </c>
      <c r="R338" s="64">
        <f>(M338*P338)</f>
        <v>351.4</v>
      </c>
      <c r="S338" s="56">
        <v>10.6</v>
      </c>
      <c r="T338" s="52" t="s">
        <v>153</v>
      </c>
      <c r="U338" s="52" t="s">
        <v>234</v>
      </c>
      <c r="V338" s="52">
        <f>I338</f>
        <v>1005.1999999999999</v>
      </c>
      <c r="W338" s="52" t="s">
        <v>153</v>
      </c>
      <c r="X338" s="52">
        <f t="shared" si="27"/>
        <v>10655.119999999999</v>
      </c>
      <c r="AD338" s="64">
        <v>10.6</v>
      </c>
      <c r="AE338" s="62" t="s">
        <v>153</v>
      </c>
      <c r="AF338" s="50" t="s">
        <v>234</v>
      </c>
      <c r="AG338" s="64">
        <f>V338</f>
        <v>1005.1999999999999</v>
      </c>
      <c r="AH338" s="50" t="s">
        <v>153</v>
      </c>
      <c r="AI338" s="64">
        <f>AG338*AD338</f>
        <v>10655.119999999999</v>
      </c>
    </row>
    <row r="339" spans="1:35" ht="15.75">
      <c r="A339" s="74">
        <f t="shared" si="25"/>
        <v>174</v>
      </c>
      <c r="B339" s="75" t="s">
        <v>979</v>
      </c>
      <c r="C339" s="139">
        <v>15.7</v>
      </c>
      <c r="D339" s="140" t="s">
        <v>4</v>
      </c>
      <c r="F339" s="64">
        <v>7.1</v>
      </c>
      <c r="G339" s="62" t="s">
        <v>153</v>
      </c>
      <c r="H339" s="50" t="s">
        <v>235</v>
      </c>
      <c r="I339" s="64">
        <f>C12</f>
        <v>702.8</v>
      </c>
      <c r="J339" s="50" t="s">
        <v>153</v>
      </c>
      <c r="K339" s="64">
        <f>(F339*I339)</f>
        <v>4989.8799999999992</v>
      </c>
      <c r="M339" s="64">
        <v>3.2</v>
      </c>
      <c r="N339" s="50" t="s">
        <v>153</v>
      </c>
      <c r="O339" s="50" t="s">
        <v>236</v>
      </c>
      <c r="P339" s="64">
        <f>(C13)</f>
        <v>576.79999999999995</v>
      </c>
      <c r="Q339" s="50" t="s">
        <v>153</v>
      </c>
      <c r="R339" s="64">
        <f>(M339*P339)</f>
        <v>1845.76</v>
      </c>
      <c r="S339" s="56">
        <v>7.1</v>
      </c>
      <c r="T339" s="52" t="s">
        <v>153</v>
      </c>
      <c r="U339" s="52" t="s">
        <v>235</v>
      </c>
      <c r="V339" s="52">
        <f>I339</f>
        <v>702.8</v>
      </c>
      <c r="W339" s="52" t="s">
        <v>153</v>
      </c>
      <c r="X339" s="52">
        <f t="shared" si="27"/>
        <v>4989.8799999999992</v>
      </c>
      <c r="AD339" s="64">
        <v>7.1</v>
      </c>
      <c r="AE339" s="62" t="s">
        <v>153</v>
      </c>
      <c r="AF339" s="50" t="s">
        <v>235</v>
      </c>
      <c r="AG339" s="64">
        <f>V339</f>
        <v>702.8</v>
      </c>
      <c r="AH339" s="50" t="s">
        <v>153</v>
      </c>
      <c r="AI339" s="64">
        <f>AG339*AD339</f>
        <v>4989.8799999999992</v>
      </c>
    </row>
    <row r="340" spans="1:35" ht="15.75">
      <c r="A340" s="74">
        <f t="shared" si="25"/>
        <v>175</v>
      </c>
      <c r="B340" s="75" t="s">
        <v>980</v>
      </c>
      <c r="C340" s="139">
        <v>22.31</v>
      </c>
      <c r="D340" s="140" t="s">
        <v>4</v>
      </c>
      <c r="F340" s="64">
        <v>21.2</v>
      </c>
      <c r="G340" s="62" t="s">
        <v>153</v>
      </c>
      <c r="H340" s="50" t="s">
        <v>236</v>
      </c>
      <c r="I340" s="64">
        <f>C13</f>
        <v>576.79999999999995</v>
      </c>
      <c r="J340" s="50" t="s">
        <v>153</v>
      </c>
      <c r="K340" s="64">
        <f>(F340*I340)</f>
        <v>12228.159999999998</v>
      </c>
      <c r="N340" s="50" t="s">
        <v>226</v>
      </c>
      <c r="O340" s="50" t="s">
        <v>237</v>
      </c>
      <c r="P340" s="50" t="s">
        <v>150</v>
      </c>
      <c r="Q340" s="50" t="s">
        <v>226</v>
      </c>
      <c r="R340" s="64">
        <v>0</v>
      </c>
      <c r="S340" s="56">
        <v>21.2</v>
      </c>
      <c r="T340" s="52" t="s">
        <v>153</v>
      </c>
      <c r="U340" s="52" t="s">
        <v>236</v>
      </c>
      <c r="V340" s="52">
        <f>I340</f>
        <v>576.79999999999995</v>
      </c>
      <c r="W340" s="52" t="s">
        <v>153</v>
      </c>
      <c r="X340" s="52">
        <f t="shared" si="27"/>
        <v>12228.159999999998</v>
      </c>
      <c r="AD340" s="64">
        <v>21.2</v>
      </c>
      <c r="AE340" s="62" t="s">
        <v>153</v>
      </c>
      <c r="AF340" s="50" t="s">
        <v>236</v>
      </c>
      <c r="AG340" s="64">
        <f>V340</f>
        <v>576.79999999999995</v>
      </c>
      <c r="AH340" s="50" t="s">
        <v>153</v>
      </c>
      <c r="AI340" s="64">
        <f>AG340*AD340</f>
        <v>12228.159999999998</v>
      </c>
    </row>
    <row r="341" spans="1:35" ht="15.75">
      <c r="A341" s="74">
        <f t="shared" si="25"/>
        <v>176</v>
      </c>
      <c r="B341" s="75" t="s">
        <v>982</v>
      </c>
      <c r="C341" s="139">
        <v>25.24</v>
      </c>
      <c r="D341" s="140" t="s">
        <v>4</v>
      </c>
      <c r="G341" s="62" t="s">
        <v>226</v>
      </c>
      <c r="H341" s="50" t="s">
        <v>237</v>
      </c>
      <c r="J341" s="50" t="s">
        <v>226</v>
      </c>
      <c r="K341" s="64">
        <v>0</v>
      </c>
      <c r="R341" s="59" t="s">
        <v>21</v>
      </c>
      <c r="T341" s="52" t="s">
        <v>226</v>
      </c>
      <c r="U341" s="52" t="s">
        <v>237</v>
      </c>
      <c r="W341" s="52" t="s">
        <v>226</v>
      </c>
      <c r="X341" s="52">
        <f t="shared" si="27"/>
        <v>0</v>
      </c>
      <c r="AE341" s="62" t="s">
        <v>226</v>
      </c>
      <c r="AF341" s="50" t="s">
        <v>237</v>
      </c>
      <c r="AH341" s="50" t="s">
        <v>226</v>
      </c>
      <c r="AI341" s="64">
        <v>0</v>
      </c>
    </row>
    <row r="342" spans="1:35" ht="15.75">
      <c r="A342" s="74">
        <f t="shared" si="25"/>
        <v>177</v>
      </c>
      <c r="B342" s="75" t="s">
        <v>983</v>
      </c>
      <c r="C342" s="139">
        <v>52.34</v>
      </c>
      <c r="D342" s="140" t="s">
        <v>4</v>
      </c>
      <c r="K342" s="59" t="s">
        <v>21</v>
      </c>
      <c r="O342" s="50" t="s">
        <v>238</v>
      </c>
      <c r="R342" s="64">
        <f>SUM(R336:R340)</f>
        <v>5425.6819999999998</v>
      </c>
      <c r="X342" s="59" t="s">
        <v>21</v>
      </c>
      <c r="Y342" s="59"/>
      <c r="AE342" s="53"/>
      <c r="AH342" s="55"/>
      <c r="AI342" s="59" t="s">
        <v>21</v>
      </c>
    </row>
    <row r="343" spans="1:35" ht="15.75">
      <c r="A343" s="74">
        <f t="shared" si="25"/>
        <v>178</v>
      </c>
      <c r="B343" s="75" t="s">
        <v>997</v>
      </c>
      <c r="C343" s="142"/>
      <c r="D343" s="142"/>
      <c r="H343" s="50" t="s">
        <v>263</v>
      </c>
      <c r="K343" s="64">
        <f>SUM(K335:K341)</f>
        <v>70836.041999999987</v>
      </c>
      <c r="R343" s="59" t="s">
        <v>21</v>
      </c>
      <c r="U343" s="52" t="s">
        <v>263</v>
      </c>
      <c r="X343" s="52">
        <f>SUM(X335:X342)</f>
        <v>76037.959999999992</v>
      </c>
      <c r="AE343" s="53"/>
      <c r="AF343" s="50" t="s">
        <v>263</v>
      </c>
      <c r="AH343" s="55"/>
      <c r="AI343" s="64">
        <f>SUM(AI335:AI341)</f>
        <v>72251.319999999992</v>
      </c>
    </row>
    <row r="344" spans="1:35" ht="15.75">
      <c r="A344" s="74">
        <f t="shared" si="25"/>
        <v>179</v>
      </c>
      <c r="B344" s="75" t="s">
        <v>979</v>
      </c>
      <c r="C344" s="139">
        <v>13.73</v>
      </c>
      <c r="D344" s="140" t="s">
        <v>4</v>
      </c>
      <c r="K344" s="59" t="s">
        <v>21</v>
      </c>
      <c r="O344" s="50" t="s">
        <v>155</v>
      </c>
      <c r="R344" s="64">
        <f>(R342/10)</f>
        <v>542.56819999999993</v>
      </c>
      <c r="X344" s="59" t="s">
        <v>21</v>
      </c>
      <c r="Y344" s="59"/>
      <c r="AE344" s="53"/>
      <c r="AH344" s="55"/>
      <c r="AI344" s="59" t="s">
        <v>21</v>
      </c>
    </row>
    <row r="345" spans="1:35" ht="15.75">
      <c r="A345" s="74">
        <f t="shared" si="25"/>
        <v>180</v>
      </c>
      <c r="B345" s="75" t="s">
        <v>980</v>
      </c>
      <c r="C345" s="139">
        <v>20.16</v>
      </c>
      <c r="D345" s="140" t="s">
        <v>4</v>
      </c>
      <c r="H345" s="51" t="s">
        <v>270</v>
      </c>
      <c r="K345" s="64">
        <f>(K343/10)</f>
        <v>7083.6041999999989</v>
      </c>
      <c r="R345" s="59" t="s">
        <v>156</v>
      </c>
      <c r="U345" s="52" t="s">
        <v>270</v>
      </c>
      <c r="X345" s="52">
        <f>X343/10</f>
        <v>7603.7959999999994</v>
      </c>
      <c r="AE345" s="53"/>
      <c r="AF345" s="51" t="s">
        <v>270</v>
      </c>
      <c r="AH345" s="55"/>
      <c r="AI345" s="64">
        <f>(AI343/10)</f>
        <v>7225.1319999999996</v>
      </c>
    </row>
    <row r="346" spans="1:35" ht="15.75">
      <c r="A346" s="74">
        <f t="shared" si="25"/>
        <v>181</v>
      </c>
      <c r="B346" s="75" t="s">
        <v>982</v>
      </c>
      <c r="C346" s="139">
        <v>22.73</v>
      </c>
      <c r="D346" s="140" t="s">
        <v>4</v>
      </c>
      <c r="K346" s="59" t="s">
        <v>156</v>
      </c>
      <c r="N346" s="50" t="s">
        <v>249</v>
      </c>
      <c r="O346" s="50" t="s">
        <v>998</v>
      </c>
      <c r="X346" s="104" t="s">
        <v>999</v>
      </c>
      <c r="Y346" s="104"/>
      <c r="AE346" s="53"/>
      <c r="AH346" s="55"/>
      <c r="AI346" s="59" t="s">
        <v>156</v>
      </c>
    </row>
    <row r="347" spans="1:35" ht="15.75">
      <c r="A347" s="74">
        <f t="shared" ref="A347:A410" si="28">(A346+1)</f>
        <v>182</v>
      </c>
      <c r="B347" s="75" t="s">
        <v>983</v>
      </c>
      <c r="C347" s="139">
        <v>46.98</v>
      </c>
      <c r="D347" s="140" t="s">
        <v>150</v>
      </c>
      <c r="H347" s="50" t="s">
        <v>271</v>
      </c>
      <c r="K347" s="63">
        <f>(K345+C19)</f>
        <v>7166.484199999999</v>
      </c>
      <c r="L347" s="52">
        <f>K347-K345</f>
        <v>82.880000000000109</v>
      </c>
      <c r="O347" s="59" t="s">
        <v>21</v>
      </c>
      <c r="U347" s="65" t="s">
        <v>271</v>
      </c>
      <c r="X347" s="65">
        <f>X345+C19</f>
        <v>7686.6759999999995</v>
      </c>
      <c r="Y347" s="65"/>
      <c r="AE347" s="53"/>
      <c r="AF347" s="50" t="s">
        <v>271</v>
      </c>
      <c r="AH347" s="55"/>
      <c r="AI347" s="63">
        <f>(AI345+C19)</f>
        <v>7308.0119999999997</v>
      </c>
    </row>
    <row r="348" spans="1:35" ht="15.75">
      <c r="A348" s="74">
        <f t="shared" si="28"/>
        <v>183</v>
      </c>
      <c r="B348" s="75" t="s">
        <v>1000</v>
      </c>
      <c r="C348" s="142"/>
      <c r="D348" s="142"/>
      <c r="H348" s="50" t="s">
        <v>272</v>
      </c>
      <c r="K348" s="63">
        <f>(K347+C20)</f>
        <v>7333.5041999999994</v>
      </c>
      <c r="L348" s="52">
        <f>K348-K347</f>
        <v>167.02000000000044</v>
      </c>
      <c r="M348" s="64">
        <v>0.22</v>
      </c>
      <c r="N348" s="50" t="s">
        <v>151</v>
      </c>
      <c r="O348" s="50" t="s">
        <v>257</v>
      </c>
      <c r="P348" s="64">
        <f>(K32)</f>
        <v>5022.7</v>
      </c>
      <c r="Q348" s="50" t="s">
        <v>151</v>
      </c>
      <c r="R348" s="64">
        <f>(M348*P348)</f>
        <v>1104.9939999999999</v>
      </c>
      <c r="U348" s="65" t="s">
        <v>272</v>
      </c>
      <c r="X348" s="65">
        <f>X347+C20</f>
        <v>7853.6959999999999</v>
      </c>
      <c r="Y348" s="65"/>
      <c r="AE348" s="53"/>
      <c r="AF348" s="50" t="s">
        <v>272</v>
      </c>
      <c r="AH348" s="55"/>
      <c r="AI348" s="63">
        <f>(AI347+C20)</f>
        <v>7475.0319999999992</v>
      </c>
    </row>
    <row r="349" spans="1:35" ht="15.75">
      <c r="A349" s="74">
        <f t="shared" si="28"/>
        <v>184</v>
      </c>
      <c r="B349" s="75" t="s">
        <v>979</v>
      </c>
      <c r="C349" s="139">
        <v>19.3</v>
      </c>
      <c r="D349" s="140" t="s">
        <v>4</v>
      </c>
      <c r="H349" s="50" t="s">
        <v>767</v>
      </c>
      <c r="K349" s="63">
        <f>(K348+C20)</f>
        <v>7500.5241999999998</v>
      </c>
      <c r="L349" s="52">
        <f>K349-K348</f>
        <v>167.02000000000044</v>
      </c>
      <c r="M349" s="64">
        <v>2.2000000000000002</v>
      </c>
      <c r="N349" s="50" t="s">
        <v>153</v>
      </c>
      <c r="O349" s="50" t="s">
        <v>269</v>
      </c>
      <c r="P349" s="64">
        <f>(C10)</f>
        <v>1076.5999999999999</v>
      </c>
      <c r="Q349" s="50" t="s">
        <v>153</v>
      </c>
      <c r="R349" s="64">
        <f>(M349*P349)</f>
        <v>2368.52</v>
      </c>
      <c r="U349" s="65" t="s">
        <v>767</v>
      </c>
      <c r="X349" s="65">
        <f>X348+C20</f>
        <v>8020.7160000000003</v>
      </c>
      <c r="Y349" s="65"/>
      <c r="AE349" s="53"/>
      <c r="AF349" s="50" t="s">
        <v>767</v>
      </c>
      <c r="AH349" s="55"/>
      <c r="AI349" s="63">
        <f>(AI348+C20)</f>
        <v>7642.0519999999997</v>
      </c>
    </row>
    <row r="350" spans="1:35" ht="15.75">
      <c r="A350" s="74">
        <f t="shared" si="28"/>
        <v>185</v>
      </c>
      <c r="B350" s="75" t="s">
        <v>982</v>
      </c>
      <c r="C350" s="139">
        <v>33.46</v>
      </c>
      <c r="D350" s="140" t="s">
        <v>4</v>
      </c>
      <c r="H350" s="50" t="s">
        <v>769</v>
      </c>
      <c r="K350" s="63">
        <f>(K349+C21)</f>
        <v>7667.5442000000003</v>
      </c>
      <c r="M350" s="64">
        <v>0.5</v>
      </c>
      <c r="N350" s="50" t="s">
        <v>153</v>
      </c>
      <c r="O350" s="50" t="s">
        <v>235</v>
      </c>
      <c r="P350" s="64">
        <f>(C12)</f>
        <v>702.8</v>
      </c>
      <c r="Q350" s="50" t="s">
        <v>153</v>
      </c>
      <c r="R350" s="64">
        <f>(M350*P350)</f>
        <v>351.4</v>
      </c>
      <c r="U350" s="65" t="s">
        <v>769</v>
      </c>
      <c r="X350" s="65">
        <f>X349+C20</f>
        <v>8187.7360000000008</v>
      </c>
      <c r="Y350" s="65"/>
      <c r="AE350" s="53"/>
      <c r="AF350" s="50" t="s">
        <v>769</v>
      </c>
      <c r="AH350" s="55"/>
      <c r="AI350" s="63">
        <f>(AI349+C20)</f>
        <v>7809.0720000000001</v>
      </c>
    </row>
    <row r="351" spans="1:35" ht="15.75">
      <c r="A351" s="74">
        <f t="shared" si="28"/>
        <v>186</v>
      </c>
      <c r="B351" s="75" t="s">
        <v>983</v>
      </c>
      <c r="C351" s="139">
        <v>53.62</v>
      </c>
      <c r="D351" s="140" t="s">
        <v>4</v>
      </c>
      <c r="F351" s="50" t="s">
        <v>150</v>
      </c>
      <c r="H351" s="50" t="s">
        <v>773</v>
      </c>
      <c r="K351" s="63">
        <f>(K350+C21)</f>
        <v>7834.5642000000007</v>
      </c>
      <c r="L351" s="52">
        <f>K351-K350</f>
        <v>167.02000000000044</v>
      </c>
      <c r="M351" s="64">
        <v>3.2</v>
      </c>
      <c r="N351" s="50" t="s">
        <v>153</v>
      </c>
      <c r="O351" s="50" t="s">
        <v>236</v>
      </c>
      <c r="P351" s="64">
        <f>(C13)</f>
        <v>576.79999999999995</v>
      </c>
      <c r="Q351" s="50" t="s">
        <v>153</v>
      </c>
      <c r="R351" s="64">
        <f>(M351*P351)</f>
        <v>1845.76</v>
      </c>
      <c r="S351" s="56" t="s">
        <v>150</v>
      </c>
      <c r="U351" s="65" t="s">
        <v>773</v>
      </c>
      <c r="X351" s="65">
        <f>X350+C20</f>
        <v>8354.7560000000012</v>
      </c>
      <c r="Y351" s="65"/>
      <c r="AD351" s="50" t="s">
        <v>150</v>
      </c>
      <c r="AE351" s="53"/>
      <c r="AF351" s="50" t="s">
        <v>773</v>
      </c>
      <c r="AH351" s="55"/>
      <c r="AI351" s="63">
        <f>(AI350+C20)</f>
        <v>7976.0920000000006</v>
      </c>
    </row>
    <row r="352" spans="1:35" ht="15.75">
      <c r="A352" s="74">
        <f t="shared" si="28"/>
        <v>187</v>
      </c>
      <c r="B352" s="75" t="s">
        <v>1001</v>
      </c>
      <c r="C352" s="142"/>
      <c r="D352" s="142"/>
      <c r="F352" s="88">
        <v>27</v>
      </c>
      <c r="G352" s="62" t="s">
        <v>249</v>
      </c>
      <c r="H352" s="50" t="s">
        <v>1002</v>
      </c>
      <c r="L352" s="52">
        <f>K351+L351</f>
        <v>8001.5842000000011</v>
      </c>
      <c r="N352" s="50" t="s">
        <v>226</v>
      </c>
      <c r="O352" s="50" t="s">
        <v>237</v>
      </c>
      <c r="P352" s="50" t="s">
        <v>150</v>
      </c>
      <c r="Q352" s="50" t="s">
        <v>226</v>
      </c>
      <c r="R352" s="64">
        <v>0</v>
      </c>
      <c r="S352" s="56">
        <v>27</v>
      </c>
      <c r="T352" s="52" t="s">
        <v>249</v>
      </c>
      <c r="U352" s="52" t="s">
        <v>1003</v>
      </c>
      <c r="AD352" s="50"/>
      <c r="AE352" s="53"/>
      <c r="AF352" s="50">
        <v>5</v>
      </c>
      <c r="AH352" s="55"/>
      <c r="AI352" s="63">
        <f>(AI351+C20)</f>
        <v>8143.112000000001</v>
      </c>
    </row>
    <row r="353" spans="1:36" ht="15.75">
      <c r="A353" s="74">
        <f t="shared" si="28"/>
        <v>188</v>
      </c>
      <c r="B353" s="75" t="s">
        <v>979</v>
      </c>
      <c r="C353" s="139">
        <v>13.73</v>
      </c>
      <c r="D353" s="140" t="s">
        <v>4</v>
      </c>
      <c r="H353" s="50" t="str">
        <f>H333</f>
        <v>Bricks of size 22x11x7 cm</v>
      </c>
      <c r="L353" s="52">
        <f>L352+L351</f>
        <v>8168.6042000000016</v>
      </c>
      <c r="R353" s="59" t="s">
        <v>21</v>
      </c>
      <c r="U353" s="52" t="s">
        <v>978</v>
      </c>
      <c r="AD353" s="50"/>
      <c r="AE353" s="53"/>
      <c r="AF353" s="50">
        <v>6</v>
      </c>
      <c r="AH353" s="55"/>
      <c r="AI353" s="63">
        <f>(AI352+C20)</f>
        <v>8310.1320000000014</v>
      </c>
    </row>
    <row r="354" spans="1:36" ht="15.75">
      <c r="A354" s="74">
        <f t="shared" si="28"/>
        <v>189</v>
      </c>
      <c r="B354" s="75" t="s">
        <v>980</v>
      </c>
      <c r="C354" s="139">
        <v>20.16</v>
      </c>
      <c r="D354" s="140" t="s">
        <v>4</v>
      </c>
      <c r="H354" s="59" t="s">
        <v>21</v>
      </c>
      <c r="O354" s="50" t="s">
        <v>238</v>
      </c>
      <c r="R354" s="64">
        <f>SUM(R348:R352)</f>
        <v>5670.674</v>
      </c>
      <c r="U354" s="52" t="s">
        <v>21</v>
      </c>
      <c r="AD354" s="50"/>
      <c r="AE354" s="53"/>
      <c r="AF354" s="50">
        <v>7</v>
      </c>
      <c r="AH354" s="55"/>
      <c r="AI354" s="63">
        <f>(AI353+C20)</f>
        <v>8477.1520000000019</v>
      </c>
    </row>
    <row r="355" spans="1:36" ht="15.75">
      <c r="A355" s="74">
        <f t="shared" si="28"/>
        <v>190</v>
      </c>
      <c r="B355" s="75" t="s">
        <v>982</v>
      </c>
      <c r="C355" s="139">
        <v>22.73</v>
      </c>
      <c r="D355" s="140" t="s">
        <v>4</v>
      </c>
      <c r="F355" s="64">
        <v>4800</v>
      </c>
      <c r="G355" s="62" t="s">
        <v>267</v>
      </c>
      <c r="H355" s="64" t="str">
        <f>H309</f>
        <v>Bricks of size 22x11x7 cm</v>
      </c>
      <c r="I355" s="64">
        <f>C80</f>
        <v>6274.59</v>
      </c>
      <c r="J355" s="50" t="s">
        <v>268</v>
      </c>
      <c r="K355" s="64">
        <f>(F355*I355)/1000</f>
        <v>30118.031999999999</v>
      </c>
      <c r="R355" s="59" t="s">
        <v>21</v>
      </c>
      <c r="S355" s="56">
        <v>4600</v>
      </c>
      <c r="T355" s="52" t="s">
        <v>267</v>
      </c>
      <c r="U355" s="52" t="s">
        <v>978</v>
      </c>
      <c r="V355" s="52">
        <f>AE41</f>
        <v>7678.25</v>
      </c>
      <c r="W355" s="52" t="s">
        <v>268</v>
      </c>
      <c r="X355" s="52">
        <f>V355*S355/1000</f>
        <v>35319.949999999997</v>
      </c>
      <c r="AD355" s="50"/>
      <c r="AE355" s="53"/>
      <c r="AF355" s="50">
        <v>8</v>
      </c>
      <c r="AH355" s="55"/>
      <c r="AI355" s="63">
        <f>(AI354+C20)</f>
        <v>8644.1720000000023</v>
      </c>
    </row>
    <row r="356" spans="1:36" ht="15.75">
      <c r="A356" s="74">
        <f t="shared" si="28"/>
        <v>191</v>
      </c>
      <c r="B356" s="75" t="s">
        <v>983</v>
      </c>
      <c r="C356" s="139">
        <v>46.98</v>
      </c>
      <c r="D356" s="140" t="s">
        <v>4</v>
      </c>
      <c r="F356" s="64">
        <v>2.5</v>
      </c>
      <c r="G356" s="62" t="s">
        <v>151</v>
      </c>
      <c r="H356" s="50" t="s">
        <v>258</v>
      </c>
      <c r="I356" s="64">
        <f>K40</f>
        <v>4326.7</v>
      </c>
      <c r="J356" s="50" t="s">
        <v>151</v>
      </c>
      <c r="K356" s="64">
        <f>(F356*I356)</f>
        <v>10816.75</v>
      </c>
      <c r="O356" s="50" t="s">
        <v>155</v>
      </c>
      <c r="R356" s="64">
        <f>(R354/10)</f>
        <v>567.06740000000002</v>
      </c>
      <c r="S356" s="56">
        <v>2.5</v>
      </c>
      <c r="T356" s="52" t="s">
        <v>151</v>
      </c>
      <c r="U356" s="52" t="s">
        <v>258</v>
      </c>
      <c r="V356" s="52">
        <f>I356</f>
        <v>4326.7</v>
      </c>
      <c r="W356" s="52" t="s">
        <v>151</v>
      </c>
      <c r="X356" s="52">
        <f>V356*S356</f>
        <v>10816.75</v>
      </c>
      <c r="AD356" s="50"/>
      <c r="AE356" s="53"/>
      <c r="AF356" s="50">
        <v>9</v>
      </c>
      <c r="AH356" s="55"/>
      <c r="AI356" s="63">
        <f>(AI355+C20)</f>
        <v>8811.1920000000027</v>
      </c>
    </row>
    <row r="357" spans="1:36" ht="15.75">
      <c r="A357" s="74">
        <f t="shared" si="28"/>
        <v>192</v>
      </c>
      <c r="B357" s="75" t="s">
        <v>1004</v>
      </c>
      <c r="C357" s="142"/>
      <c r="D357" s="142"/>
      <c r="F357" s="64">
        <v>3.5</v>
      </c>
      <c r="G357" s="62" t="s">
        <v>153</v>
      </c>
      <c r="H357" s="50" t="s">
        <v>269</v>
      </c>
      <c r="I357" s="64">
        <f>(C10)</f>
        <v>1076.5999999999999</v>
      </c>
      <c r="J357" s="50" t="s">
        <v>153</v>
      </c>
      <c r="K357" s="64">
        <f>(F357*I357)</f>
        <v>3768.0999999999995</v>
      </c>
      <c r="R357" s="59" t="s">
        <v>156</v>
      </c>
      <c r="S357" s="56">
        <v>3.5</v>
      </c>
      <c r="T357" s="52" t="s">
        <v>153</v>
      </c>
      <c r="U357" s="52" t="s">
        <v>269</v>
      </c>
      <c r="V357" s="52">
        <f>I357</f>
        <v>1076.5999999999999</v>
      </c>
      <c r="W357" s="52" t="s">
        <v>153</v>
      </c>
      <c r="X357" s="52">
        <f>V357*S357</f>
        <v>3768.0999999999995</v>
      </c>
      <c r="AD357" s="50"/>
      <c r="AE357" s="53"/>
      <c r="AF357" s="50">
        <v>10</v>
      </c>
      <c r="AH357" s="55"/>
      <c r="AI357" s="63">
        <f>(AI356+C20)</f>
        <v>8978.2120000000032</v>
      </c>
    </row>
    <row r="358" spans="1:36" ht="15.75">
      <c r="A358" s="74">
        <f t="shared" si="28"/>
        <v>193</v>
      </c>
      <c r="B358" s="75" t="s">
        <v>979</v>
      </c>
      <c r="C358" s="139">
        <v>19.3</v>
      </c>
      <c r="D358" s="140" t="s">
        <v>4</v>
      </c>
      <c r="F358" s="64">
        <v>10.6</v>
      </c>
      <c r="G358" s="62" t="s">
        <v>153</v>
      </c>
      <c r="H358" s="50" t="s">
        <v>234</v>
      </c>
      <c r="I358" s="64">
        <f>(C11)</f>
        <v>1005.1999999999999</v>
      </c>
      <c r="J358" s="50" t="s">
        <v>153</v>
      </c>
      <c r="K358" s="64">
        <f>(F358*I358)</f>
        <v>10655.119999999999</v>
      </c>
      <c r="N358" s="50" t="s">
        <v>249</v>
      </c>
      <c r="O358" s="50" t="s">
        <v>1005</v>
      </c>
      <c r="S358" s="56">
        <v>10.6</v>
      </c>
      <c r="T358" s="52" t="s">
        <v>153</v>
      </c>
      <c r="U358" s="52" t="s">
        <v>234</v>
      </c>
      <c r="V358" s="52">
        <f>I358</f>
        <v>1005.1999999999999</v>
      </c>
      <c r="W358" s="52" t="s">
        <v>153</v>
      </c>
      <c r="X358" s="52">
        <f>V358*S358</f>
        <v>10655.119999999999</v>
      </c>
      <c r="AD358" s="50"/>
      <c r="AE358" s="53"/>
      <c r="AF358" s="50">
        <v>11</v>
      </c>
      <c r="AH358" s="55"/>
      <c r="AI358" s="63">
        <f>(AI357+C20)</f>
        <v>9145.2320000000036</v>
      </c>
    </row>
    <row r="359" spans="1:36" ht="15.75">
      <c r="A359" s="74">
        <f t="shared" si="28"/>
        <v>194</v>
      </c>
      <c r="B359" s="75" t="s">
        <v>980</v>
      </c>
      <c r="C359" s="139">
        <v>25.74</v>
      </c>
      <c r="D359" s="140" t="s">
        <v>4</v>
      </c>
      <c r="F359" s="64">
        <v>7.1</v>
      </c>
      <c r="G359" s="62" t="s">
        <v>153</v>
      </c>
      <c r="H359" s="50" t="s">
        <v>235</v>
      </c>
      <c r="I359" s="64">
        <f>(C12)</f>
        <v>702.8</v>
      </c>
      <c r="J359" s="50" t="s">
        <v>153</v>
      </c>
      <c r="K359" s="64">
        <f>(F359*I359)</f>
        <v>4989.8799999999992</v>
      </c>
      <c r="O359" s="50" t="s">
        <v>1006</v>
      </c>
      <c r="S359" s="56">
        <v>7.1</v>
      </c>
      <c r="T359" s="52" t="s">
        <v>153</v>
      </c>
      <c r="U359" s="52" t="s">
        <v>235</v>
      </c>
      <c r="V359" s="52">
        <f>I359</f>
        <v>702.8</v>
      </c>
      <c r="W359" s="52" t="s">
        <v>153</v>
      </c>
      <c r="X359" s="52">
        <f>V359*S359</f>
        <v>4989.8799999999992</v>
      </c>
      <c r="AD359" s="50"/>
      <c r="AE359" s="53"/>
      <c r="AF359" s="50">
        <v>12</v>
      </c>
      <c r="AH359" s="55"/>
      <c r="AI359" s="63">
        <f>(AI358+C20)</f>
        <v>9312.252000000004</v>
      </c>
    </row>
    <row r="360" spans="1:36" ht="15.75">
      <c r="A360" s="74">
        <f t="shared" si="28"/>
        <v>195</v>
      </c>
      <c r="B360" s="75" t="s">
        <v>982</v>
      </c>
      <c r="C360" s="139">
        <v>33.46</v>
      </c>
      <c r="D360" s="140" t="s">
        <v>4</v>
      </c>
      <c r="F360" s="64">
        <v>21.2</v>
      </c>
      <c r="G360" s="62" t="s">
        <v>153</v>
      </c>
      <c r="H360" s="50" t="s">
        <v>236</v>
      </c>
      <c r="I360" s="64">
        <f>(C13)</f>
        <v>576.79999999999995</v>
      </c>
      <c r="J360" s="50" t="s">
        <v>153</v>
      </c>
      <c r="K360" s="64">
        <f>(F360*I360)</f>
        <v>12228.159999999998</v>
      </c>
      <c r="O360" s="50" t="s">
        <v>1007</v>
      </c>
      <c r="S360" s="56">
        <v>21.2</v>
      </c>
      <c r="T360" s="52" t="s">
        <v>153</v>
      </c>
      <c r="U360" s="52" t="s">
        <v>236</v>
      </c>
      <c r="V360" s="52">
        <f>I360</f>
        <v>576.79999999999995</v>
      </c>
      <c r="W360" s="52" t="s">
        <v>153</v>
      </c>
      <c r="X360" s="52">
        <f>V360*S360</f>
        <v>12228.159999999998</v>
      </c>
      <c r="AD360" s="50"/>
      <c r="AE360" s="53"/>
      <c r="AF360" s="50">
        <v>13</v>
      </c>
      <c r="AH360" s="55"/>
      <c r="AI360" s="63">
        <f>(AI359+C20)</f>
        <v>9479.2720000000045</v>
      </c>
    </row>
    <row r="361" spans="1:36" ht="15.75">
      <c r="A361" s="74">
        <f t="shared" si="28"/>
        <v>196</v>
      </c>
      <c r="B361" s="75" t="s">
        <v>983</v>
      </c>
      <c r="C361" s="139">
        <v>53.62</v>
      </c>
      <c r="D361" s="140" t="s">
        <v>150</v>
      </c>
      <c r="G361" s="62" t="s">
        <v>226</v>
      </c>
      <c r="H361" s="50" t="s">
        <v>237</v>
      </c>
      <c r="J361" s="50" t="s">
        <v>226</v>
      </c>
      <c r="K361" s="64">
        <v>0</v>
      </c>
      <c r="O361" s="59" t="s">
        <v>21</v>
      </c>
      <c r="T361" s="52" t="s">
        <v>226</v>
      </c>
      <c r="U361" s="52" t="s">
        <v>237</v>
      </c>
      <c r="W361" s="52" t="s">
        <v>226</v>
      </c>
      <c r="X361" s="52">
        <v>0</v>
      </c>
      <c r="AD361" s="88">
        <v>27</v>
      </c>
      <c r="AE361" s="62" t="s">
        <v>249</v>
      </c>
      <c r="AF361" s="50" t="s">
        <v>1008</v>
      </c>
      <c r="AH361" s="55"/>
    </row>
    <row r="362" spans="1:36" ht="15.75">
      <c r="A362" s="74">
        <f t="shared" si="28"/>
        <v>197</v>
      </c>
      <c r="B362" s="75" t="s">
        <v>1009</v>
      </c>
      <c r="C362" s="142"/>
      <c r="D362" s="142"/>
      <c r="K362" s="59" t="s">
        <v>21</v>
      </c>
      <c r="M362" s="64">
        <v>0.22</v>
      </c>
      <c r="N362" s="50" t="s">
        <v>151</v>
      </c>
      <c r="O362" s="50" t="s">
        <v>258</v>
      </c>
      <c r="P362" s="64">
        <f>(K40)</f>
        <v>4326.7</v>
      </c>
      <c r="Q362" s="50" t="s">
        <v>151</v>
      </c>
      <c r="R362" s="64">
        <f t="shared" ref="R362:R367" si="29">(M362*P362)</f>
        <v>951.87399999999991</v>
      </c>
      <c r="X362" s="59" t="s">
        <v>21</v>
      </c>
      <c r="Y362" s="59"/>
      <c r="AE362" s="53"/>
      <c r="AF362" s="50" t="str">
        <f>AF333</f>
        <v>Bricks of size 23x11.4x7.5 cm</v>
      </c>
      <c r="AH362" s="55"/>
    </row>
    <row r="363" spans="1:36" ht="15.75">
      <c r="A363" s="74">
        <f t="shared" si="28"/>
        <v>198</v>
      </c>
      <c r="B363" s="75" t="s">
        <v>979</v>
      </c>
      <c r="C363" s="139">
        <v>26.16</v>
      </c>
      <c r="D363" s="140" t="s">
        <v>4</v>
      </c>
      <c r="H363" s="50" t="s">
        <v>263</v>
      </c>
      <c r="K363" s="64">
        <f>SUM(K355:K361)</f>
        <v>72576.041999999987</v>
      </c>
      <c r="M363" s="64">
        <v>2.2000000000000002</v>
      </c>
      <c r="N363" s="50" t="s">
        <v>153</v>
      </c>
      <c r="O363" s="50" t="s">
        <v>269</v>
      </c>
      <c r="P363" s="64">
        <f>(C10)</f>
        <v>1076.5999999999999</v>
      </c>
      <c r="Q363" s="50" t="s">
        <v>153</v>
      </c>
      <c r="R363" s="64">
        <f t="shared" si="29"/>
        <v>2368.52</v>
      </c>
      <c r="U363" s="52" t="s">
        <v>263</v>
      </c>
      <c r="X363" s="52">
        <f>SUM(X355:X361)</f>
        <v>77777.960000000006</v>
      </c>
      <c r="AE363" s="53"/>
      <c r="AF363" s="59" t="s">
        <v>21</v>
      </c>
      <c r="AH363" s="55"/>
    </row>
    <row r="364" spans="1:36" ht="15.75">
      <c r="A364" s="74">
        <f t="shared" si="28"/>
        <v>199</v>
      </c>
      <c r="B364" s="75" t="s">
        <v>980</v>
      </c>
      <c r="C364" s="139">
        <v>34.32</v>
      </c>
      <c r="D364" s="140" t="s">
        <v>4</v>
      </c>
      <c r="K364" s="59" t="s">
        <v>21</v>
      </c>
      <c r="M364" s="64">
        <v>0.5</v>
      </c>
      <c r="N364" s="50" t="s">
        <v>153</v>
      </c>
      <c r="O364" s="50" t="s">
        <v>235</v>
      </c>
      <c r="P364" s="64">
        <f>(C12)</f>
        <v>702.8</v>
      </c>
      <c r="Q364" s="50" t="s">
        <v>153</v>
      </c>
      <c r="R364" s="64">
        <f t="shared" si="29"/>
        <v>351.4</v>
      </c>
      <c r="X364" s="59" t="s">
        <v>21</v>
      </c>
      <c r="Y364" s="59"/>
      <c r="AD364" s="64">
        <v>4240</v>
      </c>
      <c r="AE364" s="62" t="s">
        <v>267</v>
      </c>
      <c r="AF364" s="64" t="str">
        <f>AF309</f>
        <v>Bricks of size 23x11.4x7.5 cm</v>
      </c>
      <c r="AG364" s="64">
        <f>AE42</f>
        <v>7865.25</v>
      </c>
      <c r="AH364" s="50" t="s">
        <v>268</v>
      </c>
      <c r="AI364" s="64">
        <f>(AD364*AG364)/1000</f>
        <v>33348.660000000003</v>
      </c>
    </row>
    <row r="365" spans="1:36" ht="15.75">
      <c r="A365" s="74">
        <f t="shared" si="28"/>
        <v>200</v>
      </c>
      <c r="B365" s="75" t="s">
        <v>982</v>
      </c>
      <c r="C365" s="139">
        <v>40.33</v>
      </c>
      <c r="D365" s="140" t="s">
        <v>4</v>
      </c>
      <c r="H365" s="50" t="s">
        <v>270</v>
      </c>
      <c r="K365" s="64">
        <f>(K363/10)</f>
        <v>7257.6041999999989</v>
      </c>
      <c r="M365" s="64">
        <v>1.1000000000000001</v>
      </c>
      <c r="N365" s="50" t="s">
        <v>1010</v>
      </c>
      <c r="O365" s="50" t="s">
        <v>1011</v>
      </c>
      <c r="P365" s="64">
        <f>(C10)</f>
        <v>1076.5999999999999</v>
      </c>
      <c r="Q365" s="50" t="s">
        <v>153</v>
      </c>
      <c r="R365" s="64">
        <f t="shared" si="29"/>
        <v>1184.26</v>
      </c>
      <c r="U365" s="52" t="s">
        <v>270</v>
      </c>
      <c r="X365" s="52">
        <f>X363/10</f>
        <v>7777.7960000000003</v>
      </c>
      <c r="AD365" s="64">
        <v>2</v>
      </c>
      <c r="AE365" s="62" t="s">
        <v>151</v>
      </c>
      <c r="AF365" s="50" t="s">
        <v>258</v>
      </c>
      <c r="AG365" s="64">
        <f>V356</f>
        <v>4326.7</v>
      </c>
      <c r="AH365" s="50" t="s">
        <v>151</v>
      </c>
      <c r="AI365" s="64">
        <f>(AD365*AG365)</f>
        <v>8653.4</v>
      </c>
    </row>
    <row r="366" spans="1:36" ht="15.75">
      <c r="A366" s="74">
        <f t="shared" si="28"/>
        <v>201</v>
      </c>
      <c r="B366" s="75" t="s">
        <v>1012</v>
      </c>
      <c r="C366" s="142"/>
      <c r="D366" s="140" t="s">
        <v>150</v>
      </c>
      <c r="K366" s="59" t="s">
        <v>156</v>
      </c>
      <c r="M366" s="64">
        <v>3.2</v>
      </c>
      <c r="N366" s="50" t="s">
        <v>153</v>
      </c>
      <c r="O366" s="50" t="s">
        <v>236</v>
      </c>
      <c r="P366" s="64">
        <f>(C13)</f>
        <v>576.79999999999995</v>
      </c>
      <c r="Q366" s="50" t="s">
        <v>153</v>
      </c>
      <c r="R366" s="64">
        <f t="shared" si="29"/>
        <v>1845.76</v>
      </c>
      <c r="X366" s="104" t="s">
        <v>999</v>
      </c>
      <c r="Y366" s="104"/>
      <c r="AD366" s="64">
        <v>3.5</v>
      </c>
      <c r="AE366" s="62" t="s">
        <v>153</v>
      </c>
      <c r="AF366" s="50" t="s">
        <v>269</v>
      </c>
      <c r="AG366" s="64">
        <f>V357</f>
        <v>1076.5999999999999</v>
      </c>
      <c r="AH366" s="50" t="s">
        <v>153</v>
      </c>
      <c r="AI366" s="64">
        <f>(AD366*AG366)</f>
        <v>3768.0999999999995</v>
      </c>
    </row>
    <row r="367" spans="1:36" ht="15.75">
      <c r="A367" s="74">
        <f t="shared" si="28"/>
        <v>202</v>
      </c>
      <c r="B367" s="75" t="s">
        <v>979</v>
      </c>
      <c r="C367" s="139">
        <v>20.329999999999998</v>
      </c>
      <c r="D367" s="140" t="s">
        <v>4</v>
      </c>
      <c r="H367" s="50" t="s">
        <v>271</v>
      </c>
      <c r="J367" s="55">
        <f>K367-K365</f>
        <v>82.880000000000109</v>
      </c>
      <c r="K367" s="64">
        <f>(K365+C19)</f>
        <v>7340.484199999999</v>
      </c>
      <c r="M367" s="64">
        <v>9.8000000000000007</v>
      </c>
      <c r="N367" s="50" t="s">
        <v>13</v>
      </c>
      <c r="O367" s="50" t="s">
        <v>1013</v>
      </c>
      <c r="P367" s="64">
        <f>(C148)</f>
        <v>142.4</v>
      </c>
      <c r="Q367" s="50" t="s">
        <v>13</v>
      </c>
      <c r="R367" s="64">
        <f t="shared" si="29"/>
        <v>1395.5200000000002</v>
      </c>
      <c r="U367" s="52" t="s">
        <v>271</v>
      </c>
      <c r="X367" s="52">
        <f>X365+C19</f>
        <v>7860.6760000000004</v>
      </c>
      <c r="Z367" s="52">
        <f>X365+X367+X368+X369+X370+X371</f>
        <v>48751.376000000004</v>
      </c>
      <c r="AA367" s="52">
        <f>Z367/6</f>
        <v>8125.2293333333337</v>
      </c>
      <c r="AD367" s="64">
        <v>10.6</v>
      </c>
      <c r="AE367" s="62" t="s">
        <v>153</v>
      </c>
      <c r="AF367" s="50" t="s">
        <v>234</v>
      </c>
      <c r="AG367" s="64">
        <f>V358</f>
        <v>1005.1999999999999</v>
      </c>
      <c r="AH367" s="50" t="s">
        <v>153</v>
      </c>
      <c r="AI367" s="64">
        <f>(AD367*AG367)</f>
        <v>10655.119999999999</v>
      </c>
    </row>
    <row r="368" spans="1:36" ht="15.75">
      <c r="A368" s="74">
        <f t="shared" si="28"/>
        <v>203</v>
      </c>
      <c r="B368" s="75" t="s">
        <v>980</v>
      </c>
      <c r="C368" s="139">
        <v>26.6</v>
      </c>
      <c r="D368" s="140" t="s">
        <v>4</v>
      </c>
      <c r="H368" s="50" t="s">
        <v>272</v>
      </c>
      <c r="J368" s="55">
        <f>K368-K367</f>
        <v>167.02000000000044</v>
      </c>
      <c r="K368" s="64">
        <f>(K367+C20)</f>
        <v>7507.5041999999994</v>
      </c>
      <c r="L368" s="52">
        <f>(K367+K368)/2</f>
        <v>7423.9941999999992</v>
      </c>
      <c r="N368" s="50" t="s">
        <v>226</v>
      </c>
      <c r="O368" s="50" t="s">
        <v>237</v>
      </c>
      <c r="P368" s="50" t="s">
        <v>150</v>
      </c>
      <c r="Q368" s="50" t="s">
        <v>226</v>
      </c>
      <c r="R368" s="64">
        <v>0</v>
      </c>
      <c r="U368" s="52" t="s">
        <v>272</v>
      </c>
      <c r="X368" s="52">
        <f>X367+C20</f>
        <v>8027.6959999999999</v>
      </c>
      <c r="Z368" s="52">
        <f>SUM(X367:X368)/2</f>
        <v>7944.1859999999997</v>
      </c>
      <c r="AD368" s="64">
        <v>7.1</v>
      </c>
      <c r="AE368" s="62" t="s">
        <v>153</v>
      </c>
      <c r="AF368" s="50" t="s">
        <v>235</v>
      </c>
      <c r="AG368" s="64">
        <f>V359</f>
        <v>702.8</v>
      </c>
      <c r="AH368" s="50" t="s">
        <v>153</v>
      </c>
      <c r="AI368" s="64">
        <f>(AD368*AG368)</f>
        <v>4989.8799999999992</v>
      </c>
      <c r="AJ368" s="52">
        <f>(AI377+AI376)/2</f>
        <v>7530.7219999999998</v>
      </c>
    </row>
    <row r="369" spans="1:36" ht="15.75">
      <c r="A369" s="74">
        <f t="shared" si="28"/>
        <v>204</v>
      </c>
      <c r="B369" s="75" t="s">
        <v>982</v>
      </c>
      <c r="C369" s="139">
        <v>33.89</v>
      </c>
      <c r="D369" s="140" t="s">
        <v>4</v>
      </c>
      <c r="H369" s="50" t="s">
        <v>767</v>
      </c>
      <c r="J369" s="55">
        <f>K369-K368</f>
        <v>167.02000000000044</v>
      </c>
      <c r="K369" s="64">
        <f>(K368+C21)</f>
        <v>7674.5241999999998</v>
      </c>
      <c r="L369" s="52">
        <f>SUM(K367:K369)/3</f>
        <v>7507.5041999999994</v>
      </c>
      <c r="R369" s="59" t="s">
        <v>21</v>
      </c>
      <c r="U369" s="52" t="s">
        <v>767</v>
      </c>
      <c r="X369" s="52">
        <f>X368+C20</f>
        <v>8194.7160000000003</v>
      </c>
      <c r="Z369" s="52">
        <f>SUM(X367:X369)/3</f>
        <v>8027.6959999999999</v>
      </c>
      <c r="AD369" s="64">
        <v>21.2</v>
      </c>
      <c r="AE369" s="62" t="s">
        <v>153</v>
      </c>
      <c r="AF369" s="50" t="s">
        <v>236</v>
      </c>
      <c r="AG369" s="64">
        <f>V360</f>
        <v>576.79999999999995</v>
      </c>
      <c r="AH369" s="50" t="s">
        <v>153</v>
      </c>
      <c r="AI369" s="64">
        <f>(AD369*AG369)</f>
        <v>12228.159999999998</v>
      </c>
      <c r="AJ369" s="52">
        <f>SUM(AI376:AI378)/3</f>
        <v>7614.232</v>
      </c>
    </row>
    <row r="370" spans="1:36" ht="15.75">
      <c r="A370" s="74">
        <f t="shared" si="28"/>
        <v>205</v>
      </c>
      <c r="B370" s="75" t="s">
        <v>1014</v>
      </c>
      <c r="C370" s="142"/>
      <c r="D370" s="142"/>
      <c r="H370" s="50" t="s">
        <v>769</v>
      </c>
      <c r="J370" s="55">
        <f>K370-K369</f>
        <v>167.02000000000044</v>
      </c>
      <c r="K370" s="64">
        <f>K369+C21</f>
        <v>7841.5442000000003</v>
      </c>
      <c r="O370" s="50" t="s">
        <v>238</v>
      </c>
      <c r="R370" s="64">
        <f>SUM(R362:R368)</f>
        <v>8097.3340000000007</v>
      </c>
      <c r="U370" s="52" t="s">
        <v>769</v>
      </c>
      <c r="X370" s="52">
        <f>X369+C20</f>
        <v>8361.7360000000008</v>
      </c>
      <c r="AE370" s="62" t="s">
        <v>226</v>
      </c>
      <c r="AF370" s="50" t="s">
        <v>237</v>
      </c>
      <c r="AH370" s="50" t="s">
        <v>226</v>
      </c>
      <c r="AI370" s="64">
        <v>0</v>
      </c>
    </row>
    <row r="371" spans="1:36" ht="15.75">
      <c r="A371" s="74">
        <f t="shared" si="28"/>
        <v>206</v>
      </c>
      <c r="B371" s="75" t="s">
        <v>979</v>
      </c>
      <c r="C371" s="139">
        <v>13.29</v>
      </c>
      <c r="D371" s="140" t="s">
        <v>4</v>
      </c>
      <c r="H371" s="50" t="s">
        <v>773</v>
      </c>
      <c r="J371" s="55">
        <f>K371-K370</f>
        <v>167.02000000000044</v>
      </c>
      <c r="K371" s="64">
        <f>K370+C21</f>
        <v>8008.5642000000007</v>
      </c>
      <c r="R371" s="59" t="s">
        <v>21</v>
      </c>
      <c r="U371" s="52" t="s">
        <v>773</v>
      </c>
      <c r="X371" s="52">
        <f>X370+C20</f>
        <v>8528.7560000000012</v>
      </c>
      <c r="AE371" s="53"/>
      <c r="AH371" s="55"/>
      <c r="AI371" s="59" t="s">
        <v>21</v>
      </c>
    </row>
    <row r="372" spans="1:36" ht="15.75">
      <c r="A372" s="74">
        <f t="shared" si="28"/>
        <v>207</v>
      </c>
      <c r="B372" s="75" t="s">
        <v>980</v>
      </c>
      <c r="C372" s="139">
        <v>18.02</v>
      </c>
      <c r="D372" s="140" t="s">
        <v>4</v>
      </c>
      <c r="H372" s="50" t="s">
        <v>803</v>
      </c>
      <c r="J372" s="55">
        <f>SUM(K367+K368+K369)/3</f>
        <v>7507.5041999999994</v>
      </c>
      <c r="K372" s="64">
        <f>(K367+K368+K369+K370)/4</f>
        <v>7591.0141999999996</v>
      </c>
      <c r="O372" s="50" t="s">
        <v>155</v>
      </c>
      <c r="R372" s="64">
        <f>(R370/10)</f>
        <v>809.73340000000007</v>
      </c>
      <c r="U372" s="52" t="s">
        <v>803</v>
      </c>
      <c r="W372" s="52">
        <v>2171.31</v>
      </c>
      <c r="X372" s="52">
        <f>SUM(X367:X370)/4</f>
        <v>8111.2060000000001</v>
      </c>
      <c r="AE372" s="53"/>
      <c r="AF372" s="50" t="s">
        <v>263</v>
      </c>
      <c r="AH372" s="55"/>
      <c r="AI372" s="64">
        <f>SUM(AI364:AI370)</f>
        <v>73643.319999999992</v>
      </c>
    </row>
    <row r="373" spans="1:36" ht="15.75">
      <c r="A373" s="74">
        <f t="shared" si="28"/>
        <v>208</v>
      </c>
      <c r="B373" s="75" t="s">
        <v>982</v>
      </c>
      <c r="C373" s="139">
        <v>23.17</v>
      </c>
      <c r="D373" s="140" t="s">
        <v>4</v>
      </c>
      <c r="R373" s="59" t="s">
        <v>156</v>
      </c>
      <c r="AE373" s="53"/>
      <c r="AH373" s="55"/>
      <c r="AI373" s="59" t="s">
        <v>21</v>
      </c>
    </row>
    <row r="374" spans="1:36" ht="15.75">
      <c r="A374" s="74">
        <f t="shared" si="28"/>
        <v>209</v>
      </c>
      <c r="B374" s="75" t="s">
        <v>1015</v>
      </c>
      <c r="C374" s="142"/>
      <c r="D374" s="140" t="s">
        <v>150</v>
      </c>
      <c r="H374" s="51" t="s">
        <v>388</v>
      </c>
      <c r="N374" s="50" t="s">
        <v>249</v>
      </c>
      <c r="O374" s="50" t="s">
        <v>1016</v>
      </c>
      <c r="U374" s="52" t="s">
        <v>388</v>
      </c>
      <c r="AE374" s="53"/>
      <c r="AF374" s="50" t="s">
        <v>270</v>
      </c>
      <c r="AH374" s="55"/>
      <c r="AI374" s="64">
        <f>(AI372/10)</f>
        <v>7364.3319999999994</v>
      </c>
    </row>
    <row r="375" spans="1:36" ht="15.75">
      <c r="A375" s="74">
        <f t="shared" si="28"/>
        <v>210</v>
      </c>
      <c r="B375" s="75" t="s">
        <v>979</v>
      </c>
      <c r="C375" s="139">
        <v>9</v>
      </c>
      <c r="D375" s="140" t="s">
        <v>4</v>
      </c>
      <c r="H375" s="59" t="s">
        <v>21</v>
      </c>
      <c r="O375" s="59" t="s">
        <v>21</v>
      </c>
      <c r="U375" s="52" t="s">
        <v>21</v>
      </c>
      <c r="AE375" s="53"/>
      <c r="AH375" s="55"/>
      <c r="AI375" s="59" t="s">
        <v>156</v>
      </c>
    </row>
    <row r="376" spans="1:36" ht="15.75">
      <c r="A376" s="74">
        <f t="shared" si="28"/>
        <v>211</v>
      </c>
      <c r="B376" s="75" t="s">
        <v>980</v>
      </c>
      <c r="C376" s="139">
        <v>11.58</v>
      </c>
      <c r="D376" s="140" t="s">
        <v>4</v>
      </c>
      <c r="F376" s="88">
        <v>10</v>
      </c>
      <c r="G376" s="62" t="s">
        <v>249</v>
      </c>
      <c r="H376" s="50" t="s">
        <v>1017</v>
      </c>
      <c r="M376" s="64">
        <v>0.05</v>
      </c>
      <c r="N376" s="50" t="s">
        <v>151</v>
      </c>
      <c r="O376" s="50" t="s">
        <v>315</v>
      </c>
      <c r="P376" s="64">
        <f>(C84)</f>
        <v>1297</v>
      </c>
      <c r="Q376" s="50" t="s">
        <v>151</v>
      </c>
      <c r="R376" s="64">
        <f>(M376*P376)</f>
        <v>64.850000000000009</v>
      </c>
      <c r="S376" s="56">
        <v>10</v>
      </c>
      <c r="T376" s="52" t="s">
        <v>249</v>
      </c>
      <c r="U376" s="52" t="s">
        <v>1018</v>
      </c>
      <c r="AE376" s="53"/>
      <c r="AF376" s="50" t="s">
        <v>271</v>
      </c>
      <c r="AH376" s="55"/>
      <c r="AI376" s="64">
        <f>(AI374+C19)</f>
        <v>7447.2119999999995</v>
      </c>
    </row>
    <row r="377" spans="1:36" ht="15.75">
      <c r="A377" s="74">
        <f t="shared" si="28"/>
        <v>212</v>
      </c>
      <c r="B377" s="75" t="s">
        <v>982</v>
      </c>
      <c r="C377" s="139">
        <v>14.15</v>
      </c>
      <c r="D377" s="140" t="s">
        <v>4</v>
      </c>
      <c r="H377" s="64" t="str">
        <f>H309</f>
        <v>Bricks of size 22x11x7 cm</v>
      </c>
      <c r="M377" s="64">
        <v>1.1000000000000001</v>
      </c>
      <c r="N377" s="50" t="s">
        <v>153</v>
      </c>
      <c r="O377" s="50" t="s">
        <v>234</v>
      </c>
      <c r="P377" s="64">
        <f>(C11)</f>
        <v>1005.1999999999999</v>
      </c>
      <c r="Q377" s="50" t="s">
        <v>153</v>
      </c>
      <c r="R377" s="64">
        <f>(M377*P377)</f>
        <v>1105.72</v>
      </c>
      <c r="U377" s="52" t="s">
        <v>978</v>
      </c>
      <c r="AE377" s="53"/>
      <c r="AF377" s="50" t="s">
        <v>272</v>
      </c>
      <c r="AH377" s="55"/>
      <c r="AI377" s="64">
        <f>(AI376+C20)</f>
        <v>7614.232</v>
      </c>
    </row>
    <row r="378" spans="1:36" ht="15.75">
      <c r="A378" s="74">
        <f t="shared" si="28"/>
        <v>213</v>
      </c>
      <c r="B378" s="75" t="s">
        <v>1019</v>
      </c>
      <c r="C378" s="142"/>
      <c r="D378" s="142"/>
      <c r="H378" s="59" t="s">
        <v>21</v>
      </c>
      <c r="M378" s="64">
        <v>0.3</v>
      </c>
      <c r="N378" s="50" t="s">
        <v>153</v>
      </c>
      <c r="O378" s="50" t="s">
        <v>235</v>
      </c>
      <c r="P378" s="64">
        <f>(C12)</f>
        <v>702.8</v>
      </c>
      <c r="Q378" s="50" t="s">
        <v>153</v>
      </c>
      <c r="R378" s="64">
        <f>(M378*P378)</f>
        <v>210.83999999999997</v>
      </c>
      <c r="U378" s="52" t="s">
        <v>21</v>
      </c>
      <c r="AE378" s="53"/>
      <c r="AF378" s="50" t="s">
        <v>767</v>
      </c>
      <c r="AH378" s="55"/>
      <c r="AI378" s="64">
        <f>(AI377+C20)</f>
        <v>7781.2520000000004</v>
      </c>
    </row>
    <row r="379" spans="1:36" ht="15.75">
      <c r="A379" s="74">
        <f t="shared" si="28"/>
        <v>214</v>
      </c>
      <c r="B379" s="75" t="s">
        <v>979</v>
      </c>
      <c r="C379" s="139">
        <v>4.29</v>
      </c>
      <c r="D379" s="140" t="s">
        <v>4</v>
      </c>
      <c r="F379" s="64">
        <f>F311</f>
        <v>4800</v>
      </c>
      <c r="G379" s="62" t="s">
        <v>267</v>
      </c>
      <c r="H379" s="64" t="str">
        <f>H309</f>
        <v>Bricks of size 22x11x7 cm</v>
      </c>
      <c r="I379" s="64">
        <f>(C80)</f>
        <v>6274.59</v>
      </c>
      <c r="J379" s="50" t="s">
        <v>268</v>
      </c>
      <c r="K379" s="64">
        <f>(F379*I379)/1000</f>
        <v>30118.031999999999</v>
      </c>
      <c r="M379" s="64">
        <v>1.9</v>
      </c>
      <c r="N379" s="50" t="s">
        <v>153</v>
      </c>
      <c r="O379" s="50" t="s">
        <v>236</v>
      </c>
      <c r="P379" s="64">
        <f>(C13)</f>
        <v>576.79999999999995</v>
      </c>
      <c r="Q379" s="50" t="s">
        <v>153</v>
      </c>
      <c r="R379" s="64">
        <f>(M379*P379)</f>
        <v>1095.9199999999998</v>
      </c>
      <c r="S379" s="56">
        <v>4600</v>
      </c>
      <c r="T379" s="52" t="s">
        <v>267</v>
      </c>
      <c r="U379" s="52" t="s">
        <v>978</v>
      </c>
      <c r="V379" s="52">
        <f>AE41</f>
        <v>7678.25</v>
      </c>
      <c r="W379" s="52" t="s">
        <v>268</v>
      </c>
      <c r="X379" s="52">
        <f>S379*V379/1000</f>
        <v>35319.949999999997</v>
      </c>
      <c r="AE379" s="53"/>
      <c r="AF379" s="50" t="s">
        <v>769</v>
      </c>
      <c r="AH379" s="55"/>
      <c r="AI379" s="64">
        <f>AI378+C20</f>
        <v>7948.2720000000008</v>
      </c>
    </row>
    <row r="380" spans="1:36" ht="15.75">
      <c r="A380" s="74">
        <f t="shared" si="28"/>
        <v>215</v>
      </c>
      <c r="B380" s="75" t="s">
        <v>980</v>
      </c>
      <c r="C380" s="139">
        <v>6.01</v>
      </c>
      <c r="D380" s="140" t="s">
        <v>4</v>
      </c>
      <c r="F380" s="64">
        <v>1.59</v>
      </c>
      <c r="G380" s="62" t="s">
        <v>151</v>
      </c>
      <c r="H380" s="50" t="s">
        <v>258</v>
      </c>
      <c r="I380" s="64">
        <f>(K40)</f>
        <v>4326.7</v>
      </c>
      <c r="J380" s="50" t="s">
        <v>151</v>
      </c>
      <c r="K380" s="64">
        <f>(F380*I380)</f>
        <v>6879.4530000000004</v>
      </c>
      <c r="N380" s="50" t="s">
        <v>226</v>
      </c>
      <c r="O380" s="50" t="s">
        <v>316</v>
      </c>
      <c r="P380" s="50" t="s">
        <v>150</v>
      </c>
      <c r="Q380" s="50" t="s">
        <v>226</v>
      </c>
      <c r="R380" s="64">
        <v>1.46</v>
      </c>
      <c r="S380" s="56">
        <v>1.59</v>
      </c>
      <c r="T380" s="52" t="s">
        <v>151</v>
      </c>
      <c r="U380" s="52" t="s">
        <v>258</v>
      </c>
      <c r="V380" s="52">
        <f>I380</f>
        <v>4326.7</v>
      </c>
      <c r="W380" s="52" t="s">
        <v>151</v>
      </c>
      <c r="X380" s="52">
        <f>V380*S380</f>
        <v>6879.4530000000004</v>
      </c>
      <c r="AE380" s="53"/>
      <c r="AF380" s="50" t="s">
        <v>773</v>
      </c>
      <c r="AH380" s="55"/>
      <c r="AI380" s="64">
        <f>AI379+C20</f>
        <v>8115.2920000000013</v>
      </c>
    </row>
    <row r="381" spans="1:36" ht="15.75">
      <c r="A381" s="74">
        <f t="shared" si="28"/>
        <v>216</v>
      </c>
      <c r="B381" s="75" t="s">
        <v>982</v>
      </c>
      <c r="C381" s="139">
        <v>6.86</v>
      </c>
      <c r="D381" s="140" t="s">
        <v>4</v>
      </c>
      <c r="F381" s="64">
        <v>7</v>
      </c>
      <c r="G381" s="62" t="s">
        <v>153</v>
      </c>
      <c r="H381" s="50" t="s">
        <v>269</v>
      </c>
      <c r="I381" s="64">
        <f>(C10)</f>
        <v>1076.5999999999999</v>
      </c>
      <c r="J381" s="50" t="s">
        <v>153</v>
      </c>
      <c r="K381" s="64">
        <f>(F381*I381)</f>
        <v>7536.1999999999989</v>
      </c>
      <c r="R381" s="59" t="s">
        <v>21</v>
      </c>
      <c r="S381" s="56">
        <v>7</v>
      </c>
      <c r="T381" s="52" t="s">
        <v>153</v>
      </c>
      <c r="U381" s="52" t="s">
        <v>269</v>
      </c>
      <c r="V381" s="52">
        <f>I381</f>
        <v>1076.5999999999999</v>
      </c>
      <c r="W381" s="52" t="s">
        <v>153</v>
      </c>
      <c r="X381" s="52">
        <f>V381*S381</f>
        <v>7536.1999999999989</v>
      </c>
      <c r="AE381" s="53"/>
      <c r="AF381" s="50" t="s">
        <v>803</v>
      </c>
      <c r="AH381" s="55"/>
      <c r="AI381" s="64">
        <f>(AI376+AI377+AI378+AI379)/4</f>
        <v>7697.7420000000002</v>
      </c>
    </row>
    <row r="382" spans="1:36" ht="15.75">
      <c r="A382" s="74">
        <f t="shared" si="28"/>
        <v>217</v>
      </c>
      <c r="B382" s="75" t="s">
        <v>1020</v>
      </c>
      <c r="C382" s="142"/>
      <c r="D382" s="140" t="s">
        <v>150</v>
      </c>
      <c r="F382" s="64">
        <v>7.1</v>
      </c>
      <c r="G382" s="62" t="s">
        <v>153</v>
      </c>
      <c r="H382" s="50" t="s">
        <v>234</v>
      </c>
      <c r="I382" s="64">
        <f>(C11)</f>
        <v>1005.1999999999999</v>
      </c>
      <c r="J382" s="50" t="s">
        <v>153</v>
      </c>
      <c r="K382" s="64">
        <f>(F382*I382)</f>
        <v>7136.9199999999992</v>
      </c>
      <c r="O382" s="50" t="s">
        <v>317</v>
      </c>
      <c r="R382" s="64">
        <f>SUM(R375:R380)</f>
        <v>2478.79</v>
      </c>
      <c r="S382" s="56">
        <v>7.1</v>
      </c>
      <c r="T382" s="52" t="s">
        <v>153</v>
      </c>
      <c r="U382" s="52" t="s">
        <v>234</v>
      </c>
      <c r="V382" s="52">
        <f>I382</f>
        <v>1005.1999999999999</v>
      </c>
      <c r="W382" s="52" t="s">
        <v>153</v>
      </c>
      <c r="X382" s="52">
        <f>V382*S382</f>
        <v>7136.9199999999992</v>
      </c>
      <c r="AE382" s="53"/>
      <c r="AH382" s="55"/>
    </row>
    <row r="383" spans="1:36" ht="15.75">
      <c r="A383" s="74">
        <f t="shared" si="28"/>
        <v>218</v>
      </c>
      <c r="B383" s="75" t="s">
        <v>979</v>
      </c>
      <c r="C383" s="139">
        <v>14.91</v>
      </c>
      <c r="D383" s="140" t="s">
        <v>4</v>
      </c>
      <c r="F383" s="64">
        <v>7.1</v>
      </c>
      <c r="G383" s="62" t="s">
        <v>153</v>
      </c>
      <c r="H383" s="50" t="s">
        <v>235</v>
      </c>
      <c r="I383" s="64">
        <f>(C12)</f>
        <v>702.8</v>
      </c>
      <c r="J383" s="50" t="s">
        <v>153</v>
      </c>
      <c r="K383" s="64">
        <f>(F383*I383)</f>
        <v>4989.8799999999992</v>
      </c>
      <c r="R383" s="59" t="s">
        <v>21</v>
      </c>
      <c r="S383" s="56">
        <v>7.1</v>
      </c>
      <c r="T383" s="52" t="s">
        <v>153</v>
      </c>
      <c r="U383" s="52" t="s">
        <v>235</v>
      </c>
      <c r="V383" s="52">
        <f>I383</f>
        <v>702.8</v>
      </c>
      <c r="W383" s="52" t="s">
        <v>153</v>
      </c>
      <c r="X383" s="52">
        <f>V383*S383</f>
        <v>4989.8799999999992</v>
      </c>
      <c r="AE383" s="53"/>
      <c r="AF383" s="51" t="s">
        <v>388</v>
      </c>
      <c r="AH383" s="55"/>
    </row>
    <row r="384" spans="1:36" ht="15.75">
      <c r="A384" s="74">
        <f t="shared" si="28"/>
        <v>219</v>
      </c>
      <c r="B384" s="75" t="s">
        <v>980</v>
      </c>
      <c r="C384" s="139">
        <v>17.579999999999998</v>
      </c>
      <c r="D384" s="140" t="s">
        <v>4</v>
      </c>
      <c r="F384" s="64">
        <v>21.2</v>
      </c>
      <c r="G384" s="62" t="s">
        <v>153</v>
      </c>
      <c r="H384" s="50" t="s">
        <v>236</v>
      </c>
      <c r="I384" s="64">
        <f>(C13)</f>
        <v>576.79999999999995</v>
      </c>
      <c r="J384" s="50" t="s">
        <v>153</v>
      </c>
      <c r="K384" s="64">
        <f>(F384*I384)</f>
        <v>12228.159999999998</v>
      </c>
      <c r="O384" s="50" t="s">
        <v>155</v>
      </c>
      <c r="R384" s="64">
        <f>(R382/100)</f>
        <v>24.7879</v>
      </c>
      <c r="S384" s="56">
        <v>21.2</v>
      </c>
      <c r="T384" s="52" t="s">
        <v>153</v>
      </c>
      <c r="U384" s="52" t="s">
        <v>236</v>
      </c>
      <c r="V384" s="52">
        <f>I384</f>
        <v>576.79999999999995</v>
      </c>
      <c r="W384" s="52" t="s">
        <v>153</v>
      </c>
      <c r="X384" s="52">
        <f>V384*S384</f>
        <v>12228.159999999998</v>
      </c>
      <c r="AE384" s="53"/>
      <c r="AF384" s="59" t="s">
        <v>21</v>
      </c>
      <c r="AH384" s="55"/>
    </row>
    <row r="385" spans="1:35" ht="15.75">
      <c r="A385" s="74">
        <f t="shared" si="28"/>
        <v>220</v>
      </c>
      <c r="B385" s="75" t="s">
        <v>982</v>
      </c>
      <c r="C385" s="139">
        <v>19.3</v>
      </c>
      <c r="D385" s="140" t="s">
        <v>4</v>
      </c>
      <c r="G385" s="62" t="s">
        <v>226</v>
      </c>
      <c r="H385" s="50" t="s">
        <v>237</v>
      </c>
      <c r="I385" s="50" t="s">
        <v>150</v>
      </c>
      <c r="J385" s="50" t="s">
        <v>226</v>
      </c>
      <c r="K385" s="64">
        <v>0</v>
      </c>
      <c r="R385" s="59" t="s">
        <v>156</v>
      </c>
      <c r="T385" s="52" t="s">
        <v>226</v>
      </c>
      <c r="U385" s="52" t="s">
        <v>237</v>
      </c>
      <c r="V385" s="52" t="s">
        <v>150</v>
      </c>
      <c r="W385" s="52" t="s">
        <v>226</v>
      </c>
      <c r="X385" s="52">
        <v>0</v>
      </c>
      <c r="AD385" s="88">
        <v>10</v>
      </c>
      <c r="AE385" s="62" t="s">
        <v>249</v>
      </c>
      <c r="AF385" s="50" t="s">
        <v>389</v>
      </c>
      <c r="AH385" s="55"/>
    </row>
    <row r="386" spans="1:35" ht="15.75">
      <c r="A386" s="74">
        <f t="shared" si="28"/>
        <v>221</v>
      </c>
      <c r="B386" s="75" t="s">
        <v>1021</v>
      </c>
      <c r="C386" s="142"/>
      <c r="D386" s="142"/>
      <c r="K386" s="59" t="s">
        <v>21</v>
      </c>
      <c r="X386" s="104" t="s">
        <v>1022</v>
      </c>
      <c r="Y386" s="104"/>
      <c r="AE386" s="53"/>
      <c r="AF386" s="64" t="str">
        <f>AF309</f>
        <v>Bricks of size 23x11.4x7.5 cm</v>
      </c>
      <c r="AH386" s="55"/>
    </row>
    <row r="387" spans="1:35" ht="15.75">
      <c r="A387" s="74">
        <f t="shared" si="28"/>
        <v>222</v>
      </c>
      <c r="B387" s="75" t="s">
        <v>979</v>
      </c>
      <c r="C387" s="139">
        <v>15.87</v>
      </c>
      <c r="D387" s="140" t="s">
        <v>4</v>
      </c>
      <c r="H387" s="50" t="s">
        <v>263</v>
      </c>
      <c r="K387" s="64">
        <f>SUM(K379:K385)</f>
        <v>68888.64499999999</v>
      </c>
      <c r="U387" s="52" t="s">
        <v>263</v>
      </c>
      <c r="X387" s="52">
        <f>SUM(X379:X386)</f>
        <v>74090.562999999995</v>
      </c>
      <c r="AE387" s="53"/>
      <c r="AF387" s="59" t="s">
        <v>21</v>
      </c>
      <c r="AH387" s="55"/>
    </row>
    <row r="388" spans="1:35" ht="15.75">
      <c r="A388" s="74">
        <f t="shared" si="28"/>
        <v>223</v>
      </c>
      <c r="B388" s="75" t="s">
        <v>980</v>
      </c>
      <c r="C388" s="139">
        <v>20.16</v>
      </c>
      <c r="D388" s="140" t="s">
        <v>4</v>
      </c>
      <c r="K388" s="59" t="s">
        <v>21</v>
      </c>
      <c r="N388" s="50" t="s">
        <v>230</v>
      </c>
      <c r="O388" s="50" t="s">
        <v>314</v>
      </c>
      <c r="X388" s="104" t="s">
        <v>1022</v>
      </c>
      <c r="Y388" s="104"/>
      <c r="AD388" s="64">
        <f>AD311</f>
        <v>4240</v>
      </c>
      <c r="AE388" s="62" t="s">
        <v>267</v>
      </c>
      <c r="AF388" s="64" t="str">
        <f>AF309</f>
        <v>Bricks of size 23x11.4x7.5 cm</v>
      </c>
      <c r="AG388" s="64">
        <f>AE42</f>
        <v>7865.25</v>
      </c>
      <c r="AH388" s="50" t="s">
        <v>268</v>
      </c>
      <c r="AI388" s="64">
        <f>(AD388*AG388)/1000</f>
        <v>33348.660000000003</v>
      </c>
    </row>
    <row r="389" spans="1:35" ht="15.75">
      <c r="A389" s="74">
        <f t="shared" si="28"/>
        <v>224</v>
      </c>
      <c r="B389" s="75" t="s">
        <v>982</v>
      </c>
      <c r="C389" s="139">
        <v>22.31</v>
      </c>
      <c r="D389" s="140" t="s">
        <v>4</v>
      </c>
      <c r="H389" s="50" t="s">
        <v>270</v>
      </c>
      <c r="K389" s="64">
        <f>(K387/10)</f>
        <v>6888.8644999999988</v>
      </c>
      <c r="O389" s="59" t="s">
        <v>21</v>
      </c>
      <c r="U389" s="52" t="s">
        <v>270</v>
      </c>
      <c r="X389" s="52">
        <f>X387/10</f>
        <v>7409.0562999999993</v>
      </c>
      <c r="AD389" s="64">
        <v>1.27</v>
      </c>
      <c r="AE389" s="62" t="s">
        <v>151</v>
      </c>
      <c r="AF389" s="50" t="s">
        <v>258</v>
      </c>
      <c r="AG389" s="64">
        <f>V380</f>
        <v>4326.7</v>
      </c>
      <c r="AH389" s="50" t="s">
        <v>151</v>
      </c>
      <c r="AI389" s="64">
        <f>(AD389*AG389)</f>
        <v>5494.9089999999997</v>
      </c>
    </row>
    <row r="390" spans="1:35" ht="15.75">
      <c r="A390" s="74">
        <f t="shared" si="28"/>
        <v>225</v>
      </c>
      <c r="B390" s="75" t="s">
        <v>1023</v>
      </c>
      <c r="C390" s="138"/>
      <c r="D390" s="137" t="s">
        <v>150</v>
      </c>
      <c r="K390" s="59" t="s">
        <v>156</v>
      </c>
      <c r="M390" s="64">
        <v>7.0000000000000007E-2</v>
      </c>
      <c r="N390" s="50" t="s">
        <v>151</v>
      </c>
      <c r="O390" s="50" t="s">
        <v>315</v>
      </c>
      <c r="P390" s="64">
        <f>(C84)</f>
        <v>1297</v>
      </c>
      <c r="Q390" s="50" t="s">
        <v>151</v>
      </c>
      <c r="R390" s="64">
        <f>(M390*P390)</f>
        <v>90.79</v>
      </c>
      <c r="X390" s="104" t="s">
        <v>1024</v>
      </c>
      <c r="Y390" s="104"/>
      <c r="AD390" s="64">
        <v>7</v>
      </c>
      <c r="AE390" s="62" t="s">
        <v>153</v>
      </c>
      <c r="AF390" s="50" t="s">
        <v>269</v>
      </c>
      <c r="AG390" s="64">
        <f>V381</f>
        <v>1076.5999999999999</v>
      </c>
      <c r="AH390" s="50" t="s">
        <v>153</v>
      </c>
      <c r="AI390" s="64">
        <f>(AD390*AG390)</f>
        <v>7536.1999999999989</v>
      </c>
    </row>
    <row r="391" spans="1:35" ht="15.75">
      <c r="A391" s="74">
        <f t="shared" si="28"/>
        <v>226</v>
      </c>
      <c r="B391" s="75" t="s">
        <v>1025</v>
      </c>
      <c r="C391" s="73">
        <v>69.8</v>
      </c>
      <c r="D391" s="75" t="s">
        <v>552</v>
      </c>
      <c r="M391" s="64">
        <v>1.6</v>
      </c>
      <c r="N391" s="50" t="s">
        <v>153</v>
      </c>
      <c r="O391" s="50" t="s">
        <v>234</v>
      </c>
      <c r="P391" s="64">
        <f>(C11)</f>
        <v>1005.1999999999999</v>
      </c>
      <c r="Q391" s="50" t="s">
        <v>153</v>
      </c>
      <c r="R391" s="64">
        <f>(M391*P391)</f>
        <v>1608.32</v>
      </c>
      <c r="AD391" s="64">
        <v>7.1</v>
      </c>
      <c r="AE391" s="62" t="s">
        <v>153</v>
      </c>
      <c r="AF391" s="50" t="s">
        <v>234</v>
      </c>
      <c r="AG391" s="64">
        <f>V382</f>
        <v>1005.1999999999999</v>
      </c>
      <c r="AH391" s="50" t="s">
        <v>153</v>
      </c>
      <c r="AI391" s="64">
        <f>(AD391*AG391)</f>
        <v>7136.9199999999992</v>
      </c>
    </row>
    <row r="392" spans="1:35" ht="15.75">
      <c r="A392" s="74">
        <f t="shared" si="28"/>
        <v>227</v>
      </c>
      <c r="B392" s="75" t="s">
        <v>1026</v>
      </c>
      <c r="C392" s="73">
        <v>98.6</v>
      </c>
      <c r="D392" s="75" t="s">
        <v>552</v>
      </c>
      <c r="G392" s="62" t="s">
        <v>230</v>
      </c>
      <c r="H392" s="50" t="s">
        <v>822</v>
      </c>
      <c r="M392" s="64">
        <v>0.5</v>
      </c>
      <c r="N392" s="50" t="s">
        <v>153</v>
      </c>
      <c r="O392" s="50" t="s">
        <v>235</v>
      </c>
      <c r="P392" s="64">
        <f>(C12)</f>
        <v>702.8</v>
      </c>
      <c r="Q392" s="50" t="s">
        <v>153</v>
      </c>
      <c r="R392" s="64">
        <f>(M392*P392)</f>
        <v>351.4</v>
      </c>
      <c r="T392" s="52" t="s">
        <v>230</v>
      </c>
      <c r="U392" s="52" t="s">
        <v>1027</v>
      </c>
      <c r="AD392" s="64">
        <v>7.1</v>
      </c>
      <c r="AE392" s="62" t="s">
        <v>153</v>
      </c>
      <c r="AF392" s="50" t="s">
        <v>235</v>
      </c>
      <c r="AG392" s="64">
        <f>V383</f>
        <v>702.8</v>
      </c>
      <c r="AH392" s="50" t="s">
        <v>153</v>
      </c>
      <c r="AI392" s="64">
        <f>(AD392*AG392)</f>
        <v>4989.8799999999992</v>
      </c>
    </row>
    <row r="393" spans="1:35" ht="15.75">
      <c r="A393" s="74">
        <f t="shared" si="28"/>
        <v>228</v>
      </c>
      <c r="B393" s="75" t="s">
        <v>1028</v>
      </c>
      <c r="C393" s="73">
        <v>128</v>
      </c>
      <c r="D393" s="75" t="s">
        <v>552</v>
      </c>
      <c r="H393" s="59" t="s">
        <v>21</v>
      </c>
      <c r="M393" s="64">
        <v>2.7</v>
      </c>
      <c r="N393" s="50" t="s">
        <v>153</v>
      </c>
      <c r="O393" s="50" t="s">
        <v>236</v>
      </c>
      <c r="P393" s="64">
        <f>(C13)</f>
        <v>576.79999999999995</v>
      </c>
      <c r="Q393" s="50" t="s">
        <v>153</v>
      </c>
      <c r="R393" s="64">
        <f>(M393*P393)</f>
        <v>1557.36</v>
      </c>
      <c r="U393" s="52" t="s">
        <v>21</v>
      </c>
      <c r="AD393" s="64">
        <v>21.2</v>
      </c>
      <c r="AE393" s="62" t="s">
        <v>153</v>
      </c>
      <c r="AF393" s="50" t="s">
        <v>236</v>
      </c>
      <c r="AG393" s="64">
        <f>V384</f>
        <v>576.79999999999995</v>
      </c>
      <c r="AH393" s="50" t="s">
        <v>153</v>
      </c>
      <c r="AI393" s="64">
        <f>(AD393*AG393)</f>
        <v>12228.159999999998</v>
      </c>
    </row>
    <row r="394" spans="1:35" ht="15.75">
      <c r="A394" s="74">
        <f t="shared" si="28"/>
        <v>229</v>
      </c>
      <c r="B394" s="75" t="s">
        <v>1029</v>
      </c>
      <c r="C394" s="73">
        <v>151.4</v>
      </c>
      <c r="D394" s="75" t="s">
        <v>552</v>
      </c>
      <c r="F394" s="64">
        <v>1.1000000000000001</v>
      </c>
      <c r="G394" s="62" t="s">
        <v>151</v>
      </c>
      <c r="H394" s="50" t="s">
        <v>273</v>
      </c>
      <c r="I394" s="64">
        <f>(K389)</f>
        <v>6888.8644999999988</v>
      </c>
      <c r="J394" s="50" t="s">
        <v>151</v>
      </c>
      <c r="K394" s="64">
        <f>(F394*I394)</f>
        <v>7577.7509499999996</v>
      </c>
      <c r="N394" s="50" t="s">
        <v>226</v>
      </c>
      <c r="O394" s="50" t="s">
        <v>316</v>
      </c>
      <c r="P394" s="50" t="s">
        <v>150</v>
      </c>
      <c r="Q394" s="50" t="s">
        <v>226</v>
      </c>
      <c r="R394" s="64">
        <v>2.09</v>
      </c>
      <c r="S394" s="56">
        <v>1.1200000000000001</v>
      </c>
      <c r="T394" s="52" t="s">
        <v>151</v>
      </c>
      <c r="U394" s="52" t="s">
        <v>273</v>
      </c>
      <c r="V394" s="52">
        <f>X389</f>
        <v>7409.0562999999993</v>
      </c>
      <c r="W394" s="52" t="s">
        <v>151</v>
      </c>
      <c r="X394" s="52">
        <f>V394*S394</f>
        <v>8298.1430560000008</v>
      </c>
      <c r="AE394" s="62" t="s">
        <v>226</v>
      </c>
      <c r="AF394" s="50" t="s">
        <v>237</v>
      </c>
      <c r="AG394" s="50" t="s">
        <v>150</v>
      </c>
      <c r="AH394" s="50" t="s">
        <v>226</v>
      </c>
      <c r="AI394" s="64">
        <v>0</v>
      </c>
    </row>
    <row r="395" spans="1:35" ht="15.75">
      <c r="A395" s="74">
        <f t="shared" si="28"/>
        <v>230</v>
      </c>
      <c r="B395" s="75" t="s">
        <v>1030</v>
      </c>
      <c r="C395" s="73">
        <v>163</v>
      </c>
      <c r="D395" s="75" t="s">
        <v>552</v>
      </c>
      <c r="F395" s="64">
        <v>1</v>
      </c>
      <c r="G395" s="62" t="s">
        <v>4</v>
      </c>
      <c r="H395" s="50" t="s">
        <v>269</v>
      </c>
      <c r="I395" s="64">
        <f>(C10)</f>
        <v>1076.5999999999999</v>
      </c>
      <c r="J395" s="50" t="s">
        <v>153</v>
      </c>
      <c r="K395" s="64">
        <f>(F395*I395)</f>
        <v>1076.5999999999999</v>
      </c>
      <c r="R395" s="59" t="s">
        <v>21</v>
      </c>
      <c r="S395" s="56">
        <v>1</v>
      </c>
      <c r="T395" s="52" t="s">
        <v>4</v>
      </c>
      <c r="U395" s="52" t="s">
        <v>269</v>
      </c>
      <c r="V395" s="52">
        <f>I395</f>
        <v>1076.5999999999999</v>
      </c>
      <c r="W395" s="52" t="s">
        <v>153</v>
      </c>
      <c r="X395" s="52">
        <f>V395*S395</f>
        <v>1076.5999999999999</v>
      </c>
      <c r="AE395" s="53"/>
      <c r="AH395" s="55"/>
      <c r="AI395" s="59" t="s">
        <v>21</v>
      </c>
    </row>
    <row r="396" spans="1:35" ht="15.75">
      <c r="A396" s="74">
        <f t="shared" si="28"/>
        <v>231</v>
      </c>
      <c r="B396" s="75" t="s">
        <v>979</v>
      </c>
      <c r="C396" s="73">
        <v>209</v>
      </c>
      <c r="D396" s="75" t="s">
        <v>552</v>
      </c>
      <c r="G396" s="62" t="s">
        <v>226</v>
      </c>
      <c r="H396" s="50" t="s">
        <v>237</v>
      </c>
      <c r="I396" s="50" t="s">
        <v>150</v>
      </c>
      <c r="J396" s="50" t="s">
        <v>226</v>
      </c>
      <c r="K396" s="64">
        <v>0</v>
      </c>
      <c r="O396" s="50" t="s">
        <v>317</v>
      </c>
      <c r="R396" s="64">
        <f>SUM(R389:R394)</f>
        <v>3609.96</v>
      </c>
      <c r="T396" s="52" t="s">
        <v>226</v>
      </c>
      <c r="U396" s="52" t="s">
        <v>237</v>
      </c>
      <c r="V396" s="52" t="s">
        <v>150</v>
      </c>
      <c r="W396" s="52" t="s">
        <v>226</v>
      </c>
      <c r="X396" s="52">
        <v>0</v>
      </c>
      <c r="AE396" s="53"/>
      <c r="AF396" s="50" t="s">
        <v>263</v>
      </c>
      <c r="AH396" s="55"/>
      <c r="AI396" s="64">
        <f>SUM(AI388:AI394)</f>
        <v>70734.728999999992</v>
      </c>
    </row>
    <row r="397" spans="1:35" ht="15.75">
      <c r="A397" s="74">
        <f t="shared" si="28"/>
        <v>232</v>
      </c>
      <c r="B397" s="75" t="s">
        <v>1031</v>
      </c>
      <c r="C397" s="73">
        <v>244.4</v>
      </c>
      <c r="D397" s="75" t="s">
        <v>552</v>
      </c>
      <c r="K397" s="59" t="s">
        <v>21</v>
      </c>
      <c r="R397" s="59" t="s">
        <v>21</v>
      </c>
      <c r="X397" s="104" t="s">
        <v>1022</v>
      </c>
      <c r="Y397" s="104"/>
      <c r="AE397" s="53"/>
      <c r="AH397" s="55"/>
      <c r="AI397" s="59" t="s">
        <v>21</v>
      </c>
    </row>
    <row r="398" spans="1:35" ht="15.75">
      <c r="A398" s="74">
        <f t="shared" si="28"/>
        <v>233</v>
      </c>
      <c r="B398" s="75" t="s">
        <v>1032</v>
      </c>
      <c r="C398" s="90"/>
      <c r="D398" s="90"/>
      <c r="H398" s="50" t="s">
        <v>238</v>
      </c>
      <c r="K398" s="64">
        <f>SUM(K394:K396)</f>
        <v>8654.35095</v>
      </c>
      <c r="O398" s="50" t="s">
        <v>155</v>
      </c>
      <c r="R398" s="64">
        <f>(R396/100)</f>
        <v>36.099600000000002</v>
      </c>
      <c r="U398" s="52" t="s">
        <v>238</v>
      </c>
      <c r="X398" s="52">
        <f>SUM(X394:X396)</f>
        <v>9374.7430560000012</v>
      </c>
      <c r="AE398" s="53"/>
      <c r="AF398" s="50" t="s">
        <v>270</v>
      </c>
      <c r="AH398" s="55"/>
      <c r="AI398" s="64">
        <f>(AI396/10)</f>
        <v>7073.4728999999988</v>
      </c>
    </row>
    <row r="399" spans="1:35" ht="15.75">
      <c r="A399" s="74">
        <f t="shared" si="28"/>
        <v>234</v>
      </c>
      <c r="B399" s="75" t="s">
        <v>1033</v>
      </c>
      <c r="C399" s="73">
        <v>13.6</v>
      </c>
      <c r="D399" s="75" t="s">
        <v>153</v>
      </c>
      <c r="K399" s="59" t="s">
        <v>21</v>
      </c>
      <c r="R399" s="59" t="s">
        <v>156</v>
      </c>
      <c r="X399" s="104" t="s">
        <v>1022</v>
      </c>
      <c r="Y399" s="104"/>
      <c r="AE399" s="53"/>
      <c r="AH399" s="55"/>
      <c r="AI399" s="59" t="s">
        <v>156</v>
      </c>
    </row>
    <row r="400" spans="1:35" ht="15.75">
      <c r="A400" s="74">
        <f t="shared" si="28"/>
        <v>235</v>
      </c>
      <c r="B400" s="75" t="s">
        <v>1026</v>
      </c>
      <c r="C400" s="73">
        <v>23.2</v>
      </c>
      <c r="D400" s="75" t="s">
        <v>153</v>
      </c>
      <c r="H400" s="50" t="s">
        <v>155</v>
      </c>
      <c r="K400" s="63">
        <f>(K398/10)</f>
        <v>865.43509500000005</v>
      </c>
      <c r="N400" s="50" t="s">
        <v>230</v>
      </c>
      <c r="O400" s="50" t="s">
        <v>1034</v>
      </c>
      <c r="U400" s="52" t="s">
        <v>155</v>
      </c>
      <c r="X400" s="52">
        <f>X398/10</f>
        <v>937.47430560000009</v>
      </c>
      <c r="AE400" s="53"/>
      <c r="AH400" s="55"/>
    </row>
    <row r="401" spans="1:35" ht="15.75">
      <c r="A401" s="74">
        <f t="shared" si="28"/>
        <v>236</v>
      </c>
      <c r="B401" s="75" t="s">
        <v>1028</v>
      </c>
      <c r="C401" s="73">
        <v>52</v>
      </c>
      <c r="D401" s="75" t="s">
        <v>153</v>
      </c>
      <c r="K401" s="59" t="s">
        <v>156</v>
      </c>
      <c r="O401" s="59" t="s">
        <v>21</v>
      </c>
      <c r="X401" s="104" t="s">
        <v>1024</v>
      </c>
      <c r="Y401" s="104"/>
      <c r="AE401" s="62" t="s">
        <v>230</v>
      </c>
      <c r="AF401" s="50" t="s">
        <v>390</v>
      </c>
      <c r="AH401" s="55"/>
    </row>
    <row r="402" spans="1:35" ht="15.75">
      <c r="A402" s="74">
        <f t="shared" si="28"/>
        <v>237</v>
      </c>
      <c r="B402" s="75" t="s">
        <v>1029</v>
      </c>
      <c r="C402" s="73">
        <v>69.8</v>
      </c>
      <c r="D402" s="75" t="s">
        <v>153</v>
      </c>
      <c r="H402" s="50" t="s">
        <v>271</v>
      </c>
      <c r="J402" s="55">
        <f>K402-K400</f>
        <v>9.116800000000012</v>
      </c>
      <c r="K402" s="63">
        <f>(K400+C19/10*F394)</f>
        <v>874.55189500000006</v>
      </c>
      <c r="M402" s="64">
        <v>10</v>
      </c>
      <c r="N402" s="50" t="s">
        <v>152</v>
      </c>
      <c r="O402" s="50" t="s">
        <v>314</v>
      </c>
      <c r="P402" s="64">
        <f>(R398)</f>
        <v>36.099600000000002</v>
      </c>
      <c r="Q402" s="50" t="s">
        <v>152</v>
      </c>
      <c r="R402" s="64">
        <f>(M402*P402)</f>
        <v>360.99600000000004</v>
      </c>
      <c r="U402" s="65" t="s">
        <v>271</v>
      </c>
      <c r="W402" s="52">
        <f>0.112*C19</f>
        <v>9.2825600000000001</v>
      </c>
      <c r="X402" s="65">
        <f>X400+W402</f>
        <v>946.75686560000008</v>
      </c>
      <c r="Y402" s="65"/>
      <c r="AE402" s="53"/>
      <c r="AF402" s="59" t="s">
        <v>21</v>
      </c>
      <c r="AH402" s="55"/>
    </row>
    <row r="403" spans="1:35" ht="15.75">
      <c r="A403" s="74">
        <f t="shared" si="28"/>
        <v>238</v>
      </c>
      <c r="B403" s="75" t="s">
        <v>1030</v>
      </c>
      <c r="C403" s="73">
        <v>87</v>
      </c>
      <c r="D403" s="75" t="s">
        <v>153</v>
      </c>
      <c r="H403" s="50" t="s">
        <v>272</v>
      </c>
      <c r="J403" s="55">
        <f>K403-K402</f>
        <v>18.372200000000021</v>
      </c>
      <c r="K403" s="63">
        <f>(K402+C20/10*F394)</f>
        <v>892.92409500000008</v>
      </c>
      <c r="M403" s="64">
        <v>10</v>
      </c>
      <c r="N403" s="50" t="s">
        <v>152</v>
      </c>
      <c r="O403" s="50" t="s">
        <v>1035</v>
      </c>
      <c r="P403" s="64">
        <f>(R398/2)</f>
        <v>18.049800000000001</v>
      </c>
      <c r="Q403" s="50" t="s">
        <v>152</v>
      </c>
      <c r="R403" s="64">
        <f>(M403*P403)</f>
        <v>180.49800000000002</v>
      </c>
      <c r="U403" s="65" t="s">
        <v>272</v>
      </c>
      <c r="W403" s="52">
        <f>0.112*C20</f>
        <v>18.706239999999998</v>
      </c>
      <c r="X403" s="65">
        <f>X402+W403</f>
        <v>965.46310560000006</v>
      </c>
      <c r="Y403" s="65"/>
      <c r="AD403" s="64">
        <v>1.1399999999999999</v>
      </c>
      <c r="AE403" s="62" t="s">
        <v>151</v>
      </c>
      <c r="AF403" s="50" t="s">
        <v>273</v>
      </c>
      <c r="AG403" s="64">
        <f>(AI398)</f>
        <v>7073.4728999999988</v>
      </c>
      <c r="AH403" s="50" t="s">
        <v>151</v>
      </c>
      <c r="AI403" s="64">
        <f>(AD403*AG403)</f>
        <v>8063.7591059999977</v>
      </c>
    </row>
    <row r="404" spans="1:35" ht="15.75">
      <c r="A404" s="74">
        <f t="shared" si="28"/>
        <v>239</v>
      </c>
      <c r="B404" s="75" t="s">
        <v>979</v>
      </c>
      <c r="C404" s="73">
        <v>116.3</v>
      </c>
      <c r="D404" s="75" t="s">
        <v>153</v>
      </c>
      <c r="H404" s="50" t="s">
        <v>767</v>
      </c>
      <c r="K404" s="63">
        <f>(K403+C21/10*F394)</f>
        <v>911.2962950000001</v>
      </c>
      <c r="O404" s="50" t="s">
        <v>1036</v>
      </c>
      <c r="R404" s="59" t="s">
        <v>21</v>
      </c>
      <c r="U404" s="65" t="s">
        <v>767</v>
      </c>
      <c r="W404" s="52">
        <f>W403</f>
        <v>18.706239999999998</v>
      </c>
      <c r="X404" s="65">
        <f>X403+W404</f>
        <v>984.16934560000004</v>
      </c>
      <c r="Y404" s="65"/>
      <c r="AD404" s="64">
        <v>1</v>
      </c>
      <c r="AE404" s="62" t="s">
        <v>4</v>
      </c>
      <c r="AF404" s="50" t="s">
        <v>269</v>
      </c>
      <c r="AG404" s="64">
        <f>AG390</f>
        <v>1076.5999999999999</v>
      </c>
      <c r="AH404" s="50" t="s">
        <v>153</v>
      </c>
      <c r="AI404" s="64">
        <f>(AD404*AG404)</f>
        <v>1076.5999999999999</v>
      </c>
    </row>
    <row r="405" spans="1:35" ht="15.75">
      <c r="A405" s="74">
        <f t="shared" si="28"/>
        <v>240</v>
      </c>
      <c r="B405" s="144" t="s">
        <v>1037</v>
      </c>
      <c r="C405" s="145">
        <v>246</v>
      </c>
      <c r="D405" s="146" t="s">
        <v>153</v>
      </c>
      <c r="H405" s="50" t="s">
        <v>769</v>
      </c>
      <c r="K405" s="63">
        <f>(K404+C21/10*F394)</f>
        <v>929.66849500000012</v>
      </c>
      <c r="R405" s="64">
        <f>SUM(R402:R403)</f>
        <v>541.49400000000003</v>
      </c>
      <c r="U405" s="65" t="s">
        <v>769</v>
      </c>
      <c r="W405" s="52">
        <f>W403</f>
        <v>18.706239999999998</v>
      </c>
      <c r="X405" s="65">
        <f>X404+W405</f>
        <v>1002.8755856</v>
      </c>
      <c r="Y405" s="65"/>
      <c r="AE405" s="62" t="s">
        <v>226</v>
      </c>
      <c r="AF405" s="50" t="s">
        <v>237</v>
      </c>
      <c r="AG405" s="50" t="s">
        <v>150</v>
      </c>
      <c r="AH405" s="50" t="s">
        <v>226</v>
      </c>
      <c r="AI405" s="64">
        <v>0</v>
      </c>
    </row>
    <row r="406" spans="1:35" ht="15.75">
      <c r="A406" s="74">
        <f t="shared" si="28"/>
        <v>241</v>
      </c>
      <c r="B406" s="75" t="s">
        <v>1038</v>
      </c>
      <c r="C406" s="90"/>
      <c r="D406" s="75" t="s">
        <v>150</v>
      </c>
      <c r="H406" s="50" t="s">
        <v>838</v>
      </c>
      <c r="K406" s="63">
        <f>(K405+C21/10*F394)</f>
        <v>948.04069500000014</v>
      </c>
      <c r="L406" s="52">
        <f>K406-K405</f>
        <v>18.372200000000021</v>
      </c>
      <c r="O406" s="50" t="s">
        <v>238</v>
      </c>
      <c r="R406" s="59" t="s">
        <v>21</v>
      </c>
      <c r="U406" s="65" t="s">
        <v>838</v>
      </c>
      <c r="W406" s="52">
        <f>W405</f>
        <v>18.706239999999998</v>
      </c>
      <c r="X406" s="65">
        <f>X405+W406</f>
        <v>1021.5818256</v>
      </c>
      <c r="Y406" s="65"/>
      <c r="AE406" s="53"/>
      <c r="AH406" s="55"/>
      <c r="AI406" s="59" t="s">
        <v>21</v>
      </c>
    </row>
    <row r="407" spans="1:35" ht="15.75">
      <c r="A407" s="74">
        <f t="shared" si="28"/>
        <v>242</v>
      </c>
      <c r="B407" s="75" t="s">
        <v>1033</v>
      </c>
      <c r="C407" s="73">
        <v>13.6</v>
      </c>
      <c r="D407" s="75" t="s">
        <v>153</v>
      </c>
      <c r="F407" s="88">
        <v>11</v>
      </c>
      <c r="G407" s="62" t="s">
        <v>249</v>
      </c>
      <c r="H407" s="50" t="s">
        <v>1039</v>
      </c>
      <c r="L407" s="52">
        <f>K406+L406</f>
        <v>966.41289500000016</v>
      </c>
      <c r="R407" s="64">
        <f>(R405/10)</f>
        <v>54.1494</v>
      </c>
      <c r="S407" s="56">
        <v>11</v>
      </c>
      <c r="T407" s="52" t="s">
        <v>249</v>
      </c>
      <c r="U407" s="52" t="s">
        <v>1039</v>
      </c>
      <c r="AE407" s="53"/>
      <c r="AF407" s="50" t="s">
        <v>238</v>
      </c>
      <c r="AH407" s="55"/>
      <c r="AI407" s="64">
        <f>SUM(AI403:AI405)</f>
        <v>9140.3591059999981</v>
      </c>
    </row>
    <row r="408" spans="1:35" ht="15.75">
      <c r="A408" s="74">
        <f t="shared" si="28"/>
        <v>243</v>
      </c>
      <c r="B408" s="75" t="s">
        <v>1026</v>
      </c>
      <c r="C408" s="73">
        <v>15.9</v>
      </c>
      <c r="D408" s="75" t="s">
        <v>153</v>
      </c>
      <c r="H408" s="64" t="str">
        <f>H309</f>
        <v>Bricks of size 22x11x7 cm</v>
      </c>
      <c r="O408" s="50" t="s">
        <v>155</v>
      </c>
      <c r="R408" s="59" t="s">
        <v>156</v>
      </c>
      <c r="U408" s="52" t="s">
        <v>978</v>
      </c>
      <c r="AE408" s="53"/>
      <c r="AH408" s="55"/>
      <c r="AI408" s="59" t="s">
        <v>21</v>
      </c>
    </row>
    <row r="409" spans="1:35" ht="15.75">
      <c r="A409" s="74">
        <f t="shared" si="28"/>
        <v>244</v>
      </c>
      <c r="B409" s="75" t="s">
        <v>1028</v>
      </c>
      <c r="C409" s="73">
        <v>28.6</v>
      </c>
      <c r="D409" s="75" t="s">
        <v>153</v>
      </c>
      <c r="H409" s="59" t="s">
        <v>21</v>
      </c>
      <c r="U409" s="52" t="s">
        <v>21</v>
      </c>
      <c r="AE409" s="53"/>
      <c r="AF409" s="50" t="s">
        <v>155</v>
      </c>
      <c r="AH409" s="55"/>
      <c r="AI409" s="63">
        <f>(AI407/10)</f>
        <v>914.03591059999985</v>
      </c>
    </row>
    <row r="410" spans="1:35" ht="15.75">
      <c r="A410" s="74">
        <f t="shared" si="28"/>
        <v>245</v>
      </c>
      <c r="B410" s="75" t="s">
        <v>1029</v>
      </c>
      <c r="C410" s="73">
        <v>46.5</v>
      </c>
      <c r="D410" s="75" t="s">
        <v>153</v>
      </c>
      <c r="F410" s="64">
        <f>F311</f>
        <v>4800</v>
      </c>
      <c r="G410" s="62" t="s">
        <v>267</v>
      </c>
      <c r="H410" s="64" t="str">
        <f>H309</f>
        <v>Bricks of size 22x11x7 cm</v>
      </c>
      <c r="I410" s="64">
        <f>(C80)</f>
        <v>6274.59</v>
      </c>
      <c r="J410" s="50" t="s">
        <v>841</v>
      </c>
      <c r="K410" s="64">
        <f>(F410*I410)/1000</f>
        <v>30118.031999999999</v>
      </c>
      <c r="N410" s="50" t="s">
        <v>249</v>
      </c>
      <c r="O410" s="50" t="s">
        <v>1040</v>
      </c>
      <c r="S410" s="56">
        <v>4600</v>
      </c>
      <c r="T410" s="52" t="s">
        <v>267</v>
      </c>
      <c r="U410" s="52" t="s">
        <v>978</v>
      </c>
      <c r="V410" s="52">
        <f t="shared" ref="V410:V415" si="30">V379</f>
        <v>7678.25</v>
      </c>
      <c r="W410" s="52" t="s">
        <v>841</v>
      </c>
      <c r="X410" s="52">
        <f>V410*S410/1000</f>
        <v>35319.949999999997</v>
      </c>
      <c r="AE410" s="53"/>
      <c r="AH410" s="55"/>
      <c r="AI410" s="59" t="s">
        <v>156</v>
      </c>
    </row>
    <row r="411" spans="1:35" ht="15.75">
      <c r="A411" s="74">
        <f t="shared" ref="A411:A421" si="31">(A410+1)</f>
        <v>246</v>
      </c>
      <c r="B411" s="75" t="s">
        <v>1030</v>
      </c>
      <c r="C411" s="73">
        <v>58.1</v>
      </c>
      <c r="D411" s="75" t="s">
        <v>153</v>
      </c>
      <c r="F411" s="64">
        <f>F380</f>
        <v>1.59</v>
      </c>
      <c r="G411" s="62" t="s">
        <v>151</v>
      </c>
      <c r="H411" s="50" t="s">
        <v>258</v>
      </c>
      <c r="I411" s="64">
        <f>(K40)</f>
        <v>4326.7</v>
      </c>
      <c r="J411" s="50" t="s">
        <v>151</v>
      </c>
      <c r="K411" s="64">
        <f>(F411*I411)</f>
        <v>6879.4530000000004</v>
      </c>
      <c r="O411" s="50" t="s">
        <v>1041</v>
      </c>
      <c r="S411" s="56">
        <v>1.59</v>
      </c>
      <c r="T411" s="52" t="s">
        <v>151</v>
      </c>
      <c r="U411" s="52" t="s">
        <v>258</v>
      </c>
      <c r="V411" s="52">
        <f t="shared" si="30"/>
        <v>4326.7</v>
      </c>
      <c r="W411" s="52" t="s">
        <v>151</v>
      </c>
      <c r="X411" s="52">
        <f t="shared" ref="X411:X416" si="32">V411*S411</f>
        <v>6879.4530000000004</v>
      </c>
      <c r="AE411" s="53"/>
      <c r="AF411" s="50" t="s">
        <v>271</v>
      </c>
      <c r="AH411" s="55">
        <f>C19*0.114</f>
        <v>9.4483199999999989</v>
      </c>
      <c r="AI411" s="63">
        <f>AI409+AH411</f>
        <v>923.48423059999982</v>
      </c>
    </row>
    <row r="412" spans="1:35" ht="15.75">
      <c r="A412" s="74">
        <f t="shared" si="31"/>
        <v>247</v>
      </c>
      <c r="B412" s="75" t="s">
        <v>979</v>
      </c>
      <c r="C412" s="73">
        <v>69.8</v>
      </c>
      <c r="D412" s="75" t="s">
        <v>153</v>
      </c>
      <c r="F412" s="64">
        <v>7</v>
      </c>
      <c r="G412" s="62" t="s">
        <v>153</v>
      </c>
      <c r="H412" s="50" t="s">
        <v>269</v>
      </c>
      <c r="I412" s="64">
        <f>(C10)</f>
        <v>1076.5999999999999</v>
      </c>
      <c r="J412" s="50" t="s">
        <v>153</v>
      </c>
      <c r="K412" s="64">
        <f>(F412*I412)</f>
        <v>7536.1999999999989</v>
      </c>
      <c r="O412" s="59" t="s">
        <v>21</v>
      </c>
      <c r="S412" s="56">
        <v>7</v>
      </c>
      <c r="T412" s="52" t="s">
        <v>153</v>
      </c>
      <c r="U412" s="52" t="s">
        <v>269</v>
      </c>
      <c r="V412" s="52">
        <f t="shared" si="30"/>
        <v>1076.5999999999999</v>
      </c>
      <c r="W412" s="52" t="s">
        <v>153</v>
      </c>
      <c r="X412" s="52">
        <f t="shared" si="32"/>
        <v>7536.1999999999989</v>
      </c>
      <c r="AE412" s="53"/>
      <c r="AF412" s="50" t="s">
        <v>272</v>
      </c>
      <c r="AH412" s="55">
        <f>C20*0.114</f>
        <v>19.040279999999999</v>
      </c>
      <c r="AI412" s="63">
        <f t="shared" ref="AI412:AI420" si="33">AI411+AH412</f>
        <v>942.52451059999987</v>
      </c>
    </row>
    <row r="413" spans="1:35" ht="15.75">
      <c r="A413" s="74">
        <f t="shared" si="31"/>
        <v>248</v>
      </c>
      <c r="B413" s="144" t="s">
        <v>1042</v>
      </c>
      <c r="C413" s="145">
        <v>212</v>
      </c>
      <c r="D413" s="146" t="s">
        <v>153</v>
      </c>
      <c r="F413" s="64">
        <v>7.1</v>
      </c>
      <c r="G413" s="62" t="s">
        <v>153</v>
      </c>
      <c r="H413" s="50" t="s">
        <v>234</v>
      </c>
      <c r="I413" s="64">
        <f>(C11)</f>
        <v>1005.1999999999999</v>
      </c>
      <c r="J413" s="50" t="s">
        <v>153</v>
      </c>
      <c r="K413" s="64">
        <f>(F413*I413)</f>
        <v>7136.9199999999992</v>
      </c>
      <c r="M413" s="64">
        <v>10</v>
      </c>
      <c r="N413" s="50" t="s">
        <v>152</v>
      </c>
      <c r="O413" s="50" t="s">
        <v>1016</v>
      </c>
      <c r="P413" s="64">
        <f>(R384)</f>
        <v>24.7879</v>
      </c>
      <c r="Q413" s="50" t="s">
        <v>152</v>
      </c>
      <c r="R413" s="64">
        <f>(M413*P413)</f>
        <v>247.87900000000002</v>
      </c>
      <c r="S413" s="56">
        <v>7.1</v>
      </c>
      <c r="T413" s="52" t="s">
        <v>153</v>
      </c>
      <c r="U413" s="52" t="s">
        <v>234</v>
      </c>
      <c r="V413" s="52">
        <f t="shared" si="30"/>
        <v>1005.1999999999999</v>
      </c>
      <c r="W413" s="52" t="s">
        <v>153</v>
      </c>
      <c r="X413" s="52">
        <f t="shared" si="32"/>
        <v>7136.9199999999992</v>
      </c>
      <c r="AE413" s="53"/>
      <c r="AF413" s="50" t="s">
        <v>767</v>
      </c>
      <c r="AH413" s="55">
        <f t="shared" ref="AH413:AH422" si="34">AH412</f>
        <v>19.040279999999999</v>
      </c>
      <c r="AI413" s="63">
        <f t="shared" si="33"/>
        <v>961.56479059999992</v>
      </c>
    </row>
    <row r="414" spans="1:35" ht="15.75">
      <c r="A414" s="74">
        <f t="shared" si="31"/>
        <v>249</v>
      </c>
      <c r="B414" s="147" t="s">
        <v>1043</v>
      </c>
      <c r="C414" s="90"/>
      <c r="D414" s="75" t="s">
        <v>150</v>
      </c>
      <c r="F414" s="64">
        <v>7.1</v>
      </c>
      <c r="G414" s="62" t="s">
        <v>153</v>
      </c>
      <c r="H414" s="50" t="s">
        <v>235</v>
      </c>
      <c r="I414" s="64">
        <f>(C12)</f>
        <v>702.8</v>
      </c>
      <c r="J414" s="50" t="s">
        <v>153</v>
      </c>
      <c r="K414" s="64">
        <f>(F414*I414)</f>
        <v>4989.8799999999992</v>
      </c>
      <c r="M414" s="64">
        <v>10</v>
      </c>
      <c r="N414" s="50" t="s">
        <v>152</v>
      </c>
      <c r="O414" s="50" t="s">
        <v>1034</v>
      </c>
      <c r="P414" s="64">
        <f>(R407)</f>
        <v>54.1494</v>
      </c>
      <c r="Q414" s="50" t="s">
        <v>152</v>
      </c>
      <c r="R414" s="64">
        <f>(M414*P414)</f>
        <v>541.49400000000003</v>
      </c>
      <c r="S414" s="56">
        <v>7.1</v>
      </c>
      <c r="T414" s="52" t="s">
        <v>153</v>
      </c>
      <c r="U414" s="52" t="s">
        <v>235</v>
      </c>
      <c r="V414" s="52">
        <f t="shared" si="30"/>
        <v>702.8</v>
      </c>
      <c r="W414" s="52" t="s">
        <v>153</v>
      </c>
      <c r="X414" s="52">
        <f t="shared" si="32"/>
        <v>4989.8799999999992</v>
      </c>
      <c r="AE414" s="53"/>
      <c r="AF414" s="50" t="s">
        <v>769</v>
      </c>
      <c r="AH414" s="55">
        <f t="shared" si="34"/>
        <v>19.040279999999999</v>
      </c>
      <c r="AI414" s="63">
        <f t="shared" si="33"/>
        <v>980.60507059999998</v>
      </c>
    </row>
    <row r="415" spans="1:35" ht="15.75">
      <c r="A415" s="74">
        <f t="shared" si="31"/>
        <v>250</v>
      </c>
      <c r="B415" s="75" t="s">
        <v>1033</v>
      </c>
      <c r="C415" s="73">
        <v>15.9</v>
      </c>
      <c r="D415" s="75" t="s">
        <v>153</v>
      </c>
      <c r="F415" s="64">
        <v>21.2</v>
      </c>
      <c r="G415" s="62" t="s">
        <v>153</v>
      </c>
      <c r="H415" s="50" t="s">
        <v>236</v>
      </c>
      <c r="I415" s="64">
        <f>(C13)</f>
        <v>576.79999999999995</v>
      </c>
      <c r="J415" s="50" t="s">
        <v>153</v>
      </c>
      <c r="K415" s="64">
        <f>(F415*I415)</f>
        <v>12228.159999999998</v>
      </c>
      <c r="O415" s="50" t="s">
        <v>150</v>
      </c>
      <c r="R415" s="59" t="s">
        <v>21</v>
      </c>
      <c r="S415" s="56">
        <v>21.2</v>
      </c>
      <c r="T415" s="52" t="s">
        <v>153</v>
      </c>
      <c r="U415" s="52" t="s">
        <v>236</v>
      </c>
      <c r="V415" s="52">
        <f t="shared" si="30"/>
        <v>576.79999999999995</v>
      </c>
      <c r="W415" s="52" t="s">
        <v>153</v>
      </c>
      <c r="X415" s="52">
        <f t="shared" si="32"/>
        <v>12228.159999999998</v>
      </c>
      <c r="AE415" s="53"/>
      <c r="AF415" s="50" t="s">
        <v>838</v>
      </c>
      <c r="AH415" s="55">
        <f t="shared" si="34"/>
        <v>19.040279999999999</v>
      </c>
      <c r="AI415" s="63">
        <f t="shared" si="33"/>
        <v>999.64535060000003</v>
      </c>
    </row>
    <row r="416" spans="1:35" ht="15.75">
      <c r="A416" s="74">
        <f t="shared" si="31"/>
        <v>251</v>
      </c>
      <c r="B416" s="75" t="s">
        <v>1026</v>
      </c>
      <c r="C416" s="73">
        <v>25.4</v>
      </c>
      <c r="D416" s="75" t="s">
        <v>153</v>
      </c>
      <c r="G416" s="62" t="s">
        <v>226</v>
      </c>
      <c r="H416" s="50" t="s">
        <v>237</v>
      </c>
      <c r="I416" s="50" t="s">
        <v>150</v>
      </c>
      <c r="J416" s="50" t="s">
        <v>226</v>
      </c>
      <c r="K416" s="64">
        <v>0</v>
      </c>
      <c r="R416" s="64">
        <f>SUM(R413:R414)</f>
        <v>789.37300000000005</v>
      </c>
      <c r="T416" s="52" t="s">
        <v>226</v>
      </c>
      <c r="U416" s="52" t="s">
        <v>237</v>
      </c>
      <c r="V416" s="52" t="s">
        <v>150</v>
      </c>
      <c r="W416" s="52" t="s">
        <v>226</v>
      </c>
      <c r="X416" s="52" t="e">
        <f t="shared" si="32"/>
        <v>#VALUE!</v>
      </c>
      <c r="AE416" s="53"/>
      <c r="AF416" s="50" t="s">
        <v>1044</v>
      </c>
      <c r="AH416" s="55">
        <f t="shared" si="34"/>
        <v>19.040279999999999</v>
      </c>
      <c r="AI416" s="63">
        <f t="shared" si="33"/>
        <v>1018.6856306000001</v>
      </c>
    </row>
    <row r="417" spans="1:37" ht="15.75">
      <c r="A417" s="74">
        <f t="shared" si="31"/>
        <v>252</v>
      </c>
      <c r="B417" s="75" t="s">
        <v>1028</v>
      </c>
      <c r="C417" s="73">
        <v>58.1</v>
      </c>
      <c r="D417" s="75" t="s">
        <v>153</v>
      </c>
      <c r="K417" s="59" t="s">
        <v>21</v>
      </c>
      <c r="O417" s="50" t="s">
        <v>238</v>
      </c>
      <c r="R417" s="59" t="s">
        <v>21</v>
      </c>
      <c r="X417" s="104" t="s">
        <v>1022</v>
      </c>
      <c r="Y417" s="104"/>
      <c r="AE417" s="53"/>
      <c r="AF417" s="50" t="s">
        <v>1045</v>
      </c>
      <c r="AH417" s="55">
        <f t="shared" si="34"/>
        <v>19.040279999999999</v>
      </c>
      <c r="AI417" s="63">
        <f t="shared" si="33"/>
        <v>1037.7259106000001</v>
      </c>
    </row>
    <row r="418" spans="1:37" ht="15.75">
      <c r="A418" s="74">
        <f t="shared" si="31"/>
        <v>253</v>
      </c>
      <c r="B418" s="75" t="s">
        <v>1029</v>
      </c>
      <c r="C418" s="73">
        <v>87</v>
      </c>
      <c r="D418" s="75" t="s">
        <v>153</v>
      </c>
      <c r="H418" s="50" t="s">
        <v>263</v>
      </c>
      <c r="K418" s="64">
        <f>SUM(K410:K416)</f>
        <v>68888.64499999999</v>
      </c>
      <c r="R418" s="64">
        <f>(R416/10)</f>
        <v>78.937300000000008</v>
      </c>
      <c r="U418" s="52" t="s">
        <v>263</v>
      </c>
      <c r="X418" s="52" t="e">
        <f>SUM(X410:X416)</f>
        <v>#VALUE!</v>
      </c>
      <c r="AE418" s="53"/>
      <c r="AF418" s="50" t="s">
        <v>1046</v>
      </c>
      <c r="AH418" s="55">
        <f t="shared" si="34"/>
        <v>19.040279999999999</v>
      </c>
      <c r="AI418" s="63">
        <f t="shared" si="33"/>
        <v>1056.7661906000001</v>
      </c>
    </row>
    <row r="419" spans="1:37" ht="15.75">
      <c r="A419" s="74">
        <f t="shared" si="31"/>
        <v>254</v>
      </c>
      <c r="B419" s="75" t="s">
        <v>1030</v>
      </c>
      <c r="C419" s="73">
        <v>98.6</v>
      </c>
      <c r="D419" s="75" t="s">
        <v>153</v>
      </c>
      <c r="K419" s="59" t="s">
        <v>21</v>
      </c>
      <c r="O419" s="50" t="s">
        <v>155</v>
      </c>
      <c r="R419" s="59" t="s">
        <v>156</v>
      </c>
      <c r="X419" s="104" t="s">
        <v>1022</v>
      </c>
      <c r="Y419" s="104"/>
      <c r="AE419" s="53"/>
      <c r="AF419" s="50" t="s">
        <v>1047</v>
      </c>
      <c r="AH419" s="55">
        <f t="shared" si="34"/>
        <v>19.040279999999999</v>
      </c>
      <c r="AI419" s="63">
        <f>AI418+AH419</f>
        <v>1075.8064706</v>
      </c>
    </row>
    <row r="420" spans="1:37" ht="15.75">
      <c r="A420" s="74">
        <f t="shared" si="31"/>
        <v>255</v>
      </c>
      <c r="B420" s="75" t="s">
        <v>979</v>
      </c>
      <c r="C420" s="73">
        <v>128</v>
      </c>
      <c r="D420" s="75" t="s">
        <v>153</v>
      </c>
      <c r="H420" s="50" t="s">
        <v>270</v>
      </c>
      <c r="K420" s="64">
        <f>(K418/10)</f>
        <v>6888.8644999999988</v>
      </c>
      <c r="U420" s="52" t="s">
        <v>270</v>
      </c>
      <c r="X420" s="52" t="e">
        <f>X418/10</f>
        <v>#VALUE!</v>
      </c>
      <c r="AE420" s="53"/>
      <c r="AF420" s="50" t="s">
        <v>1048</v>
      </c>
      <c r="AH420" s="55">
        <f t="shared" si="34"/>
        <v>19.040279999999999</v>
      </c>
      <c r="AI420" s="63">
        <f t="shared" si="33"/>
        <v>1094.8467506</v>
      </c>
    </row>
    <row r="421" spans="1:37" ht="15.75">
      <c r="A421" s="74">
        <f t="shared" si="31"/>
        <v>256</v>
      </c>
      <c r="B421" s="146" t="s">
        <v>1042</v>
      </c>
      <c r="C421" s="145">
        <v>283</v>
      </c>
      <c r="D421" s="146" t="s">
        <v>153</v>
      </c>
      <c r="K421" s="59" t="s">
        <v>156</v>
      </c>
      <c r="X421" s="104" t="s">
        <v>1024</v>
      </c>
      <c r="Y421" s="104"/>
      <c r="AD421" s="88">
        <v>11</v>
      </c>
      <c r="AE421" s="62" t="s">
        <v>249</v>
      </c>
      <c r="AF421" s="50" t="s">
        <v>1039</v>
      </c>
      <c r="AH421" s="55">
        <f t="shared" si="34"/>
        <v>19.040279999999999</v>
      </c>
      <c r="AI421" s="63">
        <f>AI420+AH421</f>
        <v>1113.8870305999999</v>
      </c>
    </row>
    <row r="422" spans="1:37" ht="15.75">
      <c r="A422" s="90"/>
      <c r="B422" s="90"/>
      <c r="C422" s="90"/>
      <c r="D422" s="90"/>
      <c r="F422" s="50" t="s">
        <v>646</v>
      </c>
      <c r="S422" s="56" t="s">
        <v>646</v>
      </c>
      <c r="AE422" s="53"/>
      <c r="AF422" s="64">
        <f>AF307</f>
        <v>0</v>
      </c>
      <c r="AH422" s="55">
        <f t="shared" si="34"/>
        <v>19.040279999999999</v>
      </c>
      <c r="AI422" s="63">
        <f>AI421+AH422</f>
        <v>1132.9273105999998</v>
      </c>
      <c r="AJ422" s="52" t="s">
        <v>1049</v>
      </c>
      <c r="AK422" s="52">
        <f>AI422+AH422</f>
        <v>1151.9675905999998</v>
      </c>
    </row>
    <row r="423" spans="1:37" ht="15.75">
      <c r="A423" s="74">
        <f>(A421+1)</f>
        <v>257</v>
      </c>
      <c r="B423" s="147" t="s">
        <v>1050</v>
      </c>
      <c r="C423" s="90"/>
      <c r="D423" s="75" t="s">
        <v>150</v>
      </c>
      <c r="O423" s="51" t="s">
        <v>1051</v>
      </c>
      <c r="AE423" s="53"/>
      <c r="AF423" s="59" t="s">
        <v>21</v>
      </c>
      <c r="AH423" s="55"/>
      <c r="AJ423" s="52" t="s">
        <v>1052</v>
      </c>
      <c r="AK423" s="52">
        <f>AK422+AH422</f>
        <v>1171.0078705999997</v>
      </c>
    </row>
    <row r="424" spans="1:37" ht="15.75">
      <c r="A424" s="74">
        <f t="shared" ref="A424:A487" si="35">(A423+1)</f>
        <v>258</v>
      </c>
      <c r="B424" s="75" t="s">
        <v>1033</v>
      </c>
      <c r="C424" s="73">
        <v>58.1</v>
      </c>
      <c r="D424" s="75" t="s">
        <v>153</v>
      </c>
      <c r="G424" s="62" t="s">
        <v>848</v>
      </c>
      <c r="H424" s="50" t="s">
        <v>849</v>
      </c>
      <c r="O424" s="59" t="s">
        <v>21</v>
      </c>
      <c r="T424" s="52" t="s">
        <v>848</v>
      </c>
      <c r="U424" s="52" t="s">
        <v>849</v>
      </c>
      <c r="AD424" s="64">
        <f>AD311</f>
        <v>4240</v>
      </c>
      <c r="AE424" s="62" t="s">
        <v>267</v>
      </c>
      <c r="AF424" s="64" t="str">
        <f>AF311</f>
        <v>Bricks of size 23x11.4x7.5 cm</v>
      </c>
      <c r="AG424" s="64">
        <f t="shared" ref="AG424:AG429" si="36">AG388</f>
        <v>7865.25</v>
      </c>
      <c r="AH424" s="50" t="s">
        <v>841</v>
      </c>
      <c r="AI424" s="64">
        <f>(AD424*AG424)/1000</f>
        <v>33348.660000000003</v>
      </c>
    </row>
    <row r="425" spans="1:37" ht="15.75">
      <c r="A425" s="74">
        <f t="shared" si="35"/>
        <v>259</v>
      </c>
      <c r="B425" s="75" t="s">
        <v>1026</v>
      </c>
      <c r="C425" s="73">
        <v>69.8</v>
      </c>
      <c r="D425" s="75" t="s">
        <v>153</v>
      </c>
      <c r="H425" s="59" t="s">
        <v>21</v>
      </c>
      <c r="N425" s="50" t="s">
        <v>249</v>
      </c>
      <c r="O425" s="50" t="s">
        <v>1053</v>
      </c>
      <c r="U425" s="52" t="s">
        <v>21</v>
      </c>
      <c r="AD425" s="64">
        <v>1.27</v>
      </c>
      <c r="AE425" s="62" t="s">
        <v>151</v>
      </c>
      <c r="AF425" s="50" t="s">
        <v>258</v>
      </c>
      <c r="AG425" s="64">
        <f t="shared" si="36"/>
        <v>4326.7</v>
      </c>
      <c r="AH425" s="50" t="s">
        <v>151</v>
      </c>
      <c r="AI425" s="64">
        <f>(AD425*AG425)</f>
        <v>5494.9089999999997</v>
      </c>
    </row>
    <row r="426" spans="1:37" ht="15.75">
      <c r="A426" s="74">
        <f t="shared" si="35"/>
        <v>260</v>
      </c>
      <c r="B426" s="75" t="s">
        <v>1028</v>
      </c>
      <c r="C426" s="73">
        <v>98.6</v>
      </c>
      <c r="D426" s="75" t="s">
        <v>153</v>
      </c>
      <c r="F426" s="64">
        <v>0.7</v>
      </c>
      <c r="G426" s="62" t="s">
        <v>151</v>
      </c>
      <c r="H426" s="50" t="s">
        <v>850</v>
      </c>
      <c r="I426" s="64">
        <f>(K420)</f>
        <v>6888.8644999999988</v>
      </c>
      <c r="J426" s="50" t="s">
        <v>153</v>
      </c>
      <c r="K426" s="64">
        <f>(F426*I426)</f>
        <v>4822.2051499999989</v>
      </c>
      <c r="O426" s="50" t="s">
        <v>1054</v>
      </c>
      <c r="S426" s="56">
        <v>0.7</v>
      </c>
      <c r="T426" s="52" t="s">
        <v>151</v>
      </c>
      <c r="U426" s="52" t="s">
        <v>850</v>
      </c>
      <c r="V426" s="52" t="e">
        <f>X420</f>
        <v>#VALUE!</v>
      </c>
      <c r="W426" s="52" t="s">
        <v>153</v>
      </c>
      <c r="X426" s="52" t="e">
        <f>V426*S426</f>
        <v>#VALUE!</v>
      </c>
      <c r="AD426" s="64">
        <v>7</v>
      </c>
      <c r="AE426" s="62" t="s">
        <v>153</v>
      </c>
      <c r="AF426" s="50" t="s">
        <v>269</v>
      </c>
      <c r="AG426" s="64">
        <f t="shared" si="36"/>
        <v>1076.5999999999999</v>
      </c>
      <c r="AH426" s="50" t="s">
        <v>153</v>
      </c>
      <c r="AI426" s="64">
        <f>(AD426*AG426)</f>
        <v>7536.1999999999989</v>
      </c>
    </row>
    <row r="427" spans="1:37" ht="15.75">
      <c r="A427" s="74">
        <f t="shared" si="35"/>
        <v>261</v>
      </c>
      <c r="B427" s="75" t="s">
        <v>1029</v>
      </c>
      <c r="C427" s="73">
        <v>127.5</v>
      </c>
      <c r="D427" s="75" t="s">
        <v>153</v>
      </c>
      <c r="F427" s="64">
        <v>1</v>
      </c>
      <c r="G427" s="62" t="s">
        <v>4</v>
      </c>
      <c r="H427" s="50" t="s">
        <v>269</v>
      </c>
      <c r="I427" s="64">
        <f>(C10)</f>
        <v>1076.5999999999999</v>
      </c>
      <c r="J427" s="50" t="s">
        <v>153</v>
      </c>
      <c r="K427" s="64">
        <f>(F427*I427)</f>
        <v>1076.5999999999999</v>
      </c>
      <c r="O427" s="50" t="s">
        <v>1055</v>
      </c>
      <c r="S427" s="56">
        <v>1</v>
      </c>
      <c r="T427" s="52" t="s">
        <v>4</v>
      </c>
      <c r="U427" s="52" t="s">
        <v>269</v>
      </c>
      <c r="V427" s="52">
        <f>V395</f>
        <v>1076.5999999999999</v>
      </c>
      <c r="W427" s="52" t="s">
        <v>153</v>
      </c>
      <c r="X427" s="52">
        <f>V427*S427</f>
        <v>1076.5999999999999</v>
      </c>
      <c r="AD427" s="64">
        <v>7.1</v>
      </c>
      <c r="AE427" s="62" t="s">
        <v>153</v>
      </c>
      <c r="AF427" s="50" t="s">
        <v>234</v>
      </c>
      <c r="AG427" s="64">
        <f t="shared" si="36"/>
        <v>1005.1999999999999</v>
      </c>
      <c r="AH427" s="50" t="s">
        <v>153</v>
      </c>
      <c r="AI427" s="64">
        <f>(AD427*AG427)</f>
        <v>7136.9199999999992</v>
      </c>
    </row>
    <row r="428" spans="1:37" ht="15.75">
      <c r="A428" s="74">
        <f t="shared" si="35"/>
        <v>262</v>
      </c>
      <c r="B428" s="75" t="s">
        <v>1030</v>
      </c>
      <c r="C428" s="73">
        <v>197.5</v>
      </c>
      <c r="D428" s="75" t="s">
        <v>153</v>
      </c>
      <c r="G428" s="62" t="s">
        <v>226</v>
      </c>
      <c r="H428" s="50" t="s">
        <v>237</v>
      </c>
      <c r="I428" s="50" t="s">
        <v>150</v>
      </c>
      <c r="J428" s="50" t="s">
        <v>226</v>
      </c>
      <c r="K428" s="64">
        <v>0</v>
      </c>
      <c r="O428" s="59" t="s">
        <v>21</v>
      </c>
      <c r="T428" s="52" t="s">
        <v>226</v>
      </c>
      <c r="U428" s="52" t="s">
        <v>237</v>
      </c>
      <c r="V428" s="52" t="s">
        <v>150</v>
      </c>
      <c r="W428" s="52" t="s">
        <v>226</v>
      </c>
      <c r="X428" s="52">
        <v>0</v>
      </c>
      <c r="AD428" s="64">
        <f>AD315</f>
        <v>7.1</v>
      </c>
      <c r="AE428" s="62" t="s">
        <v>153</v>
      </c>
      <c r="AF428" s="50" t="s">
        <v>235</v>
      </c>
      <c r="AG428" s="64">
        <f t="shared" si="36"/>
        <v>702.8</v>
      </c>
      <c r="AH428" s="50" t="s">
        <v>153</v>
      </c>
      <c r="AI428" s="64">
        <f>(AD428*AG428)</f>
        <v>4989.8799999999992</v>
      </c>
    </row>
    <row r="429" spans="1:37" ht="15.75">
      <c r="A429" s="74">
        <f t="shared" si="35"/>
        <v>263</v>
      </c>
      <c r="B429" s="75" t="s">
        <v>979</v>
      </c>
      <c r="C429" s="73">
        <v>266.3</v>
      </c>
      <c r="D429" s="75" t="s">
        <v>153</v>
      </c>
      <c r="K429" s="59" t="s">
        <v>21</v>
      </c>
      <c r="N429" s="50" t="s">
        <v>1056</v>
      </c>
      <c r="O429" s="51" t="s">
        <v>1057</v>
      </c>
      <c r="X429" s="104" t="s">
        <v>1022</v>
      </c>
      <c r="Y429" s="104"/>
      <c r="AD429" s="64">
        <f>AD316</f>
        <v>21.2</v>
      </c>
      <c r="AE429" s="62" t="s">
        <v>153</v>
      </c>
      <c r="AF429" s="50" t="s">
        <v>236</v>
      </c>
      <c r="AG429" s="64">
        <f t="shared" si="36"/>
        <v>576.79999999999995</v>
      </c>
      <c r="AH429" s="50" t="s">
        <v>153</v>
      </c>
      <c r="AI429" s="64">
        <f>(AD429*AG429)</f>
        <v>12228.159999999998</v>
      </c>
    </row>
    <row r="430" spans="1:37" ht="15.75">
      <c r="A430" s="74">
        <f t="shared" si="35"/>
        <v>264</v>
      </c>
      <c r="B430" s="146" t="s">
        <v>1058</v>
      </c>
      <c r="C430" s="145">
        <v>558</v>
      </c>
      <c r="D430" s="146" t="s">
        <v>153</v>
      </c>
      <c r="H430" s="50" t="s">
        <v>238</v>
      </c>
      <c r="K430" s="64">
        <f>SUM(K426:K428)</f>
        <v>5898.8051499999983</v>
      </c>
      <c r="O430" s="59" t="s">
        <v>21</v>
      </c>
      <c r="U430" s="52" t="s">
        <v>238</v>
      </c>
      <c r="X430" s="52" t="e">
        <f>SUM(X426:X428)</f>
        <v>#VALUE!</v>
      </c>
      <c r="AD430" s="64">
        <f>AD317</f>
        <v>0</v>
      </c>
      <c r="AE430" s="62" t="s">
        <v>226</v>
      </c>
      <c r="AF430" s="50" t="s">
        <v>237</v>
      </c>
      <c r="AG430" s="50" t="s">
        <v>150</v>
      </c>
      <c r="AH430" s="50" t="s">
        <v>226</v>
      </c>
      <c r="AI430" s="64">
        <v>0</v>
      </c>
    </row>
    <row r="431" spans="1:37" ht="15.75">
      <c r="A431" s="74">
        <f t="shared" si="35"/>
        <v>265</v>
      </c>
      <c r="B431" s="75" t="s">
        <v>1059</v>
      </c>
      <c r="C431" s="90"/>
      <c r="D431" s="75" t="s">
        <v>150</v>
      </c>
      <c r="K431" s="59" t="s">
        <v>21</v>
      </c>
      <c r="M431" s="64">
        <v>8.1</v>
      </c>
      <c r="N431" s="50" t="s">
        <v>151</v>
      </c>
      <c r="O431" s="50" t="s">
        <v>1060</v>
      </c>
      <c r="P431" s="64">
        <f>(C61)*2</f>
        <v>235.2</v>
      </c>
      <c r="Q431" s="50" t="s">
        <v>151</v>
      </c>
      <c r="R431" s="64">
        <f>(M431*P431)</f>
        <v>1905.12</v>
      </c>
      <c r="X431" s="104" t="s">
        <v>1022</v>
      </c>
      <c r="Y431" s="104"/>
      <c r="AD431" s="64">
        <f>AD318</f>
        <v>0</v>
      </c>
      <c r="AE431" s="53"/>
      <c r="AH431" s="55"/>
      <c r="AI431" s="59" t="s">
        <v>21</v>
      </c>
    </row>
    <row r="432" spans="1:37" ht="15.75">
      <c r="A432" s="74">
        <f t="shared" si="35"/>
        <v>266</v>
      </c>
      <c r="B432" s="75" t="s">
        <v>1033</v>
      </c>
      <c r="C432" s="76">
        <v>1.8</v>
      </c>
      <c r="D432" s="75" t="s">
        <v>153</v>
      </c>
      <c r="H432" s="50" t="s">
        <v>155</v>
      </c>
      <c r="K432" s="64">
        <f>(K430/10)</f>
        <v>589.88051499999983</v>
      </c>
      <c r="M432" s="64">
        <v>8.1</v>
      </c>
      <c r="N432" s="50" t="s">
        <v>151</v>
      </c>
      <c r="O432" s="50" t="s">
        <v>1061</v>
      </c>
      <c r="P432" s="64">
        <f>(C26)</f>
        <v>41.019999999999996</v>
      </c>
      <c r="Q432" s="50" t="s">
        <v>151</v>
      </c>
      <c r="R432" s="64">
        <f>(M432*P432)</f>
        <v>332.26199999999994</v>
      </c>
      <c r="U432" s="52" t="s">
        <v>155</v>
      </c>
      <c r="X432" s="52" t="e">
        <f>X430/10</f>
        <v>#VALUE!</v>
      </c>
      <c r="AD432" s="64">
        <f>AD319</f>
        <v>0</v>
      </c>
      <c r="AE432" s="53"/>
      <c r="AF432" s="50" t="s">
        <v>263</v>
      </c>
      <c r="AH432" s="55"/>
      <c r="AI432" s="64">
        <f>SUM(AI424:AI431)</f>
        <v>70734.728999999992</v>
      </c>
    </row>
    <row r="433" spans="1:35" ht="15.75">
      <c r="A433" s="74">
        <f t="shared" si="35"/>
        <v>267</v>
      </c>
      <c r="B433" s="75" t="s">
        <v>1026</v>
      </c>
      <c r="C433" s="76">
        <v>2.9</v>
      </c>
      <c r="D433" s="75" t="s">
        <v>153</v>
      </c>
      <c r="K433" s="59" t="s">
        <v>156</v>
      </c>
      <c r="M433" s="64">
        <v>30</v>
      </c>
      <c r="N433" s="50" t="s">
        <v>552</v>
      </c>
      <c r="O433" s="50" t="s">
        <v>1062</v>
      </c>
      <c r="P433" s="64">
        <f>(C42)</f>
        <v>5</v>
      </c>
      <c r="Q433" s="50" t="s">
        <v>552</v>
      </c>
      <c r="R433" s="64">
        <f>(M433*P433)</f>
        <v>150</v>
      </c>
      <c r="X433" s="104" t="s">
        <v>1024</v>
      </c>
      <c r="Y433" s="104"/>
      <c r="AE433" s="53"/>
      <c r="AH433" s="55"/>
      <c r="AI433" s="59" t="s">
        <v>21</v>
      </c>
    </row>
    <row r="434" spans="1:35" ht="15.75">
      <c r="A434" s="74">
        <f t="shared" si="35"/>
        <v>268</v>
      </c>
      <c r="B434" s="75" t="s">
        <v>1028</v>
      </c>
      <c r="C434" s="76">
        <v>4</v>
      </c>
      <c r="D434" s="75" t="s">
        <v>153</v>
      </c>
      <c r="H434" s="50" t="s">
        <v>271</v>
      </c>
      <c r="K434" s="63">
        <f>(K432+C19/10*F426)</f>
        <v>595.68211499999984</v>
      </c>
      <c r="O434" s="50" t="s">
        <v>1063</v>
      </c>
      <c r="U434" s="65" t="s">
        <v>271</v>
      </c>
      <c r="W434" s="52">
        <f>0.07*C19</f>
        <v>5.8016000000000005</v>
      </c>
      <c r="X434" s="65" t="e">
        <f>X432+W434</f>
        <v>#VALUE!</v>
      </c>
      <c r="Y434" s="65"/>
      <c r="AE434" s="53"/>
      <c r="AF434" s="50" t="s">
        <v>270</v>
      </c>
      <c r="AH434" s="55"/>
      <c r="AI434" s="64">
        <f>(AI432/10)</f>
        <v>7073.4728999999988</v>
      </c>
    </row>
    <row r="435" spans="1:35" ht="15.75">
      <c r="A435" s="74">
        <f t="shared" si="35"/>
        <v>269</v>
      </c>
      <c r="B435" s="75" t="s">
        <v>1029</v>
      </c>
      <c r="C435" s="76">
        <v>6.86</v>
      </c>
      <c r="D435" s="75" t="s">
        <v>153</v>
      </c>
      <c r="H435" s="50" t="s">
        <v>272</v>
      </c>
      <c r="K435" s="63">
        <f>(K434+C20/10*F426)</f>
        <v>607.37351499999988</v>
      </c>
      <c r="O435" s="50" t="s">
        <v>1064</v>
      </c>
      <c r="U435" s="65" t="s">
        <v>272</v>
      </c>
      <c r="W435" s="52">
        <f>0.07*C20</f>
        <v>11.6914</v>
      </c>
      <c r="X435" s="65" t="e">
        <f>X434+W435</f>
        <v>#VALUE!</v>
      </c>
      <c r="Y435" s="65"/>
      <c r="AE435" s="53"/>
      <c r="AH435" s="55"/>
      <c r="AI435" s="59" t="s">
        <v>156</v>
      </c>
    </row>
    <row r="436" spans="1:35" ht="15.75">
      <c r="A436" s="74">
        <f t="shared" si="35"/>
        <v>270</v>
      </c>
      <c r="B436" s="75" t="s">
        <v>1030</v>
      </c>
      <c r="C436" s="76">
        <v>9.15</v>
      </c>
      <c r="D436" s="75" t="s">
        <v>153</v>
      </c>
      <c r="H436" s="50" t="s">
        <v>767</v>
      </c>
      <c r="K436" s="63">
        <f>(K435+C21/10*F426)</f>
        <v>619.06491499999993</v>
      </c>
      <c r="O436" s="50" t="s">
        <v>1065</v>
      </c>
      <c r="U436" s="65" t="s">
        <v>767</v>
      </c>
      <c r="W436" s="52">
        <f>W435</f>
        <v>11.6914</v>
      </c>
      <c r="X436" s="65" t="e">
        <f>X435+W436</f>
        <v>#VALUE!</v>
      </c>
      <c r="Y436" s="65"/>
      <c r="AD436" s="50" t="s">
        <v>646</v>
      </c>
      <c r="AE436" s="53"/>
      <c r="AH436" s="55"/>
    </row>
    <row r="437" spans="1:35" ht="15.75">
      <c r="A437" s="74">
        <f t="shared" si="35"/>
        <v>271</v>
      </c>
      <c r="B437" s="75" t="s">
        <v>979</v>
      </c>
      <c r="C437" s="76">
        <v>14.59</v>
      </c>
      <c r="D437" s="75" t="s">
        <v>153</v>
      </c>
      <c r="H437" s="50" t="s">
        <v>769</v>
      </c>
      <c r="K437" s="63">
        <f>(K436+C21/10*F426)</f>
        <v>630.75631499999997</v>
      </c>
      <c r="O437" s="50" t="s">
        <v>1066</v>
      </c>
      <c r="U437" s="65" t="s">
        <v>769</v>
      </c>
      <c r="W437" s="52">
        <f>W436</f>
        <v>11.6914</v>
      </c>
      <c r="X437" s="65" t="e">
        <f>X436+W437</f>
        <v>#VALUE!</v>
      </c>
      <c r="Y437" s="65"/>
      <c r="AE437" s="53"/>
      <c r="AH437" s="55"/>
    </row>
    <row r="438" spans="1:35" ht="15.75">
      <c r="A438" s="74"/>
      <c r="B438" s="75"/>
      <c r="C438" s="76"/>
      <c r="D438" s="75"/>
      <c r="H438" s="50" t="s">
        <v>854</v>
      </c>
      <c r="K438" s="63">
        <f>(K437+C20/10*F426)</f>
        <v>642.44771500000002</v>
      </c>
      <c r="O438" s="50"/>
      <c r="U438" s="65" t="s">
        <v>854</v>
      </c>
      <c r="W438" s="52">
        <f>W437</f>
        <v>11.6914</v>
      </c>
      <c r="X438" s="65" t="e">
        <f>X437+W438</f>
        <v>#VALUE!</v>
      </c>
      <c r="Y438" s="65"/>
      <c r="AE438" s="62" t="s">
        <v>848</v>
      </c>
      <c r="AF438" s="50" t="s">
        <v>1067</v>
      </c>
      <c r="AH438" s="55"/>
    </row>
    <row r="439" spans="1:35" ht="15.75">
      <c r="A439" s="74">
        <f>(A437+1)</f>
        <v>272</v>
      </c>
      <c r="B439" s="75" t="s">
        <v>1058</v>
      </c>
      <c r="C439" s="76">
        <v>21.74</v>
      </c>
      <c r="D439" s="75" t="s">
        <v>153</v>
      </c>
      <c r="H439" s="51" t="s">
        <v>1068</v>
      </c>
      <c r="M439" s="64">
        <v>8</v>
      </c>
      <c r="N439" s="50" t="s">
        <v>4</v>
      </c>
      <c r="O439" s="50" t="s">
        <v>1069</v>
      </c>
      <c r="P439" s="64">
        <f>(C43)</f>
        <v>7.1</v>
      </c>
      <c r="Q439" s="50" t="s">
        <v>4</v>
      </c>
      <c r="R439" s="64">
        <f>(M439*P439)</f>
        <v>56.8</v>
      </c>
      <c r="AE439" s="53"/>
      <c r="AF439" s="59" t="s">
        <v>21</v>
      </c>
      <c r="AH439" s="55"/>
    </row>
    <row r="440" spans="1:35" ht="15.75">
      <c r="A440" s="74">
        <f t="shared" si="35"/>
        <v>273</v>
      </c>
      <c r="B440" s="147" t="s">
        <v>1070</v>
      </c>
      <c r="C440" s="90"/>
      <c r="D440" s="75" t="s">
        <v>150</v>
      </c>
      <c r="H440" s="51" t="s">
        <v>1071</v>
      </c>
      <c r="M440" s="64">
        <v>8</v>
      </c>
      <c r="N440" s="50" t="s">
        <v>4</v>
      </c>
      <c r="O440" s="50" t="s">
        <v>1072</v>
      </c>
      <c r="P440" s="64">
        <f>(C50)</f>
        <v>10</v>
      </c>
      <c r="Q440" s="50" t="s">
        <v>4</v>
      </c>
      <c r="R440" s="64">
        <f>(M440*P440)</f>
        <v>80</v>
      </c>
      <c r="AD440" s="64">
        <v>0.75</v>
      </c>
      <c r="AE440" s="62" t="s">
        <v>151</v>
      </c>
      <c r="AF440" s="50" t="s">
        <v>850</v>
      </c>
      <c r="AG440" s="64">
        <f>AI434</f>
        <v>7073.4728999999988</v>
      </c>
      <c r="AH440" s="50" t="s">
        <v>153</v>
      </c>
      <c r="AI440" s="64">
        <f>(AD440*AG440)</f>
        <v>5305.1046749999987</v>
      </c>
    </row>
    <row r="441" spans="1:35" ht="15.75">
      <c r="A441" s="74">
        <f t="shared" si="35"/>
        <v>274</v>
      </c>
      <c r="B441" s="75" t="s">
        <v>1033</v>
      </c>
      <c r="C441" s="73">
        <v>28.6</v>
      </c>
      <c r="D441" s="75" t="s">
        <v>153</v>
      </c>
      <c r="F441" s="88">
        <v>12</v>
      </c>
      <c r="G441" s="62" t="s">
        <v>249</v>
      </c>
      <c r="H441" s="50" t="s">
        <v>1073</v>
      </c>
      <c r="M441" s="64">
        <v>1</v>
      </c>
      <c r="N441" s="50" t="s">
        <v>226</v>
      </c>
      <c r="O441" s="50" t="s">
        <v>1074</v>
      </c>
      <c r="P441" s="64">
        <f>(C56)</f>
        <v>12.1</v>
      </c>
      <c r="Q441" s="50" t="s">
        <v>226</v>
      </c>
      <c r="R441" s="64">
        <f>(M441*P441)</f>
        <v>12.1</v>
      </c>
      <c r="AD441" s="64">
        <v>1</v>
      </c>
      <c r="AE441" s="62" t="s">
        <v>4</v>
      </c>
      <c r="AF441" s="50" t="s">
        <v>269</v>
      </c>
      <c r="AG441" s="64">
        <f>AG426</f>
        <v>1076.5999999999999</v>
      </c>
      <c r="AH441" s="50" t="s">
        <v>153</v>
      </c>
      <c r="AI441" s="64">
        <f>(AD441*AG441)</f>
        <v>1076.5999999999999</v>
      </c>
    </row>
    <row r="442" spans="1:35" ht="15.75">
      <c r="A442" s="74">
        <f t="shared" si="35"/>
        <v>275</v>
      </c>
      <c r="B442" s="75" t="s">
        <v>1026</v>
      </c>
      <c r="C442" s="73">
        <v>34.700000000000003</v>
      </c>
      <c r="D442" s="75" t="s">
        <v>153</v>
      </c>
      <c r="H442" s="50" t="s">
        <v>771</v>
      </c>
      <c r="M442" s="64">
        <v>1</v>
      </c>
      <c r="N442" s="50" t="s">
        <v>226</v>
      </c>
      <c r="O442" s="50" t="s">
        <v>237</v>
      </c>
      <c r="Q442" s="50" t="s">
        <v>226</v>
      </c>
      <c r="R442" s="64">
        <v>0</v>
      </c>
      <c r="AE442" s="62" t="s">
        <v>226</v>
      </c>
      <c r="AF442" s="50" t="s">
        <v>237</v>
      </c>
      <c r="AG442" s="50" t="s">
        <v>150</v>
      </c>
      <c r="AH442" s="50" t="s">
        <v>226</v>
      </c>
      <c r="AI442" s="64">
        <v>0</v>
      </c>
    </row>
    <row r="443" spans="1:35" ht="15.75">
      <c r="A443" s="74">
        <f t="shared" si="35"/>
        <v>276</v>
      </c>
      <c r="B443" s="75" t="s">
        <v>1028</v>
      </c>
      <c r="C443" s="73">
        <v>81.400000000000006</v>
      </c>
      <c r="D443" s="75" t="s">
        <v>153</v>
      </c>
      <c r="H443" s="59" t="s">
        <v>21</v>
      </c>
      <c r="R443" s="59" t="s">
        <v>21</v>
      </c>
      <c r="AE443" s="53"/>
      <c r="AH443" s="55"/>
      <c r="AI443" s="59" t="s">
        <v>21</v>
      </c>
    </row>
    <row r="444" spans="1:35" ht="15.75">
      <c r="A444" s="74">
        <f t="shared" si="35"/>
        <v>277</v>
      </c>
      <c r="B444" s="75" t="s">
        <v>1029</v>
      </c>
      <c r="C444" s="73">
        <v>98.6</v>
      </c>
      <c r="D444" s="75" t="s">
        <v>153</v>
      </c>
      <c r="F444" s="64">
        <v>6570</v>
      </c>
      <c r="G444" s="62" t="s">
        <v>267</v>
      </c>
      <c r="H444" s="50" t="s">
        <v>1075</v>
      </c>
      <c r="I444" s="64">
        <f>(C77)</f>
        <v>4931.59</v>
      </c>
      <c r="J444" s="50" t="s">
        <v>268</v>
      </c>
      <c r="K444" s="64">
        <f>(F444*I444)/1000</f>
        <v>32400.546300000002</v>
      </c>
      <c r="O444" s="50" t="s">
        <v>1076</v>
      </c>
      <c r="R444" s="64">
        <f>SUM(R431:R442)</f>
        <v>2536.2819999999997</v>
      </c>
      <c r="AE444" s="53"/>
      <c r="AF444" s="50" t="s">
        <v>238</v>
      </c>
      <c r="AH444" s="55"/>
      <c r="AI444" s="64">
        <f>SUM(AI440:AI442)</f>
        <v>6381.704674999999</v>
      </c>
    </row>
    <row r="445" spans="1:35" ht="15.75">
      <c r="A445" s="74">
        <f t="shared" si="35"/>
        <v>278</v>
      </c>
      <c r="B445" s="75" t="s">
        <v>1030</v>
      </c>
      <c r="C445" s="73">
        <v>110.2</v>
      </c>
      <c r="D445" s="75" t="s">
        <v>153</v>
      </c>
      <c r="F445" s="64">
        <v>1.91</v>
      </c>
      <c r="G445" s="62" t="s">
        <v>151</v>
      </c>
      <c r="H445" s="50" t="s">
        <v>258</v>
      </c>
      <c r="I445" s="64">
        <f>(K40)</f>
        <v>4326.7</v>
      </c>
      <c r="J445" s="50" t="s">
        <v>151</v>
      </c>
      <c r="K445" s="64">
        <f>(F445*I445)</f>
        <v>8263.9969999999994</v>
      </c>
      <c r="R445" s="59" t="s">
        <v>21</v>
      </c>
      <c r="AE445" s="53"/>
      <c r="AH445" s="55"/>
      <c r="AI445" s="59" t="s">
        <v>21</v>
      </c>
    </row>
    <row r="446" spans="1:35" ht="15.75">
      <c r="A446" s="74">
        <f t="shared" si="35"/>
        <v>279</v>
      </c>
      <c r="B446" s="75" t="s">
        <v>979</v>
      </c>
      <c r="C446" s="73">
        <v>139.80000000000001</v>
      </c>
      <c r="D446" s="75" t="s">
        <v>153</v>
      </c>
      <c r="F446" s="64">
        <v>7</v>
      </c>
      <c r="G446" s="62" t="s">
        <v>153</v>
      </c>
      <c r="H446" s="50" t="s">
        <v>269</v>
      </c>
      <c r="I446" s="64">
        <f>(C10)</f>
        <v>1076.5999999999999</v>
      </c>
      <c r="J446" s="50" t="s">
        <v>153</v>
      </c>
      <c r="K446" s="64">
        <f>(F446*I446)</f>
        <v>7536.1999999999989</v>
      </c>
      <c r="O446" s="50" t="s">
        <v>562</v>
      </c>
      <c r="R446" s="64">
        <f>(R444/30)</f>
        <v>84.542733333333317</v>
      </c>
      <c r="AE446" s="53"/>
      <c r="AF446" s="50" t="s">
        <v>155</v>
      </c>
      <c r="AH446" s="55"/>
      <c r="AI446" s="64">
        <f>(AI444/10)</f>
        <v>638.17046749999986</v>
      </c>
    </row>
    <row r="447" spans="1:35" ht="15.75">
      <c r="A447" s="74">
        <f t="shared" si="35"/>
        <v>280</v>
      </c>
      <c r="B447" s="146" t="s">
        <v>1077</v>
      </c>
      <c r="C447" s="145">
        <v>368</v>
      </c>
      <c r="D447" s="146" t="s">
        <v>153</v>
      </c>
      <c r="F447" s="64">
        <v>3.6</v>
      </c>
      <c r="G447" s="62" t="s">
        <v>153</v>
      </c>
      <c r="H447" s="50" t="s">
        <v>234</v>
      </c>
      <c r="I447" s="64">
        <f>(C11)</f>
        <v>1005.1999999999999</v>
      </c>
      <c r="J447" s="50" t="s">
        <v>153</v>
      </c>
      <c r="K447" s="64">
        <f>(F447*I447)</f>
        <v>3618.72</v>
      </c>
      <c r="R447" s="59" t="s">
        <v>21</v>
      </c>
      <c r="AE447" s="53"/>
      <c r="AH447" s="55"/>
      <c r="AI447" s="59" t="s">
        <v>156</v>
      </c>
    </row>
    <row r="448" spans="1:35" ht="15.75">
      <c r="A448" s="74">
        <f t="shared" si="35"/>
        <v>281</v>
      </c>
      <c r="B448" s="147" t="s">
        <v>1078</v>
      </c>
      <c r="C448" s="90"/>
      <c r="D448" s="75" t="s">
        <v>150</v>
      </c>
      <c r="F448" s="64">
        <v>7.1</v>
      </c>
      <c r="G448" s="62" t="s">
        <v>153</v>
      </c>
      <c r="H448" s="50" t="s">
        <v>235</v>
      </c>
      <c r="I448" s="64">
        <f>(C12)</f>
        <v>702.8</v>
      </c>
      <c r="J448" s="50" t="s">
        <v>153</v>
      </c>
      <c r="K448" s="64">
        <f>(F448*I448)</f>
        <v>4989.8799999999992</v>
      </c>
      <c r="N448" s="50" t="s">
        <v>6</v>
      </c>
      <c r="O448" s="51" t="s">
        <v>1079</v>
      </c>
      <c r="AE448" s="53"/>
      <c r="AF448" s="50" t="s">
        <v>271</v>
      </c>
      <c r="AH448" s="55">
        <f>C19*0.075</f>
        <v>6.2159999999999993</v>
      </c>
      <c r="AI448" s="63">
        <f>AI446+AH448</f>
        <v>644.38646749999987</v>
      </c>
    </row>
    <row r="449" spans="1:38" ht="15.75">
      <c r="A449" s="74">
        <f t="shared" si="35"/>
        <v>282</v>
      </c>
      <c r="B449" s="75" t="s">
        <v>1033</v>
      </c>
      <c r="C449" s="73">
        <v>23.2</v>
      </c>
      <c r="D449" s="75" t="s">
        <v>153</v>
      </c>
      <c r="F449" s="64">
        <v>14.1</v>
      </c>
      <c r="G449" s="62" t="s">
        <v>153</v>
      </c>
      <c r="H449" s="50" t="s">
        <v>236</v>
      </c>
      <c r="I449" s="64">
        <f>(C13)</f>
        <v>576.79999999999995</v>
      </c>
      <c r="J449" s="50" t="s">
        <v>153</v>
      </c>
      <c r="K449" s="64">
        <f>(F449*I449)</f>
        <v>8132.8799999999992</v>
      </c>
      <c r="O449" s="59" t="s">
        <v>21</v>
      </c>
      <c r="AE449" s="53"/>
      <c r="AF449" s="50" t="s">
        <v>272</v>
      </c>
      <c r="AH449" s="55">
        <f>C20*0.075</f>
        <v>12.526499999999999</v>
      </c>
      <c r="AI449" s="63">
        <f t="shared" ref="AI449:AI458" si="37">AI448+AH449</f>
        <v>656.91296749999992</v>
      </c>
    </row>
    <row r="450" spans="1:38" ht="15.75">
      <c r="A450" s="74">
        <f t="shared" si="35"/>
        <v>283</v>
      </c>
      <c r="B450" s="75" t="s">
        <v>1026</v>
      </c>
      <c r="C450" s="73">
        <v>34.700000000000003</v>
      </c>
      <c r="D450" s="75" t="s">
        <v>153</v>
      </c>
      <c r="G450" s="62" t="s">
        <v>226</v>
      </c>
      <c r="H450" s="50" t="s">
        <v>237</v>
      </c>
      <c r="I450" s="50" t="s">
        <v>150</v>
      </c>
      <c r="J450" s="50" t="s">
        <v>226</v>
      </c>
      <c r="K450" s="64">
        <v>0</v>
      </c>
      <c r="M450" s="64">
        <v>8.1</v>
      </c>
      <c r="N450" s="50" t="s">
        <v>151</v>
      </c>
      <c r="O450" s="50" t="s">
        <v>1060</v>
      </c>
      <c r="P450" s="64">
        <f>(C61)*2</f>
        <v>235.2</v>
      </c>
      <c r="Q450" s="50" t="s">
        <v>151</v>
      </c>
      <c r="R450" s="64">
        <f>(M450*P450)</f>
        <v>1905.12</v>
      </c>
      <c r="AE450" s="53"/>
      <c r="AF450" s="50" t="s">
        <v>767</v>
      </c>
      <c r="AH450" s="55">
        <f>C21*0.075</f>
        <v>12.526499999999999</v>
      </c>
      <c r="AI450" s="63">
        <f t="shared" si="37"/>
        <v>669.43946749999986</v>
      </c>
    </row>
    <row r="451" spans="1:38" ht="15.75">
      <c r="A451" s="74">
        <f t="shared" si="35"/>
        <v>284</v>
      </c>
      <c r="B451" s="75" t="s">
        <v>1028</v>
      </c>
      <c r="C451" s="73">
        <v>43.7</v>
      </c>
      <c r="D451" s="75" t="s">
        <v>153</v>
      </c>
      <c r="K451" s="59" t="s">
        <v>21</v>
      </c>
      <c r="M451" s="64">
        <v>8.1</v>
      </c>
      <c r="N451" s="50" t="s">
        <v>151</v>
      </c>
      <c r="O451" s="50" t="s">
        <v>1061</v>
      </c>
      <c r="P451" s="64">
        <f>(C26)</f>
        <v>41.019999999999996</v>
      </c>
      <c r="Q451" s="50" t="s">
        <v>151</v>
      </c>
      <c r="R451" s="64">
        <f>(M451*P451)</f>
        <v>332.26199999999994</v>
      </c>
      <c r="AE451" s="53"/>
      <c r="AF451" s="50" t="s">
        <v>769</v>
      </c>
      <c r="AH451" s="55">
        <f t="shared" ref="AH451:AH458" si="38">AH450</f>
        <v>12.526499999999999</v>
      </c>
      <c r="AI451" s="63">
        <f t="shared" si="37"/>
        <v>681.96596749999981</v>
      </c>
    </row>
    <row r="452" spans="1:38" ht="15.75">
      <c r="A452" s="74">
        <f t="shared" si="35"/>
        <v>285</v>
      </c>
      <c r="B452" s="75" t="s">
        <v>1029</v>
      </c>
      <c r="C452" s="73">
        <v>58.1</v>
      </c>
      <c r="D452" s="75" t="s">
        <v>153</v>
      </c>
      <c r="H452" s="50" t="s">
        <v>263</v>
      </c>
      <c r="K452" s="64">
        <f>SUM(K444:K450)</f>
        <v>64942.223299999998</v>
      </c>
      <c r="M452" s="64">
        <v>30</v>
      </c>
      <c r="N452" s="50" t="s">
        <v>552</v>
      </c>
      <c r="O452" s="50" t="s">
        <v>1062</v>
      </c>
      <c r="P452" s="64">
        <f>(C42)</f>
        <v>5</v>
      </c>
      <c r="Q452" s="50" t="s">
        <v>552</v>
      </c>
      <c r="R452" s="64">
        <f>(M452*P452)</f>
        <v>150</v>
      </c>
      <c r="AE452" s="53"/>
      <c r="AF452" s="50" t="s">
        <v>854</v>
      </c>
      <c r="AH452" s="55">
        <f t="shared" si="38"/>
        <v>12.526499999999999</v>
      </c>
      <c r="AI452" s="63">
        <f t="shared" si="37"/>
        <v>694.49246749999975</v>
      </c>
      <c r="AL452" s="52">
        <f>40.81*0.075</f>
        <v>3.0607500000000001</v>
      </c>
    </row>
    <row r="453" spans="1:38" ht="15.75">
      <c r="A453" s="74">
        <f t="shared" si="35"/>
        <v>286</v>
      </c>
      <c r="B453" s="75" t="s">
        <v>1030</v>
      </c>
      <c r="C453" s="73">
        <v>69.8</v>
      </c>
      <c r="D453" s="75" t="s">
        <v>153</v>
      </c>
      <c r="K453" s="59" t="s">
        <v>21</v>
      </c>
      <c r="O453" s="50" t="s">
        <v>1063</v>
      </c>
      <c r="AF453" s="50" t="s">
        <v>1044</v>
      </c>
      <c r="AG453" s="71">
        <f t="shared" ref="AG453:AG458" si="39">AI453</f>
        <v>707.01896749999969</v>
      </c>
      <c r="AH453" s="55">
        <f t="shared" si="38"/>
        <v>12.526499999999999</v>
      </c>
      <c r="AI453" s="63">
        <f t="shared" si="37"/>
        <v>707.01896749999969</v>
      </c>
    </row>
    <row r="454" spans="1:38" ht="15.75">
      <c r="A454" s="74">
        <f t="shared" si="35"/>
        <v>287</v>
      </c>
      <c r="B454" s="75" t="s">
        <v>979</v>
      </c>
      <c r="C454" s="73">
        <v>87</v>
      </c>
      <c r="D454" s="75" t="s">
        <v>153</v>
      </c>
      <c r="H454" s="50" t="s">
        <v>270</v>
      </c>
      <c r="K454" s="64">
        <f>(K452/10)</f>
        <v>6494.2223299999996</v>
      </c>
      <c r="O454" s="50" t="s">
        <v>1064</v>
      </c>
      <c r="AF454" s="50" t="s">
        <v>1045</v>
      </c>
      <c r="AG454" s="71">
        <f t="shared" si="39"/>
        <v>719.54546749999963</v>
      </c>
      <c r="AH454" s="55">
        <f t="shared" si="38"/>
        <v>12.526499999999999</v>
      </c>
      <c r="AI454" s="63">
        <f t="shared" si="37"/>
        <v>719.54546749999963</v>
      </c>
    </row>
    <row r="455" spans="1:38" ht="15.75">
      <c r="A455" s="74">
        <f t="shared" si="35"/>
        <v>288</v>
      </c>
      <c r="B455" s="146" t="s">
        <v>1077</v>
      </c>
      <c r="C455" s="145">
        <v>183</v>
      </c>
      <c r="D455" s="146" t="s">
        <v>153</v>
      </c>
      <c r="K455" s="59" t="s">
        <v>156</v>
      </c>
      <c r="O455" s="50" t="s">
        <v>1065</v>
      </c>
      <c r="AF455" s="50" t="s">
        <v>1046</v>
      </c>
      <c r="AG455" s="71">
        <f t="shared" si="39"/>
        <v>732.07196749999957</v>
      </c>
      <c r="AH455" s="55">
        <f t="shared" si="38"/>
        <v>12.526499999999999</v>
      </c>
      <c r="AI455" s="63">
        <f t="shared" si="37"/>
        <v>732.07196749999957</v>
      </c>
    </row>
    <row r="456" spans="1:38" ht="15.75">
      <c r="A456" s="74">
        <f t="shared" si="35"/>
        <v>289</v>
      </c>
      <c r="B456" s="75" t="s">
        <v>1080</v>
      </c>
      <c r="C456" s="90"/>
      <c r="D456" s="75" t="s">
        <v>150</v>
      </c>
      <c r="O456" s="50" t="s">
        <v>1066</v>
      </c>
      <c r="AF456" s="50" t="s">
        <v>1047</v>
      </c>
      <c r="AG456" s="71">
        <f t="shared" si="39"/>
        <v>744.59846749999951</v>
      </c>
      <c r="AH456" s="55">
        <f t="shared" si="38"/>
        <v>12.526499999999999</v>
      </c>
      <c r="AI456" s="63">
        <f t="shared" si="37"/>
        <v>744.59846749999951</v>
      </c>
    </row>
    <row r="457" spans="1:38" ht="15.75">
      <c r="A457" s="74">
        <f t="shared" si="35"/>
        <v>290</v>
      </c>
      <c r="B457" s="75" t="s">
        <v>1033</v>
      </c>
      <c r="C457" s="76">
        <v>158.91999999999999</v>
      </c>
      <c r="D457" s="75" t="s">
        <v>153</v>
      </c>
      <c r="G457" s="62" t="s">
        <v>249</v>
      </c>
      <c r="H457" s="50" t="s">
        <v>1081</v>
      </c>
      <c r="M457" s="64">
        <v>8</v>
      </c>
      <c r="N457" s="50" t="s">
        <v>4</v>
      </c>
      <c r="O457" s="50" t="s">
        <v>1069</v>
      </c>
      <c r="P457" s="64">
        <f>(C44)</f>
        <v>7.1</v>
      </c>
      <c r="Q457" s="50" t="s">
        <v>4</v>
      </c>
      <c r="R457" s="64">
        <f>(M457*P457)</f>
        <v>56.8</v>
      </c>
      <c r="AF457" s="50" t="s">
        <v>1048</v>
      </c>
      <c r="AG457" s="71">
        <f t="shared" si="39"/>
        <v>757.12496749999946</v>
      </c>
      <c r="AH457" s="55">
        <f t="shared" si="38"/>
        <v>12.526499999999999</v>
      </c>
      <c r="AI457" s="63">
        <f t="shared" si="37"/>
        <v>757.12496749999946</v>
      </c>
    </row>
    <row r="458" spans="1:38" ht="15.75">
      <c r="A458" s="74">
        <f t="shared" si="35"/>
        <v>291</v>
      </c>
      <c r="B458" s="75" t="s">
        <v>1026</v>
      </c>
      <c r="C458" s="76">
        <v>263.04000000000002</v>
      </c>
      <c r="D458" s="75" t="s">
        <v>153</v>
      </c>
      <c r="H458" s="59" t="s">
        <v>21</v>
      </c>
      <c r="M458" s="64">
        <v>8</v>
      </c>
      <c r="N458" s="50" t="s">
        <v>4</v>
      </c>
      <c r="O458" s="50" t="s">
        <v>1072</v>
      </c>
      <c r="P458" s="64">
        <f>(C51)</f>
        <v>10.199999999999999</v>
      </c>
      <c r="Q458" s="50" t="s">
        <v>4</v>
      </c>
      <c r="R458" s="64">
        <f>(M458*P458)</f>
        <v>81.599999999999994</v>
      </c>
      <c r="AG458" s="71">
        <f t="shared" si="39"/>
        <v>769.6514674999994</v>
      </c>
      <c r="AH458" s="55">
        <f t="shared" si="38"/>
        <v>12.526499999999999</v>
      </c>
      <c r="AI458" s="63">
        <f t="shared" si="37"/>
        <v>769.6514674999994</v>
      </c>
    </row>
    <row r="459" spans="1:38" ht="24.75">
      <c r="A459" s="74">
        <f t="shared" si="35"/>
        <v>292</v>
      </c>
      <c r="B459" s="75" t="s">
        <v>1028</v>
      </c>
      <c r="C459" s="90"/>
      <c r="D459" s="75" t="s">
        <v>150</v>
      </c>
      <c r="F459" s="64">
        <v>0.5</v>
      </c>
      <c r="G459" s="62" t="s">
        <v>151</v>
      </c>
      <c r="H459" s="50" t="s">
        <v>850</v>
      </c>
      <c r="I459" s="64">
        <f>(K454)</f>
        <v>6494.2223299999996</v>
      </c>
      <c r="J459" s="50" t="s">
        <v>153</v>
      </c>
      <c r="K459" s="64">
        <f>(F459*I459)</f>
        <v>3247.1111649999998</v>
      </c>
      <c r="M459" s="64">
        <v>1</v>
      </c>
      <c r="N459" s="50" t="s">
        <v>226</v>
      </c>
      <c r="O459" s="50" t="s">
        <v>1074</v>
      </c>
      <c r="P459" s="64">
        <f>(C56)</f>
        <v>12.1</v>
      </c>
      <c r="Q459" s="50" t="s">
        <v>226</v>
      </c>
      <c r="R459" s="64">
        <f>(M459*P459)</f>
        <v>12.1</v>
      </c>
      <c r="U459" s="148" t="s">
        <v>1082</v>
      </c>
      <c r="Z459" s="56"/>
      <c r="AC459" s="148" t="s">
        <v>1083</v>
      </c>
      <c r="AG459" s="71">
        <f>AI459</f>
        <v>782.17796749999934</v>
      </c>
      <c r="AH459" s="55">
        <f>AH458</f>
        <v>12.526499999999999</v>
      </c>
      <c r="AI459" s="63">
        <f>AI458+AH459</f>
        <v>782.17796749999934</v>
      </c>
    </row>
    <row r="460" spans="1:38" ht="15.75">
      <c r="A460" s="74">
        <f t="shared" si="35"/>
        <v>293</v>
      </c>
      <c r="B460" s="75" t="s">
        <v>1084</v>
      </c>
      <c r="C460" s="71">
        <v>3.2</v>
      </c>
      <c r="D460" s="75" t="s">
        <v>153</v>
      </c>
      <c r="F460" s="64">
        <v>1</v>
      </c>
      <c r="G460" s="62" t="s">
        <v>4</v>
      </c>
      <c r="H460" s="50" t="s">
        <v>269</v>
      </c>
      <c r="I460" s="64">
        <f>(C10)</f>
        <v>1076.5999999999999</v>
      </c>
      <c r="J460" s="50" t="s">
        <v>153</v>
      </c>
      <c r="K460" s="64">
        <f>(F460*I460)</f>
        <v>1076.5999999999999</v>
      </c>
      <c r="M460" s="64">
        <v>1</v>
      </c>
      <c r="N460" s="50" t="s">
        <v>226</v>
      </c>
      <c r="O460" s="50" t="s">
        <v>237</v>
      </c>
      <c r="Q460" s="50" t="s">
        <v>226</v>
      </c>
      <c r="R460" s="64">
        <v>0</v>
      </c>
      <c r="S460" s="51" t="s">
        <v>1085</v>
      </c>
      <c r="T460" s="62" t="s">
        <v>249</v>
      </c>
      <c r="U460" s="50" t="s">
        <v>1086</v>
      </c>
      <c r="W460" s="55"/>
      <c r="Z460" s="51" t="s">
        <v>1085</v>
      </c>
      <c r="AA460" s="62" t="s">
        <v>249</v>
      </c>
      <c r="AB460" s="62"/>
      <c r="AC460" s="50" t="s">
        <v>1086</v>
      </c>
      <c r="AE460" s="55"/>
      <c r="AG460" s="71">
        <f>AI460</f>
        <v>794.70446749999928</v>
      </c>
      <c r="AH460" s="55">
        <f>AH459</f>
        <v>12.526499999999999</v>
      </c>
      <c r="AI460" s="63">
        <f>AI459+AH460</f>
        <v>794.70446749999928</v>
      </c>
    </row>
    <row r="461" spans="1:38" ht="15.75">
      <c r="A461" s="74">
        <f t="shared" si="35"/>
        <v>294</v>
      </c>
      <c r="B461" s="75" t="s">
        <v>1087</v>
      </c>
      <c r="C461" s="71">
        <v>4</v>
      </c>
      <c r="D461" s="75" t="s">
        <v>153</v>
      </c>
      <c r="G461" s="62" t="s">
        <v>226</v>
      </c>
      <c r="H461" s="50" t="s">
        <v>237</v>
      </c>
      <c r="I461" s="50" t="s">
        <v>150</v>
      </c>
      <c r="J461" s="50" t="s">
        <v>226</v>
      </c>
      <c r="K461" s="64">
        <v>0</v>
      </c>
      <c r="R461" s="59" t="s">
        <v>21</v>
      </c>
      <c r="S461" s="52"/>
      <c r="T461" s="53"/>
      <c r="U461" s="50" t="s">
        <v>1088</v>
      </c>
      <c r="W461" s="55"/>
      <c r="AA461" s="53"/>
      <c r="AB461" s="53"/>
      <c r="AC461" s="50" t="s">
        <v>1088</v>
      </c>
      <c r="AE461" s="55"/>
      <c r="AG461" s="71">
        <f t="shared" ref="AG461:AG524" si="40">AI461</f>
        <v>807.23096749999922</v>
      </c>
      <c r="AH461" s="55">
        <f>AH460</f>
        <v>12.526499999999999</v>
      </c>
      <c r="AI461" s="63">
        <f>AI460+AH461</f>
        <v>807.23096749999922</v>
      </c>
    </row>
    <row r="462" spans="1:38" ht="15.75">
      <c r="A462" s="74">
        <f t="shared" si="35"/>
        <v>295</v>
      </c>
      <c r="B462" s="75" t="s">
        <v>1089</v>
      </c>
      <c r="C462" s="76">
        <v>350</v>
      </c>
      <c r="D462" s="76">
        <v>375</v>
      </c>
      <c r="K462" s="59" t="s">
        <v>21</v>
      </c>
      <c r="O462" s="50" t="s">
        <v>1076</v>
      </c>
      <c r="R462" s="64">
        <f>SUM(R450:R460)</f>
        <v>2537.8819999999996</v>
      </c>
      <c r="S462" s="52"/>
      <c r="T462" s="53"/>
      <c r="U462" s="50" t="s">
        <v>1090</v>
      </c>
      <c r="W462" s="55"/>
      <c r="AA462" s="53"/>
      <c r="AB462" s="53"/>
      <c r="AC462" s="50" t="s">
        <v>1090</v>
      </c>
      <c r="AE462" s="55"/>
      <c r="AG462" s="71">
        <f t="shared" si="40"/>
        <v>819.75746749999917</v>
      </c>
      <c r="AH462" s="55">
        <f>AH461</f>
        <v>12.526499999999999</v>
      </c>
      <c r="AI462" s="63">
        <f>AI461+AH462</f>
        <v>819.75746749999917</v>
      </c>
    </row>
    <row r="463" spans="1:38" ht="15.75">
      <c r="A463" s="74">
        <f t="shared" si="35"/>
        <v>296</v>
      </c>
      <c r="B463" s="75" t="s">
        <v>1091</v>
      </c>
      <c r="C463" s="76">
        <v>400</v>
      </c>
      <c r="D463" s="76">
        <v>425</v>
      </c>
      <c r="H463" s="50" t="s">
        <v>238</v>
      </c>
      <c r="K463" s="64">
        <f>SUM(K459:K461)</f>
        <v>4323.7111649999997</v>
      </c>
      <c r="R463" s="59" t="s">
        <v>21</v>
      </c>
      <c r="S463" s="52"/>
      <c r="T463" s="53"/>
      <c r="U463" s="59" t="s">
        <v>21</v>
      </c>
      <c r="W463" s="55"/>
      <c r="AA463" s="53"/>
      <c r="AB463" s="53"/>
      <c r="AC463" s="59" t="s">
        <v>21</v>
      </c>
      <c r="AE463" s="55"/>
      <c r="AG463" s="71">
        <f t="shared" si="40"/>
        <v>832.28396749999911</v>
      </c>
      <c r="AH463" s="55">
        <f>AH462</f>
        <v>12.526499999999999</v>
      </c>
      <c r="AI463" s="63">
        <f>AI462+AH463</f>
        <v>832.28396749999911</v>
      </c>
    </row>
    <row r="464" spans="1:38" ht="157.5">
      <c r="A464" s="74">
        <f t="shared" si="35"/>
        <v>297</v>
      </c>
      <c r="B464" s="75" t="s">
        <v>1092</v>
      </c>
      <c r="C464" s="76">
        <v>450</v>
      </c>
      <c r="D464" s="76">
        <v>500</v>
      </c>
      <c r="K464" s="59" t="s">
        <v>21</v>
      </c>
      <c r="O464" s="50" t="s">
        <v>562</v>
      </c>
      <c r="R464" s="64">
        <f>(R462/30)</f>
        <v>84.596066666666658</v>
      </c>
      <c r="S464" s="64">
        <v>0.01</v>
      </c>
      <c r="T464" s="62" t="s">
        <v>151</v>
      </c>
      <c r="U464" s="112" t="s">
        <v>1093</v>
      </c>
      <c r="V464" s="64">
        <f>AA718</f>
        <v>8712.6439874999996</v>
      </c>
      <c r="W464" s="50" t="s">
        <v>151</v>
      </c>
      <c r="X464" s="64">
        <f>(S464*V464)</f>
        <v>87.126439875000003</v>
      </c>
      <c r="Y464" s="64"/>
      <c r="Z464" s="64">
        <v>0.01</v>
      </c>
      <c r="AA464" s="62" t="s">
        <v>151</v>
      </c>
      <c r="AB464" s="62"/>
      <c r="AC464" s="112" t="s">
        <v>1094</v>
      </c>
      <c r="AD464" s="64">
        <f>Z688</f>
        <v>9237.1735874999995</v>
      </c>
      <c r="AE464" s="50" t="s">
        <v>151</v>
      </c>
      <c r="AF464" s="64">
        <f>(Z464*AD464)</f>
        <v>92.371735874999999</v>
      </c>
      <c r="AG464" s="71" t="str">
        <f t="shared" si="40"/>
        <v>|</v>
      </c>
      <c r="AI464" s="50" t="s">
        <v>1095</v>
      </c>
    </row>
    <row r="465" spans="1:35" ht="15.75">
      <c r="A465" s="74">
        <f t="shared" si="35"/>
        <v>298</v>
      </c>
      <c r="B465" s="75" t="s">
        <v>1096</v>
      </c>
      <c r="C465" s="76">
        <v>77.819999999999993</v>
      </c>
      <c r="D465" s="75" t="s">
        <v>153</v>
      </c>
      <c r="H465" s="50" t="s">
        <v>155</v>
      </c>
      <c r="K465" s="64">
        <f>(K463/10)</f>
        <v>432.37111649999997</v>
      </c>
      <c r="R465" s="59" t="s">
        <v>21</v>
      </c>
      <c r="S465" s="64">
        <v>0.01</v>
      </c>
      <c r="T465" s="62" t="s">
        <v>151</v>
      </c>
      <c r="U465" s="50" t="s">
        <v>1097</v>
      </c>
      <c r="V465" s="64"/>
      <c r="W465" s="50" t="s">
        <v>226</v>
      </c>
      <c r="X465" s="64">
        <v>1.1499999999999999</v>
      </c>
      <c r="Y465" s="64"/>
      <c r="Z465" s="64">
        <v>0.01</v>
      </c>
      <c r="AA465" s="62" t="s">
        <v>151</v>
      </c>
      <c r="AB465" s="62"/>
      <c r="AC465" s="50" t="s">
        <v>1097</v>
      </c>
      <c r="AD465" s="64"/>
      <c r="AE465" s="50" t="s">
        <v>226</v>
      </c>
      <c r="AF465" s="64">
        <v>1.1499999999999999</v>
      </c>
      <c r="AG465" s="71" t="str">
        <f t="shared" si="40"/>
        <v>|</v>
      </c>
      <c r="AI465" s="50" t="s">
        <v>1095</v>
      </c>
    </row>
    <row r="466" spans="1:35" ht="15.75">
      <c r="A466" s="74">
        <f t="shared" si="35"/>
        <v>299</v>
      </c>
      <c r="B466" s="75" t="s">
        <v>1098</v>
      </c>
      <c r="C466" s="76">
        <v>99.74</v>
      </c>
      <c r="D466" s="75" t="s">
        <v>153</v>
      </c>
      <c r="K466" s="59" t="s">
        <v>156</v>
      </c>
      <c r="N466" s="50" t="s">
        <v>1099</v>
      </c>
      <c r="O466" s="51" t="s">
        <v>1100</v>
      </c>
      <c r="S466" s="52"/>
      <c r="T466" s="53"/>
      <c r="U466" s="50" t="s">
        <v>1101</v>
      </c>
      <c r="V466" s="64"/>
      <c r="W466" s="55"/>
      <c r="AA466" s="53"/>
      <c r="AB466" s="53"/>
      <c r="AC466" s="50" t="s">
        <v>1101</v>
      </c>
      <c r="AD466" s="64"/>
      <c r="AE466" s="55"/>
      <c r="AG466" s="71" t="str">
        <f t="shared" si="40"/>
        <v>|</v>
      </c>
      <c r="AI466" s="50" t="s">
        <v>1095</v>
      </c>
    </row>
    <row r="467" spans="1:35" ht="15.75">
      <c r="A467" s="74">
        <f t="shared" si="35"/>
        <v>300</v>
      </c>
      <c r="B467" s="75" t="s">
        <v>1028</v>
      </c>
      <c r="C467" s="76">
        <v>165</v>
      </c>
      <c r="D467" s="75" t="s">
        <v>153</v>
      </c>
      <c r="H467" s="50" t="s">
        <v>271</v>
      </c>
      <c r="K467" s="63">
        <f>(K465+C19/10*F459)</f>
        <v>436.51511649999998</v>
      </c>
      <c r="O467" s="59" t="s">
        <v>21</v>
      </c>
      <c r="S467" s="52"/>
      <c r="T467" s="53"/>
      <c r="V467" s="64"/>
      <c r="W467" s="55"/>
      <c r="X467" s="59" t="s">
        <v>21</v>
      </c>
      <c r="Y467" s="59"/>
      <c r="AA467" s="53"/>
      <c r="AB467" s="53"/>
      <c r="AD467" s="64"/>
      <c r="AE467" s="55"/>
      <c r="AF467" s="59" t="s">
        <v>21</v>
      </c>
      <c r="AG467" s="71" t="str">
        <f t="shared" si="40"/>
        <v>|</v>
      </c>
      <c r="AI467" s="50" t="s">
        <v>1095</v>
      </c>
    </row>
    <row r="468" spans="1:35" ht="15.75">
      <c r="A468" s="74">
        <f t="shared" si="35"/>
        <v>301</v>
      </c>
      <c r="B468" s="75" t="s">
        <v>1029</v>
      </c>
      <c r="C468" s="76">
        <v>258</v>
      </c>
      <c r="D468" s="75" t="s">
        <v>153</v>
      </c>
      <c r="H468" s="50" t="s">
        <v>272</v>
      </c>
      <c r="K468" s="63">
        <f>(K467+C20/10*F459)</f>
        <v>444.86611649999998</v>
      </c>
      <c r="M468" s="64">
        <v>8.1</v>
      </c>
      <c r="N468" s="50" t="s">
        <v>151</v>
      </c>
      <c r="O468" s="50" t="s">
        <v>1060</v>
      </c>
      <c r="P468" s="64">
        <f>(C61)*2</f>
        <v>235.2</v>
      </c>
      <c r="Q468" s="50" t="s">
        <v>151</v>
      </c>
      <c r="R468" s="64">
        <f>(M468*P468)</f>
        <v>1905.12</v>
      </c>
      <c r="S468" s="52"/>
      <c r="T468" s="53"/>
      <c r="U468" s="50" t="s">
        <v>1102</v>
      </c>
      <c r="V468" s="64"/>
      <c r="W468" s="55"/>
      <c r="X468" s="64">
        <f>SUM(X464:X466)</f>
        <v>88.276439875000008</v>
      </c>
      <c r="Y468" s="64"/>
      <c r="AA468" s="53"/>
      <c r="AB468" s="53"/>
      <c r="AC468" s="50" t="s">
        <v>1102</v>
      </c>
      <c r="AD468" s="64"/>
      <c r="AE468" s="55"/>
      <c r="AF468" s="64">
        <f>SUM(AF464:AF466)</f>
        <v>93.521735875000005</v>
      </c>
      <c r="AG468" s="71" t="str">
        <f t="shared" si="40"/>
        <v>|</v>
      </c>
      <c r="AI468" s="50" t="s">
        <v>1095</v>
      </c>
    </row>
    <row r="469" spans="1:35" ht="15.75">
      <c r="A469" s="74">
        <f t="shared" si="35"/>
        <v>302</v>
      </c>
      <c r="B469" s="75" t="s">
        <v>1030</v>
      </c>
      <c r="C469" s="76">
        <v>298</v>
      </c>
      <c r="D469" s="75" t="s">
        <v>153</v>
      </c>
      <c r="H469" s="50" t="s">
        <v>767</v>
      </c>
      <c r="K469" s="63">
        <f>(K468+C21/10*F459)</f>
        <v>453.21711649999997</v>
      </c>
      <c r="M469" s="64">
        <v>8.1</v>
      </c>
      <c r="N469" s="50" t="s">
        <v>151</v>
      </c>
      <c r="O469" s="50" t="s">
        <v>1061</v>
      </c>
      <c r="P469" s="64">
        <f>(C26)</f>
        <v>41.019999999999996</v>
      </c>
      <c r="Q469" s="50" t="s">
        <v>151</v>
      </c>
      <c r="R469" s="64">
        <f>(M469*P469)</f>
        <v>332.26199999999994</v>
      </c>
      <c r="S469" s="52"/>
      <c r="T469" s="53"/>
      <c r="V469" s="64"/>
      <c r="W469" s="55"/>
      <c r="X469" s="59" t="s">
        <v>21</v>
      </c>
      <c r="Y469" s="59"/>
      <c r="AA469" s="53"/>
      <c r="AB469" s="53"/>
      <c r="AD469" s="64"/>
      <c r="AE469" s="55"/>
      <c r="AF469" s="59" t="s">
        <v>21</v>
      </c>
      <c r="AG469" s="71" t="str">
        <f t="shared" si="40"/>
        <v>|</v>
      </c>
      <c r="AI469" s="50" t="s">
        <v>1095</v>
      </c>
    </row>
    <row r="470" spans="1:35" ht="15.75">
      <c r="A470" s="74">
        <f t="shared" si="35"/>
        <v>303</v>
      </c>
      <c r="B470" s="75" t="s">
        <v>979</v>
      </c>
      <c r="C470" s="76">
        <v>398</v>
      </c>
      <c r="D470" s="75" t="s">
        <v>153</v>
      </c>
      <c r="H470" s="50" t="s">
        <v>769</v>
      </c>
      <c r="K470" s="63">
        <f>(K469+C21/10*F459)</f>
        <v>461.56811649999997</v>
      </c>
      <c r="L470" s="52">
        <f t="shared" ref="L470:L476" si="41">K470-K469</f>
        <v>8.3509999999999991</v>
      </c>
      <c r="M470" s="64">
        <v>30</v>
      </c>
      <c r="N470" s="50" t="s">
        <v>552</v>
      </c>
      <c r="O470" s="50" t="s">
        <v>1062</v>
      </c>
      <c r="P470" s="64">
        <f>(C42)</f>
        <v>5</v>
      </c>
      <c r="Q470" s="50" t="s">
        <v>552</v>
      </c>
      <c r="R470" s="64">
        <f>(M470*P470)</f>
        <v>150</v>
      </c>
      <c r="S470" s="52"/>
      <c r="T470" s="53"/>
      <c r="U470" s="50" t="s">
        <v>270</v>
      </c>
      <c r="V470" s="64"/>
      <c r="W470" s="55"/>
      <c r="X470" s="64">
        <f>ROUND(X468*100,0)</f>
        <v>8828</v>
      </c>
      <c r="Y470" s="64"/>
      <c r="AA470" s="53"/>
      <c r="AB470" s="53"/>
      <c r="AC470" s="50" t="s">
        <v>270</v>
      </c>
      <c r="AD470" s="64"/>
      <c r="AE470" s="55"/>
      <c r="AF470" s="64">
        <f>ROUND(AF468*100,0)</f>
        <v>9352</v>
      </c>
      <c r="AG470" s="71" t="str">
        <f t="shared" si="40"/>
        <v>|</v>
      </c>
      <c r="AI470" s="50" t="s">
        <v>1095</v>
      </c>
    </row>
    <row r="471" spans="1:35" ht="15.75">
      <c r="A471" s="74">
        <f t="shared" si="35"/>
        <v>304</v>
      </c>
      <c r="B471" s="75" t="s">
        <v>1058</v>
      </c>
      <c r="C471" s="90"/>
      <c r="D471" s="75" t="s">
        <v>153</v>
      </c>
      <c r="H471" s="50" t="s">
        <v>838</v>
      </c>
      <c r="K471" s="63">
        <f>(K470+C21/10*F459)</f>
        <v>469.91911649999997</v>
      </c>
      <c r="L471" s="52">
        <f t="shared" si="41"/>
        <v>8.3509999999999991</v>
      </c>
      <c r="O471" s="50" t="s">
        <v>1063</v>
      </c>
      <c r="S471" s="50" t="s">
        <v>150</v>
      </c>
      <c r="T471" s="53"/>
      <c r="V471" s="64"/>
      <c r="W471" s="55"/>
      <c r="Z471" s="50" t="s">
        <v>150</v>
      </c>
      <c r="AA471" s="53"/>
      <c r="AB471" s="53"/>
      <c r="AD471" s="64"/>
      <c r="AE471" s="55"/>
      <c r="AG471" s="71" t="str">
        <f t="shared" si="40"/>
        <v>|</v>
      </c>
      <c r="AI471" s="50" t="s">
        <v>1095</v>
      </c>
    </row>
    <row r="472" spans="1:35" ht="15.75">
      <c r="A472" s="74"/>
      <c r="B472" s="75"/>
      <c r="C472" s="90"/>
      <c r="D472" s="75"/>
      <c r="H472" s="50">
        <v>5</v>
      </c>
      <c r="K472" s="63">
        <f>(K471+C21/10*F459)</f>
        <v>478.27011649999997</v>
      </c>
      <c r="L472" s="52">
        <f t="shared" si="41"/>
        <v>8.3509999999999991</v>
      </c>
      <c r="O472" s="50"/>
      <c r="S472" s="52"/>
      <c r="T472" s="53"/>
      <c r="V472" s="64"/>
      <c r="W472" s="55"/>
      <c r="X472" s="59" t="s">
        <v>156</v>
      </c>
      <c r="Y472" s="59"/>
      <c r="AA472" s="53"/>
      <c r="AB472" s="53"/>
      <c r="AD472" s="64"/>
      <c r="AE472" s="55"/>
      <c r="AF472" s="59" t="s">
        <v>156</v>
      </c>
      <c r="AG472" s="71"/>
      <c r="AI472" s="50"/>
    </row>
    <row r="473" spans="1:35" ht="15.75">
      <c r="A473" s="74"/>
      <c r="B473" s="75"/>
      <c r="C473" s="90"/>
      <c r="D473" s="75"/>
      <c r="H473" s="50">
        <v>6</v>
      </c>
      <c r="K473" s="63">
        <f>(K472+C21/10*F459)</f>
        <v>486.62111649999997</v>
      </c>
      <c r="L473" s="52">
        <f t="shared" si="41"/>
        <v>8.3509999999999991</v>
      </c>
      <c r="O473" s="50"/>
      <c r="S473" s="52"/>
      <c r="T473" s="62" t="s">
        <v>230</v>
      </c>
      <c r="U473" s="50" t="s">
        <v>1103</v>
      </c>
      <c r="V473" s="64"/>
      <c r="W473" s="55"/>
      <c r="AA473" s="62" t="s">
        <v>230</v>
      </c>
      <c r="AB473" s="62"/>
      <c r="AC473" s="50" t="s">
        <v>1103</v>
      </c>
      <c r="AD473" s="64"/>
      <c r="AE473" s="55"/>
      <c r="AG473" s="71"/>
      <c r="AI473" s="50"/>
    </row>
    <row r="474" spans="1:35" ht="15.75">
      <c r="A474" s="74"/>
      <c r="B474" s="75"/>
      <c r="C474" s="90"/>
      <c r="D474" s="75"/>
      <c r="H474" s="50">
        <v>7</v>
      </c>
      <c r="K474" s="63">
        <f>(K473+C21/10*F459)</f>
        <v>494.97211649999997</v>
      </c>
      <c r="L474" s="52">
        <f t="shared" si="41"/>
        <v>8.3509999999999991</v>
      </c>
      <c r="O474" s="50"/>
      <c r="S474" s="52"/>
      <c r="T474" s="53"/>
      <c r="U474" s="50" t="s">
        <v>1104</v>
      </c>
      <c r="V474" s="64"/>
      <c r="W474" s="55"/>
      <c r="AA474" s="53"/>
      <c r="AB474" s="53"/>
      <c r="AC474" s="50" t="s">
        <v>1104</v>
      </c>
      <c r="AD474" s="64"/>
      <c r="AE474" s="55"/>
      <c r="AG474" s="71"/>
      <c r="AI474" s="50"/>
    </row>
    <row r="475" spans="1:35" ht="15.75">
      <c r="A475" s="74"/>
      <c r="B475" s="75"/>
      <c r="C475" s="90"/>
      <c r="D475" s="75"/>
      <c r="H475" s="50">
        <v>8</v>
      </c>
      <c r="K475" s="63">
        <f>(K474+C21/10*F459)</f>
        <v>503.32311649999997</v>
      </c>
      <c r="L475" s="52">
        <f t="shared" si="41"/>
        <v>8.3509999999999991</v>
      </c>
      <c r="O475" s="50"/>
      <c r="S475" s="52"/>
      <c r="T475" s="53"/>
      <c r="U475" s="59" t="s">
        <v>21</v>
      </c>
      <c r="V475" s="64"/>
      <c r="W475" s="55"/>
      <c r="AA475" s="53"/>
      <c r="AB475" s="53"/>
      <c r="AC475" s="59" t="s">
        <v>21</v>
      </c>
      <c r="AD475" s="64"/>
      <c r="AE475" s="55"/>
      <c r="AG475" s="71"/>
      <c r="AI475" s="50"/>
    </row>
    <row r="476" spans="1:35" ht="15.75">
      <c r="A476" s="74"/>
      <c r="B476" s="75"/>
      <c r="C476" s="90"/>
      <c r="D476" s="75"/>
      <c r="H476" s="50">
        <v>9</v>
      </c>
      <c r="K476" s="63">
        <f>(K475+C21/10*F459)</f>
        <v>511.67411649999997</v>
      </c>
      <c r="L476" s="52">
        <f t="shared" si="41"/>
        <v>8.3509999999999991</v>
      </c>
      <c r="O476" s="50"/>
      <c r="S476" s="100">
        <v>1.4E-2</v>
      </c>
      <c r="T476" s="62" t="s">
        <v>151</v>
      </c>
      <c r="U476" s="50" t="s">
        <v>1105</v>
      </c>
      <c r="V476" s="64">
        <f>X470</f>
        <v>8828</v>
      </c>
      <c r="W476" s="50" t="s">
        <v>151</v>
      </c>
      <c r="X476" s="64">
        <f>(S476*V476)</f>
        <v>123.592</v>
      </c>
      <c r="Y476" s="64"/>
      <c r="Z476" s="100">
        <v>1.4E-2</v>
      </c>
      <c r="AA476" s="62" t="s">
        <v>151</v>
      </c>
      <c r="AB476" s="62"/>
      <c r="AC476" s="50" t="s">
        <v>1105</v>
      </c>
      <c r="AD476" s="64">
        <f>AF470</f>
        <v>9352</v>
      </c>
      <c r="AE476" s="50" t="s">
        <v>151</v>
      </c>
      <c r="AF476" s="64">
        <f>(Z476*AD476)</f>
        <v>130.928</v>
      </c>
      <c r="AG476" s="71"/>
      <c r="AI476" s="50"/>
    </row>
    <row r="477" spans="1:35" ht="15.75">
      <c r="A477" s="74"/>
      <c r="B477" s="75"/>
      <c r="C477" s="90"/>
      <c r="D477" s="75"/>
      <c r="H477" s="50">
        <v>10</v>
      </c>
      <c r="K477" s="63">
        <f>(K476+C21/10*F459)</f>
        <v>520.02511649999997</v>
      </c>
      <c r="L477" s="52">
        <f>K477-K476</f>
        <v>8.3509999999999991</v>
      </c>
      <c r="O477" s="50"/>
      <c r="S477" s="100"/>
      <c r="T477" s="53"/>
      <c r="U477" s="50" t="s">
        <v>1106</v>
      </c>
      <c r="V477" s="64"/>
      <c r="W477" s="55"/>
      <c r="X477" s="50" t="s">
        <v>150</v>
      </c>
      <c r="Y477" s="50"/>
      <c r="Z477" s="100"/>
      <c r="AA477" s="53"/>
      <c r="AB477" s="53"/>
      <c r="AC477" s="50" t="s">
        <v>1106</v>
      </c>
      <c r="AD477" s="64"/>
      <c r="AE477" s="55"/>
      <c r="AF477" s="50" t="s">
        <v>150</v>
      </c>
      <c r="AG477" s="71"/>
      <c r="AI477" s="50"/>
    </row>
    <row r="478" spans="1:35" ht="15.75">
      <c r="A478" s="74"/>
      <c r="B478" s="75"/>
      <c r="C478" s="90"/>
      <c r="D478" s="75"/>
      <c r="H478" s="50"/>
      <c r="K478" s="63">
        <f>(K477+C21/10*F459)</f>
        <v>528.37611649999997</v>
      </c>
      <c r="L478" s="52">
        <f>K478-K477</f>
        <v>8.3509999999999991</v>
      </c>
      <c r="O478" s="50"/>
      <c r="S478" s="64">
        <v>0.5</v>
      </c>
      <c r="T478" s="62" t="s">
        <v>4</v>
      </c>
      <c r="U478" s="50" t="s">
        <v>269</v>
      </c>
      <c r="V478" s="64">
        <f>C10</f>
        <v>1076.5999999999999</v>
      </c>
      <c r="W478" s="50" t="s">
        <v>4</v>
      </c>
      <c r="X478" s="64">
        <f>(S478*V478)</f>
        <v>538.29999999999995</v>
      </c>
      <c r="Y478" s="64"/>
      <c r="Z478" s="64">
        <v>0.5</v>
      </c>
      <c r="AA478" s="62" t="s">
        <v>4</v>
      </c>
      <c r="AB478" s="62"/>
      <c r="AC478" s="50" t="s">
        <v>269</v>
      </c>
      <c r="AD478" s="64">
        <f>V478</f>
        <v>1076.5999999999999</v>
      </c>
      <c r="AE478" s="50" t="s">
        <v>4</v>
      </c>
      <c r="AF478" s="64">
        <f>(Z478*AD478)</f>
        <v>538.29999999999995</v>
      </c>
      <c r="AG478" s="71"/>
      <c r="AI478" s="50"/>
    </row>
    <row r="479" spans="1:35" ht="15.75">
      <c r="A479" s="74">
        <f>(A471+1)</f>
        <v>305</v>
      </c>
      <c r="B479" s="147" t="s">
        <v>1107</v>
      </c>
      <c r="C479" s="90"/>
      <c r="D479" s="75" t="s">
        <v>153</v>
      </c>
      <c r="F479" s="51" t="s">
        <v>1108</v>
      </c>
      <c r="G479" s="62" t="s">
        <v>249</v>
      </c>
      <c r="H479" s="50" t="s">
        <v>1109</v>
      </c>
      <c r="K479" s="63">
        <f>(K478+C21/10*F459)</f>
        <v>536.72711649999997</v>
      </c>
      <c r="L479" s="52">
        <f>K479-K478</f>
        <v>8.3509999999999991</v>
      </c>
      <c r="O479" s="50" t="s">
        <v>1064</v>
      </c>
      <c r="S479" s="64">
        <v>0.75</v>
      </c>
      <c r="T479" s="62" t="s">
        <v>4</v>
      </c>
      <c r="U479" s="50" t="s">
        <v>235</v>
      </c>
      <c r="V479" s="64">
        <f>C12</f>
        <v>702.8</v>
      </c>
      <c r="W479" s="50" t="s">
        <v>4</v>
      </c>
      <c r="X479" s="64">
        <f>(S479*V479)</f>
        <v>527.09999999999991</v>
      </c>
      <c r="Y479" s="64"/>
      <c r="Z479" s="64">
        <v>0.75</v>
      </c>
      <c r="AA479" s="62" t="s">
        <v>4</v>
      </c>
      <c r="AB479" s="62"/>
      <c r="AC479" s="50" t="s">
        <v>235</v>
      </c>
      <c r="AD479" s="64">
        <f>V479</f>
        <v>702.8</v>
      </c>
      <c r="AE479" s="50" t="s">
        <v>4</v>
      </c>
      <c r="AF479" s="64">
        <f>(Z479*AD479)</f>
        <v>527.09999999999991</v>
      </c>
      <c r="AG479" s="71" t="str">
        <f t="shared" si="40"/>
        <v>|</v>
      </c>
      <c r="AI479" s="50" t="s">
        <v>1095</v>
      </c>
    </row>
    <row r="480" spans="1:35" ht="15.75">
      <c r="A480" s="74">
        <f t="shared" si="35"/>
        <v>306</v>
      </c>
      <c r="B480" s="75" t="s">
        <v>1033</v>
      </c>
      <c r="C480" s="76">
        <v>130</v>
      </c>
      <c r="D480" s="75" t="s">
        <v>153</v>
      </c>
      <c r="H480" s="50" t="s">
        <v>1110</v>
      </c>
      <c r="O480" s="50" t="s">
        <v>1065</v>
      </c>
      <c r="S480" s="52"/>
      <c r="T480" s="62" t="s">
        <v>226</v>
      </c>
      <c r="U480" s="50" t="s">
        <v>237</v>
      </c>
      <c r="V480" s="64"/>
      <c r="W480" s="50" t="s">
        <v>226</v>
      </c>
      <c r="X480" s="64">
        <v>0</v>
      </c>
      <c r="Y480" s="64"/>
      <c r="AA480" s="62" t="s">
        <v>226</v>
      </c>
      <c r="AB480" s="62"/>
      <c r="AC480" s="50" t="s">
        <v>237</v>
      </c>
      <c r="AD480" s="64">
        <f>V480</f>
        <v>0</v>
      </c>
      <c r="AE480" s="50" t="s">
        <v>226</v>
      </c>
      <c r="AF480" s="64">
        <v>0</v>
      </c>
      <c r="AG480" s="71" t="str">
        <f t="shared" si="40"/>
        <v>|</v>
      </c>
      <c r="AI480" s="50" t="s">
        <v>1095</v>
      </c>
    </row>
    <row r="481" spans="1:35" ht="15.75">
      <c r="A481" s="74">
        <f t="shared" si="35"/>
        <v>307</v>
      </c>
      <c r="B481" s="75" t="s">
        <v>1026</v>
      </c>
      <c r="C481" s="73">
        <v>344</v>
      </c>
      <c r="D481" s="75" t="s">
        <v>153</v>
      </c>
      <c r="H481" s="59" t="s">
        <v>21</v>
      </c>
      <c r="O481" s="50" t="s">
        <v>1066</v>
      </c>
      <c r="S481" s="52"/>
      <c r="T481" s="53"/>
      <c r="V481" s="64"/>
      <c r="W481" s="55"/>
      <c r="X481" s="59" t="s">
        <v>21</v>
      </c>
      <c r="Y481" s="59"/>
      <c r="AA481" s="53"/>
      <c r="AB481" s="53"/>
      <c r="AD481" s="64"/>
      <c r="AE481" s="55"/>
      <c r="AF481" s="59" t="s">
        <v>21</v>
      </c>
      <c r="AG481" s="71" t="str">
        <f t="shared" si="40"/>
        <v>|</v>
      </c>
      <c r="AI481" s="50" t="s">
        <v>1095</v>
      </c>
    </row>
    <row r="482" spans="1:35" ht="15.75">
      <c r="A482" s="74">
        <f t="shared" si="35"/>
        <v>308</v>
      </c>
      <c r="B482" s="75" t="s">
        <v>1028</v>
      </c>
      <c r="C482" s="73">
        <v>582</v>
      </c>
      <c r="D482" s="75" t="s">
        <v>153</v>
      </c>
      <c r="F482" s="64">
        <v>1</v>
      </c>
      <c r="G482" s="62" t="s">
        <v>151</v>
      </c>
      <c r="H482" s="50" t="s">
        <v>1111</v>
      </c>
      <c r="I482" s="64">
        <f>(C26)</f>
        <v>41.019999999999996</v>
      </c>
      <c r="J482" s="50" t="s">
        <v>151</v>
      </c>
      <c r="K482" s="63">
        <f>(F482*I482)</f>
        <v>41.019999999999996</v>
      </c>
      <c r="M482" s="64">
        <v>8</v>
      </c>
      <c r="N482" s="50" t="s">
        <v>4</v>
      </c>
      <c r="O482" s="50" t="s">
        <v>1069</v>
      </c>
      <c r="P482" s="64">
        <f>(C45)</f>
        <v>8.5</v>
      </c>
      <c r="Q482" s="50" t="s">
        <v>4</v>
      </c>
      <c r="R482" s="64">
        <f>(M482*P482)</f>
        <v>68</v>
      </c>
      <c r="S482" s="52"/>
      <c r="T482" s="53"/>
      <c r="U482" s="50" t="s">
        <v>1112</v>
      </c>
      <c r="V482" s="64"/>
      <c r="W482" s="55"/>
      <c r="X482" s="64">
        <f>SUM(X476:X480)</f>
        <v>1188.9919999999997</v>
      </c>
      <c r="Y482" s="64"/>
      <c r="AA482" s="53"/>
      <c r="AB482" s="53"/>
      <c r="AC482" s="50" t="s">
        <v>1112</v>
      </c>
      <c r="AD482" s="64"/>
      <c r="AE482" s="55"/>
      <c r="AF482" s="64">
        <f>SUM(AF476:AF480)</f>
        <v>1196.328</v>
      </c>
      <c r="AG482" s="71" t="str">
        <f t="shared" si="40"/>
        <v>|</v>
      </c>
      <c r="AI482" s="50" t="s">
        <v>1095</v>
      </c>
    </row>
    <row r="483" spans="1:35" ht="15.75">
      <c r="A483" s="74">
        <f t="shared" si="35"/>
        <v>309</v>
      </c>
      <c r="B483" s="75" t="s">
        <v>1029</v>
      </c>
      <c r="C483" s="73">
        <v>746</v>
      </c>
      <c r="D483" s="75" t="s">
        <v>153</v>
      </c>
      <c r="K483" s="59" t="s">
        <v>156</v>
      </c>
      <c r="M483" s="64">
        <v>8</v>
      </c>
      <c r="N483" s="50" t="s">
        <v>4</v>
      </c>
      <c r="O483" s="50" t="s">
        <v>1072</v>
      </c>
      <c r="P483" s="64">
        <f>(C52)</f>
        <v>21.1</v>
      </c>
      <c r="Q483" s="50" t="s">
        <v>4</v>
      </c>
      <c r="R483" s="64">
        <f>(M483*P483)</f>
        <v>168.8</v>
      </c>
      <c r="S483" s="52"/>
      <c r="T483" s="53"/>
      <c r="V483" s="64"/>
      <c r="W483" s="55"/>
      <c r="X483" s="59" t="s">
        <v>21</v>
      </c>
      <c r="Y483" s="59"/>
      <c r="AA483" s="53"/>
      <c r="AB483" s="53"/>
      <c r="AD483" s="64"/>
      <c r="AE483" s="55"/>
      <c r="AF483" s="59" t="s">
        <v>21</v>
      </c>
      <c r="AG483" s="71" t="str">
        <f t="shared" si="40"/>
        <v>|</v>
      </c>
      <c r="AI483" s="50" t="s">
        <v>1095</v>
      </c>
    </row>
    <row r="484" spans="1:35" ht="15.75">
      <c r="A484" s="74">
        <f t="shared" si="35"/>
        <v>310</v>
      </c>
      <c r="B484" s="75" t="s">
        <v>1030</v>
      </c>
      <c r="C484" s="73">
        <v>959</v>
      </c>
      <c r="D484" s="75" t="s">
        <v>153</v>
      </c>
      <c r="F484" s="101">
        <v>7.3</v>
      </c>
      <c r="G484" s="62" t="s">
        <v>249</v>
      </c>
      <c r="H484" s="50" t="s">
        <v>1113</v>
      </c>
      <c r="M484" s="64">
        <v>1</v>
      </c>
      <c r="N484" s="50" t="s">
        <v>226</v>
      </c>
      <c r="O484" s="50" t="s">
        <v>1074</v>
      </c>
      <c r="P484" s="64">
        <f>(C56)</f>
        <v>12.1</v>
      </c>
      <c r="Q484" s="50" t="s">
        <v>226</v>
      </c>
      <c r="R484" s="64">
        <f>(M484*P484)</f>
        <v>12.1</v>
      </c>
      <c r="S484" s="52"/>
      <c r="T484" s="53"/>
      <c r="U484" s="50" t="s">
        <v>155</v>
      </c>
      <c r="W484" s="55"/>
      <c r="X484" s="64">
        <f>(X482/0.372)</f>
        <v>3196.2150537634402</v>
      </c>
      <c r="Y484" s="64"/>
      <c r="AA484" s="53"/>
      <c r="AB484" s="53"/>
      <c r="AC484" s="50" t="s">
        <v>155</v>
      </c>
      <c r="AE484" s="55"/>
      <c r="AF484" s="64">
        <f>(AF482/0.372)</f>
        <v>3215.9354838709678</v>
      </c>
      <c r="AG484" s="71" t="str">
        <f t="shared" si="40"/>
        <v>|</v>
      </c>
      <c r="AI484" s="50" t="s">
        <v>1095</v>
      </c>
    </row>
    <row r="485" spans="1:35" ht="15.75">
      <c r="A485" s="74">
        <f t="shared" si="35"/>
        <v>311</v>
      </c>
      <c r="B485" s="75" t="s">
        <v>979</v>
      </c>
      <c r="C485" s="73">
        <v>1217</v>
      </c>
      <c r="D485" s="75" t="s">
        <v>153</v>
      </c>
      <c r="F485" s="50" t="s">
        <v>150</v>
      </c>
      <c r="H485" s="50" t="s">
        <v>1114</v>
      </c>
      <c r="M485" s="64">
        <v>1</v>
      </c>
      <c r="N485" s="50" t="s">
        <v>226</v>
      </c>
      <c r="O485" s="50" t="s">
        <v>237</v>
      </c>
      <c r="Q485" s="50" t="s">
        <v>226</v>
      </c>
      <c r="R485" s="64">
        <v>0</v>
      </c>
      <c r="S485" s="52"/>
      <c r="T485" s="53"/>
      <c r="W485" s="55"/>
      <c r="X485" s="59" t="s">
        <v>156</v>
      </c>
      <c r="Y485" s="59"/>
      <c r="AA485" s="53"/>
      <c r="AB485" s="53"/>
      <c r="AE485" s="55"/>
      <c r="AF485" s="59" t="s">
        <v>156</v>
      </c>
      <c r="AG485" s="71" t="str">
        <f t="shared" si="40"/>
        <v>|</v>
      </c>
      <c r="AI485" s="50" t="s">
        <v>1095</v>
      </c>
    </row>
    <row r="486" spans="1:35" ht="15.75">
      <c r="A486" s="74">
        <f t="shared" si="35"/>
        <v>312</v>
      </c>
      <c r="B486" s="75" t="s">
        <v>1058</v>
      </c>
      <c r="C486" s="129">
        <v>1494</v>
      </c>
      <c r="D486" s="75" t="s">
        <v>153</v>
      </c>
      <c r="F486" s="50" t="s">
        <v>150</v>
      </c>
      <c r="H486" s="59" t="s">
        <v>1115</v>
      </c>
      <c r="R486" s="59" t="s">
        <v>21</v>
      </c>
      <c r="S486" s="52"/>
      <c r="T486" s="53"/>
      <c r="U486" s="50" t="s">
        <v>271</v>
      </c>
      <c r="V486" s="52">
        <f>X484</f>
        <v>3196.2150537634402</v>
      </c>
      <c r="W486" s="55">
        <f>J659</f>
        <v>4.7366666666666672</v>
      </c>
      <c r="X486" s="63">
        <f>V486+W486</f>
        <v>3200.9517204301069</v>
      </c>
      <c r="Y486" s="63"/>
      <c r="AA486" s="53"/>
      <c r="AB486" s="53"/>
      <c r="AC486" s="50" t="s">
        <v>271</v>
      </c>
      <c r="AD486" s="52">
        <f>AF484</f>
        <v>3215.9354838709678</v>
      </c>
      <c r="AE486" s="55">
        <f t="shared" ref="AE486:AE491" si="42">W486</f>
        <v>4.7366666666666672</v>
      </c>
      <c r="AF486" s="63">
        <f>AD486+AE486</f>
        <v>3220.6721505376345</v>
      </c>
      <c r="AG486" s="71" t="str">
        <f t="shared" si="40"/>
        <v>|</v>
      </c>
      <c r="AI486" s="50" t="s">
        <v>1095</v>
      </c>
    </row>
    <row r="487" spans="1:35" ht="15.75">
      <c r="A487" s="74">
        <f t="shared" si="35"/>
        <v>313</v>
      </c>
      <c r="B487" s="147" t="s">
        <v>1116</v>
      </c>
      <c r="C487" s="90"/>
      <c r="D487" s="75"/>
      <c r="F487" s="64">
        <v>0.13</v>
      </c>
      <c r="G487" s="62" t="s">
        <v>151</v>
      </c>
      <c r="H487" s="50" t="s">
        <v>258</v>
      </c>
      <c r="I487" s="64">
        <f>(K40)</f>
        <v>4326.7</v>
      </c>
      <c r="J487" s="50" t="s">
        <v>151</v>
      </c>
      <c r="K487" s="64">
        <f t="shared" ref="K487:K492" si="43">(F487*I487)</f>
        <v>562.471</v>
      </c>
      <c r="O487" s="50" t="s">
        <v>1076</v>
      </c>
      <c r="R487" s="64">
        <f>SUM(R468:R485)</f>
        <v>2636.2819999999997</v>
      </c>
      <c r="S487" s="52"/>
      <c r="T487" s="53"/>
      <c r="U487" s="50" t="s">
        <v>272</v>
      </c>
      <c r="V487" s="52">
        <f>X486</f>
        <v>3200.9517204301069</v>
      </c>
      <c r="W487" s="55">
        <f>J662</f>
        <v>9.3258064516129036</v>
      </c>
      <c r="X487" s="63">
        <f>V487+W487</f>
        <v>3210.27752688172</v>
      </c>
      <c r="Y487" s="63"/>
      <c r="AA487" s="53"/>
      <c r="AB487" s="53"/>
      <c r="AC487" s="50" t="s">
        <v>272</v>
      </c>
      <c r="AD487" s="52">
        <f>AF486</f>
        <v>3220.6721505376345</v>
      </c>
      <c r="AE487" s="55">
        <f t="shared" si="42"/>
        <v>9.3258064516129036</v>
      </c>
      <c r="AF487" s="63">
        <f>AD487+AE487</f>
        <v>3229.9979569892475</v>
      </c>
      <c r="AG487" s="71" t="str">
        <f t="shared" si="40"/>
        <v>|</v>
      </c>
      <c r="AI487" s="50" t="s">
        <v>1095</v>
      </c>
    </row>
    <row r="488" spans="1:35" ht="15.75">
      <c r="A488" s="74">
        <f t="shared" ref="A488:A494" si="44">(A487+1)</f>
        <v>314</v>
      </c>
      <c r="B488" s="75" t="s">
        <v>1033</v>
      </c>
      <c r="C488" s="73">
        <v>167</v>
      </c>
      <c r="D488" s="75" t="s">
        <v>153</v>
      </c>
      <c r="F488" s="64">
        <v>0.7</v>
      </c>
      <c r="G488" s="62" t="s">
        <v>4</v>
      </c>
      <c r="H488" s="50" t="s">
        <v>269</v>
      </c>
      <c r="I488" s="64">
        <f>(C10)</f>
        <v>1076.5999999999999</v>
      </c>
      <c r="J488" s="50" t="s">
        <v>4</v>
      </c>
      <c r="K488" s="64">
        <f t="shared" si="43"/>
        <v>753.61999999999989</v>
      </c>
      <c r="R488" s="59" t="s">
        <v>21</v>
      </c>
      <c r="S488" s="52"/>
      <c r="T488" s="53"/>
      <c r="U488" s="50" t="s">
        <v>767</v>
      </c>
      <c r="V488" s="52">
        <f>X487</f>
        <v>3210.27752688172</v>
      </c>
      <c r="W488" s="55">
        <f>J663</f>
        <v>9.3258064516129036</v>
      </c>
      <c r="X488" s="63">
        <f>V488+W488</f>
        <v>3219.603333333333</v>
      </c>
      <c r="Y488" s="63"/>
      <c r="AA488" s="53"/>
      <c r="AB488" s="53"/>
      <c r="AC488" s="50" t="s">
        <v>767</v>
      </c>
      <c r="AD488" s="52">
        <f>AF487</f>
        <v>3229.9979569892475</v>
      </c>
      <c r="AE488" s="55">
        <f t="shared" si="42"/>
        <v>9.3258064516129036</v>
      </c>
      <c r="AF488" s="63">
        <f>AD488+AE488</f>
        <v>3239.3237634408606</v>
      </c>
      <c r="AG488" s="71" t="str">
        <f t="shared" si="40"/>
        <v>|</v>
      </c>
      <c r="AI488" s="50" t="s">
        <v>1095</v>
      </c>
    </row>
    <row r="489" spans="1:35" ht="15.75">
      <c r="A489" s="74">
        <f t="shared" si="44"/>
        <v>315</v>
      </c>
      <c r="B489" s="75" t="s">
        <v>1026</v>
      </c>
      <c r="C489" s="73">
        <v>137</v>
      </c>
      <c r="D489" s="75" t="s">
        <v>153</v>
      </c>
      <c r="F489" s="64">
        <v>0.7</v>
      </c>
      <c r="G489" s="62" t="s">
        <v>4</v>
      </c>
      <c r="H489" s="50" t="s">
        <v>234</v>
      </c>
      <c r="I489" s="64">
        <f>(C11)</f>
        <v>1005.1999999999999</v>
      </c>
      <c r="J489" s="50" t="s">
        <v>4</v>
      </c>
      <c r="K489" s="64">
        <f t="shared" si="43"/>
        <v>703.63999999999987</v>
      </c>
      <c r="O489" s="50" t="s">
        <v>562</v>
      </c>
      <c r="R489" s="64">
        <f>(R487/30)</f>
        <v>87.876066666666659</v>
      </c>
      <c r="S489" s="52"/>
      <c r="T489" s="53"/>
      <c r="U489" s="50" t="s">
        <v>769</v>
      </c>
      <c r="V489" s="52">
        <f>X488</f>
        <v>3219.603333333333</v>
      </c>
      <c r="W489" s="55">
        <f>J664</f>
        <v>9.3258064516129036</v>
      </c>
      <c r="X489" s="63">
        <f>V489+W489</f>
        <v>3228.9291397849461</v>
      </c>
      <c r="Y489" s="63"/>
      <c r="AA489" s="53"/>
      <c r="AB489" s="53"/>
      <c r="AC489" s="50" t="s">
        <v>769</v>
      </c>
      <c r="AD489" s="52">
        <f>AF488</f>
        <v>3239.3237634408606</v>
      </c>
      <c r="AE489" s="55">
        <f t="shared" si="42"/>
        <v>9.3258064516129036</v>
      </c>
      <c r="AF489" s="63">
        <f>AD489+AE489</f>
        <v>3248.6495698924737</v>
      </c>
      <c r="AG489" s="71" t="str">
        <f t="shared" si="40"/>
        <v>|</v>
      </c>
      <c r="AI489" s="50" t="s">
        <v>1095</v>
      </c>
    </row>
    <row r="490" spans="1:35" ht="15.75">
      <c r="A490" s="74">
        <f t="shared" si="44"/>
        <v>316</v>
      </c>
      <c r="B490" s="75" t="s">
        <v>1028</v>
      </c>
      <c r="C490" s="73">
        <v>345</v>
      </c>
      <c r="D490" s="75" t="s">
        <v>153</v>
      </c>
      <c r="F490" s="64">
        <v>1.5</v>
      </c>
      <c r="G490" s="62" t="s">
        <v>4</v>
      </c>
      <c r="H490" s="50" t="s">
        <v>235</v>
      </c>
      <c r="I490" s="64">
        <f>(C12)</f>
        <v>702.8</v>
      </c>
      <c r="J490" s="50" t="s">
        <v>4</v>
      </c>
      <c r="K490" s="64">
        <f t="shared" si="43"/>
        <v>1054.1999999999998</v>
      </c>
      <c r="R490" s="59" t="s">
        <v>21</v>
      </c>
      <c r="S490" s="52"/>
      <c r="T490" s="53"/>
      <c r="U490" s="50" t="s">
        <v>1117</v>
      </c>
      <c r="V490" s="52">
        <f>X489</f>
        <v>3228.9291397849461</v>
      </c>
      <c r="W490" s="55">
        <f>J665</f>
        <v>9.3258064516129036</v>
      </c>
      <c r="X490" s="63">
        <f>V490+W490</f>
        <v>3238.2549462365591</v>
      </c>
      <c r="Y490" s="63"/>
      <c r="AA490" s="53"/>
      <c r="AB490" s="53"/>
      <c r="AC490" s="50" t="s">
        <v>1117</v>
      </c>
      <c r="AD490" s="52">
        <f>AF489</f>
        <v>3248.6495698924737</v>
      </c>
      <c r="AE490" s="55">
        <f t="shared" si="42"/>
        <v>9.3258064516129036</v>
      </c>
      <c r="AF490" s="63">
        <f>AD490+AE490</f>
        <v>3257.9753763440867</v>
      </c>
      <c r="AG490" s="71" t="str">
        <f t="shared" si="40"/>
        <v>|</v>
      </c>
      <c r="AI490" s="50" t="s">
        <v>1095</v>
      </c>
    </row>
    <row r="491" spans="1:35" ht="15.75">
      <c r="A491" s="74">
        <f t="shared" si="44"/>
        <v>317</v>
      </c>
      <c r="B491" s="75" t="s">
        <v>1029</v>
      </c>
      <c r="C491" s="73">
        <v>503</v>
      </c>
      <c r="D491" s="75" t="s">
        <v>153</v>
      </c>
      <c r="F491" s="64">
        <v>0.5</v>
      </c>
      <c r="G491" s="62" t="s">
        <v>4</v>
      </c>
      <c r="H491" s="50" t="s">
        <v>236</v>
      </c>
      <c r="I491" s="64">
        <f>(C13)</f>
        <v>576.79999999999995</v>
      </c>
      <c r="J491" s="50" t="s">
        <v>4</v>
      </c>
      <c r="K491" s="64">
        <f t="shared" si="43"/>
        <v>288.39999999999998</v>
      </c>
      <c r="M491" s="50" t="s">
        <v>150</v>
      </c>
      <c r="Z491" s="56"/>
      <c r="AE491" s="55">
        <f t="shared" si="42"/>
        <v>0</v>
      </c>
      <c r="AG491" s="71" t="str">
        <f t="shared" si="40"/>
        <v>|</v>
      </c>
      <c r="AI491" s="50" t="s">
        <v>1095</v>
      </c>
    </row>
    <row r="492" spans="1:35" ht="15.75">
      <c r="A492" s="74">
        <f t="shared" si="44"/>
        <v>318</v>
      </c>
      <c r="B492" s="75" t="s">
        <v>1030</v>
      </c>
      <c r="C492" s="73">
        <v>640</v>
      </c>
      <c r="D492" s="75" t="s">
        <v>153</v>
      </c>
      <c r="F492" s="64">
        <v>0.94</v>
      </c>
      <c r="G492" s="62" t="s">
        <v>13</v>
      </c>
      <c r="H492" s="50" t="s">
        <v>1118</v>
      </c>
      <c r="I492" s="64">
        <f>C653</f>
        <v>41.9</v>
      </c>
      <c r="J492" s="50" t="s">
        <v>13</v>
      </c>
      <c r="K492" s="64">
        <f t="shared" si="43"/>
        <v>39.385999999999996</v>
      </c>
      <c r="N492" s="50" t="s">
        <v>249</v>
      </c>
      <c r="O492" s="50" t="s">
        <v>1053</v>
      </c>
      <c r="Z492" s="56"/>
      <c r="AG492" s="71" t="str">
        <f t="shared" si="40"/>
        <v>|</v>
      </c>
      <c r="AI492" s="50" t="s">
        <v>1095</v>
      </c>
    </row>
    <row r="493" spans="1:35" ht="15.75">
      <c r="A493" s="74">
        <f t="shared" si="44"/>
        <v>319</v>
      </c>
      <c r="B493" s="75" t="s">
        <v>979</v>
      </c>
      <c r="C493" s="76">
        <v>584</v>
      </c>
      <c r="D493" s="75" t="s">
        <v>153</v>
      </c>
      <c r="H493" s="50" t="s">
        <v>237</v>
      </c>
      <c r="I493" s="50" t="s">
        <v>150</v>
      </c>
      <c r="J493" s="50" t="s">
        <v>226</v>
      </c>
      <c r="K493" s="64">
        <v>0</v>
      </c>
      <c r="O493" s="50" t="s">
        <v>1054</v>
      </c>
      <c r="Z493" s="56"/>
      <c r="AG493" s="71" t="str">
        <f t="shared" si="40"/>
        <v>|</v>
      </c>
      <c r="AI493" s="50" t="s">
        <v>1095</v>
      </c>
    </row>
    <row r="494" spans="1:35" ht="15.75">
      <c r="A494" s="74">
        <f t="shared" si="44"/>
        <v>320</v>
      </c>
      <c r="B494" s="75" t="s">
        <v>1058</v>
      </c>
      <c r="C494" s="90"/>
      <c r="D494" s="75" t="s">
        <v>153</v>
      </c>
      <c r="K494" s="59" t="s">
        <v>21</v>
      </c>
      <c r="O494" s="50" t="s">
        <v>1119</v>
      </c>
      <c r="Z494" s="56"/>
      <c r="AG494" s="71" t="str">
        <f t="shared" si="40"/>
        <v>|</v>
      </c>
      <c r="AI494" s="50" t="s">
        <v>1095</v>
      </c>
    </row>
    <row r="495" spans="1:35" ht="15.75">
      <c r="A495" s="74">
        <f>(A494+1)</f>
        <v>321</v>
      </c>
      <c r="B495" s="147" t="s">
        <v>1120</v>
      </c>
      <c r="C495" s="90"/>
      <c r="D495" s="75" t="s">
        <v>153</v>
      </c>
      <c r="H495" s="50" t="s">
        <v>238</v>
      </c>
      <c r="K495" s="64">
        <f>SUM(K486:K493)</f>
        <v>3401.7169999999996</v>
      </c>
      <c r="O495" s="59" t="s">
        <v>21</v>
      </c>
      <c r="Z495" s="56"/>
      <c r="AG495" s="71" t="str">
        <f t="shared" si="40"/>
        <v>|</v>
      </c>
      <c r="AI495" s="50" t="s">
        <v>1095</v>
      </c>
    </row>
    <row r="496" spans="1:35" ht="15.75">
      <c r="A496" s="74">
        <f>(A495+1)</f>
        <v>322</v>
      </c>
      <c r="B496" s="75" t="s">
        <v>1121</v>
      </c>
      <c r="C496" s="73">
        <v>20.3</v>
      </c>
      <c r="D496" s="75" t="s">
        <v>153</v>
      </c>
      <c r="K496" s="59" t="s">
        <v>21</v>
      </c>
      <c r="N496" s="50" t="s">
        <v>1056</v>
      </c>
      <c r="O496" s="51" t="s">
        <v>1122</v>
      </c>
      <c r="Z496" s="56"/>
      <c r="AG496" s="71" t="str">
        <f t="shared" si="40"/>
        <v>|</v>
      </c>
      <c r="AI496" s="50" t="s">
        <v>1095</v>
      </c>
    </row>
    <row r="497" spans="1:35" ht="15.75">
      <c r="A497" s="74">
        <f>(A496+1)</f>
        <v>323</v>
      </c>
      <c r="B497" s="75" t="s">
        <v>1123</v>
      </c>
      <c r="C497" s="76">
        <v>11.5</v>
      </c>
      <c r="D497" s="75" t="s">
        <v>153</v>
      </c>
      <c r="H497" s="66" t="s">
        <v>155</v>
      </c>
      <c r="K497" s="63">
        <f>(K495/10)</f>
        <v>340.17169999999999</v>
      </c>
      <c r="O497" s="59" t="s">
        <v>21</v>
      </c>
      <c r="Z497" s="56"/>
      <c r="AG497" s="71" t="str">
        <f t="shared" si="40"/>
        <v>|</v>
      </c>
      <c r="AI497" s="50" t="s">
        <v>1095</v>
      </c>
    </row>
    <row r="498" spans="1:35" ht="15.75">
      <c r="A498" s="90"/>
      <c r="B498" s="90"/>
      <c r="C498" s="90"/>
      <c r="D498" s="90"/>
      <c r="F498" s="50" t="s">
        <v>150</v>
      </c>
      <c r="AG498" s="71" t="str">
        <f t="shared" si="40"/>
        <v>|</v>
      </c>
      <c r="AI498" s="50" t="s">
        <v>1095</v>
      </c>
    </row>
    <row r="499" spans="1:35" ht="15.75">
      <c r="A499" s="74">
        <f>(A497+1)</f>
        <v>324</v>
      </c>
      <c r="B499" s="75" t="s">
        <v>1124</v>
      </c>
      <c r="C499" s="73">
        <v>28.6</v>
      </c>
      <c r="D499" s="75" t="s">
        <v>153</v>
      </c>
      <c r="K499" s="59" t="s">
        <v>156</v>
      </c>
      <c r="M499" s="64">
        <v>30</v>
      </c>
      <c r="N499" s="50" t="s">
        <v>552</v>
      </c>
      <c r="O499" s="50" t="s">
        <v>1125</v>
      </c>
      <c r="P499" s="64">
        <f>(C42)</f>
        <v>5</v>
      </c>
      <c r="Q499" s="50" t="s">
        <v>552</v>
      </c>
      <c r="R499" s="64">
        <f>(M499*P499)</f>
        <v>150</v>
      </c>
      <c r="AG499" s="71" t="str">
        <f t="shared" si="40"/>
        <v>|</v>
      </c>
      <c r="AI499" s="50" t="s">
        <v>1095</v>
      </c>
    </row>
    <row r="500" spans="1:35" ht="15.75">
      <c r="A500" s="74">
        <f t="shared" ref="A500:A562" si="45">(A499+1)</f>
        <v>325</v>
      </c>
      <c r="B500" s="75" t="s">
        <v>1126</v>
      </c>
      <c r="C500" s="76">
        <v>56.74</v>
      </c>
      <c r="D500" s="75" t="s">
        <v>153</v>
      </c>
      <c r="F500" s="51"/>
      <c r="G500" s="62" t="s">
        <v>249</v>
      </c>
      <c r="H500" s="50" t="s">
        <v>1127</v>
      </c>
      <c r="M500" s="50" t="s">
        <v>150</v>
      </c>
      <c r="O500" s="50" t="s">
        <v>1128</v>
      </c>
      <c r="P500" s="50" t="s">
        <v>150</v>
      </c>
      <c r="R500" s="50" t="s">
        <v>150</v>
      </c>
      <c r="AG500" s="71" t="str">
        <f t="shared" si="40"/>
        <v>|</v>
      </c>
      <c r="AI500" s="50" t="s">
        <v>1095</v>
      </c>
    </row>
    <row r="501" spans="1:35" ht="15.75">
      <c r="A501" s="74">
        <f t="shared" si="45"/>
        <v>326</v>
      </c>
      <c r="B501" s="75" t="s">
        <v>1129</v>
      </c>
      <c r="C501" s="76">
        <v>56.74</v>
      </c>
      <c r="D501" s="75" t="s">
        <v>153</v>
      </c>
      <c r="H501" s="50" t="s">
        <v>920</v>
      </c>
      <c r="M501" s="64">
        <v>8</v>
      </c>
      <c r="N501" s="50" t="s">
        <v>153</v>
      </c>
      <c r="O501" s="50" t="s">
        <v>1069</v>
      </c>
      <c r="P501" s="64">
        <f>(C43)</f>
        <v>7.1</v>
      </c>
      <c r="Q501" s="50" t="s">
        <v>153</v>
      </c>
      <c r="R501" s="64">
        <f t="shared" ref="R501:R506" si="46">(M501*P501)</f>
        <v>56.8</v>
      </c>
      <c r="AG501" s="71" t="str">
        <f t="shared" si="40"/>
        <v>|</v>
      </c>
      <c r="AI501" s="50" t="s">
        <v>1095</v>
      </c>
    </row>
    <row r="502" spans="1:35" ht="15.75">
      <c r="A502" s="74">
        <f t="shared" si="45"/>
        <v>327</v>
      </c>
      <c r="B502" s="147" t="s">
        <v>1130</v>
      </c>
      <c r="C502" s="90"/>
      <c r="D502" s="75" t="s">
        <v>150</v>
      </c>
      <c r="H502" s="59" t="s">
        <v>21</v>
      </c>
      <c r="M502" s="64">
        <v>8</v>
      </c>
      <c r="N502" s="50" t="s">
        <v>153</v>
      </c>
      <c r="O502" s="50" t="s">
        <v>1072</v>
      </c>
      <c r="P502" s="64">
        <f>(C50)</f>
        <v>10</v>
      </c>
      <c r="Q502" s="50" t="s">
        <v>153</v>
      </c>
      <c r="R502" s="64">
        <f t="shared" si="46"/>
        <v>80</v>
      </c>
      <c r="AG502" s="71" t="str">
        <f t="shared" si="40"/>
        <v>|</v>
      </c>
      <c r="AI502" s="50" t="s">
        <v>1095</v>
      </c>
    </row>
    <row r="503" spans="1:35" ht="15.75">
      <c r="A503" s="74">
        <f t="shared" si="45"/>
        <v>328</v>
      </c>
      <c r="B503" s="75" t="s">
        <v>1131</v>
      </c>
      <c r="C503" s="73">
        <v>69.8</v>
      </c>
      <c r="D503" s="75" t="s">
        <v>153</v>
      </c>
      <c r="F503" s="64">
        <v>9</v>
      </c>
      <c r="G503" s="62" t="s">
        <v>151</v>
      </c>
      <c r="H503" s="50" t="s">
        <v>1132</v>
      </c>
      <c r="I503" s="64">
        <f>(C70)</f>
        <v>1617.4499999999998</v>
      </c>
      <c r="J503" s="50" t="s">
        <v>151</v>
      </c>
      <c r="K503" s="64">
        <f t="shared" ref="K503:K508" si="47">(F503*I503)</f>
        <v>14557.05</v>
      </c>
      <c r="M503" s="64">
        <v>3</v>
      </c>
      <c r="N503" s="50" t="s">
        <v>153</v>
      </c>
      <c r="O503" s="50" t="s">
        <v>1133</v>
      </c>
      <c r="P503" s="64">
        <f>(C41)</f>
        <v>796.59999999999991</v>
      </c>
      <c r="Q503" s="50" t="s">
        <v>153</v>
      </c>
      <c r="R503" s="64">
        <f t="shared" si="46"/>
        <v>2389.7999999999997</v>
      </c>
      <c r="AG503" s="71" t="str">
        <f t="shared" si="40"/>
        <v>|</v>
      </c>
      <c r="AI503" s="50" t="s">
        <v>1095</v>
      </c>
    </row>
    <row r="504" spans="1:35" ht="15.75">
      <c r="A504" s="74">
        <f t="shared" si="45"/>
        <v>329</v>
      </c>
      <c r="B504" s="75" t="s">
        <v>1123</v>
      </c>
      <c r="C504" s="76">
        <v>15.6</v>
      </c>
      <c r="D504" s="75" t="s">
        <v>153</v>
      </c>
      <c r="F504" s="100">
        <v>3.2309999999999999</v>
      </c>
      <c r="G504" s="62" t="s">
        <v>251</v>
      </c>
      <c r="H504" s="50" t="s">
        <v>252</v>
      </c>
      <c r="I504" s="64">
        <f>(C67)</f>
        <v>5800</v>
      </c>
      <c r="J504" s="50" t="s">
        <v>251</v>
      </c>
      <c r="K504" s="64">
        <f t="shared" si="47"/>
        <v>18739.8</v>
      </c>
      <c r="M504" s="64">
        <v>1</v>
      </c>
      <c r="N504" s="50" t="s">
        <v>153</v>
      </c>
      <c r="O504" s="50" t="s">
        <v>1134</v>
      </c>
      <c r="P504" s="64">
        <f>(C10)</f>
        <v>1076.5999999999999</v>
      </c>
      <c r="Q504" s="50" t="s">
        <v>153</v>
      </c>
      <c r="R504" s="64">
        <f t="shared" si="46"/>
        <v>1076.5999999999999</v>
      </c>
      <c r="AG504" s="71" t="str">
        <f t="shared" si="40"/>
        <v>|</v>
      </c>
      <c r="AI504" s="50" t="s">
        <v>1095</v>
      </c>
    </row>
    <row r="505" spans="1:35" ht="15.75">
      <c r="A505" s="74">
        <f t="shared" si="45"/>
        <v>330</v>
      </c>
      <c r="B505" s="75" t="s">
        <v>1135</v>
      </c>
      <c r="C505" s="73">
        <v>75.3</v>
      </c>
      <c r="D505" s="75" t="s">
        <v>153</v>
      </c>
      <c r="F505" s="64">
        <v>4.5</v>
      </c>
      <c r="G505" s="62" t="s">
        <v>151</v>
      </c>
      <c r="H505" s="50" t="s">
        <v>253</v>
      </c>
      <c r="I505" s="64">
        <f>(C78)</f>
        <v>2116.9</v>
      </c>
      <c r="J505" s="50" t="s">
        <v>151</v>
      </c>
      <c r="K505" s="64">
        <f t="shared" si="47"/>
        <v>9526.0500000000011</v>
      </c>
      <c r="M505" s="64">
        <v>2</v>
      </c>
      <c r="N505" s="50" t="s">
        <v>153</v>
      </c>
      <c r="O505" s="50" t="s">
        <v>235</v>
      </c>
      <c r="P505" s="64">
        <f>(C12)</f>
        <v>702.8</v>
      </c>
      <c r="Q505" s="50" t="s">
        <v>153</v>
      </c>
      <c r="R505" s="64">
        <f t="shared" si="46"/>
        <v>1405.6</v>
      </c>
      <c r="AG505" s="71" t="str">
        <f t="shared" si="40"/>
        <v>|</v>
      </c>
      <c r="AI505" s="50" t="s">
        <v>1095</v>
      </c>
    </row>
    <row r="506" spans="1:35" ht="15.75">
      <c r="A506" s="74">
        <f t="shared" si="45"/>
        <v>331</v>
      </c>
      <c r="B506" s="75" t="s">
        <v>1126</v>
      </c>
      <c r="C506" s="76">
        <v>100.3</v>
      </c>
      <c r="D506" s="75" t="s">
        <v>153</v>
      </c>
      <c r="F506" s="64">
        <v>3.5</v>
      </c>
      <c r="G506" s="62" t="s">
        <v>153</v>
      </c>
      <c r="H506" s="50" t="s">
        <v>234</v>
      </c>
      <c r="I506" s="64">
        <f>(C11)</f>
        <v>1005.1999999999999</v>
      </c>
      <c r="J506" s="50" t="s">
        <v>153</v>
      </c>
      <c r="K506" s="64">
        <f t="shared" si="47"/>
        <v>3518.2</v>
      </c>
      <c r="M506" s="64">
        <v>1</v>
      </c>
      <c r="N506" s="50" t="s">
        <v>153</v>
      </c>
      <c r="O506" s="50" t="s">
        <v>236</v>
      </c>
      <c r="P506" s="64">
        <f>(C13)</f>
        <v>576.79999999999995</v>
      </c>
      <c r="Q506" s="50" t="s">
        <v>153</v>
      </c>
      <c r="R506" s="64">
        <f t="shared" si="46"/>
        <v>576.79999999999995</v>
      </c>
      <c r="AG506" s="71" t="str">
        <f t="shared" si="40"/>
        <v>|</v>
      </c>
      <c r="AI506" s="50" t="s">
        <v>1095</v>
      </c>
    </row>
    <row r="507" spans="1:35" ht="15.75">
      <c r="A507" s="74">
        <f t="shared" si="45"/>
        <v>332</v>
      </c>
      <c r="B507" s="75" t="s">
        <v>1129</v>
      </c>
      <c r="C507" s="76">
        <v>100.3</v>
      </c>
      <c r="D507" s="75" t="s">
        <v>153</v>
      </c>
      <c r="F507" s="64">
        <v>21.2</v>
      </c>
      <c r="G507" s="62" t="s">
        <v>153</v>
      </c>
      <c r="H507" s="50" t="s">
        <v>235</v>
      </c>
      <c r="I507" s="64">
        <f>(C12)</f>
        <v>702.8</v>
      </c>
      <c r="J507" s="50" t="s">
        <v>153</v>
      </c>
      <c r="K507" s="64">
        <f t="shared" si="47"/>
        <v>14899.359999999999</v>
      </c>
      <c r="N507" s="50" t="s">
        <v>226</v>
      </c>
      <c r="O507" s="50" t="s">
        <v>1136</v>
      </c>
      <c r="P507" s="50" t="s">
        <v>150</v>
      </c>
      <c r="Q507" s="50" t="s">
        <v>226</v>
      </c>
      <c r="R507" s="64">
        <f>(C56)</f>
        <v>12.1</v>
      </c>
      <c r="AG507" s="71" t="str">
        <f t="shared" si="40"/>
        <v>|</v>
      </c>
      <c r="AI507" s="50" t="s">
        <v>1095</v>
      </c>
    </row>
    <row r="508" spans="1:35" ht="15.75">
      <c r="A508" s="74">
        <f t="shared" si="45"/>
        <v>333</v>
      </c>
      <c r="B508" s="147" t="s">
        <v>1137</v>
      </c>
      <c r="C508" s="90"/>
      <c r="D508" s="75" t="s">
        <v>150</v>
      </c>
      <c r="F508" s="64">
        <v>35.299999999999997</v>
      </c>
      <c r="G508" s="62" t="s">
        <v>153</v>
      </c>
      <c r="H508" s="50" t="s">
        <v>236</v>
      </c>
      <c r="I508" s="64">
        <f>(C13)</f>
        <v>576.79999999999995</v>
      </c>
      <c r="J508" s="50" t="s">
        <v>153</v>
      </c>
      <c r="K508" s="64">
        <f t="shared" si="47"/>
        <v>20361.039999999997</v>
      </c>
      <c r="O508" s="50" t="s">
        <v>1138</v>
      </c>
      <c r="P508" s="50" t="s">
        <v>150</v>
      </c>
      <c r="R508" s="50" t="s">
        <v>150</v>
      </c>
      <c r="AG508" s="71" t="str">
        <f t="shared" si="40"/>
        <v>|</v>
      </c>
      <c r="AI508" s="50" t="s">
        <v>1095</v>
      </c>
    </row>
    <row r="509" spans="1:35" ht="15.75">
      <c r="A509" s="74">
        <f t="shared" si="45"/>
        <v>334</v>
      </c>
      <c r="B509" s="75" t="s">
        <v>1131</v>
      </c>
      <c r="C509" s="73">
        <v>40.4</v>
      </c>
      <c r="D509" s="75" t="s">
        <v>153</v>
      </c>
      <c r="G509" s="62" t="s">
        <v>226</v>
      </c>
      <c r="H509" s="50" t="s">
        <v>237</v>
      </c>
      <c r="I509" s="50" t="s">
        <v>150</v>
      </c>
      <c r="J509" s="50" t="s">
        <v>226</v>
      </c>
      <c r="K509" s="64">
        <v>0</v>
      </c>
      <c r="N509" s="50" t="s">
        <v>226</v>
      </c>
      <c r="O509" s="50" t="s">
        <v>237</v>
      </c>
      <c r="Q509" s="50" t="s">
        <v>226</v>
      </c>
      <c r="R509" s="64">
        <v>0</v>
      </c>
      <c r="AG509" s="71" t="str">
        <f t="shared" si="40"/>
        <v>|</v>
      </c>
      <c r="AI509" s="50" t="s">
        <v>1095</v>
      </c>
    </row>
    <row r="510" spans="1:35" ht="15.75">
      <c r="A510" s="74">
        <f t="shared" si="45"/>
        <v>335</v>
      </c>
      <c r="B510" s="75" t="s">
        <v>1123</v>
      </c>
      <c r="C510" s="149">
        <v>47</v>
      </c>
      <c r="D510" s="75" t="s">
        <v>153</v>
      </c>
      <c r="K510" s="59" t="s">
        <v>21</v>
      </c>
      <c r="R510" s="59" t="s">
        <v>21</v>
      </c>
      <c r="AG510" s="71" t="str">
        <f t="shared" si="40"/>
        <v>|</v>
      </c>
      <c r="AI510" s="50" t="s">
        <v>1095</v>
      </c>
    </row>
    <row r="511" spans="1:35" ht="15.75">
      <c r="A511" s="74">
        <f t="shared" si="45"/>
        <v>336</v>
      </c>
      <c r="B511" s="75" t="s">
        <v>1135</v>
      </c>
      <c r="C511" s="73">
        <v>52</v>
      </c>
      <c r="D511" s="75" t="s">
        <v>153</v>
      </c>
      <c r="H511" s="50" t="s">
        <v>935</v>
      </c>
      <c r="K511" s="64">
        <f>SUM(K503:K509)</f>
        <v>81601.5</v>
      </c>
      <c r="O511" s="50" t="s">
        <v>1139</v>
      </c>
      <c r="R511" s="64">
        <f>SUM(R499:R509)</f>
        <v>5747.7</v>
      </c>
      <c r="AG511" s="71" t="str">
        <f t="shared" si="40"/>
        <v>|</v>
      </c>
      <c r="AI511" s="50" t="s">
        <v>1095</v>
      </c>
    </row>
    <row r="512" spans="1:35" ht="15.75">
      <c r="A512" s="74">
        <f t="shared" si="45"/>
        <v>337</v>
      </c>
      <c r="B512" s="75" t="s">
        <v>1140</v>
      </c>
      <c r="C512" s="76">
        <v>36.61</v>
      </c>
      <c r="D512" s="75" t="s">
        <v>153</v>
      </c>
      <c r="K512" s="59" t="s">
        <v>21</v>
      </c>
      <c r="R512" s="59" t="s">
        <v>21</v>
      </c>
      <c r="AG512" s="71" t="str">
        <f t="shared" si="40"/>
        <v>|</v>
      </c>
      <c r="AI512" s="50" t="s">
        <v>1095</v>
      </c>
    </row>
    <row r="513" spans="1:35" ht="15.75">
      <c r="A513" s="74">
        <f t="shared" si="45"/>
        <v>338</v>
      </c>
      <c r="B513" s="75" t="s">
        <v>1126</v>
      </c>
      <c r="C513" s="76">
        <v>78.709999999999994</v>
      </c>
      <c r="D513" s="75" t="s">
        <v>153</v>
      </c>
      <c r="H513" s="50" t="s">
        <v>270</v>
      </c>
      <c r="K513" s="64">
        <f>(K511/10)+0.01</f>
        <v>8160.16</v>
      </c>
      <c r="O513" s="50" t="s">
        <v>562</v>
      </c>
      <c r="R513" s="64">
        <f>(R511/30)</f>
        <v>191.59</v>
      </c>
      <c r="AG513" s="71" t="str">
        <f t="shared" si="40"/>
        <v>|</v>
      </c>
      <c r="AI513" s="50" t="s">
        <v>1095</v>
      </c>
    </row>
    <row r="514" spans="1:35" ht="15.75">
      <c r="A514" s="74">
        <f t="shared" si="45"/>
        <v>339</v>
      </c>
      <c r="B514" s="75" t="s">
        <v>1129</v>
      </c>
      <c r="C514" s="76">
        <v>78.709999999999994</v>
      </c>
      <c r="D514" s="75" t="s">
        <v>153</v>
      </c>
      <c r="R514" s="59" t="s">
        <v>21</v>
      </c>
      <c r="AG514" s="71">
        <f t="shared" si="40"/>
        <v>0</v>
      </c>
    </row>
    <row r="515" spans="1:35" ht="15.75">
      <c r="A515" s="74">
        <f t="shared" si="45"/>
        <v>340</v>
      </c>
      <c r="B515" s="75" t="s">
        <v>1141</v>
      </c>
      <c r="C515" s="90"/>
      <c r="D515" s="75" t="s">
        <v>1142</v>
      </c>
      <c r="F515" s="64">
        <v>1</v>
      </c>
      <c r="G515" s="62" t="s">
        <v>151</v>
      </c>
      <c r="H515" s="50" t="s">
        <v>943</v>
      </c>
      <c r="K515" s="64">
        <f>C25</f>
        <v>98.98</v>
      </c>
      <c r="N515" s="50" t="s">
        <v>6</v>
      </c>
      <c r="O515" s="51" t="s">
        <v>1143</v>
      </c>
      <c r="AG515" s="71" t="str">
        <f t="shared" si="40"/>
        <v>|</v>
      </c>
      <c r="AI515" s="50" t="s">
        <v>1095</v>
      </c>
    </row>
    <row r="516" spans="1:35" ht="15.75">
      <c r="A516" s="74">
        <f t="shared" si="45"/>
        <v>341</v>
      </c>
      <c r="B516" s="75" t="s">
        <v>1144</v>
      </c>
      <c r="C516" s="97">
        <v>20.55</v>
      </c>
      <c r="D516" s="75" t="s">
        <v>552</v>
      </c>
      <c r="K516" s="59" t="s">
        <v>21</v>
      </c>
      <c r="O516" s="59" t="s">
        <v>21</v>
      </c>
      <c r="AG516" s="71" t="str">
        <f t="shared" si="40"/>
        <v>|</v>
      </c>
      <c r="AI516" s="50" t="s">
        <v>1095</v>
      </c>
    </row>
    <row r="517" spans="1:35" ht="15.75">
      <c r="A517" s="74">
        <f t="shared" si="45"/>
        <v>342</v>
      </c>
      <c r="B517" s="75" t="s">
        <v>1145</v>
      </c>
      <c r="C517" s="97">
        <v>26</v>
      </c>
      <c r="D517" s="75" t="s">
        <v>552</v>
      </c>
      <c r="E517" s="129">
        <v>97.7</v>
      </c>
      <c r="H517" s="50" t="s">
        <v>1146</v>
      </c>
      <c r="K517" s="64">
        <f>SUM(K513:K515)</f>
        <v>8259.14</v>
      </c>
      <c r="M517" s="64">
        <v>30</v>
      </c>
      <c r="N517" s="50" t="s">
        <v>552</v>
      </c>
      <c r="O517" s="50" t="s">
        <v>1125</v>
      </c>
      <c r="P517" s="64">
        <f>(C42)</f>
        <v>5</v>
      </c>
      <c r="Q517" s="50" t="s">
        <v>552</v>
      </c>
      <c r="R517" s="64">
        <f>(M517*P517)</f>
        <v>150</v>
      </c>
      <c r="AG517" s="71" t="str">
        <f t="shared" si="40"/>
        <v>|</v>
      </c>
      <c r="AI517" s="50" t="s">
        <v>1095</v>
      </c>
    </row>
    <row r="518" spans="1:35" ht="15.75">
      <c r="A518" s="74">
        <f t="shared" si="45"/>
        <v>343</v>
      </c>
      <c r="B518" s="75" t="s">
        <v>1147</v>
      </c>
      <c r="C518" s="97">
        <v>35</v>
      </c>
      <c r="D518" s="75" t="s">
        <v>552</v>
      </c>
      <c r="K518" s="59" t="s">
        <v>21</v>
      </c>
      <c r="M518" s="50" t="s">
        <v>150</v>
      </c>
      <c r="O518" s="50" t="s">
        <v>1128</v>
      </c>
      <c r="P518" s="50" t="s">
        <v>150</v>
      </c>
      <c r="R518" s="50" t="s">
        <v>150</v>
      </c>
      <c r="AG518" s="71" t="str">
        <f t="shared" si="40"/>
        <v>|</v>
      </c>
      <c r="AI518" s="50" t="s">
        <v>1095</v>
      </c>
    </row>
    <row r="519" spans="1:35" ht="15.75">
      <c r="A519" s="74">
        <f t="shared" si="45"/>
        <v>344</v>
      </c>
      <c r="B519" s="75" t="s">
        <v>1148</v>
      </c>
      <c r="C519" s="97">
        <v>52</v>
      </c>
      <c r="D519" s="75" t="s">
        <v>552</v>
      </c>
      <c r="G519" s="62" t="s">
        <v>1149</v>
      </c>
      <c r="H519" s="50" t="s">
        <v>271</v>
      </c>
      <c r="K519" s="64">
        <f>(K517+C22)</f>
        <v>8385</v>
      </c>
      <c r="L519" s="52">
        <f>K519-K517</f>
        <v>125.86000000000058</v>
      </c>
      <c r="M519" s="64">
        <v>8</v>
      </c>
      <c r="N519" s="50" t="s">
        <v>153</v>
      </c>
      <c r="O519" s="50" t="s">
        <v>1069</v>
      </c>
      <c r="P519" s="64">
        <f>(C44)</f>
        <v>7.1</v>
      </c>
      <c r="Q519" s="50" t="s">
        <v>153</v>
      </c>
      <c r="R519" s="64">
        <f t="shared" ref="R519:R524" si="48">(M519*P519)</f>
        <v>56.8</v>
      </c>
      <c r="AG519" s="71" t="str">
        <f t="shared" si="40"/>
        <v>|</v>
      </c>
      <c r="AI519" s="50" t="s">
        <v>1095</v>
      </c>
    </row>
    <row r="520" spans="1:35" ht="15.75">
      <c r="A520" s="74">
        <f t="shared" si="45"/>
        <v>345</v>
      </c>
      <c r="B520" s="75" t="s">
        <v>1150</v>
      </c>
      <c r="C520" s="97">
        <v>65</v>
      </c>
      <c r="D520" s="76">
        <v>21</v>
      </c>
      <c r="G520" s="62" t="s">
        <v>1151</v>
      </c>
      <c r="H520" s="50" t="s">
        <v>272</v>
      </c>
      <c r="K520" s="64">
        <f>(K519+C23)</f>
        <v>8632.7999999999993</v>
      </c>
      <c r="M520" s="64">
        <v>8</v>
      </c>
      <c r="N520" s="50" t="s">
        <v>153</v>
      </c>
      <c r="O520" s="50" t="s">
        <v>1072</v>
      </c>
      <c r="P520" s="64">
        <f>(C51)</f>
        <v>10.199999999999999</v>
      </c>
      <c r="Q520" s="50" t="s">
        <v>153</v>
      </c>
      <c r="R520" s="64">
        <f t="shared" si="48"/>
        <v>81.599999999999994</v>
      </c>
      <c r="AG520" s="71" t="str">
        <f t="shared" si="40"/>
        <v>|</v>
      </c>
      <c r="AI520" s="50" t="s">
        <v>1095</v>
      </c>
    </row>
    <row r="521" spans="1:35" ht="15.75">
      <c r="A521" s="74">
        <f t="shared" si="45"/>
        <v>346</v>
      </c>
      <c r="B521" s="75" t="s">
        <v>1152</v>
      </c>
      <c r="C521" s="97">
        <v>82</v>
      </c>
      <c r="D521" s="76">
        <v>37.15</v>
      </c>
      <c r="G521" s="62" t="s">
        <v>1153</v>
      </c>
      <c r="H521" s="50" t="s">
        <v>767</v>
      </c>
      <c r="K521" s="64">
        <f>(K520+C24)</f>
        <v>8880.5999999999985</v>
      </c>
      <c r="M521" s="64">
        <v>3</v>
      </c>
      <c r="N521" s="50" t="s">
        <v>153</v>
      </c>
      <c r="O521" s="50" t="s">
        <v>1133</v>
      </c>
      <c r="P521" s="64">
        <f>(C41)</f>
        <v>796.59999999999991</v>
      </c>
      <c r="Q521" s="50" t="s">
        <v>153</v>
      </c>
      <c r="R521" s="64">
        <f t="shared" si="48"/>
        <v>2389.7999999999997</v>
      </c>
      <c r="AG521" s="71" t="str">
        <f t="shared" si="40"/>
        <v>|</v>
      </c>
      <c r="AI521" s="50" t="s">
        <v>1095</v>
      </c>
    </row>
    <row r="522" spans="1:35" ht="15.75">
      <c r="A522" s="74">
        <f t="shared" si="45"/>
        <v>347</v>
      </c>
      <c r="B522" s="75" t="s">
        <v>1154</v>
      </c>
      <c r="C522" s="90"/>
      <c r="D522" s="75" t="s">
        <v>150</v>
      </c>
      <c r="G522" s="62" t="s">
        <v>1155</v>
      </c>
      <c r="H522" s="50" t="s">
        <v>769</v>
      </c>
      <c r="K522" s="64">
        <f>(K521+C24)</f>
        <v>9128.3999999999978</v>
      </c>
      <c r="M522" s="64">
        <v>1</v>
      </c>
      <c r="N522" s="50" t="s">
        <v>153</v>
      </c>
      <c r="O522" s="50" t="s">
        <v>1134</v>
      </c>
      <c r="P522" s="64">
        <f>(C10)</f>
        <v>1076.5999999999999</v>
      </c>
      <c r="Q522" s="50" t="s">
        <v>153</v>
      </c>
      <c r="R522" s="64">
        <f t="shared" si="48"/>
        <v>1076.5999999999999</v>
      </c>
      <c r="AG522" s="71" t="str">
        <f t="shared" si="40"/>
        <v>|::</v>
      </c>
      <c r="AI522" s="50" t="s">
        <v>892</v>
      </c>
    </row>
    <row r="523" spans="1:35" ht="15.75">
      <c r="A523" s="74">
        <f t="shared" si="45"/>
        <v>348</v>
      </c>
      <c r="B523" s="75" t="s">
        <v>1033</v>
      </c>
      <c r="C523" s="76">
        <v>4.1900000000000004</v>
      </c>
      <c r="D523" s="75" t="s">
        <v>153</v>
      </c>
      <c r="M523" s="64">
        <v>2</v>
      </c>
      <c r="N523" s="50" t="s">
        <v>153</v>
      </c>
      <c r="O523" s="50" t="s">
        <v>235</v>
      </c>
      <c r="P523" s="64">
        <f>(C12)</f>
        <v>702.8</v>
      </c>
      <c r="Q523" s="50" t="s">
        <v>153</v>
      </c>
      <c r="R523" s="64">
        <f t="shared" si="48"/>
        <v>1405.6</v>
      </c>
      <c r="AG523" s="71">
        <f t="shared" si="40"/>
        <v>0</v>
      </c>
    </row>
    <row r="524" spans="1:35" ht="15.75">
      <c r="A524" s="74">
        <f t="shared" si="45"/>
        <v>349</v>
      </c>
      <c r="B524" s="75" t="s">
        <v>1026</v>
      </c>
      <c r="C524" s="76">
        <v>5</v>
      </c>
      <c r="D524" s="75" t="s">
        <v>153</v>
      </c>
      <c r="F524" s="51" t="s">
        <v>1156</v>
      </c>
      <c r="G524" s="62" t="s">
        <v>249</v>
      </c>
      <c r="H524" s="50" t="s">
        <v>1157</v>
      </c>
      <c r="M524" s="64">
        <v>1</v>
      </c>
      <c r="N524" s="50" t="s">
        <v>153</v>
      </c>
      <c r="O524" s="50" t="s">
        <v>236</v>
      </c>
      <c r="P524" s="64">
        <f>(C13)</f>
        <v>576.79999999999995</v>
      </c>
      <c r="Q524" s="50" t="s">
        <v>153</v>
      </c>
      <c r="R524" s="64">
        <f t="shared" si="48"/>
        <v>576.79999999999995</v>
      </c>
      <c r="AG524" s="71">
        <f t="shared" si="40"/>
        <v>0</v>
      </c>
    </row>
    <row r="525" spans="1:35" ht="24.75">
      <c r="A525" s="74">
        <f t="shared" si="45"/>
        <v>350</v>
      </c>
      <c r="B525" s="75" t="s">
        <v>1028</v>
      </c>
      <c r="C525" s="76">
        <v>8.06</v>
      </c>
      <c r="D525" s="75" t="s">
        <v>153</v>
      </c>
      <c r="H525" s="59" t="s">
        <v>21</v>
      </c>
      <c r="N525" s="50" t="s">
        <v>226</v>
      </c>
      <c r="O525" s="50" t="s">
        <v>1136</v>
      </c>
      <c r="P525" s="50" t="s">
        <v>150</v>
      </c>
      <c r="Q525" s="50" t="s">
        <v>226</v>
      </c>
      <c r="R525" s="64">
        <f>(C56)</f>
        <v>12.1</v>
      </c>
      <c r="U525" s="150" t="s">
        <v>1158</v>
      </c>
      <c r="AC525" s="150" t="s">
        <v>1159</v>
      </c>
      <c r="AG525" s="71" t="str">
        <f t="shared" ref="AG525:AG596" si="49">AI525</f>
        <v>|</v>
      </c>
      <c r="AI525" s="50" t="s">
        <v>1095</v>
      </c>
    </row>
    <row r="526" spans="1:35" ht="15.75">
      <c r="A526" s="74">
        <f t="shared" si="45"/>
        <v>351</v>
      </c>
      <c r="B526" s="75" t="s">
        <v>1029</v>
      </c>
      <c r="C526" s="76">
        <v>11.86</v>
      </c>
      <c r="D526" s="75" t="s">
        <v>153</v>
      </c>
      <c r="F526" s="100">
        <v>1.4999999999999999E-2</v>
      </c>
      <c r="G526" s="62" t="s">
        <v>151</v>
      </c>
      <c r="H526" s="50" t="s">
        <v>1160</v>
      </c>
      <c r="I526" s="64">
        <f>(K513)</f>
        <v>8160.16</v>
      </c>
      <c r="J526" s="50" t="s">
        <v>151</v>
      </c>
      <c r="K526" s="64">
        <f>(F526*I526)</f>
        <v>122.4024</v>
      </c>
      <c r="O526" s="50" t="s">
        <v>1138</v>
      </c>
      <c r="P526" s="50" t="s">
        <v>150</v>
      </c>
      <c r="R526" s="50" t="s">
        <v>150</v>
      </c>
      <c r="S526" s="51" t="s">
        <v>1156</v>
      </c>
      <c r="T526" s="62" t="s">
        <v>249</v>
      </c>
      <c r="U526" s="50" t="s">
        <v>1161</v>
      </c>
      <c r="W526" s="55"/>
      <c r="Z526" s="51" t="s">
        <v>1156</v>
      </c>
      <c r="AA526" s="62" t="s">
        <v>249</v>
      </c>
      <c r="AB526" s="62"/>
      <c r="AC526" s="50" t="s">
        <v>1162</v>
      </c>
      <c r="AE526" s="55"/>
      <c r="AG526" s="71" t="str">
        <f t="shared" si="49"/>
        <v>|</v>
      </c>
      <c r="AI526" s="50" t="s">
        <v>1095</v>
      </c>
    </row>
    <row r="527" spans="1:35" ht="15.75">
      <c r="A527" s="74">
        <f t="shared" si="45"/>
        <v>352</v>
      </c>
      <c r="B527" s="75" t="s">
        <v>1030</v>
      </c>
      <c r="C527" s="76">
        <v>18.88</v>
      </c>
      <c r="D527" s="75" t="s">
        <v>153</v>
      </c>
      <c r="F527" s="64">
        <v>0.5</v>
      </c>
      <c r="G527" s="62" t="s">
        <v>4</v>
      </c>
      <c r="H527" s="50" t="s">
        <v>269</v>
      </c>
      <c r="I527" s="64">
        <f>(C10)</f>
        <v>1076.5999999999999</v>
      </c>
      <c r="J527" s="50" t="s">
        <v>4</v>
      </c>
      <c r="K527" s="64">
        <f>(F527*I527)</f>
        <v>538.29999999999995</v>
      </c>
      <c r="N527" s="50" t="s">
        <v>226</v>
      </c>
      <c r="O527" s="50" t="s">
        <v>237</v>
      </c>
      <c r="Q527" s="50" t="s">
        <v>226</v>
      </c>
      <c r="R527" s="64">
        <v>0</v>
      </c>
      <c r="S527" s="52"/>
      <c r="T527" s="53"/>
      <c r="U527" s="59" t="s">
        <v>21</v>
      </c>
      <c r="W527" s="55"/>
      <c r="AA527" s="53"/>
      <c r="AB527" s="53"/>
      <c r="AC527" s="59" t="s">
        <v>21</v>
      </c>
      <c r="AE527" s="55"/>
      <c r="AG527" s="71" t="str">
        <f t="shared" si="49"/>
        <v>|</v>
      </c>
      <c r="AI527" s="50" t="s">
        <v>1095</v>
      </c>
    </row>
    <row r="528" spans="1:35" ht="15.75">
      <c r="A528" s="74">
        <f t="shared" si="45"/>
        <v>353</v>
      </c>
      <c r="B528" s="75" t="s">
        <v>979</v>
      </c>
      <c r="C528" s="76">
        <v>26</v>
      </c>
      <c r="D528" s="75" t="s">
        <v>153</v>
      </c>
      <c r="F528" s="64">
        <v>0.75</v>
      </c>
      <c r="G528" s="62" t="s">
        <v>4</v>
      </c>
      <c r="H528" s="50" t="s">
        <v>235</v>
      </c>
      <c r="I528" s="64">
        <f>(C12)</f>
        <v>702.8</v>
      </c>
      <c r="J528" s="50" t="s">
        <v>4</v>
      </c>
      <c r="K528" s="64">
        <f>(F528*I528)</f>
        <v>527.09999999999991</v>
      </c>
      <c r="R528" s="59" t="s">
        <v>21</v>
      </c>
      <c r="S528" s="100">
        <v>1.4999999999999999E-2</v>
      </c>
      <c r="T528" s="62" t="s">
        <v>151</v>
      </c>
      <c r="U528" s="50" t="s">
        <v>1160</v>
      </c>
      <c r="V528" s="64">
        <f>X657</f>
        <v>8243.0286930000002</v>
      </c>
      <c r="W528" s="50" t="s">
        <v>151</v>
      </c>
      <c r="X528" s="64">
        <f>(S528*V528)</f>
        <v>123.64543039500001</v>
      </c>
      <c r="Y528" s="64"/>
      <c r="Z528" s="100">
        <v>1.4999999999999999E-2</v>
      </c>
      <c r="AA528" s="62" t="s">
        <v>151</v>
      </c>
      <c r="AB528" s="62"/>
      <c r="AC528" s="50" t="s">
        <v>1160</v>
      </c>
      <c r="AD528" s="64">
        <f>AH657</f>
        <v>8767.558293</v>
      </c>
      <c r="AE528" s="50" t="s">
        <v>151</v>
      </c>
      <c r="AF528" s="64">
        <f>(Z528*AD528)</f>
        <v>131.513374395</v>
      </c>
      <c r="AG528" s="71" t="str">
        <f t="shared" si="49"/>
        <v>|</v>
      </c>
      <c r="AI528" s="50" t="s">
        <v>1095</v>
      </c>
    </row>
    <row r="529" spans="1:35" ht="15.75">
      <c r="A529" s="74">
        <f t="shared" si="45"/>
        <v>354</v>
      </c>
      <c r="B529" s="75" t="s">
        <v>1163</v>
      </c>
      <c r="C529" s="90"/>
      <c r="D529" s="75" t="s">
        <v>150</v>
      </c>
      <c r="G529" s="62" t="s">
        <v>226</v>
      </c>
      <c r="H529" s="50" t="s">
        <v>237</v>
      </c>
      <c r="J529" s="50" t="s">
        <v>226</v>
      </c>
      <c r="K529" s="64">
        <v>0</v>
      </c>
      <c r="O529" s="50" t="s">
        <v>1139</v>
      </c>
      <c r="R529" s="64">
        <f>SUM(R517:R527)</f>
        <v>5749.3</v>
      </c>
      <c r="S529" s="64">
        <v>0.5</v>
      </c>
      <c r="T529" s="62" t="s">
        <v>4</v>
      </c>
      <c r="U529" s="50" t="s">
        <v>269</v>
      </c>
      <c r="V529" s="64">
        <f>C10</f>
        <v>1076.5999999999999</v>
      </c>
      <c r="W529" s="50" t="s">
        <v>4</v>
      </c>
      <c r="X529" s="64">
        <f>(S529*V529)</f>
        <v>538.29999999999995</v>
      </c>
      <c r="Y529" s="64"/>
      <c r="Z529" s="64">
        <v>0.5</v>
      </c>
      <c r="AA529" s="62" t="s">
        <v>4</v>
      </c>
      <c r="AB529" s="62"/>
      <c r="AC529" s="50" t="s">
        <v>269</v>
      </c>
      <c r="AD529" s="64">
        <f>V529</f>
        <v>1076.5999999999999</v>
      </c>
      <c r="AE529" s="50" t="s">
        <v>4</v>
      </c>
      <c r="AF529" s="64">
        <f>(Z529*AD529)</f>
        <v>538.29999999999995</v>
      </c>
      <c r="AG529" s="71" t="str">
        <f t="shared" si="49"/>
        <v>|</v>
      </c>
      <c r="AI529" s="50" t="s">
        <v>1095</v>
      </c>
    </row>
    <row r="530" spans="1:35" ht="15.75">
      <c r="A530" s="74">
        <f t="shared" si="45"/>
        <v>355</v>
      </c>
      <c r="B530" s="75" t="s">
        <v>1033</v>
      </c>
      <c r="C530" s="73">
        <v>5.3</v>
      </c>
      <c r="D530" s="75" t="s">
        <v>153</v>
      </c>
      <c r="K530" s="59" t="s">
        <v>21</v>
      </c>
      <c r="R530" s="59" t="s">
        <v>21</v>
      </c>
      <c r="S530" s="64">
        <v>0.75</v>
      </c>
      <c r="T530" s="62" t="s">
        <v>4</v>
      </c>
      <c r="U530" s="50" t="s">
        <v>235</v>
      </c>
      <c r="V530" s="64">
        <f>C12</f>
        <v>702.8</v>
      </c>
      <c r="W530" s="50" t="s">
        <v>4</v>
      </c>
      <c r="X530" s="64">
        <f>(S530*V530)</f>
        <v>527.09999999999991</v>
      </c>
      <c r="Y530" s="64"/>
      <c r="Z530" s="64">
        <v>0.75</v>
      </c>
      <c r="AA530" s="62" t="s">
        <v>4</v>
      </c>
      <c r="AB530" s="62"/>
      <c r="AC530" s="50" t="s">
        <v>235</v>
      </c>
      <c r="AD530" s="64">
        <f>V530</f>
        <v>702.8</v>
      </c>
      <c r="AE530" s="50" t="s">
        <v>4</v>
      </c>
      <c r="AF530" s="64">
        <f>(Z530*AD530)</f>
        <v>527.09999999999991</v>
      </c>
      <c r="AG530" s="71" t="str">
        <f t="shared" si="49"/>
        <v>|</v>
      </c>
      <c r="AI530" s="50" t="s">
        <v>1095</v>
      </c>
    </row>
    <row r="531" spans="1:35" ht="15.75">
      <c r="A531" s="74">
        <f t="shared" si="45"/>
        <v>356</v>
      </c>
      <c r="B531" s="75" t="s">
        <v>1026</v>
      </c>
      <c r="C531" s="73">
        <v>6</v>
      </c>
      <c r="D531" s="75" t="s">
        <v>153</v>
      </c>
      <c r="H531" s="50" t="s">
        <v>548</v>
      </c>
      <c r="K531" s="64">
        <f>SUM(K526:K529)</f>
        <v>1187.8023999999998</v>
      </c>
      <c r="O531" s="50" t="s">
        <v>562</v>
      </c>
      <c r="R531" s="64">
        <f>(R529/30)</f>
        <v>191.64333333333335</v>
      </c>
      <c r="S531" s="52"/>
      <c r="T531" s="62" t="s">
        <v>226</v>
      </c>
      <c r="U531" s="50" t="s">
        <v>237</v>
      </c>
      <c r="W531" s="50" t="s">
        <v>226</v>
      </c>
      <c r="X531" s="64">
        <v>0</v>
      </c>
      <c r="Y531" s="64"/>
      <c r="AA531" s="62" t="s">
        <v>226</v>
      </c>
      <c r="AB531" s="62"/>
      <c r="AC531" s="50" t="s">
        <v>237</v>
      </c>
      <c r="AD531" s="64">
        <f>V531</f>
        <v>0</v>
      </c>
      <c r="AE531" s="50" t="s">
        <v>226</v>
      </c>
      <c r="AF531" s="64">
        <v>0</v>
      </c>
      <c r="AG531" s="71" t="str">
        <f t="shared" si="49"/>
        <v>|</v>
      </c>
      <c r="AI531" s="50" t="s">
        <v>1095</v>
      </c>
    </row>
    <row r="532" spans="1:35" ht="15.75">
      <c r="A532" s="74">
        <f t="shared" si="45"/>
        <v>357</v>
      </c>
      <c r="B532" s="75" t="s">
        <v>1028</v>
      </c>
      <c r="C532" s="73">
        <v>8.5</v>
      </c>
      <c r="D532" s="75" t="s">
        <v>153</v>
      </c>
      <c r="K532" s="59" t="s">
        <v>21</v>
      </c>
      <c r="R532" s="59" t="s">
        <v>21</v>
      </c>
      <c r="S532" s="52"/>
      <c r="T532" s="53"/>
      <c r="W532" s="55"/>
      <c r="X532" s="59" t="s">
        <v>21</v>
      </c>
      <c r="Y532" s="59"/>
      <c r="AA532" s="53"/>
      <c r="AB532" s="53"/>
      <c r="AE532" s="55"/>
      <c r="AF532" s="59" t="s">
        <v>21</v>
      </c>
      <c r="AG532" s="71" t="str">
        <f t="shared" si="49"/>
        <v>|</v>
      </c>
      <c r="AI532" s="50" t="s">
        <v>1095</v>
      </c>
    </row>
    <row r="533" spans="1:35" ht="15.75">
      <c r="A533" s="74">
        <f t="shared" si="45"/>
        <v>358</v>
      </c>
      <c r="B533" s="75" t="s">
        <v>1029</v>
      </c>
      <c r="C533" s="73">
        <v>12.2</v>
      </c>
      <c r="D533" s="75" t="s">
        <v>153</v>
      </c>
      <c r="H533" s="50" t="s">
        <v>155</v>
      </c>
      <c r="K533" s="64">
        <f>(K531/0.743)</f>
        <v>1598.6573351278598</v>
      </c>
      <c r="S533" s="52"/>
      <c r="T533" s="53"/>
      <c r="U533" s="50" t="s">
        <v>548</v>
      </c>
      <c r="W533" s="55"/>
      <c r="X533" s="64">
        <f>SUM(X528:X531)</f>
        <v>1189.0454303949998</v>
      </c>
      <c r="Y533" s="64"/>
      <c r="AA533" s="53"/>
      <c r="AB533" s="53"/>
      <c r="AC533" s="50" t="s">
        <v>548</v>
      </c>
      <c r="AE533" s="55"/>
      <c r="AF533" s="64">
        <f>SUM(AF528:AF531)</f>
        <v>1196.9133743949999</v>
      </c>
      <c r="AG533" s="71" t="str">
        <f t="shared" si="49"/>
        <v>|</v>
      </c>
      <c r="AI533" s="50" t="s">
        <v>1095</v>
      </c>
    </row>
    <row r="534" spans="1:35" ht="15.75">
      <c r="A534" s="74">
        <f t="shared" si="45"/>
        <v>359</v>
      </c>
      <c r="B534" s="75" t="s">
        <v>1030</v>
      </c>
      <c r="C534" s="73">
        <v>17.2</v>
      </c>
      <c r="D534" s="75" t="s">
        <v>153</v>
      </c>
      <c r="K534" s="59" t="s">
        <v>156</v>
      </c>
      <c r="S534" s="52"/>
      <c r="T534" s="53"/>
      <c r="W534" s="55"/>
      <c r="X534" s="59" t="s">
        <v>21</v>
      </c>
      <c r="Y534" s="59"/>
      <c r="AA534" s="53"/>
      <c r="AB534" s="53"/>
      <c r="AE534" s="55"/>
      <c r="AF534" s="59" t="s">
        <v>21</v>
      </c>
      <c r="AG534" s="71" t="str">
        <f t="shared" si="49"/>
        <v>|</v>
      </c>
      <c r="AI534" s="50" t="s">
        <v>1095</v>
      </c>
    </row>
    <row r="535" spans="1:35" ht="15.75">
      <c r="A535" s="74">
        <f t="shared" si="45"/>
        <v>360</v>
      </c>
      <c r="B535" s="75" t="s">
        <v>979</v>
      </c>
      <c r="C535" s="73">
        <v>24.5</v>
      </c>
      <c r="D535" s="75" t="s">
        <v>153</v>
      </c>
      <c r="H535" s="50" t="s">
        <v>271</v>
      </c>
      <c r="I535" s="64">
        <f>K533</f>
        <v>1598.6573351278598</v>
      </c>
      <c r="J535" s="50">
        <f>C22*0.015/0.743</f>
        <v>2.5409152086137281</v>
      </c>
      <c r="K535" s="63">
        <f>I535+J535</f>
        <v>1601.1982503364736</v>
      </c>
      <c r="N535" s="50" t="s">
        <v>1099</v>
      </c>
      <c r="O535" s="51" t="s">
        <v>1164</v>
      </c>
      <c r="S535" s="52"/>
      <c r="T535" s="53"/>
      <c r="U535" s="50" t="s">
        <v>155</v>
      </c>
      <c r="W535" s="55"/>
      <c r="X535" s="64">
        <f>(X533/0.743)</f>
        <v>1600.3303235464332</v>
      </c>
      <c r="Y535" s="64"/>
      <c r="AA535" s="53"/>
      <c r="AB535" s="53"/>
      <c r="AC535" s="50" t="s">
        <v>155</v>
      </c>
      <c r="AE535" s="55"/>
      <c r="AF535" s="64">
        <f>(AF533/0.743)</f>
        <v>1610.9197501951546</v>
      </c>
      <c r="AG535" s="71" t="str">
        <f t="shared" si="49"/>
        <v>|</v>
      </c>
      <c r="AI535" s="50" t="s">
        <v>1095</v>
      </c>
    </row>
    <row r="536" spans="1:35" ht="15.75">
      <c r="A536" s="74">
        <f t="shared" si="45"/>
        <v>361</v>
      </c>
      <c r="B536" s="75" t="s">
        <v>1165</v>
      </c>
      <c r="C536" s="90"/>
      <c r="D536" s="75" t="s">
        <v>150</v>
      </c>
      <c r="H536" s="50" t="s">
        <v>272</v>
      </c>
      <c r="I536" s="64">
        <f>K535</f>
        <v>1601.1982503364736</v>
      </c>
      <c r="J536" s="50">
        <f>C23*0.015/0.743</f>
        <v>5.0026917900403767</v>
      </c>
      <c r="K536" s="63">
        <f>I536+J536</f>
        <v>1606.2009421265141</v>
      </c>
      <c r="O536" s="59" t="s">
        <v>21</v>
      </c>
      <c r="S536" s="52"/>
      <c r="T536" s="53"/>
      <c r="W536" s="55"/>
      <c r="X536" s="59" t="s">
        <v>156</v>
      </c>
      <c r="Y536" s="59"/>
      <c r="AA536" s="53"/>
      <c r="AB536" s="53"/>
      <c r="AE536" s="55"/>
      <c r="AF536" s="59" t="s">
        <v>156</v>
      </c>
      <c r="AG536" s="71" t="str">
        <f t="shared" si="49"/>
        <v>|</v>
      </c>
      <c r="AI536" s="50" t="s">
        <v>1095</v>
      </c>
    </row>
    <row r="537" spans="1:35" ht="15.75">
      <c r="A537" s="74">
        <f t="shared" si="45"/>
        <v>362</v>
      </c>
      <c r="B537" s="75" t="s">
        <v>1033</v>
      </c>
      <c r="C537" s="73">
        <v>7.3</v>
      </c>
      <c r="D537" s="75" t="s">
        <v>153</v>
      </c>
      <c r="H537" s="50" t="s">
        <v>767</v>
      </c>
      <c r="I537" s="64">
        <f>K536</f>
        <v>1606.2009421265141</v>
      </c>
      <c r="J537" s="50">
        <f>J536</f>
        <v>5.0026917900403767</v>
      </c>
      <c r="K537" s="63">
        <f>I537+J537</f>
        <v>1611.2036339165545</v>
      </c>
      <c r="M537" s="64">
        <v>30</v>
      </c>
      <c r="N537" s="50" t="s">
        <v>552</v>
      </c>
      <c r="O537" s="50" t="s">
        <v>1125</v>
      </c>
      <c r="P537" s="64">
        <f>(C42)</f>
        <v>5</v>
      </c>
      <c r="Q537" s="50" t="s">
        <v>552</v>
      </c>
      <c r="R537" s="64">
        <f>(M537*P537)</f>
        <v>150</v>
      </c>
      <c r="S537" s="52"/>
      <c r="T537" s="53"/>
      <c r="U537" s="50" t="s">
        <v>271</v>
      </c>
      <c r="V537" s="64">
        <f>X535</f>
        <v>1600.3303235464332</v>
      </c>
      <c r="W537" s="50">
        <f>J535</f>
        <v>2.5409152086137281</v>
      </c>
      <c r="X537" s="63">
        <f>V537+W537</f>
        <v>1602.871238755047</v>
      </c>
      <c r="Y537" s="63"/>
      <c r="AA537" s="53"/>
      <c r="AB537" s="53"/>
      <c r="AC537" s="50" t="s">
        <v>271</v>
      </c>
      <c r="AD537" s="64">
        <f>AF535</f>
        <v>1610.9197501951546</v>
      </c>
      <c r="AE537" s="50">
        <f>W537</f>
        <v>2.5409152086137281</v>
      </c>
      <c r="AF537" s="63">
        <f>AD537+AE537</f>
        <v>1613.4606654037684</v>
      </c>
      <c r="AG537" s="71" t="str">
        <f t="shared" si="49"/>
        <v>|</v>
      </c>
      <c r="AI537" s="50" t="s">
        <v>1095</v>
      </c>
    </row>
    <row r="538" spans="1:35" ht="15.75">
      <c r="A538" s="74">
        <f t="shared" si="45"/>
        <v>363</v>
      </c>
      <c r="B538" s="75" t="s">
        <v>1026</v>
      </c>
      <c r="C538" s="73">
        <v>8.5</v>
      </c>
      <c r="D538" s="75" t="s">
        <v>153</v>
      </c>
      <c r="H538" s="50" t="s">
        <v>769</v>
      </c>
      <c r="I538" s="64">
        <f>K537</f>
        <v>1611.2036339165545</v>
      </c>
      <c r="J538" s="50">
        <f>J537</f>
        <v>5.0026917900403767</v>
      </c>
      <c r="K538" s="63">
        <f>I538+J538</f>
        <v>1616.206325706595</v>
      </c>
      <c r="M538" s="50" t="s">
        <v>150</v>
      </c>
      <c r="O538" s="50" t="s">
        <v>1128</v>
      </c>
      <c r="P538" s="50" t="s">
        <v>150</v>
      </c>
      <c r="R538" s="50" t="s">
        <v>150</v>
      </c>
      <c r="S538" s="52"/>
      <c r="T538" s="53"/>
      <c r="U538" s="50" t="s">
        <v>272</v>
      </c>
      <c r="V538" s="64">
        <f>X537</f>
        <v>1602.871238755047</v>
      </c>
      <c r="W538" s="50">
        <f t="shared" ref="W538:W549" si="50">J538</f>
        <v>5.0026917900403767</v>
      </c>
      <c r="X538" s="63">
        <f>V538+W538</f>
        <v>1607.8739305450874</v>
      </c>
      <c r="Y538" s="63"/>
      <c r="AA538" s="53"/>
      <c r="AB538" s="53"/>
      <c r="AC538" s="50" t="s">
        <v>272</v>
      </c>
      <c r="AD538" s="64">
        <f>AF537</f>
        <v>1613.4606654037684</v>
      </c>
      <c r="AE538" s="50">
        <f t="shared" ref="AE538:AE549" si="51">W538</f>
        <v>5.0026917900403767</v>
      </c>
      <c r="AF538" s="63">
        <f>AD538+AE538</f>
        <v>1618.4633571938089</v>
      </c>
      <c r="AG538" s="71" t="str">
        <f t="shared" si="49"/>
        <v>|</v>
      </c>
      <c r="AI538" s="50" t="s">
        <v>1095</v>
      </c>
    </row>
    <row r="539" spans="1:35" ht="15.75">
      <c r="A539" s="74">
        <f t="shared" si="45"/>
        <v>364</v>
      </c>
      <c r="B539" s="75" t="s">
        <v>1028</v>
      </c>
      <c r="C539" s="73">
        <v>12.2</v>
      </c>
      <c r="D539" s="75" t="s">
        <v>153</v>
      </c>
      <c r="H539" s="50" t="s">
        <v>272</v>
      </c>
      <c r="I539" s="64">
        <f>K538</f>
        <v>1616.206325706595</v>
      </c>
      <c r="J539" s="50">
        <f>J538</f>
        <v>5.0026917900403767</v>
      </c>
      <c r="K539" s="63">
        <f>I539+J539</f>
        <v>1621.2090174966354</v>
      </c>
      <c r="M539" s="64">
        <v>8</v>
      </c>
      <c r="N539" s="50" t="s">
        <v>153</v>
      </c>
      <c r="O539" s="50" t="s">
        <v>1069</v>
      </c>
      <c r="P539" s="64">
        <f>(C45)</f>
        <v>8.5</v>
      </c>
      <c r="Q539" s="50" t="s">
        <v>153</v>
      </c>
      <c r="R539" s="64">
        <f>(M539*P539)</f>
        <v>68</v>
      </c>
      <c r="S539" s="52"/>
      <c r="T539" s="53"/>
      <c r="U539" s="50" t="s">
        <v>767</v>
      </c>
      <c r="V539" s="64">
        <f>X538</f>
        <v>1607.8739305450874</v>
      </c>
      <c r="W539" s="50">
        <f t="shared" si="50"/>
        <v>5.0026917900403767</v>
      </c>
      <c r="X539" s="63">
        <f>V539+W539</f>
        <v>1612.8766223351279</v>
      </c>
      <c r="Y539" s="63"/>
      <c r="AA539" s="53"/>
      <c r="AB539" s="53"/>
      <c r="AC539" s="50" t="s">
        <v>767</v>
      </c>
      <c r="AD539" s="64">
        <f>AF538</f>
        <v>1618.4633571938089</v>
      </c>
      <c r="AE539" s="50">
        <f t="shared" si="51"/>
        <v>5.0026917900403767</v>
      </c>
      <c r="AF539" s="63">
        <f>AD539+AE539</f>
        <v>1623.4660489838493</v>
      </c>
      <c r="AG539" s="71" t="str">
        <f t="shared" si="49"/>
        <v>|</v>
      </c>
      <c r="AI539" s="50" t="s">
        <v>1095</v>
      </c>
    </row>
    <row r="540" spans="1:35" ht="15.75">
      <c r="A540" s="74"/>
      <c r="B540" s="75"/>
      <c r="C540" s="73"/>
      <c r="D540" s="75"/>
      <c r="H540" s="50">
        <v>5</v>
      </c>
      <c r="I540" s="64">
        <f t="shared" ref="I540:I545" si="52">K539</f>
        <v>1621.2090174966354</v>
      </c>
      <c r="J540" s="50">
        <f t="shared" ref="J540:J547" si="53">J539</f>
        <v>5.0026917900403767</v>
      </c>
      <c r="K540" s="63">
        <f t="shared" ref="K540:K545" si="54">I540+J540</f>
        <v>1626.2117092866758</v>
      </c>
      <c r="M540" s="64"/>
      <c r="N540" s="50"/>
      <c r="O540" s="50"/>
      <c r="P540" s="64"/>
      <c r="Q540" s="50"/>
      <c r="R540" s="64"/>
      <c r="S540" s="52"/>
      <c r="T540" s="53"/>
      <c r="U540" s="50" t="s">
        <v>769</v>
      </c>
      <c r="V540" s="64">
        <f>X539</f>
        <v>1612.8766223351279</v>
      </c>
      <c r="W540" s="50">
        <f t="shared" si="50"/>
        <v>5.0026917900403767</v>
      </c>
      <c r="X540" s="63">
        <f>V540+W540</f>
        <v>1617.8793141251683</v>
      </c>
      <c r="Y540" s="63"/>
      <c r="AA540" s="53"/>
      <c r="AB540" s="53"/>
      <c r="AC540" s="50" t="s">
        <v>769</v>
      </c>
      <c r="AD540" s="64">
        <f>AF539</f>
        <v>1623.4660489838493</v>
      </c>
      <c r="AE540" s="50">
        <f t="shared" si="51"/>
        <v>5.0026917900403767</v>
      </c>
      <c r="AF540" s="63">
        <f>AD540+AE540</f>
        <v>1628.4687407738897</v>
      </c>
      <c r="AG540" s="71"/>
      <c r="AI540" s="50"/>
    </row>
    <row r="541" spans="1:35" ht="15.75">
      <c r="A541" s="74"/>
      <c r="B541" s="75"/>
      <c r="C541" s="73"/>
      <c r="D541" s="75"/>
      <c r="H541" s="50">
        <v>6</v>
      </c>
      <c r="I541" s="64">
        <f t="shared" si="52"/>
        <v>1626.2117092866758</v>
      </c>
      <c r="J541" s="50">
        <f t="shared" si="53"/>
        <v>5.0026917900403767</v>
      </c>
      <c r="K541" s="63">
        <f t="shared" si="54"/>
        <v>1631.2144010767163</v>
      </c>
      <c r="M541" s="64"/>
      <c r="N541" s="50"/>
      <c r="O541" s="50"/>
      <c r="P541" s="64"/>
      <c r="Q541" s="50"/>
      <c r="R541" s="64"/>
      <c r="S541" s="52"/>
      <c r="T541" s="53"/>
      <c r="U541" s="50" t="s">
        <v>272</v>
      </c>
      <c r="V541" s="64">
        <f>X540</f>
        <v>1617.8793141251683</v>
      </c>
      <c r="W541" s="50">
        <f t="shared" si="50"/>
        <v>5.0026917900403767</v>
      </c>
      <c r="X541" s="63">
        <f>V541+W541</f>
        <v>1622.8820059152088</v>
      </c>
      <c r="Y541" s="63"/>
      <c r="AA541" s="53"/>
      <c r="AB541" s="53"/>
      <c r="AC541" s="50" t="s">
        <v>272</v>
      </c>
      <c r="AD541" s="64">
        <f>AF540</f>
        <v>1628.4687407738897</v>
      </c>
      <c r="AE541" s="50">
        <f t="shared" si="51"/>
        <v>5.0026917900403767</v>
      </c>
      <c r="AF541" s="63">
        <f>AD541+AE541</f>
        <v>1633.4714325639302</v>
      </c>
      <c r="AG541" s="71"/>
      <c r="AI541" s="50"/>
    </row>
    <row r="542" spans="1:35" ht="15.75">
      <c r="A542" s="74"/>
      <c r="B542" s="75"/>
      <c r="C542" s="73"/>
      <c r="D542" s="75"/>
      <c r="H542" s="50">
        <v>7</v>
      </c>
      <c r="I542" s="64">
        <f t="shared" si="52"/>
        <v>1631.2144010767163</v>
      </c>
      <c r="J542" s="50">
        <f t="shared" si="53"/>
        <v>5.0026917900403767</v>
      </c>
      <c r="K542" s="63">
        <f t="shared" si="54"/>
        <v>1636.2170928667567</v>
      </c>
      <c r="M542" s="64"/>
      <c r="N542" s="50"/>
      <c r="O542" s="50"/>
      <c r="P542" s="64"/>
      <c r="Q542" s="50"/>
      <c r="R542" s="64"/>
      <c r="S542" s="52"/>
      <c r="T542" s="53"/>
      <c r="U542" s="50">
        <v>5</v>
      </c>
      <c r="V542" s="64">
        <f t="shared" ref="V542:V547" si="55">X541</f>
        <v>1622.8820059152088</v>
      </c>
      <c r="W542" s="50">
        <f t="shared" si="50"/>
        <v>5.0026917900403767</v>
      </c>
      <c r="X542" s="63">
        <f t="shared" ref="X542:X547" si="56">V542+W542</f>
        <v>1627.8846977052492</v>
      </c>
      <c r="Y542" s="63"/>
      <c r="AA542" s="53"/>
      <c r="AB542" s="53"/>
      <c r="AC542" s="50">
        <v>5</v>
      </c>
      <c r="AD542" s="64">
        <f t="shared" ref="AD542:AD547" si="57">AF541</f>
        <v>1633.4714325639302</v>
      </c>
      <c r="AE542" s="50">
        <f t="shared" si="51"/>
        <v>5.0026917900403767</v>
      </c>
      <c r="AF542" s="63">
        <f t="shared" ref="AF542:AF547" si="58">AD542+AE542</f>
        <v>1638.4741243539706</v>
      </c>
      <c r="AG542" s="71"/>
      <c r="AI542" s="50"/>
    </row>
    <row r="543" spans="1:35" ht="15.75">
      <c r="A543" s="74"/>
      <c r="B543" s="75"/>
      <c r="C543" s="73"/>
      <c r="D543" s="75"/>
      <c r="H543" s="50">
        <v>8</v>
      </c>
      <c r="I543" s="64">
        <f t="shared" si="52"/>
        <v>1636.2170928667567</v>
      </c>
      <c r="J543" s="50">
        <f t="shared" si="53"/>
        <v>5.0026917900403767</v>
      </c>
      <c r="K543" s="63">
        <f t="shared" si="54"/>
        <v>1641.2197846567972</v>
      </c>
      <c r="M543" s="64"/>
      <c r="N543" s="50"/>
      <c r="O543" s="50"/>
      <c r="P543" s="64"/>
      <c r="Q543" s="50"/>
      <c r="R543" s="64"/>
      <c r="S543" s="52"/>
      <c r="T543" s="53"/>
      <c r="U543" s="50">
        <v>6</v>
      </c>
      <c r="V543" s="64">
        <f t="shared" si="55"/>
        <v>1627.8846977052492</v>
      </c>
      <c r="W543" s="50">
        <f t="shared" si="50"/>
        <v>5.0026917900403767</v>
      </c>
      <c r="X543" s="63">
        <f t="shared" si="56"/>
        <v>1632.8873894952897</v>
      </c>
      <c r="Y543" s="63"/>
      <c r="AA543" s="53"/>
      <c r="AB543" s="53"/>
      <c r="AC543" s="50">
        <v>6</v>
      </c>
      <c r="AD543" s="64">
        <f t="shared" si="57"/>
        <v>1638.4741243539706</v>
      </c>
      <c r="AE543" s="50">
        <f t="shared" si="51"/>
        <v>5.0026917900403767</v>
      </c>
      <c r="AF543" s="63">
        <f t="shared" si="58"/>
        <v>1643.4768161440111</v>
      </c>
      <c r="AG543" s="71"/>
      <c r="AI543" s="50"/>
    </row>
    <row r="544" spans="1:35" ht="15.75">
      <c r="A544" s="74"/>
      <c r="B544" s="75"/>
      <c r="C544" s="73"/>
      <c r="D544" s="75"/>
      <c r="H544" s="50">
        <v>9</v>
      </c>
      <c r="I544" s="64">
        <f t="shared" si="52"/>
        <v>1641.2197846567972</v>
      </c>
      <c r="J544" s="50">
        <f t="shared" si="53"/>
        <v>5.0026917900403767</v>
      </c>
      <c r="K544" s="63">
        <f t="shared" si="54"/>
        <v>1646.2224764468376</v>
      </c>
      <c r="M544" s="64"/>
      <c r="N544" s="50"/>
      <c r="O544" s="50"/>
      <c r="P544" s="64"/>
      <c r="Q544" s="50"/>
      <c r="R544" s="64"/>
      <c r="S544" s="52"/>
      <c r="T544" s="53"/>
      <c r="U544" s="50">
        <v>7</v>
      </c>
      <c r="V544" s="64">
        <f t="shared" si="55"/>
        <v>1632.8873894952897</v>
      </c>
      <c r="W544" s="50">
        <f t="shared" si="50"/>
        <v>5.0026917900403767</v>
      </c>
      <c r="X544" s="63">
        <f t="shared" si="56"/>
        <v>1637.8900812853301</v>
      </c>
      <c r="Y544" s="63"/>
      <c r="AA544" s="53"/>
      <c r="AB544" s="53"/>
      <c r="AC544" s="50">
        <v>7</v>
      </c>
      <c r="AD544" s="64">
        <f t="shared" si="57"/>
        <v>1643.4768161440111</v>
      </c>
      <c r="AE544" s="50">
        <f t="shared" si="51"/>
        <v>5.0026917900403767</v>
      </c>
      <c r="AF544" s="63">
        <f t="shared" si="58"/>
        <v>1648.4795079340515</v>
      </c>
      <c r="AG544" s="71"/>
      <c r="AI544" s="50"/>
    </row>
    <row r="545" spans="1:35" ht="15.75">
      <c r="A545" s="74"/>
      <c r="B545" s="75"/>
      <c r="C545" s="73"/>
      <c r="D545" s="75"/>
      <c r="H545" s="50">
        <v>10</v>
      </c>
      <c r="I545" s="64">
        <f t="shared" si="52"/>
        <v>1646.2224764468376</v>
      </c>
      <c r="J545" s="50">
        <f t="shared" si="53"/>
        <v>5.0026917900403767</v>
      </c>
      <c r="K545" s="63">
        <f t="shared" si="54"/>
        <v>1651.2251682368781</v>
      </c>
      <c r="M545" s="64"/>
      <c r="N545" s="50"/>
      <c r="O545" s="50"/>
      <c r="P545" s="64"/>
      <c r="Q545" s="50"/>
      <c r="R545" s="64"/>
      <c r="S545" s="52"/>
      <c r="T545" s="53"/>
      <c r="U545" s="50">
        <v>8</v>
      </c>
      <c r="V545" s="64">
        <f t="shared" si="55"/>
        <v>1637.8900812853301</v>
      </c>
      <c r="W545" s="50">
        <f t="shared" si="50"/>
        <v>5.0026917900403767</v>
      </c>
      <c r="X545" s="63">
        <f t="shared" si="56"/>
        <v>1642.8927730753705</v>
      </c>
      <c r="Y545" s="63"/>
      <c r="AA545" s="53"/>
      <c r="AB545" s="53"/>
      <c r="AC545" s="50">
        <v>8</v>
      </c>
      <c r="AD545" s="64">
        <f t="shared" si="57"/>
        <v>1648.4795079340515</v>
      </c>
      <c r="AE545" s="50">
        <f t="shared" si="51"/>
        <v>5.0026917900403767</v>
      </c>
      <c r="AF545" s="63">
        <f t="shared" si="58"/>
        <v>1653.482199724092</v>
      </c>
      <c r="AG545" s="71"/>
      <c r="AI545" s="50"/>
    </row>
    <row r="546" spans="1:35" ht="15.75">
      <c r="A546" s="74"/>
      <c r="B546" s="75"/>
      <c r="C546" s="73"/>
      <c r="D546" s="75"/>
      <c r="H546" s="50">
        <v>11</v>
      </c>
      <c r="I546" s="64">
        <f>K545</f>
        <v>1651.2251682368781</v>
      </c>
      <c r="J546" s="50">
        <f t="shared" si="53"/>
        <v>5.0026917900403767</v>
      </c>
      <c r="K546" s="63">
        <f>I546+J546</f>
        <v>1656.2278600269185</v>
      </c>
      <c r="M546" s="64"/>
      <c r="N546" s="50"/>
      <c r="O546" s="50"/>
      <c r="P546" s="64"/>
      <c r="Q546" s="50"/>
      <c r="R546" s="64"/>
      <c r="S546" s="52"/>
      <c r="T546" s="53"/>
      <c r="U546" s="50">
        <v>9</v>
      </c>
      <c r="V546" s="64">
        <f t="shared" si="55"/>
        <v>1642.8927730753705</v>
      </c>
      <c r="W546" s="50">
        <f t="shared" si="50"/>
        <v>5.0026917900403767</v>
      </c>
      <c r="X546" s="63">
        <f t="shared" si="56"/>
        <v>1647.895464865411</v>
      </c>
      <c r="Y546" s="63"/>
      <c r="AA546" s="53"/>
      <c r="AB546" s="53"/>
      <c r="AC546" s="50">
        <v>9</v>
      </c>
      <c r="AD546" s="64">
        <f t="shared" si="57"/>
        <v>1653.482199724092</v>
      </c>
      <c r="AE546" s="50">
        <f t="shared" si="51"/>
        <v>5.0026917900403767</v>
      </c>
      <c r="AF546" s="63">
        <f t="shared" si="58"/>
        <v>1658.4848915141324</v>
      </c>
      <c r="AG546" s="71"/>
      <c r="AI546" s="50"/>
    </row>
    <row r="547" spans="1:35" ht="15.75">
      <c r="A547" s="74"/>
      <c r="B547" s="75"/>
      <c r="C547" s="73"/>
      <c r="D547" s="75"/>
      <c r="H547" s="50">
        <v>12</v>
      </c>
      <c r="I547" s="64">
        <f>K546</f>
        <v>1656.2278600269185</v>
      </c>
      <c r="J547" s="50">
        <f t="shared" si="53"/>
        <v>5.0026917900403767</v>
      </c>
      <c r="K547" s="63">
        <f>I547+J547</f>
        <v>1661.230551816959</v>
      </c>
      <c r="M547" s="64"/>
      <c r="N547" s="50"/>
      <c r="O547" s="50"/>
      <c r="P547" s="64"/>
      <c r="Q547" s="50"/>
      <c r="R547" s="64"/>
      <c r="S547" s="52"/>
      <c r="T547" s="53"/>
      <c r="U547" s="50">
        <v>10</v>
      </c>
      <c r="V547" s="64">
        <f t="shared" si="55"/>
        <v>1647.895464865411</v>
      </c>
      <c r="W547" s="50">
        <f t="shared" si="50"/>
        <v>5.0026917900403767</v>
      </c>
      <c r="X547" s="63">
        <f t="shared" si="56"/>
        <v>1652.8981566554514</v>
      </c>
      <c r="Y547" s="63"/>
      <c r="AA547" s="53"/>
      <c r="AB547" s="53"/>
      <c r="AC547" s="50">
        <v>10</v>
      </c>
      <c r="AD547" s="64">
        <f t="shared" si="57"/>
        <v>1658.4848915141324</v>
      </c>
      <c r="AE547" s="50">
        <f t="shared" si="51"/>
        <v>5.0026917900403767</v>
      </c>
      <c r="AF547" s="63">
        <f t="shared" si="58"/>
        <v>1663.4875833041729</v>
      </c>
      <c r="AG547" s="71"/>
      <c r="AI547" s="50"/>
    </row>
    <row r="548" spans="1:35" ht="15.75">
      <c r="A548" s="74">
        <f>(A539+1)</f>
        <v>365</v>
      </c>
      <c r="B548" s="75" t="s">
        <v>1029</v>
      </c>
      <c r="C548" s="73">
        <v>14.7</v>
      </c>
      <c r="D548" s="75" t="s">
        <v>153</v>
      </c>
      <c r="F548" s="51" t="s">
        <v>547</v>
      </c>
      <c r="G548" s="62" t="s">
        <v>249</v>
      </c>
      <c r="H548" s="50" t="s">
        <v>1166</v>
      </c>
      <c r="M548" s="64">
        <v>8</v>
      </c>
      <c r="N548" s="50" t="s">
        <v>153</v>
      </c>
      <c r="O548" s="50" t="s">
        <v>1072</v>
      </c>
      <c r="P548" s="64">
        <f>(C52)</f>
        <v>21.1</v>
      </c>
      <c r="Q548" s="50" t="s">
        <v>153</v>
      </c>
      <c r="R548" s="64">
        <f>(M548*P548)</f>
        <v>168.8</v>
      </c>
      <c r="S548" s="52"/>
      <c r="T548" s="53"/>
      <c r="U548" s="50">
        <v>11</v>
      </c>
      <c r="V548" s="64">
        <f>X547</f>
        <v>1652.8981566554514</v>
      </c>
      <c r="W548" s="50">
        <f t="shared" si="50"/>
        <v>0</v>
      </c>
      <c r="X548" s="63">
        <f>V548+W548</f>
        <v>1652.8981566554514</v>
      </c>
      <c r="Y548" s="63"/>
      <c r="AA548" s="53"/>
      <c r="AB548" s="53"/>
      <c r="AC548" s="50">
        <v>11</v>
      </c>
      <c r="AD548" s="64">
        <f>AF547</f>
        <v>1663.4875833041729</v>
      </c>
      <c r="AE548" s="50">
        <f t="shared" si="51"/>
        <v>0</v>
      </c>
      <c r="AF548" s="63">
        <f>AD548+AE548</f>
        <v>1663.4875833041729</v>
      </c>
      <c r="AG548" s="71" t="str">
        <f t="shared" si="49"/>
        <v>|</v>
      </c>
      <c r="AI548" s="50" t="s">
        <v>1095</v>
      </c>
    </row>
    <row r="549" spans="1:35" ht="15.75">
      <c r="A549" s="74">
        <f t="shared" si="45"/>
        <v>366</v>
      </c>
      <c r="B549" s="75" t="s">
        <v>1030</v>
      </c>
      <c r="C549" s="73">
        <v>24.5</v>
      </c>
      <c r="D549" s="75" t="s">
        <v>153</v>
      </c>
      <c r="H549" s="59" t="s">
        <v>21</v>
      </c>
      <c r="M549" s="64">
        <v>3</v>
      </c>
      <c r="N549" s="50" t="s">
        <v>153</v>
      </c>
      <c r="O549" s="50" t="s">
        <v>1133</v>
      </c>
      <c r="P549" s="64">
        <f>(C41)</f>
        <v>796.59999999999991</v>
      </c>
      <c r="Q549" s="50" t="s">
        <v>153</v>
      </c>
      <c r="R549" s="64">
        <f>(M549*P549)</f>
        <v>2389.7999999999997</v>
      </c>
      <c r="S549" s="52"/>
      <c r="T549" s="53"/>
      <c r="U549" s="50">
        <v>12</v>
      </c>
      <c r="V549" s="64">
        <f>X548</f>
        <v>1652.8981566554514</v>
      </c>
      <c r="W549" s="50">
        <f t="shared" si="50"/>
        <v>0</v>
      </c>
      <c r="X549" s="63">
        <f>V549+W549</f>
        <v>1652.8981566554514</v>
      </c>
      <c r="Y549" s="63"/>
      <c r="AA549" s="53"/>
      <c r="AB549" s="53"/>
      <c r="AC549" s="50">
        <v>12</v>
      </c>
      <c r="AD549" s="64">
        <f>AF548</f>
        <v>1663.4875833041729</v>
      </c>
      <c r="AE549" s="50">
        <f t="shared" si="51"/>
        <v>0</v>
      </c>
      <c r="AF549" s="63">
        <f>AD549+AE549</f>
        <v>1663.4875833041729</v>
      </c>
      <c r="AG549" s="71" t="str">
        <f t="shared" si="49"/>
        <v>|</v>
      </c>
      <c r="AI549" s="50" t="s">
        <v>1095</v>
      </c>
    </row>
    <row r="550" spans="1:35" ht="31.5">
      <c r="A550" s="74">
        <f t="shared" si="45"/>
        <v>367</v>
      </c>
      <c r="B550" s="75" t="s">
        <v>979</v>
      </c>
      <c r="C550" s="73">
        <v>36.799999999999997</v>
      </c>
      <c r="D550" s="75" t="s">
        <v>153</v>
      </c>
      <c r="F550" s="64">
        <v>0.03</v>
      </c>
      <c r="G550" s="62" t="s">
        <v>151</v>
      </c>
      <c r="H550" s="50" t="s">
        <v>1160</v>
      </c>
      <c r="I550" s="64">
        <f>(K513)</f>
        <v>8160.16</v>
      </c>
      <c r="J550" s="50" t="s">
        <v>151</v>
      </c>
      <c r="K550" s="64">
        <f>(F550*I550)</f>
        <v>244.8048</v>
      </c>
      <c r="M550" s="64">
        <v>1</v>
      </c>
      <c r="N550" s="50" t="s">
        <v>153</v>
      </c>
      <c r="O550" s="50" t="s">
        <v>1134</v>
      </c>
      <c r="P550" s="64">
        <f>(C10)</f>
        <v>1076.5999999999999</v>
      </c>
      <c r="Q550" s="50" t="s">
        <v>153</v>
      </c>
      <c r="R550" s="64">
        <f>(M550*P550)</f>
        <v>1076.5999999999999</v>
      </c>
      <c r="S550" s="51" t="s">
        <v>547</v>
      </c>
      <c r="T550" s="62" t="s">
        <v>249</v>
      </c>
      <c r="U550" s="112" t="s">
        <v>1167</v>
      </c>
      <c r="W550" s="50"/>
      <c r="Z550" s="51" t="s">
        <v>547</v>
      </c>
      <c r="AA550" s="62" t="s">
        <v>249</v>
      </c>
      <c r="AB550" s="62"/>
      <c r="AC550" s="2125" t="s">
        <v>1167</v>
      </c>
      <c r="AD550" s="2125"/>
      <c r="AE550" s="50"/>
      <c r="AG550" s="71" t="str">
        <f t="shared" si="49"/>
        <v>|</v>
      </c>
      <c r="AI550" s="50" t="s">
        <v>1095</v>
      </c>
    </row>
    <row r="551" spans="1:35" ht="15.75">
      <c r="A551" s="74">
        <f t="shared" si="45"/>
        <v>368</v>
      </c>
      <c r="B551" s="75" t="s">
        <v>1168</v>
      </c>
      <c r="C551" s="90"/>
      <c r="D551" s="75" t="s">
        <v>150</v>
      </c>
      <c r="F551" s="64">
        <v>0.5</v>
      </c>
      <c r="G551" s="62" t="s">
        <v>4</v>
      </c>
      <c r="H551" s="50" t="s">
        <v>269</v>
      </c>
      <c r="I551" s="64">
        <f>(C10)</f>
        <v>1076.5999999999999</v>
      </c>
      <c r="J551" s="50" t="s">
        <v>4</v>
      </c>
      <c r="K551" s="64">
        <f>(F551*I551)</f>
        <v>538.29999999999995</v>
      </c>
      <c r="M551" s="64">
        <v>2</v>
      </c>
      <c r="N551" s="50" t="s">
        <v>153</v>
      </c>
      <c r="O551" s="50" t="s">
        <v>235</v>
      </c>
      <c r="P551" s="64">
        <f>(C12)</f>
        <v>702.8</v>
      </c>
      <c r="Q551" s="50" t="s">
        <v>153</v>
      </c>
      <c r="R551" s="64">
        <f>(M551*P551)</f>
        <v>1405.6</v>
      </c>
      <c r="S551" s="52"/>
      <c r="T551" s="53"/>
      <c r="U551" s="59" t="s">
        <v>21</v>
      </c>
      <c r="W551" s="55"/>
      <c r="AA551" s="53"/>
      <c r="AB551" s="53"/>
      <c r="AC551" s="59" t="s">
        <v>21</v>
      </c>
      <c r="AE551" s="55"/>
      <c r="AG551" s="71" t="str">
        <f t="shared" si="49"/>
        <v>|</v>
      </c>
      <c r="AI551" s="50" t="s">
        <v>1095</v>
      </c>
    </row>
    <row r="552" spans="1:35" ht="15.75">
      <c r="A552" s="74">
        <f t="shared" si="45"/>
        <v>369</v>
      </c>
      <c r="B552" s="75" t="s">
        <v>1131</v>
      </c>
      <c r="C552" s="76">
        <v>4.75</v>
      </c>
      <c r="D552" s="75" t="s">
        <v>153</v>
      </c>
      <c r="F552" s="64">
        <v>0.75</v>
      </c>
      <c r="G552" s="62" t="s">
        <v>4</v>
      </c>
      <c r="H552" s="50" t="s">
        <v>235</v>
      </c>
      <c r="I552" s="64">
        <f>(C12)</f>
        <v>702.8</v>
      </c>
      <c r="J552" s="50" t="s">
        <v>4</v>
      </c>
      <c r="K552" s="64">
        <f>(F552*I552)</f>
        <v>527.09999999999991</v>
      </c>
      <c r="M552" s="64">
        <v>1</v>
      </c>
      <c r="N552" s="50" t="s">
        <v>153</v>
      </c>
      <c r="O552" s="50" t="s">
        <v>236</v>
      </c>
      <c r="P552" s="64">
        <f>(C13)</f>
        <v>576.79999999999995</v>
      </c>
      <c r="Q552" s="50" t="s">
        <v>153</v>
      </c>
      <c r="R552" s="64">
        <f>(M552*P552)</f>
        <v>576.79999999999995</v>
      </c>
      <c r="S552" s="64">
        <v>0.03</v>
      </c>
      <c r="T552" s="62" t="s">
        <v>151</v>
      </c>
      <c r="U552" s="50" t="s">
        <v>601</v>
      </c>
      <c r="V552" s="64">
        <f>V528</f>
        <v>8243.0286930000002</v>
      </c>
      <c r="W552" s="50" t="s">
        <v>151</v>
      </c>
      <c r="X552" s="64">
        <f>(S552*V552)</f>
        <v>247.29086079000001</v>
      </c>
      <c r="Y552" s="64"/>
      <c r="Z552" s="64">
        <v>0.03</v>
      </c>
      <c r="AA552" s="62" t="s">
        <v>151</v>
      </c>
      <c r="AB552" s="62"/>
      <c r="AC552" s="50" t="s">
        <v>601</v>
      </c>
      <c r="AD552" s="64">
        <f>AD528</f>
        <v>8767.558293</v>
      </c>
      <c r="AE552" s="50" t="s">
        <v>151</v>
      </c>
      <c r="AF552" s="64">
        <f>(Z552*AD552)</f>
        <v>263.02674879</v>
      </c>
      <c r="AG552" s="71" t="str">
        <f t="shared" si="49"/>
        <v>|</v>
      </c>
      <c r="AI552" s="50" t="s">
        <v>1095</v>
      </c>
    </row>
    <row r="553" spans="1:35" ht="15.75">
      <c r="A553" s="74">
        <f t="shared" si="45"/>
        <v>370</v>
      </c>
      <c r="B553" s="75" t="s">
        <v>1123</v>
      </c>
      <c r="C553" s="76">
        <v>6.89</v>
      </c>
      <c r="D553" s="75" t="s">
        <v>153</v>
      </c>
      <c r="E553" s="151">
        <f>0.03/40*75</f>
        <v>5.6250000000000001E-2</v>
      </c>
      <c r="G553" s="62" t="s">
        <v>226</v>
      </c>
      <c r="H553" s="50" t="s">
        <v>237</v>
      </c>
      <c r="J553" s="50" t="s">
        <v>226</v>
      </c>
      <c r="K553" s="64">
        <v>0</v>
      </c>
      <c r="N553" s="50" t="s">
        <v>226</v>
      </c>
      <c r="O553" s="50" t="s">
        <v>1136</v>
      </c>
      <c r="P553" s="50" t="s">
        <v>150</v>
      </c>
      <c r="Q553" s="50" t="s">
        <v>226</v>
      </c>
      <c r="R553" s="64">
        <f>(C56)</f>
        <v>12.1</v>
      </c>
      <c r="S553" s="64">
        <v>0.5</v>
      </c>
      <c r="T553" s="62" t="s">
        <v>4</v>
      </c>
      <c r="U553" s="50" t="s">
        <v>269</v>
      </c>
      <c r="V553" s="64">
        <f>V529</f>
        <v>1076.5999999999999</v>
      </c>
      <c r="W553" s="50" t="s">
        <v>4</v>
      </c>
      <c r="X553" s="64">
        <f>(S553*V553)</f>
        <v>538.29999999999995</v>
      </c>
      <c r="Y553" s="64"/>
      <c r="Z553" s="64">
        <v>0.5</v>
      </c>
      <c r="AA553" s="62" t="s">
        <v>4</v>
      </c>
      <c r="AB553" s="62"/>
      <c r="AC553" s="50" t="s">
        <v>269</v>
      </c>
      <c r="AD553" s="64">
        <f>AD529</f>
        <v>1076.5999999999999</v>
      </c>
      <c r="AE553" s="50" t="s">
        <v>4</v>
      </c>
      <c r="AF553" s="64">
        <f>(Z553*AD553)</f>
        <v>538.29999999999995</v>
      </c>
      <c r="AG553" s="71" t="str">
        <f t="shared" si="49"/>
        <v>|</v>
      </c>
      <c r="AI553" s="50" t="s">
        <v>1095</v>
      </c>
    </row>
    <row r="554" spans="1:35" ht="15.75">
      <c r="A554" s="74">
        <f t="shared" si="45"/>
        <v>371</v>
      </c>
      <c r="B554" s="75" t="s">
        <v>1135</v>
      </c>
      <c r="C554" s="76">
        <v>6.18</v>
      </c>
      <c r="D554" s="75" t="s">
        <v>153</v>
      </c>
      <c r="K554" s="59" t="s">
        <v>21</v>
      </c>
      <c r="O554" s="50" t="s">
        <v>1138</v>
      </c>
      <c r="P554" s="50" t="s">
        <v>150</v>
      </c>
      <c r="R554" s="50" t="s">
        <v>150</v>
      </c>
      <c r="S554" s="64">
        <v>0.75</v>
      </c>
      <c r="T554" s="62" t="s">
        <v>4</v>
      </c>
      <c r="U554" s="50" t="s">
        <v>235</v>
      </c>
      <c r="V554" s="64">
        <f>V530</f>
        <v>702.8</v>
      </c>
      <c r="W554" s="50" t="s">
        <v>4</v>
      </c>
      <c r="X554" s="64">
        <f>(S554*V554)</f>
        <v>527.09999999999991</v>
      </c>
      <c r="Y554" s="64"/>
      <c r="Z554" s="64">
        <v>0.75</v>
      </c>
      <c r="AA554" s="62" t="s">
        <v>4</v>
      </c>
      <c r="AB554" s="62"/>
      <c r="AC554" s="50" t="s">
        <v>235</v>
      </c>
      <c r="AD554" s="64">
        <f>AD530</f>
        <v>702.8</v>
      </c>
      <c r="AE554" s="50" t="s">
        <v>4</v>
      </c>
      <c r="AF554" s="64">
        <f>(Z554*AD554)</f>
        <v>527.09999999999991</v>
      </c>
      <c r="AG554" s="71" t="str">
        <f t="shared" si="49"/>
        <v>|</v>
      </c>
      <c r="AI554" s="50" t="s">
        <v>1095</v>
      </c>
    </row>
    <row r="555" spans="1:35" ht="15.75">
      <c r="A555" s="74">
        <f t="shared" si="45"/>
        <v>372</v>
      </c>
      <c r="B555" s="75" t="s">
        <v>1169</v>
      </c>
      <c r="C555" s="76">
        <v>13.29</v>
      </c>
      <c r="D555" s="75" t="s">
        <v>153</v>
      </c>
      <c r="H555" s="50" t="s">
        <v>548</v>
      </c>
      <c r="K555" s="64">
        <f>SUM(K550:K553)</f>
        <v>1310.2048</v>
      </c>
      <c r="N555" s="50" t="s">
        <v>226</v>
      </c>
      <c r="O555" s="50" t="s">
        <v>237</v>
      </c>
      <c r="Q555" s="50" t="s">
        <v>226</v>
      </c>
      <c r="R555" s="64">
        <v>0</v>
      </c>
      <c r="S555" s="52"/>
      <c r="T555" s="62" t="s">
        <v>226</v>
      </c>
      <c r="U555" s="50" t="s">
        <v>237</v>
      </c>
      <c r="V555" s="64">
        <f>V531</f>
        <v>0</v>
      </c>
      <c r="W555" s="50" t="s">
        <v>226</v>
      </c>
      <c r="X555" s="64">
        <v>0</v>
      </c>
      <c r="Y555" s="64"/>
      <c r="AA555" s="62" t="s">
        <v>226</v>
      </c>
      <c r="AB555" s="62"/>
      <c r="AC555" s="50" t="s">
        <v>237</v>
      </c>
      <c r="AD555" s="64">
        <f>AD531</f>
        <v>0</v>
      </c>
      <c r="AE555" s="50" t="s">
        <v>226</v>
      </c>
      <c r="AF555" s="64">
        <v>0</v>
      </c>
      <c r="AG555" s="71" t="str">
        <f t="shared" si="49"/>
        <v>|</v>
      </c>
      <c r="AI555" s="50" t="s">
        <v>1095</v>
      </c>
    </row>
    <row r="556" spans="1:35" ht="15.75">
      <c r="A556" s="74">
        <f t="shared" si="45"/>
        <v>373</v>
      </c>
      <c r="B556" s="75" t="s">
        <v>1170</v>
      </c>
      <c r="C556" s="76">
        <v>14.11</v>
      </c>
      <c r="D556" s="75" t="s">
        <v>153</v>
      </c>
      <c r="K556" s="59" t="s">
        <v>21</v>
      </c>
      <c r="R556" s="59" t="s">
        <v>21</v>
      </c>
      <c r="S556" s="52"/>
      <c r="T556" s="53"/>
      <c r="W556" s="55"/>
      <c r="X556" s="59" t="s">
        <v>21</v>
      </c>
      <c r="Y556" s="59"/>
      <c r="AA556" s="53"/>
      <c r="AB556" s="53"/>
      <c r="AE556" s="55"/>
      <c r="AF556" s="59" t="s">
        <v>21</v>
      </c>
      <c r="AG556" s="71" t="str">
        <f t="shared" si="49"/>
        <v>|</v>
      </c>
      <c r="AI556" s="50" t="s">
        <v>1095</v>
      </c>
    </row>
    <row r="557" spans="1:35" ht="15.75">
      <c r="A557" s="74">
        <f t="shared" si="45"/>
        <v>374</v>
      </c>
      <c r="B557" s="75" t="s">
        <v>1171</v>
      </c>
      <c r="C557" s="76">
        <v>14.69</v>
      </c>
      <c r="D557" s="75" t="s">
        <v>153</v>
      </c>
      <c r="H557" s="50" t="s">
        <v>155</v>
      </c>
      <c r="K557" s="64">
        <f>(K555/0.743)</f>
        <v>1763.3981157469718</v>
      </c>
      <c r="O557" s="50" t="s">
        <v>1139</v>
      </c>
      <c r="R557" s="64">
        <f>SUM(R537:R555)</f>
        <v>5847.7</v>
      </c>
      <c r="S557" s="52"/>
      <c r="T557" s="53"/>
      <c r="U557" s="50" t="s">
        <v>548</v>
      </c>
      <c r="W557" s="55"/>
      <c r="X557" s="64">
        <f>SUM(X552:X555)</f>
        <v>1312.69086079</v>
      </c>
      <c r="Y557" s="64"/>
      <c r="AA557" s="53"/>
      <c r="AB557" s="53"/>
      <c r="AC557" s="50" t="s">
        <v>548</v>
      </c>
      <c r="AE557" s="55"/>
      <c r="AF557" s="64">
        <f>SUM(AF552:AF555)</f>
        <v>1328.4267487899999</v>
      </c>
      <c r="AG557" s="71" t="str">
        <f t="shared" si="49"/>
        <v>|</v>
      </c>
      <c r="AI557" s="50" t="s">
        <v>1095</v>
      </c>
    </row>
    <row r="558" spans="1:35" ht="15.75">
      <c r="A558" s="74">
        <f t="shared" si="45"/>
        <v>375</v>
      </c>
      <c r="B558" s="75" t="s">
        <v>1172</v>
      </c>
      <c r="C558" s="90"/>
      <c r="D558" s="75" t="s">
        <v>150</v>
      </c>
      <c r="K558" s="59" t="s">
        <v>156</v>
      </c>
      <c r="R558" s="59" t="s">
        <v>21</v>
      </c>
      <c r="S558" s="52"/>
      <c r="T558" s="53"/>
      <c r="W558" s="55"/>
      <c r="X558" s="59" t="s">
        <v>21</v>
      </c>
      <c r="Y558" s="59"/>
      <c r="AA558" s="53"/>
      <c r="AB558" s="53"/>
      <c r="AE558" s="55"/>
      <c r="AF558" s="59" t="s">
        <v>21</v>
      </c>
      <c r="AG558" s="71" t="str">
        <f t="shared" si="49"/>
        <v>|</v>
      </c>
      <c r="AI558" s="50" t="s">
        <v>1095</v>
      </c>
    </row>
    <row r="559" spans="1:35" ht="15.75">
      <c r="A559" s="74">
        <f t="shared" si="45"/>
        <v>376</v>
      </c>
      <c r="B559" s="75" t="s">
        <v>1131</v>
      </c>
      <c r="C559" s="76">
        <v>7.3</v>
      </c>
      <c r="D559" s="75" t="s">
        <v>153</v>
      </c>
      <c r="H559" s="50" t="s">
        <v>271</v>
      </c>
      <c r="I559" s="64">
        <f>K557</f>
        <v>1763.3981157469718</v>
      </c>
      <c r="J559" s="50">
        <f>C22*0.03/0.743</f>
        <v>5.0818304172274562</v>
      </c>
      <c r="K559" s="63">
        <f>I559+J559</f>
        <v>1768.4799461641992</v>
      </c>
      <c r="M559" s="52">
        <f>0.47*38.5</f>
        <v>18.094999999999999</v>
      </c>
      <c r="O559" s="50" t="s">
        <v>562</v>
      </c>
      <c r="R559" s="64">
        <f>(R557/30)</f>
        <v>194.92333333333332</v>
      </c>
      <c r="S559" s="52"/>
      <c r="T559" s="53"/>
      <c r="U559" s="50" t="s">
        <v>602</v>
      </c>
      <c r="W559" s="55"/>
      <c r="X559" s="63">
        <f>(X557/0.743)</f>
        <v>1766.7440925841183</v>
      </c>
      <c r="Y559" s="63"/>
      <c r="AA559" s="53"/>
      <c r="AB559" s="53"/>
      <c r="AC559" s="50" t="s">
        <v>602</v>
      </c>
      <c r="AE559" s="55"/>
      <c r="AF559" s="63">
        <f>(AF557/0.743)</f>
        <v>1787.9229458815612</v>
      </c>
      <c r="AG559" s="71" t="str">
        <f t="shared" si="49"/>
        <v>|</v>
      </c>
      <c r="AI559" s="50" t="s">
        <v>1095</v>
      </c>
    </row>
    <row r="560" spans="1:35" ht="15.75">
      <c r="A560" s="74">
        <f t="shared" si="45"/>
        <v>377</v>
      </c>
      <c r="B560" s="75" t="s">
        <v>1123</v>
      </c>
      <c r="C560" s="76">
        <v>19.05</v>
      </c>
      <c r="D560" s="75" t="s">
        <v>153</v>
      </c>
      <c r="H560" s="50" t="s">
        <v>272</v>
      </c>
      <c r="I560" s="64">
        <f>K559</f>
        <v>1768.4799461641992</v>
      </c>
      <c r="J560" s="50">
        <f>C23*0.03/0.743</f>
        <v>10.005383580080753</v>
      </c>
      <c r="K560" s="63">
        <f>I560+J560</f>
        <v>1778.4853297442799</v>
      </c>
      <c r="M560" s="52">
        <f>0.24*546</f>
        <v>131.04</v>
      </c>
      <c r="R560" s="59" t="s">
        <v>21</v>
      </c>
      <c r="S560" s="52"/>
      <c r="T560" s="53"/>
      <c r="W560" s="55"/>
      <c r="X560" s="59" t="s">
        <v>156</v>
      </c>
      <c r="Y560" s="59"/>
      <c r="AA560" s="53"/>
      <c r="AB560" s="53"/>
      <c r="AE560" s="55"/>
      <c r="AF560" s="59" t="s">
        <v>156</v>
      </c>
      <c r="AG560" s="71" t="str">
        <f t="shared" si="49"/>
        <v>|</v>
      </c>
      <c r="AI560" s="50" t="s">
        <v>1095</v>
      </c>
    </row>
    <row r="561" spans="1:35" ht="15.75">
      <c r="A561" s="74">
        <f t="shared" si="45"/>
        <v>378</v>
      </c>
      <c r="B561" s="75" t="s">
        <v>1135</v>
      </c>
      <c r="C561" s="76">
        <v>8.5</v>
      </c>
      <c r="D561" s="75" t="s">
        <v>153</v>
      </c>
      <c r="H561" s="50" t="s">
        <v>767</v>
      </c>
      <c r="I561" s="64">
        <f>K560</f>
        <v>1778.4853297442799</v>
      </c>
      <c r="J561" s="50">
        <f>J560</f>
        <v>10.005383580080753</v>
      </c>
      <c r="K561" s="63">
        <f>I561+J561</f>
        <v>1788.4907133243605</v>
      </c>
      <c r="M561" s="52">
        <f>0.24*143.6</f>
        <v>34.463999999999999</v>
      </c>
      <c r="N561" s="50" t="s">
        <v>249</v>
      </c>
      <c r="O561" s="50" t="s">
        <v>1053</v>
      </c>
      <c r="S561" s="52"/>
      <c r="T561" s="53"/>
      <c r="U561" s="50" t="s">
        <v>271</v>
      </c>
      <c r="V561" s="64">
        <f>X559</f>
        <v>1766.7440925841183</v>
      </c>
      <c r="W561" s="50">
        <f>J559</f>
        <v>5.0818304172274562</v>
      </c>
      <c r="X561" s="63">
        <f>V561+W561</f>
        <v>1771.8259230013457</v>
      </c>
      <c r="Y561" s="63"/>
      <c r="AA561" s="53"/>
      <c r="AB561" s="53"/>
      <c r="AC561" s="50" t="s">
        <v>271</v>
      </c>
      <c r="AD561" s="64">
        <f>AF559</f>
        <v>1787.9229458815612</v>
      </c>
      <c r="AE561" s="50">
        <f t="shared" ref="AE561:AE566" si="59">W561</f>
        <v>5.0818304172274562</v>
      </c>
      <c r="AF561" s="63">
        <f t="shared" ref="AF561:AF566" si="60">AD561+AE561</f>
        <v>1793.0047762987886</v>
      </c>
      <c r="AG561" s="71" t="str">
        <f t="shared" si="49"/>
        <v>|</v>
      </c>
      <c r="AI561" s="50" t="s">
        <v>1095</v>
      </c>
    </row>
    <row r="562" spans="1:35" ht="15.75">
      <c r="A562" s="74">
        <f t="shared" si="45"/>
        <v>379</v>
      </c>
      <c r="B562" s="75" t="s">
        <v>1173</v>
      </c>
      <c r="C562" s="76">
        <v>12.2</v>
      </c>
      <c r="D562" s="75" t="s">
        <v>153</v>
      </c>
      <c r="H562" s="50" t="s">
        <v>769</v>
      </c>
      <c r="I562" s="64">
        <f>K561</f>
        <v>1788.4907133243605</v>
      </c>
      <c r="J562" s="50">
        <f>J561</f>
        <v>10.005383580080753</v>
      </c>
      <c r="K562" s="63">
        <f>I562+J562</f>
        <v>1798.4960969044412</v>
      </c>
      <c r="M562" s="52">
        <f>0.79*328.9</f>
        <v>259.83100000000002</v>
      </c>
      <c r="O562" s="50" t="s">
        <v>1174</v>
      </c>
      <c r="S562" s="52"/>
      <c r="T562" s="53"/>
      <c r="U562" s="50" t="s">
        <v>272</v>
      </c>
      <c r="V562" s="64">
        <f>X561</f>
        <v>1771.8259230013457</v>
      </c>
      <c r="W562" s="50">
        <f>J560</f>
        <v>10.005383580080753</v>
      </c>
      <c r="X562" s="63">
        <f>V562+W562</f>
        <v>1781.8313065814264</v>
      </c>
      <c r="Y562" s="63"/>
      <c r="AA562" s="53"/>
      <c r="AB562" s="53"/>
      <c r="AC562" s="50" t="s">
        <v>272</v>
      </c>
      <c r="AD562" s="64">
        <f>AF561</f>
        <v>1793.0047762987886</v>
      </c>
      <c r="AE562" s="50">
        <f t="shared" si="59"/>
        <v>10.005383580080753</v>
      </c>
      <c r="AF562" s="63">
        <f t="shared" si="60"/>
        <v>1803.0101598788692</v>
      </c>
      <c r="AG562" s="71" t="str">
        <f t="shared" si="49"/>
        <v>|</v>
      </c>
      <c r="AI562" s="50" t="s">
        <v>1095</v>
      </c>
    </row>
    <row r="563" spans="1:35" ht="15.75">
      <c r="A563" s="90"/>
      <c r="B563" s="90"/>
      <c r="C563" s="90"/>
      <c r="D563" s="90"/>
      <c r="F563" s="50" t="s">
        <v>150</v>
      </c>
      <c r="H563" s="50" t="s">
        <v>272</v>
      </c>
      <c r="I563" s="64">
        <f>K562</f>
        <v>1798.4960969044412</v>
      </c>
      <c r="J563" s="50">
        <f>J562</f>
        <v>10.005383580080753</v>
      </c>
      <c r="K563" s="63">
        <f>I563+J563</f>
        <v>1808.5014804845218</v>
      </c>
      <c r="M563" s="52">
        <f>SUM(M559:M562)</f>
        <v>443.43</v>
      </c>
      <c r="S563" s="52"/>
      <c r="T563" s="53"/>
      <c r="U563" s="50" t="s">
        <v>767</v>
      </c>
      <c r="V563" s="64">
        <f>X562</f>
        <v>1781.8313065814264</v>
      </c>
      <c r="W563" s="50">
        <f>J561</f>
        <v>10.005383580080753</v>
      </c>
      <c r="X563" s="63">
        <f>V563+W563</f>
        <v>1791.836690161507</v>
      </c>
      <c r="Y563" s="63"/>
      <c r="AA563" s="53"/>
      <c r="AB563" s="53"/>
      <c r="AC563" s="50" t="s">
        <v>767</v>
      </c>
      <c r="AD563" s="64">
        <f>AF562</f>
        <v>1803.0101598788692</v>
      </c>
      <c r="AE563" s="50">
        <f t="shared" si="59"/>
        <v>10.005383580080753</v>
      </c>
      <c r="AF563" s="63">
        <f t="shared" si="60"/>
        <v>1813.0155434589499</v>
      </c>
      <c r="AG563" s="71" t="str">
        <f t="shared" si="49"/>
        <v>|</v>
      </c>
      <c r="AI563" s="50" t="s">
        <v>1095</v>
      </c>
    </row>
    <row r="564" spans="1:35" ht="15.75">
      <c r="A564" s="74">
        <f>(A562+1)</f>
        <v>380</v>
      </c>
      <c r="B564" s="75" t="s">
        <v>1170</v>
      </c>
      <c r="C564" s="76">
        <v>38.35</v>
      </c>
      <c r="D564" s="75" t="s">
        <v>153</v>
      </c>
      <c r="H564" s="50">
        <v>5</v>
      </c>
      <c r="I564" s="64">
        <f t="shared" ref="I564:I569" si="61">K563</f>
        <v>1808.5014804845218</v>
      </c>
      <c r="J564" s="50">
        <f t="shared" ref="J564:J571" si="62">J563</f>
        <v>10.005383580080753</v>
      </c>
      <c r="K564" s="63">
        <f t="shared" ref="K564:K569" si="63">I564+J564</f>
        <v>1818.5068640646025</v>
      </c>
      <c r="O564" s="50" t="s">
        <v>1055</v>
      </c>
      <c r="S564" s="52"/>
      <c r="T564" s="53"/>
      <c r="U564" s="50" t="s">
        <v>769</v>
      </c>
      <c r="V564" s="64">
        <f>X563</f>
        <v>1791.836690161507</v>
      </c>
      <c r="W564" s="50">
        <f>J562</f>
        <v>10.005383580080753</v>
      </c>
      <c r="X564" s="63">
        <f>V564+W564</f>
        <v>1801.8420737415877</v>
      </c>
      <c r="Y564" s="63"/>
      <c r="AA564" s="53"/>
      <c r="AB564" s="53"/>
      <c r="AC564" s="50" t="s">
        <v>769</v>
      </c>
      <c r="AD564" s="64">
        <f>AF563</f>
        <v>1813.0155434589499</v>
      </c>
      <c r="AE564" s="50">
        <f t="shared" si="59"/>
        <v>10.005383580080753</v>
      </c>
      <c r="AF564" s="63">
        <f t="shared" si="60"/>
        <v>1823.0209270390305</v>
      </c>
      <c r="AG564" s="71" t="str">
        <f t="shared" si="49"/>
        <v>|</v>
      </c>
      <c r="AI564" s="50" t="s">
        <v>1095</v>
      </c>
    </row>
    <row r="565" spans="1:35" ht="15.75">
      <c r="A565" s="74"/>
      <c r="B565" s="75"/>
      <c r="C565" s="76"/>
      <c r="D565" s="75"/>
      <c r="H565" s="50">
        <v>6</v>
      </c>
      <c r="I565" s="64">
        <f t="shared" si="61"/>
        <v>1818.5068640646025</v>
      </c>
      <c r="J565" s="50">
        <f t="shared" si="62"/>
        <v>10.005383580080753</v>
      </c>
      <c r="K565" s="63">
        <f t="shared" si="63"/>
        <v>1828.5122476446832</v>
      </c>
      <c r="O565" s="50"/>
      <c r="S565" s="50" t="s">
        <v>150</v>
      </c>
      <c r="T565" s="53"/>
      <c r="U565" s="50" t="s">
        <v>1175</v>
      </c>
      <c r="V565" s="64">
        <f>X564</f>
        <v>1801.8420737415877</v>
      </c>
      <c r="W565" s="50">
        <f>J563</f>
        <v>10.005383580080753</v>
      </c>
      <c r="X565" s="63">
        <f>V565+W565</f>
        <v>1811.8474573216683</v>
      </c>
      <c r="Y565" s="63"/>
      <c r="AC565" s="50" t="s">
        <v>272</v>
      </c>
      <c r="AD565" s="64">
        <f>AF564</f>
        <v>1823.0209270390305</v>
      </c>
      <c r="AE565" s="50">
        <f t="shared" si="59"/>
        <v>10.005383580080753</v>
      </c>
      <c r="AF565" s="63">
        <f t="shared" si="60"/>
        <v>1833.0263106191112</v>
      </c>
      <c r="AG565" s="71"/>
      <c r="AI565" s="50"/>
    </row>
    <row r="566" spans="1:35" ht="15.75">
      <c r="A566" s="74"/>
      <c r="B566" s="75"/>
      <c r="C566" s="76"/>
      <c r="D566" s="75"/>
      <c r="H566" s="50">
        <v>7</v>
      </c>
      <c r="I566" s="64">
        <f t="shared" si="61"/>
        <v>1828.5122476446832</v>
      </c>
      <c r="J566" s="50">
        <f t="shared" si="62"/>
        <v>10.005383580080753</v>
      </c>
      <c r="K566" s="63">
        <f t="shared" si="63"/>
        <v>1838.5176312247638</v>
      </c>
      <c r="O566" s="50"/>
      <c r="AC566" s="50" t="s">
        <v>767</v>
      </c>
      <c r="AD566" s="64">
        <f>AF565</f>
        <v>1833.0263106191112</v>
      </c>
      <c r="AE566" s="50">
        <f t="shared" si="59"/>
        <v>0</v>
      </c>
      <c r="AF566" s="63">
        <f t="shared" si="60"/>
        <v>1833.0263106191112</v>
      </c>
      <c r="AG566" s="71"/>
      <c r="AI566" s="50"/>
    </row>
    <row r="567" spans="1:35" ht="15.75">
      <c r="A567" s="74"/>
      <c r="B567" s="75"/>
      <c r="C567" s="76"/>
      <c r="D567" s="75"/>
      <c r="H567" s="50">
        <v>8</v>
      </c>
      <c r="I567" s="64">
        <f t="shared" si="61"/>
        <v>1838.5176312247638</v>
      </c>
      <c r="J567" s="50">
        <f t="shared" si="62"/>
        <v>10.005383580080753</v>
      </c>
      <c r="K567" s="63">
        <f t="shared" si="63"/>
        <v>1848.5230148048445</v>
      </c>
      <c r="O567" s="50"/>
      <c r="AG567" s="71"/>
      <c r="AI567" s="50"/>
    </row>
    <row r="568" spans="1:35" ht="15.75">
      <c r="A568" s="74"/>
      <c r="B568" s="75"/>
      <c r="C568" s="76"/>
      <c r="D568" s="75"/>
      <c r="H568" s="50">
        <v>9</v>
      </c>
      <c r="I568" s="64">
        <f t="shared" si="61"/>
        <v>1848.5230148048445</v>
      </c>
      <c r="J568" s="50">
        <f t="shared" si="62"/>
        <v>10.005383580080753</v>
      </c>
      <c r="K568" s="63">
        <f t="shared" si="63"/>
        <v>1858.5283983849251</v>
      </c>
      <c r="O568" s="50"/>
      <c r="AG568" s="71"/>
      <c r="AI568" s="50"/>
    </row>
    <row r="569" spans="1:35" ht="15.75">
      <c r="A569" s="74"/>
      <c r="B569" s="75"/>
      <c r="C569" s="76"/>
      <c r="D569" s="75"/>
      <c r="H569" s="50">
        <v>10</v>
      </c>
      <c r="I569" s="64">
        <f t="shared" si="61"/>
        <v>1858.5283983849251</v>
      </c>
      <c r="J569" s="50">
        <f t="shared" si="62"/>
        <v>10.005383580080753</v>
      </c>
      <c r="K569" s="63">
        <f t="shared" si="63"/>
        <v>1868.5337819650058</v>
      </c>
      <c r="O569" s="50"/>
      <c r="AG569" s="71"/>
      <c r="AI569" s="50"/>
    </row>
    <row r="570" spans="1:35" ht="15.75">
      <c r="A570" s="74"/>
      <c r="B570" s="75"/>
      <c r="C570" s="76"/>
      <c r="D570" s="75"/>
      <c r="H570" s="50">
        <v>11</v>
      </c>
      <c r="I570" s="64">
        <f>K569</f>
        <v>1868.5337819650058</v>
      </c>
      <c r="J570" s="50">
        <f t="shared" si="62"/>
        <v>10.005383580080753</v>
      </c>
      <c r="K570" s="63">
        <f>I570+J570</f>
        <v>1878.5391655450865</v>
      </c>
      <c r="O570" s="50"/>
      <c r="AG570" s="71"/>
      <c r="AI570" s="50"/>
    </row>
    <row r="571" spans="1:35" ht="15.75">
      <c r="A571" s="74"/>
      <c r="B571" s="75"/>
      <c r="C571" s="76"/>
      <c r="D571" s="75"/>
      <c r="H571" s="50">
        <v>12</v>
      </c>
      <c r="I571" s="64">
        <f>K570</f>
        <v>1878.5391655450865</v>
      </c>
      <c r="J571" s="50">
        <f t="shared" si="62"/>
        <v>10.005383580080753</v>
      </c>
      <c r="K571" s="63">
        <f>I571+J571</f>
        <v>1888.5445491251671</v>
      </c>
      <c r="O571" s="50"/>
      <c r="AG571" s="71"/>
      <c r="AI571" s="50"/>
    </row>
    <row r="572" spans="1:35" ht="15.75">
      <c r="A572" s="74">
        <f>(A564+1)</f>
        <v>381</v>
      </c>
      <c r="B572" s="75" t="s">
        <v>1171</v>
      </c>
      <c r="C572" s="76">
        <v>14.7</v>
      </c>
      <c r="D572" s="75" t="s">
        <v>153</v>
      </c>
      <c r="F572" s="101"/>
      <c r="G572" s="62" t="s">
        <v>150</v>
      </c>
      <c r="H572" s="50" t="s">
        <v>1176</v>
      </c>
      <c r="O572" s="59" t="s">
        <v>21</v>
      </c>
      <c r="S572" s="107"/>
      <c r="T572" s="62" t="s">
        <v>150</v>
      </c>
      <c r="U572" s="50" t="s">
        <v>1176</v>
      </c>
      <c r="W572" s="55"/>
      <c r="AC572" s="50" t="s">
        <v>769</v>
      </c>
      <c r="AD572" s="64">
        <f>AF571</f>
        <v>0</v>
      </c>
      <c r="AE572" s="50">
        <f>W572</f>
        <v>0</v>
      </c>
      <c r="AF572" s="63">
        <f>AD572+AE572</f>
        <v>0</v>
      </c>
      <c r="AG572" s="71" t="str">
        <f t="shared" si="49"/>
        <v>|</v>
      </c>
      <c r="AI572" s="50" t="s">
        <v>1095</v>
      </c>
    </row>
    <row r="573" spans="1:35" ht="15.75">
      <c r="A573" s="74">
        <f t="shared" ref="A573:A587" si="64">(A572+1)</f>
        <v>382</v>
      </c>
      <c r="B573" s="75" t="s">
        <v>1177</v>
      </c>
      <c r="C573" s="90"/>
      <c r="D573" s="75" t="s">
        <v>150</v>
      </c>
      <c r="H573" s="50" t="s">
        <v>1178</v>
      </c>
      <c r="T573" s="53"/>
      <c r="U573" s="50" t="s">
        <v>1178</v>
      </c>
      <c r="W573" s="55"/>
      <c r="AG573" s="71" t="str">
        <f t="shared" si="49"/>
        <v>|</v>
      </c>
      <c r="AI573" s="50" t="s">
        <v>1095</v>
      </c>
    </row>
    <row r="574" spans="1:35" ht="15.75">
      <c r="A574" s="74">
        <f t="shared" si="64"/>
        <v>383</v>
      </c>
      <c r="B574" s="75" t="s">
        <v>1131</v>
      </c>
      <c r="C574" s="76">
        <v>6</v>
      </c>
      <c r="D574" s="75" t="s">
        <v>153</v>
      </c>
      <c r="H574" s="50" t="s">
        <v>1179</v>
      </c>
      <c r="N574" s="50" t="s">
        <v>1056</v>
      </c>
      <c r="O574" s="50" t="s">
        <v>1180</v>
      </c>
      <c r="T574" s="53"/>
      <c r="U574" s="50" t="s">
        <v>1179</v>
      </c>
      <c r="W574" s="55"/>
      <c r="AG574" s="71" t="str">
        <f t="shared" si="49"/>
        <v>|</v>
      </c>
      <c r="AI574" s="50" t="s">
        <v>1095</v>
      </c>
    </row>
    <row r="575" spans="1:35" ht="15.75">
      <c r="A575" s="74">
        <f t="shared" si="64"/>
        <v>384</v>
      </c>
      <c r="B575" s="75" t="s">
        <v>1123</v>
      </c>
      <c r="C575" s="76">
        <v>9.4499999999999993</v>
      </c>
      <c r="D575" s="75" t="s">
        <v>153</v>
      </c>
      <c r="H575" s="50" t="s">
        <v>1181</v>
      </c>
      <c r="O575" s="59" t="s">
        <v>21</v>
      </c>
      <c r="T575" s="53"/>
      <c r="U575" s="50" t="s">
        <v>1181</v>
      </c>
      <c r="W575" s="55"/>
      <c r="AG575" s="71" t="str">
        <f t="shared" si="49"/>
        <v>|</v>
      </c>
      <c r="AI575" s="50" t="s">
        <v>1095</v>
      </c>
    </row>
    <row r="576" spans="1:35" ht="15.75">
      <c r="A576" s="74">
        <f t="shared" si="64"/>
        <v>385</v>
      </c>
      <c r="B576" s="75" t="s">
        <v>1135</v>
      </c>
      <c r="C576" s="76">
        <v>7.3</v>
      </c>
      <c r="D576" s="75" t="s">
        <v>153</v>
      </c>
      <c r="H576" s="50" t="s">
        <v>1182</v>
      </c>
      <c r="M576" s="64">
        <v>8.1</v>
      </c>
      <c r="N576" s="50" t="s">
        <v>151</v>
      </c>
      <c r="O576" s="50" t="s">
        <v>1060</v>
      </c>
      <c r="P576" s="64">
        <f>(C61)*2</f>
        <v>235.2</v>
      </c>
      <c r="Q576" s="50" t="s">
        <v>151</v>
      </c>
      <c r="R576" s="64">
        <f>(M576*P576)</f>
        <v>1905.12</v>
      </c>
      <c r="T576" s="53"/>
      <c r="U576" s="50" t="s">
        <v>1182</v>
      </c>
      <c r="W576" s="55"/>
      <c r="AG576" s="71" t="str">
        <f t="shared" si="49"/>
        <v>|</v>
      </c>
      <c r="AI576" s="50" t="s">
        <v>1095</v>
      </c>
    </row>
    <row r="577" spans="1:35" ht="15.75">
      <c r="A577" s="74">
        <f t="shared" si="64"/>
        <v>386</v>
      </c>
      <c r="B577" s="75" t="s">
        <v>1173</v>
      </c>
      <c r="C577" s="76">
        <v>9.6999999999999993</v>
      </c>
      <c r="D577" s="75" t="s">
        <v>153</v>
      </c>
      <c r="H577" s="50" t="s">
        <v>1183</v>
      </c>
      <c r="M577" s="64">
        <v>8.1</v>
      </c>
      <c r="N577" s="50" t="s">
        <v>151</v>
      </c>
      <c r="O577" s="50" t="s">
        <v>1061</v>
      </c>
      <c r="P577" s="64">
        <f>(C26)</f>
        <v>41.019999999999996</v>
      </c>
      <c r="Q577" s="50" t="s">
        <v>151</v>
      </c>
      <c r="R577" s="64">
        <f>(M577*P577)</f>
        <v>332.26199999999994</v>
      </c>
      <c r="T577" s="53"/>
      <c r="U577" s="50" t="s">
        <v>1183</v>
      </c>
      <c r="W577" s="55"/>
      <c r="AG577" s="71" t="str">
        <f t="shared" si="49"/>
        <v>|</v>
      </c>
      <c r="AI577" s="50" t="s">
        <v>1095</v>
      </c>
    </row>
    <row r="578" spans="1:35" ht="15.75">
      <c r="A578" s="74">
        <f t="shared" si="64"/>
        <v>387</v>
      </c>
      <c r="B578" s="75" t="s">
        <v>1184</v>
      </c>
      <c r="C578" s="76">
        <v>12.2</v>
      </c>
      <c r="D578" s="75" t="s">
        <v>153</v>
      </c>
      <c r="H578" s="50" t="s">
        <v>1185</v>
      </c>
      <c r="M578" s="64">
        <v>30</v>
      </c>
      <c r="N578" s="50" t="s">
        <v>552</v>
      </c>
      <c r="O578" s="50" t="s">
        <v>1062</v>
      </c>
      <c r="P578" s="64">
        <f>(C661)</f>
        <v>8.1</v>
      </c>
      <c r="Q578" s="50" t="s">
        <v>552</v>
      </c>
      <c r="R578" s="64">
        <f>(M578*P578)</f>
        <v>243</v>
      </c>
      <c r="T578" s="53"/>
      <c r="U578" s="50" t="s">
        <v>1185</v>
      </c>
      <c r="W578" s="55"/>
      <c r="AG578" s="71" t="str">
        <f t="shared" si="49"/>
        <v>|</v>
      </c>
      <c r="AI578" s="50" t="s">
        <v>1095</v>
      </c>
    </row>
    <row r="579" spans="1:35" ht="15.75">
      <c r="A579" s="74">
        <f t="shared" si="64"/>
        <v>388</v>
      </c>
      <c r="B579" s="75" t="s">
        <v>1186</v>
      </c>
      <c r="C579" s="76">
        <v>18.3</v>
      </c>
      <c r="D579" s="75" t="s">
        <v>153</v>
      </c>
      <c r="H579" s="59" t="s">
        <v>21</v>
      </c>
      <c r="I579" s="59" t="s">
        <v>21</v>
      </c>
      <c r="O579" s="50" t="s">
        <v>1187</v>
      </c>
      <c r="T579" s="53"/>
      <c r="U579" s="59" t="s">
        <v>21</v>
      </c>
      <c r="V579" s="59" t="s">
        <v>21</v>
      </c>
      <c r="W579" s="55"/>
      <c r="AG579" s="71" t="str">
        <f t="shared" si="49"/>
        <v>|</v>
      </c>
      <c r="AI579" s="50" t="s">
        <v>1095</v>
      </c>
    </row>
    <row r="580" spans="1:35" ht="15.75">
      <c r="A580" s="74">
        <f t="shared" si="64"/>
        <v>389</v>
      </c>
      <c r="B580" s="75" t="s">
        <v>1188</v>
      </c>
      <c r="C580" s="76">
        <v>538</v>
      </c>
      <c r="D580" s="75" t="s">
        <v>153</v>
      </c>
      <c r="G580" s="62" t="s">
        <v>588</v>
      </c>
      <c r="H580" s="50" t="s">
        <v>1189</v>
      </c>
      <c r="O580" s="50" t="s">
        <v>1064</v>
      </c>
      <c r="T580" s="62" t="s">
        <v>588</v>
      </c>
      <c r="U580" s="50" t="s">
        <v>1190</v>
      </c>
      <c r="W580" s="55"/>
      <c r="AG580" s="71" t="str">
        <f t="shared" si="49"/>
        <v>|</v>
      </c>
      <c r="AI580" s="50" t="s">
        <v>1095</v>
      </c>
    </row>
    <row r="581" spans="1:35" ht="15.75">
      <c r="A581" s="74">
        <f t="shared" si="64"/>
        <v>390</v>
      </c>
      <c r="B581" s="75" t="s">
        <v>1191</v>
      </c>
      <c r="C581" s="76">
        <v>340</v>
      </c>
      <c r="D581" s="75" t="s">
        <v>153</v>
      </c>
      <c r="H581" s="50" t="s">
        <v>1192</v>
      </c>
      <c r="O581" s="50" t="s">
        <v>1065</v>
      </c>
      <c r="T581" s="53"/>
      <c r="U581" s="50" t="s">
        <v>1192</v>
      </c>
      <c r="W581" s="55"/>
      <c r="AG581" s="71" t="str">
        <f t="shared" si="49"/>
        <v>|</v>
      </c>
      <c r="AI581" s="50" t="s">
        <v>1095</v>
      </c>
    </row>
    <row r="582" spans="1:35" ht="15.75">
      <c r="A582" s="74">
        <f t="shared" si="64"/>
        <v>391</v>
      </c>
      <c r="B582" s="75" t="s">
        <v>1193</v>
      </c>
      <c r="C582" s="76">
        <v>1039</v>
      </c>
      <c r="D582" s="75" t="s">
        <v>153</v>
      </c>
      <c r="F582" s="64">
        <v>10</v>
      </c>
      <c r="G582" s="62" t="s">
        <v>306</v>
      </c>
      <c r="H582" s="50" t="s">
        <v>1194</v>
      </c>
      <c r="I582" s="72">
        <f>C751</f>
        <v>366</v>
      </c>
      <c r="J582" s="50" t="s">
        <v>306</v>
      </c>
      <c r="K582" s="64">
        <f>(F582*I582)</f>
        <v>3660</v>
      </c>
      <c r="O582" s="50" t="s">
        <v>1066</v>
      </c>
      <c r="S582" s="100">
        <v>10</v>
      </c>
      <c r="T582" s="62" t="s">
        <v>306</v>
      </c>
      <c r="U582" s="50" t="s">
        <v>1194</v>
      </c>
      <c r="V582" s="72">
        <f>I604</f>
        <v>397</v>
      </c>
      <c r="W582" s="50" t="s">
        <v>306</v>
      </c>
      <c r="X582" s="64">
        <f>(S582*V582)</f>
        <v>3970</v>
      </c>
      <c r="Y582" s="64"/>
      <c r="AG582" s="71" t="str">
        <f t="shared" si="49"/>
        <v>|</v>
      </c>
      <c r="AI582" s="50" t="s">
        <v>1095</v>
      </c>
    </row>
    <row r="583" spans="1:35" ht="15.75">
      <c r="A583" s="74">
        <f t="shared" si="64"/>
        <v>392</v>
      </c>
      <c r="B583" s="75" t="s">
        <v>1195</v>
      </c>
      <c r="C583" s="76">
        <v>226</v>
      </c>
      <c r="D583" s="75" t="s">
        <v>153</v>
      </c>
      <c r="F583" s="64">
        <v>1</v>
      </c>
      <c r="G583" s="62" t="s">
        <v>345</v>
      </c>
      <c r="H583" s="50" t="s">
        <v>1196</v>
      </c>
      <c r="I583" s="64">
        <f>C10</f>
        <v>1076.5999999999999</v>
      </c>
      <c r="J583" s="50" t="s">
        <v>340</v>
      </c>
      <c r="K583" s="64">
        <f>(F583*I583)</f>
        <v>1076.5999999999999</v>
      </c>
      <c r="M583" s="64">
        <v>8</v>
      </c>
      <c r="N583" s="50" t="s">
        <v>4</v>
      </c>
      <c r="O583" s="50" t="s">
        <v>1069</v>
      </c>
      <c r="P583" s="64">
        <f>(C663)</f>
        <v>7.1</v>
      </c>
      <c r="Q583" s="50" t="s">
        <v>4</v>
      </c>
      <c r="R583" s="64">
        <f>(M583*P583)</f>
        <v>56.8</v>
      </c>
      <c r="S583" s="100">
        <v>1</v>
      </c>
      <c r="T583" s="62" t="s">
        <v>345</v>
      </c>
      <c r="U583" s="50" t="s">
        <v>1196</v>
      </c>
      <c r="V583" s="64">
        <f>I583</f>
        <v>1076.5999999999999</v>
      </c>
      <c r="W583" s="50" t="s">
        <v>340</v>
      </c>
      <c r="X583" s="64">
        <f>(S583*V583)</f>
        <v>1076.5999999999999</v>
      </c>
      <c r="Y583" s="64"/>
      <c r="AG583" s="71" t="str">
        <f t="shared" si="49"/>
        <v>|</v>
      </c>
      <c r="AI583" s="50" t="s">
        <v>1095</v>
      </c>
    </row>
    <row r="584" spans="1:35" ht="15.75">
      <c r="A584" s="74">
        <f t="shared" si="64"/>
        <v>393</v>
      </c>
      <c r="B584" s="75" t="s">
        <v>1197</v>
      </c>
      <c r="C584" s="76">
        <v>31</v>
      </c>
      <c r="D584" s="75" t="s">
        <v>953</v>
      </c>
      <c r="F584" s="64">
        <v>1</v>
      </c>
      <c r="G584" s="62" t="s">
        <v>345</v>
      </c>
      <c r="H584" s="50" t="s">
        <v>1198</v>
      </c>
      <c r="I584" s="64">
        <f>C12</f>
        <v>702.8</v>
      </c>
      <c r="J584" s="50" t="s">
        <v>340</v>
      </c>
      <c r="K584" s="64">
        <f>(F584*I584)</f>
        <v>702.8</v>
      </c>
      <c r="M584" s="64">
        <v>8</v>
      </c>
      <c r="N584" s="50" t="s">
        <v>4</v>
      </c>
      <c r="O584" s="50" t="s">
        <v>1072</v>
      </c>
      <c r="P584" s="64">
        <f>(C672)</f>
        <v>10.199999999999999</v>
      </c>
      <c r="Q584" s="50" t="s">
        <v>4</v>
      </c>
      <c r="R584" s="64">
        <f>(M584*P584)</f>
        <v>81.599999999999994</v>
      </c>
      <c r="S584" s="100">
        <v>1</v>
      </c>
      <c r="T584" s="62" t="s">
        <v>345</v>
      </c>
      <c r="U584" s="50" t="s">
        <v>1198</v>
      </c>
      <c r="V584" s="64">
        <f>I584</f>
        <v>702.8</v>
      </c>
      <c r="W584" s="50" t="s">
        <v>340</v>
      </c>
      <c r="X584" s="64">
        <f>(S584*V584)</f>
        <v>702.8</v>
      </c>
      <c r="Y584" s="64"/>
      <c r="AG584" s="71" t="str">
        <f t="shared" si="49"/>
        <v>|</v>
      </c>
      <c r="AI584" s="50" t="s">
        <v>1095</v>
      </c>
    </row>
    <row r="585" spans="1:35" ht="15.75">
      <c r="A585" s="74">
        <f t="shared" si="64"/>
        <v>394</v>
      </c>
      <c r="B585" s="75" t="s">
        <v>1199</v>
      </c>
      <c r="C585" s="73">
        <v>202</v>
      </c>
      <c r="D585" s="75" t="s">
        <v>153</v>
      </c>
      <c r="G585" s="62" t="s">
        <v>226</v>
      </c>
      <c r="H585" s="50" t="s">
        <v>1200</v>
      </c>
      <c r="J585" s="50" t="s">
        <v>226</v>
      </c>
      <c r="K585" s="64">
        <v>120</v>
      </c>
      <c r="M585" s="64">
        <v>1</v>
      </c>
      <c r="N585" s="50" t="s">
        <v>226</v>
      </c>
      <c r="O585" s="50" t="s">
        <v>1074</v>
      </c>
      <c r="P585" s="64">
        <f>(C673)</f>
        <v>4</v>
      </c>
      <c r="Q585" s="50" t="s">
        <v>226</v>
      </c>
      <c r="R585" s="64">
        <f>(M585*P585)</f>
        <v>4</v>
      </c>
      <c r="T585" s="62" t="s">
        <v>226</v>
      </c>
      <c r="U585" s="50" t="s">
        <v>1200</v>
      </c>
      <c r="V585" s="64">
        <f>I585</f>
        <v>0</v>
      </c>
      <c r="W585" s="50" t="s">
        <v>226</v>
      </c>
      <c r="X585" s="64">
        <v>120</v>
      </c>
      <c r="Y585" s="64"/>
      <c r="AG585" s="71" t="str">
        <f t="shared" si="49"/>
        <v>|</v>
      </c>
      <c r="AI585" s="50" t="s">
        <v>1095</v>
      </c>
    </row>
    <row r="586" spans="1:35" ht="15.75">
      <c r="A586" s="74">
        <f t="shared" si="64"/>
        <v>395</v>
      </c>
      <c r="B586" s="75" t="s">
        <v>1201</v>
      </c>
      <c r="C586" s="76">
        <v>82.2</v>
      </c>
      <c r="D586" s="75" t="s">
        <v>153</v>
      </c>
      <c r="H586" s="50" t="s">
        <v>1202</v>
      </c>
      <c r="K586" s="59" t="s">
        <v>21</v>
      </c>
      <c r="M586" s="64">
        <v>1</v>
      </c>
      <c r="N586" s="50" t="s">
        <v>226</v>
      </c>
      <c r="O586" s="50" t="s">
        <v>237</v>
      </c>
      <c r="Q586" s="50" t="s">
        <v>226</v>
      </c>
      <c r="R586" s="64">
        <v>0</v>
      </c>
      <c r="T586" s="53"/>
      <c r="U586" s="50" t="s">
        <v>1202</v>
      </c>
      <c r="W586" s="55"/>
      <c r="X586" s="59" t="s">
        <v>21</v>
      </c>
      <c r="Y586" s="59"/>
      <c r="AG586" s="71">
        <f t="shared" si="49"/>
        <v>0</v>
      </c>
    </row>
    <row r="587" spans="1:35" ht="15.75">
      <c r="A587" s="74">
        <f t="shared" si="64"/>
        <v>396</v>
      </c>
      <c r="B587" s="75" t="s">
        <v>1203</v>
      </c>
      <c r="C587" s="76">
        <v>57.51</v>
      </c>
      <c r="D587" s="75" t="s">
        <v>153</v>
      </c>
      <c r="H587" s="51" t="s">
        <v>1204</v>
      </c>
      <c r="K587" s="64">
        <f>SUM(K582:K585)</f>
        <v>5559.4000000000005</v>
      </c>
      <c r="R587" s="59" t="s">
        <v>21</v>
      </c>
      <c r="T587" s="53"/>
      <c r="U587" s="51" t="s">
        <v>1204</v>
      </c>
      <c r="W587" s="55"/>
      <c r="X587" s="64">
        <f>SUM(X582:X585)</f>
        <v>5869.4000000000005</v>
      </c>
      <c r="Y587" s="64"/>
      <c r="AG587" s="71" t="str">
        <f t="shared" si="49"/>
        <v>|</v>
      </c>
      <c r="AI587" s="50" t="s">
        <v>1095</v>
      </c>
    </row>
    <row r="588" spans="1:35" ht="15.75">
      <c r="A588" s="74">
        <f>(A587+1)</f>
        <v>397</v>
      </c>
      <c r="B588" s="75" t="s">
        <v>1205</v>
      </c>
      <c r="C588" s="97">
        <v>30</v>
      </c>
      <c r="D588" s="75" t="s">
        <v>153</v>
      </c>
      <c r="K588" s="59" t="s">
        <v>21</v>
      </c>
      <c r="O588" s="50" t="s">
        <v>1076</v>
      </c>
      <c r="R588" s="64">
        <f>SUM(R576:R586)</f>
        <v>2622.7819999999997</v>
      </c>
      <c r="T588" s="53"/>
      <c r="W588" s="55"/>
      <c r="X588" s="59" t="s">
        <v>21</v>
      </c>
      <c r="Y588" s="59"/>
      <c r="AG588" s="71" t="str">
        <f t="shared" si="49"/>
        <v>|</v>
      </c>
      <c r="AI588" s="50" t="s">
        <v>1095</v>
      </c>
    </row>
    <row r="589" spans="1:35" ht="15.75">
      <c r="A589" s="74">
        <f t="shared" ref="A589:A636" si="65">(A588+1)</f>
        <v>398</v>
      </c>
      <c r="B589" s="75" t="s">
        <v>1206</v>
      </c>
      <c r="C589" s="76">
        <v>57.51</v>
      </c>
      <c r="D589" s="75" t="s">
        <v>153</v>
      </c>
      <c r="H589" s="51" t="s">
        <v>1207</v>
      </c>
      <c r="K589" s="64">
        <f>K587/10</f>
        <v>555.94000000000005</v>
      </c>
      <c r="R589" s="59" t="s">
        <v>21</v>
      </c>
      <c r="T589" s="53"/>
      <c r="U589" s="51" t="s">
        <v>1207</v>
      </c>
      <c r="W589" s="55"/>
      <c r="X589" s="64">
        <f>X587/10</f>
        <v>586.94000000000005</v>
      </c>
      <c r="Y589" s="64"/>
      <c r="AG589" s="71" t="str">
        <f t="shared" si="49"/>
        <v>|</v>
      </c>
      <c r="AI589" s="50" t="s">
        <v>1095</v>
      </c>
    </row>
    <row r="590" spans="1:35" ht="15.75">
      <c r="A590" s="74">
        <f t="shared" si="65"/>
        <v>399</v>
      </c>
      <c r="B590" s="75" t="s">
        <v>1208</v>
      </c>
      <c r="C590" s="76">
        <v>20</v>
      </c>
      <c r="D590" s="75" t="s">
        <v>153</v>
      </c>
      <c r="H590" s="50" t="s">
        <v>271</v>
      </c>
      <c r="I590" s="64">
        <f t="shared" ref="I590:I599" si="66">K589</f>
        <v>555.94000000000005</v>
      </c>
      <c r="J590" s="50">
        <f>C22*0.02</f>
        <v>2.5171999999999999</v>
      </c>
      <c r="K590" s="63">
        <f>I590+J590</f>
        <v>558.45720000000006</v>
      </c>
      <c r="O590" s="50" t="s">
        <v>562</v>
      </c>
      <c r="R590" s="64">
        <f>(R588/30)</f>
        <v>87.426066666666657</v>
      </c>
      <c r="T590" s="53"/>
      <c r="U590" s="50" t="s">
        <v>271</v>
      </c>
      <c r="V590" s="64">
        <f>J612</f>
        <v>5.0343999999999998</v>
      </c>
      <c r="W590" s="50">
        <f>P22*0.02</f>
        <v>42.338000000000001</v>
      </c>
      <c r="X590" s="63">
        <f>X589+V590</f>
        <v>591.97440000000006</v>
      </c>
      <c r="Y590" s="63"/>
      <c r="AG590" s="71" t="str">
        <f t="shared" si="49"/>
        <v>|</v>
      </c>
      <c r="AI590" s="50" t="s">
        <v>1095</v>
      </c>
    </row>
    <row r="591" spans="1:35" ht="15.75">
      <c r="A591" s="74">
        <f t="shared" si="65"/>
        <v>400</v>
      </c>
      <c r="B591" s="75" t="s">
        <v>1209</v>
      </c>
      <c r="C591" s="76">
        <v>21.92</v>
      </c>
      <c r="D591" s="75" t="s">
        <v>153</v>
      </c>
      <c r="H591" s="50" t="s">
        <v>272</v>
      </c>
      <c r="I591" s="64">
        <f t="shared" si="66"/>
        <v>558.45720000000006</v>
      </c>
      <c r="J591" s="50">
        <f>C23*0.02</f>
        <v>4.9559999999999995</v>
      </c>
      <c r="K591" s="63">
        <f>I591+J591</f>
        <v>563.41320000000007</v>
      </c>
      <c r="N591" s="50" t="s">
        <v>249</v>
      </c>
      <c r="O591" s="50" t="s">
        <v>1210</v>
      </c>
      <c r="T591" s="53"/>
      <c r="U591" s="50" t="s">
        <v>272</v>
      </c>
      <c r="V591" s="64">
        <f>J613</f>
        <v>9.911999999999999</v>
      </c>
      <c r="W591" s="50">
        <f>P23*0.02</f>
        <v>32.759</v>
      </c>
      <c r="X591" s="63">
        <f>X590+V591</f>
        <v>601.88640000000009</v>
      </c>
      <c r="Y591" s="63"/>
      <c r="AG591" s="71" t="str">
        <f t="shared" si="49"/>
        <v>|</v>
      </c>
      <c r="AI591" s="50" t="s">
        <v>1095</v>
      </c>
    </row>
    <row r="592" spans="1:35" ht="15.75">
      <c r="A592" s="74">
        <f t="shared" si="65"/>
        <v>401</v>
      </c>
      <c r="B592" s="75" t="s">
        <v>1211</v>
      </c>
      <c r="C592" s="76">
        <v>128</v>
      </c>
      <c r="D592" s="75" t="s">
        <v>153</v>
      </c>
      <c r="H592" s="50" t="s">
        <v>767</v>
      </c>
      <c r="I592" s="64">
        <f t="shared" si="66"/>
        <v>563.41320000000007</v>
      </c>
      <c r="J592" s="50">
        <f>C23*0.02</f>
        <v>4.9559999999999995</v>
      </c>
      <c r="K592" s="63">
        <f>I592+J592</f>
        <v>568.36920000000009</v>
      </c>
      <c r="O592" s="50" t="s">
        <v>1212</v>
      </c>
      <c r="T592" s="53"/>
      <c r="U592" s="50" t="s">
        <v>767</v>
      </c>
      <c r="V592" s="64">
        <f>J614</f>
        <v>9.911999999999999</v>
      </c>
      <c r="W592" s="50">
        <f>P23*0.02</f>
        <v>32.759</v>
      </c>
      <c r="X592" s="63">
        <f>X591+V592</f>
        <v>611.79840000000013</v>
      </c>
      <c r="Y592" s="63"/>
      <c r="AG592" s="71" t="str">
        <f t="shared" si="49"/>
        <v>|</v>
      </c>
      <c r="AI592" s="50" t="s">
        <v>1095</v>
      </c>
    </row>
    <row r="593" spans="1:35" ht="15.75">
      <c r="A593" s="74">
        <f t="shared" si="65"/>
        <v>402</v>
      </c>
      <c r="B593" s="75" t="s">
        <v>1213</v>
      </c>
      <c r="C593" s="73">
        <v>847</v>
      </c>
      <c r="D593" s="75" t="s">
        <v>153</v>
      </c>
      <c r="H593" s="50" t="s">
        <v>769</v>
      </c>
      <c r="I593" s="64">
        <f t="shared" si="66"/>
        <v>568.36920000000009</v>
      </c>
      <c r="J593" s="50">
        <f>C23*0.02</f>
        <v>4.9559999999999995</v>
      </c>
      <c r="K593" s="63">
        <f>I593+J593</f>
        <v>573.32520000000011</v>
      </c>
      <c r="O593" s="59" t="s">
        <v>21</v>
      </c>
      <c r="T593" s="53"/>
      <c r="U593" s="50" t="s">
        <v>769</v>
      </c>
      <c r="V593" s="64">
        <f>J615</f>
        <v>9.911999999999999</v>
      </c>
      <c r="W593" s="50">
        <f>P23*0.02</f>
        <v>32.759</v>
      </c>
      <c r="X593" s="63">
        <f>X592+V593</f>
        <v>621.71040000000016</v>
      </c>
      <c r="Y593" s="63"/>
      <c r="AG593" s="71" t="str">
        <f t="shared" si="49"/>
        <v>|</v>
      </c>
      <c r="AI593" s="50" t="s">
        <v>1095</v>
      </c>
    </row>
    <row r="594" spans="1:35" ht="15.75">
      <c r="A594" s="74"/>
      <c r="B594" s="75"/>
      <c r="C594" s="76"/>
      <c r="D594" s="75"/>
      <c r="H594" s="50" t="s">
        <v>1117</v>
      </c>
      <c r="I594" s="64">
        <f t="shared" si="66"/>
        <v>573.32520000000011</v>
      </c>
      <c r="J594" s="50">
        <f>C23*0.02</f>
        <v>4.9559999999999995</v>
      </c>
      <c r="K594" s="63">
        <f t="shared" ref="K594:K599" si="67">I594+J594</f>
        <v>578.28120000000013</v>
      </c>
      <c r="O594" s="59"/>
      <c r="T594" s="53"/>
      <c r="U594" s="50" t="s">
        <v>1117</v>
      </c>
      <c r="V594" s="64">
        <f>J616</f>
        <v>9.911999999999999</v>
      </c>
      <c r="W594" s="50">
        <f>P24*0.02</f>
        <v>2.4359999999999999</v>
      </c>
      <c r="X594" s="63">
        <f>X593+V594</f>
        <v>631.6224000000002</v>
      </c>
      <c r="Y594" s="63"/>
      <c r="AG594" s="71" t="str">
        <f t="shared" si="49"/>
        <v>|::</v>
      </c>
      <c r="AI594" s="50" t="s">
        <v>892</v>
      </c>
    </row>
    <row r="595" spans="1:35" ht="15.75">
      <c r="A595" s="74">
        <f>(A593+1)</f>
        <v>403</v>
      </c>
      <c r="B595" s="75" t="s">
        <v>1214</v>
      </c>
      <c r="C595" s="76">
        <v>21</v>
      </c>
      <c r="D595" s="75" t="s">
        <v>153</v>
      </c>
      <c r="H595" s="50" t="s">
        <v>1044</v>
      </c>
      <c r="I595" s="64">
        <f t="shared" si="66"/>
        <v>578.28120000000013</v>
      </c>
      <c r="J595" s="50">
        <f>C23*0.02</f>
        <v>4.9559999999999995</v>
      </c>
      <c r="K595" s="63">
        <f t="shared" si="67"/>
        <v>583.23720000000014</v>
      </c>
      <c r="M595" s="64">
        <v>1.08</v>
      </c>
      <c r="N595" s="50" t="s">
        <v>151</v>
      </c>
      <c r="O595" s="50" t="s">
        <v>1215</v>
      </c>
      <c r="P595" s="64">
        <f>(K88)</f>
        <v>248.87333333333331</v>
      </c>
      <c r="Q595" s="50" t="s">
        <v>151</v>
      </c>
      <c r="R595" s="64">
        <f>(M595*P595)</f>
        <v>268.78319999999997</v>
      </c>
      <c r="S595" s="107">
        <v>15.2</v>
      </c>
      <c r="T595" s="62" t="s">
        <v>588</v>
      </c>
      <c r="U595" s="50" t="s">
        <v>1216</v>
      </c>
      <c r="W595" s="55"/>
      <c r="X595" s="63">
        <f>X594+V594</f>
        <v>641.53440000000023</v>
      </c>
      <c r="Y595" s="63"/>
      <c r="AG595" s="71">
        <f t="shared" si="49"/>
        <v>0</v>
      </c>
    </row>
    <row r="596" spans="1:35" ht="15.75">
      <c r="A596" s="74">
        <f t="shared" si="65"/>
        <v>404</v>
      </c>
      <c r="B596" s="75" t="s">
        <v>1217</v>
      </c>
      <c r="C596" s="76">
        <v>150</v>
      </c>
      <c r="D596" s="75" t="s">
        <v>153</v>
      </c>
      <c r="H596" s="50" t="s">
        <v>1045</v>
      </c>
      <c r="I596" s="64">
        <f t="shared" si="66"/>
        <v>583.23720000000014</v>
      </c>
      <c r="J596" s="50">
        <f>C23*0.02</f>
        <v>4.9559999999999995</v>
      </c>
      <c r="K596" s="63">
        <f t="shared" si="67"/>
        <v>588.19320000000016</v>
      </c>
      <c r="M596" s="100">
        <v>0.216</v>
      </c>
      <c r="N596" s="50" t="s">
        <v>151</v>
      </c>
      <c r="O596" s="50" t="s">
        <v>1218</v>
      </c>
      <c r="P596" s="64">
        <f>(R60)</f>
        <v>4934.8500000000004</v>
      </c>
      <c r="Q596" s="50" t="s">
        <v>151</v>
      </c>
      <c r="R596" s="64">
        <f>(M596*P596)</f>
        <v>1065.9276</v>
      </c>
      <c r="AG596" s="71">
        <f t="shared" si="49"/>
        <v>0</v>
      </c>
    </row>
    <row r="597" spans="1:35" ht="15.75">
      <c r="A597" s="74">
        <f t="shared" si="65"/>
        <v>405</v>
      </c>
      <c r="B597" s="75" t="s">
        <v>1219</v>
      </c>
      <c r="C597" s="73">
        <v>21.2</v>
      </c>
      <c r="D597" s="75" t="s">
        <v>153</v>
      </c>
      <c r="H597" s="50" t="s">
        <v>1046</v>
      </c>
      <c r="I597" s="64">
        <f t="shared" si="66"/>
        <v>588.19320000000016</v>
      </c>
      <c r="J597" s="50">
        <f>C23*0.02</f>
        <v>4.9559999999999995</v>
      </c>
      <c r="K597" s="63">
        <f t="shared" si="67"/>
        <v>593.14920000000018</v>
      </c>
      <c r="M597" s="100">
        <v>0.48699999999999999</v>
      </c>
      <c r="N597" s="50" t="s">
        <v>151</v>
      </c>
      <c r="O597" s="50" t="s">
        <v>1220</v>
      </c>
      <c r="P597" s="64">
        <f>(R89)</f>
        <v>7673.3959999999988</v>
      </c>
      <c r="Q597" s="50" t="s">
        <v>151</v>
      </c>
      <c r="R597" s="64">
        <f>(M597*P597)</f>
        <v>3736.9438519999994</v>
      </c>
      <c r="AG597" s="71" t="str">
        <f t="shared" ref="AG597:AG637" si="68">AI597</f>
        <v>|</v>
      </c>
      <c r="AI597" s="50" t="s">
        <v>1095</v>
      </c>
    </row>
    <row r="598" spans="1:35" ht="31.5">
      <c r="A598" s="74">
        <f t="shared" si="65"/>
        <v>406</v>
      </c>
      <c r="B598" s="135" t="s">
        <v>1221</v>
      </c>
      <c r="C598" s="73">
        <v>50.9</v>
      </c>
      <c r="D598" s="73">
        <v>43.8</v>
      </c>
      <c r="E598" s="52" t="s">
        <v>1222</v>
      </c>
      <c r="H598" s="50" t="s">
        <v>1223</v>
      </c>
      <c r="I598" s="64">
        <f t="shared" si="66"/>
        <v>593.14920000000018</v>
      </c>
      <c r="J598" s="50">
        <f>C23*0.02</f>
        <v>4.9559999999999995</v>
      </c>
      <c r="K598" s="63">
        <f t="shared" si="67"/>
        <v>598.1052000000002</v>
      </c>
      <c r="M598" s="100">
        <v>5.36</v>
      </c>
      <c r="N598" s="50" t="s">
        <v>152</v>
      </c>
      <c r="O598" s="50" t="s">
        <v>1224</v>
      </c>
      <c r="P598" s="64">
        <f>(R304)</f>
        <v>287.83180000000004</v>
      </c>
      <c r="Q598" s="50" t="s">
        <v>152</v>
      </c>
      <c r="R598" s="64">
        <f>(M598*P598)</f>
        <v>1542.7784480000003</v>
      </c>
      <c r="AG598" s="71" t="str">
        <f t="shared" si="68"/>
        <v>|</v>
      </c>
      <c r="AI598" s="50" t="s">
        <v>1095</v>
      </c>
    </row>
    <row r="599" spans="1:35" ht="15.75">
      <c r="A599" s="74">
        <f t="shared" si="65"/>
        <v>407</v>
      </c>
      <c r="B599" s="75" t="s">
        <v>1225</v>
      </c>
      <c r="C599" s="76">
        <v>208.5</v>
      </c>
      <c r="D599" s="75" t="s">
        <v>153</v>
      </c>
      <c r="H599" s="50">
        <v>9</v>
      </c>
      <c r="I599" s="64">
        <f t="shared" si="66"/>
        <v>598.1052000000002</v>
      </c>
      <c r="J599" s="50">
        <f>C23*0.02</f>
        <v>4.9559999999999995</v>
      </c>
      <c r="K599" s="63">
        <f t="shared" si="67"/>
        <v>603.06120000000021</v>
      </c>
      <c r="M599" s="100">
        <v>3.2000000000000001E-2</v>
      </c>
      <c r="N599" s="50" t="s">
        <v>151</v>
      </c>
      <c r="O599" s="50" t="s">
        <v>1226</v>
      </c>
      <c r="P599" s="64">
        <f>(K643)</f>
        <v>8879</v>
      </c>
      <c r="Q599" s="50" t="s">
        <v>151</v>
      </c>
      <c r="R599" s="64">
        <f>(M599*P599)</f>
        <v>284.12799999999999</v>
      </c>
      <c r="AG599" s="71" t="str">
        <f t="shared" si="68"/>
        <v>|</v>
      </c>
      <c r="AI599" s="50" t="s">
        <v>1095</v>
      </c>
    </row>
    <row r="600" spans="1:35" ht="15.75">
      <c r="A600" s="74">
        <f t="shared" si="65"/>
        <v>408</v>
      </c>
      <c r="B600" s="133" t="s">
        <v>1227</v>
      </c>
      <c r="C600" s="152">
        <v>148.4</v>
      </c>
      <c r="D600" s="75" t="s">
        <v>153</v>
      </c>
      <c r="H600" s="50"/>
      <c r="I600" s="64"/>
      <c r="J600" s="50"/>
      <c r="K600" s="63"/>
      <c r="O600" s="50" t="s">
        <v>1228</v>
      </c>
      <c r="R600" s="50" t="s">
        <v>150</v>
      </c>
      <c r="AG600" s="71" t="str">
        <f t="shared" si="68"/>
        <v>|</v>
      </c>
      <c r="AI600" s="50" t="s">
        <v>1095</v>
      </c>
    </row>
    <row r="601" spans="1:35" ht="31.5">
      <c r="A601" s="74">
        <f t="shared" si="65"/>
        <v>409</v>
      </c>
      <c r="B601" s="153" t="s">
        <v>1229</v>
      </c>
      <c r="C601" s="154">
        <v>346.14</v>
      </c>
      <c r="D601" s="75" t="s">
        <v>152</v>
      </c>
      <c r="H601" s="50"/>
      <c r="I601" s="64"/>
      <c r="J601" s="50"/>
      <c r="K601" s="63"/>
      <c r="N601" s="50" t="s">
        <v>226</v>
      </c>
      <c r="O601" s="50" t="s">
        <v>1230</v>
      </c>
      <c r="Q601" s="50" t="s">
        <v>226</v>
      </c>
      <c r="R601" s="64">
        <v>2.92</v>
      </c>
      <c r="AG601" s="71" t="str">
        <f t="shared" si="68"/>
        <v>|</v>
      </c>
      <c r="AI601" s="50" t="s">
        <v>1095</v>
      </c>
    </row>
    <row r="602" spans="1:35" ht="31.5">
      <c r="A602" s="74">
        <f t="shared" si="65"/>
        <v>410</v>
      </c>
      <c r="B602" s="135" t="s">
        <v>1231</v>
      </c>
      <c r="C602" s="73">
        <v>385</v>
      </c>
      <c r="D602" s="75" t="s">
        <v>152</v>
      </c>
      <c r="E602" s="50">
        <f>7.7/0.02</f>
        <v>385</v>
      </c>
      <c r="F602" s="101">
        <v>15.2</v>
      </c>
      <c r="G602" s="62" t="s">
        <v>588</v>
      </c>
      <c r="H602" s="50" t="s">
        <v>1216</v>
      </c>
      <c r="K602" s="155">
        <f>K594+J594</f>
        <v>583.23720000000014</v>
      </c>
      <c r="R602" s="59" t="s">
        <v>21</v>
      </c>
      <c r="AG602" s="71" t="str">
        <f t="shared" si="68"/>
        <v>|</v>
      </c>
      <c r="AI602" s="50" t="s">
        <v>1095</v>
      </c>
    </row>
    <row r="603" spans="1:35" ht="15.75">
      <c r="A603" s="74">
        <f t="shared" si="65"/>
        <v>411</v>
      </c>
      <c r="B603" s="75" t="s">
        <v>1232</v>
      </c>
      <c r="C603" s="76">
        <v>75</v>
      </c>
      <c r="D603" s="75" t="s">
        <v>153</v>
      </c>
      <c r="H603" s="50" t="s">
        <v>1192</v>
      </c>
      <c r="O603" s="50" t="s">
        <v>1233</v>
      </c>
      <c r="R603" s="64">
        <f>SUM(R595:R601)</f>
        <v>6901.4810999999991</v>
      </c>
      <c r="AG603" s="71" t="str">
        <f t="shared" si="68"/>
        <v>|</v>
      </c>
      <c r="AI603" s="50" t="s">
        <v>1095</v>
      </c>
    </row>
    <row r="604" spans="1:35" ht="15.75">
      <c r="A604" s="74">
        <f t="shared" si="65"/>
        <v>412</v>
      </c>
      <c r="B604" s="75" t="s">
        <v>1234</v>
      </c>
      <c r="C604" s="76">
        <v>125</v>
      </c>
      <c r="D604" s="75" t="s">
        <v>153</v>
      </c>
      <c r="F604" s="64">
        <v>1</v>
      </c>
      <c r="G604" s="62" t="s">
        <v>306</v>
      </c>
      <c r="H604" s="50" t="s">
        <v>1194</v>
      </c>
      <c r="I604" s="64">
        <f>D751</f>
        <v>397</v>
      </c>
      <c r="J604" s="50" t="s">
        <v>306</v>
      </c>
      <c r="K604" s="64">
        <f>(F604*I604)</f>
        <v>397</v>
      </c>
      <c r="R604" s="59" t="s">
        <v>21</v>
      </c>
      <c r="AG604" s="71" t="str">
        <f t="shared" si="68"/>
        <v>|</v>
      </c>
      <c r="AI604" s="50" t="s">
        <v>1095</v>
      </c>
    </row>
    <row r="605" spans="1:35" ht="15.75">
      <c r="A605" s="74">
        <f t="shared" si="65"/>
        <v>413</v>
      </c>
      <c r="B605" s="75" t="s">
        <v>1235</v>
      </c>
      <c r="C605" s="76">
        <v>190</v>
      </c>
      <c r="D605" s="75" t="s">
        <v>153</v>
      </c>
      <c r="F605" s="64">
        <v>0.75</v>
      </c>
      <c r="G605" s="62" t="s">
        <v>345</v>
      </c>
      <c r="H605" s="50" t="s">
        <v>1196</v>
      </c>
      <c r="I605" s="64">
        <f>C10</f>
        <v>1076.5999999999999</v>
      </c>
      <c r="J605" s="50" t="s">
        <v>340</v>
      </c>
      <c r="K605" s="64">
        <f>(F605*I605)</f>
        <v>807.44999999999993</v>
      </c>
      <c r="N605" s="50" t="s">
        <v>249</v>
      </c>
      <c r="O605" s="50" t="s">
        <v>1210</v>
      </c>
      <c r="AG605" s="71" t="str">
        <f t="shared" si="68"/>
        <v>|</v>
      </c>
      <c r="AI605" s="50" t="s">
        <v>1095</v>
      </c>
    </row>
    <row r="606" spans="1:35" ht="15.75">
      <c r="A606" s="74">
        <f t="shared" si="65"/>
        <v>414</v>
      </c>
      <c r="B606" s="75" t="s">
        <v>1236</v>
      </c>
      <c r="C606" s="76">
        <v>16</v>
      </c>
      <c r="D606" s="75" t="s">
        <v>153</v>
      </c>
      <c r="F606" s="64">
        <v>0.75</v>
      </c>
      <c r="G606" s="62" t="s">
        <v>345</v>
      </c>
      <c r="H606" s="50" t="s">
        <v>1198</v>
      </c>
      <c r="I606" s="64">
        <f>C12</f>
        <v>702.8</v>
      </c>
      <c r="J606" s="50" t="s">
        <v>340</v>
      </c>
      <c r="K606" s="64">
        <f>(F606*I606)</f>
        <v>527.09999999999991</v>
      </c>
      <c r="O606" s="50" t="s">
        <v>1237</v>
      </c>
      <c r="AG606" s="71" t="str">
        <f t="shared" si="68"/>
        <v>|</v>
      </c>
      <c r="AI606" s="50" t="s">
        <v>1095</v>
      </c>
    </row>
    <row r="607" spans="1:35" ht="15.75">
      <c r="A607" s="74">
        <f t="shared" si="65"/>
        <v>415</v>
      </c>
      <c r="B607" s="75" t="s">
        <v>1238</v>
      </c>
      <c r="C607" s="73">
        <v>11.6</v>
      </c>
      <c r="D607" s="75" t="s">
        <v>13</v>
      </c>
      <c r="F607" s="64">
        <v>0.5</v>
      </c>
      <c r="G607" s="62" t="s">
        <v>345</v>
      </c>
      <c r="H607" s="50" t="s">
        <v>1239</v>
      </c>
      <c r="I607" s="64">
        <f>C41</f>
        <v>796.59999999999991</v>
      </c>
      <c r="J607" s="50" t="s">
        <v>340</v>
      </c>
      <c r="K607" s="64">
        <f>(F607*I607)</f>
        <v>398.29999999999995</v>
      </c>
      <c r="O607" s="59" t="s">
        <v>21</v>
      </c>
      <c r="AG607" s="71" t="str">
        <f t="shared" si="68"/>
        <v>|</v>
      </c>
      <c r="AI607" s="50" t="s">
        <v>1095</v>
      </c>
    </row>
    <row r="608" spans="1:35" ht="15.75">
      <c r="A608" s="74">
        <f t="shared" si="65"/>
        <v>416</v>
      </c>
      <c r="B608" s="75" t="s">
        <v>1240</v>
      </c>
      <c r="C608" s="73">
        <v>24.5</v>
      </c>
      <c r="D608" s="75" t="s">
        <v>13</v>
      </c>
      <c r="E608" s="52">
        <f>22.2+26.8</f>
        <v>49</v>
      </c>
      <c r="G608" s="62" t="s">
        <v>226</v>
      </c>
      <c r="H608" s="50" t="s">
        <v>1200</v>
      </c>
      <c r="J608" s="50" t="s">
        <v>226</v>
      </c>
      <c r="K608" s="64">
        <v>53.5</v>
      </c>
      <c r="M608" s="64">
        <v>1.3</v>
      </c>
      <c r="N608" s="50" t="s">
        <v>151</v>
      </c>
      <c r="O608" s="50" t="s">
        <v>1215</v>
      </c>
      <c r="P608" s="64">
        <f>(K88)</f>
        <v>248.87333333333331</v>
      </c>
      <c r="Q608" s="50" t="s">
        <v>151</v>
      </c>
      <c r="R608" s="64">
        <f>(M608*P608)</f>
        <v>323.53533333333331</v>
      </c>
      <c r="AG608" s="71" t="str">
        <f t="shared" si="68"/>
        <v>|</v>
      </c>
      <c r="AI608" s="50" t="s">
        <v>1095</v>
      </c>
    </row>
    <row r="609" spans="1:35" ht="15.75">
      <c r="A609" s="74"/>
      <c r="B609" s="75" t="s">
        <v>1241</v>
      </c>
      <c r="C609" s="73">
        <v>22.2</v>
      </c>
      <c r="D609" s="75" t="s">
        <v>13</v>
      </c>
      <c r="E609" s="52">
        <f>E608/2</f>
        <v>24.5</v>
      </c>
      <c r="H609" s="50" t="s">
        <v>1202</v>
      </c>
      <c r="K609" s="59" t="s">
        <v>21</v>
      </c>
      <c r="M609" s="64"/>
      <c r="N609" s="50"/>
      <c r="O609" s="50"/>
      <c r="P609" s="64"/>
      <c r="Q609" s="50"/>
      <c r="R609" s="64"/>
      <c r="AG609" s="71" t="str">
        <f t="shared" si="68"/>
        <v>|</v>
      </c>
      <c r="AI609" s="50" t="s">
        <v>1095</v>
      </c>
    </row>
    <row r="610" spans="1:35" ht="15.75">
      <c r="A610" s="74">
        <f>(A608+1)</f>
        <v>417</v>
      </c>
      <c r="B610" s="75" t="s">
        <v>1242</v>
      </c>
      <c r="C610" s="73">
        <v>26.8</v>
      </c>
      <c r="D610" s="75" t="s">
        <v>13</v>
      </c>
      <c r="H610" s="51" t="s">
        <v>1243</v>
      </c>
      <c r="K610" s="64">
        <f>SUM(K604:K608)</f>
        <v>2183.3499999999995</v>
      </c>
      <c r="M610" s="100">
        <v>0.216</v>
      </c>
      <c r="N610" s="50" t="s">
        <v>151</v>
      </c>
      <c r="O610" s="50" t="s">
        <v>1218</v>
      </c>
      <c r="P610" s="64">
        <f>(R60)</f>
        <v>4934.8500000000004</v>
      </c>
      <c r="Q610" s="50" t="s">
        <v>151</v>
      </c>
      <c r="R610" s="64">
        <f>(M610*P610)</f>
        <v>1065.9276</v>
      </c>
      <c r="AG610" s="71">
        <f t="shared" si="68"/>
        <v>0</v>
      </c>
      <c r="AI610" s="50"/>
    </row>
    <row r="611" spans="1:35" ht="15.75">
      <c r="A611" s="74">
        <f t="shared" si="65"/>
        <v>418</v>
      </c>
      <c r="B611" s="75" t="s">
        <v>1244</v>
      </c>
      <c r="C611" s="76">
        <v>7.5</v>
      </c>
      <c r="D611" s="75" t="s">
        <v>4</v>
      </c>
      <c r="K611" s="59" t="s">
        <v>21</v>
      </c>
      <c r="M611" s="100">
        <v>0.60099999999999998</v>
      </c>
      <c r="N611" s="50" t="s">
        <v>151</v>
      </c>
      <c r="O611" s="50" t="s">
        <v>1220</v>
      </c>
      <c r="P611" s="64">
        <f>(R89)</f>
        <v>7673.3959999999988</v>
      </c>
      <c r="Q611" s="50" t="s">
        <v>151</v>
      </c>
      <c r="R611" s="64">
        <f>(M611*P611)</f>
        <v>4611.7109959999989</v>
      </c>
      <c r="AG611" s="71" t="str">
        <f t="shared" si="68"/>
        <v>|</v>
      </c>
      <c r="AI611" s="50" t="s">
        <v>1095</v>
      </c>
    </row>
    <row r="612" spans="1:35" ht="15.75">
      <c r="A612" s="74">
        <f t="shared" si="65"/>
        <v>419</v>
      </c>
      <c r="B612" s="75" t="s">
        <v>1245</v>
      </c>
      <c r="C612" s="76">
        <v>16</v>
      </c>
      <c r="D612" s="75" t="s">
        <v>4</v>
      </c>
      <c r="E612" s="52" t="s">
        <v>1246</v>
      </c>
      <c r="H612" s="50" t="s">
        <v>271</v>
      </c>
      <c r="I612" s="64">
        <f>K610</f>
        <v>2183.3499999999995</v>
      </c>
      <c r="J612" s="50">
        <f>C22*0.04</f>
        <v>5.0343999999999998</v>
      </c>
      <c r="K612" s="63">
        <f>(K610+C22*0.04)</f>
        <v>2188.3843999999995</v>
      </c>
      <c r="M612" s="100">
        <v>6.35</v>
      </c>
      <c r="N612" s="50" t="s">
        <v>152</v>
      </c>
      <c r="O612" s="50" t="s">
        <v>1224</v>
      </c>
      <c r="P612" s="64">
        <f>(R304)</f>
        <v>287.83180000000004</v>
      </c>
      <c r="Q612" s="50" t="s">
        <v>152</v>
      </c>
      <c r="R612" s="64">
        <f>(M612*P612)</f>
        <v>1827.7319300000001</v>
      </c>
      <c r="AG612" s="71" t="str">
        <f t="shared" si="68"/>
        <v>|</v>
      </c>
      <c r="AI612" s="50" t="s">
        <v>1095</v>
      </c>
    </row>
    <row r="613" spans="1:35" ht="15.75">
      <c r="A613" s="74">
        <f t="shared" si="65"/>
        <v>420</v>
      </c>
      <c r="B613" s="75" t="s">
        <v>1247</v>
      </c>
      <c r="C613" s="73">
        <v>3030</v>
      </c>
      <c r="D613" s="75" t="s">
        <v>1248</v>
      </c>
      <c r="E613" s="129">
        <v>3420</v>
      </c>
      <c r="H613" s="50" t="s">
        <v>272</v>
      </c>
      <c r="I613" s="64">
        <f>K612</f>
        <v>2188.3843999999995</v>
      </c>
      <c r="J613" s="50">
        <f>C23*0.04</f>
        <v>9.911999999999999</v>
      </c>
      <c r="K613" s="63">
        <f>(K612+C23*0.04)</f>
        <v>2198.2963999999993</v>
      </c>
      <c r="M613" s="100">
        <v>3.2000000000000001E-2</v>
      </c>
      <c r="N613" s="50" t="s">
        <v>151</v>
      </c>
      <c r="O613" s="50" t="s">
        <v>1226</v>
      </c>
      <c r="P613" s="64">
        <f>(K643)</f>
        <v>8879</v>
      </c>
      <c r="Q613" s="50" t="s">
        <v>151</v>
      </c>
      <c r="R613" s="64">
        <f>(M613*P613)</f>
        <v>284.12799999999999</v>
      </c>
      <c r="AG613" s="71" t="str">
        <f t="shared" si="68"/>
        <v>|</v>
      </c>
      <c r="AI613" s="50" t="s">
        <v>1095</v>
      </c>
    </row>
    <row r="614" spans="1:35" ht="15.75">
      <c r="A614" s="74">
        <f t="shared" si="65"/>
        <v>421</v>
      </c>
      <c r="B614" s="75" t="s">
        <v>1249</v>
      </c>
      <c r="C614" s="76">
        <v>805</v>
      </c>
      <c r="D614" s="75" t="s">
        <v>1248</v>
      </c>
      <c r="H614" s="50" t="s">
        <v>767</v>
      </c>
      <c r="I614" s="64">
        <f>K613</f>
        <v>2198.2963999999993</v>
      </c>
      <c r="J614" s="50">
        <f>C23*0.04</f>
        <v>9.911999999999999</v>
      </c>
      <c r="K614" s="63">
        <f>(K613+C24*0.04)</f>
        <v>2208.2083999999991</v>
      </c>
      <c r="O614" s="50" t="s">
        <v>1228</v>
      </c>
      <c r="R614" s="50" t="s">
        <v>150</v>
      </c>
      <c r="AG614" s="71" t="str">
        <f t="shared" si="68"/>
        <v>|</v>
      </c>
      <c r="AI614" s="50" t="s">
        <v>1095</v>
      </c>
    </row>
    <row r="615" spans="1:35" ht="15.75">
      <c r="A615" s="74">
        <f t="shared" si="65"/>
        <v>422</v>
      </c>
      <c r="B615" s="75" t="s">
        <v>1250</v>
      </c>
      <c r="C615" s="76">
        <f>204+53</f>
        <v>257</v>
      </c>
      <c r="D615" s="75" t="s">
        <v>1248</v>
      </c>
      <c r="H615" s="50" t="s">
        <v>769</v>
      </c>
      <c r="I615" s="64">
        <f>K614</f>
        <v>2208.2083999999991</v>
      </c>
      <c r="J615" s="50">
        <f>C23*0.04</f>
        <v>9.911999999999999</v>
      </c>
      <c r="K615" s="63">
        <f>(K614+C24*0.04)</f>
        <v>2218.1203999999989</v>
      </c>
      <c r="N615" s="50" t="s">
        <v>226</v>
      </c>
      <c r="O615" s="50" t="s">
        <v>1230</v>
      </c>
      <c r="Q615" s="50" t="s">
        <v>226</v>
      </c>
      <c r="R615" s="64">
        <v>2.1</v>
      </c>
      <c r="AG615" s="71" t="str">
        <f t="shared" si="68"/>
        <v>|</v>
      </c>
      <c r="AI615" s="50" t="s">
        <v>1095</v>
      </c>
    </row>
    <row r="616" spans="1:35" ht="15.75">
      <c r="A616" s="74">
        <f t="shared" si="65"/>
        <v>423</v>
      </c>
      <c r="B616" s="75" t="s">
        <v>1251</v>
      </c>
      <c r="C616" s="76">
        <v>53</v>
      </c>
      <c r="D616" s="75" t="s">
        <v>4</v>
      </c>
      <c r="H616" s="50" t="s">
        <v>1117</v>
      </c>
      <c r="I616" s="64">
        <f>K615</f>
        <v>2218.1203999999989</v>
      </c>
      <c r="J616" s="50">
        <f>C24*0.04</f>
        <v>9.911999999999999</v>
      </c>
      <c r="K616" s="63">
        <f>(K615+C24*0.04)</f>
        <v>2228.0323999999987</v>
      </c>
      <c r="R616" s="59" t="s">
        <v>21</v>
      </c>
      <c r="AG616" s="71" t="str">
        <f t="shared" si="68"/>
        <v>|</v>
      </c>
      <c r="AI616" s="50" t="s">
        <v>1095</v>
      </c>
    </row>
    <row r="617" spans="1:35" ht="15.75">
      <c r="A617" s="74">
        <f t="shared" si="65"/>
        <v>424</v>
      </c>
      <c r="B617" s="75" t="s">
        <v>1252</v>
      </c>
      <c r="C617" s="73">
        <v>1640</v>
      </c>
      <c r="D617" s="75" t="s">
        <v>4</v>
      </c>
      <c r="F617" s="156">
        <v>15.1</v>
      </c>
      <c r="G617" s="62" t="s">
        <v>1253</v>
      </c>
      <c r="H617" s="50" t="s">
        <v>1254</v>
      </c>
      <c r="O617" s="50" t="s">
        <v>1233</v>
      </c>
      <c r="R617" s="64">
        <f>SUM(R608:R615)</f>
        <v>8115.1338593333321</v>
      </c>
      <c r="AG617" s="71" t="str">
        <f t="shared" si="68"/>
        <v>|</v>
      </c>
      <c r="AI617" s="50" t="s">
        <v>1095</v>
      </c>
    </row>
    <row r="618" spans="1:35" ht="15.75">
      <c r="A618" s="74">
        <f t="shared" si="65"/>
        <v>425</v>
      </c>
      <c r="B618" s="75" t="s">
        <v>1255</v>
      </c>
      <c r="C618" s="76">
        <v>196</v>
      </c>
      <c r="D618" s="75" t="s">
        <v>4</v>
      </c>
      <c r="H618" s="50" t="s">
        <v>1192</v>
      </c>
      <c r="R618" s="59" t="s">
        <v>21</v>
      </c>
      <c r="AG618" s="71" t="str">
        <f t="shared" si="68"/>
        <v>|</v>
      </c>
      <c r="AI618" s="50" t="s">
        <v>1095</v>
      </c>
    </row>
    <row r="619" spans="1:35" ht="15.75">
      <c r="A619" s="74">
        <f t="shared" si="65"/>
        <v>426</v>
      </c>
      <c r="B619" s="75" t="s">
        <v>1256</v>
      </c>
      <c r="C619" s="73">
        <v>922</v>
      </c>
      <c r="D619" s="75" t="s">
        <v>4</v>
      </c>
      <c r="F619" s="64">
        <v>10</v>
      </c>
      <c r="G619" s="62" t="s">
        <v>306</v>
      </c>
      <c r="H619" s="50" t="s">
        <v>1257</v>
      </c>
      <c r="I619" s="72">
        <f>C751</f>
        <v>366</v>
      </c>
      <c r="J619" s="50" t="s">
        <v>306</v>
      </c>
      <c r="K619" s="64">
        <f>(F619*I619)</f>
        <v>3660</v>
      </c>
      <c r="N619" s="50" t="s">
        <v>249</v>
      </c>
      <c r="O619" s="50" t="s">
        <v>1258</v>
      </c>
      <c r="AG619" s="71" t="str">
        <f t="shared" si="68"/>
        <v>|</v>
      </c>
      <c r="AI619" s="50" t="s">
        <v>1095</v>
      </c>
    </row>
    <row r="620" spans="1:35" ht="15.75">
      <c r="A620" s="74">
        <f t="shared" si="65"/>
        <v>427</v>
      </c>
      <c r="B620" s="75" t="s">
        <v>1259</v>
      </c>
      <c r="C620" s="97">
        <v>193.05</v>
      </c>
      <c r="D620" s="133">
        <v>120.54</v>
      </c>
      <c r="F620" s="64">
        <v>0.12</v>
      </c>
      <c r="G620" s="62" t="s">
        <v>151</v>
      </c>
      <c r="H620" s="50" t="s">
        <v>1260</v>
      </c>
      <c r="I620" s="64">
        <f>K32</f>
        <v>5022.7</v>
      </c>
      <c r="J620" s="50" t="s">
        <v>151</v>
      </c>
      <c r="K620" s="64">
        <f>(F620*I620)</f>
        <v>602.72399999999993</v>
      </c>
      <c r="O620" s="50" t="s">
        <v>1261</v>
      </c>
      <c r="AG620" s="71" t="str">
        <f t="shared" si="68"/>
        <v>|</v>
      </c>
      <c r="AI620" s="50" t="s">
        <v>1095</v>
      </c>
    </row>
    <row r="621" spans="1:35" ht="15.75">
      <c r="A621" s="74">
        <f t="shared" si="65"/>
        <v>428</v>
      </c>
      <c r="B621" s="75" t="s">
        <v>1262</v>
      </c>
      <c r="C621" s="157">
        <v>115.85</v>
      </c>
      <c r="D621" s="158" t="s">
        <v>552</v>
      </c>
      <c r="E621" s="159"/>
      <c r="F621" s="64">
        <v>1</v>
      </c>
      <c r="G621" s="62" t="s">
        <v>345</v>
      </c>
      <c r="H621" s="50" t="s">
        <v>1196</v>
      </c>
      <c r="I621" s="64">
        <f>C10</f>
        <v>1076.5999999999999</v>
      </c>
      <c r="J621" s="50" t="s">
        <v>340</v>
      </c>
      <c r="K621" s="64">
        <f>(F621*I621)</f>
        <v>1076.5999999999999</v>
      </c>
      <c r="O621" s="59" t="s">
        <v>21</v>
      </c>
      <c r="AG621" s="71" t="str">
        <f t="shared" si="68"/>
        <v>|</v>
      </c>
      <c r="AI621" s="50" t="s">
        <v>1095</v>
      </c>
    </row>
    <row r="622" spans="1:35" ht="15.75">
      <c r="A622" s="74">
        <f t="shared" si="65"/>
        <v>429</v>
      </c>
      <c r="B622" s="75" t="s">
        <v>1263</v>
      </c>
      <c r="C622" s="160"/>
      <c r="D622" s="158" t="s">
        <v>552</v>
      </c>
      <c r="E622" s="159"/>
      <c r="F622" s="64">
        <v>1</v>
      </c>
      <c r="G622" s="62" t="s">
        <v>345</v>
      </c>
      <c r="H622" s="50" t="s">
        <v>1198</v>
      </c>
      <c r="I622" s="64">
        <f>C12</f>
        <v>702.8</v>
      </c>
      <c r="J622" s="50" t="s">
        <v>340</v>
      </c>
      <c r="K622" s="64">
        <f>(F622*I622)</f>
        <v>702.8</v>
      </c>
      <c r="M622" s="64">
        <v>10.37</v>
      </c>
      <c r="N622" s="50" t="s">
        <v>151</v>
      </c>
      <c r="O622" s="50" t="s">
        <v>1264</v>
      </c>
      <c r="P622" s="64">
        <f>(C61*2)</f>
        <v>235.2</v>
      </c>
      <c r="Q622" s="50" t="s">
        <v>151</v>
      </c>
      <c r="R622" s="64">
        <f t="shared" ref="R622:R630" si="69">(M622*P622)</f>
        <v>2439.0239999999999</v>
      </c>
      <c r="AG622" s="71" t="str">
        <f t="shared" si="68"/>
        <v>|</v>
      </c>
      <c r="AI622" s="50" t="s">
        <v>1095</v>
      </c>
    </row>
    <row r="623" spans="1:35" ht="15.75">
      <c r="A623" s="74">
        <f t="shared" si="65"/>
        <v>430</v>
      </c>
      <c r="B623" s="75" t="s">
        <v>1265</v>
      </c>
      <c r="C623" s="157">
        <v>76</v>
      </c>
      <c r="D623" s="158" t="s">
        <v>153</v>
      </c>
      <c r="E623" s="159"/>
      <c r="G623" s="62" t="s">
        <v>226</v>
      </c>
      <c r="H623" s="50" t="s">
        <v>1200</v>
      </c>
      <c r="J623" s="50" t="s">
        <v>226</v>
      </c>
      <c r="K623" s="64">
        <v>0.33</v>
      </c>
      <c r="M623" s="64">
        <v>0.65</v>
      </c>
      <c r="N623" s="50" t="s">
        <v>151</v>
      </c>
      <c r="O623" s="50" t="s">
        <v>1266</v>
      </c>
      <c r="P623" s="64">
        <f>R60</f>
        <v>4934.8500000000004</v>
      </c>
      <c r="Q623" s="50" t="s">
        <v>151</v>
      </c>
      <c r="R623" s="64">
        <f t="shared" si="69"/>
        <v>3207.6525000000001</v>
      </c>
      <c r="AG623" s="71" t="str">
        <f t="shared" si="68"/>
        <v>|</v>
      </c>
      <c r="AI623" s="50" t="s">
        <v>1095</v>
      </c>
    </row>
    <row r="624" spans="1:35" ht="15.75">
      <c r="A624" s="74">
        <f t="shared" si="65"/>
        <v>431</v>
      </c>
      <c r="B624" s="75" t="s">
        <v>1267</v>
      </c>
      <c r="C624" s="157">
        <v>45</v>
      </c>
      <c r="D624" s="158" t="s">
        <v>153</v>
      </c>
      <c r="E624" s="159"/>
      <c r="H624" s="50" t="s">
        <v>1202</v>
      </c>
      <c r="K624" s="59" t="s">
        <v>21</v>
      </c>
      <c r="M624" s="64">
        <v>1.1399999999999999</v>
      </c>
      <c r="N624" s="50" t="s">
        <v>151</v>
      </c>
      <c r="O624" s="50" t="s">
        <v>1268</v>
      </c>
      <c r="P624" s="64">
        <f>K321</f>
        <v>7153.2041999999983</v>
      </c>
      <c r="Q624" s="50" t="s">
        <v>151</v>
      </c>
      <c r="R624" s="64">
        <f t="shared" si="69"/>
        <v>8154.6527879999976</v>
      </c>
      <c r="AG624" s="71" t="str">
        <f t="shared" si="68"/>
        <v>|</v>
      </c>
      <c r="AI624" s="50" t="s">
        <v>1095</v>
      </c>
    </row>
    <row r="625" spans="1:35" ht="15.75">
      <c r="A625" s="74">
        <f t="shared" si="65"/>
        <v>432</v>
      </c>
      <c r="B625" s="75" t="s">
        <v>1269</v>
      </c>
      <c r="C625" s="161">
        <v>33</v>
      </c>
      <c r="D625" s="75" t="s">
        <v>153</v>
      </c>
      <c r="H625" s="51" t="s">
        <v>1270</v>
      </c>
      <c r="K625" s="64">
        <f>SUM(K619:K623)</f>
        <v>6042.4540000000006</v>
      </c>
      <c r="M625" s="64">
        <v>0.85</v>
      </c>
      <c r="N625" s="50" t="s">
        <v>151</v>
      </c>
      <c r="O625" s="50" t="s">
        <v>1271</v>
      </c>
      <c r="P625" s="64">
        <f>K321-K312/10</f>
        <v>6175.9291999999987</v>
      </c>
      <c r="Q625" s="50" t="s">
        <v>151</v>
      </c>
      <c r="R625" s="64">
        <f t="shared" si="69"/>
        <v>5249.5398199999991</v>
      </c>
      <c r="AG625" s="71">
        <f t="shared" si="68"/>
        <v>0</v>
      </c>
      <c r="AI625" s="50"/>
    </row>
    <row r="626" spans="1:35" ht="15.75">
      <c r="A626" s="74">
        <f t="shared" si="65"/>
        <v>433</v>
      </c>
      <c r="B626" s="75" t="s">
        <v>1272</v>
      </c>
      <c r="C626" s="73">
        <v>71</v>
      </c>
      <c r="D626" s="75" t="s">
        <v>153</v>
      </c>
      <c r="K626" s="59" t="s">
        <v>21</v>
      </c>
      <c r="M626" s="64">
        <v>0.98</v>
      </c>
      <c r="N626" s="50" t="s">
        <v>151</v>
      </c>
      <c r="O626" s="50" t="s">
        <v>1273</v>
      </c>
      <c r="P626" s="64">
        <f>(C73)</f>
        <v>2288.7799999999997</v>
      </c>
      <c r="Q626" s="50" t="s">
        <v>151</v>
      </c>
      <c r="R626" s="64">
        <f t="shared" si="69"/>
        <v>2243.0043999999998</v>
      </c>
      <c r="AG626" s="71" t="str">
        <f t="shared" si="68"/>
        <v>|</v>
      </c>
      <c r="AI626" s="50" t="s">
        <v>1095</v>
      </c>
    </row>
    <row r="627" spans="1:35" ht="15.75">
      <c r="A627" s="74">
        <f t="shared" si="65"/>
        <v>434</v>
      </c>
      <c r="B627" s="75" t="s">
        <v>1274</v>
      </c>
      <c r="C627" s="76">
        <v>36.520000000000003</v>
      </c>
      <c r="D627" s="75" t="s">
        <v>153</v>
      </c>
      <c r="H627" s="51" t="s">
        <v>1275</v>
      </c>
      <c r="K627" s="64">
        <f>K625/10</f>
        <v>604.24540000000002</v>
      </c>
      <c r="M627" s="64">
        <v>2.68</v>
      </c>
      <c r="N627" s="50" t="s">
        <v>151</v>
      </c>
      <c r="O627" s="50" t="s">
        <v>605</v>
      </c>
      <c r="P627" s="64">
        <f>(C79)</f>
        <v>2116.9</v>
      </c>
      <c r="Q627" s="50" t="s">
        <v>151</v>
      </c>
      <c r="R627" s="64">
        <f t="shared" si="69"/>
        <v>5673.2920000000004</v>
      </c>
      <c r="AG627" s="71" t="str">
        <f t="shared" si="68"/>
        <v>|</v>
      </c>
      <c r="AI627" s="50" t="s">
        <v>1095</v>
      </c>
    </row>
    <row r="628" spans="1:35" ht="15.75">
      <c r="A628" s="74">
        <f t="shared" si="65"/>
        <v>435</v>
      </c>
      <c r="B628" s="75" t="s">
        <v>1276</v>
      </c>
      <c r="C628" s="90"/>
      <c r="D628" s="75" t="s">
        <v>153</v>
      </c>
      <c r="H628" s="50" t="s">
        <v>271</v>
      </c>
      <c r="I628" s="52">
        <f>K627</f>
        <v>604.24540000000002</v>
      </c>
      <c r="J628" s="55">
        <f>C22*0.02</f>
        <v>2.5171999999999999</v>
      </c>
      <c r="K628" s="63">
        <f>I628+J628</f>
        <v>606.76260000000002</v>
      </c>
      <c r="M628" s="64">
        <v>7.24</v>
      </c>
      <c r="N628" s="50" t="s">
        <v>152</v>
      </c>
      <c r="O628" s="50" t="s">
        <v>1277</v>
      </c>
      <c r="P628" s="64">
        <f>(K1400)</f>
        <v>272.2414</v>
      </c>
      <c r="Q628" s="50" t="s">
        <v>152</v>
      </c>
      <c r="R628" s="64">
        <f t="shared" si="69"/>
        <v>1971.027736</v>
      </c>
      <c r="AG628" s="71" t="str">
        <f t="shared" si="68"/>
        <v>|</v>
      </c>
      <c r="AI628" s="50" t="s">
        <v>1095</v>
      </c>
    </row>
    <row r="629" spans="1:35" ht="15.75">
      <c r="A629" s="74">
        <f t="shared" si="65"/>
        <v>436</v>
      </c>
      <c r="B629" s="75" t="s">
        <v>1278</v>
      </c>
      <c r="C629" s="73">
        <v>88.6</v>
      </c>
      <c r="D629" s="76">
        <v>93.72</v>
      </c>
      <c r="H629" s="50" t="s">
        <v>272</v>
      </c>
      <c r="I629" s="52">
        <f>K628</f>
        <v>606.76260000000002</v>
      </c>
      <c r="J629" s="55">
        <f>C23*0.02</f>
        <v>4.9559999999999995</v>
      </c>
      <c r="K629" s="63">
        <f>I629+J629</f>
        <v>611.71860000000004</v>
      </c>
      <c r="M629" s="64">
        <v>1</v>
      </c>
      <c r="N629" s="50" t="s">
        <v>153</v>
      </c>
      <c r="O629" s="50" t="s">
        <v>1279</v>
      </c>
      <c r="P629" s="64">
        <f>(C203)</f>
        <v>125.6</v>
      </c>
      <c r="Q629" s="50" t="s">
        <v>153</v>
      </c>
      <c r="R629" s="64">
        <f t="shared" si="69"/>
        <v>125.6</v>
      </c>
      <c r="AG629" s="71" t="str">
        <f t="shared" si="68"/>
        <v>|</v>
      </c>
      <c r="AI629" s="50" t="s">
        <v>1095</v>
      </c>
    </row>
    <row r="630" spans="1:35" ht="15.75">
      <c r="A630" s="74">
        <f t="shared" si="65"/>
        <v>437</v>
      </c>
      <c r="B630" s="75" t="s">
        <v>1280</v>
      </c>
      <c r="C630" s="73">
        <v>59.2</v>
      </c>
      <c r="D630" s="75" t="s">
        <v>153</v>
      </c>
      <c r="H630" s="50" t="s">
        <v>767</v>
      </c>
      <c r="I630" s="52">
        <f>K629</f>
        <v>611.71860000000004</v>
      </c>
      <c r="J630" s="55">
        <f>J629</f>
        <v>4.9559999999999995</v>
      </c>
      <c r="K630" s="63">
        <f>I630+J630</f>
        <v>616.67460000000005</v>
      </c>
      <c r="M630" s="100">
        <v>0.13600000000000001</v>
      </c>
      <c r="N630" s="50" t="s">
        <v>151</v>
      </c>
      <c r="O630" s="50" t="s">
        <v>1281</v>
      </c>
      <c r="P630" s="64">
        <f>(K643)</f>
        <v>8879</v>
      </c>
      <c r="Q630" s="50" t="s">
        <v>151</v>
      </c>
      <c r="R630" s="64">
        <f t="shared" si="69"/>
        <v>1207.5440000000001</v>
      </c>
      <c r="AG630" s="71" t="str">
        <f t="shared" si="68"/>
        <v>|</v>
      </c>
      <c r="AI630" s="50" t="s">
        <v>1095</v>
      </c>
    </row>
    <row r="631" spans="1:35" ht="15.75">
      <c r="A631" s="74">
        <f t="shared" si="65"/>
        <v>438</v>
      </c>
      <c r="B631" s="75" t="s">
        <v>1282</v>
      </c>
      <c r="C631" s="161">
        <v>30.25</v>
      </c>
      <c r="D631" s="75" t="s">
        <v>153</v>
      </c>
      <c r="H631" s="50" t="s">
        <v>769</v>
      </c>
      <c r="I631" s="52">
        <f>K630</f>
        <v>616.67460000000005</v>
      </c>
      <c r="J631" s="55">
        <f>J630</f>
        <v>4.9559999999999995</v>
      </c>
      <c r="K631" s="63">
        <f>I631+J631</f>
        <v>621.63060000000007</v>
      </c>
      <c r="O631" s="50" t="s">
        <v>1283</v>
      </c>
      <c r="AG631" s="71" t="str">
        <f t="shared" si="68"/>
        <v>|</v>
      </c>
      <c r="AI631" s="50" t="s">
        <v>1095</v>
      </c>
    </row>
    <row r="632" spans="1:35" ht="15.75">
      <c r="A632" s="74">
        <f t="shared" si="65"/>
        <v>439</v>
      </c>
      <c r="B632" s="75" t="s">
        <v>1284</v>
      </c>
      <c r="C632" s="73">
        <v>142.19999999999999</v>
      </c>
      <c r="D632" s="75" t="s">
        <v>153</v>
      </c>
      <c r="H632" s="50" t="s">
        <v>1117</v>
      </c>
      <c r="I632" s="52">
        <f>K631</f>
        <v>621.63060000000007</v>
      </c>
      <c r="J632" s="55">
        <f>J631</f>
        <v>4.9559999999999995</v>
      </c>
      <c r="K632" s="63">
        <f>I632+J632</f>
        <v>626.58660000000009</v>
      </c>
      <c r="N632" s="50" t="s">
        <v>226</v>
      </c>
      <c r="O632" s="50" t="s">
        <v>1230</v>
      </c>
      <c r="Q632" s="50" t="s">
        <v>226</v>
      </c>
      <c r="R632" s="64">
        <v>2.2400000000000002</v>
      </c>
      <c r="AG632" s="71" t="str">
        <f t="shared" si="68"/>
        <v>|</v>
      </c>
      <c r="AI632" s="50" t="s">
        <v>1095</v>
      </c>
    </row>
    <row r="633" spans="1:35" ht="15.75">
      <c r="A633" s="74">
        <f t="shared" si="65"/>
        <v>440</v>
      </c>
      <c r="B633" s="75" t="s">
        <v>1285</v>
      </c>
      <c r="C633" s="73">
        <v>88.6</v>
      </c>
      <c r="D633" s="75" t="s">
        <v>153</v>
      </c>
      <c r="F633" s="51" t="s">
        <v>1085</v>
      </c>
      <c r="G633" s="62" t="s">
        <v>249</v>
      </c>
      <c r="H633" s="50" t="s">
        <v>1086</v>
      </c>
      <c r="R633" s="59" t="s">
        <v>21</v>
      </c>
      <c r="AG633" s="71" t="str">
        <f t="shared" si="68"/>
        <v>|</v>
      </c>
      <c r="AI633" s="50" t="s">
        <v>1095</v>
      </c>
    </row>
    <row r="634" spans="1:35" ht="15.75">
      <c r="A634" s="74">
        <f t="shared" si="65"/>
        <v>441</v>
      </c>
      <c r="B634" s="75" t="s">
        <v>1286</v>
      </c>
      <c r="C634" s="90"/>
      <c r="D634" s="75" t="s">
        <v>153</v>
      </c>
      <c r="H634" s="50" t="s">
        <v>1088</v>
      </c>
      <c r="O634" s="50" t="s">
        <v>1233</v>
      </c>
      <c r="R634" s="64">
        <f>SUM(R622:R632)</f>
        <v>30273.577244</v>
      </c>
      <c r="AG634" s="71" t="str">
        <f t="shared" si="68"/>
        <v>|</v>
      </c>
      <c r="AI634" s="50" t="s">
        <v>1095</v>
      </c>
    </row>
    <row r="635" spans="1:35" ht="15.75">
      <c r="A635" s="74">
        <f t="shared" si="65"/>
        <v>442</v>
      </c>
      <c r="B635" s="75" t="s">
        <v>1287</v>
      </c>
      <c r="C635" s="73">
        <v>166</v>
      </c>
      <c r="D635" s="75" t="s">
        <v>153</v>
      </c>
      <c r="H635" s="50" t="s">
        <v>1288</v>
      </c>
      <c r="R635" s="59" t="s">
        <v>21</v>
      </c>
      <c r="AG635" s="71" t="str">
        <f t="shared" si="68"/>
        <v>|</v>
      </c>
      <c r="AI635" s="50" t="s">
        <v>1095</v>
      </c>
    </row>
    <row r="636" spans="1:35" ht="15.75">
      <c r="A636" s="74">
        <f t="shared" si="65"/>
        <v>443</v>
      </c>
      <c r="B636" s="75" t="s">
        <v>1289</v>
      </c>
      <c r="C636" s="73">
        <v>106.6</v>
      </c>
      <c r="D636" s="75" t="s">
        <v>153</v>
      </c>
      <c r="H636" s="59" t="s">
        <v>21</v>
      </c>
      <c r="N636" s="50" t="s">
        <v>249</v>
      </c>
      <c r="O636" s="50" t="s">
        <v>1290</v>
      </c>
      <c r="AG636" s="71" t="str">
        <f t="shared" si="68"/>
        <v>|</v>
      </c>
      <c r="AI636" s="50" t="s">
        <v>1095</v>
      </c>
    </row>
    <row r="637" spans="1:35" ht="15.75">
      <c r="A637" s="90"/>
      <c r="B637" s="90"/>
      <c r="C637" s="90"/>
      <c r="D637" s="90"/>
      <c r="F637" s="64">
        <v>0.01</v>
      </c>
      <c r="G637" s="62" t="s">
        <v>151</v>
      </c>
      <c r="H637" s="50" t="s">
        <v>1291</v>
      </c>
      <c r="I637" s="64">
        <f>(K280)</f>
        <v>8764.3469999999979</v>
      </c>
      <c r="J637" s="50" t="s">
        <v>151</v>
      </c>
      <c r="K637" s="64">
        <f>(F637*I637)</f>
        <v>87.643469999999979</v>
      </c>
      <c r="AG637" s="71" t="str">
        <f t="shared" si="68"/>
        <v>|</v>
      </c>
      <c r="AI637" s="50" t="s">
        <v>1095</v>
      </c>
    </row>
    <row r="638" spans="1:35" ht="15.75">
      <c r="A638" s="74">
        <f>(A636+1)</f>
        <v>444</v>
      </c>
      <c r="B638" s="75" t="s">
        <v>1292</v>
      </c>
      <c r="C638" s="90"/>
      <c r="D638" s="75" t="s">
        <v>153</v>
      </c>
      <c r="F638" s="64">
        <v>0.01</v>
      </c>
      <c r="G638" s="62" t="s">
        <v>151</v>
      </c>
      <c r="H638" s="50" t="s">
        <v>1097</v>
      </c>
      <c r="J638" s="50" t="s">
        <v>226</v>
      </c>
      <c r="K638" s="64">
        <v>1.1499999999999999</v>
      </c>
      <c r="O638" s="50" t="s">
        <v>1293</v>
      </c>
      <c r="S638" s="51" t="s">
        <v>1294</v>
      </c>
      <c r="T638" s="62" t="s">
        <v>249</v>
      </c>
      <c r="U638" s="54" t="s">
        <v>1158</v>
      </c>
      <c r="W638" s="55"/>
      <c r="AC638" s="51" t="s">
        <v>1294</v>
      </c>
      <c r="AD638" s="62" t="s">
        <v>249</v>
      </c>
      <c r="AE638" s="54" t="s">
        <v>1159</v>
      </c>
      <c r="AG638" s="55"/>
    </row>
    <row r="639" spans="1:35" ht="15.75">
      <c r="A639" s="74">
        <f t="shared" ref="A639:A702" si="70">(A638+1)</f>
        <v>445</v>
      </c>
      <c r="B639" s="75" t="s">
        <v>1295</v>
      </c>
      <c r="C639" s="73">
        <v>254</v>
      </c>
      <c r="D639" s="75" t="s">
        <v>153</v>
      </c>
      <c r="H639" s="50" t="s">
        <v>1101</v>
      </c>
      <c r="O639" s="59" t="s">
        <v>21</v>
      </c>
      <c r="S639" s="52"/>
      <c r="T639" s="53"/>
      <c r="U639" s="50" t="s">
        <v>1296</v>
      </c>
      <c r="W639" s="55"/>
      <c r="AD639" s="53"/>
      <c r="AE639" s="50" t="s">
        <v>1296</v>
      </c>
      <c r="AG639" s="55"/>
    </row>
    <row r="640" spans="1:35" ht="15.75">
      <c r="A640" s="74">
        <f t="shared" si="70"/>
        <v>446</v>
      </c>
      <c r="B640" s="75" t="s">
        <v>1297</v>
      </c>
      <c r="C640" s="73">
        <v>177</v>
      </c>
      <c r="D640" s="75" t="s">
        <v>153</v>
      </c>
      <c r="K640" s="59" t="s">
        <v>21</v>
      </c>
      <c r="M640" s="64">
        <v>3</v>
      </c>
      <c r="N640" s="50" t="s">
        <v>151</v>
      </c>
      <c r="O640" s="50" t="s">
        <v>1298</v>
      </c>
      <c r="P640" s="64">
        <f>(C61*2)</f>
        <v>235.2</v>
      </c>
      <c r="Q640" s="50" t="s">
        <v>151</v>
      </c>
      <c r="R640" s="64">
        <f>(M640*P640)</f>
        <v>705.59999999999991</v>
      </c>
      <c r="S640" s="52"/>
      <c r="T640" s="53"/>
      <c r="U640" s="50" t="s">
        <v>1299</v>
      </c>
      <c r="W640" s="55"/>
      <c r="AD640" s="53"/>
      <c r="AE640" s="50" t="s">
        <v>1299</v>
      </c>
      <c r="AG640" s="55"/>
    </row>
    <row r="641" spans="1:34" ht="15.75">
      <c r="A641" s="74">
        <f t="shared" si="70"/>
        <v>447</v>
      </c>
      <c r="B641" s="75" t="s">
        <v>1300</v>
      </c>
      <c r="C641" s="90"/>
      <c r="D641" s="75" t="s">
        <v>153</v>
      </c>
      <c r="H641" s="50" t="s">
        <v>1102</v>
      </c>
      <c r="K641" s="64">
        <f>SUM(K637:K639)</f>
        <v>88.793469999999985</v>
      </c>
      <c r="M641" s="64">
        <v>2.4</v>
      </c>
      <c r="N641" s="50" t="s">
        <v>151</v>
      </c>
      <c r="O641" s="50" t="s">
        <v>1301</v>
      </c>
      <c r="P641" s="64">
        <f>(C81)</f>
        <v>1354.9499999999998</v>
      </c>
      <c r="Q641" s="50" t="s">
        <v>151</v>
      </c>
      <c r="R641" s="64">
        <f>(M641*P641)</f>
        <v>3251.8799999999997</v>
      </c>
      <c r="S641" s="52"/>
      <c r="T641" s="53"/>
      <c r="U641" s="59" t="s">
        <v>21</v>
      </c>
      <c r="W641" s="55"/>
      <c r="AD641" s="53"/>
      <c r="AE641" s="59" t="s">
        <v>21</v>
      </c>
      <c r="AG641" s="55"/>
    </row>
    <row r="642" spans="1:34" ht="15.75">
      <c r="A642" s="74">
        <f t="shared" si="70"/>
        <v>448</v>
      </c>
      <c r="B642" s="75" t="s">
        <v>1302</v>
      </c>
      <c r="C642" s="73">
        <v>136</v>
      </c>
      <c r="D642" s="75" t="s">
        <v>153</v>
      </c>
      <c r="K642" s="59" t="s">
        <v>21</v>
      </c>
      <c r="M642" s="64">
        <v>5</v>
      </c>
      <c r="N642" s="50" t="s">
        <v>153</v>
      </c>
      <c r="O642" s="50" t="s">
        <v>1303</v>
      </c>
      <c r="P642" s="64">
        <f>(C204)</f>
        <v>62.2</v>
      </c>
      <c r="Q642" s="50" t="s">
        <v>153</v>
      </c>
      <c r="R642" s="64">
        <f>(M642*P642)</f>
        <v>311</v>
      </c>
      <c r="S642" s="100">
        <v>8.3000000000000007</v>
      </c>
      <c r="T642" s="62" t="s">
        <v>151</v>
      </c>
      <c r="U642" s="50" t="s">
        <v>1304</v>
      </c>
      <c r="V642" s="64">
        <f>AE11</f>
        <v>1617.4499999999998</v>
      </c>
      <c r="W642" s="50" t="s">
        <v>151</v>
      </c>
      <c r="X642" s="64">
        <f t="shared" ref="X642:X648" si="71">S642*V642</f>
        <v>13424.834999999999</v>
      </c>
      <c r="Y642" s="64"/>
      <c r="AC642" s="100">
        <v>8.3000000000000007</v>
      </c>
      <c r="AD642" s="62" t="s">
        <v>151</v>
      </c>
      <c r="AE642" s="50" t="s">
        <v>1304</v>
      </c>
      <c r="AF642" s="64">
        <f>V642</f>
        <v>1617.4499999999998</v>
      </c>
      <c r="AG642" s="50" t="s">
        <v>151</v>
      </c>
      <c r="AH642" s="64">
        <f t="shared" ref="AH642:AH648" si="72">AC642*AF642</f>
        <v>13424.834999999999</v>
      </c>
    </row>
    <row r="643" spans="1:34" ht="15.75">
      <c r="A643" s="74">
        <f t="shared" si="70"/>
        <v>449</v>
      </c>
      <c r="B643" s="75" t="s">
        <v>1305</v>
      </c>
      <c r="C643" s="73">
        <v>82.8</v>
      </c>
      <c r="D643" s="75" t="s">
        <v>153</v>
      </c>
      <c r="H643" s="50" t="s">
        <v>270</v>
      </c>
      <c r="K643" s="64">
        <f>ROUND(K641*100,0)</f>
        <v>8879</v>
      </c>
      <c r="O643" s="50" t="s">
        <v>237</v>
      </c>
      <c r="Q643" s="50" t="s">
        <v>226</v>
      </c>
      <c r="R643" s="64">
        <v>0.08</v>
      </c>
      <c r="S643" s="100">
        <v>3.25</v>
      </c>
      <c r="T643" s="62" t="s">
        <v>251</v>
      </c>
      <c r="U643" s="50" t="s">
        <v>252</v>
      </c>
      <c r="V643" s="64">
        <f>I808</f>
        <v>5800</v>
      </c>
      <c r="W643" s="50" t="s">
        <v>251</v>
      </c>
      <c r="X643" s="64">
        <f t="shared" si="71"/>
        <v>18850</v>
      </c>
      <c r="Y643" s="64"/>
      <c r="AC643" s="100">
        <v>4</v>
      </c>
      <c r="AD643" s="62" t="s">
        <v>251</v>
      </c>
      <c r="AE643" s="50" t="s">
        <v>252</v>
      </c>
      <c r="AF643" s="64">
        <f t="shared" ref="AF643:AF648" si="73">V643</f>
        <v>5800</v>
      </c>
      <c r="AG643" s="50" t="s">
        <v>251</v>
      </c>
      <c r="AH643" s="64">
        <f t="shared" si="72"/>
        <v>23200</v>
      </c>
    </row>
    <row r="644" spans="1:34" ht="15.75">
      <c r="A644" s="74">
        <f t="shared" si="70"/>
        <v>450</v>
      </c>
      <c r="B644" s="75" t="s">
        <v>1306</v>
      </c>
      <c r="C644" s="90"/>
      <c r="D644" s="75" t="s">
        <v>153</v>
      </c>
      <c r="F644" s="50" t="s">
        <v>150</v>
      </c>
      <c r="R644" s="59" t="s">
        <v>21</v>
      </c>
      <c r="S644" s="100">
        <v>4.79</v>
      </c>
      <c r="T644" s="62" t="s">
        <v>151</v>
      </c>
      <c r="U644" s="50" t="s">
        <v>253</v>
      </c>
      <c r="V644" s="64">
        <f>I809</f>
        <v>2116.9</v>
      </c>
      <c r="W644" s="50" t="s">
        <v>151</v>
      </c>
      <c r="X644" s="64">
        <f t="shared" si="71"/>
        <v>10139.951000000001</v>
      </c>
      <c r="Y644" s="64"/>
      <c r="AC644" s="100">
        <v>4.79</v>
      </c>
      <c r="AD644" s="62" t="s">
        <v>151</v>
      </c>
      <c r="AE644" s="50" t="s">
        <v>253</v>
      </c>
      <c r="AF644" s="64">
        <f t="shared" si="73"/>
        <v>2116.9</v>
      </c>
      <c r="AG644" s="50" t="s">
        <v>151</v>
      </c>
      <c r="AH644" s="64">
        <f t="shared" si="72"/>
        <v>10139.951000000001</v>
      </c>
    </row>
    <row r="645" spans="1:34" ht="15.75">
      <c r="A645" s="74">
        <f t="shared" si="70"/>
        <v>451</v>
      </c>
      <c r="B645" s="75" t="s">
        <v>1307</v>
      </c>
      <c r="C645" s="73">
        <v>159.80000000000001</v>
      </c>
      <c r="D645" s="75" t="s">
        <v>153</v>
      </c>
      <c r="K645" s="59" t="s">
        <v>156</v>
      </c>
      <c r="O645" s="50" t="s">
        <v>1233</v>
      </c>
      <c r="R645" s="64">
        <f>SUM(R640:R643)</f>
        <v>4268.5599999999995</v>
      </c>
      <c r="S645" s="100">
        <v>3.5</v>
      </c>
      <c r="T645" s="62" t="s">
        <v>153</v>
      </c>
      <c r="U645" s="50" t="s">
        <v>234</v>
      </c>
      <c r="V645" s="64">
        <f>C11</f>
        <v>1005.1999999999999</v>
      </c>
      <c r="W645" s="50" t="s">
        <v>153</v>
      </c>
      <c r="X645" s="64">
        <f t="shared" si="71"/>
        <v>3518.2</v>
      </c>
      <c r="Y645" s="64"/>
      <c r="AC645" s="100">
        <v>3.5</v>
      </c>
      <c r="AD645" s="62" t="s">
        <v>153</v>
      </c>
      <c r="AE645" s="50" t="s">
        <v>234</v>
      </c>
      <c r="AF645" s="64">
        <f t="shared" si="73"/>
        <v>1005.1999999999999</v>
      </c>
      <c r="AG645" s="50" t="s">
        <v>153</v>
      </c>
      <c r="AH645" s="64">
        <f t="shared" si="72"/>
        <v>3518.2</v>
      </c>
    </row>
    <row r="646" spans="1:34" ht="15.75">
      <c r="A646" s="74">
        <f t="shared" si="70"/>
        <v>452</v>
      </c>
      <c r="B646" s="75" t="s">
        <v>1308</v>
      </c>
      <c r="C646" s="73">
        <v>106.6</v>
      </c>
      <c r="D646" s="75" t="s">
        <v>153</v>
      </c>
      <c r="G646" s="62" t="s">
        <v>230</v>
      </c>
      <c r="H646" s="50" t="s">
        <v>1103</v>
      </c>
      <c r="R646" s="59" t="s">
        <v>21</v>
      </c>
      <c r="S646" s="100">
        <v>21.2</v>
      </c>
      <c r="T646" s="62" t="s">
        <v>153</v>
      </c>
      <c r="U646" s="50" t="s">
        <v>235</v>
      </c>
      <c r="V646" s="64">
        <f>C12</f>
        <v>702.8</v>
      </c>
      <c r="W646" s="50" t="s">
        <v>153</v>
      </c>
      <c r="X646" s="64">
        <f t="shared" si="71"/>
        <v>14899.359999999999</v>
      </c>
      <c r="Y646" s="64"/>
      <c r="AC646" s="100">
        <v>21.2</v>
      </c>
      <c r="AD646" s="62" t="s">
        <v>153</v>
      </c>
      <c r="AE646" s="50" t="s">
        <v>235</v>
      </c>
      <c r="AF646" s="64">
        <f t="shared" si="73"/>
        <v>702.8</v>
      </c>
      <c r="AG646" s="50" t="s">
        <v>153</v>
      </c>
      <c r="AH646" s="64">
        <f t="shared" si="72"/>
        <v>14899.359999999999</v>
      </c>
    </row>
    <row r="647" spans="1:34" ht="15.75">
      <c r="A647" s="74">
        <f t="shared" si="70"/>
        <v>453</v>
      </c>
      <c r="B647" s="75" t="s">
        <v>1309</v>
      </c>
      <c r="C647" s="90"/>
      <c r="D647" s="75" t="s">
        <v>153</v>
      </c>
      <c r="H647" s="50" t="s">
        <v>1104</v>
      </c>
      <c r="S647" s="100">
        <v>35.299999999999997</v>
      </c>
      <c r="T647" s="62" t="s">
        <v>153</v>
      </c>
      <c r="U647" s="50" t="s">
        <v>236</v>
      </c>
      <c r="V647" s="64">
        <f>C13</f>
        <v>576.79999999999995</v>
      </c>
      <c r="W647" s="50" t="s">
        <v>153</v>
      </c>
      <c r="X647" s="64">
        <f t="shared" si="71"/>
        <v>20361.039999999997</v>
      </c>
      <c r="Y647" s="64"/>
      <c r="AC647" s="100">
        <v>35.299999999999997</v>
      </c>
      <c r="AD647" s="62" t="s">
        <v>153</v>
      </c>
      <c r="AE647" s="50" t="s">
        <v>236</v>
      </c>
      <c r="AF647" s="64">
        <f t="shared" si="73"/>
        <v>576.79999999999995</v>
      </c>
      <c r="AG647" s="50" t="s">
        <v>153</v>
      </c>
      <c r="AH647" s="64">
        <f t="shared" si="72"/>
        <v>20361.039999999997</v>
      </c>
    </row>
    <row r="648" spans="1:34" ht="15.75">
      <c r="A648" s="74">
        <f t="shared" si="70"/>
        <v>454</v>
      </c>
      <c r="B648" s="75" t="s">
        <v>1310</v>
      </c>
      <c r="C648" s="73">
        <v>70</v>
      </c>
      <c r="D648" s="75" t="s">
        <v>153</v>
      </c>
      <c r="H648" s="59" t="s">
        <v>21</v>
      </c>
      <c r="N648" s="50" t="s">
        <v>249</v>
      </c>
      <c r="O648" s="50" t="s">
        <v>1311</v>
      </c>
      <c r="S648" s="162">
        <v>19.5</v>
      </c>
      <c r="T648" s="53"/>
      <c r="U648" s="50" t="s">
        <v>1312</v>
      </c>
      <c r="V648" s="129">
        <v>42.4</v>
      </c>
      <c r="W648" s="50" t="s">
        <v>226</v>
      </c>
      <c r="X648" s="64">
        <f t="shared" si="71"/>
        <v>826.8</v>
      </c>
      <c r="Y648" s="64"/>
      <c r="AC648" s="162">
        <v>40</v>
      </c>
      <c r="AD648" s="53"/>
      <c r="AE648" s="50" t="s">
        <v>1312</v>
      </c>
      <c r="AF648" s="64">
        <f t="shared" si="73"/>
        <v>42.4</v>
      </c>
      <c r="AG648" s="50" t="s">
        <v>226</v>
      </c>
      <c r="AH648" s="64">
        <f t="shared" si="72"/>
        <v>1696</v>
      </c>
    </row>
    <row r="649" spans="1:34" ht="15.75">
      <c r="A649" s="74">
        <f t="shared" si="70"/>
        <v>455</v>
      </c>
      <c r="B649" s="75" t="s">
        <v>1313</v>
      </c>
      <c r="C649" s="73">
        <v>47.3</v>
      </c>
      <c r="D649" s="75" t="s">
        <v>153</v>
      </c>
      <c r="F649" s="100">
        <v>1.4E-2</v>
      </c>
      <c r="G649" s="62" t="s">
        <v>151</v>
      </c>
      <c r="H649" s="50" t="s">
        <v>1105</v>
      </c>
      <c r="I649" s="64">
        <f>(K643)</f>
        <v>8879</v>
      </c>
      <c r="J649" s="50" t="s">
        <v>151</v>
      </c>
      <c r="K649" s="64">
        <f>(F649*I649)</f>
        <v>124.306</v>
      </c>
      <c r="O649" s="50" t="s">
        <v>1314</v>
      </c>
      <c r="S649" s="52"/>
      <c r="T649" s="53"/>
      <c r="W649" s="55"/>
      <c r="X649" s="59" t="s">
        <v>21</v>
      </c>
      <c r="Y649" s="59"/>
      <c r="AD649" s="53"/>
      <c r="AG649" s="55"/>
      <c r="AH649" s="59" t="s">
        <v>21</v>
      </c>
    </row>
    <row r="650" spans="1:34" ht="15.75">
      <c r="A650" s="74">
        <f t="shared" si="70"/>
        <v>456</v>
      </c>
      <c r="B650" s="75" t="s">
        <v>1315</v>
      </c>
      <c r="C650" s="129">
        <v>29.3</v>
      </c>
      <c r="D650" s="75" t="s">
        <v>153</v>
      </c>
      <c r="F650" s="100"/>
      <c r="H650" s="50" t="s">
        <v>1106</v>
      </c>
      <c r="K650" s="50" t="s">
        <v>150</v>
      </c>
      <c r="O650" s="50" t="s">
        <v>1316</v>
      </c>
      <c r="S650" s="52"/>
      <c r="T650" s="53"/>
      <c r="U650" s="51" t="s">
        <v>263</v>
      </c>
      <c r="W650" s="55"/>
      <c r="X650" s="64">
        <f>SUM(X642:X648)</f>
        <v>82020.186000000002</v>
      </c>
      <c r="Y650" s="64"/>
      <c r="AD650" s="53"/>
      <c r="AE650" s="51" t="s">
        <v>263</v>
      </c>
      <c r="AG650" s="55"/>
      <c r="AH650" s="64">
        <f>SUM(AH642:AH648)</f>
        <v>87239.385999999999</v>
      </c>
    </row>
    <row r="651" spans="1:34" ht="15.75">
      <c r="A651" s="74">
        <f t="shared" si="70"/>
        <v>457</v>
      </c>
      <c r="B651" s="75" t="s">
        <v>1317</v>
      </c>
      <c r="C651" s="76">
        <v>155.32</v>
      </c>
      <c r="D651" s="75" t="s">
        <v>153</v>
      </c>
      <c r="F651" s="64">
        <v>0.5</v>
      </c>
      <c r="G651" s="62" t="s">
        <v>4</v>
      </c>
      <c r="H651" s="50" t="s">
        <v>269</v>
      </c>
      <c r="I651" s="64">
        <f>(C10)</f>
        <v>1076.5999999999999</v>
      </c>
      <c r="J651" s="50" t="s">
        <v>4</v>
      </c>
      <c r="K651" s="64">
        <f>(F651*I651)</f>
        <v>538.29999999999995</v>
      </c>
      <c r="O651" s="59" t="s">
        <v>21</v>
      </c>
      <c r="S651" s="52"/>
      <c r="T651" s="53"/>
      <c r="W651" s="55"/>
      <c r="X651" s="59" t="s">
        <v>156</v>
      </c>
      <c r="Y651" s="59"/>
      <c r="AD651" s="53"/>
      <c r="AG651" s="55"/>
      <c r="AH651" s="59" t="s">
        <v>156</v>
      </c>
    </row>
    <row r="652" spans="1:34" ht="15.75">
      <c r="A652" s="74">
        <f t="shared" si="70"/>
        <v>458</v>
      </c>
      <c r="B652" s="75" t="s">
        <v>1318</v>
      </c>
      <c r="C652" s="76">
        <v>91.08</v>
      </c>
      <c r="D652" s="75" t="s">
        <v>153</v>
      </c>
      <c r="F652" s="64">
        <v>0.75</v>
      </c>
      <c r="G652" s="62" t="s">
        <v>4</v>
      </c>
      <c r="H652" s="50" t="s">
        <v>235</v>
      </c>
      <c r="I652" s="64">
        <f>(C12)</f>
        <v>702.8</v>
      </c>
      <c r="J652" s="50" t="s">
        <v>4</v>
      </c>
      <c r="K652" s="64">
        <f>(F652*I652)</f>
        <v>527.09999999999991</v>
      </c>
      <c r="M652" s="64">
        <v>9.5</v>
      </c>
      <c r="N652" s="50" t="s">
        <v>151</v>
      </c>
      <c r="O652" s="50" t="s">
        <v>1298</v>
      </c>
      <c r="P652" s="64">
        <f>(C61*2)</f>
        <v>235.2</v>
      </c>
      <c r="Q652" s="50" t="s">
        <v>151</v>
      </c>
      <c r="R652" s="64">
        <f t="shared" ref="R652:R660" si="74">(M652*P652)</f>
        <v>2234.4</v>
      </c>
      <c r="S652" s="52"/>
      <c r="T652" s="53"/>
      <c r="U652" s="50" t="s">
        <v>270</v>
      </c>
      <c r="W652" s="55"/>
      <c r="X652" s="64">
        <f>X650/10</f>
        <v>8202.0185999999994</v>
      </c>
      <c r="Y652" s="64"/>
      <c r="AD652" s="53"/>
      <c r="AE652" s="50" t="s">
        <v>270</v>
      </c>
      <c r="AG652" s="55"/>
      <c r="AH652" s="64">
        <f>AH650/10</f>
        <v>8723.9385999999995</v>
      </c>
    </row>
    <row r="653" spans="1:34" ht="15.75">
      <c r="A653" s="74">
        <f t="shared" si="70"/>
        <v>459</v>
      </c>
      <c r="B653" s="75" t="s">
        <v>1319</v>
      </c>
      <c r="C653" s="73">
        <v>41.9</v>
      </c>
      <c r="D653" s="75" t="s">
        <v>13</v>
      </c>
      <c r="G653" s="62" t="s">
        <v>226</v>
      </c>
      <c r="H653" s="50" t="s">
        <v>237</v>
      </c>
      <c r="J653" s="50" t="s">
        <v>226</v>
      </c>
      <c r="K653" s="64">
        <v>0</v>
      </c>
      <c r="M653" s="64">
        <v>0.47</v>
      </c>
      <c r="N653" s="50" t="s">
        <v>151</v>
      </c>
      <c r="O653" s="50" t="s">
        <v>1320</v>
      </c>
      <c r="P653" s="64">
        <f>(R74)</f>
        <v>7184.6970000000001</v>
      </c>
      <c r="Q653" s="50" t="s">
        <v>151</v>
      </c>
      <c r="R653" s="64">
        <f t="shared" si="74"/>
        <v>3376.8075899999999</v>
      </c>
      <c r="S653" s="64">
        <v>1</v>
      </c>
      <c r="T653" s="62" t="s">
        <v>151</v>
      </c>
      <c r="U653" s="50" t="s">
        <v>943</v>
      </c>
      <c r="V653" s="64"/>
      <c r="W653" s="55"/>
      <c r="X653" s="64"/>
      <c r="Y653" s="64"/>
      <c r="AC653" s="64">
        <v>1</v>
      </c>
      <c r="AD653" s="62" t="s">
        <v>151</v>
      </c>
      <c r="AE653" s="50" t="s">
        <v>943</v>
      </c>
      <c r="AF653" s="64"/>
      <c r="AG653" s="55"/>
      <c r="AH653" s="64"/>
    </row>
    <row r="654" spans="1:34" ht="15.75">
      <c r="A654" s="74">
        <f t="shared" si="70"/>
        <v>460</v>
      </c>
      <c r="B654" s="75" t="s">
        <v>1321</v>
      </c>
      <c r="C654" s="76">
        <v>0.3</v>
      </c>
      <c r="D654" s="75" t="s">
        <v>153</v>
      </c>
      <c r="K654" s="59" t="s">
        <v>21</v>
      </c>
      <c r="M654" s="64">
        <v>1.62</v>
      </c>
      <c r="N654" s="50" t="s">
        <v>151</v>
      </c>
      <c r="O654" s="50" t="s">
        <v>1220</v>
      </c>
      <c r="P654" s="64">
        <f>(R89)</f>
        <v>7673.3959999999988</v>
      </c>
      <c r="Q654" s="50" t="s">
        <v>151</v>
      </c>
      <c r="R654" s="64">
        <f t="shared" si="74"/>
        <v>12430.901519999999</v>
      </c>
      <c r="X654" s="163">
        <f>SUM(X652:X653)</f>
        <v>8202.0185999999994</v>
      </c>
      <c r="Y654" s="163"/>
      <c r="AC654" s="56"/>
      <c r="AH654" s="163">
        <f>SUM(AH652:AH653)</f>
        <v>8723.9385999999995</v>
      </c>
    </row>
    <row r="655" spans="1:34" ht="15.75">
      <c r="A655" s="74">
        <f t="shared" si="70"/>
        <v>461</v>
      </c>
      <c r="B655" s="75" t="s">
        <v>1322</v>
      </c>
      <c r="C655" s="73">
        <v>186</v>
      </c>
      <c r="D655" s="75" t="s">
        <v>152</v>
      </c>
      <c r="H655" s="50" t="s">
        <v>1112</v>
      </c>
      <c r="K655" s="64">
        <f>SUM(K649:K653)</f>
        <v>1189.7059999999999</v>
      </c>
      <c r="M655" s="64">
        <v>15.22</v>
      </c>
      <c r="N655" s="50" t="s">
        <v>152</v>
      </c>
      <c r="O655" s="50" t="s">
        <v>1323</v>
      </c>
      <c r="P655" s="64">
        <f>(R304)</f>
        <v>287.83180000000004</v>
      </c>
      <c r="Q655" s="50" t="s">
        <v>152</v>
      </c>
      <c r="R655" s="64">
        <f t="shared" si="74"/>
        <v>4380.7999960000006</v>
      </c>
      <c r="S655" s="52"/>
      <c r="T655" s="53"/>
      <c r="U655" s="52" t="s">
        <v>1324</v>
      </c>
      <c r="X655" s="52">
        <f>X654*0.5%</f>
        <v>41.010092999999998</v>
      </c>
      <c r="AD655" s="53"/>
      <c r="AE655" s="52" t="s">
        <v>1324</v>
      </c>
      <c r="AH655" s="52">
        <f>AH654*0.5%</f>
        <v>43.619692999999998</v>
      </c>
    </row>
    <row r="656" spans="1:34" ht="15.75">
      <c r="A656" s="74">
        <f t="shared" si="70"/>
        <v>462</v>
      </c>
      <c r="B656" s="75" t="s">
        <v>1325</v>
      </c>
      <c r="C656" s="76">
        <v>97.31</v>
      </c>
      <c r="D656" s="75" t="s">
        <v>152</v>
      </c>
      <c r="K656" s="59" t="s">
        <v>21</v>
      </c>
      <c r="M656" s="64">
        <v>0.18</v>
      </c>
      <c r="N656" s="50" t="s">
        <v>151</v>
      </c>
      <c r="O656" s="50" t="s">
        <v>1326</v>
      </c>
      <c r="P656" s="64">
        <f>(K280)</f>
        <v>8764.3469999999979</v>
      </c>
      <c r="Q656" s="50" t="s">
        <v>151</v>
      </c>
      <c r="R656" s="64">
        <f t="shared" si="74"/>
        <v>1577.5824599999996</v>
      </c>
      <c r="S656" s="52"/>
      <c r="T656" s="53"/>
      <c r="W656" s="55"/>
      <c r="X656" s="59"/>
      <c r="Y656" s="59"/>
      <c r="AD656" s="53"/>
      <c r="AG656" s="55"/>
      <c r="AH656" s="59"/>
    </row>
    <row r="657" spans="1:34" ht="15.75">
      <c r="A657" s="74">
        <f t="shared" si="70"/>
        <v>463</v>
      </c>
      <c r="B657" s="75" t="s">
        <v>1327</v>
      </c>
      <c r="C657" s="76">
        <v>198.2</v>
      </c>
      <c r="D657" s="75" t="s">
        <v>953</v>
      </c>
      <c r="H657" s="50" t="s">
        <v>155</v>
      </c>
      <c r="K657" s="64">
        <f>(K655/0.372)</f>
        <v>3198.1344086021504</v>
      </c>
      <c r="M657" s="64">
        <v>0.36</v>
      </c>
      <c r="N657" s="50" t="s">
        <v>152</v>
      </c>
      <c r="O657" s="50" t="s">
        <v>1328</v>
      </c>
      <c r="P657" s="64">
        <f>(K467)</f>
        <v>436.51511649999998</v>
      </c>
      <c r="Q657" s="50" t="s">
        <v>152</v>
      </c>
      <c r="R657" s="64">
        <f t="shared" si="74"/>
        <v>157.14544193999998</v>
      </c>
      <c r="S657" s="52"/>
      <c r="T657" s="53"/>
      <c r="U657" s="52" t="s">
        <v>289</v>
      </c>
      <c r="W657" s="55"/>
      <c r="X657" s="63">
        <f>SUM(X654:X656)</f>
        <v>8243.0286930000002</v>
      </c>
      <c r="Y657" s="63"/>
      <c r="AD657" s="53"/>
      <c r="AE657" s="52" t="s">
        <v>289</v>
      </c>
      <c r="AG657" s="55"/>
      <c r="AH657" s="63">
        <f>SUM(AH654:AH656)</f>
        <v>8767.558293</v>
      </c>
    </row>
    <row r="658" spans="1:34" ht="15.75">
      <c r="A658" s="74">
        <f t="shared" si="70"/>
        <v>464</v>
      </c>
      <c r="B658" s="75" t="s">
        <v>1329</v>
      </c>
      <c r="C658" s="76">
        <v>198.2</v>
      </c>
      <c r="D658" s="75" t="s">
        <v>953</v>
      </c>
      <c r="K658" s="59" t="s">
        <v>156</v>
      </c>
      <c r="M658" s="64">
        <v>1</v>
      </c>
      <c r="N658" s="50" t="s">
        <v>153</v>
      </c>
      <c r="O658" s="50" t="s">
        <v>1330</v>
      </c>
      <c r="P658" s="64">
        <f>(C203)</f>
        <v>125.6</v>
      </c>
      <c r="Q658" s="50" t="s">
        <v>153</v>
      </c>
      <c r="R658" s="64">
        <f t="shared" si="74"/>
        <v>125.6</v>
      </c>
      <c r="S658" s="52"/>
      <c r="T658" s="53"/>
      <c r="W658" s="55"/>
      <c r="X658" s="59" t="s">
        <v>21</v>
      </c>
      <c r="Y658" s="59"/>
      <c r="AD658" s="53"/>
      <c r="AG658" s="55"/>
      <c r="AH658" s="59" t="s">
        <v>21</v>
      </c>
    </row>
    <row r="659" spans="1:34" ht="15.75">
      <c r="A659" s="74">
        <f t="shared" si="70"/>
        <v>465</v>
      </c>
      <c r="B659" s="75" t="s">
        <v>1331</v>
      </c>
      <c r="C659" s="76">
        <v>3.84</v>
      </c>
      <c r="D659" s="75" t="s">
        <v>153</v>
      </c>
      <c r="E659" s="52" t="s">
        <v>1332</v>
      </c>
      <c r="H659" s="50" t="s">
        <v>271</v>
      </c>
      <c r="I659" s="52">
        <f>K657</f>
        <v>3198.1344086021504</v>
      </c>
      <c r="J659" s="55">
        <f>C22*0.014/0.372</f>
        <v>4.7366666666666672</v>
      </c>
      <c r="K659" s="63">
        <f>I659+J659</f>
        <v>3202.8710752688171</v>
      </c>
      <c r="M659" s="64">
        <v>1.8</v>
      </c>
      <c r="N659" s="50" t="s">
        <v>1333</v>
      </c>
      <c r="O659" s="50" t="s">
        <v>1334</v>
      </c>
      <c r="P659" s="64">
        <f>(C325)</f>
        <v>14.91</v>
      </c>
      <c r="Q659" s="50" t="s">
        <v>1333</v>
      </c>
      <c r="R659" s="64">
        <f t="shared" si="74"/>
        <v>26.838000000000001</v>
      </c>
      <c r="S659" s="52"/>
      <c r="T659" s="53"/>
      <c r="U659" s="50" t="s">
        <v>271</v>
      </c>
      <c r="W659" s="55"/>
      <c r="X659" s="63">
        <f>(X657+C23)</f>
        <v>8490.8286929999995</v>
      </c>
      <c r="Y659" s="63"/>
      <c r="AD659" s="53"/>
      <c r="AE659" s="50" t="s">
        <v>271</v>
      </c>
      <c r="AG659" s="55"/>
      <c r="AH659" s="63">
        <f>AH657+C23</f>
        <v>9015.3582929999993</v>
      </c>
    </row>
    <row r="660" spans="1:34" ht="15.75">
      <c r="A660" s="74">
        <f t="shared" si="70"/>
        <v>466</v>
      </c>
      <c r="B660" s="75" t="s">
        <v>1335</v>
      </c>
      <c r="C660" s="71">
        <v>54.5</v>
      </c>
      <c r="D660" s="164">
        <v>61.5</v>
      </c>
      <c r="E660" s="52" t="s">
        <v>1336</v>
      </c>
      <c r="H660" s="50" t="s">
        <v>272</v>
      </c>
      <c r="I660" s="52">
        <f>K659</f>
        <v>3202.8710752688171</v>
      </c>
      <c r="J660" s="55">
        <f>C23*0.014/0.372</f>
        <v>9.3258064516129036</v>
      </c>
      <c r="K660" s="63">
        <f>I660+J660</f>
        <v>3212.1968817204302</v>
      </c>
      <c r="M660" s="64">
        <v>1</v>
      </c>
      <c r="N660" s="50" t="s">
        <v>153</v>
      </c>
      <c r="O660" s="50" t="s">
        <v>1337</v>
      </c>
      <c r="P660" s="64">
        <f>(C371)</f>
        <v>13.29</v>
      </c>
      <c r="Q660" s="50" t="s">
        <v>153</v>
      </c>
      <c r="R660" s="64">
        <f t="shared" si="74"/>
        <v>13.29</v>
      </c>
      <c r="S660" s="52"/>
      <c r="T660" s="53"/>
      <c r="U660" s="50" t="s">
        <v>272</v>
      </c>
      <c r="W660" s="55"/>
      <c r="X660" s="63">
        <f>X659+C24</f>
        <v>8738.6286929999987</v>
      </c>
      <c r="Y660" s="63"/>
      <c r="AD660" s="53"/>
      <c r="AE660" s="50" t="s">
        <v>272</v>
      </c>
      <c r="AG660" s="55"/>
      <c r="AH660" s="63">
        <f>AH659+C24</f>
        <v>9263.1582929999986</v>
      </c>
    </row>
    <row r="661" spans="1:34" ht="31.5">
      <c r="A661" s="74">
        <f t="shared" si="70"/>
        <v>467</v>
      </c>
      <c r="B661" s="165" t="s">
        <v>1338</v>
      </c>
      <c r="C661" s="145">
        <v>8.1</v>
      </c>
      <c r="D661" s="146" t="s">
        <v>552</v>
      </c>
      <c r="E661" s="166">
        <v>10.92</v>
      </c>
      <c r="H661" s="50" t="s">
        <v>767</v>
      </c>
      <c r="I661" s="52">
        <f>K660</f>
        <v>3212.1968817204302</v>
      </c>
      <c r="J661" s="55">
        <f>J660</f>
        <v>9.3258064516129036</v>
      </c>
      <c r="K661" s="63">
        <f>I661+J661</f>
        <v>3221.5226881720432</v>
      </c>
      <c r="N661" s="50" t="s">
        <v>226</v>
      </c>
      <c r="O661" s="50" t="s">
        <v>1230</v>
      </c>
      <c r="Q661" s="50" t="s">
        <v>226</v>
      </c>
      <c r="R661" s="64">
        <v>1.72</v>
      </c>
      <c r="S661" s="52"/>
      <c r="T661" s="53"/>
      <c r="U661" s="50" t="s">
        <v>767</v>
      </c>
      <c r="W661" s="55"/>
      <c r="X661" s="63">
        <f>X660+C25</f>
        <v>8837.6086929999983</v>
      </c>
      <c r="Y661" s="63"/>
      <c r="AD661" s="53"/>
      <c r="AE661" s="50" t="s">
        <v>767</v>
      </c>
      <c r="AG661" s="55"/>
      <c r="AH661" s="63">
        <f>AH660+C25</f>
        <v>9362.1382929999982</v>
      </c>
    </row>
    <row r="662" spans="1:34" ht="15.75">
      <c r="A662" s="74">
        <f t="shared" si="70"/>
        <v>468</v>
      </c>
      <c r="B662" s="167" t="s">
        <v>1339</v>
      </c>
      <c r="C662" s="145">
        <v>13.51</v>
      </c>
      <c r="D662" s="146" t="s">
        <v>552</v>
      </c>
      <c r="E662" s="166"/>
      <c r="H662" s="50" t="s">
        <v>769</v>
      </c>
      <c r="I662" s="52">
        <f>K661</f>
        <v>3221.5226881720432</v>
      </c>
      <c r="J662" s="55">
        <f>J661</f>
        <v>9.3258064516129036</v>
      </c>
      <c r="K662" s="63">
        <f>I662+J662</f>
        <v>3230.8484946236563</v>
      </c>
      <c r="R662" s="50" t="s">
        <v>150</v>
      </c>
      <c r="S662" s="52"/>
      <c r="T662" s="53"/>
      <c r="U662" s="50" t="s">
        <v>769</v>
      </c>
      <c r="W662" s="55"/>
      <c r="X662" s="63">
        <f>X661+C25</f>
        <v>8936.5886929999979</v>
      </c>
      <c r="Y662" s="63"/>
      <c r="AD662" s="53"/>
      <c r="AE662" s="50" t="s">
        <v>769</v>
      </c>
      <c r="AG662" s="55"/>
      <c r="AH662" s="63">
        <f>AH661+C25</f>
        <v>9461.1182929999977</v>
      </c>
    </row>
    <row r="663" spans="1:34" ht="15.75">
      <c r="A663" s="74">
        <f t="shared" si="70"/>
        <v>469</v>
      </c>
      <c r="B663" s="75" t="s">
        <v>1340</v>
      </c>
      <c r="C663" s="71">
        <v>7.1</v>
      </c>
      <c r="D663" s="99">
        <v>8.5</v>
      </c>
      <c r="E663" s="52">
        <v>2</v>
      </c>
      <c r="H663" s="50" t="s">
        <v>1117</v>
      </c>
      <c r="I663" s="52">
        <f>K662</f>
        <v>3230.8484946236563</v>
      </c>
      <c r="J663" s="55">
        <f>J662</f>
        <v>9.3258064516129036</v>
      </c>
      <c r="K663" s="63">
        <f>I663+J663</f>
        <v>3240.1743010752693</v>
      </c>
      <c r="R663" s="59" t="s">
        <v>21</v>
      </c>
      <c r="S663" s="52"/>
      <c r="T663" s="53"/>
      <c r="U663" s="50" t="s">
        <v>838</v>
      </c>
      <c r="W663" s="55"/>
      <c r="X663" s="63">
        <f>X662+C25</f>
        <v>9035.5686929999974</v>
      </c>
      <c r="Y663" s="63"/>
      <c r="AD663" s="53"/>
      <c r="AE663" s="50" t="s">
        <v>838</v>
      </c>
      <c r="AG663" s="55"/>
      <c r="AH663" s="63">
        <f>AH662+K25</f>
        <v>9461.1182929999977</v>
      </c>
    </row>
    <row r="664" spans="1:34" ht="15.75">
      <c r="A664" s="74"/>
      <c r="B664" s="75"/>
      <c r="C664" s="71"/>
      <c r="D664" s="99"/>
      <c r="H664" s="50">
        <v>5</v>
      </c>
      <c r="I664" s="52">
        <f t="shared" ref="I664:I670" si="75">K663</f>
        <v>3240.1743010752693</v>
      </c>
      <c r="J664" s="55">
        <f t="shared" ref="J664:J670" si="76">J663</f>
        <v>9.3258064516129036</v>
      </c>
      <c r="K664" s="63">
        <f t="shared" ref="K664:K670" si="77">I664+J664</f>
        <v>3249.5001075268824</v>
      </c>
      <c r="R664" s="59"/>
      <c r="S664" s="52"/>
      <c r="T664" s="53"/>
      <c r="U664" s="50">
        <v>5</v>
      </c>
      <c r="W664" s="55"/>
      <c r="X664" s="63">
        <f>X663+C25</f>
        <v>9134.548692999997</v>
      </c>
      <c r="Y664" s="63"/>
      <c r="AD664" s="53"/>
      <c r="AE664" s="50">
        <v>5</v>
      </c>
      <c r="AG664" s="55"/>
      <c r="AH664" s="63">
        <f>AH663+K25</f>
        <v>9461.1182929999977</v>
      </c>
    </row>
    <row r="665" spans="1:34" ht="15.75">
      <c r="A665" s="74"/>
      <c r="B665" s="75"/>
      <c r="C665" s="71"/>
      <c r="D665" s="99"/>
      <c r="H665" s="50">
        <v>6</v>
      </c>
      <c r="I665" s="52">
        <f t="shared" si="75"/>
        <v>3249.5001075268824</v>
      </c>
      <c r="J665" s="55">
        <f t="shared" si="76"/>
        <v>9.3258064516129036</v>
      </c>
      <c r="K665" s="63">
        <f t="shared" si="77"/>
        <v>3258.8259139784955</v>
      </c>
      <c r="R665" s="59"/>
      <c r="AC665" s="56"/>
    </row>
    <row r="666" spans="1:34" ht="15.75">
      <c r="A666" s="74"/>
      <c r="B666" s="75"/>
      <c r="C666" s="71"/>
      <c r="D666" s="99"/>
      <c r="H666" s="50">
        <v>7</v>
      </c>
      <c r="I666" s="52">
        <f t="shared" si="75"/>
        <v>3258.8259139784955</v>
      </c>
      <c r="J666" s="55">
        <f t="shared" si="76"/>
        <v>9.3258064516129036</v>
      </c>
      <c r="K666" s="63">
        <f t="shared" si="77"/>
        <v>3268.1517204301085</v>
      </c>
      <c r="R666" s="59"/>
      <c r="AC666" s="56"/>
    </row>
    <row r="667" spans="1:34" ht="15.75">
      <c r="A667" s="74"/>
      <c r="B667" s="75"/>
      <c r="C667" s="71"/>
      <c r="D667" s="99"/>
      <c r="H667" s="50">
        <v>8</v>
      </c>
      <c r="I667" s="52">
        <f t="shared" si="75"/>
        <v>3268.1517204301085</v>
      </c>
      <c r="J667" s="55">
        <f t="shared" si="76"/>
        <v>9.3258064516129036</v>
      </c>
      <c r="K667" s="63">
        <f t="shared" si="77"/>
        <v>3277.4775268817216</v>
      </c>
      <c r="R667" s="59"/>
      <c r="AC667" s="56"/>
    </row>
    <row r="668" spans="1:34" ht="15.75">
      <c r="A668" s="74"/>
      <c r="B668" s="75"/>
      <c r="C668" s="71"/>
      <c r="D668" s="99"/>
      <c r="H668" s="50">
        <v>9</v>
      </c>
      <c r="I668" s="52">
        <f t="shared" si="75"/>
        <v>3277.4775268817216</v>
      </c>
      <c r="J668" s="55">
        <f t="shared" si="76"/>
        <v>9.3258064516129036</v>
      </c>
      <c r="K668" s="63">
        <f t="shared" si="77"/>
        <v>3286.8033333333346</v>
      </c>
      <c r="R668" s="59"/>
      <c r="AC668" s="56"/>
    </row>
    <row r="669" spans="1:34" ht="15.75">
      <c r="A669" s="74"/>
      <c r="B669" s="75"/>
      <c r="C669" s="71"/>
      <c r="D669" s="99"/>
      <c r="H669" s="50">
        <v>10</v>
      </c>
      <c r="I669" s="52">
        <f t="shared" si="75"/>
        <v>3286.8033333333346</v>
      </c>
      <c r="J669" s="55">
        <f t="shared" si="76"/>
        <v>9.3258064516129036</v>
      </c>
      <c r="K669" s="63">
        <f t="shared" si="77"/>
        <v>3296.1291397849477</v>
      </c>
      <c r="R669" s="59"/>
      <c r="AC669" s="56"/>
    </row>
    <row r="670" spans="1:34" ht="15.75">
      <c r="A670" s="74"/>
      <c r="B670" s="75"/>
      <c r="C670" s="71"/>
      <c r="D670" s="99"/>
      <c r="H670" s="50">
        <v>11</v>
      </c>
      <c r="I670" s="52">
        <f t="shared" si="75"/>
        <v>3296.1291397849477</v>
      </c>
      <c r="J670" s="55">
        <f t="shared" si="76"/>
        <v>9.3258064516129036</v>
      </c>
      <c r="K670" s="63">
        <f t="shared" si="77"/>
        <v>3305.4549462365608</v>
      </c>
      <c r="R670" s="59"/>
      <c r="AC670" s="56"/>
    </row>
    <row r="671" spans="1:34" ht="15.75">
      <c r="A671" s="74"/>
      <c r="B671" s="75"/>
      <c r="C671" s="71"/>
      <c r="D671" s="99"/>
      <c r="H671" s="50"/>
      <c r="K671" s="63"/>
      <c r="R671" s="59"/>
      <c r="AC671" s="56"/>
    </row>
    <row r="672" spans="1:34" ht="15.75">
      <c r="A672" s="74">
        <f>(A663+1)</f>
        <v>470</v>
      </c>
      <c r="B672" s="75" t="s">
        <v>1341</v>
      </c>
      <c r="C672" s="71">
        <v>10.199999999999999</v>
      </c>
      <c r="D672" s="99">
        <v>21.1</v>
      </c>
      <c r="E672" s="52">
        <v>3.7</v>
      </c>
      <c r="F672" s="51" t="s">
        <v>1342</v>
      </c>
      <c r="H672" s="50" t="s">
        <v>1343</v>
      </c>
      <c r="O672" s="50" t="s">
        <v>1233</v>
      </c>
      <c r="R672" s="64">
        <f>SUM(R652:R662)</f>
        <v>24325.085007939997</v>
      </c>
      <c r="AC672" s="56"/>
    </row>
    <row r="673" spans="1:35" ht="15.75">
      <c r="A673" s="74">
        <f t="shared" si="70"/>
        <v>471</v>
      </c>
      <c r="B673" s="75" t="s">
        <v>1344</v>
      </c>
      <c r="C673" s="72">
        <v>4</v>
      </c>
      <c r="D673" s="75" t="s">
        <v>226</v>
      </c>
      <c r="H673" s="50" t="s">
        <v>1345</v>
      </c>
      <c r="R673" s="59" t="s">
        <v>21</v>
      </c>
      <c r="AG673" s="71" t="str">
        <f t="shared" ref="AG673:AG680" si="78">AI673</f>
        <v>|</v>
      </c>
      <c r="AI673" s="50" t="s">
        <v>1095</v>
      </c>
    </row>
    <row r="674" spans="1:35" ht="15.75">
      <c r="A674" s="74">
        <f t="shared" si="70"/>
        <v>472</v>
      </c>
      <c r="B674" s="75" t="s">
        <v>1346</v>
      </c>
      <c r="C674" s="72">
        <v>5</v>
      </c>
      <c r="D674" s="75" t="s">
        <v>226</v>
      </c>
      <c r="H674" s="50" t="s">
        <v>1347</v>
      </c>
      <c r="O674" s="50" t="s">
        <v>1348</v>
      </c>
      <c r="T674" s="65">
        <v>4.2</v>
      </c>
      <c r="U674" s="65" t="s">
        <v>1349</v>
      </c>
      <c r="AG674" s="71" t="str">
        <f t="shared" si="78"/>
        <v>|</v>
      </c>
      <c r="AI674" s="50" t="s">
        <v>1095</v>
      </c>
    </row>
    <row r="675" spans="1:35" ht="15.75">
      <c r="A675" s="74">
        <f t="shared" si="70"/>
        <v>473</v>
      </c>
      <c r="B675" s="75" t="s">
        <v>1350</v>
      </c>
      <c r="C675" s="76">
        <v>96</v>
      </c>
      <c r="D675" s="75" t="s">
        <v>153</v>
      </c>
      <c r="H675" s="50" t="s">
        <v>1351</v>
      </c>
      <c r="N675" s="50" t="s">
        <v>249</v>
      </c>
      <c r="O675" s="50" t="s">
        <v>1352</v>
      </c>
      <c r="S675" s="56">
        <v>5</v>
      </c>
      <c r="T675" s="52" t="s">
        <v>276</v>
      </c>
      <c r="U675" s="52" t="s">
        <v>1353</v>
      </c>
      <c r="V675" s="52">
        <f>V705</f>
        <v>2288.7799999999997</v>
      </c>
      <c r="X675" s="52">
        <f>V675*S675</f>
        <v>11443.899999999998</v>
      </c>
      <c r="AG675" s="71" t="str">
        <f t="shared" si="78"/>
        <v>|</v>
      </c>
      <c r="AI675" s="50" t="s">
        <v>1095</v>
      </c>
    </row>
    <row r="676" spans="1:35" ht="15.75">
      <c r="A676" s="74">
        <f t="shared" si="70"/>
        <v>474</v>
      </c>
      <c r="B676" s="75" t="s">
        <v>1354</v>
      </c>
      <c r="C676" s="76">
        <v>75</v>
      </c>
      <c r="D676" s="75" t="s">
        <v>153</v>
      </c>
      <c r="H676" s="50" t="s">
        <v>1355</v>
      </c>
      <c r="O676" s="50" t="s">
        <v>1356</v>
      </c>
      <c r="S676" s="56">
        <v>3.3</v>
      </c>
      <c r="T676" s="52" t="s">
        <v>276</v>
      </c>
      <c r="U676" s="52" t="s">
        <v>1357</v>
      </c>
      <c r="V676" s="52">
        <f t="shared" ref="V676:V685" si="79">V706</f>
        <v>2016.2799999999997</v>
      </c>
      <c r="X676" s="52">
        <f t="shared" ref="X676:X682" si="80">V676*S676</f>
        <v>6653.7239999999993</v>
      </c>
      <c r="AG676" s="71" t="str">
        <f t="shared" si="78"/>
        <v>|</v>
      </c>
      <c r="AI676" s="50" t="s">
        <v>1095</v>
      </c>
    </row>
    <row r="677" spans="1:35" ht="15.75">
      <c r="A677" s="74">
        <f t="shared" si="70"/>
        <v>475</v>
      </c>
      <c r="B677" s="75" t="s">
        <v>1358</v>
      </c>
      <c r="C677" s="71">
        <v>28.5</v>
      </c>
      <c r="D677" s="71">
        <v>31</v>
      </c>
      <c r="E677" s="52">
        <v>3</v>
      </c>
      <c r="H677" s="50" t="s">
        <v>1359</v>
      </c>
      <c r="O677" s="59" t="s">
        <v>21</v>
      </c>
      <c r="S677" s="56">
        <v>4.79</v>
      </c>
      <c r="T677" s="52" t="s">
        <v>276</v>
      </c>
      <c r="U677" s="52" t="s">
        <v>1360</v>
      </c>
      <c r="V677" s="52">
        <f t="shared" si="79"/>
        <v>2116.9</v>
      </c>
      <c r="X677" s="52">
        <f t="shared" si="80"/>
        <v>10139.951000000001</v>
      </c>
      <c r="AG677" s="71" t="str">
        <f t="shared" si="78"/>
        <v>|</v>
      </c>
      <c r="AI677" s="50" t="s">
        <v>1095</v>
      </c>
    </row>
    <row r="678" spans="1:35" ht="15.75">
      <c r="A678" s="74">
        <f t="shared" si="70"/>
        <v>476</v>
      </c>
      <c r="B678" s="75" t="s">
        <v>1361</v>
      </c>
      <c r="C678" s="76">
        <v>80</v>
      </c>
      <c r="D678" s="75" t="s">
        <v>153</v>
      </c>
      <c r="H678" s="50" t="s">
        <v>1362</v>
      </c>
      <c r="M678" s="64">
        <v>1</v>
      </c>
      <c r="N678" s="50" t="s">
        <v>153</v>
      </c>
      <c r="O678" s="50" t="s">
        <v>1363</v>
      </c>
      <c r="P678" s="64">
        <f>(C383)</f>
        <v>14.91</v>
      </c>
      <c r="Q678" s="50" t="s">
        <v>153</v>
      </c>
      <c r="R678" s="64">
        <f>(M678*P678)</f>
        <v>14.91</v>
      </c>
      <c r="S678" s="56">
        <v>4</v>
      </c>
      <c r="T678" s="52" t="s">
        <v>277</v>
      </c>
      <c r="U678" s="52" t="s">
        <v>278</v>
      </c>
      <c r="V678" s="52">
        <f t="shared" si="79"/>
        <v>5800</v>
      </c>
      <c r="X678" s="52">
        <f t="shared" si="80"/>
        <v>23200</v>
      </c>
      <c r="AG678" s="71" t="str">
        <f t="shared" si="78"/>
        <v>|</v>
      </c>
      <c r="AI678" s="50" t="s">
        <v>1095</v>
      </c>
    </row>
    <row r="679" spans="1:35" ht="15.75">
      <c r="A679" s="74">
        <f t="shared" si="70"/>
        <v>477</v>
      </c>
      <c r="B679" s="75" t="s">
        <v>1364</v>
      </c>
      <c r="C679" s="76">
        <v>64</v>
      </c>
      <c r="D679" s="75" t="s">
        <v>153</v>
      </c>
      <c r="H679" s="59" t="s">
        <v>21</v>
      </c>
      <c r="I679" s="59" t="s">
        <v>21</v>
      </c>
      <c r="N679" s="50" t="s">
        <v>226</v>
      </c>
      <c r="O679" s="50" t="s">
        <v>1365</v>
      </c>
      <c r="Q679" s="50" t="s">
        <v>226</v>
      </c>
      <c r="R679" s="64">
        <v>2.09</v>
      </c>
      <c r="S679" s="56">
        <v>40</v>
      </c>
      <c r="T679" s="52" t="s">
        <v>13</v>
      </c>
      <c r="U679" s="52" t="s">
        <v>1366</v>
      </c>
      <c r="V679" s="52">
        <f>V648</f>
        <v>42.4</v>
      </c>
      <c r="X679" s="52">
        <f t="shared" si="80"/>
        <v>1696</v>
      </c>
      <c r="AG679" s="71" t="str">
        <f t="shared" si="78"/>
        <v>|</v>
      </c>
      <c r="AI679" s="50" t="s">
        <v>1095</v>
      </c>
    </row>
    <row r="680" spans="1:35" ht="15.75">
      <c r="A680" s="74">
        <f t="shared" si="70"/>
        <v>478</v>
      </c>
      <c r="B680" s="75" t="s">
        <v>1367</v>
      </c>
      <c r="C680" s="76">
        <v>40.5</v>
      </c>
      <c r="D680" s="75" t="s">
        <v>153</v>
      </c>
      <c r="F680" s="64">
        <v>1</v>
      </c>
      <c r="G680" s="62" t="s">
        <v>152</v>
      </c>
      <c r="H680" s="50" t="s">
        <v>1368</v>
      </c>
      <c r="I680" s="64">
        <f>D76</f>
        <v>290</v>
      </c>
      <c r="J680" s="50" t="s">
        <v>152</v>
      </c>
      <c r="K680" s="64">
        <f>(F680*I680)</f>
        <v>290</v>
      </c>
      <c r="O680" s="50" t="s">
        <v>1369</v>
      </c>
      <c r="R680" s="50" t="s">
        <v>150</v>
      </c>
      <c r="S680" s="56">
        <v>3.5</v>
      </c>
      <c r="T680" s="52" t="s">
        <v>154</v>
      </c>
      <c r="U680" s="52" t="s">
        <v>280</v>
      </c>
      <c r="V680" s="52">
        <f t="shared" si="79"/>
        <v>1005.1999999999999</v>
      </c>
      <c r="X680" s="52">
        <f>V680*S680</f>
        <v>3518.2</v>
      </c>
      <c r="AG680" s="71" t="str">
        <f t="shared" si="78"/>
        <v>|</v>
      </c>
      <c r="AI680" s="50" t="s">
        <v>1095</v>
      </c>
    </row>
    <row r="681" spans="1:35" ht="15.75">
      <c r="A681" s="74">
        <f t="shared" si="70"/>
        <v>479</v>
      </c>
      <c r="B681" s="75" t="s">
        <v>1370</v>
      </c>
      <c r="C681" s="76">
        <v>92</v>
      </c>
      <c r="D681" s="75" t="s">
        <v>153</v>
      </c>
      <c r="F681" s="64">
        <v>1</v>
      </c>
      <c r="G681" s="62" t="s">
        <v>152</v>
      </c>
      <c r="H681" s="50" t="s">
        <v>1371</v>
      </c>
      <c r="I681" s="64">
        <f>C75</f>
        <v>175</v>
      </c>
      <c r="J681" s="50" t="s">
        <v>152</v>
      </c>
      <c r="K681" s="64">
        <f>(F681*I681)</f>
        <v>175</v>
      </c>
      <c r="R681" s="59" t="s">
        <v>21</v>
      </c>
      <c r="S681" s="56">
        <v>21.2</v>
      </c>
      <c r="T681" s="52" t="s">
        <v>154</v>
      </c>
      <c r="U681" s="52" t="s">
        <v>281</v>
      </c>
      <c r="V681" s="52">
        <f t="shared" si="79"/>
        <v>702.8</v>
      </c>
      <c r="X681" s="52">
        <f t="shared" si="80"/>
        <v>14899.359999999999</v>
      </c>
      <c r="AG681" s="71">
        <f>32.32*100</f>
        <v>3232</v>
      </c>
      <c r="AI681" s="50" t="s">
        <v>1095</v>
      </c>
    </row>
    <row r="682" spans="1:35" ht="15.75">
      <c r="A682" s="74">
        <f t="shared" si="70"/>
        <v>480</v>
      </c>
      <c r="B682" s="75" t="s">
        <v>1372</v>
      </c>
      <c r="C682" s="76">
        <v>60</v>
      </c>
      <c r="D682" s="75" t="s">
        <v>153</v>
      </c>
      <c r="F682" s="64">
        <v>1</v>
      </c>
      <c r="G682" s="62" t="s">
        <v>226</v>
      </c>
      <c r="H682" s="50" t="s">
        <v>1373</v>
      </c>
      <c r="I682" s="128">
        <v>15</v>
      </c>
      <c r="J682" s="50" t="s">
        <v>226</v>
      </c>
      <c r="K682" s="64">
        <f>(F682*I682)</f>
        <v>15</v>
      </c>
      <c r="O682" s="50" t="s">
        <v>1374</v>
      </c>
      <c r="R682" s="64">
        <f>SUM(R678:R680)</f>
        <v>17</v>
      </c>
      <c r="S682" s="56">
        <v>35.299999999999997</v>
      </c>
      <c r="T682" s="52" t="s">
        <v>154</v>
      </c>
      <c r="U682" s="52" t="s">
        <v>282</v>
      </c>
      <c r="V682" s="52">
        <f>V712</f>
        <v>576.79999999999995</v>
      </c>
      <c r="X682" s="52">
        <f t="shared" si="80"/>
        <v>20361.039999999997</v>
      </c>
      <c r="AG682" s="71">
        <f>48.824*100</f>
        <v>4882.3999999999996</v>
      </c>
      <c r="AI682" s="50" t="s">
        <v>1095</v>
      </c>
    </row>
    <row r="683" spans="1:35" ht="15.75">
      <c r="A683" s="74">
        <f t="shared" si="70"/>
        <v>481</v>
      </c>
      <c r="B683" s="75" t="s">
        <v>1375</v>
      </c>
      <c r="C683" s="76">
        <v>49.87</v>
      </c>
      <c r="D683" s="75" t="s">
        <v>153</v>
      </c>
      <c r="K683" s="59" t="s">
        <v>21</v>
      </c>
      <c r="R683" s="59" t="s">
        <v>21</v>
      </c>
      <c r="U683" s="65" t="s">
        <v>283</v>
      </c>
      <c r="X683" s="65">
        <f>SUM(X675:X682)</f>
        <v>91912.174999999988</v>
      </c>
      <c r="Y683" s="65"/>
      <c r="AC683" s="56">
        <f>22.77+26.054</f>
        <v>48.823999999999998</v>
      </c>
      <c r="AG683" s="71">
        <f>0.52*100</f>
        <v>52</v>
      </c>
      <c r="AI683" s="50" t="s">
        <v>1095</v>
      </c>
    </row>
    <row r="684" spans="1:35" ht="15.75">
      <c r="A684" s="74">
        <f t="shared" si="70"/>
        <v>482</v>
      </c>
      <c r="B684" s="75" t="s">
        <v>1376</v>
      </c>
      <c r="C684" s="76">
        <v>80</v>
      </c>
      <c r="D684" s="75" t="s">
        <v>153</v>
      </c>
      <c r="H684" s="50" t="s">
        <v>155</v>
      </c>
      <c r="K684" s="64">
        <f>SUM(K678:K682)</f>
        <v>480</v>
      </c>
      <c r="U684" s="65" t="s">
        <v>284</v>
      </c>
      <c r="X684" s="65">
        <f>X683/10</f>
        <v>9191.2174999999988</v>
      </c>
      <c r="Y684" s="65"/>
      <c r="Z684" s="52">
        <f>X684</f>
        <v>9191.2174999999988</v>
      </c>
      <c r="AE684" s="52">
        <f>26.19*0.02</f>
        <v>0.52380000000000004</v>
      </c>
      <c r="AG684" s="71">
        <f>0.397*100</f>
        <v>39.700000000000003</v>
      </c>
      <c r="AH684" s="52">
        <f>AG681+AG682+AG683+AG684</f>
        <v>8206.1</v>
      </c>
      <c r="AI684" s="50" t="s">
        <v>1095</v>
      </c>
    </row>
    <row r="685" spans="1:35" ht="15.75">
      <c r="A685" s="74">
        <f t="shared" si="70"/>
        <v>483</v>
      </c>
      <c r="B685" s="75" t="s">
        <v>1377</v>
      </c>
      <c r="C685" s="76">
        <v>52</v>
      </c>
      <c r="D685" s="75" t="s">
        <v>153</v>
      </c>
      <c r="H685" s="50" t="s">
        <v>1378</v>
      </c>
      <c r="K685" s="59" t="s">
        <v>156</v>
      </c>
      <c r="N685" s="50" t="s">
        <v>249</v>
      </c>
      <c r="O685" s="50" t="s">
        <v>1379</v>
      </c>
      <c r="S685" s="56">
        <v>1</v>
      </c>
      <c r="T685" s="52" t="s">
        <v>276</v>
      </c>
      <c r="U685" s="52" t="s">
        <v>285</v>
      </c>
      <c r="V685" s="52">
        <f t="shared" si="79"/>
        <v>98.98</v>
      </c>
      <c r="X685" s="52">
        <f>V685</f>
        <v>98.98</v>
      </c>
      <c r="AE685" s="56">
        <f>9.92*0.04</f>
        <v>0.39679999999999999</v>
      </c>
      <c r="AG685" s="71" t="str">
        <f t="shared" ref="AG685:AG748" si="81">AI685</f>
        <v>|</v>
      </c>
      <c r="AI685" s="50" t="s">
        <v>1095</v>
      </c>
    </row>
    <row r="686" spans="1:35" ht="15.75">
      <c r="A686" s="74">
        <f t="shared" si="70"/>
        <v>484</v>
      </c>
      <c r="B686" s="75" t="s">
        <v>1380</v>
      </c>
      <c r="C686" s="76">
        <v>39</v>
      </c>
      <c r="D686" s="75" t="s">
        <v>153</v>
      </c>
      <c r="H686" s="50" t="s">
        <v>271</v>
      </c>
      <c r="I686" s="52">
        <f>K684</f>
        <v>480</v>
      </c>
      <c r="J686" s="55">
        <f>C19*0.05</f>
        <v>4.1440000000000001</v>
      </c>
      <c r="K686" s="63">
        <f>I686+J686</f>
        <v>484.14400000000001</v>
      </c>
      <c r="O686" s="50" t="s">
        <v>1356</v>
      </c>
      <c r="U686" s="52" t="s">
        <v>286</v>
      </c>
      <c r="X686" s="65">
        <f>SUM(X684:X685)</f>
        <v>9290.1974999999984</v>
      </c>
      <c r="Y686" s="65"/>
      <c r="Z686" s="52">
        <f>SUM(Z684:Z685)</f>
        <v>9191.2174999999988</v>
      </c>
      <c r="AG686" s="71" t="str">
        <f t="shared" si="81"/>
        <v>|</v>
      </c>
      <c r="AH686" s="52">
        <f>SUM(AH684:AH685)</f>
        <v>8206.1</v>
      </c>
      <c r="AI686" s="50" t="s">
        <v>1095</v>
      </c>
    </row>
    <row r="687" spans="1:35" ht="15.75">
      <c r="A687" s="74">
        <f t="shared" si="70"/>
        <v>485</v>
      </c>
      <c r="B687" s="75" t="s">
        <v>1381</v>
      </c>
      <c r="C687" s="76">
        <v>90</v>
      </c>
      <c r="D687" s="75" t="s">
        <v>153</v>
      </c>
      <c r="H687" s="50" t="s">
        <v>272</v>
      </c>
      <c r="I687" s="52">
        <f>K686</f>
        <v>484.14400000000001</v>
      </c>
      <c r="J687" s="55">
        <f>C20*0.05</f>
        <v>8.3509999999999991</v>
      </c>
      <c r="K687" s="63">
        <f>I687+J687</f>
        <v>492.495</v>
      </c>
      <c r="O687" s="59" t="s">
        <v>21</v>
      </c>
      <c r="S687" s="168" t="s">
        <v>287</v>
      </c>
      <c r="U687" s="52" t="s">
        <v>288</v>
      </c>
      <c r="V687" s="168" t="s">
        <v>287</v>
      </c>
      <c r="X687" s="52">
        <f>X686*0.5%</f>
        <v>46.450987499999989</v>
      </c>
      <c r="Z687" s="52">
        <f>Z686*0.5/100</f>
        <v>45.956087499999995</v>
      </c>
      <c r="AG687" s="71" t="str">
        <f t="shared" si="81"/>
        <v>|</v>
      </c>
      <c r="AH687" s="52">
        <f>AH686/185.82</f>
        <v>44.16155419222904</v>
      </c>
      <c r="AI687" s="50" t="s">
        <v>1095</v>
      </c>
    </row>
    <row r="688" spans="1:35" ht="63">
      <c r="A688" s="74">
        <f t="shared" si="70"/>
        <v>486</v>
      </c>
      <c r="B688" s="75" t="s">
        <v>1382</v>
      </c>
      <c r="C688" s="76">
        <v>60</v>
      </c>
      <c r="D688" s="75" t="s">
        <v>153</v>
      </c>
      <c r="H688" s="50" t="s">
        <v>767</v>
      </c>
      <c r="I688" s="52">
        <f>K687</f>
        <v>492.495</v>
      </c>
      <c r="J688" s="55">
        <f>J687</f>
        <v>8.3509999999999991</v>
      </c>
      <c r="K688" s="63">
        <f>I688+J688</f>
        <v>500.846</v>
      </c>
      <c r="M688" s="64">
        <v>1</v>
      </c>
      <c r="N688" s="50" t="s">
        <v>153</v>
      </c>
      <c r="O688" s="50" t="s">
        <v>1383</v>
      </c>
      <c r="P688" s="64">
        <f>(C384)</f>
        <v>17.579999999999998</v>
      </c>
      <c r="Q688" s="50" t="s">
        <v>153</v>
      </c>
      <c r="R688" s="64">
        <f>(M688*P688)</f>
        <v>17.579999999999998</v>
      </c>
      <c r="T688" s="53"/>
      <c r="U688" s="65" t="s">
        <v>289</v>
      </c>
      <c r="W688" s="55"/>
      <c r="X688" s="63">
        <f>SUM(X686:X687)</f>
        <v>9336.6484874999987</v>
      </c>
      <c r="Y688" s="63"/>
      <c r="Z688" s="65">
        <f>SUM(Z686:Z687)</f>
        <v>9237.1735874999995</v>
      </c>
      <c r="AA688" s="169" t="s">
        <v>1384</v>
      </c>
      <c r="AB688" s="169"/>
      <c r="AG688" s="71" t="str">
        <f t="shared" si="81"/>
        <v>|</v>
      </c>
      <c r="AH688" s="52">
        <f>AH686/1000</f>
        <v>8.2061000000000011</v>
      </c>
      <c r="AI688" s="50" t="s">
        <v>1095</v>
      </c>
    </row>
    <row r="689" spans="1:35" ht="15.75">
      <c r="A689" s="74">
        <f t="shared" si="70"/>
        <v>487</v>
      </c>
      <c r="B689" s="75" t="s">
        <v>1385</v>
      </c>
      <c r="C689" s="76">
        <v>43.5</v>
      </c>
      <c r="D689" s="75" t="s">
        <v>153</v>
      </c>
      <c r="H689" s="50" t="s">
        <v>769</v>
      </c>
      <c r="I689" s="52">
        <f>K688</f>
        <v>500.846</v>
      </c>
      <c r="J689" s="55">
        <f>J688</f>
        <v>8.3509999999999991</v>
      </c>
      <c r="K689" s="63">
        <f>I689+J689</f>
        <v>509.197</v>
      </c>
      <c r="N689" s="50" t="s">
        <v>226</v>
      </c>
      <c r="O689" s="50" t="s">
        <v>1365</v>
      </c>
      <c r="Q689" s="50" t="s">
        <v>226</v>
      </c>
      <c r="R689" s="64">
        <v>2.09</v>
      </c>
      <c r="T689" s="53"/>
      <c r="W689" s="55"/>
      <c r="X689" s="59" t="s">
        <v>21</v>
      </c>
      <c r="Y689" s="59"/>
      <c r="AG689" s="71" t="str">
        <f t="shared" si="81"/>
        <v>|</v>
      </c>
      <c r="AH689" s="52">
        <f>185.82*10.764</f>
        <v>2000.1664799999999</v>
      </c>
      <c r="AI689" s="50" t="s">
        <v>1095</v>
      </c>
    </row>
    <row r="690" spans="1:35" ht="15.75">
      <c r="A690" s="74">
        <f t="shared" si="70"/>
        <v>488</v>
      </c>
      <c r="B690" s="75" t="s">
        <v>1386</v>
      </c>
      <c r="C690" s="76">
        <v>75</v>
      </c>
      <c r="D690" s="75" t="s">
        <v>153</v>
      </c>
      <c r="H690" s="50" t="s">
        <v>1117</v>
      </c>
      <c r="I690" s="52">
        <f>K689</f>
        <v>509.197</v>
      </c>
      <c r="J690" s="55">
        <f>J689</f>
        <v>8.3509999999999991</v>
      </c>
      <c r="K690" s="63">
        <f>I690+J690</f>
        <v>517.548</v>
      </c>
      <c r="O690" s="50" t="s">
        <v>1369</v>
      </c>
      <c r="R690" s="50" t="s">
        <v>150</v>
      </c>
      <c r="T690" s="53"/>
      <c r="U690" s="50" t="s">
        <v>271</v>
      </c>
      <c r="W690" s="55"/>
      <c r="X690" s="63">
        <f>(X688+C22)</f>
        <v>9462.5084874999993</v>
      </c>
      <c r="Y690" s="63"/>
      <c r="AG690" s="71" t="str">
        <f t="shared" si="81"/>
        <v>|</v>
      </c>
      <c r="AH690" s="52">
        <f>AH686/AH689</f>
        <v>4.1027084905452478</v>
      </c>
      <c r="AI690" s="50" t="s">
        <v>1095</v>
      </c>
    </row>
    <row r="691" spans="1:35" ht="15.75">
      <c r="A691" s="74">
        <f t="shared" si="70"/>
        <v>489</v>
      </c>
      <c r="B691" s="75" t="s">
        <v>1387</v>
      </c>
      <c r="C691" s="76">
        <v>52</v>
      </c>
      <c r="D691" s="75" t="s">
        <v>153</v>
      </c>
      <c r="F691" s="51" t="s">
        <v>1388</v>
      </c>
      <c r="H691" s="50" t="s">
        <v>1343</v>
      </c>
      <c r="R691" s="59" t="s">
        <v>21</v>
      </c>
      <c r="T691" s="53"/>
      <c r="U691" s="50" t="s">
        <v>272</v>
      </c>
      <c r="W691" s="55"/>
      <c r="X691" s="63">
        <f>(X690+C24)</f>
        <v>9710.3084874999986</v>
      </c>
      <c r="Y691" s="63"/>
      <c r="AG691" s="71" t="str">
        <f t="shared" si="81"/>
        <v>|</v>
      </c>
      <c r="AH691" s="52">
        <f>924.2/8.21</f>
        <v>112.5700365408039</v>
      </c>
      <c r="AI691" s="50" t="s">
        <v>1095</v>
      </c>
    </row>
    <row r="692" spans="1:35" ht="15.75">
      <c r="A692" s="74">
        <f t="shared" si="70"/>
        <v>490</v>
      </c>
      <c r="B692" s="75" t="s">
        <v>1380</v>
      </c>
      <c r="C692" s="76">
        <v>35.25</v>
      </c>
      <c r="D692" s="75" t="s">
        <v>153</v>
      </c>
      <c r="H692" s="50" t="s">
        <v>1389</v>
      </c>
      <c r="O692" s="50" t="s">
        <v>1374</v>
      </c>
      <c r="R692" s="64">
        <f>SUM(R688:R690)</f>
        <v>19.669999999999998</v>
      </c>
      <c r="T692" s="53"/>
      <c r="U692" s="50" t="s">
        <v>767</v>
      </c>
      <c r="W692" s="55"/>
      <c r="X692" s="63">
        <f>(X691+C24)</f>
        <v>9958.1084874999979</v>
      </c>
      <c r="Y692" s="63"/>
      <c r="AG692" s="71" t="str">
        <f t="shared" si="81"/>
        <v>|</v>
      </c>
      <c r="AI692" s="50" t="s">
        <v>1095</v>
      </c>
    </row>
    <row r="693" spans="1:35" ht="15.75">
      <c r="A693" s="74">
        <f t="shared" si="70"/>
        <v>491</v>
      </c>
      <c r="B693" s="75" t="s">
        <v>1390</v>
      </c>
      <c r="C693" s="76">
        <v>37.5</v>
      </c>
      <c r="D693" s="75" t="s">
        <v>153</v>
      </c>
      <c r="H693" s="50" t="s">
        <v>1347</v>
      </c>
      <c r="R693" s="59" t="s">
        <v>21</v>
      </c>
      <c r="T693" s="53"/>
      <c r="U693" s="50" t="s">
        <v>769</v>
      </c>
      <c r="W693" s="55"/>
      <c r="X693" s="63">
        <f>(X692+C24)</f>
        <v>10205.908487499997</v>
      </c>
      <c r="Y693" s="63"/>
      <c r="AG693" s="71" t="str">
        <f t="shared" si="81"/>
        <v>|</v>
      </c>
      <c r="AI693" s="50" t="s">
        <v>1095</v>
      </c>
    </row>
    <row r="694" spans="1:35" ht="15.75">
      <c r="A694" s="74">
        <f t="shared" si="70"/>
        <v>492</v>
      </c>
      <c r="B694" s="75" t="s">
        <v>1391</v>
      </c>
      <c r="C694" s="76">
        <v>24</v>
      </c>
      <c r="D694" s="75" t="s">
        <v>153</v>
      </c>
      <c r="H694" s="50" t="s">
        <v>1351</v>
      </c>
      <c r="O694" s="52" t="s">
        <v>646</v>
      </c>
      <c r="T694" s="53"/>
      <c r="U694" s="50" t="s">
        <v>838</v>
      </c>
      <c r="W694" s="55"/>
      <c r="X694" s="63">
        <f>(X693+C24)</f>
        <v>10453.708487499996</v>
      </c>
      <c r="Y694" s="63"/>
      <c r="AG694" s="71" t="str">
        <f t="shared" si="81"/>
        <v>|</v>
      </c>
      <c r="AI694" s="50" t="s">
        <v>1095</v>
      </c>
    </row>
    <row r="695" spans="1:35" ht="15.75">
      <c r="A695" s="74">
        <f t="shared" si="70"/>
        <v>493</v>
      </c>
      <c r="B695" s="75" t="s">
        <v>1392</v>
      </c>
      <c r="C695" s="76">
        <v>16</v>
      </c>
      <c r="D695" s="75" t="s">
        <v>153</v>
      </c>
      <c r="H695" s="50" t="s">
        <v>1355</v>
      </c>
      <c r="N695" s="50" t="s">
        <v>249</v>
      </c>
      <c r="O695" s="50" t="s">
        <v>1393</v>
      </c>
      <c r="AG695" s="71" t="str">
        <f t="shared" si="81"/>
        <v>|</v>
      </c>
      <c r="AI695" s="50" t="s">
        <v>1095</v>
      </c>
    </row>
    <row r="696" spans="1:35" ht="15.75">
      <c r="A696" s="74">
        <f t="shared" si="70"/>
        <v>494</v>
      </c>
      <c r="B696" s="50" t="s">
        <v>1394</v>
      </c>
      <c r="C696" s="71">
        <v>31.5</v>
      </c>
      <c r="D696" s="75" t="s">
        <v>153</v>
      </c>
      <c r="H696" s="50" t="s">
        <v>1359</v>
      </c>
      <c r="O696" s="50" t="s">
        <v>1356</v>
      </c>
      <c r="AG696" s="71" t="str">
        <f t="shared" si="81"/>
        <v>|</v>
      </c>
      <c r="AI696" s="50" t="s">
        <v>1095</v>
      </c>
    </row>
    <row r="697" spans="1:35" ht="15.75">
      <c r="A697" s="74">
        <f t="shared" si="70"/>
        <v>495</v>
      </c>
      <c r="B697" s="75" t="s">
        <v>1395</v>
      </c>
      <c r="C697" s="76">
        <v>6</v>
      </c>
      <c r="D697" s="75" t="s">
        <v>153</v>
      </c>
      <c r="H697" s="50" t="s">
        <v>1396</v>
      </c>
      <c r="O697" s="59" t="s">
        <v>21</v>
      </c>
      <c r="AG697" s="71" t="str">
        <f t="shared" si="81"/>
        <v>|</v>
      </c>
      <c r="AI697" s="50" t="s">
        <v>1095</v>
      </c>
    </row>
    <row r="698" spans="1:35" ht="15.75">
      <c r="A698" s="74">
        <f t="shared" si="70"/>
        <v>496</v>
      </c>
      <c r="B698" s="75" t="s">
        <v>1397</v>
      </c>
      <c r="C698" s="76">
        <v>152.5</v>
      </c>
      <c r="D698" s="75" t="s">
        <v>552</v>
      </c>
      <c r="E698" s="129">
        <v>98.6</v>
      </c>
      <c r="F698" s="52" t="s">
        <v>1398</v>
      </c>
      <c r="H698" s="59" t="s">
        <v>21</v>
      </c>
      <c r="I698" s="59" t="s">
        <v>21</v>
      </c>
      <c r="M698" s="64">
        <v>1</v>
      </c>
      <c r="N698" s="50" t="s">
        <v>153</v>
      </c>
      <c r="O698" s="50" t="s">
        <v>1399</v>
      </c>
      <c r="P698" s="64">
        <f>(C385)</f>
        <v>19.3</v>
      </c>
      <c r="Q698" s="50" t="s">
        <v>153</v>
      </c>
      <c r="R698" s="64">
        <f>(M698*P698)</f>
        <v>19.3</v>
      </c>
      <c r="AG698" s="71" t="str">
        <f t="shared" si="81"/>
        <v>|</v>
      </c>
      <c r="AI698" s="50" t="s">
        <v>1095</v>
      </c>
    </row>
    <row r="699" spans="1:35" ht="15.75">
      <c r="A699" s="74">
        <f t="shared" si="70"/>
        <v>497</v>
      </c>
      <c r="B699" s="75" t="s">
        <v>1400</v>
      </c>
      <c r="C699" s="76">
        <v>108.68</v>
      </c>
      <c r="D699" s="75" t="s">
        <v>153</v>
      </c>
      <c r="F699" s="64">
        <v>1</v>
      </c>
      <c r="G699" s="62" t="s">
        <v>152</v>
      </c>
      <c r="H699" s="50" t="s">
        <v>1401</v>
      </c>
      <c r="I699" s="64">
        <f>C76</f>
        <v>460</v>
      </c>
      <c r="J699" s="50" t="s">
        <v>152</v>
      </c>
      <c r="K699" s="64">
        <f>(F699*I699)</f>
        <v>460</v>
      </c>
      <c r="N699" s="50" t="s">
        <v>226</v>
      </c>
      <c r="O699" s="50" t="s">
        <v>1365</v>
      </c>
      <c r="Q699" s="50" t="s">
        <v>226</v>
      </c>
      <c r="R699" s="64">
        <v>2.09</v>
      </c>
      <c r="AG699" s="71" t="str">
        <f t="shared" si="81"/>
        <v>|</v>
      </c>
      <c r="AI699" s="50" t="s">
        <v>1095</v>
      </c>
    </row>
    <row r="700" spans="1:35" ht="15.75">
      <c r="A700" s="74">
        <f t="shared" si="70"/>
        <v>498</v>
      </c>
      <c r="B700" s="75" t="s">
        <v>1402</v>
      </c>
      <c r="C700" s="76">
        <v>119.89</v>
      </c>
      <c r="D700" s="75" t="s">
        <v>153</v>
      </c>
      <c r="F700" s="64">
        <v>1</v>
      </c>
      <c r="G700" s="62" t="s">
        <v>152</v>
      </c>
      <c r="H700" s="50" t="s">
        <v>1371</v>
      </c>
      <c r="I700" s="64">
        <f>C75</f>
        <v>175</v>
      </c>
      <c r="J700" s="50" t="s">
        <v>152</v>
      </c>
      <c r="K700" s="64">
        <f>(F700*I700)</f>
        <v>175</v>
      </c>
      <c r="O700" s="50" t="s">
        <v>1369</v>
      </c>
      <c r="R700" s="50" t="s">
        <v>150</v>
      </c>
      <c r="AG700" s="71" t="str">
        <f t="shared" si="81"/>
        <v>|</v>
      </c>
      <c r="AI700" s="50" t="s">
        <v>1095</v>
      </c>
    </row>
    <row r="701" spans="1:35" ht="15.75">
      <c r="A701" s="74">
        <f t="shared" si="70"/>
        <v>499</v>
      </c>
      <c r="B701" s="75" t="s">
        <v>1403</v>
      </c>
      <c r="C701" s="76">
        <v>297.44</v>
      </c>
      <c r="D701" s="75" t="s">
        <v>153</v>
      </c>
      <c r="F701" s="64">
        <v>1</v>
      </c>
      <c r="G701" s="62" t="s">
        <v>226</v>
      </c>
      <c r="H701" s="50" t="s">
        <v>1373</v>
      </c>
      <c r="I701" s="128">
        <v>15</v>
      </c>
      <c r="J701" s="50" t="s">
        <v>226</v>
      </c>
      <c r="K701" s="64">
        <f>(F701*I701)</f>
        <v>15</v>
      </c>
      <c r="R701" s="59" t="s">
        <v>21</v>
      </c>
      <c r="AG701" s="71" t="str">
        <f t="shared" si="81"/>
        <v>|</v>
      </c>
      <c r="AI701" s="50" t="s">
        <v>1095</v>
      </c>
    </row>
    <row r="702" spans="1:35" ht="15.75">
      <c r="A702" s="74">
        <f t="shared" si="70"/>
        <v>500</v>
      </c>
      <c r="B702" s="75" t="s">
        <v>1404</v>
      </c>
      <c r="C702" s="76">
        <v>28.6</v>
      </c>
      <c r="D702" s="75" t="s">
        <v>153</v>
      </c>
      <c r="H702" s="50" t="s">
        <v>237</v>
      </c>
      <c r="J702" s="50" t="s">
        <v>226</v>
      </c>
      <c r="K702" s="64">
        <v>0</v>
      </c>
      <c r="O702" s="50" t="s">
        <v>1374</v>
      </c>
      <c r="R702" s="64">
        <f>SUM(R698:R700)</f>
        <v>21.39</v>
      </c>
      <c r="AG702" s="71" t="str">
        <f t="shared" si="81"/>
        <v>|</v>
      </c>
      <c r="AI702" s="50" t="s">
        <v>1095</v>
      </c>
    </row>
    <row r="703" spans="1:35" ht="15.75">
      <c r="A703" s="74">
        <f>(A702+1)</f>
        <v>501</v>
      </c>
      <c r="B703" s="75" t="s">
        <v>1405</v>
      </c>
      <c r="C703" s="76">
        <v>228.86</v>
      </c>
      <c r="D703" s="75" t="s">
        <v>153</v>
      </c>
      <c r="K703" s="59" t="s">
        <v>21</v>
      </c>
      <c r="R703" s="59" t="s">
        <v>21</v>
      </c>
      <c r="AG703" s="71" t="str">
        <f t="shared" si="81"/>
        <v>|</v>
      </c>
      <c r="AI703" s="50" t="s">
        <v>1095</v>
      </c>
    </row>
    <row r="704" spans="1:35" ht="15.75">
      <c r="A704" s="90"/>
      <c r="B704" s="90" t="s">
        <v>1406</v>
      </c>
      <c r="C704" s="129">
        <v>2828</v>
      </c>
      <c r="D704" s="90" t="s">
        <v>152</v>
      </c>
      <c r="H704" s="50" t="s">
        <v>155</v>
      </c>
      <c r="K704" s="64">
        <f>SUM(K699:K702)</f>
        <v>650</v>
      </c>
      <c r="U704" s="65" t="s">
        <v>275</v>
      </c>
      <c r="AG704" s="71" t="str">
        <f t="shared" si="81"/>
        <v>|</v>
      </c>
      <c r="AI704" s="50" t="s">
        <v>1095</v>
      </c>
    </row>
    <row r="705" spans="1:35" ht="15.75">
      <c r="A705" s="74">
        <f>(A703+1)</f>
        <v>502</v>
      </c>
      <c r="B705" s="75" t="s">
        <v>1407</v>
      </c>
      <c r="C705" s="76">
        <v>70.47</v>
      </c>
      <c r="D705" s="75" t="s">
        <v>153</v>
      </c>
      <c r="H705" s="50" t="s">
        <v>1378</v>
      </c>
      <c r="K705" s="59" t="s">
        <v>156</v>
      </c>
      <c r="S705" s="56">
        <v>5</v>
      </c>
      <c r="T705" s="52" t="s">
        <v>276</v>
      </c>
      <c r="U705" s="52" t="s">
        <v>1353</v>
      </c>
      <c r="V705" s="52">
        <f>AE14</f>
        <v>2288.7799999999997</v>
      </c>
      <c r="X705" s="52">
        <f>V705*S705</f>
        <v>11443.899999999998</v>
      </c>
      <c r="AA705" s="52">
        <f>X705</f>
        <v>11443.899999999998</v>
      </c>
      <c r="AG705" s="71" t="str">
        <f t="shared" si="81"/>
        <v>|</v>
      </c>
      <c r="AI705" s="50" t="s">
        <v>1095</v>
      </c>
    </row>
    <row r="706" spans="1:35" ht="15.75">
      <c r="A706" s="74">
        <f t="shared" ref="A706:A763" si="82">(A705+1)</f>
        <v>503</v>
      </c>
      <c r="B706" s="75" t="s">
        <v>1408</v>
      </c>
      <c r="C706" s="76">
        <v>133.62</v>
      </c>
      <c r="D706" s="75" t="s">
        <v>153</v>
      </c>
      <c r="H706" s="50" t="s">
        <v>271</v>
      </c>
      <c r="I706" s="52">
        <f>K704</f>
        <v>650</v>
      </c>
      <c r="J706" s="50">
        <f>C19*0.11</f>
        <v>9.1167999999999996</v>
      </c>
      <c r="K706" s="63">
        <f>I706+J706</f>
        <v>659.11680000000001</v>
      </c>
      <c r="N706" s="50" t="s">
        <v>249</v>
      </c>
      <c r="O706" s="50" t="s">
        <v>1409</v>
      </c>
      <c r="S706" s="56">
        <v>3.3</v>
      </c>
      <c r="T706" s="52" t="s">
        <v>276</v>
      </c>
      <c r="U706" s="52" t="s">
        <v>1357</v>
      </c>
      <c r="V706" s="52">
        <f>(AE12+AE13)/2</f>
        <v>2016.2799999999997</v>
      </c>
      <c r="X706" s="52">
        <f t="shared" ref="X706:X712" si="83">V706*S706</f>
        <v>6653.7239999999993</v>
      </c>
      <c r="AA706" s="52">
        <f t="shared" ref="AA706:AA714" si="84">X706</f>
        <v>6653.7239999999993</v>
      </c>
      <c r="AG706" s="71" t="str">
        <f t="shared" si="81"/>
        <v>|</v>
      </c>
      <c r="AI706" s="50" t="s">
        <v>1095</v>
      </c>
    </row>
    <row r="707" spans="1:35" ht="15.75">
      <c r="A707" s="74">
        <f t="shared" si="82"/>
        <v>504</v>
      </c>
      <c r="B707" s="75" t="s">
        <v>1410</v>
      </c>
      <c r="C707" s="76">
        <v>133.62</v>
      </c>
      <c r="D707" s="75" t="s">
        <v>153</v>
      </c>
      <c r="H707" s="50" t="s">
        <v>272</v>
      </c>
      <c r="I707" s="52">
        <f>K706</f>
        <v>659.11680000000001</v>
      </c>
      <c r="J707" s="55">
        <f>C20*0.11</f>
        <v>18.372199999999999</v>
      </c>
      <c r="K707" s="63">
        <f>I707+J707</f>
        <v>677.48900000000003</v>
      </c>
      <c r="O707" s="50" t="s">
        <v>1411</v>
      </c>
      <c r="S707" s="56">
        <v>4.79</v>
      </c>
      <c r="T707" s="52" t="s">
        <v>276</v>
      </c>
      <c r="U707" s="52" t="s">
        <v>1360</v>
      </c>
      <c r="V707" s="52">
        <f>V644</f>
        <v>2116.9</v>
      </c>
      <c r="X707" s="52">
        <f t="shared" si="83"/>
        <v>10139.951000000001</v>
      </c>
      <c r="AA707" s="52">
        <f t="shared" si="84"/>
        <v>10139.951000000001</v>
      </c>
      <c r="AG707" s="71" t="str">
        <f t="shared" si="81"/>
        <v>|</v>
      </c>
      <c r="AI707" s="50" t="s">
        <v>1095</v>
      </c>
    </row>
    <row r="708" spans="1:35" ht="15.75">
      <c r="A708" s="74">
        <f t="shared" si="82"/>
        <v>505</v>
      </c>
      <c r="B708" s="75" t="s">
        <v>1412</v>
      </c>
      <c r="C708" s="76">
        <v>215</v>
      </c>
      <c r="D708" s="75" t="s">
        <v>153</v>
      </c>
      <c r="H708" s="50" t="s">
        <v>767</v>
      </c>
      <c r="I708" s="52">
        <f>K707</f>
        <v>677.48900000000003</v>
      </c>
      <c r="J708" s="55">
        <f>J707</f>
        <v>18.372199999999999</v>
      </c>
      <c r="K708" s="63">
        <f>I708+J708</f>
        <v>695.86120000000005</v>
      </c>
      <c r="O708" s="59" t="s">
        <v>21</v>
      </c>
      <c r="S708" s="56">
        <v>3.25</v>
      </c>
      <c r="T708" s="52" t="s">
        <v>277</v>
      </c>
      <c r="U708" s="52" t="s">
        <v>278</v>
      </c>
      <c r="V708" s="52">
        <f>V643</f>
        <v>5800</v>
      </c>
      <c r="X708" s="52">
        <f t="shared" si="83"/>
        <v>18850</v>
      </c>
      <c r="AA708" s="52">
        <f t="shared" si="84"/>
        <v>18850</v>
      </c>
      <c r="AG708" s="71" t="str">
        <f t="shared" si="81"/>
        <v>|</v>
      </c>
      <c r="AI708" s="50" t="s">
        <v>1095</v>
      </c>
    </row>
    <row r="709" spans="1:35" ht="31.5">
      <c r="A709" s="74">
        <f t="shared" si="82"/>
        <v>506</v>
      </c>
      <c r="B709" s="75" t="s">
        <v>1413</v>
      </c>
      <c r="C709" s="76">
        <v>215</v>
      </c>
      <c r="D709" s="75" t="s">
        <v>153</v>
      </c>
      <c r="H709" s="50" t="s">
        <v>769</v>
      </c>
      <c r="I709" s="52">
        <f>K708</f>
        <v>695.86120000000005</v>
      </c>
      <c r="J709" s="55">
        <f>J708</f>
        <v>18.372199999999999</v>
      </c>
      <c r="K709" s="63">
        <f>I709+J709</f>
        <v>714.23340000000007</v>
      </c>
      <c r="M709" s="64">
        <v>1</v>
      </c>
      <c r="N709" s="50" t="s">
        <v>153</v>
      </c>
      <c r="O709" s="50" t="s">
        <v>1414</v>
      </c>
      <c r="P709" s="64">
        <f>(C393/1*0.3)</f>
        <v>38.4</v>
      </c>
      <c r="Q709" s="50" t="s">
        <v>153</v>
      </c>
      <c r="R709" s="64">
        <f>(M709*P709)</f>
        <v>38.4</v>
      </c>
      <c r="S709" s="56">
        <f>3250*0.6%</f>
        <v>19.5</v>
      </c>
      <c r="T709" s="52" t="s">
        <v>13</v>
      </c>
      <c r="U709" s="170" t="s">
        <v>279</v>
      </c>
      <c r="V709" s="52">
        <f>V648</f>
        <v>42.4</v>
      </c>
      <c r="X709" s="52">
        <f t="shared" si="83"/>
        <v>826.8</v>
      </c>
      <c r="AA709" s="52">
        <f t="shared" si="84"/>
        <v>826.8</v>
      </c>
      <c r="AG709" s="71" t="str">
        <f t="shared" si="81"/>
        <v>|</v>
      </c>
      <c r="AI709" s="50" t="s">
        <v>1095</v>
      </c>
    </row>
    <row r="710" spans="1:35" ht="15.75">
      <c r="A710" s="74">
        <f t="shared" si="82"/>
        <v>507</v>
      </c>
      <c r="B710" s="75" t="s">
        <v>1415</v>
      </c>
      <c r="C710" s="76">
        <v>107.64</v>
      </c>
      <c r="D710" s="75" t="s">
        <v>152</v>
      </c>
      <c r="H710" s="50" t="s">
        <v>1117</v>
      </c>
      <c r="I710" s="52">
        <f>K709</f>
        <v>714.23340000000007</v>
      </c>
      <c r="J710" s="55">
        <f>J709</f>
        <v>18.372199999999999</v>
      </c>
      <c r="K710" s="63">
        <f>I710+J710</f>
        <v>732.60560000000009</v>
      </c>
      <c r="N710" s="50" t="s">
        <v>226</v>
      </c>
      <c r="O710" s="50" t="s">
        <v>1365</v>
      </c>
      <c r="Q710" s="50" t="s">
        <v>226</v>
      </c>
      <c r="R710" s="64">
        <v>1.65</v>
      </c>
      <c r="S710" s="56">
        <v>3.5</v>
      </c>
      <c r="T710" s="52" t="s">
        <v>154</v>
      </c>
      <c r="U710" s="52" t="s">
        <v>280</v>
      </c>
      <c r="V710" s="52">
        <f>C11</f>
        <v>1005.1999999999999</v>
      </c>
      <c r="W710" s="52">
        <f>J719</f>
        <v>0</v>
      </c>
      <c r="X710" s="52">
        <f t="shared" si="83"/>
        <v>3518.2</v>
      </c>
      <c r="AA710" s="52">
        <f t="shared" si="84"/>
        <v>3518.2</v>
      </c>
      <c r="AG710" s="71" t="str">
        <f t="shared" si="81"/>
        <v>|</v>
      </c>
      <c r="AI710" s="50" t="s">
        <v>1095</v>
      </c>
    </row>
    <row r="711" spans="1:35" ht="15.75">
      <c r="A711" s="74">
        <f t="shared" si="82"/>
        <v>508</v>
      </c>
      <c r="B711" s="75" t="s">
        <v>1416</v>
      </c>
      <c r="C711" s="90"/>
      <c r="D711" s="90"/>
      <c r="F711" s="50" t="s">
        <v>150</v>
      </c>
      <c r="O711" s="50" t="s">
        <v>1369</v>
      </c>
      <c r="R711" s="50" t="s">
        <v>150</v>
      </c>
      <c r="S711" s="56">
        <v>21.2</v>
      </c>
      <c r="T711" s="52" t="s">
        <v>154</v>
      </c>
      <c r="U711" s="52" t="s">
        <v>281</v>
      </c>
      <c r="V711" s="52">
        <f>C12</f>
        <v>702.8</v>
      </c>
      <c r="X711" s="52">
        <f t="shared" si="83"/>
        <v>14899.359999999999</v>
      </c>
      <c r="AA711" s="52">
        <f t="shared" si="84"/>
        <v>14899.359999999999</v>
      </c>
      <c r="AG711" s="71" t="str">
        <f t="shared" si="81"/>
        <v>|</v>
      </c>
      <c r="AI711" s="50" t="s">
        <v>1095</v>
      </c>
    </row>
    <row r="712" spans="1:35" ht="15.75">
      <c r="A712" s="74">
        <f t="shared" si="82"/>
        <v>509</v>
      </c>
      <c r="B712" s="75" t="s">
        <v>1417</v>
      </c>
      <c r="C712" s="73">
        <v>6</v>
      </c>
      <c r="D712" s="75" t="s">
        <v>153</v>
      </c>
      <c r="R712" s="59" t="s">
        <v>21</v>
      </c>
      <c r="S712" s="56">
        <v>35.299999999999997</v>
      </c>
      <c r="T712" s="52" t="s">
        <v>154</v>
      </c>
      <c r="U712" s="52" t="s">
        <v>282</v>
      </c>
      <c r="V712" s="52">
        <f>C13</f>
        <v>576.79999999999995</v>
      </c>
      <c r="X712" s="52">
        <f t="shared" si="83"/>
        <v>20361.039999999997</v>
      </c>
      <c r="AA712" s="52">
        <f t="shared" si="84"/>
        <v>20361.039999999997</v>
      </c>
      <c r="AG712" s="71" t="str">
        <f t="shared" si="81"/>
        <v>|</v>
      </c>
      <c r="AI712" s="50" t="s">
        <v>1095</v>
      </c>
    </row>
    <row r="713" spans="1:35" ht="15.75">
      <c r="A713" s="74">
        <f t="shared" si="82"/>
        <v>510</v>
      </c>
      <c r="B713" s="75" t="s">
        <v>1026</v>
      </c>
      <c r="C713" s="73">
        <v>7.3</v>
      </c>
      <c r="D713" s="75" t="s">
        <v>153</v>
      </c>
      <c r="F713" s="51" t="s">
        <v>451</v>
      </c>
      <c r="H713" s="50" t="s">
        <v>1418</v>
      </c>
      <c r="O713" s="50" t="s">
        <v>1374</v>
      </c>
      <c r="R713" s="64">
        <f>SUM(R709:R711)</f>
        <v>40.049999999999997</v>
      </c>
      <c r="U713" s="52" t="s">
        <v>283</v>
      </c>
      <c r="V713" s="52">
        <f>V683</f>
        <v>0</v>
      </c>
      <c r="X713" s="65">
        <f>SUM(X705:X712)</f>
        <v>86692.974999999991</v>
      </c>
      <c r="Y713" s="65"/>
      <c r="AA713" s="52">
        <f t="shared" si="84"/>
        <v>86692.974999999991</v>
      </c>
      <c r="AG713" s="71" t="str">
        <f t="shared" si="81"/>
        <v>|</v>
      </c>
      <c r="AI713" s="50" t="s">
        <v>1095</v>
      </c>
    </row>
    <row r="714" spans="1:35" ht="15.75">
      <c r="A714" s="74">
        <f t="shared" si="82"/>
        <v>511</v>
      </c>
      <c r="B714" s="75" t="s">
        <v>1028</v>
      </c>
      <c r="C714" s="73">
        <v>9.6999999999999993</v>
      </c>
      <c r="D714" s="75" t="s">
        <v>153</v>
      </c>
      <c r="H714" s="50" t="s">
        <v>1419</v>
      </c>
      <c r="R714" s="59" t="s">
        <v>21</v>
      </c>
      <c r="U714" s="52" t="s">
        <v>284</v>
      </c>
      <c r="V714" s="52">
        <f>V684</f>
        <v>0</v>
      </c>
      <c r="X714" s="65">
        <f>X713/10</f>
        <v>8669.2974999999988</v>
      </c>
      <c r="Y714" s="65"/>
      <c r="AA714" s="52">
        <f t="shared" si="84"/>
        <v>8669.2974999999988</v>
      </c>
      <c r="AG714" s="71" t="str">
        <f t="shared" si="81"/>
        <v>|</v>
      </c>
      <c r="AI714" s="50" t="s">
        <v>1095</v>
      </c>
    </row>
    <row r="715" spans="1:35" ht="15.75">
      <c r="A715" s="74">
        <f t="shared" si="82"/>
        <v>512</v>
      </c>
      <c r="B715" s="75" t="s">
        <v>1029</v>
      </c>
      <c r="C715" s="73">
        <v>14.6</v>
      </c>
      <c r="D715" s="75" t="s">
        <v>153</v>
      </c>
      <c r="H715" s="50" t="s">
        <v>1420</v>
      </c>
      <c r="O715" s="51" t="s">
        <v>1421</v>
      </c>
      <c r="R715" s="50" t="s">
        <v>150</v>
      </c>
      <c r="S715" s="56">
        <v>1</v>
      </c>
      <c r="T715" s="52" t="s">
        <v>276</v>
      </c>
      <c r="U715" s="52" t="s">
        <v>285</v>
      </c>
      <c r="V715" s="52">
        <f>C25</f>
        <v>98.98</v>
      </c>
      <c r="X715" s="52">
        <f>V715*S715</f>
        <v>98.98</v>
      </c>
      <c r="AG715" s="71" t="str">
        <f t="shared" si="81"/>
        <v>|</v>
      </c>
      <c r="AI715" s="50" t="s">
        <v>1095</v>
      </c>
    </row>
    <row r="716" spans="1:35" ht="15.75">
      <c r="A716" s="74">
        <f t="shared" si="82"/>
        <v>513</v>
      </c>
      <c r="B716" s="75" t="s">
        <v>1030</v>
      </c>
      <c r="C716" s="73">
        <v>19.600000000000001</v>
      </c>
      <c r="D716" s="75" t="s">
        <v>153</v>
      </c>
      <c r="H716" s="59" t="s">
        <v>21</v>
      </c>
      <c r="M716" s="131"/>
      <c r="O716" s="51" t="s">
        <v>1422</v>
      </c>
      <c r="U716" s="52" t="s">
        <v>286</v>
      </c>
      <c r="V716" s="52">
        <f>V686</f>
        <v>0</v>
      </c>
      <c r="X716" s="65">
        <f>SUM(X714:X715)</f>
        <v>8768.2774999999983</v>
      </c>
      <c r="Y716" s="65"/>
      <c r="AA716" s="52">
        <f>AA714</f>
        <v>8669.2974999999988</v>
      </c>
      <c r="AG716" s="71" t="str">
        <f t="shared" si="81"/>
        <v>|</v>
      </c>
      <c r="AI716" s="50" t="s">
        <v>1095</v>
      </c>
    </row>
    <row r="717" spans="1:35" ht="15.75">
      <c r="A717" s="74">
        <f t="shared" si="82"/>
        <v>514</v>
      </c>
      <c r="B717" s="75" t="s">
        <v>1423</v>
      </c>
      <c r="C717" s="90"/>
      <c r="D717" s="75" t="s">
        <v>150</v>
      </c>
      <c r="F717" s="64">
        <v>0.4</v>
      </c>
      <c r="G717" s="62" t="s">
        <v>151</v>
      </c>
      <c r="H717" s="50" t="s">
        <v>1424</v>
      </c>
      <c r="I717" s="64">
        <f>(C268)</f>
        <v>17600</v>
      </c>
      <c r="J717" s="50" t="s">
        <v>151</v>
      </c>
      <c r="K717" s="64">
        <f>(F717*I717)</f>
        <v>7040</v>
      </c>
      <c r="M717" s="51" t="s">
        <v>848</v>
      </c>
      <c r="N717" s="50" t="s">
        <v>524</v>
      </c>
      <c r="O717" s="50" t="s">
        <v>1425</v>
      </c>
      <c r="S717" s="168" t="s">
        <v>287</v>
      </c>
      <c r="U717" s="52" t="s">
        <v>288</v>
      </c>
      <c r="V717" s="52" t="str">
        <f>V687</f>
        <v>LS</v>
      </c>
      <c r="X717" s="52">
        <f>X716*0.5%</f>
        <v>43.841387499999989</v>
      </c>
      <c r="AA717" s="52">
        <f>AA716*0.5/100</f>
        <v>43.346487499999995</v>
      </c>
      <c r="AG717" s="71" t="str">
        <f t="shared" si="81"/>
        <v>|::</v>
      </c>
      <c r="AI717" s="50" t="s">
        <v>892</v>
      </c>
    </row>
    <row r="718" spans="1:35" ht="15.75">
      <c r="A718" s="74">
        <f t="shared" si="82"/>
        <v>515</v>
      </c>
      <c r="B718" s="75" t="s">
        <v>980</v>
      </c>
      <c r="C718" s="76">
        <v>20</v>
      </c>
      <c r="D718" s="75" t="s">
        <v>153</v>
      </c>
      <c r="F718" s="64">
        <v>0.12</v>
      </c>
      <c r="G718" s="62" t="s">
        <v>151</v>
      </c>
      <c r="H718" s="50" t="s">
        <v>1426</v>
      </c>
      <c r="I718" s="64">
        <f>(C269)</f>
        <v>15500</v>
      </c>
      <c r="J718" s="50" t="s">
        <v>151</v>
      </c>
      <c r="K718" s="64">
        <f>(F718*I718)</f>
        <v>1860</v>
      </c>
      <c r="O718" s="59" t="s">
        <v>21</v>
      </c>
      <c r="T718" s="53"/>
      <c r="U718" s="65" t="s">
        <v>289</v>
      </c>
      <c r="W718" s="55"/>
      <c r="X718" s="63">
        <f>SUM(X716:X717)</f>
        <v>8812.1188874999989</v>
      </c>
      <c r="Y718" s="63"/>
      <c r="AA718" s="65">
        <f>SUM(AA716:AA717)</f>
        <v>8712.6439874999996</v>
      </c>
      <c r="AB718" s="65"/>
      <c r="AG718" s="71">
        <f t="shared" si="81"/>
        <v>0</v>
      </c>
    </row>
    <row r="719" spans="1:35" ht="15.75">
      <c r="A719" s="74">
        <f t="shared" si="82"/>
        <v>516</v>
      </c>
      <c r="B719" s="75" t="s">
        <v>1427</v>
      </c>
      <c r="C719" s="76">
        <v>45</v>
      </c>
      <c r="D719" s="75" t="s">
        <v>153</v>
      </c>
      <c r="H719" s="50" t="s">
        <v>1428</v>
      </c>
      <c r="I719" s="50" t="s">
        <v>150</v>
      </c>
      <c r="K719" s="50" t="s">
        <v>150</v>
      </c>
      <c r="M719" s="131">
        <v>2.69E-2</v>
      </c>
      <c r="N719" s="50" t="s">
        <v>151</v>
      </c>
      <c r="O719" s="120" t="s">
        <v>1429</v>
      </c>
      <c r="P719" s="64">
        <f>C86</f>
        <v>34300</v>
      </c>
      <c r="Q719" s="50" t="s">
        <v>151</v>
      </c>
      <c r="R719" s="64">
        <f t="shared" ref="R719:R725" si="85">M719*P719</f>
        <v>922.67</v>
      </c>
      <c r="T719" s="53"/>
      <c r="W719" s="55"/>
      <c r="X719" s="59" t="s">
        <v>21</v>
      </c>
      <c r="Y719" s="59"/>
      <c r="AG719" s="71">
        <f t="shared" si="81"/>
        <v>0</v>
      </c>
    </row>
    <row r="720" spans="1:35" ht="15.75">
      <c r="A720" s="74">
        <f t="shared" si="82"/>
        <v>517</v>
      </c>
      <c r="B720" s="75" t="s">
        <v>1430</v>
      </c>
      <c r="C720" s="90"/>
      <c r="D720" s="75" t="s">
        <v>646</v>
      </c>
      <c r="F720" s="64">
        <v>98.5</v>
      </c>
      <c r="G720" s="62" t="s">
        <v>552</v>
      </c>
      <c r="H720" s="50" t="s">
        <v>1431</v>
      </c>
      <c r="I720" s="64">
        <f>(C270)</f>
        <v>25.2</v>
      </c>
      <c r="J720" s="50" t="s">
        <v>552</v>
      </c>
      <c r="K720" s="64">
        <f>(F720*I720)</f>
        <v>2482.1999999999998</v>
      </c>
      <c r="M720" s="131">
        <v>1.2949999999999999</v>
      </c>
      <c r="N720" s="50" t="s">
        <v>152</v>
      </c>
      <c r="O720" s="50" t="s">
        <v>1432</v>
      </c>
      <c r="P720" s="64">
        <f>C783</f>
        <v>387.4</v>
      </c>
      <c r="Q720" s="50" t="s">
        <v>152</v>
      </c>
      <c r="R720" s="64">
        <f t="shared" si="85"/>
        <v>501.68299999999994</v>
      </c>
      <c r="T720" s="53"/>
      <c r="U720" s="50" t="s">
        <v>271</v>
      </c>
      <c r="W720" s="55"/>
      <c r="X720" s="63">
        <f>(X718+C22)</f>
        <v>8937.9788874999995</v>
      </c>
      <c r="Y720" s="63"/>
      <c r="AG720" s="71">
        <f t="shared" si="81"/>
        <v>0</v>
      </c>
    </row>
    <row r="721" spans="1:35" ht="15.75">
      <c r="A721" s="74">
        <f t="shared" si="82"/>
        <v>518</v>
      </c>
      <c r="B721" s="75" t="s">
        <v>980</v>
      </c>
      <c r="C721" s="76">
        <v>19.09</v>
      </c>
      <c r="D721" s="75" t="s">
        <v>153</v>
      </c>
      <c r="H721" s="50" t="s">
        <v>1433</v>
      </c>
      <c r="I721" s="50" t="s">
        <v>150</v>
      </c>
      <c r="K721" s="50" t="s">
        <v>646</v>
      </c>
      <c r="M721" s="131">
        <v>1.8149999999999999</v>
      </c>
      <c r="N721" s="50" t="s">
        <v>152</v>
      </c>
      <c r="O721" s="50" t="s">
        <v>880</v>
      </c>
      <c r="P721" s="64">
        <f>C31</f>
        <v>1617</v>
      </c>
      <c r="Q721" s="50" t="s">
        <v>152</v>
      </c>
      <c r="R721" s="64">
        <f t="shared" si="85"/>
        <v>2934.855</v>
      </c>
      <c r="T721" s="53"/>
      <c r="U721" s="50" t="s">
        <v>272</v>
      </c>
      <c r="W721" s="55"/>
      <c r="X721" s="63">
        <f>(X720+C24)</f>
        <v>9185.7788874999987</v>
      </c>
      <c r="Y721" s="63"/>
      <c r="AG721" s="71" t="str">
        <f t="shared" si="81"/>
        <v>|</v>
      </c>
      <c r="AI721" s="50" t="s">
        <v>1095</v>
      </c>
    </row>
    <row r="722" spans="1:35" ht="15.75">
      <c r="A722" s="74">
        <f t="shared" si="82"/>
        <v>519</v>
      </c>
      <c r="B722" s="75" t="s">
        <v>1427</v>
      </c>
      <c r="C722" s="76">
        <v>50.66</v>
      </c>
      <c r="D722" s="75" t="s">
        <v>153</v>
      </c>
      <c r="K722" s="59" t="s">
        <v>21</v>
      </c>
      <c r="M722" s="64">
        <v>2</v>
      </c>
      <c r="N722" s="50" t="s">
        <v>153</v>
      </c>
      <c r="O722" s="50" t="s">
        <v>1434</v>
      </c>
      <c r="P722" s="64">
        <f>C299</f>
        <v>10.5</v>
      </c>
      <c r="Q722" s="50" t="s">
        <v>153</v>
      </c>
      <c r="R722" s="64">
        <f t="shared" si="85"/>
        <v>21</v>
      </c>
      <c r="T722" s="53"/>
      <c r="U722" s="50" t="s">
        <v>767</v>
      </c>
      <c r="W722" s="55"/>
      <c r="X722" s="63">
        <f>(X721+C24)</f>
        <v>9433.578887499998</v>
      </c>
      <c r="Y722" s="63"/>
      <c r="AG722" s="71" t="str">
        <f t="shared" si="81"/>
        <v>|</v>
      </c>
      <c r="AI722" s="50" t="s">
        <v>1095</v>
      </c>
    </row>
    <row r="723" spans="1:35" ht="15.75">
      <c r="A723" s="74">
        <f t="shared" si="82"/>
        <v>520</v>
      </c>
      <c r="B723" s="75" t="s">
        <v>1435</v>
      </c>
      <c r="C723" s="76">
        <v>1183.82</v>
      </c>
      <c r="D723" s="75" t="s">
        <v>152</v>
      </c>
      <c r="H723" s="50" t="s">
        <v>1436</v>
      </c>
      <c r="K723" s="64">
        <f>SUM(K717:K721)</f>
        <v>11382.2</v>
      </c>
      <c r="M723" s="64">
        <v>3</v>
      </c>
      <c r="N723" s="50" t="s">
        <v>153</v>
      </c>
      <c r="O723" s="50" t="s">
        <v>1437</v>
      </c>
      <c r="P723" s="64">
        <f>C295</f>
        <v>8.5</v>
      </c>
      <c r="Q723" s="50" t="s">
        <v>153</v>
      </c>
      <c r="R723" s="64">
        <f t="shared" si="85"/>
        <v>25.5</v>
      </c>
      <c r="T723" s="53"/>
      <c r="U723" s="50" t="s">
        <v>769</v>
      </c>
      <c r="W723" s="55"/>
      <c r="X723" s="63">
        <f>(X722+C24)</f>
        <v>9681.3788874999973</v>
      </c>
      <c r="Y723" s="63"/>
      <c r="AG723" s="71" t="str">
        <f t="shared" si="81"/>
        <v>|</v>
      </c>
      <c r="AI723" s="50" t="s">
        <v>1095</v>
      </c>
    </row>
    <row r="724" spans="1:35" ht="15.75">
      <c r="A724" s="74">
        <f t="shared" si="82"/>
        <v>521</v>
      </c>
      <c r="B724" s="75" t="s">
        <v>1438</v>
      </c>
      <c r="C724" s="76">
        <v>1605</v>
      </c>
      <c r="D724" s="75" t="s">
        <v>152</v>
      </c>
      <c r="H724" s="50" t="s">
        <v>150</v>
      </c>
      <c r="K724" s="59" t="s">
        <v>21</v>
      </c>
      <c r="M724" s="64">
        <v>1</v>
      </c>
      <c r="N724" s="50" t="s">
        <v>153</v>
      </c>
      <c r="O724" s="50" t="s">
        <v>1439</v>
      </c>
      <c r="P724" s="64">
        <f>C301</f>
        <v>21</v>
      </c>
      <c r="Q724" s="50" t="s">
        <v>153</v>
      </c>
      <c r="R724" s="64">
        <f t="shared" si="85"/>
        <v>21</v>
      </c>
      <c r="T724" s="53"/>
      <c r="U724" s="50" t="s">
        <v>838</v>
      </c>
      <c r="W724" s="55"/>
      <c r="X724" s="63">
        <f>(X723+C24)</f>
        <v>9929.1788874999966</v>
      </c>
      <c r="Y724" s="63"/>
      <c r="AG724" s="71" t="str">
        <f t="shared" si="81"/>
        <v>|</v>
      </c>
      <c r="AI724" s="50" t="s">
        <v>1095</v>
      </c>
    </row>
    <row r="725" spans="1:35" ht="15.75">
      <c r="A725" s="74">
        <f t="shared" si="82"/>
        <v>522</v>
      </c>
      <c r="B725" s="75" t="s">
        <v>1440</v>
      </c>
      <c r="C725" s="154">
        <v>8.6</v>
      </c>
      <c r="D725" s="164" t="s">
        <v>1441</v>
      </c>
      <c r="F725" s="64">
        <v>10</v>
      </c>
      <c r="G725" s="62" t="s">
        <v>152</v>
      </c>
      <c r="H725" s="50" t="s">
        <v>1442</v>
      </c>
      <c r="I725" s="64">
        <f>(K723/50)</f>
        <v>227.64400000000001</v>
      </c>
      <c r="J725" s="50" t="s">
        <v>152</v>
      </c>
      <c r="K725" s="64">
        <f>(F725*I725)</f>
        <v>2276.44</v>
      </c>
      <c r="M725" s="64">
        <v>1</v>
      </c>
      <c r="N725" s="50" t="s">
        <v>153</v>
      </c>
      <c r="O725" s="50" t="s">
        <v>884</v>
      </c>
      <c r="P725" s="64">
        <f>C303</f>
        <v>4</v>
      </c>
      <c r="Q725" s="50" t="s">
        <v>153</v>
      </c>
      <c r="R725" s="64">
        <f t="shared" si="85"/>
        <v>4</v>
      </c>
      <c r="AG725" s="71" t="str">
        <f t="shared" si="81"/>
        <v>|</v>
      </c>
      <c r="AI725" s="50" t="s">
        <v>1095</v>
      </c>
    </row>
    <row r="726" spans="1:35" ht="15.75">
      <c r="A726" s="74">
        <f t="shared" si="82"/>
        <v>523</v>
      </c>
      <c r="B726" s="75" t="s">
        <v>1443</v>
      </c>
      <c r="C726" s="76">
        <v>147.6</v>
      </c>
      <c r="D726" s="75" t="s">
        <v>552</v>
      </c>
      <c r="F726" s="64">
        <v>3.8</v>
      </c>
      <c r="G726" s="62" t="s">
        <v>4</v>
      </c>
      <c r="H726" s="50" t="s">
        <v>1444</v>
      </c>
      <c r="I726" s="64">
        <f>(C16)</f>
        <v>1052.8</v>
      </c>
      <c r="J726" s="50" t="s">
        <v>4</v>
      </c>
      <c r="K726" s="64">
        <f>(F726*I726)</f>
        <v>4000.6399999999994</v>
      </c>
      <c r="N726" s="50" t="s">
        <v>226</v>
      </c>
      <c r="O726" s="50" t="s">
        <v>237</v>
      </c>
      <c r="Q726" s="50" t="s">
        <v>226</v>
      </c>
      <c r="R726" s="64">
        <v>0</v>
      </c>
      <c r="AG726" s="71" t="str">
        <f t="shared" si="81"/>
        <v>|</v>
      </c>
      <c r="AI726" s="50" t="s">
        <v>1095</v>
      </c>
    </row>
    <row r="727" spans="1:35" ht="15.75">
      <c r="A727" s="74">
        <f t="shared" si="82"/>
        <v>524</v>
      </c>
      <c r="B727" s="75" t="s">
        <v>1445</v>
      </c>
      <c r="C727" s="76">
        <v>147.6</v>
      </c>
      <c r="D727" s="75" t="s">
        <v>552</v>
      </c>
      <c r="F727" s="64">
        <v>5.4</v>
      </c>
      <c r="G727" s="62" t="s">
        <v>4</v>
      </c>
      <c r="H727" s="50" t="s">
        <v>235</v>
      </c>
      <c r="I727" s="64">
        <f>(C12)</f>
        <v>702.8</v>
      </c>
      <c r="J727" s="50" t="s">
        <v>4</v>
      </c>
      <c r="K727" s="64">
        <f>(F727*I727)</f>
        <v>3795.12</v>
      </c>
      <c r="R727" s="59" t="s">
        <v>21</v>
      </c>
      <c r="AG727" s="71" t="str">
        <f t="shared" si="81"/>
        <v>|</v>
      </c>
      <c r="AI727" s="50" t="s">
        <v>1095</v>
      </c>
    </row>
    <row r="728" spans="1:35" ht="15.75">
      <c r="A728" s="74">
        <f t="shared" si="82"/>
        <v>525</v>
      </c>
      <c r="B728" s="75" t="s">
        <v>1446</v>
      </c>
      <c r="C728" s="76">
        <v>147.6</v>
      </c>
      <c r="D728" s="75" t="s">
        <v>552</v>
      </c>
      <c r="G728" s="62" t="s">
        <v>226</v>
      </c>
      <c r="H728" s="50" t="s">
        <v>1447</v>
      </c>
      <c r="J728" s="50" t="s">
        <v>226</v>
      </c>
      <c r="K728" s="64">
        <v>5</v>
      </c>
      <c r="O728" s="51" t="s">
        <v>1448</v>
      </c>
      <c r="R728" s="64">
        <f>SUM(R719:R726)</f>
        <v>4430.7079999999996</v>
      </c>
      <c r="AG728" s="71" t="str">
        <f t="shared" si="81"/>
        <v>|</v>
      </c>
      <c r="AI728" s="50" t="s">
        <v>1095</v>
      </c>
    </row>
    <row r="729" spans="1:35" ht="15.75">
      <c r="A729" s="74">
        <f t="shared" si="82"/>
        <v>526</v>
      </c>
      <c r="B729" s="75" t="s">
        <v>1449</v>
      </c>
      <c r="C729" s="76">
        <v>1250</v>
      </c>
      <c r="D729" s="75" t="s">
        <v>152</v>
      </c>
      <c r="K729" s="59" t="s">
        <v>21</v>
      </c>
      <c r="R729" s="59" t="s">
        <v>21</v>
      </c>
      <c r="AG729" s="71" t="str">
        <f t="shared" si="81"/>
        <v>|</v>
      </c>
      <c r="AI729" s="50" t="s">
        <v>1095</v>
      </c>
    </row>
    <row r="730" spans="1:35" ht="15.75">
      <c r="A730" s="74">
        <f t="shared" si="82"/>
        <v>527</v>
      </c>
      <c r="B730" s="75" t="s">
        <v>1450</v>
      </c>
      <c r="C730" s="76">
        <v>1250</v>
      </c>
      <c r="D730" s="75" t="s">
        <v>152</v>
      </c>
      <c r="H730" s="50" t="s">
        <v>238</v>
      </c>
      <c r="K730" s="64">
        <f>SUM(K725:K728)</f>
        <v>10077.200000000001</v>
      </c>
      <c r="N730" s="50" t="s">
        <v>150</v>
      </c>
      <c r="O730" s="51" t="s">
        <v>155</v>
      </c>
      <c r="R730" s="64">
        <f>R728/M720</f>
        <v>3421.3961389961387</v>
      </c>
      <c r="AG730" s="71" t="str">
        <f t="shared" si="81"/>
        <v>|</v>
      </c>
      <c r="AI730" s="50" t="s">
        <v>1095</v>
      </c>
    </row>
    <row r="731" spans="1:35" ht="15.75">
      <c r="A731" s="74">
        <f t="shared" si="82"/>
        <v>528</v>
      </c>
      <c r="B731" s="75" t="s">
        <v>1451</v>
      </c>
      <c r="C731" s="76">
        <v>1250</v>
      </c>
      <c r="D731" s="75" t="s">
        <v>152</v>
      </c>
      <c r="K731" s="59" t="s">
        <v>21</v>
      </c>
      <c r="R731" s="59" t="s">
        <v>156</v>
      </c>
      <c r="AG731" s="71" t="str">
        <f t="shared" si="81"/>
        <v>|</v>
      </c>
      <c r="AI731" s="50" t="s">
        <v>1095</v>
      </c>
    </row>
    <row r="732" spans="1:35" ht="15.75">
      <c r="A732" s="74">
        <f t="shared" si="82"/>
        <v>529</v>
      </c>
      <c r="B732" s="75" t="s">
        <v>1452</v>
      </c>
      <c r="C732" s="76">
        <v>1250</v>
      </c>
      <c r="D732" s="75" t="s">
        <v>152</v>
      </c>
      <c r="H732" s="50" t="s">
        <v>155</v>
      </c>
      <c r="K732" s="64">
        <f>(K730/10)</f>
        <v>1007.72</v>
      </c>
      <c r="M732" s="51" t="s">
        <v>848</v>
      </c>
      <c r="N732" s="50" t="s">
        <v>520</v>
      </c>
      <c r="O732" s="50" t="s">
        <v>1453</v>
      </c>
      <c r="AG732" s="71" t="str">
        <f t="shared" si="81"/>
        <v>|</v>
      </c>
      <c r="AI732" s="50" t="s">
        <v>1095</v>
      </c>
    </row>
    <row r="733" spans="1:35" ht="15.75">
      <c r="A733" s="74">
        <f t="shared" si="82"/>
        <v>530</v>
      </c>
      <c r="B733" s="75" t="s">
        <v>1454</v>
      </c>
      <c r="C733" s="76">
        <v>1250</v>
      </c>
      <c r="D733" s="75" t="s">
        <v>152</v>
      </c>
      <c r="K733" s="59" t="s">
        <v>156</v>
      </c>
      <c r="O733" s="59" t="s">
        <v>21</v>
      </c>
      <c r="AG733" s="71" t="str">
        <f t="shared" si="81"/>
        <v>|</v>
      </c>
      <c r="AI733" s="50" t="s">
        <v>1095</v>
      </c>
    </row>
    <row r="734" spans="1:35" ht="15.75">
      <c r="A734" s="74">
        <f t="shared" si="82"/>
        <v>531</v>
      </c>
      <c r="B734" s="75" t="s">
        <v>1455</v>
      </c>
      <c r="C734" s="76">
        <v>1250</v>
      </c>
      <c r="D734" s="75" t="s">
        <v>152</v>
      </c>
      <c r="M734" s="131">
        <v>2.5499999999999998E-2</v>
      </c>
      <c r="N734" s="50" t="s">
        <v>151</v>
      </c>
      <c r="O734" s="50" t="s">
        <v>1456</v>
      </c>
      <c r="P734" s="64">
        <f>C86</f>
        <v>34300</v>
      </c>
      <c r="Q734" s="50" t="s">
        <v>151</v>
      </c>
      <c r="R734" s="64">
        <f t="shared" ref="R734:R740" si="86">M734*P734</f>
        <v>874.65</v>
      </c>
      <c r="AG734" s="71" t="str">
        <f t="shared" si="81"/>
        <v>|</v>
      </c>
      <c r="AI734" s="50" t="s">
        <v>1095</v>
      </c>
    </row>
    <row r="735" spans="1:35" ht="15.75">
      <c r="A735" s="74">
        <f t="shared" si="82"/>
        <v>532</v>
      </c>
      <c r="B735" s="75" t="s">
        <v>1457</v>
      </c>
      <c r="C735" s="76">
        <v>1250</v>
      </c>
      <c r="D735" s="75" t="s">
        <v>152</v>
      </c>
      <c r="F735" s="51" t="s">
        <v>453</v>
      </c>
      <c r="G735" s="62" t="s">
        <v>249</v>
      </c>
      <c r="H735" s="50" t="s">
        <v>1458</v>
      </c>
      <c r="M735" s="131">
        <v>1.1299999999999999</v>
      </c>
      <c r="N735" s="50" t="s">
        <v>152</v>
      </c>
      <c r="O735" s="50" t="s">
        <v>1432</v>
      </c>
      <c r="P735" s="64">
        <f>C783</f>
        <v>387.4</v>
      </c>
      <c r="Q735" s="50" t="s">
        <v>152</v>
      </c>
      <c r="R735" s="64">
        <f t="shared" si="86"/>
        <v>437.76199999999994</v>
      </c>
      <c r="AG735" s="71" t="str">
        <f t="shared" si="81"/>
        <v>|</v>
      </c>
      <c r="AI735" s="50" t="s">
        <v>1095</v>
      </c>
    </row>
    <row r="736" spans="1:35" ht="15.75">
      <c r="A736" s="74">
        <f t="shared" si="82"/>
        <v>533</v>
      </c>
      <c r="B736" s="75" t="s">
        <v>1459</v>
      </c>
      <c r="C736" s="76">
        <v>1250</v>
      </c>
      <c r="D736" s="75" t="s">
        <v>152</v>
      </c>
      <c r="H736" s="50" t="s">
        <v>1460</v>
      </c>
      <c r="M736" s="131">
        <v>1.6191</v>
      </c>
      <c r="N736" s="50" t="s">
        <v>152</v>
      </c>
      <c r="O736" s="50" t="s">
        <v>880</v>
      </c>
      <c r="P736" s="64">
        <f>C31</f>
        <v>1617</v>
      </c>
      <c r="Q736" s="50" t="s">
        <v>152</v>
      </c>
      <c r="R736" s="64">
        <f t="shared" si="86"/>
        <v>2618.0846999999999</v>
      </c>
      <c r="AG736" s="71" t="str">
        <f t="shared" si="81"/>
        <v>|</v>
      </c>
      <c r="AI736" s="50" t="s">
        <v>1095</v>
      </c>
    </row>
    <row r="737" spans="1:35" ht="15.75">
      <c r="A737" s="74">
        <f t="shared" si="82"/>
        <v>534</v>
      </c>
      <c r="B737" s="75" t="s">
        <v>1461</v>
      </c>
      <c r="C737" s="76">
        <v>1250</v>
      </c>
      <c r="D737" s="75" t="s">
        <v>152</v>
      </c>
      <c r="H737" s="50" t="s">
        <v>1462</v>
      </c>
      <c r="M737" s="64">
        <v>2</v>
      </c>
      <c r="N737" s="50" t="s">
        <v>153</v>
      </c>
      <c r="O737" s="50" t="s">
        <v>1434</v>
      </c>
      <c r="P737" s="64">
        <f>C299</f>
        <v>10.5</v>
      </c>
      <c r="Q737" s="50" t="s">
        <v>153</v>
      </c>
      <c r="R737" s="64">
        <f t="shared" si="86"/>
        <v>21</v>
      </c>
      <c r="AG737" s="71" t="str">
        <f t="shared" si="81"/>
        <v>|</v>
      </c>
      <c r="AI737" s="50" t="s">
        <v>1095</v>
      </c>
    </row>
    <row r="738" spans="1:35" ht="15.75">
      <c r="A738" s="74">
        <f t="shared" si="82"/>
        <v>535</v>
      </c>
      <c r="B738" s="75" t="s">
        <v>1463</v>
      </c>
      <c r="C738" s="76">
        <v>1250</v>
      </c>
      <c r="D738" s="75" t="s">
        <v>152</v>
      </c>
      <c r="H738" s="50" t="s">
        <v>1464</v>
      </c>
      <c r="M738" s="64">
        <v>3</v>
      </c>
      <c r="N738" s="50" t="s">
        <v>153</v>
      </c>
      <c r="O738" s="50" t="s">
        <v>1437</v>
      </c>
      <c r="P738" s="64">
        <f>C295</f>
        <v>8.5</v>
      </c>
      <c r="Q738" s="50" t="s">
        <v>153</v>
      </c>
      <c r="R738" s="64">
        <f t="shared" si="86"/>
        <v>25.5</v>
      </c>
      <c r="AG738" s="71" t="str">
        <f t="shared" si="81"/>
        <v>|</v>
      </c>
      <c r="AI738" s="50" t="s">
        <v>1095</v>
      </c>
    </row>
    <row r="739" spans="1:35" ht="15.75">
      <c r="A739" s="74">
        <f t="shared" si="82"/>
        <v>536</v>
      </c>
      <c r="B739" s="75" t="s">
        <v>1465</v>
      </c>
      <c r="C739" s="76">
        <v>1250</v>
      </c>
      <c r="D739" s="75" t="s">
        <v>152</v>
      </c>
      <c r="H739" s="50" t="s">
        <v>1466</v>
      </c>
      <c r="M739" s="64">
        <v>1</v>
      </c>
      <c r="N739" s="50" t="s">
        <v>153</v>
      </c>
      <c r="O739" s="50" t="s">
        <v>1439</v>
      </c>
      <c r="P739" s="64">
        <f>C301</f>
        <v>21</v>
      </c>
      <c r="Q739" s="50" t="s">
        <v>153</v>
      </c>
      <c r="R739" s="64">
        <f t="shared" si="86"/>
        <v>21</v>
      </c>
      <c r="AG739" s="71" t="str">
        <f t="shared" si="81"/>
        <v>|</v>
      </c>
      <c r="AI739" s="50" t="s">
        <v>1095</v>
      </c>
    </row>
    <row r="740" spans="1:35" ht="15.75">
      <c r="A740" s="74">
        <f t="shared" si="82"/>
        <v>537</v>
      </c>
      <c r="B740" s="75" t="s">
        <v>1457</v>
      </c>
      <c r="C740" s="76">
        <v>1250</v>
      </c>
      <c r="D740" s="75" t="s">
        <v>152</v>
      </c>
      <c r="H740" s="50" t="s">
        <v>1467</v>
      </c>
      <c r="M740" s="64">
        <v>1</v>
      </c>
      <c r="N740" s="50" t="s">
        <v>153</v>
      </c>
      <c r="O740" s="50" t="s">
        <v>884</v>
      </c>
      <c r="P740" s="64">
        <f>C303</f>
        <v>4</v>
      </c>
      <c r="Q740" s="50" t="s">
        <v>153</v>
      </c>
      <c r="R740" s="64">
        <f t="shared" si="86"/>
        <v>4</v>
      </c>
      <c r="AG740" s="71" t="str">
        <f t="shared" si="81"/>
        <v>|</v>
      </c>
      <c r="AI740" s="50" t="s">
        <v>1095</v>
      </c>
    </row>
    <row r="741" spans="1:35" ht="15.75">
      <c r="A741" s="74">
        <f t="shared" si="82"/>
        <v>538</v>
      </c>
      <c r="B741" s="75" t="s">
        <v>1468</v>
      </c>
      <c r="C741" s="90"/>
      <c r="D741" s="75" t="s">
        <v>150</v>
      </c>
      <c r="H741" s="50" t="s">
        <v>1469</v>
      </c>
      <c r="N741" s="50" t="s">
        <v>226</v>
      </c>
      <c r="O741" s="50" t="s">
        <v>237</v>
      </c>
      <c r="Q741" s="50" t="s">
        <v>226</v>
      </c>
      <c r="R741" s="64">
        <v>0</v>
      </c>
      <c r="AG741" s="71" t="str">
        <f t="shared" si="81"/>
        <v>|</v>
      </c>
      <c r="AI741" s="50" t="s">
        <v>1095</v>
      </c>
    </row>
    <row r="742" spans="1:35" ht="15.75">
      <c r="A742" s="74">
        <f t="shared" si="82"/>
        <v>539</v>
      </c>
      <c r="B742" s="75" t="s">
        <v>1470</v>
      </c>
      <c r="C742" s="76">
        <v>65</v>
      </c>
      <c r="D742" s="75" t="s">
        <v>566</v>
      </c>
      <c r="H742" s="59" t="s">
        <v>21</v>
      </c>
      <c r="I742" s="59" t="s">
        <v>21</v>
      </c>
      <c r="J742" s="50" t="s">
        <v>21</v>
      </c>
      <c r="R742" s="59" t="s">
        <v>21</v>
      </c>
      <c r="AG742" s="71" t="str">
        <f t="shared" si="81"/>
        <v>|</v>
      </c>
      <c r="AI742" s="50" t="s">
        <v>1095</v>
      </c>
    </row>
    <row r="743" spans="1:35" ht="15.75">
      <c r="A743" s="74">
        <f t="shared" si="82"/>
        <v>540</v>
      </c>
      <c r="B743" s="75" t="s">
        <v>1471</v>
      </c>
      <c r="C743" s="76">
        <v>64.55</v>
      </c>
      <c r="D743" s="75" t="s">
        <v>566</v>
      </c>
      <c r="F743" s="64">
        <v>13.46</v>
      </c>
      <c r="G743" s="62" t="s">
        <v>1472</v>
      </c>
      <c r="H743" s="50" t="s">
        <v>1473</v>
      </c>
      <c r="I743" s="64">
        <f>C34/1000</f>
        <v>41.2</v>
      </c>
      <c r="J743" s="50" t="s">
        <v>1472</v>
      </c>
      <c r="K743" s="64">
        <f>(F743*I743)</f>
        <v>554.55200000000002</v>
      </c>
      <c r="O743" s="51" t="s">
        <v>1474</v>
      </c>
      <c r="R743" s="64">
        <f>SUM(R734:R741)</f>
        <v>4001.9966999999997</v>
      </c>
      <c r="AG743" s="71" t="str">
        <f t="shared" si="81"/>
        <v>|</v>
      </c>
      <c r="AI743" s="50" t="s">
        <v>1095</v>
      </c>
    </row>
    <row r="744" spans="1:35" ht="15.75">
      <c r="A744" s="74">
        <f t="shared" si="82"/>
        <v>541</v>
      </c>
      <c r="B744" s="75" t="s">
        <v>1475</v>
      </c>
      <c r="C744" s="76">
        <v>110.95</v>
      </c>
      <c r="D744" s="75" t="s">
        <v>566</v>
      </c>
      <c r="H744" s="50" t="s">
        <v>1476</v>
      </c>
      <c r="R744" s="59" t="s">
        <v>21</v>
      </c>
      <c r="AG744" s="71" t="str">
        <f t="shared" si="81"/>
        <v>|</v>
      </c>
      <c r="AI744" s="50" t="s">
        <v>1095</v>
      </c>
    </row>
    <row r="745" spans="1:35" ht="15.75">
      <c r="A745" s="74">
        <f t="shared" si="82"/>
        <v>542</v>
      </c>
      <c r="B745" s="75" t="s">
        <v>1477</v>
      </c>
      <c r="C745" s="76">
        <v>399</v>
      </c>
      <c r="D745" s="75" t="s">
        <v>566</v>
      </c>
      <c r="F745" s="64">
        <v>4</v>
      </c>
      <c r="G745" s="62" t="s">
        <v>1472</v>
      </c>
      <c r="H745" s="50" t="s">
        <v>1478</v>
      </c>
      <c r="I745" s="64">
        <f>C34/1000</f>
        <v>41.2</v>
      </c>
      <c r="J745" s="50" t="s">
        <v>1472</v>
      </c>
      <c r="K745" s="64">
        <f>(F745*I745)</f>
        <v>164.8</v>
      </c>
      <c r="O745" s="51" t="s">
        <v>155</v>
      </c>
      <c r="R745" s="64">
        <f>R743/M736</f>
        <v>2471.741523068371</v>
      </c>
      <c r="AG745" s="71" t="str">
        <f t="shared" si="81"/>
        <v>|</v>
      </c>
      <c r="AI745" s="50" t="s">
        <v>1095</v>
      </c>
    </row>
    <row r="746" spans="1:35" ht="15.75">
      <c r="A746" s="74">
        <f t="shared" si="82"/>
        <v>543</v>
      </c>
      <c r="B746" s="75" t="s">
        <v>1479</v>
      </c>
      <c r="C746" s="76">
        <v>92</v>
      </c>
      <c r="D746" s="75" t="s">
        <v>566</v>
      </c>
      <c r="H746" s="50" t="s">
        <v>1480</v>
      </c>
      <c r="R746" s="59" t="s">
        <v>156</v>
      </c>
      <c r="AG746" s="71" t="str">
        <f t="shared" si="81"/>
        <v>|</v>
      </c>
      <c r="AI746" s="50" t="s">
        <v>1095</v>
      </c>
    </row>
    <row r="747" spans="1:35" ht="15.75">
      <c r="A747" s="74">
        <f t="shared" si="82"/>
        <v>544</v>
      </c>
      <c r="B747" s="75" t="s">
        <v>1481</v>
      </c>
      <c r="C747" s="76">
        <v>174.24</v>
      </c>
      <c r="D747" s="75" t="s">
        <v>566</v>
      </c>
      <c r="F747" s="64"/>
      <c r="G747" s="62" t="s">
        <v>226</v>
      </c>
      <c r="H747" s="50" t="s">
        <v>1482</v>
      </c>
      <c r="J747" s="50" t="s">
        <v>226</v>
      </c>
      <c r="K747" s="64">
        <v>40</v>
      </c>
      <c r="AG747" s="71" t="str">
        <f t="shared" si="81"/>
        <v>|</v>
      </c>
      <c r="AI747" s="50" t="s">
        <v>1095</v>
      </c>
    </row>
    <row r="748" spans="1:35" ht="15.75">
      <c r="A748" s="74">
        <f t="shared" si="82"/>
        <v>545</v>
      </c>
      <c r="B748" s="75" t="s">
        <v>1483</v>
      </c>
      <c r="C748" s="76">
        <v>215.06</v>
      </c>
      <c r="D748" s="75" t="s">
        <v>566</v>
      </c>
      <c r="H748" s="50" t="s">
        <v>1484</v>
      </c>
      <c r="K748" s="59" t="s">
        <v>21</v>
      </c>
      <c r="M748" s="51" t="s">
        <v>848</v>
      </c>
      <c r="N748" s="50" t="s">
        <v>514</v>
      </c>
      <c r="O748" s="50" t="s">
        <v>1485</v>
      </c>
      <c r="AG748" s="71" t="str">
        <f t="shared" si="81"/>
        <v>|</v>
      </c>
      <c r="AI748" s="50" t="s">
        <v>1095</v>
      </c>
    </row>
    <row r="749" spans="1:35" ht="15.75">
      <c r="A749" s="74">
        <f t="shared" si="82"/>
        <v>546</v>
      </c>
      <c r="B749" s="75" t="s">
        <v>1486</v>
      </c>
      <c r="C749" s="76">
        <v>97.24</v>
      </c>
      <c r="D749" s="75" t="s">
        <v>566</v>
      </c>
      <c r="H749" s="51" t="s">
        <v>1487</v>
      </c>
      <c r="K749" s="64">
        <f>SUM(K743:K747)</f>
        <v>759.35200000000009</v>
      </c>
      <c r="O749" s="59" t="s">
        <v>21</v>
      </c>
      <c r="AG749" s="71" t="str">
        <f t="shared" ref="AG749:AG812" si="87">AI749</f>
        <v>|</v>
      </c>
      <c r="AI749" s="50" t="s">
        <v>1095</v>
      </c>
    </row>
    <row r="750" spans="1:35" ht="15.75">
      <c r="A750" s="74">
        <f t="shared" si="82"/>
        <v>547</v>
      </c>
      <c r="B750" s="75" t="s">
        <v>1488</v>
      </c>
      <c r="C750" s="76">
        <v>168.96</v>
      </c>
      <c r="D750" s="75" t="s">
        <v>566</v>
      </c>
      <c r="K750" s="59" t="s">
        <v>21</v>
      </c>
      <c r="M750" s="131">
        <v>2.35E-2</v>
      </c>
      <c r="N750" s="50" t="s">
        <v>151</v>
      </c>
      <c r="O750" s="50" t="s">
        <v>1456</v>
      </c>
      <c r="P750" s="64">
        <f>C86</f>
        <v>34300</v>
      </c>
      <c r="Q750" s="50" t="s">
        <v>151</v>
      </c>
      <c r="R750" s="64">
        <f t="shared" ref="R750:R756" si="88">M750*P750</f>
        <v>806.05</v>
      </c>
      <c r="AG750" s="71" t="str">
        <f t="shared" si="87"/>
        <v>|</v>
      </c>
      <c r="AI750" s="50" t="s">
        <v>1095</v>
      </c>
    </row>
    <row r="751" spans="1:35" ht="15.75">
      <c r="A751" s="74">
        <f t="shared" si="82"/>
        <v>548</v>
      </c>
      <c r="B751" s="164" t="s">
        <v>1489</v>
      </c>
      <c r="C751" s="73">
        <v>366</v>
      </c>
      <c r="D751" s="73">
        <v>397</v>
      </c>
      <c r="H751" s="51" t="s">
        <v>1490</v>
      </c>
      <c r="K751" s="64">
        <f>K749/40</f>
        <v>18.983800000000002</v>
      </c>
      <c r="M751" s="131">
        <v>0.872</v>
      </c>
      <c r="N751" s="50" t="s">
        <v>152</v>
      </c>
      <c r="O751" s="50" t="s">
        <v>1432</v>
      </c>
      <c r="P751" s="64">
        <f>C783</f>
        <v>387.4</v>
      </c>
      <c r="Q751" s="50" t="s">
        <v>152</v>
      </c>
      <c r="R751" s="64">
        <f t="shared" si="88"/>
        <v>337.81279999999998</v>
      </c>
      <c r="AG751" s="71" t="str">
        <f t="shared" si="87"/>
        <v>|</v>
      </c>
      <c r="AI751" s="50" t="s">
        <v>1095</v>
      </c>
    </row>
    <row r="752" spans="1:35" ht="15.75">
      <c r="A752" s="74">
        <f t="shared" si="82"/>
        <v>549</v>
      </c>
      <c r="B752" s="75" t="s">
        <v>1491</v>
      </c>
      <c r="C752" s="73">
        <v>755</v>
      </c>
      <c r="D752" s="75" t="s">
        <v>566</v>
      </c>
      <c r="K752" s="59" t="s">
        <v>21</v>
      </c>
      <c r="M752" s="131">
        <v>1.3247</v>
      </c>
      <c r="N752" s="50" t="s">
        <v>152</v>
      </c>
      <c r="O752" s="50" t="s">
        <v>880</v>
      </c>
      <c r="P752" s="64">
        <f>C31</f>
        <v>1617</v>
      </c>
      <c r="Q752" s="50" t="s">
        <v>152</v>
      </c>
      <c r="R752" s="64">
        <f t="shared" si="88"/>
        <v>2142.0398999999998</v>
      </c>
      <c r="AG752" s="71" t="str">
        <f t="shared" si="87"/>
        <v>|</v>
      </c>
      <c r="AI752" s="50" t="s">
        <v>1095</v>
      </c>
    </row>
    <row r="753" spans="1:35" ht="15.75">
      <c r="A753" s="74">
        <f t="shared" si="82"/>
        <v>550</v>
      </c>
      <c r="B753" s="75" t="s">
        <v>1492</v>
      </c>
      <c r="C753" s="76">
        <v>210</v>
      </c>
      <c r="D753" s="75" t="s">
        <v>566</v>
      </c>
      <c r="H753" s="50" t="s">
        <v>1493</v>
      </c>
      <c r="M753" s="64">
        <v>1</v>
      </c>
      <c r="N753" s="50" t="s">
        <v>153</v>
      </c>
      <c r="O753" s="50" t="s">
        <v>1434</v>
      </c>
      <c r="P753" s="64">
        <f>C299</f>
        <v>10.5</v>
      </c>
      <c r="Q753" s="50" t="s">
        <v>153</v>
      </c>
      <c r="R753" s="64">
        <f t="shared" si="88"/>
        <v>10.5</v>
      </c>
      <c r="AG753" s="71" t="str">
        <f t="shared" si="87"/>
        <v>|</v>
      </c>
      <c r="AI753" s="50" t="s">
        <v>1095</v>
      </c>
    </row>
    <row r="754" spans="1:35" ht="15.75">
      <c r="A754" s="74">
        <f t="shared" si="82"/>
        <v>551</v>
      </c>
      <c r="B754" s="75" t="s">
        <v>1494</v>
      </c>
      <c r="C754" s="73">
        <v>1434</v>
      </c>
      <c r="D754" s="75" t="s">
        <v>152</v>
      </c>
      <c r="H754" s="50" t="s">
        <v>1495</v>
      </c>
      <c r="M754" s="64">
        <v>3</v>
      </c>
      <c r="N754" s="50" t="s">
        <v>153</v>
      </c>
      <c r="O754" s="50" t="s">
        <v>1496</v>
      </c>
      <c r="P754" s="64">
        <f>C294</f>
        <v>5.75</v>
      </c>
      <c r="Q754" s="50" t="s">
        <v>153</v>
      </c>
      <c r="R754" s="64">
        <f t="shared" si="88"/>
        <v>17.25</v>
      </c>
      <c r="AG754" s="71" t="str">
        <f t="shared" si="87"/>
        <v>|</v>
      </c>
      <c r="AI754" s="50" t="s">
        <v>1095</v>
      </c>
    </row>
    <row r="755" spans="1:35" ht="15.75">
      <c r="A755" s="74">
        <f t="shared" si="82"/>
        <v>552</v>
      </c>
      <c r="B755" s="75" t="s">
        <v>1497</v>
      </c>
      <c r="C755" s="90"/>
      <c r="D755" s="75" t="s">
        <v>150</v>
      </c>
      <c r="H755" s="50" t="s">
        <v>1498</v>
      </c>
      <c r="M755" s="64">
        <v>1</v>
      </c>
      <c r="N755" s="50" t="s">
        <v>153</v>
      </c>
      <c r="O755" s="50" t="s">
        <v>1499</v>
      </c>
      <c r="P755" s="64">
        <f>C302</f>
        <v>10</v>
      </c>
      <c r="Q755" s="50" t="s">
        <v>153</v>
      </c>
      <c r="R755" s="64">
        <f t="shared" si="88"/>
        <v>10</v>
      </c>
      <c r="AG755" s="71" t="str">
        <f t="shared" si="87"/>
        <v>|</v>
      </c>
      <c r="AI755" s="50" t="s">
        <v>1095</v>
      </c>
    </row>
    <row r="756" spans="1:35" ht="15.75">
      <c r="A756" s="74">
        <f t="shared" si="82"/>
        <v>553</v>
      </c>
      <c r="B756" s="75" t="s">
        <v>1500</v>
      </c>
      <c r="C756" s="90"/>
      <c r="D756" s="90"/>
      <c r="M756" s="64">
        <v>1</v>
      </c>
      <c r="N756" s="50" t="s">
        <v>153</v>
      </c>
      <c r="O756" s="50" t="s">
        <v>884</v>
      </c>
      <c r="P756" s="64">
        <f>C303</f>
        <v>4</v>
      </c>
      <c r="Q756" s="50" t="s">
        <v>153</v>
      </c>
      <c r="R756" s="64">
        <f t="shared" si="88"/>
        <v>4</v>
      </c>
      <c r="AG756" s="71" t="str">
        <f t="shared" si="87"/>
        <v>|</v>
      </c>
      <c r="AI756" s="50" t="s">
        <v>1095</v>
      </c>
    </row>
    <row r="757" spans="1:35" ht="15.75">
      <c r="A757" s="74">
        <f t="shared" si="82"/>
        <v>554</v>
      </c>
      <c r="B757" s="75" t="s">
        <v>1501</v>
      </c>
      <c r="C757" s="76">
        <v>300</v>
      </c>
      <c r="D757" s="75" t="s">
        <v>1502</v>
      </c>
      <c r="F757" s="64">
        <v>19</v>
      </c>
      <c r="G757" s="62" t="s">
        <v>154</v>
      </c>
      <c r="H757" s="50" t="s">
        <v>1503</v>
      </c>
      <c r="I757" s="100">
        <f>K751</f>
        <v>18.983800000000002</v>
      </c>
      <c r="J757" s="50" t="s">
        <v>1504</v>
      </c>
      <c r="K757" s="64">
        <f>(F757*I757)</f>
        <v>360.69220000000007</v>
      </c>
      <c r="N757" s="50" t="s">
        <v>226</v>
      </c>
      <c r="O757" s="50" t="s">
        <v>237</v>
      </c>
      <c r="Q757" s="50" t="s">
        <v>226</v>
      </c>
      <c r="R757" s="64">
        <v>0</v>
      </c>
      <c r="AG757" s="71" t="str">
        <f t="shared" si="87"/>
        <v>|</v>
      </c>
      <c r="AI757" s="50" t="s">
        <v>1095</v>
      </c>
    </row>
    <row r="758" spans="1:35" ht="15.75">
      <c r="A758" s="74">
        <f t="shared" si="82"/>
        <v>555</v>
      </c>
      <c r="B758" s="171" t="s">
        <v>1505</v>
      </c>
      <c r="C758" s="76">
        <v>302</v>
      </c>
      <c r="D758" s="75" t="s">
        <v>1502</v>
      </c>
      <c r="H758" s="50" t="s">
        <v>1506</v>
      </c>
      <c r="R758" s="59" t="s">
        <v>21</v>
      </c>
      <c r="AG758" s="71" t="str">
        <f t="shared" si="87"/>
        <v>|</v>
      </c>
      <c r="AI758" s="50" t="s">
        <v>1095</v>
      </c>
    </row>
    <row r="759" spans="1:35" ht="15.75">
      <c r="A759" s="74">
        <f t="shared" si="82"/>
        <v>556</v>
      </c>
      <c r="B759" s="75" t="s">
        <v>1507</v>
      </c>
      <c r="C759" s="76">
        <v>382</v>
      </c>
      <c r="D759" s="75" t="s">
        <v>1502</v>
      </c>
      <c r="F759" s="64">
        <v>0.12</v>
      </c>
      <c r="G759" s="62" t="s">
        <v>313</v>
      </c>
      <c r="H759" s="50" t="s">
        <v>1508</v>
      </c>
      <c r="I759" s="64">
        <f>C269/5</f>
        <v>3100</v>
      </c>
      <c r="J759" s="50" t="s">
        <v>1504</v>
      </c>
      <c r="K759" s="64">
        <f t="shared" ref="K759:K766" si="89">(F759*I759)</f>
        <v>372</v>
      </c>
      <c r="O759" s="51" t="s">
        <v>1509</v>
      </c>
      <c r="R759" s="64">
        <f>SUM(R750:R757)</f>
        <v>3327.6526999999996</v>
      </c>
      <c r="AG759" s="71" t="str">
        <f t="shared" si="87"/>
        <v>|</v>
      </c>
      <c r="AI759" s="50" t="s">
        <v>1095</v>
      </c>
    </row>
    <row r="760" spans="1:35" ht="15.75">
      <c r="A760" s="74">
        <f t="shared" si="82"/>
        <v>557</v>
      </c>
      <c r="B760" s="75" t="s">
        <v>1510</v>
      </c>
      <c r="C760" s="76">
        <v>140</v>
      </c>
      <c r="D760" s="75" t="s">
        <v>1502</v>
      </c>
      <c r="F760" s="64">
        <v>98.5</v>
      </c>
      <c r="G760" s="62" t="s">
        <v>303</v>
      </c>
      <c r="H760" s="50" t="s">
        <v>1511</v>
      </c>
      <c r="I760" s="64">
        <f>C270/5</f>
        <v>5.04</v>
      </c>
      <c r="J760" s="50" t="s">
        <v>1504</v>
      </c>
      <c r="K760" s="64">
        <f t="shared" si="89"/>
        <v>496.44</v>
      </c>
      <c r="R760" s="59" t="s">
        <v>21</v>
      </c>
      <c r="AG760" s="71" t="str">
        <f t="shared" si="87"/>
        <v>|</v>
      </c>
      <c r="AI760" s="50" t="s">
        <v>1095</v>
      </c>
    </row>
    <row r="761" spans="1:35" ht="15.75">
      <c r="A761" s="74">
        <f t="shared" si="82"/>
        <v>558</v>
      </c>
      <c r="B761" s="75" t="s">
        <v>1512</v>
      </c>
      <c r="C761" s="76">
        <v>222</v>
      </c>
      <c r="D761" s="75" t="s">
        <v>1502</v>
      </c>
      <c r="F761" s="64">
        <v>1</v>
      </c>
      <c r="G761" s="62" t="s">
        <v>226</v>
      </c>
      <c r="H761" s="50" t="s">
        <v>1513</v>
      </c>
      <c r="I761" s="128">
        <v>11</v>
      </c>
      <c r="J761" s="50" t="s">
        <v>226</v>
      </c>
      <c r="K761" s="64">
        <f t="shared" si="89"/>
        <v>11</v>
      </c>
      <c r="O761" s="51" t="s">
        <v>155</v>
      </c>
      <c r="R761" s="64">
        <f>R759/1.3247</f>
        <v>2512.0047557937642</v>
      </c>
      <c r="AG761" s="71" t="str">
        <f t="shared" si="87"/>
        <v>|</v>
      </c>
      <c r="AI761" s="50" t="s">
        <v>1095</v>
      </c>
    </row>
    <row r="762" spans="1:35" ht="15.75">
      <c r="A762" s="74">
        <f t="shared" si="82"/>
        <v>559</v>
      </c>
      <c r="B762" s="75" t="s">
        <v>1514</v>
      </c>
      <c r="C762" s="76">
        <v>505</v>
      </c>
      <c r="D762" s="75" t="s">
        <v>1502</v>
      </c>
      <c r="F762" s="64">
        <v>3.8</v>
      </c>
      <c r="G762" s="62" t="s">
        <v>68</v>
      </c>
      <c r="H762" s="50" t="s">
        <v>1515</v>
      </c>
      <c r="I762" s="64">
        <f>C16</f>
        <v>1052.8</v>
      </c>
      <c r="J762" s="50" t="s">
        <v>340</v>
      </c>
      <c r="K762" s="64">
        <f t="shared" si="89"/>
        <v>4000.6399999999994</v>
      </c>
      <c r="R762" s="59" t="s">
        <v>156</v>
      </c>
      <c r="AG762" s="71" t="str">
        <f t="shared" si="87"/>
        <v>|</v>
      </c>
      <c r="AI762" s="50" t="s">
        <v>1095</v>
      </c>
    </row>
    <row r="763" spans="1:35" ht="15.75">
      <c r="A763" s="74">
        <f t="shared" si="82"/>
        <v>560</v>
      </c>
      <c r="B763" s="75" t="s">
        <v>1516</v>
      </c>
      <c r="C763" s="73">
        <v>272.2</v>
      </c>
      <c r="D763" s="75" t="s">
        <v>566</v>
      </c>
      <c r="F763" s="64">
        <v>5.4</v>
      </c>
      <c r="G763" s="62" t="s">
        <v>68</v>
      </c>
      <c r="H763" s="50" t="s">
        <v>1198</v>
      </c>
      <c r="I763" s="64">
        <f>C12</f>
        <v>702.8</v>
      </c>
      <c r="J763" s="50" t="s">
        <v>340</v>
      </c>
      <c r="K763" s="64">
        <f t="shared" si="89"/>
        <v>3795.12</v>
      </c>
      <c r="N763" s="50" t="s">
        <v>249</v>
      </c>
      <c r="AG763" s="71" t="str">
        <f t="shared" si="87"/>
        <v>|</v>
      </c>
      <c r="AI763" s="50" t="s">
        <v>1095</v>
      </c>
    </row>
    <row r="764" spans="1:35" ht="15.75">
      <c r="A764" s="90" t="s">
        <v>1517</v>
      </c>
      <c r="B764" s="75" t="s">
        <v>1518</v>
      </c>
      <c r="C764" s="73">
        <v>1000</v>
      </c>
      <c r="D764" s="75" t="s">
        <v>566</v>
      </c>
      <c r="F764" s="64">
        <v>1</v>
      </c>
      <c r="G764" s="62" t="s">
        <v>68</v>
      </c>
      <c r="H764" s="50" t="s">
        <v>1519</v>
      </c>
      <c r="I764" s="64">
        <f>C66</f>
        <v>923.99999999999989</v>
      </c>
      <c r="J764" s="50" t="s">
        <v>340</v>
      </c>
      <c r="K764" s="64">
        <f t="shared" si="89"/>
        <v>923.99999999999989</v>
      </c>
      <c r="O764" s="50" t="s">
        <v>1520</v>
      </c>
      <c r="AG764" s="71" t="str">
        <f t="shared" si="87"/>
        <v>|</v>
      </c>
      <c r="AI764" s="50" t="s">
        <v>1095</v>
      </c>
    </row>
    <row r="765" spans="1:35" ht="15.75">
      <c r="A765" s="74">
        <f>(A763+1)</f>
        <v>561</v>
      </c>
      <c r="B765" s="75" t="s">
        <v>1521</v>
      </c>
      <c r="C765" s="76">
        <v>43.3</v>
      </c>
      <c r="D765" s="75" t="s">
        <v>552</v>
      </c>
      <c r="F765" s="64">
        <v>1</v>
      </c>
      <c r="G765" s="62" t="s">
        <v>226</v>
      </c>
      <c r="H765" s="50" t="s">
        <v>1522</v>
      </c>
      <c r="I765" s="128">
        <v>10</v>
      </c>
      <c r="J765" s="50" t="s">
        <v>226</v>
      </c>
      <c r="K765" s="64">
        <f t="shared" si="89"/>
        <v>10</v>
      </c>
      <c r="O765" s="50" t="s">
        <v>1523</v>
      </c>
      <c r="AG765" s="71" t="str">
        <f t="shared" si="87"/>
        <v>|</v>
      </c>
      <c r="AI765" s="50" t="s">
        <v>1095</v>
      </c>
    </row>
    <row r="766" spans="1:35" ht="15.75">
      <c r="A766" s="74">
        <f t="shared" ref="A766:A783" si="90">(A765+1)</f>
        <v>562</v>
      </c>
      <c r="B766" s="75" t="s">
        <v>1524</v>
      </c>
      <c r="C766" s="76">
        <v>218</v>
      </c>
      <c r="D766" s="75" t="s">
        <v>566</v>
      </c>
      <c r="F766" s="64">
        <v>19</v>
      </c>
      <c r="G766" s="62" t="s">
        <v>154</v>
      </c>
      <c r="H766" s="50" t="s">
        <v>1525</v>
      </c>
      <c r="I766" s="128">
        <v>2</v>
      </c>
      <c r="J766" s="50" t="s">
        <v>154</v>
      </c>
      <c r="K766" s="64">
        <f t="shared" si="89"/>
        <v>38</v>
      </c>
      <c r="O766" s="50" t="s">
        <v>1526</v>
      </c>
      <c r="AG766" s="71" t="str">
        <f t="shared" si="87"/>
        <v>|</v>
      </c>
      <c r="AI766" s="50" t="s">
        <v>1095</v>
      </c>
    </row>
    <row r="767" spans="1:35" ht="15.75">
      <c r="A767" s="74">
        <f t="shared" si="90"/>
        <v>563</v>
      </c>
      <c r="B767" s="75" t="s">
        <v>1527</v>
      </c>
      <c r="C767" s="76">
        <v>926</v>
      </c>
      <c r="D767" s="75" t="s">
        <v>566</v>
      </c>
      <c r="H767" s="50" t="s">
        <v>1528</v>
      </c>
      <c r="K767" s="59" t="s">
        <v>21</v>
      </c>
      <c r="O767" s="50" t="s">
        <v>1529</v>
      </c>
      <c r="AG767" s="71" t="str">
        <f t="shared" si="87"/>
        <v>|</v>
      </c>
      <c r="AI767" s="50" t="s">
        <v>1095</v>
      </c>
    </row>
    <row r="768" spans="1:35" ht="15.75">
      <c r="A768" s="74">
        <f t="shared" si="90"/>
        <v>564</v>
      </c>
      <c r="B768" s="75" t="s">
        <v>1530</v>
      </c>
      <c r="C768" s="76">
        <v>5.15</v>
      </c>
      <c r="D768" s="75" t="s">
        <v>552</v>
      </c>
      <c r="H768" s="51" t="s">
        <v>238</v>
      </c>
      <c r="K768" s="64">
        <f>SUM(K757:K766)+0.07</f>
        <v>10007.962199999998</v>
      </c>
      <c r="O768" s="59" t="s">
        <v>21</v>
      </c>
      <c r="AG768" s="71" t="str">
        <f t="shared" si="87"/>
        <v>|</v>
      </c>
      <c r="AI768" s="50" t="s">
        <v>1095</v>
      </c>
    </row>
    <row r="769" spans="1:35" ht="15.75">
      <c r="A769" s="74">
        <f t="shared" si="90"/>
        <v>565</v>
      </c>
      <c r="B769" s="75" t="s">
        <v>1531</v>
      </c>
      <c r="C769" s="76">
        <v>550</v>
      </c>
      <c r="D769" s="75" t="s">
        <v>566</v>
      </c>
      <c r="K769" s="59" t="s">
        <v>21</v>
      </c>
      <c r="AG769" s="71" t="str">
        <f t="shared" si="87"/>
        <v>|</v>
      </c>
      <c r="AI769" s="50" t="s">
        <v>1095</v>
      </c>
    </row>
    <row r="770" spans="1:35" ht="15.75">
      <c r="A770" s="74">
        <f t="shared" si="90"/>
        <v>566</v>
      </c>
      <c r="B770" s="75" t="s">
        <v>1532</v>
      </c>
      <c r="C770" s="76">
        <v>286</v>
      </c>
      <c r="D770" s="75" t="s">
        <v>566</v>
      </c>
      <c r="H770" s="51" t="s">
        <v>155</v>
      </c>
      <c r="K770" s="64">
        <f>(K768/10)</f>
        <v>1000.7962199999998</v>
      </c>
      <c r="O770" s="50" t="s">
        <v>1533</v>
      </c>
      <c r="R770" s="64">
        <f>(C723)</f>
        <v>1183.82</v>
      </c>
      <c r="AG770" s="71" t="str">
        <f t="shared" si="87"/>
        <v>|</v>
      </c>
      <c r="AI770" s="50" t="s">
        <v>1095</v>
      </c>
    </row>
    <row r="771" spans="1:35" ht="15.75">
      <c r="A771" s="74">
        <f t="shared" si="90"/>
        <v>567</v>
      </c>
      <c r="B771" s="75" t="s">
        <v>1534</v>
      </c>
      <c r="C771" s="76">
        <v>96.3</v>
      </c>
      <c r="D771" s="75" t="s">
        <v>552</v>
      </c>
      <c r="F771" s="50" t="s">
        <v>150</v>
      </c>
      <c r="R771" s="59" t="s">
        <v>156</v>
      </c>
      <c r="AG771" s="71" t="str">
        <f t="shared" si="87"/>
        <v>|</v>
      </c>
      <c r="AI771" s="50" t="s">
        <v>1095</v>
      </c>
    </row>
    <row r="772" spans="1:35" ht="15.75">
      <c r="A772" s="74">
        <f t="shared" si="90"/>
        <v>568</v>
      </c>
      <c r="B772" s="75" t="s">
        <v>1535</v>
      </c>
      <c r="C772" s="76">
        <v>51</v>
      </c>
      <c r="D772" s="75" t="s">
        <v>566</v>
      </c>
      <c r="K772" s="59" t="s">
        <v>156</v>
      </c>
      <c r="AG772" s="71" t="str">
        <f t="shared" si="87"/>
        <v>|</v>
      </c>
      <c r="AI772" s="50" t="s">
        <v>1095</v>
      </c>
    </row>
    <row r="773" spans="1:35" ht="15.75">
      <c r="A773" s="74">
        <f t="shared" si="90"/>
        <v>569</v>
      </c>
      <c r="B773" s="75" t="s">
        <v>1536</v>
      </c>
      <c r="C773" s="76">
        <v>181</v>
      </c>
      <c r="D773" s="75" t="s">
        <v>1248</v>
      </c>
      <c r="F773" s="51" t="s">
        <v>455</v>
      </c>
      <c r="G773" s="62" t="s">
        <v>249</v>
      </c>
      <c r="H773" s="50" t="s">
        <v>1537</v>
      </c>
      <c r="N773" s="50" t="s">
        <v>249</v>
      </c>
      <c r="O773" s="50" t="s">
        <v>1538</v>
      </c>
      <c r="AG773" s="71" t="str">
        <f t="shared" si="87"/>
        <v>|</v>
      </c>
      <c r="AI773" s="50" t="s">
        <v>1095</v>
      </c>
    </row>
    <row r="774" spans="1:35" ht="15.75">
      <c r="A774" s="74">
        <f t="shared" si="90"/>
        <v>570</v>
      </c>
      <c r="B774" s="75" t="s">
        <v>1539</v>
      </c>
      <c r="C774" s="76">
        <v>36.200000000000003</v>
      </c>
      <c r="D774" s="75" t="s">
        <v>552</v>
      </c>
      <c r="H774" s="50" t="s">
        <v>1540</v>
      </c>
      <c r="O774" s="59" t="s">
        <v>156</v>
      </c>
      <c r="P774" s="59" t="s">
        <v>156</v>
      </c>
      <c r="Q774" s="59" t="s">
        <v>156</v>
      </c>
      <c r="R774" s="50" t="s">
        <v>1541</v>
      </c>
      <c r="AG774" s="71" t="str">
        <f t="shared" si="87"/>
        <v>|</v>
      </c>
      <c r="AI774" s="50" t="s">
        <v>1095</v>
      </c>
    </row>
    <row r="775" spans="1:35" ht="15.75">
      <c r="A775" s="74">
        <f t="shared" si="90"/>
        <v>571</v>
      </c>
      <c r="B775" s="75" t="s">
        <v>1542</v>
      </c>
      <c r="C775" s="76">
        <v>98</v>
      </c>
      <c r="D775" s="75" t="s">
        <v>566</v>
      </c>
      <c r="H775" s="50" t="s">
        <v>1543</v>
      </c>
      <c r="O775" s="50" t="s">
        <v>1544</v>
      </c>
      <c r="Q775" s="51" t="s">
        <v>303</v>
      </c>
      <c r="R775" s="64">
        <f>(C726)</f>
        <v>147.6</v>
      </c>
      <c r="AG775" s="71" t="str">
        <f t="shared" si="87"/>
        <v>|</v>
      </c>
      <c r="AI775" s="50" t="s">
        <v>1095</v>
      </c>
    </row>
    <row r="776" spans="1:35" ht="15.75">
      <c r="A776" s="74">
        <f t="shared" si="90"/>
        <v>572</v>
      </c>
      <c r="B776" s="75" t="s">
        <v>1545</v>
      </c>
      <c r="C776" s="76">
        <v>92</v>
      </c>
      <c r="D776" s="75" t="s">
        <v>552</v>
      </c>
      <c r="H776" s="59" t="s">
        <v>21</v>
      </c>
      <c r="O776" s="50" t="s">
        <v>1546</v>
      </c>
      <c r="AG776" s="71" t="str">
        <f t="shared" si="87"/>
        <v>|::</v>
      </c>
      <c r="AI776" s="50" t="s">
        <v>892</v>
      </c>
    </row>
    <row r="777" spans="1:35" ht="15.75">
      <c r="A777" s="74">
        <f t="shared" si="90"/>
        <v>573</v>
      </c>
      <c r="B777" s="75" t="s">
        <v>1547</v>
      </c>
      <c r="C777" s="76">
        <v>49.42</v>
      </c>
      <c r="D777" s="75" t="s">
        <v>566</v>
      </c>
      <c r="F777" s="64">
        <v>10</v>
      </c>
      <c r="G777" s="62" t="s">
        <v>152</v>
      </c>
      <c r="H777" s="50" t="s">
        <v>1548</v>
      </c>
      <c r="I777" s="64">
        <f>(K757)*1.2</f>
        <v>432.83064000000007</v>
      </c>
      <c r="J777" s="50" t="s">
        <v>1504</v>
      </c>
      <c r="K777" s="64">
        <f>(F777*I777)/10</f>
        <v>432.83064000000002</v>
      </c>
      <c r="O777" s="50" t="s">
        <v>1549</v>
      </c>
      <c r="AG777" s="71">
        <f t="shared" si="87"/>
        <v>0</v>
      </c>
    </row>
    <row r="778" spans="1:35" ht="15.75">
      <c r="A778" s="74">
        <f t="shared" si="90"/>
        <v>574</v>
      </c>
      <c r="B778" s="75" t="s">
        <v>1550</v>
      </c>
      <c r="C778" s="76">
        <v>53.2</v>
      </c>
      <c r="D778" s="75" t="s">
        <v>566</v>
      </c>
      <c r="H778" s="50" t="s">
        <v>1551</v>
      </c>
      <c r="O778" s="50" t="s">
        <v>1552</v>
      </c>
      <c r="AG778" s="71">
        <f t="shared" si="87"/>
        <v>0</v>
      </c>
    </row>
    <row r="779" spans="1:35" ht="15.75">
      <c r="A779" s="74">
        <f t="shared" si="90"/>
        <v>575</v>
      </c>
      <c r="B779" s="75" t="s">
        <v>1553</v>
      </c>
      <c r="C779" s="76">
        <v>59</v>
      </c>
      <c r="D779" s="75" t="s">
        <v>566</v>
      </c>
      <c r="H779" s="50" t="s">
        <v>1554</v>
      </c>
      <c r="O779" s="50" t="s">
        <v>1555</v>
      </c>
      <c r="AG779" s="71" t="str">
        <f t="shared" si="87"/>
        <v>|</v>
      </c>
      <c r="AI779" s="50" t="s">
        <v>1095</v>
      </c>
    </row>
    <row r="780" spans="1:35" ht="15.75">
      <c r="A780" s="74">
        <f t="shared" si="90"/>
        <v>576</v>
      </c>
      <c r="B780" s="75" t="s">
        <v>1556</v>
      </c>
      <c r="C780" s="76">
        <v>100</v>
      </c>
      <c r="D780" s="75" t="s">
        <v>566</v>
      </c>
      <c r="F780" s="64">
        <v>10</v>
      </c>
      <c r="G780" s="62" t="s">
        <v>152</v>
      </c>
      <c r="H780" s="50" t="s">
        <v>1557</v>
      </c>
      <c r="I780" s="64">
        <f>K759*1.2</f>
        <v>446.4</v>
      </c>
      <c r="J780" s="50" t="s">
        <v>1504</v>
      </c>
      <c r="K780" s="64">
        <f>(F780*I780)/10</f>
        <v>446.4</v>
      </c>
      <c r="O780" s="50" t="s">
        <v>1558</v>
      </c>
      <c r="R780" s="50" t="s">
        <v>150</v>
      </c>
      <c r="AG780" s="71">
        <f t="shared" si="87"/>
        <v>0</v>
      </c>
    </row>
    <row r="781" spans="1:35" ht="15.75">
      <c r="A781" s="74">
        <f t="shared" si="90"/>
        <v>577</v>
      </c>
      <c r="B781" s="75" t="s">
        <v>1559</v>
      </c>
      <c r="C781" s="76">
        <v>49.52</v>
      </c>
      <c r="D781" s="75" t="s">
        <v>552</v>
      </c>
      <c r="H781" s="50" t="s">
        <v>1560</v>
      </c>
      <c r="O781" s="50" t="s">
        <v>150</v>
      </c>
      <c r="AG781" s="71" t="str">
        <f t="shared" si="87"/>
        <v>|</v>
      </c>
      <c r="AI781" s="50" t="s">
        <v>1095</v>
      </c>
    </row>
    <row r="782" spans="1:35" ht="15.75">
      <c r="A782" s="74">
        <f t="shared" si="90"/>
        <v>578</v>
      </c>
      <c r="B782" s="75" t="s">
        <v>1561</v>
      </c>
      <c r="C782" s="76">
        <v>1080</v>
      </c>
      <c r="D782" s="75" t="s">
        <v>566</v>
      </c>
      <c r="H782" s="50" t="s">
        <v>1562</v>
      </c>
      <c r="AG782" s="71" t="str">
        <f t="shared" si="87"/>
        <v>|</v>
      </c>
      <c r="AI782" s="50" t="s">
        <v>1095</v>
      </c>
    </row>
    <row r="783" spans="1:35" ht="15.75">
      <c r="A783" s="74">
        <f t="shared" si="90"/>
        <v>579</v>
      </c>
      <c r="B783" s="75" t="s">
        <v>1563</v>
      </c>
      <c r="C783" s="97">
        <v>387.4</v>
      </c>
      <c r="D783" s="75" t="s">
        <v>152</v>
      </c>
      <c r="F783" s="64">
        <v>98.5</v>
      </c>
      <c r="G783" s="62" t="s">
        <v>303</v>
      </c>
      <c r="H783" s="50" t="s">
        <v>1511</v>
      </c>
      <c r="I783" s="64">
        <f>C270/5</f>
        <v>5.04</v>
      </c>
      <c r="J783" s="50" t="s">
        <v>1504</v>
      </c>
      <c r="K783" s="64">
        <f t="shared" ref="K783:K789" si="91">(F783*I783)</f>
        <v>496.44</v>
      </c>
      <c r="N783" s="50" t="s">
        <v>249</v>
      </c>
      <c r="O783" s="50" t="s">
        <v>1564</v>
      </c>
      <c r="Q783" s="51" t="s">
        <v>306</v>
      </c>
      <c r="R783" s="64">
        <f>(C730)</f>
        <v>1250</v>
      </c>
      <c r="AG783" s="71" t="str">
        <f t="shared" si="87"/>
        <v>|</v>
      </c>
      <c r="AI783" s="50" t="s">
        <v>1095</v>
      </c>
    </row>
    <row r="784" spans="1:35" ht="15.75">
      <c r="A784" s="74" t="e">
        <f>(#REF!+1)</f>
        <v>#REF!</v>
      </c>
      <c r="B784" s="75" t="s">
        <v>1500</v>
      </c>
      <c r="C784" s="90"/>
      <c r="D784" s="90"/>
      <c r="F784" s="64">
        <v>3.8</v>
      </c>
      <c r="G784" s="62" t="s">
        <v>4</v>
      </c>
      <c r="H784" s="50" t="s">
        <v>1444</v>
      </c>
      <c r="I784" s="64">
        <f>(C16)</f>
        <v>1052.8</v>
      </c>
      <c r="J784" s="50" t="s">
        <v>4</v>
      </c>
      <c r="K784" s="64">
        <f t="shared" si="91"/>
        <v>4000.6399999999994</v>
      </c>
      <c r="O784" s="50" t="s">
        <v>1565</v>
      </c>
      <c r="AG784" s="71" t="str">
        <f t="shared" si="87"/>
        <v>|</v>
      </c>
      <c r="AI784" s="50" t="s">
        <v>1095</v>
      </c>
    </row>
    <row r="785" spans="1:35" ht="15.75">
      <c r="A785" s="74"/>
      <c r="B785" s="75" t="s">
        <v>1501</v>
      </c>
      <c r="C785" s="76">
        <v>300</v>
      </c>
      <c r="D785" s="90"/>
      <c r="F785" s="64">
        <v>5.4</v>
      </c>
      <c r="G785" s="62" t="s">
        <v>4</v>
      </c>
      <c r="H785" s="50" t="s">
        <v>235</v>
      </c>
      <c r="I785" s="64">
        <f>(C12)</f>
        <v>702.8</v>
      </c>
      <c r="J785" s="50" t="s">
        <v>4</v>
      </c>
      <c r="K785" s="64">
        <f t="shared" si="91"/>
        <v>3795.12</v>
      </c>
      <c r="O785" s="50" t="s">
        <v>1566</v>
      </c>
      <c r="AG785" s="71" t="str">
        <f t="shared" si="87"/>
        <v>|</v>
      </c>
      <c r="AI785" s="50" t="s">
        <v>1095</v>
      </c>
    </row>
    <row r="786" spans="1:35" ht="15.75">
      <c r="A786" s="74"/>
      <c r="B786" s="171" t="s">
        <v>1505</v>
      </c>
      <c r="C786" s="76">
        <v>302</v>
      </c>
      <c r="D786" s="90"/>
      <c r="F786" s="64">
        <v>1</v>
      </c>
      <c r="G786" s="62" t="s">
        <v>4</v>
      </c>
      <c r="H786" s="50" t="s">
        <v>1519</v>
      </c>
      <c r="I786" s="64">
        <f>C66</f>
        <v>923.99999999999989</v>
      </c>
      <c r="J786" s="50" t="s">
        <v>340</v>
      </c>
      <c r="K786" s="64">
        <f t="shared" si="91"/>
        <v>923.99999999999989</v>
      </c>
      <c r="O786" s="50" t="s">
        <v>1567</v>
      </c>
      <c r="AG786" s="71" t="str">
        <f t="shared" si="87"/>
        <v>|</v>
      </c>
      <c r="AI786" s="50" t="s">
        <v>1095</v>
      </c>
    </row>
    <row r="787" spans="1:35" ht="15.75">
      <c r="A787" s="74"/>
      <c r="B787" s="75" t="s">
        <v>1568</v>
      </c>
      <c r="C787" s="76">
        <v>324</v>
      </c>
      <c r="D787" s="90"/>
      <c r="F787" s="64">
        <v>1</v>
      </c>
      <c r="G787" s="62" t="s">
        <v>226</v>
      </c>
      <c r="H787" s="50" t="s">
        <v>1569</v>
      </c>
      <c r="I787" s="64">
        <f>I761</f>
        <v>11</v>
      </c>
      <c r="J787" s="50" t="s">
        <v>340</v>
      </c>
      <c r="K787" s="64">
        <f t="shared" si="91"/>
        <v>11</v>
      </c>
      <c r="AG787" s="71" t="str">
        <f t="shared" si="87"/>
        <v>|</v>
      </c>
      <c r="AI787" s="50" t="s">
        <v>1095</v>
      </c>
    </row>
    <row r="788" spans="1:35" ht="15.75">
      <c r="A788" s="74"/>
      <c r="B788" s="75" t="s">
        <v>1507</v>
      </c>
      <c r="C788" s="76">
        <v>382</v>
      </c>
      <c r="D788" s="90"/>
      <c r="F788" s="64">
        <v>1</v>
      </c>
      <c r="G788" s="62" t="s">
        <v>226</v>
      </c>
      <c r="H788" s="50" t="s">
        <v>1447</v>
      </c>
      <c r="I788" s="172">
        <v>10</v>
      </c>
      <c r="J788" s="50" t="s">
        <v>226</v>
      </c>
      <c r="K788" s="64">
        <f t="shared" si="91"/>
        <v>10</v>
      </c>
      <c r="N788" s="50" t="s">
        <v>249</v>
      </c>
      <c r="O788" s="50" t="s">
        <v>1570</v>
      </c>
      <c r="AG788" s="71" t="str">
        <f t="shared" si="87"/>
        <v>|</v>
      </c>
      <c r="AI788" s="50" t="s">
        <v>1095</v>
      </c>
    </row>
    <row r="789" spans="1:35" ht="15.75">
      <c r="A789" s="74"/>
      <c r="B789" s="75" t="s">
        <v>1514</v>
      </c>
      <c r="C789" s="76">
        <v>505</v>
      </c>
      <c r="D789" s="90"/>
      <c r="F789" s="64">
        <v>19</v>
      </c>
      <c r="G789" s="62" t="s">
        <v>154</v>
      </c>
      <c r="H789" s="50" t="s">
        <v>1571</v>
      </c>
      <c r="I789" s="172">
        <v>2</v>
      </c>
      <c r="J789" s="55" t="s">
        <v>154</v>
      </c>
      <c r="K789" s="64">
        <f t="shared" si="91"/>
        <v>38</v>
      </c>
      <c r="O789" s="50" t="s">
        <v>1572</v>
      </c>
      <c r="R789" s="50" t="s">
        <v>150</v>
      </c>
      <c r="AG789" s="71" t="str">
        <f t="shared" si="87"/>
        <v>|</v>
      </c>
      <c r="AI789" s="50" t="s">
        <v>1095</v>
      </c>
    </row>
    <row r="790" spans="1:35" ht="15.75">
      <c r="A790" s="74"/>
      <c r="B790" s="75" t="s">
        <v>1510</v>
      </c>
      <c r="C790" s="76">
        <v>140</v>
      </c>
      <c r="D790" s="90"/>
      <c r="H790" s="50" t="s">
        <v>1573</v>
      </c>
      <c r="O790" s="50" t="s">
        <v>1574</v>
      </c>
      <c r="AG790" s="71" t="str">
        <f t="shared" si="87"/>
        <v>|</v>
      </c>
      <c r="AI790" s="50" t="s">
        <v>1095</v>
      </c>
    </row>
    <row r="791" spans="1:35" ht="15.75">
      <c r="A791" s="74"/>
      <c r="B791" s="75" t="s">
        <v>1512</v>
      </c>
      <c r="C791" s="76">
        <v>222</v>
      </c>
      <c r="D791" s="90"/>
      <c r="K791" s="59" t="s">
        <v>21</v>
      </c>
      <c r="O791" s="59" t="s">
        <v>21</v>
      </c>
      <c r="AG791" s="71" t="str">
        <f t="shared" si="87"/>
        <v>|</v>
      </c>
      <c r="AI791" s="50" t="s">
        <v>1095</v>
      </c>
    </row>
    <row r="792" spans="1:35" ht="15.75">
      <c r="A792" s="74"/>
      <c r="B792" s="75" t="s">
        <v>1575</v>
      </c>
      <c r="C792" s="76">
        <v>100</v>
      </c>
      <c r="D792" s="90"/>
      <c r="H792" s="50" t="s">
        <v>238</v>
      </c>
      <c r="K792" s="64">
        <f>SUM(K777:K790)</f>
        <v>10154.430639999999</v>
      </c>
      <c r="N792" s="50" t="s">
        <v>533</v>
      </c>
      <c r="O792" s="50" t="s">
        <v>1576</v>
      </c>
      <c r="P792" s="64">
        <f>(C272)</f>
        <v>300.89999999999998</v>
      </c>
      <c r="Q792" s="50" t="s">
        <v>533</v>
      </c>
      <c r="R792" s="64">
        <f>M792*P792</f>
        <v>0</v>
      </c>
      <c r="AG792" s="71" t="str">
        <f t="shared" si="87"/>
        <v>|</v>
      </c>
      <c r="AI792" s="50" t="s">
        <v>1095</v>
      </c>
    </row>
    <row r="793" spans="1:35" ht="15.75">
      <c r="A793" s="74"/>
      <c r="B793" s="75" t="s">
        <v>1577</v>
      </c>
      <c r="C793" s="76">
        <v>75</v>
      </c>
      <c r="D793" s="90"/>
      <c r="K793" s="59" t="s">
        <v>21</v>
      </c>
      <c r="R793" s="64"/>
      <c r="AG793" s="71" t="str">
        <f t="shared" si="87"/>
        <v>|</v>
      </c>
      <c r="AI793" s="50" t="s">
        <v>1095</v>
      </c>
    </row>
    <row r="794" spans="1:35" ht="15.75">
      <c r="A794" s="74"/>
      <c r="B794" s="75" t="s">
        <v>1578</v>
      </c>
      <c r="C794" s="76">
        <v>218</v>
      </c>
      <c r="D794" s="90"/>
      <c r="H794" s="50" t="s">
        <v>155</v>
      </c>
      <c r="K794" s="64">
        <f>(K792/10)</f>
        <v>1015.4430639999998</v>
      </c>
      <c r="N794" s="50" t="s">
        <v>1579</v>
      </c>
      <c r="O794" s="50" t="s">
        <v>1580</v>
      </c>
      <c r="P794" s="64">
        <f>(C16)</f>
        <v>1052.8</v>
      </c>
      <c r="Q794" s="50" t="s">
        <v>1579</v>
      </c>
      <c r="R794" s="64">
        <f>M794*P794</f>
        <v>0</v>
      </c>
      <c r="AG794" s="71" t="str">
        <f t="shared" si="87"/>
        <v>|</v>
      </c>
      <c r="AI794" s="50" t="s">
        <v>1095</v>
      </c>
    </row>
    <row r="795" spans="1:35" ht="15.75">
      <c r="A795" s="74"/>
      <c r="B795" s="75" t="s">
        <v>1581</v>
      </c>
      <c r="C795" s="76">
        <v>1854</v>
      </c>
      <c r="D795" s="90"/>
      <c r="H795" s="173" t="s">
        <v>1582</v>
      </c>
      <c r="K795" s="59" t="s">
        <v>156</v>
      </c>
      <c r="R795" s="64"/>
      <c r="AG795" s="71" t="str">
        <f t="shared" si="87"/>
        <v>|</v>
      </c>
      <c r="AI795" s="50" t="s">
        <v>1095</v>
      </c>
    </row>
    <row r="796" spans="1:35" ht="15.75">
      <c r="A796" s="74"/>
      <c r="B796" s="75" t="s">
        <v>1583</v>
      </c>
      <c r="C796" s="76">
        <v>51</v>
      </c>
      <c r="D796" s="90"/>
      <c r="O796" s="50" t="s">
        <v>1584</v>
      </c>
      <c r="P796" s="162" t="s">
        <v>226</v>
      </c>
      <c r="R796" s="64">
        <v>0.64</v>
      </c>
      <c r="AG796" s="71" t="str">
        <f t="shared" si="87"/>
        <v>|</v>
      </c>
      <c r="AI796" s="50" t="s">
        <v>1095</v>
      </c>
    </row>
    <row r="797" spans="1:35" ht="15.75">
      <c r="A797" s="74"/>
      <c r="B797" s="75" t="s">
        <v>1585</v>
      </c>
      <c r="C797" s="76">
        <v>915</v>
      </c>
      <c r="D797" s="90"/>
      <c r="F797" s="51" t="s">
        <v>456</v>
      </c>
      <c r="G797" s="62" t="s">
        <v>249</v>
      </c>
      <c r="H797" s="50" t="s">
        <v>1537</v>
      </c>
      <c r="R797" s="59" t="s">
        <v>21</v>
      </c>
      <c r="AG797" s="71" t="str">
        <f t="shared" si="87"/>
        <v>|</v>
      </c>
      <c r="AI797" s="50" t="s">
        <v>1095</v>
      </c>
    </row>
    <row r="798" spans="1:35" ht="15.75">
      <c r="A798" s="74"/>
      <c r="B798" s="75" t="s">
        <v>1586</v>
      </c>
      <c r="C798" s="76">
        <v>890</v>
      </c>
      <c r="D798" s="90"/>
      <c r="H798" s="50" t="s">
        <v>1540</v>
      </c>
      <c r="O798" s="50" t="s">
        <v>1587</v>
      </c>
      <c r="R798" s="64">
        <f>SUM(R792:R796)</f>
        <v>0.64</v>
      </c>
      <c r="AG798" s="71" t="str">
        <f t="shared" si="87"/>
        <v>|</v>
      </c>
      <c r="AI798" s="50" t="s">
        <v>1095</v>
      </c>
    </row>
    <row r="799" spans="1:35" ht="15.75">
      <c r="A799" s="74"/>
      <c r="B799" s="75" t="s">
        <v>1588</v>
      </c>
      <c r="C799" s="76">
        <v>5.15</v>
      </c>
      <c r="D799" s="90"/>
      <c r="H799" s="50" t="s">
        <v>1589</v>
      </c>
      <c r="R799" s="59" t="s">
        <v>21</v>
      </c>
      <c r="U799" s="65" t="s">
        <v>1590</v>
      </c>
      <c r="AG799" s="71" t="str">
        <f t="shared" si="87"/>
        <v>|</v>
      </c>
      <c r="AI799" s="50" t="s">
        <v>1095</v>
      </c>
    </row>
    <row r="800" spans="1:35" ht="15.75">
      <c r="A800" s="74"/>
      <c r="B800" s="75" t="s">
        <v>1591</v>
      </c>
      <c r="C800" s="76">
        <v>43.3</v>
      </c>
      <c r="D800" s="90"/>
      <c r="H800" s="59" t="s">
        <v>21</v>
      </c>
      <c r="O800" s="50" t="s">
        <v>1592</v>
      </c>
      <c r="R800" s="64">
        <f>(R798/0.4)</f>
        <v>1.5999999999999999</v>
      </c>
      <c r="S800" s="56">
        <v>0.443</v>
      </c>
      <c r="T800" s="52" t="s">
        <v>276</v>
      </c>
      <c r="U800" s="52" t="s">
        <v>1593</v>
      </c>
      <c r="V800" s="52">
        <f>AE14</f>
        <v>2288.7799999999997</v>
      </c>
      <c r="X800" s="52">
        <f>V800*S800</f>
        <v>1013.9295399999999</v>
      </c>
      <c r="AG800" s="71" t="str">
        <f t="shared" si="87"/>
        <v>|</v>
      </c>
      <c r="AI800" s="50" t="s">
        <v>1095</v>
      </c>
    </row>
    <row r="801" spans="1:35" ht="15.75">
      <c r="A801" s="74"/>
      <c r="B801" s="75" t="s">
        <v>1594</v>
      </c>
      <c r="C801" s="76">
        <v>920</v>
      </c>
      <c r="D801" s="90"/>
      <c r="H801" s="50" t="s">
        <v>1595</v>
      </c>
      <c r="K801" s="64">
        <f>(K732/2)</f>
        <v>503.86</v>
      </c>
      <c r="R801" s="59" t="s">
        <v>156</v>
      </c>
      <c r="S801" s="56">
        <v>0.29499999999999998</v>
      </c>
      <c r="T801" s="52" t="s">
        <v>276</v>
      </c>
      <c r="U801" s="52" t="s">
        <v>1596</v>
      </c>
      <c r="V801" s="52">
        <f>AE12</f>
        <v>1844.78</v>
      </c>
      <c r="X801" s="52">
        <f t="shared" ref="X801:X807" si="92">V801*S801</f>
        <v>544.21010000000001</v>
      </c>
      <c r="AG801" s="71" t="str">
        <f t="shared" si="87"/>
        <v>|</v>
      </c>
      <c r="AI801" s="50" t="s">
        <v>1095</v>
      </c>
    </row>
    <row r="802" spans="1:35" ht="15.75">
      <c r="A802" s="74"/>
      <c r="B802" s="75" t="s">
        <v>1597</v>
      </c>
      <c r="C802" s="76">
        <v>98</v>
      </c>
      <c r="D802" s="90"/>
      <c r="H802" s="50" t="s">
        <v>1598</v>
      </c>
      <c r="K802" s="59" t="s">
        <v>156</v>
      </c>
      <c r="N802" s="50" t="s">
        <v>249</v>
      </c>
      <c r="O802" s="50" t="s">
        <v>1599</v>
      </c>
      <c r="S802" s="56">
        <v>0.43</v>
      </c>
      <c r="T802" s="52" t="s">
        <v>276</v>
      </c>
      <c r="U802" s="52" t="s">
        <v>1600</v>
      </c>
      <c r="V802" s="52">
        <f>I809</f>
        <v>2116.9</v>
      </c>
      <c r="X802" s="52">
        <f t="shared" si="92"/>
        <v>910.26700000000005</v>
      </c>
      <c r="AG802" s="71" t="str">
        <f t="shared" si="87"/>
        <v>|</v>
      </c>
      <c r="AI802" s="50" t="s">
        <v>1095</v>
      </c>
    </row>
    <row r="803" spans="1:35" ht="15.75">
      <c r="A803" s="74"/>
      <c r="B803" s="75" t="s">
        <v>1601</v>
      </c>
      <c r="C803" s="76">
        <v>181</v>
      </c>
      <c r="D803" s="90"/>
      <c r="F803" s="51" t="s">
        <v>1294</v>
      </c>
      <c r="G803" s="62" t="s">
        <v>249</v>
      </c>
      <c r="H803" s="50" t="s">
        <v>1602</v>
      </c>
      <c r="O803" s="50" t="s">
        <v>1603</v>
      </c>
      <c r="S803" s="56">
        <v>0.39</v>
      </c>
      <c r="T803" s="52" t="s">
        <v>277</v>
      </c>
      <c r="U803" s="52" t="s">
        <v>278</v>
      </c>
      <c r="V803" s="52">
        <f>I808</f>
        <v>5800</v>
      </c>
      <c r="X803" s="52">
        <f t="shared" si="92"/>
        <v>2262</v>
      </c>
      <c r="AG803" s="71" t="str">
        <f t="shared" si="87"/>
        <v>|</v>
      </c>
      <c r="AI803" s="50" t="s">
        <v>1095</v>
      </c>
    </row>
    <row r="804" spans="1:35" ht="15.75">
      <c r="A804" s="74"/>
      <c r="B804" s="75" t="s">
        <v>1604</v>
      </c>
      <c r="C804" s="76">
        <v>1148.76</v>
      </c>
      <c r="D804" s="90"/>
      <c r="H804" s="50" t="s">
        <v>1296</v>
      </c>
      <c r="O804" s="50" t="s">
        <v>1605</v>
      </c>
      <c r="S804" s="56">
        <v>0.35</v>
      </c>
      <c r="T804" s="52" t="s">
        <v>154</v>
      </c>
      <c r="U804" s="52" t="s">
        <v>280</v>
      </c>
      <c r="V804" s="52">
        <f>I810</f>
        <v>1005.1999999999999</v>
      </c>
      <c r="W804" s="52" t="str">
        <f>J810</f>
        <v>NO.</v>
      </c>
      <c r="X804" s="52">
        <f t="shared" si="92"/>
        <v>351.81999999999994</v>
      </c>
      <c r="AG804" s="71" t="str">
        <f t="shared" si="87"/>
        <v>|</v>
      </c>
      <c r="AI804" s="50" t="s">
        <v>1095</v>
      </c>
    </row>
    <row r="805" spans="1:35" ht="15.75">
      <c r="A805" s="74"/>
      <c r="B805" s="75" t="s">
        <v>1606</v>
      </c>
      <c r="C805" s="76">
        <v>967</v>
      </c>
      <c r="D805" s="90"/>
      <c r="H805" s="50" t="s">
        <v>1299</v>
      </c>
      <c r="O805" s="59" t="s">
        <v>21</v>
      </c>
      <c r="S805" s="56">
        <v>2.12</v>
      </c>
      <c r="T805" s="52" t="s">
        <v>154</v>
      </c>
      <c r="U805" s="52" t="s">
        <v>281</v>
      </c>
      <c r="V805" s="52">
        <f>I811</f>
        <v>702.8</v>
      </c>
      <c r="X805" s="52">
        <f t="shared" si="92"/>
        <v>1489.9359999999999</v>
      </c>
      <c r="AG805" s="71" t="str">
        <f t="shared" si="87"/>
        <v>|</v>
      </c>
      <c r="AI805" s="50" t="s">
        <v>1095</v>
      </c>
    </row>
    <row r="806" spans="1:35" ht="15.75">
      <c r="A806" s="74"/>
      <c r="B806" s="75" t="s">
        <v>1607</v>
      </c>
      <c r="C806" s="174">
        <v>33.9</v>
      </c>
      <c r="D806" s="90"/>
      <c r="H806" s="59" t="s">
        <v>21</v>
      </c>
      <c r="N806" s="162" t="s">
        <v>524</v>
      </c>
      <c r="O806" s="50" t="s">
        <v>1608</v>
      </c>
      <c r="S806" s="56">
        <v>3.53</v>
      </c>
      <c r="T806" s="52" t="s">
        <v>154</v>
      </c>
      <c r="U806" s="52" t="s">
        <v>282</v>
      </c>
      <c r="V806" s="52">
        <f>I812</f>
        <v>576.79999999999995</v>
      </c>
      <c r="X806" s="52">
        <f t="shared" si="92"/>
        <v>2036.1039999999998</v>
      </c>
      <c r="AG806" s="71" t="str">
        <f t="shared" si="87"/>
        <v>|</v>
      </c>
      <c r="AI806" s="50" t="s">
        <v>1095</v>
      </c>
    </row>
    <row r="807" spans="1:35" ht="15.75">
      <c r="A807" s="74"/>
      <c r="B807" s="75" t="s">
        <v>1609</v>
      </c>
      <c r="C807" s="76">
        <v>2107</v>
      </c>
      <c r="D807" s="90"/>
      <c r="F807" s="100">
        <v>9</v>
      </c>
      <c r="G807" s="62" t="s">
        <v>151</v>
      </c>
      <c r="H807" s="50" t="s">
        <v>1610</v>
      </c>
      <c r="I807" s="64">
        <f>C73</f>
        <v>2288.7799999999997</v>
      </c>
      <c r="J807" s="50" t="s">
        <v>151</v>
      </c>
      <c r="K807" s="64">
        <f t="shared" ref="K807:K812" si="93">F807*I807</f>
        <v>20599.019999999997</v>
      </c>
      <c r="O807" s="50" t="s">
        <v>1611</v>
      </c>
      <c r="S807" s="56">
        <v>1</v>
      </c>
      <c r="T807" s="52" t="s">
        <v>276</v>
      </c>
      <c r="U807" s="52" t="s">
        <v>1612</v>
      </c>
      <c r="V807" s="52">
        <f>K819</f>
        <v>98.98</v>
      </c>
      <c r="X807" s="52">
        <f t="shared" si="92"/>
        <v>98.98</v>
      </c>
      <c r="AG807" s="71" t="str">
        <f t="shared" si="87"/>
        <v>|</v>
      </c>
      <c r="AI807" s="50" t="s">
        <v>1095</v>
      </c>
    </row>
    <row r="808" spans="1:35" ht="15.75">
      <c r="A808" s="74"/>
      <c r="B808" s="75" t="s">
        <v>1613</v>
      </c>
      <c r="C808" s="71">
        <v>922</v>
      </c>
      <c r="D808" s="90"/>
      <c r="F808" s="100">
        <v>4.3079999999999998</v>
      </c>
      <c r="G808" s="62" t="s">
        <v>251</v>
      </c>
      <c r="H808" s="50" t="s">
        <v>252</v>
      </c>
      <c r="I808" s="64">
        <f>C67</f>
        <v>5800</v>
      </c>
      <c r="J808" s="50" t="s">
        <v>251</v>
      </c>
      <c r="K808" s="64">
        <f t="shared" si="93"/>
        <v>24986.399999999998</v>
      </c>
      <c r="N808" s="50" t="s">
        <v>1472</v>
      </c>
      <c r="O808" s="50" t="s">
        <v>1614</v>
      </c>
      <c r="P808" s="64">
        <f>C34/1000</f>
        <v>41.2</v>
      </c>
      <c r="R808" s="64" t="e">
        <f>(#VALUE!*P808)</f>
        <v>#VALUE!</v>
      </c>
      <c r="S808" s="168" t="s">
        <v>287</v>
      </c>
      <c r="U808" s="52" t="s">
        <v>1615</v>
      </c>
      <c r="V808" s="168" t="s">
        <v>287</v>
      </c>
      <c r="X808" s="52">
        <v>270</v>
      </c>
      <c r="AG808" s="71" t="str">
        <f t="shared" si="87"/>
        <v>|</v>
      </c>
      <c r="AI808" s="50" t="s">
        <v>1095</v>
      </c>
    </row>
    <row r="809" spans="1:35" ht="15.75">
      <c r="A809" s="74"/>
      <c r="B809" s="75" t="s">
        <v>1616</v>
      </c>
      <c r="C809" s="71">
        <v>636</v>
      </c>
      <c r="D809" s="90"/>
      <c r="F809" s="100">
        <v>4.5</v>
      </c>
      <c r="G809" s="62" t="s">
        <v>151</v>
      </c>
      <c r="H809" s="50" t="s">
        <v>253</v>
      </c>
      <c r="I809" s="64">
        <f>C78</f>
        <v>2116.9</v>
      </c>
      <c r="J809" s="50" t="s">
        <v>151</v>
      </c>
      <c r="K809" s="64">
        <f t="shared" si="93"/>
        <v>9526.0500000000011</v>
      </c>
      <c r="O809" s="50" t="s">
        <v>1617</v>
      </c>
      <c r="S809" s="168" t="s">
        <v>287</v>
      </c>
      <c r="U809" s="52" t="s">
        <v>1618</v>
      </c>
      <c r="V809" s="168" t="s">
        <v>287</v>
      </c>
      <c r="X809" s="52">
        <v>150</v>
      </c>
      <c r="AG809" s="71" t="str">
        <f t="shared" si="87"/>
        <v>|</v>
      </c>
      <c r="AI809" s="50" t="s">
        <v>1095</v>
      </c>
    </row>
    <row r="810" spans="1:35" ht="15.75">
      <c r="A810" s="74"/>
      <c r="B810" s="75" t="s">
        <v>1619</v>
      </c>
      <c r="C810" s="71">
        <v>497</v>
      </c>
      <c r="D810" s="90"/>
      <c r="F810" s="100">
        <v>3.5</v>
      </c>
      <c r="G810" s="62" t="s">
        <v>153</v>
      </c>
      <c r="H810" s="50" t="s">
        <v>234</v>
      </c>
      <c r="I810" s="64">
        <f>C11</f>
        <v>1005.1999999999999</v>
      </c>
      <c r="J810" s="50" t="s">
        <v>153</v>
      </c>
      <c r="K810" s="64">
        <f t="shared" si="93"/>
        <v>3518.2</v>
      </c>
      <c r="O810" s="50" t="s">
        <v>1620</v>
      </c>
      <c r="S810" s="168" t="s">
        <v>287</v>
      </c>
      <c r="U810" s="52" t="s">
        <v>337</v>
      </c>
      <c r="V810" s="168" t="s">
        <v>287</v>
      </c>
      <c r="X810" s="52">
        <v>0.06</v>
      </c>
      <c r="AG810" s="71" t="str">
        <f t="shared" si="87"/>
        <v>|</v>
      </c>
      <c r="AI810" s="50" t="s">
        <v>1095</v>
      </c>
    </row>
    <row r="811" spans="1:35" ht="15.75">
      <c r="A811" s="74"/>
      <c r="B811" s="90"/>
      <c r="C811" s="90"/>
      <c r="D811" s="90"/>
      <c r="F811" s="100">
        <v>21.2</v>
      </c>
      <c r="G811" s="62" t="s">
        <v>153</v>
      </c>
      <c r="H811" s="50" t="s">
        <v>235</v>
      </c>
      <c r="I811" s="64">
        <f>C12</f>
        <v>702.8</v>
      </c>
      <c r="J811" s="50" t="s">
        <v>153</v>
      </c>
      <c r="K811" s="64">
        <f t="shared" si="93"/>
        <v>14899.359999999999</v>
      </c>
      <c r="N811" s="50" t="s">
        <v>152</v>
      </c>
      <c r="O811" s="50" t="s">
        <v>1621</v>
      </c>
      <c r="P811" s="64">
        <f>C272</f>
        <v>300.89999999999998</v>
      </c>
      <c r="R811" s="64" t="e">
        <f t="shared" ref="R811:R817" si="94">(#VALUE!*P811)</f>
        <v>#VALUE!</v>
      </c>
      <c r="X811" s="65">
        <f>SUM(X800:X810)</f>
        <v>9127.3066399999989</v>
      </c>
      <c r="Y811" s="65"/>
      <c r="Z811" s="52">
        <v>59.4</v>
      </c>
      <c r="AA811" s="52">
        <v>117</v>
      </c>
      <c r="AG811" s="71" t="str">
        <f t="shared" si="87"/>
        <v>|</v>
      </c>
      <c r="AI811" s="50" t="s">
        <v>1095</v>
      </c>
    </row>
    <row r="812" spans="1:35" ht="15.75">
      <c r="A812" s="74"/>
      <c r="B812" s="75" t="s">
        <v>1622</v>
      </c>
      <c r="C812" s="90">
        <v>3.15</v>
      </c>
      <c r="D812" s="90"/>
      <c r="F812" s="100">
        <v>35.299999999999997</v>
      </c>
      <c r="G812" s="62" t="s">
        <v>153</v>
      </c>
      <c r="H812" s="50" t="s">
        <v>236</v>
      </c>
      <c r="I812" s="64">
        <f>C13</f>
        <v>576.79999999999995</v>
      </c>
      <c r="J812" s="50" t="s">
        <v>153</v>
      </c>
      <c r="K812" s="64">
        <f t="shared" si="93"/>
        <v>20361.039999999997</v>
      </c>
      <c r="N812" s="50" t="s">
        <v>153</v>
      </c>
      <c r="O812" s="50" t="s">
        <v>1623</v>
      </c>
      <c r="P812" s="64">
        <v>5</v>
      </c>
      <c r="R812" s="64" t="e">
        <f t="shared" si="94"/>
        <v>#VALUE!</v>
      </c>
      <c r="AG812" s="71" t="str">
        <f t="shared" si="87"/>
        <v>|</v>
      </c>
      <c r="AI812" s="50" t="s">
        <v>1095</v>
      </c>
    </row>
    <row r="813" spans="1:35" ht="15.75">
      <c r="A813" s="74"/>
      <c r="B813" s="90"/>
      <c r="C813" s="90"/>
      <c r="D813" s="90"/>
      <c r="F813" s="162" t="s">
        <v>226</v>
      </c>
      <c r="H813" s="50" t="s">
        <v>237</v>
      </c>
      <c r="J813" s="50" t="s">
        <v>226</v>
      </c>
      <c r="K813" s="64">
        <v>0</v>
      </c>
      <c r="N813" s="50" t="s">
        <v>153</v>
      </c>
      <c r="O813" s="50" t="s">
        <v>1624</v>
      </c>
      <c r="P813" s="64">
        <v>10</v>
      </c>
      <c r="R813" s="64" t="e">
        <f t="shared" si="94"/>
        <v>#VALUE!</v>
      </c>
      <c r="AG813" s="71" t="str">
        <f t="shared" ref="AG813:AG876" si="95">AI813</f>
        <v>|</v>
      </c>
      <c r="AI813" s="50" t="s">
        <v>1095</v>
      </c>
    </row>
    <row r="814" spans="1:35" ht="15.75">
      <c r="A814" s="74"/>
      <c r="B814" s="75" t="s">
        <v>1625</v>
      </c>
      <c r="C814" s="95">
        <v>10.199999999999999</v>
      </c>
      <c r="D814" s="90"/>
      <c r="K814" s="59" t="s">
        <v>21</v>
      </c>
      <c r="N814" s="50" t="s">
        <v>153</v>
      </c>
      <c r="O814" s="50" t="s">
        <v>1626</v>
      </c>
      <c r="P814" s="64">
        <v>8</v>
      </c>
      <c r="R814" s="64" t="e">
        <f t="shared" si="94"/>
        <v>#VALUE!</v>
      </c>
      <c r="U814" s="65" t="s">
        <v>1627</v>
      </c>
      <c r="AG814" s="71" t="str">
        <f t="shared" si="95"/>
        <v>|</v>
      </c>
      <c r="AI814" s="50" t="s">
        <v>1095</v>
      </c>
    </row>
    <row r="815" spans="1:35" ht="15.75">
      <c r="A815" s="74"/>
      <c r="B815" s="75" t="s">
        <v>1628</v>
      </c>
      <c r="C815" s="95">
        <v>28.5</v>
      </c>
      <c r="D815" s="90"/>
      <c r="H815" s="51" t="s">
        <v>263</v>
      </c>
      <c r="K815" s="64">
        <f>SUM(K807:K813)</f>
        <v>93890.069999999992</v>
      </c>
      <c r="N815" s="50" t="s">
        <v>303</v>
      </c>
      <c r="O815" s="50" t="s">
        <v>1629</v>
      </c>
      <c r="P815" s="64">
        <v>13.66</v>
      </c>
      <c r="R815" s="64" t="e">
        <f t="shared" si="94"/>
        <v>#VALUE!</v>
      </c>
      <c r="S815" s="56">
        <v>0.45300000000000001</v>
      </c>
      <c r="T815" s="52" t="s">
        <v>276</v>
      </c>
      <c r="U815" s="52" t="s">
        <v>1593</v>
      </c>
      <c r="V815" s="52">
        <f>V800</f>
        <v>2288.7799999999997</v>
      </c>
      <c r="X815" s="52">
        <f>V815*S815</f>
        <v>1036.8173399999998</v>
      </c>
      <c r="AA815" s="52">
        <f>X826+Z811</f>
        <v>9127.7868999999973</v>
      </c>
      <c r="AG815" s="71" t="str">
        <f t="shared" si="95"/>
        <v>|</v>
      </c>
      <c r="AI815" s="50" t="s">
        <v>1095</v>
      </c>
    </row>
    <row r="816" spans="1:35" ht="15.75">
      <c r="A816" s="74"/>
      <c r="B816" s="90"/>
      <c r="C816" s="90" t="s">
        <v>1630</v>
      </c>
      <c r="D816" s="90"/>
      <c r="K816" s="59" t="s">
        <v>156</v>
      </c>
      <c r="N816" s="50" t="s">
        <v>152</v>
      </c>
      <c r="O816" s="50" t="s">
        <v>1631</v>
      </c>
      <c r="P816" s="64">
        <v>25.46</v>
      </c>
      <c r="R816" s="64" t="e">
        <f t="shared" si="94"/>
        <v>#VALUE!</v>
      </c>
      <c r="S816" s="56">
        <v>0.30199999999999999</v>
      </c>
      <c r="T816" s="52" t="s">
        <v>276</v>
      </c>
      <c r="U816" s="52" t="s">
        <v>1596</v>
      </c>
      <c r="V816" s="52">
        <f t="shared" ref="V816:V825" si="96">V801</f>
        <v>1844.78</v>
      </c>
      <c r="X816" s="52">
        <f t="shared" ref="X816:X822" si="97">V816*S816</f>
        <v>557.12356</v>
      </c>
      <c r="AA816" s="52">
        <f>AA815+AA811</f>
        <v>9244.7868999999973</v>
      </c>
      <c r="AG816" s="71" t="str">
        <f t="shared" si="95"/>
        <v>|</v>
      </c>
      <c r="AI816" s="50" t="s">
        <v>1095</v>
      </c>
    </row>
    <row r="817" spans="1:35" ht="15.75">
      <c r="A817" s="175"/>
      <c r="H817" s="50" t="s">
        <v>270</v>
      </c>
      <c r="K817" s="64">
        <f>K815/10</f>
        <v>9389.0069999999996</v>
      </c>
      <c r="N817" s="50" t="s">
        <v>153</v>
      </c>
      <c r="O817" s="50" t="s">
        <v>1632</v>
      </c>
      <c r="P817" s="64">
        <v>0.5</v>
      </c>
      <c r="R817" s="64" t="e">
        <f t="shared" si="94"/>
        <v>#VALUE!</v>
      </c>
      <c r="S817" s="56">
        <v>0.44</v>
      </c>
      <c r="T817" s="52" t="s">
        <v>276</v>
      </c>
      <c r="U817" s="52" t="s">
        <v>1600</v>
      </c>
      <c r="V817" s="52">
        <f t="shared" si="96"/>
        <v>2116.9</v>
      </c>
      <c r="X817" s="52">
        <f t="shared" si="97"/>
        <v>931.43600000000004</v>
      </c>
      <c r="AA817" s="52">
        <f>AA816+AA811</f>
        <v>9361.7868999999973</v>
      </c>
      <c r="AG817" s="71" t="str">
        <f t="shared" si="95"/>
        <v>|</v>
      </c>
      <c r="AI817" s="50" t="s">
        <v>1095</v>
      </c>
    </row>
    <row r="818" spans="1:35" ht="15.75">
      <c r="A818" s="175"/>
      <c r="R818" s="64">
        <v>0.54</v>
      </c>
      <c r="S818" s="56">
        <v>0.37</v>
      </c>
      <c r="T818" s="52" t="s">
        <v>277</v>
      </c>
      <c r="U818" s="52" t="s">
        <v>278</v>
      </c>
      <c r="V818" s="52">
        <f t="shared" si="96"/>
        <v>5800</v>
      </c>
      <c r="X818" s="52">
        <f t="shared" si="97"/>
        <v>2146</v>
      </c>
      <c r="AA818" s="52">
        <f>AA817+AA811</f>
        <v>9478.7868999999973</v>
      </c>
      <c r="AG818" s="71" t="str">
        <f t="shared" si="95"/>
        <v>|</v>
      </c>
      <c r="AI818" s="50" t="s">
        <v>1095</v>
      </c>
    </row>
    <row r="819" spans="1:35" ht="15.75">
      <c r="A819" s="175"/>
      <c r="F819" s="64">
        <v>1</v>
      </c>
      <c r="G819" s="62" t="s">
        <v>151</v>
      </c>
      <c r="H819" s="50" t="s">
        <v>943</v>
      </c>
      <c r="I819" s="64">
        <f>C25</f>
        <v>98.98</v>
      </c>
      <c r="K819" s="64">
        <f>F819*I819</f>
        <v>98.98</v>
      </c>
      <c r="R819" s="59" t="s">
        <v>21</v>
      </c>
      <c r="S819" s="56">
        <v>0.35</v>
      </c>
      <c r="T819" s="52" t="s">
        <v>154</v>
      </c>
      <c r="U819" s="52" t="s">
        <v>280</v>
      </c>
      <c r="V819" s="52">
        <f t="shared" si="96"/>
        <v>1005.1999999999999</v>
      </c>
      <c r="W819" s="52">
        <f>J825</f>
        <v>0</v>
      </c>
      <c r="X819" s="52">
        <f t="shared" si="97"/>
        <v>351.81999999999994</v>
      </c>
      <c r="AA819" s="52">
        <f>AA811+AA818</f>
        <v>9595.7868999999973</v>
      </c>
      <c r="AG819" s="71" t="str">
        <f t="shared" si="95"/>
        <v>|</v>
      </c>
      <c r="AI819" s="50" t="s">
        <v>1095</v>
      </c>
    </row>
    <row r="820" spans="1:35" ht="15.75">
      <c r="A820" s="175"/>
      <c r="K820" s="59" t="s">
        <v>21</v>
      </c>
      <c r="O820" s="51" t="s">
        <v>1633</v>
      </c>
      <c r="R820" s="64" t="e">
        <f>SUM(R808:R818)</f>
        <v>#VALUE!</v>
      </c>
      <c r="S820" s="56">
        <v>2.12</v>
      </c>
      <c r="T820" s="52" t="s">
        <v>154</v>
      </c>
      <c r="U820" s="52" t="s">
        <v>281</v>
      </c>
      <c r="V820" s="52">
        <f t="shared" si="96"/>
        <v>702.8</v>
      </c>
      <c r="X820" s="52">
        <f t="shared" si="97"/>
        <v>1489.9359999999999</v>
      </c>
      <c r="AA820" s="52">
        <f>AA811+AA819</f>
        <v>9712.7868999999973</v>
      </c>
      <c r="AG820" s="71" t="str">
        <f t="shared" si="95"/>
        <v>|</v>
      </c>
      <c r="AI820" s="50" t="s">
        <v>1095</v>
      </c>
    </row>
    <row r="821" spans="1:35" ht="15.75">
      <c r="K821" s="64">
        <f>SUM(K817:K819)</f>
        <v>9487.9869999999992</v>
      </c>
      <c r="S821" s="56">
        <v>3.53</v>
      </c>
      <c r="T821" s="52" t="s">
        <v>154</v>
      </c>
      <c r="U821" s="52" t="s">
        <v>282</v>
      </c>
      <c r="V821" s="52">
        <f t="shared" si="96"/>
        <v>576.79999999999995</v>
      </c>
      <c r="X821" s="52">
        <f t="shared" si="97"/>
        <v>2036.1039999999998</v>
      </c>
      <c r="AA821" s="52">
        <f>AA811+AA820</f>
        <v>9829.7868999999973</v>
      </c>
      <c r="AG821" s="71" t="str">
        <f t="shared" si="95"/>
        <v>|</v>
      </c>
      <c r="AI821" s="50" t="s">
        <v>1095</v>
      </c>
    </row>
    <row r="822" spans="1:35" ht="15.75">
      <c r="A822" s="175"/>
      <c r="K822" s="59" t="s">
        <v>21</v>
      </c>
      <c r="R822" s="59" t="s">
        <v>21</v>
      </c>
      <c r="S822" s="56">
        <v>1</v>
      </c>
      <c r="T822" s="52" t="s">
        <v>276</v>
      </c>
      <c r="U822" s="52" t="s">
        <v>1612</v>
      </c>
      <c r="V822" s="52">
        <f t="shared" si="96"/>
        <v>98.98</v>
      </c>
      <c r="X822" s="52">
        <f t="shared" si="97"/>
        <v>98.98</v>
      </c>
      <c r="AA822" s="52">
        <f>AA811+AA821</f>
        <v>9946.7868999999973</v>
      </c>
      <c r="AG822" s="71" t="str">
        <f t="shared" si="95"/>
        <v>|</v>
      </c>
      <c r="AI822" s="50" t="s">
        <v>1095</v>
      </c>
    </row>
    <row r="823" spans="1:35" ht="15.75">
      <c r="A823" s="175"/>
      <c r="H823" s="50" t="s">
        <v>271</v>
      </c>
      <c r="K823" s="63">
        <f>(K821+C22)</f>
        <v>9613.8469999999998</v>
      </c>
      <c r="S823" s="168" t="s">
        <v>287</v>
      </c>
      <c r="U823" s="52" t="s">
        <v>1615</v>
      </c>
      <c r="V823" s="141" t="str">
        <f t="shared" si="96"/>
        <v>LS</v>
      </c>
      <c r="X823" s="52">
        <v>270</v>
      </c>
      <c r="AA823" s="52">
        <f>AA811+AA822</f>
        <v>10063.786899999997</v>
      </c>
      <c r="AG823" s="71" t="str">
        <f t="shared" si="95"/>
        <v>|</v>
      </c>
      <c r="AI823" s="50" t="s">
        <v>1095</v>
      </c>
    </row>
    <row r="824" spans="1:35" ht="15.75">
      <c r="A824" s="175"/>
      <c r="H824" s="50" t="s">
        <v>272</v>
      </c>
      <c r="K824" s="63">
        <f>(K823+C23)</f>
        <v>9861.646999999999</v>
      </c>
      <c r="N824" s="50" t="s">
        <v>520</v>
      </c>
      <c r="O824" s="50" t="s">
        <v>1634</v>
      </c>
      <c r="S824" s="168" t="s">
        <v>287</v>
      </c>
      <c r="U824" s="52" t="s">
        <v>1618</v>
      </c>
      <c r="V824" s="141" t="str">
        <f t="shared" si="96"/>
        <v>LS</v>
      </c>
      <c r="X824" s="52">
        <v>150</v>
      </c>
      <c r="AA824" s="52">
        <f>AA811+AA823</f>
        <v>10180.786899999997</v>
      </c>
      <c r="AG824" s="71" t="str">
        <f t="shared" si="95"/>
        <v>|</v>
      </c>
      <c r="AI824" s="50" t="s">
        <v>1095</v>
      </c>
    </row>
    <row r="825" spans="1:35" ht="15.75">
      <c r="A825" s="175"/>
      <c r="H825" s="50" t="s">
        <v>767</v>
      </c>
      <c r="K825" s="63">
        <f>(K824+C24)</f>
        <v>10109.446999999998</v>
      </c>
      <c r="O825" s="50" t="s">
        <v>1611</v>
      </c>
      <c r="S825" s="168" t="s">
        <v>287</v>
      </c>
      <c r="U825" s="52" t="s">
        <v>337</v>
      </c>
      <c r="V825" s="141" t="str">
        <f t="shared" si="96"/>
        <v>LS</v>
      </c>
      <c r="X825" s="52">
        <v>0.17</v>
      </c>
      <c r="AG825" s="71" t="str">
        <f t="shared" si="95"/>
        <v>|</v>
      </c>
      <c r="AI825" s="50" t="s">
        <v>1095</v>
      </c>
    </row>
    <row r="826" spans="1:35" ht="15.75">
      <c r="A826" s="175"/>
      <c r="H826" s="50" t="s">
        <v>769</v>
      </c>
      <c r="K826" s="63">
        <f>(K825+C24)</f>
        <v>10357.246999999998</v>
      </c>
      <c r="N826" s="50" t="s">
        <v>1472</v>
      </c>
      <c r="O826" s="50" t="s">
        <v>1614</v>
      </c>
      <c r="P826" s="64">
        <f>P808</f>
        <v>41.2</v>
      </c>
      <c r="R826" s="64" t="e">
        <f>(#VALUE!*P826)</f>
        <v>#VALUE!</v>
      </c>
      <c r="X826" s="65">
        <f>SUM(X815:X825)</f>
        <v>9068.3868999999977</v>
      </c>
      <c r="Y826" s="65"/>
      <c r="AG826" s="71" t="str">
        <f t="shared" si="95"/>
        <v>|</v>
      </c>
      <c r="AI826" s="50" t="s">
        <v>1095</v>
      </c>
    </row>
    <row r="827" spans="1:35" ht="15.75">
      <c r="H827" s="50" t="s">
        <v>838</v>
      </c>
      <c r="K827" s="63">
        <f>(K826+C24)</f>
        <v>10605.046999999997</v>
      </c>
      <c r="O827" s="50" t="s">
        <v>1617</v>
      </c>
      <c r="AG827" s="71" t="str">
        <f t="shared" si="95"/>
        <v>|</v>
      </c>
      <c r="AI827" s="50" t="s">
        <v>1095</v>
      </c>
    </row>
    <row r="828" spans="1:35" ht="15.75">
      <c r="H828" s="50">
        <v>5</v>
      </c>
      <c r="K828" s="63">
        <f>(K827+C24)</f>
        <v>10852.846999999996</v>
      </c>
      <c r="O828" s="50"/>
      <c r="AG828" s="71">
        <f>SUM(AG681:AG685)</f>
        <v>8206.1</v>
      </c>
      <c r="AI828" s="50"/>
    </row>
    <row r="829" spans="1:35" ht="15.75">
      <c r="H829" s="50">
        <v>6</v>
      </c>
      <c r="K829" s="63">
        <f>(K828+C24)</f>
        <v>11100.646999999995</v>
      </c>
      <c r="O829" s="50"/>
      <c r="AG829" s="71"/>
      <c r="AI829" s="50"/>
    </row>
    <row r="830" spans="1:35" ht="15.75">
      <c r="H830" s="50">
        <v>7</v>
      </c>
      <c r="K830" s="63">
        <f>(K829+C24)</f>
        <v>11348.446999999995</v>
      </c>
      <c r="O830" s="50"/>
      <c r="AG830" s="71"/>
      <c r="AI830" s="50"/>
    </row>
    <row r="831" spans="1:35" ht="15.75">
      <c r="H831" s="50">
        <v>8</v>
      </c>
      <c r="K831" s="63">
        <f>(K830+C24)</f>
        <v>11596.246999999994</v>
      </c>
      <c r="O831" s="50"/>
      <c r="AG831" s="71"/>
      <c r="AI831" s="50"/>
    </row>
    <row r="832" spans="1:35" ht="15.75">
      <c r="H832" s="50">
        <v>9</v>
      </c>
      <c r="K832" s="63">
        <f>(K831+C24)</f>
        <v>11844.046999999993</v>
      </c>
      <c r="O832" s="50"/>
      <c r="AG832" s="71"/>
      <c r="AI832" s="50"/>
    </row>
    <row r="833" spans="6:35" ht="15.75">
      <c r="H833" s="50">
        <v>10</v>
      </c>
      <c r="K833" s="63">
        <f>(K832+C24)</f>
        <v>12091.846999999992</v>
      </c>
      <c r="O833" s="50"/>
      <c r="AG833" s="71"/>
      <c r="AI833" s="50"/>
    </row>
    <row r="834" spans="6:35" ht="15.75">
      <c r="H834" s="50">
        <v>11</v>
      </c>
      <c r="K834" s="63">
        <f>(K833+C24)</f>
        <v>12339.646999999992</v>
      </c>
      <c r="O834" s="50"/>
      <c r="AG834" s="71"/>
      <c r="AI834" s="50"/>
    </row>
    <row r="835" spans="6:35" ht="15.75">
      <c r="H835" s="50">
        <v>12</v>
      </c>
      <c r="K835" s="63">
        <f>(K834+C24)</f>
        <v>12587.446999999991</v>
      </c>
      <c r="O835" s="50"/>
      <c r="AG835" s="71"/>
      <c r="AI835" s="50"/>
    </row>
    <row r="836" spans="6:35" ht="15.75">
      <c r="H836" s="50"/>
      <c r="K836" s="63"/>
      <c r="O836" s="50"/>
      <c r="AG836" s="71"/>
      <c r="AI836" s="50"/>
    </row>
    <row r="837" spans="6:35" ht="15.75">
      <c r="F837" s="50" t="s">
        <v>150</v>
      </c>
      <c r="O837" s="50" t="s">
        <v>1620</v>
      </c>
      <c r="AG837" s="71" t="str">
        <f t="shared" si="95"/>
        <v>|</v>
      </c>
      <c r="AI837" s="50" t="s">
        <v>1095</v>
      </c>
    </row>
    <row r="838" spans="6:35" ht="15.75">
      <c r="F838" s="50" t="s">
        <v>150</v>
      </c>
      <c r="G838" s="62" t="s">
        <v>249</v>
      </c>
      <c r="H838" s="51" t="s">
        <v>1635</v>
      </c>
      <c r="N838" s="50" t="s">
        <v>152</v>
      </c>
      <c r="O838" s="50" t="s">
        <v>1636</v>
      </c>
      <c r="P838" s="64">
        <f>C272</f>
        <v>300.89999999999998</v>
      </c>
      <c r="R838" s="64" t="e">
        <f t="shared" ref="R838:R844" si="98">(#VALUE!*P838)</f>
        <v>#VALUE!</v>
      </c>
      <c r="AG838" s="71" t="str">
        <f t="shared" si="95"/>
        <v>|</v>
      </c>
      <c r="AI838" s="50" t="s">
        <v>1095</v>
      </c>
    </row>
    <row r="839" spans="6:35" ht="15.75">
      <c r="H839" s="59" t="s">
        <v>156</v>
      </c>
      <c r="N839" s="50" t="s">
        <v>153</v>
      </c>
      <c r="O839" s="50" t="s">
        <v>1623</v>
      </c>
      <c r="P839" s="64">
        <v>5</v>
      </c>
      <c r="R839" s="64" t="e">
        <f t="shared" si="98"/>
        <v>#VALUE!</v>
      </c>
      <c r="AG839" s="71" t="str">
        <f t="shared" si="95"/>
        <v>|</v>
      </c>
      <c r="AI839" s="50" t="s">
        <v>1095</v>
      </c>
    </row>
    <row r="840" spans="6:35" ht="15.75">
      <c r="N840" s="50" t="s">
        <v>153</v>
      </c>
      <c r="O840" s="50" t="s">
        <v>1624</v>
      </c>
      <c r="P840" s="64">
        <v>10</v>
      </c>
      <c r="R840" s="64" t="e">
        <f t="shared" si="98"/>
        <v>#VALUE!</v>
      </c>
      <c r="AG840" s="71" t="str">
        <f t="shared" si="95"/>
        <v>|</v>
      </c>
      <c r="AI840" s="50" t="s">
        <v>1095</v>
      </c>
    </row>
    <row r="841" spans="6:35" ht="15.75">
      <c r="F841" s="51" t="s">
        <v>1637</v>
      </c>
      <c r="G841" s="62" t="s">
        <v>249</v>
      </c>
      <c r="H841" s="50" t="s">
        <v>1638</v>
      </c>
      <c r="N841" s="50" t="s">
        <v>153</v>
      </c>
      <c r="O841" s="50" t="s">
        <v>1626</v>
      </c>
      <c r="P841" s="64">
        <v>8</v>
      </c>
      <c r="R841" s="64" t="e">
        <f t="shared" si="98"/>
        <v>#VALUE!</v>
      </c>
      <c r="AG841" s="71" t="str">
        <f t="shared" si="95"/>
        <v>|</v>
      </c>
      <c r="AI841" s="50" t="s">
        <v>1095</v>
      </c>
    </row>
    <row r="842" spans="6:35" ht="15.75">
      <c r="H842" s="50" t="s">
        <v>1639</v>
      </c>
      <c r="N842" s="50" t="s">
        <v>303</v>
      </c>
      <c r="O842" s="50" t="s">
        <v>1629</v>
      </c>
      <c r="P842" s="64">
        <v>13.66</v>
      </c>
      <c r="R842" s="64" t="e">
        <f t="shared" si="98"/>
        <v>#VALUE!</v>
      </c>
      <c r="AG842" s="71" t="str">
        <f t="shared" si="95"/>
        <v>|</v>
      </c>
      <c r="AI842" s="50" t="s">
        <v>1095</v>
      </c>
    </row>
    <row r="843" spans="6:35" ht="15.75">
      <c r="H843" s="50" t="s">
        <v>1640</v>
      </c>
      <c r="N843" s="50" t="s">
        <v>152</v>
      </c>
      <c r="O843" s="50" t="s">
        <v>1631</v>
      </c>
      <c r="P843" s="64">
        <v>25.46</v>
      </c>
      <c r="R843" s="64" t="e">
        <f t="shared" si="98"/>
        <v>#VALUE!</v>
      </c>
      <c r="AG843" s="71" t="str">
        <f t="shared" si="95"/>
        <v>|::</v>
      </c>
      <c r="AI843" s="50" t="s">
        <v>892</v>
      </c>
    </row>
    <row r="844" spans="6:35" ht="15.75">
      <c r="H844" s="50" t="s">
        <v>1641</v>
      </c>
      <c r="N844" s="50" t="s">
        <v>153</v>
      </c>
      <c r="O844" s="50" t="s">
        <v>1632</v>
      </c>
      <c r="P844" s="64">
        <v>0.5</v>
      </c>
      <c r="R844" s="64" t="e">
        <f t="shared" si="98"/>
        <v>#VALUE!</v>
      </c>
      <c r="AG844" s="71">
        <f t="shared" si="95"/>
        <v>0</v>
      </c>
    </row>
    <row r="845" spans="6:35" ht="15.75">
      <c r="H845" s="50" t="s">
        <v>1642</v>
      </c>
      <c r="R845" s="64">
        <v>0.7</v>
      </c>
      <c r="AG845" s="71">
        <f t="shared" si="95"/>
        <v>0</v>
      </c>
    </row>
    <row r="846" spans="6:35" ht="15.75">
      <c r="H846" s="50" t="s">
        <v>1643</v>
      </c>
      <c r="R846" s="59" t="s">
        <v>21</v>
      </c>
      <c r="AG846" s="71">
        <f t="shared" si="95"/>
        <v>0</v>
      </c>
    </row>
    <row r="847" spans="6:35" ht="15.75">
      <c r="H847" s="50" t="s">
        <v>1644</v>
      </c>
      <c r="O847" s="51" t="s">
        <v>1633</v>
      </c>
      <c r="R847" s="64" t="e">
        <f>SUM(R826:R845)</f>
        <v>#VALUE!</v>
      </c>
      <c r="AG847" s="71" t="str">
        <f t="shared" si="95"/>
        <v>|</v>
      </c>
      <c r="AI847" s="50" t="s">
        <v>1095</v>
      </c>
    </row>
    <row r="848" spans="6:35" ht="15.75">
      <c r="H848" s="50" t="s">
        <v>1645</v>
      </c>
      <c r="O848" s="52" t="s">
        <v>150</v>
      </c>
      <c r="R848" s="59" t="s">
        <v>21</v>
      </c>
      <c r="AG848" s="71" t="str">
        <f t="shared" si="95"/>
        <v>|</v>
      </c>
      <c r="AI848" s="50" t="s">
        <v>1095</v>
      </c>
    </row>
    <row r="849" spans="6:35" ht="15.75">
      <c r="H849" s="50" t="s">
        <v>1646</v>
      </c>
      <c r="O849" s="65" t="s">
        <v>1647</v>
      </c>
      <c r="R849" s="59"/>
      <c r="AG849" s="71" t="str">
        <f t="shared" si="95"/>
        <v>|</v>
      </c>
      <c r="AI849" s="50" t="s">
        <v>1095</v>
      </c>
    </row>
    <row r="850" spans="6:35" ht="15.75">
      <c r="H850" s="50" t="s">
        <v>1648</v>
      </c>
      <c r="O850" s="51" t="s">
        <v>1649</v>
      </c>
      <c r="R850" s="59"/>
      <c r="AG850" s="71" t="str">
        <f t="shared" si="95"/>
        <v>|</v>
      </c>
      <c r="AI850" s="50" t="s">
        <v>1095</v>
      </c>
    </row>
    <row r="851" spans="6:35" ht="15.75">
      <c r="H851" s="50" t="s">
        <v>1650</v>
      </c>
      <c r="R851" s="59"/>
      <c r="AG851" s="71" t="str">
        <f t="shared" si="95"/>
        <v>|</v>
      </c>
      <c r="AI851" s="50" t="s">
        <v>1095</v>
      </c>
    </row>
    <row r="852" spans="6:35" ht="15.75">
      <c r="H852" s="50" t="s">
        <v>1651</v>
      </c>
      <c r="M852" s="130">
        <v>6.5000000000000002E-2</v>
      </c>
      <c r="N852" s="62" t="s">
        <v>151</v>
      </c>
      <c r="O852" s="50" t="s">
        <v>1652</v>
      </c>
      <c r="P852" s="64">
        <f>I859</f>
        <v>8712.6439874999996</v>
      </c>
      <c r="Q852" s="50" t="s">
        <v>151</v>
      </c>
      <c r="R852" s="64">
        <f>P852*M852</f>
        <v>566.32185918749997</v>
      </c>
      <c r="AG852" s="71" t="str">
        <f t="shared" si="95"/>
        <v>|</v>
      </c>
      <c r="AI852" s="50" t="s">
        <v>1095</v>
      </c>
    </row>
    <row r="853" spans="6:35" ht="15.75">
      <c r="H853" s="50" t="s">
        <v>1653</v>
      </c>
      <c r="M853" s="176">
        <v>8.4499999999999993</v>
      </c>
      <c r="N853" s="62" t="s">
        <v>13</v>
      </c>
      <c r="O853" s="50" t="s">
        <v>1654</v>
      </c>
      <c r="P853" s="64">
        <f t="shared" ref="P853:P862" si="99">I860</f>
        <v>78120.5</v>
      </c>
      <c r="Q853" s="50" t="s">
        <v>251</v>
      </c>
      <c r="R853" s="64">
        <f>P853*M853/1000</f>
        <v>660.11822499999994</v>
      </c>
      <c r="AG853" s="71" t="str">
        <f t="shared" si="95"/>
        <v>|</v>
      </c>
      <c r="AI853" s="50" t="s">
        <v>1095</v>
      </c>
    </row>
    <row r="854" spans="6:35" ht="15.75">
      <c r="H854" s="50" t="s">
        <v>1655</v>
      </c>
      <c r="M854" s="64">
        <v>3</v>
      </c>
      <c r="N854" s="62" t="s">
        <v>153</v>
      </c>
      <c r="O854" s="50" t="s">
        <v>1656</v>
      </c>
      <c r="P854" s="64">
        <f t="shared" si="99"/>
        <v>14.8</v>
      </c>
      <c r="Q854" s="50" t="s">
        <v>153</v>
      </c>
      <c r="R854" s="64">
        <f t="shared" ref="R854:R861" si="100">P854*M854</f>
        <v>44.400000000000006</v>
      </c>
      <c r="AG854" s="71" t="str">
        <f t="shared" si="95"/>
        <v>|</v>
      </c>
      <c r="AI854" s="50" t="s">
        <v>1095</v>
      </c>
    </row>
    <row r="855" spans="6:35" ht="15.75">
      <c r="M855" s="64">
        <v>12</v>
      </c>
      <c r="N855" s="62" t="s">
        <v>153</v>
      </c>
      <c r="O855" s="50" t="s">
        <v>1657</v>
      </c>
      <c r="P855" s="64">
        <f t="shared" si="99"/>
        <v>2</v>
      </c>
      <c r="Q855" s="50" t="s">
        <v>153</v>
      </c>
      <c r="R855" s="64">
        <f t="shared" si="100"/>
        <v>24</v>
      </c>
      <c r="AG855" s="71" t="str">
        <f t="shared" si="95"/>
        <v>|</v>
      </c>
      <c r="AI855" s="50" t="s">
        <v>1095</v>
      </c>
    </row>
    <row r="856" spans="6:35" ht="15.75">
      <c r="M856" s="64">
        <v>2</v>
      </c>
      <c r="N856" s="62" t="s">
        <v>153</v>
      </c>
      <c r="O856" s="50" t="s">
        <v>1658</v>
      </c>
      <c r="P856" s="64">
        <f t="shared" si="99"/>
        <v>4.9000000000000004</v>
      </c>
      <c r="Q856" s="50" t="s">
        <v>153</v>
      </c>
      <c r="R856" s="64">
        <f t="shared" si="100"/>
        <v>9.8000000000000007</v>
      </c>
      <c r="AG856" s="71" t="str">
        <f t="shared" si="95"/>
        <v>|</v>
      </c>
      <c r="AI856" s="50" t="s">
        <v>1095</v>
      </c>
    </row>
    <row r="857" spans="6:35" ht="15.75">
      <c r="G857" s="62" t="s">
        <v>514</v>
      </c>
      <c r="H857" s="51" t="s">
        <v>1659</v>
      </c>
      <c r="M857" s="64">
        <v>6</v>
      </c>
      <c r="N857" s="62" t="s">
        <v>153</v>
      </c>
      <c r="O857" s="50" t="s">
        <v>1660</v>
      </c>
      <c r="P857" s="64">
        <f t="shared" si="99"/>
        <v>4.45</v>
      </c>
      <c r="Q857" s="50" t="s">
        <v>153</v>
      </c>
      <c r="R857" s="64">
        <f t="shared" si="100"/>
        <v>26.700000000000003</v>
      </c>
      <c r="S857" s="52"/>
      <c r="T857" s="62" t="s">
        <v>514</v>
      </c>
      <c r="U857" s="51" t="s">
        <v>1661</v>
      </c>
      <c r="W857" s="55"/>
      <c r="AG857" s="71" t="str">
        <f t="shared" si="95"/>
        <v>|</v>
      </c>
      <c r="AI857" s="50" t="s">
        <v>1095</v>
      </c>
    </row>
    <row r="858" spans="6:35" ht="15.75">
      <c r="H858" s="51" t="s">
        <v>1662</v>
      </c>
      <c r="M858" s="64">
        <v>1</v>
      </c>
      <c r="N858" s="62" t="s">
        <v>153</v>
      </c>
      <c r="O858" s="50" t="s">
        <v>1663</v>
      </c>
      <c r="P858" s="64">
        <f t="shared" si="99"/>
        <v>1076.5999999999999</v>
      </c>
      <c r="Q858" s="50" t="s">
        <v>153</v>
      </c>
      <c r="R858" s="64">
        <f t="shared" si="100"/>
        <v>1076.5999999999999</v>
      </c>
      <c r="S858" s="52"/>
      <c r="T858" s="53"/>
      <c r="U858" s="51" t="s">
        <v>1662</v>
      </c>
      <c r="W858" s="55"/>
      <c r="AG858" s="71" t="str">
        <f t="shared" si="95"/>
        <v>|</v>
      </c>
      <c r="AI858" s="50" t="s">
        <v>1095</v>
      </c>
    </row>
    <row r="859" spans="6:35" ht="15.75">
      <c r="F859" s="130">
        <v>3.8100000000000002E-2</v>
      </c>
      <c r="G859" s="62" t="s">
        <v>151</v>
      </c>
      <c r="H859" s="50" t="s">
        <v>1652</v>
      </c>
      <c r="I859" s="64">
        <f>I877</f>
        <v>8712.6439874999996</v>
      </c>
      <c r="J859" s="50" t="s">
        <v>151</v>
      </c>
      <c r="K859" s="64">
        <f>F859*I859</f>
        <v>331.95173592374999</v>
      </c>
      <c r="M859" s="64">
        <v>1</v>
      </c>
      <c r="N859" s="62" t="s">
        <v>153</v>
      </c>
      <c r="O859" s="50" t="s">
        <v>1664</v>
      </c>
      <c r="P859" s="64">
        <f t="shared" si="99"/>
        <v>702.8</v>
      </c>
      <c r="Q859" s="50" t="s">
        <v>153</v>
      </c>
      <c r="R859" s="64">
        <f t="shared" si="100"/>
        <v>702.8</v>
      </c>
      <c r="S859" s="130">
        <v>4.9500000000000002E-2</v>
      </c>
      <c r="T859" s="62" t="s">
        <v>151</v>
      </c>
      <c r="U859" s="50" t="s">
        <v>1652</v>
      </c>
      <c r="V859" s="64">
        <f>I859</f>
        <v>8712.6439874999996</v>
      </c>
      <c r="W859" s="50" t="s">
        <v>151</v>
      </c>
      <c r="X859" s="64">
        <f>S859*V859</f>
        <v>431.27587738124998</v>
      </c>
      <c r="Y859" s="64"/>
      <c r="AG859" s="71" t="str">
        <f t="shared" si="95"/>
        <v>|</v>
      </c>
      <c r="AI859" s="50" t="s">
        <v>1095</v>
      </c>
    </row>
    <row r="860" spans="6:35" ht="15.75">
      <c r="F860" s="177">
        <v>5.01</v>
      </c>
      <c r="G860" s="62" t="s">
        <v>13</v>
      </c>
      <c r="H860" s="50" t="s">
        <v>1654</v>
      </c>
      <c r="I860" s="64">
        <f>I878</f>
        <v>78120.5</v>
      </c>
      <c r="J860" s="50" t="s">
        <v>251</v>
      </c>
      <c r="K860" s="64">
        <f>F860*I860/1000</f>
        <v>391.38370499999996</v>
      </c>
      <c r="M860" s="64">
        <v>1</v>
      </c>
      <c r="N860" s="62" t="s">
        <v>153</v>
      </c>
      <c r="O860" s="50" t="s">
        <v>1665</v>
      </c>
      <c r="P860" s="64">
        <f t="shared" si="99"/>
        <v>25</v>
      </c>
      <c r="Q860" s="50" t="s">
        <v>153</v>
      </c>
      <c r="R860" s="64">
        <f t="shared" si="100"/>
        <v>25</v>
      </c>
      <c r="S860" s="177">
        <v>5.66</v>
      </c>
      <c r="T860" s="62" t="s">
        <v>13</v>
      </c>
      <c r="U860" s="50" t="s">
        <v>1654</v>
      </c>
      <c r="V860" s="64">
        <f t="shared" ref="V860:V868" si="101">I860</f>
        <v>78120.5</v>
      </c>
      <c r="W860" s="50" t="s">
        <v>251</v>
      </c>
      <c r="X860" s="64">
        <f>S860*V860/1000</f>
        <v>442.16203000000002</v>
      </c>
      <c r="Y860" s="64"/>
      <c r="AG860" s="71" t="str">
        <f t="shared" si="95"/>
        <v>|</v>
      </c>
      <c r="AI860" s="50" t="s">
        <v>1095</v>
      </c>
    </row>
    <row r="861" spans="6:35" ht="15.75">
      <c r="F861" s="64">
        <v>3</v>
      </c>
      <c r="G861" s="62" t="s">
        <v>153</v>
      </c>
      <c r="H861" s="50" t="s">
        <v>1656</v>
      </c>
      <c r="I861" s="128">
        <v>14.8</v>
      </c>
      <c r="J861" s="50" t="s">
        <v>153</v>
      </c>
      <c r="K861" s="64">
        <f t="shared" ref="K861:K868" si="102">F861*I861</f>
        <v>44.400000000000006</v>
      </c>
      <c r="M861" s="64">
        <v>0.5</v>
      </c>
      <c r="N861" s="62" t="s">
        <v>153</v>
      </c>
      <c r="O861" s="50" t="s">
        <v>1666</v>
      </c>
      <c r="P861" s="64">
        <f t="shared" si="99"/>
        <v>576.79999999999995</v>
      </c>
      <c r="Q861" s="50" t="s">
        <v>153</v>
      </c>
      <c r="R861" s="64">
        <f t="shared" si="100"/>
        <v>288.39999999999998</v>
      </c>
      <c r="S861" s="64">
        <v>3</v>
      </c>
      <c r="T861" s="62" t="s">
        <v>153</v>
      </c>
      <c r="U861" s="50" t="s">
        <v>1656</v>
      </c>
      <c r="V861" s="64">
        <f t="shared" si="101"/>
        <v>14.8</v>
      </c>
      <c r="W861" s="50" t="s">
        <v>153</v>
      </c>
      <c r="X861" s="64">
        <f t="shared" ref="X861:X868" si="103">S861*V861</f>
        <v>44.400000000000006</v>
      </c>
      <c r="Y861" s="64"/>
      <c r="AG861" s="71" t="str">
        <f t="shared" si="95"/>
        <v>|</v>
      </c>
      <c r="AI861" s="50" t="s">
        <v>1095</v>
      </c>
    </row>
    <row r="862" spans="6:35" ht="15.75">
      <c r="F862" s="64">
        <v>12</v>
      </c>
      <c r="G862" s="62" t="s">
        <v>153</v>
      </c>
      <c r="H862" s="50" t="s">
        <v>1657</v>
      </c>
      <c r="I862" s="128">
        <v>2</v>
      </c>
      <c r="J862" s="50" t="s">
        <v>153</v>
      </c>
      <c r="K862" s="64">
        <f t="shared" si="102"/>
        <v>24</v>
      </c>
      <c r="N862" s="62" t="s">
        <v>226</v>
      </c>
      <c r="O862" s="50" t="s">
        <v>1667</v>
      </c>
      <c r="P862" s="64">
        <f t="shared" si="99"/>
        <v>0</v>
      </c>
      <c r="Q862" s="50" t="s">
        <v>226</v>
      </c>
      <c r="R862" s="64">
        <v>2.1</v>
      </c>
      <c r="S862" s="64">
        <v>12</v>
      </c>
      <c r="T862" s="62" t="s">
        <v>153</v>
      </c>
      <c r="U862" s="50" t="s">
        <v>1657</v>
      </c>
      <c r="V862" s="64">
        <f t="shared" si="101"/>
        <v>2</v>
      </c>
      <c r="W862" s="50" t="s">
        <v>153</v>
      </c>
      <c r="X862" s="64">
        <f t="shared" si="103"/>
        <v>24</v>
      </c>
      <c r="Y862" s="64"/>
      <c r="AG862" s="71" t="str">
        <f t="shared" si="95"/>
        <v>|</v>
      </c>
      <c r="AI862" s="50" t="s">
        <v>1095</v>
      </c>
    </row>
    <row r="863" spans="6:35" ht="15.75">
      <c r="F863" s="64">
        <v>2</v>
      </c>
      <c r="G863" s="62" t="s">
        <v>153</v>
      </c>
      <c r="H863" s="50" t="s">
        <v>1658</v>
      </c>
      <c r="I863" s="128">
        <v>4.9000000000000004</v>
      </c>
      <c r="J863" s="50" t="s">
        <v>153</v>
      </c>
      <c r="K863" s="64">
        <f t="shared" si="102"/>
        <v>9.8000000000000007</v>
      </c>
      <c r="N863" s="53"/>
      <c r="Q863" s="55"/>
      <c r="R863" s="59" t="s">
        <v>21</v>
      </c>
      <c r="S863" s="64">
        <v>2</v>
      </c>
      <c r="T863" s="62" t="s">
        <v>153</v>
      </c>
      <c r="U863" s="50" t="s">
        <v>1658</v>
      </c>
      <c r="V863" s="64">
        <f t="shared" si="101"/>
        <v>4.9000000000000004</v>
      </c>
      <c r="W863" s="50" t="s">
        <v>153</v>
      </c>
      <c r="X863" s="64">
        <f t="shared" si="103"/>
        <v>9.8000000000000007</v>
      </c>
      <c r="Y863" s="64"/>
      <c r="AG863" s="71" t="str">
        <f t="shared" si="95"/>
        <v>|</v>
      </c>
      <c r="AI863" s="50" t="s">
        <v>1095</v>
      </c>
    </row>
    <row r="864" spans="6:35" ht="15.75">
      <c r="F864" s="64">
        <v>6</v>
      </c>
      <c r="G864" s="62" t="s">
        <v>153</v>
      </c>
      <c r="H864" s="50" t="s">
        <v>1660</v>
      </c>
      <c r="I864" s="128">
        <v>4.45</v>
      </c>
      <c r="J864" s="50" t="s">
        <v>153</v>
      </c>
      <c r="K864" s="64">
        <f t="shared" si="102"/>
        <v>26.700000000000003</v>
      </c>
      <c r="N864" s="53"/>
      <c r="O864" s="66" t="s">
        <v>1668</v>
      </c>
      <c r="Q864" s="55"/>
      <c r="R864" s="124">
        <f>SUM(R852:R862)</f>
        <v>3426.2400841874996</v>
      </c>
      <c r="S864" s="64">
        <v>6</v>
      </c>
      <c r="T864" s="62" t="s">
        <v>153</v>
      </c>
      <c r="U864" s="50" t="s">
        <v>1660</v>
      </c>
      <c r="V864" s="64">
        <f t="shared" si="101"/>
        <v>4.45</v>
      </c>
      <c r="W864" s="50" t="s">
        <v>153</v>
      </c>
      <c r="X864" s="64">
        <f t="shared" si="103"/>
        <v>26.700000000000003</v>
      </c>
      <c r="Y864" s="64"/>
      <c r="AG864" s="71" t="str">
        <f t="shared" si="95"/>
        <v>|</v>
      </c>
      <c r="AI864" s="50" t="s">
        <v>1095</v>
      </c>
    </row>
    <row r="865" spans="2:35" ht="15.75">
      <c r="F865" s="64">
        <v>1</v>
      </c>
      <c r="G865" s="62" t="s">
        <v>153</v>
      </c>
      <c r="H865" s="50" t="s">
        <v>1663</v>
      </c>
      <c r="I865" s="64">
        <f>C10</f>
        <v>1076.5999999999999</v>
      </c>
      <c r="J865" s="50" t="s">
        <v>153</v>
      </c>
      <c r="K865" s="64">
        <f t="shared" si="102"/>
        <v>1076.5999999999999</v>
      </c>
      <c r="N865" s="53"/>
      <c r="Q865" s="55"/>
      <c r="R865" s="59" t="s">
        <v>21</v>
      </c>
      <c r="S865" s="64">
        <v>1</v>
      </c>
      <c r="T865" s="62" t="s">
        <v>153</v>
      </c>
      <c r="U865" s="50" t="s">
        <v>1663</v>
      </c>
      <c r="V865" s="64">
        <f t="shared" si="101"/>
        <v>1076.5999999999999</v>
      </c>
      <c r="W865" s="50" t="s">
        <v>153</v>
      </c>
      <c r="X865" s="64">
        <f t="shared" si="103"/>
        <v>1076.5999999999999</v>
      </c>
      <c r="Y865" s="64"/>
      <c r="AG865" s="71">
        <f t="shared" si="95"/>
        <v>0</v>
      </c>
      <c r="AI865" s="50"/>
    </row>
    <row r="866" spans="2:35" ht="15.75">
      <c r="F866" s="64">
        <v>1</v>
      </c>
      <c r="G866" s="62" t="s">
        <v>153</v>
      </c>
      <c r="H866" s="50" t="s">
        <v>1664</v>
      </c>
      <c r="I866" s="64">
        <f>C12</f>
        <v>702.8</v>
      </c>
      <c r="J866" s="50" t="s">
        <v>153</v>
      </c>
      <c r="K866" s="64">
        <f t="shared" si="102"/>
        <v>702.8</v>
      </c>
      <c r="S866" s="64">
        <v>1</v>
      </c>
      <c r="T866" s="62" t="s">
        <v>153</v>
      </c>
      <c r="U866" s="50" t="s">
        <v>1664</v>
      </c>
      <c r="V866" s="64">
        <f t="shared" si="101"/>
        <v>702.8</v>
      </c>
      <c r="W866" s="50" t="s">
        <v>153</v>
      </c>
      <c r="X866" s="64">
        <f t="shared" si="103"/>
        <v>702.8</v>
      </c>
      <c r="Y866" s="64"/>
      <c r="AG866" s="71">
        <f t="shared" si="95"/>
        <v>0</v>
      </c>
      <c r="AI866" s="50"/>
    </row>
    <row r="867" spans="2:35" ht="15.75">
      <c r="F867" s="64">
        <v>1</v>
      </c>
      <c r="G867" s="62" t="s">
        <v>153</v>
      </c>
      <c r="H867" s="50" t="s">
        <v>1665</v>
      </c>
      <c r="I867" s="128">
        <v>25</v>
      </c>
      <c r="J867" s="50" t="s">
        <v>153</v>
      </c>
      <c r="K867" s="64">
        <f t="shared" si="102"/>
        <v>25</v>
      </c>
      <c r="R867" s="59"/>
      <c r="S867" s="64">
        <v>1</v>
      </c>
      <c r="T867" s="62" t="s">
        <v>153</v>
      </c>
      <c r="U867" s="50" t="s">
        <v>1665</v>
      </c>
      <c r="V867" s="64">
        <f t="shared" si="101"/>
        <v>25</v>
      </c>
      <c r="W867" s="50" t="s">
        <v>153</v>
      </c>
      <c r="X867" s="64">
        <f t="shared" si="103"/>
        <v>25</v>
      </c>
      <c r="Y867" s="64"/>
      <c r="AG867" s="71">
        <f t="shared" si="95"/>
        <v>0</v>
      </c>
      <c r="AI867" s="50"/>
    </row>
    <row r="868" spans="2:35" ht="15.75">
      <c r="F868" s="64">
        <v>0.5</v>
      </c>
      <c r="G868" s="62" t="s">
        <v>153</v>
      </c>
      <c r="H868" s="50" t="s">
        <v>1666</v>
      </c>
      <c r="I868" s="64">
        <f>C13</f>
        <v>576.79999999999995</v>
      </c>
      <c r="J868" s="50" t="s">
        <v>153</v>
      </c>
      <c r="K868" s="64">
        <f t="shared" si="102"/>
        <v>288.39999999999998</v>
      </c>
      <c r="R868" s="50" t="s">
        <v>150</v>
      </c>
      <c r="S868" s="64">
        <v>0.5</v>
      </c>
      <c r="T868" s="62" t="s">
        <v>153</v>
      </c>
      <c r="U868" s="50" t="s">
        <v>1666</v>
      </c>
      <c r="V868" s="64">
        <f t="shared" si="101"/>
        <v>576.79999999999995</v>
      </c>
      <c r="W868" s="50" t="s">
        <v>153</v>
      </c>
      <c r="X868" s="64">
        <f t="shared" si="103"/>
        <v>288.39999999999998</v>
      </c>
      <c r="Y868" s="64"/>
      <c r="AG868" s="71">
        <f t="shared" si="95"/>
        <v>0</v>
      </c>
      <c r="AI868" s="50"/>
    </row>
    <row r="869" spans="2:35" ht="15.75">
      <c r="G869" s="62" t="s">
        <v>226</v>
      </c>
      <c r="H869" s="50" t="s">
        <v>1667</v>
      </c>
      <c r="J869" s="50" t="s">
        <v>226</v>
      </c>
      <c r="K869" s="64">
        <v>1.1299999999999999</v>
      </c>
      <c r="N869" s="50" t="s">
        <v>514</v>
      </c>
      <c r="O869" s="50" t="s">
        <v>1669</v>
      </c>
      <c r="S869" s="52"/>
      <c r="T869" s="62" t="s">
        <v>226</v>
      </c>
      <c r="U869" s="50" t="s">
        <v>1667</v>
      </c>
      <c r="W869" s="50" t="s">
        <v>226</v>
      </c>
      <c r="X869" s="64">
        <v>0.06</v>
      </c>
      <c r="Y869" s="64"/>
      <c r="AG869" s="71">
        <f t="shared" si="95"/>
        <v>0</v>
      </c>
      <c r="AI869" s="50"/>
    </row>
    <row r="870" spans="2:35" ht="15.75">
      <c r="K870" s="59" t="s">
        <v>21</v>
      </c>
      <c r="O870" s="50" t="s">
        <v>1611</v>
      </c>
      <c r="S870" s="52"/>
      <c r="T870" s="53"/>
      <c r="W870" s="55"/>
      <c r="X870" s="59" t="s">
        <v>21</v>
      </c>
      <c r="Y870" s="59"/>
      <c r="AG870" s="71">
        <f t="shared" si="95"/>
        <v>0</v>
      </c>
      <c r="AI870" s="50"/>
    </row>
    <row r="871" spans="2:35" ht="15.75">
      <c r="H871" s="66" t="s">
        <v>1668</v>
      </c>
      <c r="K871" s="63">
        <f>SUM(K859:K869)</f>
        <v>2922.1654409237503</v>
      </c>
      <c r="N871" s="50" t="s">
        <v>1472</v>
      </c>
      <c r="O871" s="50" t="s">
        <v>1614</v>
      </c>
      <c r="P871" s="64">
        <f>P826</f>
        <v>41.2</v>
      </c>
      <c r="R871" s="64" t="e">
        <f>(#VALUE!*P871)</f>
        <v>#VALUE!</v>
      </c>
      <c r="S871" s="52"/>
      <c r="T871" s="53"/>
      <c r="U871" s="66" t="s">
        <v>1668</v>
      </c>
      <c r="W871" s="55"/>
      <c r="X871" s="63">
        <f>SUM(X859:X869)</f>
        <v>3071.1979073812499</v>
      </c>
      <c r="Y871" s="63"/>
      <c r="AG871" s="71">
        <f t="shared" si="95"/>
        <v>0</v>
      </c>
      <c r="AI871" s="50"/>
    </row>
    <row r="872" spans="2:35" ht="15.75">
      <c r="K872" s="59" t="s">
        <v>21</v>
      </c>
      <c r="O872" s="50" t="s">
        <v>1617</v>
      </c>
      <c r="AG872" s="71">
        <f t="shared" si="95"/>
        <v>0</v>
      </c>
      <c r="AI872" s="50"/>
    </row>
    <row r="873" spans="2:35" ht="15.75">
      <c r="O873" s="50" t="s">
        <v>1620</v>
      </c>
      <c r="AG873" s="71">
        <f t="shared" si="95"/>
        <v>0</v>
      </c>
      <c r="AI873" s="50"/>
    </row>
    <row r="874" spans="2:35" ht="15.75">
      <c r="N874" s="50" t="s">
        <v>152</v>
      </c>
      <c r="O874" s="50" t="s">
        <v>1670</v>
      </c>
      <c r="P874" s="64">
        <f>C272</f>
        <v>300.89999999999998</v>
      </c>
      <c r="R874" s="64" t="e">
        <f t="shared" ref="R874:R880" si="104">(#VALUE!*P874)</f>
        <v>#VALUE!</v>
      </c>
      <c r="AG874" s="71">
        <f t="shared" si="95"/>
        <v>0</v>
      </c>
      <c r="AI874" s="50"/>
    </row>
    <row r="875" spans="2:35" ht="15.75">
      <c r="G875" s="62" t="s">
        <v>524</v>
      </c>
      <c r="H875" s="51" t="s">
        <v>1671</v>
      </c>
      <c r="N875" s="50" t="s">
        <v>153</v>
      </c>
      <c r="O875" s="50" t="s">
        <v>1623</v>
      </c>
      <c r="P875" s="64">
        <v>5</v>
      </c>
      <c r="R875" s="64" t="e">
        <f t="shared" si="104"/>
        <v>#VALUE!</v>
      </c>
      <c r="S875" s="52"/>
      <c r="T875" s="62" t="s">
        <v>514</v>
      </c>
      <c r="U875" s="51" t="s">
        <v>1672</v>
      </c>
      <c r="W875" s="55"/>
      <c r="AG875" s="71">
        <f t="shared" si="95"/>
        <v>0</v>
      </c>
      <c r="AI875" s="50"/>
    </row>
    <row r="876" spans="2:35" ht="15.75">
      <c r="H876" s="51" t="s">
        <v>1662</v>
      </c>
      <c r="N876" s="50" t="s">
        <v>153</v>
      </c>
      <c r="O876" s="50" t="s">
        <v>1624</v>
      </c>
      <c r="P876" s="64">
        <v>10</v>
      </c>
      <c r="R876" s="64" t="e">
        <f t="shared" si="104"/>
        <v>#VALUE!</v>
      </c>
      <c r="S876" s="52"/>
      <c r="T876" s="53"/>
      <c r="U876" s="51" t="s">
        <v>1662</v>
      </c>
      <c r="W876" s="55"/>
      <c r="AG876" s="71">
        <f t="shared" si="95"/>
        <v>0</v>
      </c>
      <c r="AI876" s="50"/>
    </row>
    <row r="877" spans="2:35" ht="31.5">
      <c r="B877" s="112" t="s">
        <v>1673</v>
      </c>
      <c r="C877" s="64">
        <f>Z688</f>
        <v>9237.1735874999995</v>
      </c>
      <c r="F877" s="130">
        <v>3.6799999999999999E-2</v>
      </c>
      <c r="G877" s="62" t="s">
        <v>151</v>
      </c>
      <c r="H877" s="112" t="s">
        <v>1673</v>
      </c>
      <c r="I877" s="64">
        <f>AA718</f>
        <v>8712.6439874999996</v>
      </c>
      <c r="J877" s="50" t="s">
        <v>151</v>
      </c>
      <c r="K877" s="64">
        <f>F877*I877</f>
        <v>320.62529874000001</v>
      </c>
      <c r="N877" s="50" t="s">
        <v>153</v>
      </c>
      <c r="O877" s="50" t="s">
        <v>1626</v>
      </c>
      <c r="P877" s="64">
        <v>8</v>
      </c>
      <c r="R877" s="64" t="e">
        <f t="shared" si="104"/>
        <v>#VALUE!</v>
      </c>
      <c r="S877" s="130">
        <v>5.4699999999999999E-2</v>
      </c>
      <c r="T877" s="62" t="s">
        <v>151</v>
      </c>
      <c r="U877" s="50" t="s">
        <v>1652</v>
      </c>
      <c r="V877" s="64">
        <f>I877</f>
        <v>8712.6439874999996</v>
      </c>
      <c r="W877" s="50" t="s">
        <v>151</v>
      </c>
      <c r="X877" s="64">
        <f>S877*V877</f>
        <v>476.58162611624999</v>
      </c>
      <c r="Y877" s="64"/>
      <c r="AG877" s="71">
        <f t="shared" ref="AG877:AG949" si="105">AI877</f>
        <v>0</v>
      </c>
      <c r="AI877" s="50"/>
    </row>
    <row r="878" spans="2:35" ht="15.75">
      <c r="B878" s="50" t="s">
        <v>1654</v>
      </c>
      <c r="C878" s="64">
        <f>R1609</f>
        <v>78397.28571428571</v>
      </c>
      <c r="F878" s="64">
        <v>4.87</v>
      </c>
      <c r="G878" s="62" t="s">
        <v>13</v>
      </c>
      <c r="H878" s="50" t="s">
        <v>1654</v>
      </c>
      <c r="I878" s="64">
        <f>K1608</f>
        <v>78120.5</v>
      </c>
      <c r="J878" s="50" t="s">
        <v>251</v>
      </c>
      <c r="K878" s="64">
        <f>F878*I878/1000</f>
        <v>380.44683500000002</v>
      </c>
      <c r="N878" s="50" t="s">
        <v>303</v>
      </c>
      <c r="O878" s="50" t="s">
        <v>1629</v>
      </c>
      <c r="P878" s="64">
        <v>13.66</v>
      </c>
      <c r="R878" s="64" t="e">
        <f t="shared" si="104"/>
        <v>#VALUE!</v>
      </c>
      <c r="S878" s="177">
        <v>6.16</v>
      </c>
      <c r="T878" s="62" t="s">
        <v>13</v>
      </c>
      <c r="U878" s="50" t="s">
        <v>1654</v>
      </c>
      <c r="V878" s="64">
        <f t="shared" ref="V878:V886" si="106">I878</f>
        <v>78120.5</v>
      </c>
      <c r="W878" s="50" t="s">
        <v>251</v>
      </c>
      <c r="X878" s="64">
        <f>S878*V878/1000</f>
        <v>481.22228000000001</v>
      </c>
      <c r="Y878" s="64"/>
      <c r="AG878" s="71">
        <f t="shared" si="105"/>
        <v>0</v>
      </c>
      <c r="AI878" s="50"/>
    </row>
    <row r="879" spans="2:35" ht="15.75">
      <c r="F879" s="64">
        <v>3</v>
      </c>
      <c r="G879" s="62" t="s">
        <v>153</v>
      </c>
      <c r="H879" s="50" t="s">
        <v>1656</v>
      </c>
      <c r="I879" s="174">
        <f>I861</f>
        <v>14.8</v>
      </c>
      <c r="J879" s="50" t="s">
        <v>153</v>
      </c>
      <c r="K879" s="64">
        <f t="shared" ref="K879:K886" si="107">F879*I879</f>
        <v>44.400000000000006</v>
      </c>
      <c r="N879" s="50" t="s">
        <v>152</v>
      </c>
      <c r="O879" s="50" t="s">
        <v>1631</v>
      </c>
      <c r="P879" s="64">
        <v>25.46</v>
      </c>
      <c r="R879" s="64" t="e">
        <f t="shared" si="104"/>
        <v>#VALUE!</v>
      </c>
      <c r="S879" s="64">
        <v>3</v>
      </c>
      <c r="T879" s="62" t="s">
        <v>153</v>
      </c>
      <c r="U879" s="50" t="s">
        <v>1656</v>
      </c>
      <c r="V879" s="64">
        <f t="shared" si="106"/>
        <v>14.8</v>
      </c>
      <c r="W879" s="50" t="s">
        <v>153</v>
      </c>
      <c r="X879" s="64">
        <f t="shared" ref="X879:X886" si="108">S879*V879</f>
        <v>44.400000000000006</v>
      </c>
      <c r="Y879" s="64"/>
      <c r="AG879" s="71">
        <f t="shared" si="105"/>
        <v>0</v>
      </c>
      <c r="AI879" s="50"/>
    </row>
    <row r="880" spans="2:35" ht="15.75">
      <c r="F880" s="64">
        <v>12</v>
      </c>
      <c r="G880" s="62" t="s">
        <v>153</v>
      </c>
      <c r="H880" s="50" t="s">
        <v>1657</v>
      </c>
      <c r="I880" s="174">
        <f>I862</f>
        <v>2</v>
      </c>
      <c r="J880" s="50" t="s">
        <v>153</v>
      </c>
      <c r="K880" s="64">
        <f t="shared" si="107"/>
        <v>24</v>
      </c>
      <c r="N880" s="50" t="s">
        <v>153</v>
      </c>
      <c r="O880" s="50" t="s">
        <v>1632</v>
      </c>
      <c r="P880" s="64">
        <v>0.5</v>
      </c>
      <c r="R880" s="64" t="e">
        <f t="shared" si="104"/>
        <v>#VALUE!</v>
      </c>
      <c r="S880" s="64">
        <v>12</v>
      </c>
      <c r="T880" s="62" t="s">
        <v>153</v>
      </c>
      <c r="U880" s="50" t="s">
        <v>1657</v>
      </c>
      <c r="V880" s="64">
        <f t="shared" si="106"/>
        <v>2</v>
      </c>
      <c r="W880" s="50" t="s">
        <v>153</v>
      </c>
      <c r="X880" s="64">
        <f t="shared" si="108"/>
        <v>24</v>
      </c>
      <c r="Y880" s="64"/>
      <c r="AG880" s="71">
        <f t="shared" si="105"/>
        <v>0</v>
      </c>
      <c r="AI880" s="50"/>
    </row>
    <row r="881" spans="6:35" ht="15.75">
      <c r="F881" s="64">
        <v>2</v>
      </c>
      <c r="G881" s="62" t="s">
        <v>153</v>
      </c>
      <c r="H881" s="50" t="s">
        <v>1658</v>
      </c>
      <c r="I881" s="174">
        <f>I863</f>
        <v>4.9000000000000004</v>
      </c>
      <c r="J881" s="50" t="s">
        <v>153</v>
      </c>
      <c r="K881" s="64">
        <f t="shared" si="107"/>
        <v>9.8000000000000007</v>
      </c>
      <c r="R881" s="64">
        <v>0.97</v>
      </c>
      <c r="S881" s="64">
        <v>2</v>
      </c>
      <c r="T881" s="62" t="s">
        <v>153</v>
      </c>
      <c r="U881" s="50" t="s">
        <v>1658</v>
      </c>
      <c r="V881" s="64">
        <f t="shared" si="106"/>
        <v>4.9000000000000004</v>
      </c>
      <c r="W881" s="50" t="s">
        <v>153</v>
      </c>
      <c r="X881" s="64">
        <f t="shared" si="108"/>
        <v>9.8000000000000007</v>
      </c>
      <c r="Y881" s="64"/>
      <c r="AG881" s="71">
        <f t="shared" si="105"/>
        <v>0</v>
      </c>
      <c r="AI881" s="50"/>
    </row>
    <row r="882" spans="6:35" ht="15.75">
      <c r="F882" s="64">
        <v>6</v>
      </c>
      <c r="G882" s="62" t="s">
        <v>153</v>
      </c>
      <c r="H882" s="50" t="s">
        <v>1660</v>
      </c>
      <c r="I882" s="174">
        <f>I864</f>
        <v>4.45</v>
      </c>
      <c r="J882" s="50" t="s">
        <v>153</v>
      </c>
      <c r="K882" s="64">
        <f t="shared" si="107"/>
        <v>26.700000000000003</v>
      </c>
      <c r="R882" s="59" t="s">
        <v>21</v>
      </c>
      <c r="S882" s="64">
        <v>6</v>
      </c>
      <c r="T882" s="62" t="s">
        <v>153</v>
      </c>
      <c r="U882" s="50" t="s">
        <v>1660</v>
      </c>
      <c r="V882" s="64">
        <f t="shared" si="106"/>
        <v>4.45</v>
      </c>
      <c r="W882" s="50" t="s">
        <v>153</v>
      </c>
      <c r="X882" s="64">
        <f t="shared" si="108"/>
        <v>26.700000000000003</v>
      </c>
      <c r="Y882" s="64"/>
      <c r="AG882" s="71">
        <f t="shared" si="105"/>
        <v>0</v>
      </c>
      <c r="AI882" s="50"/>
    </row>
    <row r="883" spans="6:35" ht="15.75">
      <c r="F883" s="64">
        <v>1</v>
      </c>
      <c r="G883" s="62" t="s">
        <v>153</v>
      </c>
      <c r="H883" s="50" t="s">
        <v>1663</v>
      </c>
      <c r="I883" s="64">
        <f>C10</f>
        <v>1076.5999999999999</v>
      </c>
      <c r="J883" s="50" t="s">
        <v>153</v>
      </c>
      <c r="K883" s="64">
        <f t="shared" si="107"/>
        <v>1076.5999999999999</v>
      </c>
      <c r="O883" s="51" t="s">
        <v>1633</v>
      </c>
      <c r="R883" s="64" t="e">
        <f>SUM(R871:R881)</f>
        <v>#VALUE!</v>
      </c>
      <c r="S883" s="64">
        <v>1</v>
      </c>
      <c r="T883" s="62" t="s">
        <v>153</v>
      </c>
      <c r="U883" s="50" t="s">
        <v>1663</v>
      </c>
      <c r="V883" s="64">
        <f t="shared" si="106"/>
        <v>1076.5999999999999</v>
      </c>
      <c r="W883" s="50" t="s">
        <v>153</v>
      </c>
      <c r="X883" s="64">
        <f t="shared" si="108"/>
        <v>1076.5999999999999</v>
      </c>
      <c r="Y883" s="64"/>
      <c r="AG883" s="71">
        <f t="shared" si="105"/>
        <v>0</v>
      </c>
      <c r="AI883" s="50"/>
    </row>
    <row r="884" spans="6:35" ht="15.75">
      <c r="F884" s="64">
        <v>1</v>
      </c>
      <c r="G884" s="62" t="s">
        <v>153</v>
      </c>
      <c r="H884" s="50" t="s">
        <v>1664</v>
      </c>
      <c r="I884" s="64">
        <f>C12</f>
        <v>702.8</v>
      </c>
      <c r="J884" s="50" t="s">
        <v>153</v>
      </c>
      <c r="K884" s="64">
        <f t="shared" si="107"/>
        <v>702.8</v>
      </c>
      <c r="R884" s="59" t="s">
        <v>21</v>
      </c>
      <c r="S884" s="64">
        <v>1</v>
      </c>
      <c r="T884" s="62" t="s">
        <v>153</v>
      </c>
      <c r="U884" s="50" t="s">
        <v>1664</v>
      </c>
      <c r="V884" s="64">
        <f t="shared" si="106"/>
        <v>702.8</v>
      </c>
      <c r="W884" s="50" t="s">
        <v>153</v>
      </c>
      <c r="X884" s="64">
        <f t="shared" si="108"/>
        <v>702.8</v>
      </c>
      <c r="Y884" s="64"/>
      <c r="AG884" s="71" t="str">
        <f t="shared" si="105"/>
        <v>|</v>
      </c>
      <c r="AI884" s="50" t="s">
        <v>1095</v>
      </c>
    </row>
    <row r="885" spans="6:35" ht="15.75">
      <c r="F885" s="64">
        <v>1</v>
      </c>
      <c r="G885" s="62" t="s">
        <v>153</v>
      </c>
      <c r="H885" s="50" t="s">
        <v>1665</v>
      </c>
      <c r="I885" s="178">
        <v>25</v>
      </c>
      <c r="J885" s="50" t="s">
        <v>153</v>
      </c>
      <c r="K885" s="64">
        <f t="shared" si="107"/>
        <v>25</v>
      </c>
      <c r="S885" s="64">
        <v>1</v>
      </c>
      <c r="T885" s="62" t="s">
        <v>153</v>
      </c>
      <c r="U885" s="50" t="s">
        <v>1665</v>
      </c>
      <c r="V885" s="64">
        <f t="shared" si="106"/>
        <v>25</v>
      </c>
      <c r="W885" s="50" t="s">
        <v>153</v>
      </c>
      <c r="X885" s="64">
        <f t="shared" si="108"/>
        <v>25</v>
      </c>
      <c r="Y885" s="64"/>
      <c r="AG885" s="71" t="str">
        <f t="shared" si="105"/>
        <v>|</v>
      </c>
      <c r="AI885" s="50" t="s">
        <v>1095</v>
      </c>
    </row>
    <row r="886" spans="6:35" ht="15.75">
      <c r="F886" s="64">
        <v>0.5</v>
      </c>
      <c r="G886" s="62" t="s">
        <v>153</v>
      </c>
      <c r="H886" s="50" t="s">
        <v>1666</v>
      </c>
      <c r="I886" s="64">
        <f>C13</f>
        <v>576.79999999999995</v>
      </c>
      <c r="J886" s="50" t="s">
        <v>153</v>
      </c>
      <c r="K886" s="64">
        <f t="shared" si="107"/>
        <v>288.39999999999998</v>
      </c>
      <c r="M886" s="51" t="s">
        <v>1674</v>
      </c>
      <c r="N886" s="50" t="s">
        <v>249</v>
      </c>
      <c r="O886" s="50" t="s">
        <v>1675</v>
      </c>
      <c r="S886" s="64">
        <v>0.5</v>
      </c>
      <c r="T886" s="62" t="s">
        <v>153</v>
      </c>
      <c r="U886" s="50" t="s">
        <v>1666</v>
      </c>
      <c r="V886" s="64">
        <f t="shared" si="106"/>
        <v>576.79999999999995</v>
      </c>
      <c r="W886" s="50" t="s">
        <v>153</v>
      </c>
      <c r="X886" s="64">
        <f t="shared" si="108"/>
        <v>288.39999999999998</v>
      </c>
      <c r="Y886" s="64"/>
      <c r="AG886" s="71" t="str">
        <f t="shared" si="105"/>
        <v>|</v>
      </c>
      <c r="AI886" s="50" t="s">
        <v>1095</v>
      </c>
    </row>
    <row r="887" spans="6:35" ht="15.75">
      <c r="G887" s="62" t="s">
        <v>226</v>
      </c>
      <c r="H887" s="50" t="s">
        <v>1667</v>
      </c>
      <c r="J887" s="50" t="s">
        <v>226</v>
      </c>
      <c r="K887" s="64">
        <v>1.98</v>
      </c>
      <c r="O887" s="50" t="s">
        <v>1676</v>
      </c>
      <c r="S887" s="52"/>
      <c r="T887" s="62" t="s">
        <v>226</v>
      </c>
      <c r="U887" s="50" t="s">
        <v>1667</v>
      </c>
      <c r="W887" s="50" t="s">
        <v>226</v>
      </c>
      <c r="X887" s="64">
        <v>0.27</v>
      </c>
      <c r="Y887" s="64"/>
      <c r="AG887" s="71" t="str">
        <f t="shared" si="105"/>
        <v>|</v>
      </c>
      <c r="AI887" s="50" t="s">
        <v>1095</v>
      </c>
    </row>
    <row r="888" spans="6:35" ht="15.75">
      <c r="K888" s="59" t="s">
        <v>21</v>
      </c>
      <c r="O888" s="59" t="s">
        <v>21</v>
      </c>
      <c r="P888" s="59" t="s">
        <v>21</v>
      </c>
      <c r="S888" s="52"/>
      <c r="T888" s="53"/>
      <c r="W888" s="55"/>
      <c r="X888" s="59" t="s">
        <v>21</v>
      </c>
      <c r="Y888" s="59"/>
      <c r="AG888" s="71" t="str">
        <f t="shared" si="105"/>
        <v>|</v>
      </c>
      <c r="AI888" s="50" t="s">
        <v>1095</v>
      </c>
    </row>
    <row r="889" spans="6:35" ht="15.75">
      <c r="H889" s="66" t="s">
        <v>1668</v>
      </c>
      <c r="K889" s="63">
        <f>SUM(K877:K887)</f>
        <v>2900.7521337400003</v>
      </c>
      <c r="L889" s="52">
        <f>K889-1729</f>
        <v>1171.7521337400003</v>
      </c>
      <c r="O889" s="50" t="s">
        <v>1677</v>
      </c>
      <c r="S889" s="52"/>
      <c r="T889" s="53"/>
      <c r="U889" s="66" t="s">
        <v>1668</v>
      </c>
      <c r="W889" s="55"/>
      <c r="X889" s="63">
        <f>SUM(X877:X887)</f>
        <v>3155.7739061162501</v>
      </c>
      <c r="Y889" s="63"/>
      <c r="AG889" s="71" t="str">
        <f t="shared" si="105"/>
        <v>|</v>
      </c>
      <c r="AI889" s="50" t="s">
        <v>1095</v>
      </c>
    </row>
    <row r="890" spans="6:35" ht="15.75">
      <c r="K890" s="59" t="s">
        <v>21</v>
      </c>
      <c r="M890" s="64">
        <v>0.5</v>
      </c>
      <c r="N890" s="51" t="s">
        <v>4</v>
      </c>
      <c r="O890" s="50" t="s">
        <v>438</v>
      </c>
      <c r="P890" s="64">
        <f>C16</f>
        <v>1052.8</v>
      </c>
      <c r="Q890" s="51" t="s">
        <v>566</v>
      </c>
      <c r="R890" s="64">
        <f>(M890*P890)</f>
        <v>526.4</v>
      </c>
      <c r="AG890" s="71" t="str">
        <f t="shared" si="105"/>
        <v>|</v>
      </c>
      <c r="AI890" s="50" t="s">
        <v>1095</v>
      </c>
    </row>
    <row r="891" spans="6:35" ht="15.75">
      <c r="F891" s="51"/>
      <c r="G891" s="62" t="s">
        <v>520</v>
      </c>
      <c r="H891" s="51" t="s">
        <v>1678</v>
      </c>
      <c r="K891" s="52">
        <f>K889-1800.2</f>
        <v>1100.5521337400003</v>
      </c>
      <c r="M891" s="64">
        <v>0.25</v>
      </c>
      <c r="N891" s="51" t="s">
        <v>4</v>
      </c>
      <c r="O891" s="50" t="s">
        <v>415</v>
      </c>
      <c r="P891" s="64">
        <f>C12</f>
        <v>702.8</v>
      </c>
      <c r="Q891" s="51" t="s">
        <v>566</v>
      </c>
      <c r="R891" s="64">
        <f>(M891*P891)</f>
        <v>175.7</v>
      </c>
      <c r="S891" s="52"/>
      <c r="T891" s="62" t="s">
        <v>514</v>
      </c>
      <c r="U891" s="51" t="s">
        <v>1679</v>
      </c>
      <c r="W891" s="55"/>
      <c r="AG891" s="71" t="str">
        <f t="shared" si="105"/>
        <v>|</v>
      </c>
      <c r="AI891" s="50" t="s">
        <v>1095</v>
      </c>
    </row>
    <row r="892" spans="6:35" ht="15.75">
      <c r="H892" s="51" t="s">
        <v>1662</v>
      </c>
      <c r="R892" s="59" t="s">
        <v>21</v>
      </c>
      <c r="S892" s="52"/>
      <c r="T892" s="53"/>
      <c r="U892" s="51" t="s">
        <v>1662</v>
      </c>
      <c r="W892" s="55"/>
      <c r="AG892" s="71" t="str">
        <f t="shared" si="105"/>
        <v>|</v>
      </c>
      <c r="AI892" s="50" t="s">
        <v>1095</v>
      </c>
    </row>
    <row r="893" spans="6:35" ht="15.75">
      <c r="F893" s="130">
        <v>3.5299999999999998E-2</v>
      </c>
      <c r="G893" s="62" t="s">
        <v>151</v>
      </c>
      <c r="H893" s="50" t="s">
        <v>1652</v>
      </c>
      <c r="I893" s="64">
        <f t="shared" ref="I893:I898" si="109">I877</f>
        <v>8712.6439874999996</v>
      </c>
      <c r="J893" s="50" t="s">
        <v>151</v>
      </c>
      <c r="K893" s="64">
        <f>F893*I893</f>
        <v>307.55633275874999</v>
      </c>
      <c r="O893" s="51" t="s">
        <v>1680</v>
      </c>
      <c r="R893" s="64">
        <f>SUM(R890:R891)</f>
        <v>702.09999999999991</v>
      </c>
      <c r="S893" s="130">
        <v>5.91E-2</v>
      </c>
      <c r="T893" s="62" t="s">
        <v>151</v>
      </c>
      <c r="U893" s="50" t="s">
        <v>1652</v>
      </c>
      <c r="V893" s="64">
        <f>V877</f>
        <v>8712.6439874999996</v>
      </c>
      <c r="W893" s="50" t="s">
        <v>151</v>
      </c>
      <c r="X893" s="64">
        <f>S893*V893</f>
        <v>514.91725966125</v>
      </c>
      <c r="Y893" s="64"/>
      <c r="AG893" s="71" t="str">
        <f t="shared" si="105"/>
        <v>|</v>
      </c>
      <c r="AI893" s="50" t="s">
        <v>1095</v>
      </c>
    </row>
    <row r="894" spans="6:35" ht="15.75">
      <c r="F894" s="64">
        <v>4.59</v>
      </c>
      <c r="G894" s="62" t="s">
        <v>13</v>
      </c>
      <c r="H894" s="50" t="s">
        <v>1654</v>
      </c>
      <c r="I894" s="64">
        <f t="shared" si="109"/>
        <v>78120.5</v>
      </c>
      <c r="J894" s="50" t="s">
        <v>251</v>
      </c>
      <c r="K894" s="64">
        <f>F894*I894/1000</f>
        <v>358.57309499999997</v>
      </c>
      <c r="R894" s="59" t="s">
        <v>21</v>
      </c>
      <c r="S894" s="177">
        <v>6.58</v>
      </c>
      <c r="T894" s="62" t="s">
        <v>13</v>
      </c>
      <c r="U894" s="50" t="s">
        <v>1654</v>
      </c>
      <c r="V894" s="64">
        <f t="shared" ref="V894:V902" si="110">V878</f>
        <v>78120.5</v>
      </c>
      <c r="W894" s="50" t="s">
        <v>251</v>
      </c>
      <c r="X894" s="64">
        <f>S894*V894/1000</f>
        <v>514.03289000000007</v>
      </c>
      <c r="Y894" s="64"/>
      <c r="AG894" s="71" t="str">
        <f t="shared" si="105"/>
        <v>|</v>
      </c>
      <c r="AI894" s="50" t="s">
        <v>1095</v>
      </c>
    </row>
    <row r="895" spans="6:35" ht="15.75">
      <c r="F895" s="64">
        <v>3</v>
      </c>
      <c r="G895" s="62" t="s">
        <v>153</v>
      </c>
      <c r="H895" s="50" t="s">
        <v>1656</v>
      </c>
      <c r="I895" s="174">
        <f t="shared" si="109"/>
        <v>14.8</v>
      </c>
      <c r="J895" s="50" t="s">
        <v>153</v>
      </c>
      <c r="K895" s="64">
        <f t="shared" ref="K895:K902" si="111">F895*I895</f>
        <v>44.400000000000006</v>
      </c>
      <c r="O895" s="51" t="s">
        <v>1681</v>
      </c>
      <c r="R895" s="64">
        <f>R893/0.0283</f>
        <v>24809.187279151942</v>
      </c>
      <c r="S895" s="64">
        <v>3</v>
      </c>
      <c r="T895" s="62" t="s">
        <v>153</v>
      </c>
      <c r="U895" s="50" t="s">
        <v>1656</v>
      </c>
      <c r="V895" s="64">
        <f t="shared" si="110"/>
        <v>14.8</v>
      </c>
      <c r="W895" s="50" t="s">
        <v>153</v>
      </c>
      <c r="X895" s="64">
        <f t="shared" ref="X895:X902" si="112">S895*V895</f>
        <v>44.400000000000006</v>
      </c>
      <c r="Y895" s="64"/>
      <c r="AG895" s="71" t="str">
        <f t="shared" si="105"/>
        <v>|</v>
      </c>
      <c r="AI895" s="50" t="s">
        <v>1095</v>
      </c>
    </row>
    <row r="896" spans="6:35" ht="15.75">
      <c r="F896" s="64">
        <v>12</v>
      </c>
      <c r="G896" s="62" t="s">
        <v>153</v>
      </c>
      <c r="H896" s="50" t="s">
        <v>1657</v>
      </c>
      <c r="I896" s="174">
        <f t="shared" si="109"/>
        <v>2</v>
      </c>
      <c r="J896" s="50" t="s">
        <v>153</v>
      </c>
      <c r="K896" s="64">
        <f t="shared" si="111"/>
        <v>24</v>
      </c>
      <c r="R896" s="59" t="s">
        <v>21</v>
      </c>
      <c r="S896" s="64">
        <v>12</v>
      </c>
      <c r="T896" s="62" t="s">
        <v>153</v>
      </c>
      <c r="U896" s="50" t="s">
        <v>1657</v>
      </c>
      <c r="V896" s="64">
        <f t="shared" si="110"/>
        <v>2</v>
      </c>
      <c r="W896" s="50" t="s">
        <v>153</v>
      </c>
      <c r="X896" s="64">
        <f t="shared" si="112"/>
        <v>24</v>
      </c>
      <c r="Y896" s="64"/>
      <c r="AG896" s="71" t="str">
        <f t="shared" si="105"/>
        <v>|</v>
      </c>
      <c r="AI896" s="50" t="s">
        <v>1095</v>
      </c>
    </row>
    <row r="897" spans="6:35" ht="15.75">
      <c r="F897" s="64">
        <v>2</v>
      </c>
      <c r="G897" s="62" t="s">
        <v>153</v>
      </c>
      <c r="H897" s="64" t="str">
        <f>H881</f>
        <v>TOWER BOLT RECEIVER</v>
      </c>
      <c r="I897" s="174">
        <f t="shared" si="109"/>
        <v>4.9000000000000004</v>
      </c>
      <c r="J897" s="50" t="s">
        <v>153</v>
      </c>
      <c r="K897" s="64">
        <f t="shared" si="111"/>
        <v>9.8000000000000007</v>
      </c>
      <c r="S897" s="64">
        <v>2</v>
      </c>
      <c r="T897" s="62" t="s">
        <v>153</v>
      </c>
      <c r="U897" s="50" t="s">
        <v>1658</v>
      </c>
      <c r="V897" s="64">
        <f t="shared" si="110"/>
        <v>4.9000000000000004</v>
      </c>
      <c r="W897" s="50" t="s">
        <v>153</v>
      </c>
      <c r="X897" s="64">
        <f t="shared" si="112"/>
        <v>9.8000000000000007</v>
      </c>
      <c r="Y897" s="64"/>
      <c r="AG897" s="71" t="str">
        <f t="shared" si="105"/>
        <v>|</v>
      </c>
      <c r="AI897" s="50" t="s">
        <v>1095</v>
      </c>
    </row>
    <row r="898" spans="6:35" ht="15.75">
      <c r="F898" s="64">
        <v>6</v>
      </c>
      <c r="G898" s="62" t="s">
        <v>153</v>
      </c>
      <c r="H898" s="50" t="s">
        <v>1660</v>
      </c>
      <c r="I898" s="174">
        <f t="shared" si="109"/>
        <v>4.45</v>
      </c>
      <c r="J898" s="50" t="s">
        <v>153</v>
      </c>
      <c r="K898" s="64">
        <f t="shared" si="111"/>
        <v>26.700000000000003</v>
      </c>
      <c r="S898" s="64">
        <v>6</v>
      </c>
      <c r="T898" s="62" t="s">
        <v>153</v>
      </c>
      <c r="U898" s="50" t="s">
        <v>1660</v>
      </c>
      <c r="V898" s="64">
        <f t="shared" si="110"/>
        <v>4.45</v>
      </c>
      <c r="W898" s="50" t="s">
        <v>153</v>
      </c>
      <c r="X898" s="64">
        <f t="shared" si="112"/>
        <v>26.700000000000003</v>
      </c>
      <c r="Y898" s="64"/>
      <c r="AG898" s="71" t="str">
        <f t="shared" si="105"/>
        <v>|</v>
      </c>
      <c r="AI898" s="50" t="s">
        <v>1095</v>
      </c>
    </row>
    <row r="899" spans="6:35" ht="15.75">
      <c r="F899" s="64">
        <v>1</v>
      </c>
      <c r="G899" s="62" t="s">
        <v>153</v>
      </c>
      <c r="H899" s="50" t="s">
        <v>1663</v>
      </c>
      <c r="I899" s="64">
        <f>C10</f>
        <v>1076.5999999999999</v>
      </c>
      <c r="J899" s="50" t="s">
        <v>153</v>
      </c>
      <c r="K899" s="64">
        <f t="shared" si="111"/>
        <v>1076.5999999999999</v>
      </c>
      <c r="S899" s="64">
        <v>1</v>
      </c>
      <c r="T899" s="62" t="s">
        <v>153</v>
      </c>
      <c r="U899" s="50" t="s">
        <v>1663</v>
      </c>
      <c r="V899" s="64">
        <f t="shared" si="110"/>
        <v>1076.5999999999999</v>
      </c>
      <c r="W899" s="50" t="s">
        <v>153</v>
      </c>
      <c r="X899" s="64">
        <f t="shared" si="112"/>
        <v>1076.5999999999999</v>
      </c>
      <c r="Y899" s="64"/>
      <c r="AG899" s="71" t="str">
        <f t="shared" si="105"/>
        <v>|</v>
      </c>
      <c r="AI899" s="50" t="s">
        <v>1095</v>
      </c>
    </row>
    <row r="900" spans="6:35" ht="15.75">
      <c r="F900" s="64">
        <v>1</v>
      </c>
      <c r="G900" s="62" t="s">
        <v>153</v>
      </c>
      <c r="H900" s="50" t="s">
        <v>1664</v>
      </c>
      <c r="I900" s="64">
        <f>C12</f>
        <v>702.8</v>
      </c>
      <c r="J900" s="50" t="s">
        <v>153</v>
      </c>
      <c r="K900" s="64">
        <f t="shared" si="111"/>
        <v>702.8</v>
      </c>
      <c r="S900" s="64">
        <v>1</v>
      </c>
      <c r="T900" s="62" t="s">
        <v>153</v>
      </c>
      <c r="U900" s="50" t="s">
        <v>1664</v>
      </c>
      <c r="V900" s="64">
        <f t="shared" si="110"/>
        <v>702.8</v>
      </c>
      <c r="W900" s="50" t="s">
        <v>153</v>
      </c>
      <c r="X900" s="64">
        <f t="shared" si="112"/>
        <v>702.8</v>
      </c>
      <c r="Y900" s="64"/>
      <c r="AG900" s="71" t="str">
        <f t="shared" si="105"/>
        <v>|</v>
      </c>
      <c r="AI900" s="50" t="s">
        <v>1095</v>
      </c>
    </row>
    <row r="901" spans="6:35" ht="15.75">
      <c r="F901" s="64">
        <v>1</v>
      </c>
      <c r="G901" s="62" t="s">
        <v>153</v>
      </c>
      <c r="H901" s="64" t="str">
        <f>H885</f>
        <v>MOULDING CHARGES</v>
      </c>
      <c r="I901" s="128">
        <v>25</v>
      </c>
      <c r="J901" s="50" t="s">
        <v>153</v>
      </c>
      <c r="K901" s="64">
        <f t="shared" si="111"/>
        <v>25</v>
      </c>
      <c r="S901" s="64">
        <v>1</v>
      </c>
      <c r="T901" s="62" t="s">
        <v>153</v>
      </c>
      <c r="U901" s="50" t="s">
        <v>1665</v>
      </c>
      <c r="V901" s="64">
        <f t="shared" si="110"/>
        <v>25</v>
      </c>
      <c r="W901" s="50" t="s">
        <v>153</v>
      </c>
      <c r="X901" s="64">
        <f t="shared" si="112"/>
        <v>25</v>
      </c>
      <c r="Y901" s="64"/>
      <c r="AG901" s="71">
        <f t="shared" si="105"/>
        <v>0</v>
      </c>
    </row>
    <row r="902" spans="6:35" ht="15.75">
      <c r="F902" s="64">
        <v>0.5</v>
      </c>
      <c r="G902" s="62" t="s">
        <v>153</v>
      </c>
      <c r="H902" s="50" t="s">
        <v>1666</v>
      </c>
      <c r="I902" s="64">
        <f>C13</f>
        <v>576.79999999999995</v>
      </c>
      <c r="J902" s="50" t="s">
        <v>153</v>
      </c>
      <c r="K902" s="64">
        <f t="shared" si="111"/>
        <v>288.39999999999998</v>
      </c>
      <c r="M902" s="64">
        <v>11.64</v>
      </c>
      <c r="N902" s="50" t="s">
        <v>303</v>
      </c>
      <c r="O902" s="50" t="s">
        <v>1629</v>
      </c>
      <c r="P902" s="64">
        <v>13.66</v>
      </c>
      <c r="R902" s="64">
        <f>(M902*P902)</f>
        <v>159.00240000000002</v>
      </c>
      <c r="S902" s="64">
        <v>0.5</v>
      </c>
      <c r="T902" s="62" t="s">
        <v>153</v>
      </c>
      <c r="U902" s="50" t="s">
        <v>1666</v>
      </c>
      <c r="V902" s="64">
        <f t="shared" si="110"/>
        <v>576.79999999999995</v>
      </c>
      <c r="W902" s="50" t="s">
        <v>153</v>
      </c>
      <c r="X902" s="64">
        <f t="shared" si="112"/>
        <v>288.39999999999998</v>
      </c>
      <c r="Y902" s="64"/>
      <c r="AG902" s="71">
        <f t="shared" si="105"/>
        <v>0</v>
      </c>
    </row>
    <row r="903" spans="6:35" ht="15.75">
      <c r="G903" s="62" t="s">
        <v>226</v>
      </c>
      <c r="H903" s="50" t="s">
        <v>1667</v>
      </c>
      <c r="J903" s="50" t="s">
        <v>226</v>
      </c>
      <c r="K903" s="64">
        <v>1.39</v>
      </c>
      <c r="M903" s="131">
        <v>1.62</v>
      </c>
      <c r="N903" s="50" t="s">
        <v>152</v>
      </c>
      <c r="O903" s="50" t="s">
        <v>1631</v>
      </c>
      <c r="P903" s="64">
        <v>25.46</v>
      </c>
      <c r="R903" s="64">
        <f>(M903*P903)</f>
        <v>41.245200000000004</v>
      </c>
      <c r="S903" s="52"/>
      <c r="T903" s="62" t="s">
        <v>226</v>
      </c>
      <c r="U903" s="50" t="s">
        <v>1667</v>
      </c>
      <c r="W903" s="50" t="s">
        <v>226</v>
      </c>
      <c r="X903" s="64">
        <v>0.21</v>
      </c>
      <c r="Y903" s="64"/>
      <c r="AG903" s="71">
        <f t="shared" si="105"/>
        <v>0</v>
      </c>
    </row>
    <row r="904" spans="6:35" ht="15.75">
      <c r="K904" s="59" t="s">
        <v>21</v>
      </c>
      <c r="M904" s="64">
        <v>48</v>
      </c>
      <c r="N904" s="50" t="s">
        <v>153</v>
      </c>
      <c r="O904" s="50" t="s">
        <v>1632</v>
      </c>
      <c r="P904" s="64">
        <v>0.5</v>
      </c>
      <c r="R904" s="64">
        <f>(M904*P904)</f>
        <v>24</v>
      </c>
      <c r="S904" s="52"/>
      <c r="T904" s="53"/>
      <c r="W904" s="55"/>
      <c r="X904" s="59" t="s">
        <v>21</v>
      </c>
      <c r="Y904" s="59"/>
      <c r="AG904" s="71">
        <f t="shared" si="105"/>
        <v>0</v>
      </c>
    </row>
    <row r="905" spans="6:35" ht="15.75">
      <c r="H905" s="66" t="s">
        <v>1668</v>
      </c>
      <c r="K905" s="63">
        <f>SUM(K893:K903)</f>
        <v>2865.2194277587496</v>
      </c>
      <c r="R905" s="64">
        <v>0.23</v>
      </c>
      <c r="S905" s="52"/>
      <c r="T905" s="53"/>
      <c r="U905" s="66" t="s">
        <v>1668</v>
      </c>
      <c r="W905" s="55"/>
      <c r="X905" s="63">
        <f>SUM(X893:X903)</f>
        <v>3226.8601496612505</v>
      </c>
      <c r="Y905" s="63"/>
      <c r="AG905" s="71">
        <f t="shared" si="105"/>
        <v>0</v>
      </c>
    </row>
    <row r="906" spans="6:35" ht="15.75">
      <c r="K906" s="59" t="s">
        <v>21</v>
      </c>
      <c r="AG906" s="71">
        <f t="shared" si="105"/>
        <v>0</v>
      </c>
    </row>
    <row r="907" spans="6:35" ht="15.75">
      <c r="R907" s="59" t="s">
        <v>21</v>
      </c>
      <c r="AG907" s="71">
        <f t="shared" si="105"/>
        <v>0</v>
      </c>
    </row>
    <row r="908" spans="6:35" ht="94.5">
      <c r="F908" s="179">
        <v>21.3</v>
      </c>
      <c r="G908" s="62" t="s">
        <v>249</v>
      </c>
      <c r="H908" s="180" t="s">
        <v>1682</v>
      </c>
      <c r="O908" s="51" t="s">
        <v>1633</v>
      </c>
      <c r="R908" s="64">
        <f>SUM(R902:R905)</f>
        <v>224.47760000000002</v>
      </c>
      <c r="AG908" s="71">
        <f t="shared" si="105"/>
        <v>0</v>
      </c>
    </row>
    <row r="909" spans="6:35" ht="15.75">
      <c r="H909" s="50" t="s">
        <v>1683</v>
      </c>
      <c r="AG909" s="71">
        <f t="shared" si="105"/>
        <v>0</v>
      </c>
    </row>
    <row r="910" spans="6:35" ht="15.75">
      <c r="H910" s="59" t="s">
        <v>21</v>
      </c>
      <c r="J910" s="55" t="s">
        <v>1684</v>
      </c>
      <c r="AG910" s="71">
        <f t="shared" si="105"/>
        <v>0</v>
      </c>
    </row>
    <row r="911" spans="6:35" ht="15.75">
      <c r="AG911" s="71">
        <f t="shared" si="105"/>
        <v>0</v>
      </c>
    </row>
    <row r="912" spans="6:35" ht="15.75">
      <c r="H912" s="120" t="s">
        <v>1685</v>
      </c>
      <c r="J912" s="50" t="s">
        <v>152</v>
      </c>
      <c r="K912" s="78">
        <v>2014</v>
      </c>
      <c r="AG912" s="71">
        <f t="shared" si="105"/>
        <v>0</v>
      </c>
    </row>
    <row r="913" spans="6:35" ht="15.75">
      <c r="F913" s="50" t="s">
        <v>150</v>
      </c>
      <c r="AG913" s="71">
        <f t="shared" si="105"/>
        <v>0</v>
      </c>
    </row>
    <row r="914" spans="6:35" ht="15.75">
      <c r="H914" s="51" t="s">
        <v>1686</v>
      </c>
      <c r="K914" s="59" t="s">
        <v>156</v>
      </c>
      <c r="AG914" s="71">
        <f t="shared" si="105"/>
        <v>0</v>
      </c>
    </row>
    <row r="915" spans="6:35" ht="15.75">
      <c r="H915" s="51" t="s">
        <v>1687</v>
      </c>
      <c r="AG915" s="71">
        <f t="shared" si="105"/>
        <v>0</v>
      </c>
    </row>
    <row r="916" spans="6:35" ht="15.75">
      <c r="F916" s="156">
        <v>21.2</v>
      </c>
      <c r="H916" s="65" t="s">
        <v>1688</v>
      </c>
      <c r="AG916" s="71">
        <f t="shared" si="105"/>
        <v>0</v>
      </c>
    </row>
    <row r="917" spans="6:35" ht="15.75">
      <c r="F917" s="156"/>
      <c r="H917" s="59" t="s">
        <v>21</v>
      </c>
      <c r="AG917" s="71" t="str">
        <f t="shared" si="105"/>
        <v>|</v>
      </c>
      <c r="AI917" s="50" t="s">
        <v>1095</v>
      </c>
    </row>
    <row r="918" spans="6:35" ht="15.75">
      <c r="G918" s="62" t="s">
        <v>1056</v>
      </c>
      <c r="H918" s="50" t="s">
        <v>1689</v>
      </c>
      <c r="K918" s="50" t="s">
        <v>150</v>
      </c>
      <c r="AG918" s="71" t="str">
        <f t="shared" si="105"/>
        <v>|</v>
      </c>
      <c r="AI918" s="50" t="s">
        <v>1095</v>
      </c>
    </row>
    <row r="919" spans="6:35" ht="15.75">
      <c r="H919" s="59" t="s">
        <v>21</v>
      </c>
      <c r="K919" s="50" t="s">
        <v>150</v>
      </c>
      <c r="AG919" s="71" t="str">
        <f t="shared" si="105"/>
        <v>|</v>
      </c>
      <c r="AI919" s="50" t="s">
        <v>1095</v>
      </c>
    </row>
    <row r="920" spans="6:35" ht="15.75">
      <c r="F920" s="64">
        <v>1</v>
      </c>
      <c r="G920" s="62" t="s">
        <v>151</v>
      </c>
      <c r="H920" s="50" t="s">
        <v>1690</v>
      </c>
      <c r="I920" s="64">
        <f>C30</f>
        <v>14384.999999999998</v>
      </c>
      <c r="J920" s="50" t="s">
        <v>151</v>
      </c>
      <c r="K920" s="64">
        <f>(F920*I920)</f>
        <v>14384.999999999998</v>
      </c>
      <c r="AG920" s="71" t="str">
        <f t="shared" si="105"/>
        <v>|</v>
      </c>
      <c r="AI920" s="50" t="s">
        <v>1095</v>
      </c>
    </row>
    <row r="921" spans="6:35" ht="15.75">
      <c r="F921" s="64">
        <v>1</v>
      </c>
      <c r="G921" s="62" t="s">
        <v>151</v>
      </c>
      <c r="H921" s="50" t="s">
        <v>1689</v>
      </c>
      <c r="I921" s="64">
        <f>C88</f>
        <v>111600</v>
      </c>
      <c r="J921" s="50" t="s">
        <v>151</v>
      </c>
      <c r="K921" s="64">
        <f>(F921*I921)</f>
        <v>111600</v>
      </c>
      <c r="AG921" s="71" t="str">
        <f t="shared" si="105"/>
        <v>|</v>
      </c>
      <c r="AI921" s="50" t="s">
        <v>1095</v>
      </c>
    </row>
    <row r="922" spans="6:35" ht="15.75">
      <c r="K922" s="59" t="s">
        <v>156</v>
      </c>
      <c r="AG922" s="71">
        <f t="shared" si="105"/>
        <v>0</v>
      </c>
    </row>
    <row r="923" spans="6:35" ht="15.75">
      <c r="H923" s="50" t="s">
        <v>1691</v>
      </c>
      <c r="K923" s="63">
        <f>SUM(K920:K921)</f>
        <v>125985</v>
      </c>
      <c r="AG923" s="71" t="str">
        <f t="shared" si="105"/>
        <v>|</v>
      </c>
      <c r="AI923" s="50" t="s">
        <v>1095</v>
      </c>
    </row>
    <row r="924" spans="6:35" ht="15.75">
      <c r="K924" s="59" t="s">
        <v>156</v>
      </c>
      <c r="AG924" s="71" t="str">
        <f t="shared" si="105"/>
        <v>|</v>
      </c>
      <c r="AI924" s="50" t="s">
        <v>1095</v>
      </c>
    </row>
    <row r="925" spans="6:35" ht="15.75">
      <c r="G925" s="62" t="s">
        <v>6</v>
      </c>
      <c r="H925" s="50" t="s">
        <v>1692</v>
      </c>
      <c r="K925" s="50" t="s">
        <v>150</v>
      </c>
      <c r="AG925" s="71" t="str">
        <f t="shared" si="105"/>
        <v>|</v>
      </c>
      <c r="AI925" s="50" t="s">
        <v>1095</v>
      </c>
    </row>
    <row r="926" spans="6:35" ht="15.75">
      <c r="H926" s="59" t="s">
        <v>21</v>
      </c>
      <c r="M926" s="51" t="s">
        <v>1693</v>
      </c>
      <c r="N926" s="62" t="s">
        <v>249</v>
      </c>
      <c r="O926" s="50" t="s">
        <v>1694</v>
      </c>
      <c r="Q926" s="55"/>
      <c r="AG926" s="71">
        <f t="shared" si="105"/>
        <v>0</v>
      </c>
      <c r="AI926" s="50"/>
    </row>
    <row r="927" spans="6:35" ht="15.75">
      <c r="F927" s="64">
        <v>1</v>
      </c>
      <c r="G927" s="62" t="s">
        <v>151</v>
      </c>
      <c r="H927" s="50" t="s">
        <v>1690</v>
      </c>
      <c r="I927" s="64">
        <f>C30</f>
        <v>14384.999999999998</v>
      </c>
      <c r="J927" s="50" t="s">
        <v>151</v>
      </c>
      <c r="K927" s="64">
        <f>(F927*I927)</f>
        <v>14384.999999999998</v>
      </c>
      <c r="N927" s="53"/>
      <c r="O927" s="50" t="s">
        <v>1695</v>
      </c>
      <c r="Q927" s="55"/>
      <c r="AG927" s="71" t="str">
        <f t="shared" si="105"/>
        <v>|</v>
      </c>
      <c r="AI927" s="50" t="s">
        <v>1095</v>
      </c>
    </row>
    <row r="928" spans="6:35" ht="15.75">
      <c r="F928" s="64">
        <v>1</v>
      </c>
      <c r="G928" s="62" t="s">
        <v>151</v>
      </c>
      <c r="H928" s="50" t="s">
        <v>1689</v>
      </c>
      <c r="I928" s="64">
        <f>C89</f>
        <v>99400</v>
      </c>
      <c r="J928" s="50" t="s">
        <v>151</v>
      </c>
      <c r="K928" s="64">
        <f>(F928*I928)</f>
        <v>99400</v>
      </c>
      <c r="N928" s="53"/>
      <c r="O928" s="50" t="s">
        <v>1696</v>
      </c>
      <c r="Q928" s="55"/>
      <c r="AG928" s="71" t="str">
        <f t="shared" si="105"/>
        <v>|</v>
      </c>
      <c r="AI928" s="50" t="s">
        <v>1095</v>
      </c>
    </row>
    <row r="929" spans="6:35" ht="15.75">
      <c r="K929" s="59" t="s">
        <v>156</v>
      </c>
      <c r="N929" s="53"/>
      <c r="O929" s="59" t="s">
        <v>21</v>
      </c>
      <c r="Q929" s="55"/>
      <c r="AG929" s="71" t="str">
        <f t="shared" si="105"/>
        <v>|</v>
      </c>
      <c r="AI929" s="50" t="s">
        <v>1095</v>
      </c>
    </row>
    <row r="930" spans="6:35" ht="15.75">
      <c r="H930" s="50" t="s">
        <v>1697</v>
      </c>
      <c r="K930" s="63">
        <f>SUM(K927:K928)</f>
        <v>113785</v>
      </c>
      <c r="N930" s="53"/>
      <c r="O930" s="50" t="s">
        <v>1698</v>
      </c>
      <c r="Q930" s="55"/>
      <c r="AG930" s="71" t="str">
        <f t="shared" si="105"/>
        <v>|</v>
      </c>
      <c r="AI930" s="50" t="s">
        <v>1095</v>
      </c>
    </row>
    <row r="931" spans="6:35" ht="15.75">
      <c r="K931" s="59" t="s">
        <v>156</v>
      </c>
      <c r="N931" s="53"/>
      <c r="O931" s="50" t="s">
        <v>1699</v>
      </c>
      <c r="Q931" s="55"/>
      <c r="AG931" s="71" t="str">
        <f t="shared" si="105"/>
        <v>|</v>
      </c>
      <c r="AI931" s="50" t="s">
        <v>1095</v>
      </c>
    </row>
    <row r="932" spans="6:35" ht="15.75">
      <c r="N932" s="53"/>
      <c r="Q932" s="50" t="s">
        <v>21</v>
      </c>
      <c r="AG932" s="71" t="str">
        <f t="shared" si="105"/>
        <v>|</v>
      </c>
      <c r="AI932" s="50" t="s">
        <v>1095</v>
      </c>
    </row>
    <row r="933" spans="6:35" ht="15.75">
      <c r="F933" s="51" t="s">
        <v>1693</v>
      </c>
      <c r="G933" s="62" t="s">
        <v>249</v>
      </c>
      <c r="H933" s="50" t="s">
        <v>1700</v>
      </c>
      <c r="N933" s="53"/>
      <c r="O933" s="50" t="s">
        <v>1701</v>
      </c>
      <c r="Q933" s="55"/>
      <c r="AG933" s="71" t="str">
        <f t="shared" si="105"/>
        <v>|</v>
      </c>
      <c r="AI933" s="50" t="s">
        <v>1095</v>
      </c>
    </row>
    <row r="934" spans="6:35" ht="15.75">
      <c r="H934" s="50" t="s">
        <v>1695</v>
      </c>
      <c r="N934" s="53"/>
      <c r="O934" s="50" t="s">
        <v>1702</v>
      </c>
      <c r="Q934" s="55"/>
      <c r="R934" s="130">
        <v>2.4299999999999999E-2</v>
      </c>
      <c r="AG934" s="71" t="str">
        <f t="shared" si="105"/>
        <v>|</v>
      </c>
      <c r="AI934" s="50" t="s">
        <v>1095</v>
      </c>
    </row>
    <row r="935" spans="6:35" ht="15.75">
      <c r="H935" s="50" t="s">
        <v>1696</v>
      </c>
      <c r="N935" s="53"/>
      <c r="Q935" s="50" t="s">
        <v>150</v>
      </c>
      <c r="R935" s="59" t="s">
        <v>21</v>
      </c>
      <c r="AG935" s="71" t="str">
        <f t="shared" si="105"/>
        <v>|</v>
      </c>
      <c r="AI935" s="50" t="s">
        <v>1095</v>
      </c>
    </row>
    <row r="936" spans="6:35" ht="15.75">
      <c r="H936" s="59" t="s">
        <v>21</v>
      </c>
      <c r="N936" s="53"/>
      <c r="O936" s="50" t="s">
        <v>1703</v>
      </c>
      <c r="Q936" s="181" t="s">
        <v>150</v>
      </c>
      <c r="R936" s="130">
        <v>1.47E-2</v>
      </c>
      <c r="AG936" s="71" t="str">
        <f t="shared" si="105"/>
        <v>|</v>
      </c>
      <c r="AI936" s="50" t="s">
        <v>1095</v>
      </c>
    </row>
    <row r="937" spans="6:35" ht="15.75">
      <c r="H937" s="50" t="s">
        <v>1698</v>
      </c>
      <c r="N937" s="53"/>
      <c r="O937" s="50" t="s">
        <v>1704</v>
      </c>
      <c r="Q937" s="50" t="s">
        <v>150</v>
      </c>
      <c r="R937" s="130">
        <v>4.5999999999999999E-3</v>
      </c>
      <c r="AG937" s="71" t="str">
        <f t="shared" si="105"/>
        <v>|</v>
      </c>
      <c r="AI937" s="50" t="s">
        <v>1095</v>
      </c>
    </row>
    <row r="938" spans="6:35" ht="15.75">
      <c r="H938" s="50" t="s">
        <v>1699</v>
      </c>
      <c r="N938" s="53"/>
      <c r="Q938" s="55"/>
      <c r="R938" s="59" t="s">
        <v>21</v>
      </c>
      <c r="AG938" s="71" t="str">
        <f t="shared" si="105"/>
        <v>|</v>
      </c>
      <c r="AI938" s="50" t="s">
        <v>1095</v>
      </c>
    </row>
    <row r="939" spans="6:35" ht="15.75">
      <c r="J939" s="50" t="s">
        <v>21</v>
      </c>
      <c r="N939" s="53"/>
      <c r="Q939" s="55"/>
      <c r="R939" s="130">
        <v>1.9300000000000001E-2</v>
      </c>
      <c r="AG939" s="71" t="str">
        <f t="shared" si="105"/>
        <v>|</v>
      </c>
      <c r="AI939" s="50" t="s">
        <v>1095</v>
      </c>
    </row>
    <row r="940" spans="6:35" ht="15.75">
      <c r="H940" s="50" t="s">
        <v>1701</v>
      </c>
      <c r="N940" s="53"/>
      <c r="Q940" s="55"/>
      <c r="R940" s="59" t="s">
        <v>21</v>
      </c>
      <c r="AG940" s="71" t="str">
        <f t="shared" si="105"/>
        <v>|</v>
      </c>
      <c r="AI940" s="50" t="s">
        <v>1095</v>
      </c>
    </row>
    <row r="941" spans="6:35" ht="15.75">
      <c r="H941" s="50" t="s">
        <v>1702</v>
      </c>
      <c r="K941" s="130">
        <v>2.4299999999999999E-2</v>
      </c>
      <c r="N941" s="53"/>
      <c r="Q941" s="55"/>
      <c r="AG941" s="71" t="str">
        <f t="shared" si="105"/>
        <v>|</v>
      </c>
      <c r="AI941" s="50" t="s">
        <v>1095</v>
      </c>
    </row>
    <row r="942" spans="6:35" ht="15.75">
      <c r="J942" s="50" t="s">
        <v>150</v>
      </c>
      <c r="K942" s="59" t="s">
        <v>21</v>
      </c>
      <c r="N942" s="53"/>
      <c r="Q942" s="55"/>
      <c r="AG942" s="71" t="str">
        <f t="shared" si="105"/>
        <v>|</v>
      </c>
      <c r="AI942" s="50" t="s">
        <v>1095</v>
      </c>
    </row>
    <row r="943" spans="6:35" ht="15.75">
      <c r="H943" s="50" t="s">
        <v>1703</v>
      </c>
      <c r="J943" s="181" t="s">
        <v>150</v>
      </c>
      <c r="K943" s="130">
        <v>1.47E-2</v>
      </c>
      <c r="M943" s="130">
        <v>1.14E-2</v>
      </c>
      <c r="N943" s="62" t="s">
        <v>151</v>
      </c>
      <c r="O943" s="50" t="s">
        <v>1705</v>
      </c>
      <c r="P943" s="64">
        <f>C86</f>
        <v>34300</v>
      </c>
      <c r="Q943" s="50" t="s">
        <v>151</v>
      </c>
      <c r="R943" s="64">
        <f>(M943*P943)</f>
        <v>391.02000000000004</v>
      </c>
      <c r="AG943" s="71" t="str">
        <f t="shared" si="105"/>
        <v>|</v>
      </c>
      <c r="AI943" s="50" t="s">
        <v>1095</v>
      </c>
    </row>
    <row r="944" spans="6:35" ht="15.75">
      <c r="H944" s="50" t="s">
        <v>1704</v>
      </c>
      <c r="J944" s="50" t="s">
        <v>150</v>
      </c>
      <c r="K944" s="130">
        <v>4.5999999999999999E-3</v>
      </c>
      <c r="M944" s="130">
        <v>2.4299999999999999E-2</v>
      </c>
      <c r="N944" s="62" t="s">
        <v>151</v>
      </c>
      <c r="O944" s="50" t="s">
        <v>1706</v>
      </c>
      <c r="P944" s="64">
        <f>P943</f>
        <v>34300</v>
      </c>
      <c r="Q944" s="50" t="s">
        <v>151</v>
      </c>
      <c r="R944" s="64">
        <f>(M944*P944)</f>
        <v>833.49</v>
      </c>
      <c r="AG944" s="71" t="str">
        <f t="shared" si="105"/>
        <v>|</v>
      </c>
      <c r="AI944" s="50" t="s">
        <v>1095</v>
      </c>
    </row>
    <row r="945" spans="6:35" ht="15.75">
      <c r="K945" s="59" t="s">
        <v>21</v>
      </c>
      <c r="M945" s="130">
        <v>1.9300000000000001E-2</v>
      </c>
      <c r="N945" s="62" t="s">
        <v>151</v>
      </c>
      <c r="O945" s="50" t="s">
        <v>1707</v>
      </c>
      <c r="P945" s="64">
        <f>C87</f>
        <v>39400</v>
      </c>
      <c r="Q945" s="50" t="s">
        <v>151</v>
      </c>
      <c r="R945" s="64">
        <f>(M945*P945)</f>
        <v>760.42000000000007</v>
      </c>
      <c r="AG945" s="71" t="str">
        <f t="shared" si="105"/>
        <v>|</v>
      </c>
      <c r="AI945" s="50" t="s">
        <v>1095</v>
      </c>
    </row>
    <row r="946" spans="6:35" ht="15.75">
      <c r="K946" s="130">
        <v>1.9300000000000001E-2</v>
      </c>
      <c r="M946" s="131"/>
      <c r="N946" s="53"/>
      <c r="O946" s="50"/>
      <c r="P946" s="50" t="s">
        <v>150</v>
      </c>
      <c r="Q946" s="55"/>
      <c r="R946" s="50" t="s">
        <v>150</v>
      </c>
      <c r="AG946" s="71">
        <f t="shared" si="105"/>
        <v>0</v>
      </c>
    </row>
    <row r="947" spans="6:35" ht="15.75">
      <c r="K947" s="59" t="s">
        <v>21</v>
      </c>
      <c r="M947" s="131">
        <v>1.823</v>
      </c>
      <c r="N947" s="62" t="s">
        <v>152</v>
      </c>
      <c r="O947" s="50" t="s">
        <v>1708</v>
      </c>
      <c r="P947" s="64">
        <f>I954</f>
        <v>1617</v>
      </c>
      <c r="Q947" s="50" t="s">
        <v>152</v>
      </c>
      <c r="R947" s="64">
        <f t="shared" ref="R947:R953" si="113">(M947*P947)</f>
        <v>2947.7909999999997</v>
      </c>
      <c r="AG947" s="71">
        <f t="shared" si="105"/>
        <v>0</v>
      </c>
    </row>
    <row r="948" spans="6:35" ht="15.75">
      <c r="M948" s="64">
        <v>1</v>
      </c>
      <c r="N948" s="62" t="s">
        <v>4</v>
      </c>
      <c r="O948" s="50" t="s">
        <v>1709</v>
      </c>
      <c r="P948" s="64">
        <f t="shared" ref="P948:P953" si="114">I955</f>
        <v>50.9</v>
      </c>
      <c r="Q948" s="50" t="s">
        <v>153</v>
      </c>
      <c r="R948" s="64">
        <f t="shared" si="113"/>
        <v>50.9</v>
      </c>
      <c r="AG948" s="71">
        <f t="shared" si="105"/>
        <v>0</v>
      </c>
    </row>
    <row r="949" spans="6:35" ht="15.75">
      <c r="M949" s="64">
        <v>3</v>
      </c>
      <c r="N949" s="62" t="s">
        <v>153</v>
      </c>
      <c r="O949" s="50" t="s">
        <v>391</v>
      </c>
      <c r="P949" s="64">
        <f t="shared" si="114"/>
        <v>79.099999999999994</v>
      </c>
      <c r="Q949" s="50" t="s">
        <v>153</v>
      </c>
      <c r="R949" s="64">
        <f t="shared" si="113"/>
        <v>237.29999999999998</v>
      </c>
      <c r="AG949" s="71">
        <f t="shared" si="105"/>
        <v>0</v>
      </c>
    </row>
    <row r="950" spans="6:35" ht="15.75">
      <c r="F950" s="130">
        <v>1.14E-2</v>
      </c>
      <c r="G950" s="62" t="s">
        <v>151</v>
      </c>
      <c r="H950" s="50" t="s">
        <v>1710</v>
      </c>
      <c r="I950" s="64">
        <f>C88</f>
        <v>111600</v>
      </c>
      <c r="J950" s="50" t="s">
        <v>151</v>
      </c>
      <c r="K950" s="64">
        <f>(F950*I950)</f>
        <v>1272.24</v>
      </c>
      <c r="M950" s="64">
        <v>2</v>
      </c>
      <c r="N950" s="62" t="s">
        <v>153</v>
      </c>
      <c r="O950" s="50" t="s">
        <v>392</v>
      </c>
      <c r="P950" s="64">
        <f t="shared" si="114"/>
        <v>57.2</v>
      </c>
      <c r="Q950" s="50" t="s">
        <v>153</v>
      </c>
      <c r="R950" s="64">
        <f t="shared" si="113"/>
        <v>114.4</v>
      </c>
      <c r="AG950" s="71">
        <f t="shared" ref="AG950:AG1013" si="115">AI950</f>
        <v>0</v>
      </c>
    </row>
    <row r="951" spans="6:35" ht="15.75">
      <c r="F951" s="130">
        <v>2.4299999999999999E-2</v>
      </c>
      <c r="G951" s="62" t="s">
        <v>151</v>
      </c>
      <c r="H951" s="50" t="s">
        <v>1711</v>
      </c>
      <c r="I951" s="64">
        <f>C89</f>
        <v>99400</v>
      </c>
      <c r="J951" s="50" t="s">
        <v>151</v>
      </c>
      <c r="K951" s="64">
        <f>(F951*I951)</f>
        <v>2415.42</v>
      </c>
      <c r="M951" s="64">
        <v>1</v>
      </c>
      <c r="N951" s="62" t="s">
        <v>153</v>
      </c>
      <c r="O951" s="50" t="s">
        <v>393</v>
      </c>
      <c r="P951" s="64">
        <f t="shared" si="114"/>
        <v>159.69999999999999</v>
      </c>
      <c r="Q951" s="50" t="s">
        <v>153</v>
      </c>
      <c r="R951" s="64">
        <f t="shared" si="113"/>
        <v>159.69999999999999</v>
      </c>
      <c r="AG951" s="71">
        <f t="shared" si="115"/>
        <v>0</v>
      </c>
    </row>
    <row r="952" spans="6:35" ht="15.75">
      <c r="F952" s="130">
        <v>1.9300000000000001E-2</v>
      </c>
      <c r="G952" s="62" t="s">
        <v>151</v>
      </c>
      <c r="H952" s="50" t="s">
        <v>1712</v>
      </c>
      <c r="I952" s="64">
        <f>C90</f>
        <v>95000</v>
      </c>
      <c r="J952" s="50" t="s">
        <v>151</v>
      </c>
      <c r="K952" s="64">
        <f>(F952*I952)</f>
        <v>1833.5</v>
      </c>
      <c r="M952" s="64">
        <v>1</v>
      </c>
      <c r="N952" s="62" t="s">
        <v>153</v>
      </c>
      <c r="O952" s="50" t="s">
        <v>1713</v>
      </c>
      <c r="P952" s="64">
        <f t="shared" si="114"/>
        <v>7.3</v>
      </c>
      <c r="Q952" s="50" t="s">
        <v>153</v>
      </c>
      <c r="R952" s="64">
        <f t="shared" si="113"/>
        <v>7.3</v>
      </c>
      <c r="AG952" s="71">
        <f t="shared" si="115"/>
        <v>0</v>
      </c>
    </row>
    <row r="953" spans="6:35" ht="15.75">
      <c r="F953" s="131"/>
      <c r="H953" s="50" t="s">
        <v>1714</v>
      </c>
      <c r="I953" s="50" t="s">
        <v>150</v>
      </c>
      <c r="K953" s="50" t="s">
        <v>150</v>
      </c>
      <c r="M953" s="64">
        <v>1</v>
      </c>
      <c r="N953" s="62" t="s">
        <v>153</v>
      </c>
      <c r="O953" s="50" t="s">
        <v>886</v>
      </c>
      <c r="P953" s="64">
        <f t="shared" si="114"/>
        <v>43.8</v>
      </c>
      <c r="Q953" s="50" t="s">
        <v>153</v>
      </c>
      <c r="R953" s="64">
        <f t="shared" si="113"/>
        <v>43.8</v>
      </c>
      <c r="AG953" s="71">
        <f t="shared" si="115"/>
        <v>0</v>
      </c>
    </row>
    <row r="954" spans="6:35" ht="15.75">
      <c r="F954" s="131">
        <v>1.823</v>
      </c>
      <c r="G954" s="62" t="s">
        <v>152</v>
      </c>
      <c r="H954" s="50" t="s">
        <v>1708</v>
      </c>
      <c r="I954" s="64">
        <f>C31</f>
        <v>1617</v>
      </c>
      <c r="J954" s="50" t="s">
        <v>152</v>
      </c>
      <c r="K954" s="64">
        <f t="shared" ref="K954:K961" si="116">(F954*I954)</f>
        <v>2947.7909999999997</v>
      </c>
      <c r="N954" s="53"/>
      <c r="Q954" s="55"/>
      <c r="R954" s="59" t="s">
        <v>21</v>
      </c>
      <c r="AG954" s="71">
        <f t="shared" si="115"/>
        <v>0</v>
      </c>
    </row>
    <row r="955" spans="6:35" ht="15.75">
      <c r="F955" s="64">
        <v>1</v>
      </c>
      <c r="G955" s="62" t="s">
        <v>4</v>
      </c>
      <c r="H955" s="50" t="s">
        <v>1715</v>
      </c>
      <c r="I955" s="64">
        <f>C598</f>
        <v>50.9</v>
      </c>
      <c r="J955" s="50" t="s">
        <v>153</v>
      </c>
      <c r="K955" s="64">
        <f t="shared" si="116"/>
        <v>50.9</v>
      </c>
      <c r="N955" s="53"/>
      <c r="O955" s="50" t="s">
        <v>1716</v>
      </c>
      <c r="Q955" s="55"/>
      <c r="R955" s="64">
        <f>SUM(R943:R953)</f>
        <v>5546.1209999999992</v>
      </c>
      <c r="AG955" s="71">
        <f t="shared" si="115"/>
        <v>0</v>
      </c>
    </row>
    <row r="956" spans="6:35" ht="15.75">
      <c r="F956" s="64">
        <v>3</v>
      </c>
      <c r="G956" s="62" t="s">
        <v>153</v>
      </c>
      <c r="H956" s="50" t="s">
        <v>391</v>
      </c>
      <c r="I956" s="64">
        <f>C279</f>
        <v>79.099999999999994</v>
      </c>
      <c r="J956" s="50" t="s">
        <v>153</v>
      </c>
      <c r="K956" s="64">
        <f t="shared" si="116"/>
        <v>237.29999999999998</v>
      </c>
      <c r="N956" s="53"/>
      <c r="Q956" s="55"/>
      <c r="R956" s="59" t="s">
        <v>21</v>
      </c>
      <c r="AG956" s="71">
        <f t="shared" si="115"/>
        <v>0</v>
      </c>
    </row>
    <row r="957" spans="6:35" ht="15.75">
      <c r="F957" s="64">
        <v>2</v>
      </c>
      <c r="G957" s="62" t="s">
        <v>153</v>
      </c>
      <c r="H957" s="50" t="s">
        <v>392</v>
      </c>
      <c r="I957" s="64">
        <f>C284</f>
        <v>57.2</v>
      </c>
      <c r="J957" s="50" t="s">
        <v>153</v>
      </c>
      <c r="K957" s="64">
        <f t="shared" si="116"/>
        <v>114.4</v>
      </c>
      <c r="N957" s="53"/>
      <c r="O957" s="66" t="s">
        <v>155</v>
      </c>
      <c r="Q957" s="55"/>
      <c r="R957" s="63">
        <f>R955/M947</f>
        <v>3042.3044432254524</v>
      </c>
      <c r="AG957" s="71">
        <f t="shared" si="115"/>
        <v>0</v>
      </c>
    </row>
    <row r="958" spans="6:35" ht="15.75">
      <c r="F958" s="64">
        <v>1</v>
      </c>
      <c r="G958" s="62" t="s">
        <v>153</v>
      </c>
      <c r="H958" s="50" t="s">
        <v>393</v>
      </c>
      <c r="I958" s="64">
        <f>C286</f>
        <v>159.69999999999999</v>
      </c>
      <c r="J958" s="50" t="s">
        <v>153</v>
      </c>
      <c r="K958" s="64">
        <f t="shared" si="116"/>
        <v>159.69999999999999</v>
      </c>
      <c r="M958" s="50" t="s">
        <v>150</v>
      </c>
      <c r="N958" s="53"/>
      <c r="Q958" s="55"/>
      <c r="AG958" s="71">
        <f t="shared" si="115"/>
        <v>0</v>
      </c>
    </row>
    <row r="959" spans="6:35" ht="15.75">
      <c r="F959" s="64">
        <v>1</v>
      </c>
      <c r="G959" s="62" t="s">
        <v>153</v>
      </c>
      <c r="H959" s="50" t="s">
        <v>1713</v>
      </c>
      <c r="I959" s="64">
        <f>C288</f>
        <v>7.3</v>
      </c>
      <c r="J959" s="50" t="s">
        <v>153</v>
      </c>
      <c r="K959" s="64">
        <f t="shared" si="116"/>
        <v>7.3</v>
      </c>
      <c r="N959" s="53"/>
      <c r="Q959" s="55"/>
      <c r="R959" s="59" t="s">
        <v>156</v>
      </c>
      <c r="AG959" s="71" t="str">
        <f t="shared" si="115"/>
        <v>|</v>
      </c>
      <c r="AI959" s="50" t="s">
        <v>1095</v>
      </c>
    </row>
    <row r="960" spans="6:35" ht="15.75">
      <c r="F960" s="64">
        <v>1</v>
      </c>
      <c r="G960" s="62" t="s">
        <v>153</v>
      </c>
      <c r="H960" s="50" t="s">
        <v>886</v>
      </c>
      <c r="I960" s="64">
        <f>D598</f>
        <v>43.8</v>
      </c>
      <c r="J960" s="50" t="s">
        <v>153</v>
      </c>
      <c r="K960" s="64">
        <f t="shared" si="116"/>
        <v>43.8</v>
      </c>
      <c r="AG960" s="71" t="str">
        <f t="shared" si="115"/>
        <v>|</v>
      </c>
      <c r="AI960" s="50" t="s">
        <v>1095</v>
      </c>
    </row>
    <row r="961" spans="6:35" ht="15.75">
      <c r="F961" s="64">
        <v>10</v>
      </c>
      <c r="G961" s="62" t="s">
        <v>1717</v>
      </c>
      <c r="H961" s="120" t="s">
        <v>1718</v>
      </c>
      <c r="I961" s="129">
        <v>2.37</v>
      </c>
      <c r="J961" s="55" t="s">
        <v>1719</v>
      </c>
      <c r="K961" s="64">
        <f t="shared" si="116"/>
        <v>23.700000000000003</v>
      </c>
      <c r="AG961" s="71" t="str">
        <f t="shared" si="115"/>
        <v>|</v>
      </c>
      <c r="AI961" s="50" t="s">
        <v>1095</v>
      </c>
    </row>
    <row r="962" spans="6:35" ht="15.75">
      <c r="H962" s="50" t="s">
        <v>1716</v>
      </c>
      <c r="K962" s="64">
        <f>SUM(K950:K961)</f>
        <v>9106.0509999999977</v>
      </c>
      <c r="AG962" s="71" t="str">
        <f t="shared" si="115"/>
        <v>|</v>
      </c>
      <c r="AI962" s="50" t="s">
        <v>1095</v>
      </c>
    </row>
    <row r="963" spans="6:35" ht="15.75">
      <c r="K963" s="59" t="s">
        <v>21</v>
      </c>
      <c r="AG963" s="71" t="str">
        <f t="shared" si="115"/>
        <v>|</v>
      </c>
      <c r="AI963" s="50" t="s">
        <v>1095</v>
      </c>
    </row>
    <row r="964" spans="6:35" ht="15.75">
      <c r="H964" s="66" t="s">
        <v>155</v>
      </c>
      <c r="K964" s="63">
        <f>K962/F954</f>
        <v>4995.0910586944583</v>
      </c>
      <c r="AG964" s="71" t="str">
        <f t="shared" si="115"/>
        <v>|</v>
      </c>
      <c r="AI964" s="50" t="s">
        <v>1095</v>
      </c>
    </row>
    <row r="965" spans="6:35" ht="15.75">
      <c r="F965" s="50" t="s">
        <v>150</v>
      </c>
      <c r="AG965" s="71" t="str">
        <f t="shared" si="115"/>
        <v>|</v>
      </c>
      <c r="AI965" s="50" t="s">
        <v>1095</v>
      </c>
    </row>
    <row r="966" spans="6:35" ht="15.75">
      <c r="K966" s="59" t="s">
        <v>156</v>
      </c>
      <c r="AG966" s="71" t="str">
        <f t="shared" si="115"/>
        <v>|</v>
      </c>
      <c r="AI966" s="50" t="s">
        <v>1095</v>
      </c>
    </row>
    <row r="967" spans="6:35" ht="15.75">
      <c r="AG967" s="71" t="str">
        <f t="shared" si="115"/>
        <v>|</v>
      </c>
      <c r="AI967" s="50" t="s">
        <v>1095</v>
      </c>
    </row>
    <row r="968" spans="6:35" ht="15.75">
      <c r="AG968" s="71" t="str">
        <f t="shared" si="115"/>
        <v>|</v>
      </c>
      <c r="AI968" s="50" t="s">
        <v>1095</v>
      </c>
    </row>
    <row r="969" spans="6:35" ht="15.75">
      <c r="F969" s="51" t="s">
        <v>1720</v>
      </c>
      <c r="G969" s="62" t="s">
        <v>249</v>
      </c>
      <c r="H969" s="50" t="s">
        <v>1700</v>
      </c>
      <c r="AG969" s="71" t="str">
        <f t="shared" si="115"/>
        <v>|</v>
      </c>
      <c r="AI969" s="50" t="s">
        <v>1095</v>
      </c>
    </row>
    <row r="970" spans="6:35" ht="15.75">
      <c r="H970" s="50" t="s">
        <v>1695</v>
      </c>
      <c r="AG970" s="71" t="str">
        <f t="shared" si="115"/>
        <v>|</v>
      </c>
      <c r="AI970" s="50" t="s">
        <v>1095</v>
      </c>
    </row>
    <row r="971" spans="6:35" ht="15.75">
      <c r="H971" s="50" t="s">
        <v>1721</v>
      </c>
      <c r="AG971" s="71" t="str">
        <f t="shared" si="115"/>
        <v>|</v>
      </c>
      <c r="AI971" s="50" t="s">
        <v>1095</v>
      </c>
    </row>
    <row r="972" spans="6:35" ht="15.75">
      <c r="H972" s="59" t="s">
        <v>21</v>
      </c>
      <c r="AG972" s="71" t="str">
        <f t="shared" si="115"/>
        <v>|</v>
      </c>
      <c r="AI972" s="50" t="s">
        <v>1095</v>
      </c>
    </row>
    <row r="973" spans="6:35" ht="15.75">
      <c r="AG973" s="71" t="str">
        <f t="shared" si="115"/>
        <v>|</v>
      </c>
      <c r="AI973" s="50" t="s">
        <v>1095</v>
      </c>
    </row>
    <row r="974" spans="6:35" ht="15.75">
      <c r="H974" s="50" t="s">
        <v>1722</v>
      </c>
      <c r="AG974" s="71">
        <f t="shared" si="115"/>
        <v>0</v>
      </c>
    </row>
    <row r="975" spans="6:35" ht="15.75">
      <c r="H975" s="50" t="s">
        <v>1723</v>
      </c>
      <c r="AG975" s="71" t="str">
        <f t="shared" si="115"/>
        <v>|</v>
      </c>
      <c r="AI975" s="50" t="s">
        <v>1095</v>
      </c>
    </row>
    <row r="976" spans="6:35" ht="15.75">
      <c r="J976" s="50" t="s">
        <v>21</v>
      </c>
      <c r="AG976" s="71">
        <f t="shared" si="115"/>
        <v>0</v>
      </c>
    </row>
    <row r="977" spans="6:35" ht="15.75">
      <c r="H977" s="50" t="s">
        <v>1724</v>
      </c>
      <c r="AG977" s="71">
        <f t="shared" si="115"/>
        <v>0</v>
      </c>
    </row>
    <row r="978" spans="6:35" ht="15.75">
      <c r="H978" s="50" t="s">
        <v>1725</v>
      </c>
      <c r="K978" s="130">
        <v>2.1999999999999999E-2</v>
      </c>
      <c r="AG978" s="71" t="str">
        <f t="shared" si="115"/>
        <v>|</v>
      </c>
      <c r="AI978" s="50" t="s">
        <v>1095</v>
      </c>
    </row>
    <row r="979" spans="6:35" ht="15.75">
      <c r="J979" s="50" t="s">
        <v>150</v>
      </c>
      <c r="K979" s="59" t="s">
        <v>21</v>
      </c>
      <c r="AG979" s="71" t="str">
        <f t="shared" si="115"/>
        <v>|</v>
      </c>
      <c r="AI979" s="50" t="s">
        <v>1095</v>
      </c>
    </row>
    <row r="980" spans="6:35" ht="15.75">
      <c r="H980" s="50" t="s">
        <v>1726</v>
      </c>
      <c r="J980" s="181" t="s">
        <v>150</v>
      </c>
      <c r="K980" s="130">
        <v>1.3100000000000001E-2</v>
      </c>
      <c r="AG980" s="71" t="str">
        <f t="shared" si="115"/>
        <v>|</v>
      </c>
      <c r="AI980" s="50" t="s">
        <v>1095</v>
      </c>
    </row>
    <row r="981" spans="6:35" ht="15.75">
      <c r="H981" s="50" t="s">
        <v>1727</v>
      </c>
      <c r="J981" s="50" t="s">
        <v>150</v>
      </c>
      <c r="K981" s="130">
        <v>3.3999999999999998E-3</v>
      </c>
      <c r="AG981" s="71" t="str">
        <f t="shared" si="115"/>
        <v>|</v>
      </c>
      <c r="AI981" s="50" t="s">
        <v>1095</v>
      </c>
    </row>
    <row r="982" spans="6:35" ht="15.75">
      <c r="K982" s="59" t="s">
        <v>21</v>
      </c>
      <c r="AG982" s="71">
        <f t="shared" si="115"/>
        <v>0</v>
      </c>
    </row>
    <row r="983" spans="6:35" ht="15.75">
      <c r="K983" s="130">
        <v>1.6500000000000001E-2</v>
      </c>
      <c r="AG983" s="71">
        <f t="shared" si="115"/>
        <v>0</v>
      </c>
    </row>
    <row r="984" spans="6:35" ht="15.75">
      <c r="K984" s="59" t="s">
        <v>21</v>
      </c>
      <c r="O984" s="52" t="s">
        <v>1728</v>
      </c>
      <c r="AG984" s="71">
        <f t="shared" si="115"/>
        <v>0</v>
      </c>
    </row>
    <row r="985" spans="6:35" ht="15.75">
      <c r="F985" s="130">
        <v>1.15E-2</v>
      </c>
      <c r="G985" s="62" t="s">
        <v>151</v>
      </c>
      <c r="H985" s="50" t="s">
        <v>1710</v>
      </c>
      <c r="I985" s="64">
        <f>C88</f>
        <v>111600</v>
      </c>
      <c r="J985" s="50" t="s">
        <v>151</v>
      </c>
      <c r="K985" s="64">
        <f>(F985*I985)</f>
        <v>1283.4000000000001</v>
      </c>
      <c r="M985" s="51" t="s">
        <v>1729</v>
      </c>
      <c r="N985" s="62"/>
      <c r="O985" s="50" t="s">
        <v>1730</v>
      </c>
      <c r="Q985" s="55"/>
      <c r="R985" s="50" t="s">
        <v>150</v>
      </c>
      <c r="AG985" s="71">
        <f t="shared" si="115"/>
        <v>0</v>
      </c>
    </row>
    <row r="986" spans="6:35" ht="15.75">
      <c r="F986" s="130">
        <v>2.1999999999999999E-2</v>
      </c>
      <c r="G986" s="62" t="s">
        <v>151</v>
      </c>
      <c r="H986" s="50" t="s">
        <v>1711</v>
      </c>
      <c r="I986" s="64">
        <f>C89</f>
        <v>99400</v>
      </c>
      <c r="J986" s="50" t="s">
        <v>151</v>
      </c>
      <c r="K986" s="64">
        <f>(F986*I986)</f>
        <v>2186.7999999999997</v>
      </c>
      <c r="N986" s="53"/>
      <c r="O986" s="59" t="s">
        <v>21</v>
      </c>
      <c r="Q986" s="55"/>
      <c r="AG986" s="71">
        <f t="shared" si="115"/>
        <v>0</v>
      </c>
    </row>
    <row r="987" spans="6:35" ht="15.75">
      <c r="F987" s="130">
        <v>1.6500000000000001E-2</v>
      </c>
      <c r="G987" s="62" t="s">
        <v>151</v>
      </c>
      <c r="H987" s="50" t="s">
        <v>1712</v>
      </c>
      <c r="I987" s="64">
        <f>C90</f>
        <v>95000</v>
      </c>
      <c r="J987" s="50" t="s">
        <v>151</v>
      </c>
      <c r="K987" s="64">
        <f>(F987*I987)</f>
        <v>1567.5</v>
      </c>
      <c r="M987" s="182">
        <v>1.153E-2</v>
      </c>
      <c r="N987" s="183" t="s">
        <v>151</v>
      </c>
      <c r="O987" s="184" t="s">
        <v>877</v>
      </c>
      <c r="P987" s="185">
        <f t="shared" ref="P987:P997" si="117">I1053</f>
        <v>111600</v>
      </c>
      <c r="Q987" s="184" t="s">
        <v>151</v>
      </c>
      <c r="R987" s="185">
        <f t="shared" ref="R987:R997" si="118">(M987*P987)</f>
        <v>1286.748</v>
      </c>
      <c r="AG987" s="71">
        <f t="shared" si="115"/>
        <v>0</v>
      </c>
    </row>
    <row r="988" spans="6:35" ht="15.75">
      <c r="F988" s="130"/>
      <c r="H988" s="50" t="s">
        <v>1714</v>
      </c>
      <c r="I988" s="50" t="s">
        <v>150</v>
      </c>
      <c r="K988" s="50" t="s">
        <v>150</v>
      </c>
      <c r="M988" s="186">
        <v>1.013E-2</v>
      </c>
      <c r="N988" s="62" t="s">
        <v>151</v>
      </c>
      <c r="O988" s="50" t="s">
        <v>878</v>
      </c>
      <c r="P988" s="185">
        <f t="shared" si="117"/>
        <v>99400</v>
      </c>
      <c r="Q988" s="50" t="s">
        <v>151</v>
      </c>
      <c r="R988" s="64">
        <f t="shared" si="118"/>
        <v>1006.922</v>
      </c>
      <c r="AG988" s="71">
        <f t="shared" si="115"/>
        <v>0</v>
      </c>
    </row>
    <row r="989" spans="6:35" ht="15.75">
      <c r="F989" s="130">
        <v>1.64</v>
      </c>
      <c r="G989" s="62" t="s">
        <v>152</v>
      </c>
      <c r="H989" s="50" t="s">
        <v>1708</v>
      </c>
      <c r="I989" s="64">
        <f>C31</f>
        <v>1617</v>
      </c>
      <c r="J989" s="50" t="s">
        <v>152</v>
      </c>
      <c r="K989" s="64">
        <f t="shared" ref="K989:K996" si="119">(F989*I989)</f>
        <v>2651.8799999999997</v>
      </c>
      <c r="M989" s="186">
        <v>0.77780000000000005</v>
      </c>
      <c r="N989" s="62" t="s">
        <v>152</v>
      </c>
      <c r="O989" s="50" t="s">
        <v>879</v>
      </c>
      <c r="P989" s="185">
        <f t="shared" si="117"/>
        <v>387.4</v>
      </c>
      <c r="Q989" s="50" t="s">
        <v>152</v>
      </c>
      <c r="R989" s="64">
        <f t="shared" si="118"/>
        <v>301.31972000000002</v>
      </c>
      <c r="AG989" s="71">
        <f t="shared" si="115"/>
        <v>0</v>
      </c>
    </row>
    <row r="990" spans="6:35" ht="15.75">
      <c r="F990" s="64">
        <v>1</v>
      </c>
      <c r="G990" s="62" t="s">
        <v>4</v>
      </c>
      <c r="H990" s="50" t="s">
        <v>1715</v>
      </c>
      <c r="I990" s="64">
        <f>C598</f>
        <v>50.9</v>
      </c>
      <c r="J990" s="50" t="s">
        <v>153</v>
      </c>
      <c r="K990" s="64">
        <f t="shared" si="119"/>
        <v>50.9</v>
      </c>
      <c r="M990" s="186">
        <v>1.23</v>
      </c>
      <c r="N990" s="62" t="s">
        <v>152</v>
      </c>
      <c r="O990" s="50" t="s">
        <v>880</v>
      </c>
      <c r="P990" s="185">
        <f t="shared" si="117"/>
        <v>1348.1999999999998</v>
      </c>
      <c r="Q990" s="50" t="s">
        <v>152</v>
      </c>
      <c r="R990" s="64">
        <f t="shared" si="118"/>
        <v>1658.2859999999998</v>
      </c>
      <c r="AG990" s="71">
        <f t="shared" si="115"/>
        <v>0</v>
      </c>
    </row>
    <row r="991" spans="6:35" ht="15.75">
      <c r="F991" s="64">
        <v>3</v>
      </c>
      <c r="G991" s="62" t="s">
        <v>153</v>
      </c>
      <c r="H991" s="50" t="s">
        <v>391</v>
      </c>
      <c r="I991" s="64">
        <f>C279</f>
        <v>79.099999999999994</v>
      </c>
      <c r="J991" s="50" t="s">
        <v>153</v>
      </c>
      <c r="K991" s="64">
        <f t="shared" si="119"/>
        <v>237.29999999999998</v>
      </c>
      <c r="M991" s="64">
        <v>2</v>
      </c>
      <c r="N991" s="62" t="s">
        <v>153</v>
      </c>
      <c r="O991" s="50" t="s">
        <v>881</v>
      </c>
      <c r="P991" s="185">
        <f t="shared" si="117"/>
        <v>57.2</v>
      </c>
      <c r="Q991" s="50" t="s">
        <v>153</v>
      </c>
      <c r="R991" s="64">
        <f t="shared" si="118"/>
        <v>114.4</v>
      </c>
      <c r="AG991" s="71">
        <f t="shared" si="115"/>
        <v>0</v>
      </c>
    </row>
    <row r="992" spans="6:35" ht="15.75">
      <c r="F992" s="64">
        <v>2</v>
      </c>
      <c r="G992" s="62" t="s">
        <v>153</v>
      </c>
      <c r="H992" s="50" t="s">
        <v>392</v>
      </c>
      <c r="I992" s="64">
        <f>C284</f>
        <v>57.2</v>
      </c>
      <c r="J992" s="50" t="s">
        <v>153</v>
      </c>
      <c r="K992" s="64">
        <f t="shared" si="119"/>
        <v>114.4</v>
      </c>
      <c r="M992" s="64">
        <v>3</v>
      </c>
      <c r="N992" s="62" t="s">
        <v>153</v>
      </c>
      <c r="O992" s="50" t="s">
        <v>1731</v>
      </c>
      <c r="P992" s="185">
        <f t="shared" si="117"/>
        <v>79.099999999999994</v>
      </c>
      <c r="Q992" s="50" t="s">
        <v>153</v>
      </c>
      <c r="R992" s="64">
        <f t="shared" si="118"/>
        <v>237.29999999999998</v>
      </c>
      <c r="AG992" s="71">
        <f t="shared" si="115"/>
        <v>0</v>
      </c>
    </row>
    <row r="993" spans="6:35" ht="15.75">
      <c r="F993" s="64">
        <v>1</v>
      </c>
      <c r="G993" s="62" t="s">
        <v>153</v>
      </c>
      <c r="H993" s="50" t="s">
        <v>393</v>
      </c>
      <c r="I993" s="64">
        <f>C286</f>
        <v>159.69999999999999</v>
      </c>
      <c r="J993" s="50" t="s">
        <v>153</v>
      </c>
      <c r="K993" s="64">
        <f t="shared" si="119"/>
        <v>159.69999999999999</v>
      </c>
      <c r="M993" s="64">
        <v>1</v>
      </c>
      <c r="N993" s="62" t="s">
        <v>153</v>
      </c>
      <c r="O993" s="50" t="s">
        <v>883</v>
      </c>
      <c r="P993" s="185">
        <f t="shared" si="117"/>
        <v>159.69999999999999</v>
      </c>
      <c r="Q993" s="50" t="s">
        <v>153</v>
      </c>
      <c r="R993" s="64">
        <f t="shared" si="118"/>
        <v>159.69999999999999</v>
      </c>
      <c r="AG993" s="71">
        <f t="shared" si="115"/>
        <v>0</v>
      </c>
    </row>
    <row r="994" spans="6:35" ht="15.75">
      <c r="F994" s="64">
        <v>1</v>
      </c>
      <c r="G994" s="62" t="s">
        <v>153</v>
      </c>
      <c r="H994" s="50" t="s">
        <v>1713</v>
      </c>
      <c r="I994" s="64">
        <f>C288</f>
        <v>7.3</v>
      </c>
      <c r="J994" s="50" t="s">
        <v>153</v>
      </c>
      <c r="K994" s="64">
        <f t="shared" si="119"/>
        <v>7.3</v>
      </c>
      <c r="M994" s="64">
        <v>1</v>
      </c>
      <c r="N994" s="62" t="s">
        <v>153</v>
      </c>
      <c r="O994" s="50" t="s">
        <v>884</v>
      </c>
      <c r="P994" s="185">
        <f t="shared" si="117"/>
        <v>7.3</v>
      </c>
      <c r="Q994" s="50" t="s">
        <v>153</v>
      </c>
      <c r="R994" s="64">
        <f t="shared" si="118"/>
        <v>7.3</v>
      </c>
      <c r="AG994" s="71" t="str">
        <f t="shared" si="115"/>
        <v>|</v>
      </c>
      <c r="AI994" s="50" t="s">
        <v>1095</v>
      </c>
    </row>
    <row r="995" spans="6:35" ht="15.75">
      <c r="F995" s="64">
        <v>1</v>
      </c>
      <c r="G995" s="62" t="s">
        <v>153</v>
      </c>
      <c r="H995" s="50" t="s">
        <v>886</v>
      </c>
      <c r="I995" s="64">
        <f>D598</f>
        <v>43.8</v>
      </c>
      <c r="J995" s="50" t="s">
        <v>153</v>
      </c>
      <c r="K995" s="64">
        <f t="shared" si="119"/>
        <v>43.8</v>
      </c>
      <c r="M995" s="64">
        <v>1</v>
      </c>
      <c r="N995" s="62" t="s">
        <v>153</v>
      </c>
      <c r="O995" s="50" t="s">
        <v>1732</v>
      </c>
      <c r="P995" s="185">
        <f t="shared" si="117"/>
        <v>50.9</v>
      </c>
      <c r="Q995" s="50" t="s">
        <v>153</v>
      </c>
      <c r="R995" s="64">
        <f t="shared" si="118"/>
        <v>50.9</v>
      </c>
      <c r="AG995" s="71" t="str">
        <f t="shared" si="115"/>
        <v>|</v>
      </c>
      <c r="AI995" s="50" t="s">
        <v>1095</v>
      </c>
    </row>
    <row r="996" spans="6:35" ht="15.75">
      <c r="F996" s="64">
        <v>10</v>
      </c>
      <c r="G996" s="62" t="s">
        <v>1717</v>
      </c>
      <c r="H996" s="50" t="s">
        <v>1733</v>
      </c>
      <c r="I996" s="64">
        <f>I961</f>
        <v>2.37</v>
      </c>
      <c r="J996" s="50" t="s">
        <v>153</v>
      </c>
      <c r="K996" s="64">
        <f t="shared" si="119"/>
        <v>23.700000000000003</v>
      </c>
      <c r="M996" s="64">
        <v>1</v>
      </c>
      <c r="N996" s="62" t="s">
        <v>153</v>
      </c>
      <c r="O996" s="50" t="s">
        <v>886</v>
      </c>
      <c r="P996" s="185">
        <f t="shared" si="117"/>
        <v>43.8</v>
      </c>
      <c r="Q996" s="50" t="s">
        <v>153</v>
      </c>
      <c r="R996" s="64">
        <f t="shared" si="118"/>
        <v>43.8</v>
      </c>
      <c r="AG996" s="71" t="str">
        <f t="shared" si="115"/>
        <v>|</v>
      </c>
      <c r="AI996" s="50" t="s">
        <v>1095</v>
      </c>
    </row>
    <row r="997" spans="6:35" ht="15.75">
      <c r="K997" s="59" t="s">
        <v>21</v>
      </c>
      <c r="M997" s="64">
        <v>58</v>
      </c>
      <c r="N997" s="53"/>
      <c r="O997" s="50" t="s">
        <v>1734</v>
      </c>
      <c r="P997" s="185">
        <f t="shared" si="117"/>
        <v>2.37</v>
      </c>
      <c r="Q997" s="55"/>
      <c r="R997" s="64">
        <f t="shared" si="118"/>
        <v>137.46</v>
      </c>
      <c r="AG997" s="71" t="str">
        <f t="shared" si="115"/>
        <v>|</v>
      </c>
      <c r="AI997" s="50" t="s">
        <v>1095</v>
      </c>
    </row>
    <row r="998" spans="6:35" ht="15.75">
      <c r="H998" s="50" t="s">
        <v>1735</v>
      </c>
      <c r="K998" s="64">
        <f>SUM(K985:K996)</f>
        <v>8326.6799999999985</v>
      </c>
      <c r="N998" s="53"/>
      <c r="O998" s="51" t="s">
        <v>887</v>
      </c>
      <c r="Q998" s="55"/>
      <c r="R998" s="64">
        <f>SUM(R987:R997)</f>
        <v>5004.1357199999993</v>
      </c>
      <c r="AG998" s="71" t="str">
        <f t="shared" si="115"/>
        <v>|</v>
      </c>
      <c r="AI998" s="50" t="s">
        <v>1095</v>
      </c>
    </row>
    <row r="999" spans="6:35" ht="15.75">
      <c r="K999" s="59" t="s">
        <v>21</v>
      </c>
      <c r="N999" s="62" t="s">
        <v>150</v>
      </c>
      <c r="Q999" s="55"/>
      <c r="R999" s="59" t="s">
        <v>21</v>
      </c>
      <c r="AG999" s="71" t="str">
        <f t="shared" si="115"/>
        <v>|</v>
      </c>
      <c r="AI999" s="50" t="s">
        <v>1095</v>
      </c>
    </row>
    <row r="1000" spans="6:35" ht="15.75">
      <c r="H1000" s="66" t="s">
        <v>155</v>
      </c>
      <c r="K1000" s="63">
        <f>K998/F989</f>
        <v>5077.2439024390242</v>
      </c>
      <c r="N1000" s="53"/>
      <c r="O1000" s="66" t="s">
        <v>155</v>
      </c>
      <c r="Q1000" s="55"/>
      <c r="R1000" s="63">
        <f>R998/M990</f>
        <v>4068.4030243902434</v>
      </c>
      <c r="AG1000" s="71" t="str">
        <f t="shared" si="115"/>
        <v>|</v>
      </c>
      <c r="AI1000" s="50" t="s">
        <v>1095</v>
      </c>
    </row>
    <row r="1001" spans="6:35" ht="15.75">
      <c r="K1001" s="59" t="s">
        <v>156</v>
      </c>
      <c r="N1001" s="53"/>
      <c r="Q1001" s="55"/>
      <c r="R1001" s="59" t="s">
        <v>156</v>
      </c>
      <c r="AG1001" s="71" t="str">
        <f t="shared" si="115"/>
        <v>|::</v>
      </c>
      <c r="AI1001" s="50" t="s">
        <v>892</v>
      </c>
    </row>
    <row r="1002" spans="6:35" ht="15.75">
      <c r="F1002" s="51" t="s">
        <v>1736</v>
      </c>
      <c r="G1002" s="62" t="s">
        <v>249</v>
      </c>
      <c r="H1002" s="50" t="s">
        <v>1700</v>
      </c>
      <c r="AG1002" s="71">
        <f t="shared" si="115"/>
        <v>0</v>
      </c>
    </row>
    <row r="1003" spans="6:35" ht="15.75">
      <c r="H1003" s="50" t="s">
        <v>1695</v>
      </c>
      <c r="AG1003" s="71">
        <f t="shared" si="115"/>
        <v>0</v>
      </c>
    </row>
    <row r="1004" spans="6:35" ht="15.75">
      <c r="H1004" s="50" t="s">
        <v>1737</v>
      </c>
      <c r="AG1004" s="71" t="str">
        <f t="shared" si="115"/>
        <v>|</v>
      </c>
      <c r="AI1004" s="50" t="s">
        <v>1095</v>
      </c>
    </row>
    <row r="1005" spans="6:35" ht="15.75">
      <c r="H1005" s="59" t="s">
        <v>21</v>
      </c>
      <c r="AG1005" s="71"/>
      <c r="AI1005" s="50"/>
    </row>
    <row r="1006" spans="6:35" ht="15.75">
      <c r="H1006" s="50" t="s">
        <v>1738</v>
      </c>
      <c r="AG1006" s="71" t="str">
        <f t="shared" si="115"/>
        <v>|</v>
      </c>
      <c r="AI1006" s="50" t="s">
        <v>1095</v>
      </c>
    </row>
    <row r="1007" spans="6:35" ht="15.75">
      <c r="H1007" s="50" t="s">
        <v>1699</v>
      </c>
      <c r="AG1007" s="71" t="str">
        <f t="shared" si="115"/>
        <v>|</v>
      </c>
      <c r="AI1007" s="50" t="s">
        <v>1095</v>
      </c>
    </row>
    <row r="1008" spans="6:35" ht="15.75">
      <c r="J1008" s="50" t="s">
        <v>21</v>
      </c>
      <c r="AG1008" s="71" t="str">
        <f t="shared" si="115"/>
        <v>|</v>
      </c>
      <c r="AI1008" s="50" t="s">
        <v>1095</v>
      </c>
    </row>
    <row r="1009" spans="6:35" ht="15.75">
      <c r="H1009" s="50" t="s">
        <v>1739</v>
      </c>
      <c r="AG1009" s="71" t="str">
        <f t="shared" si="115"/>
        <v>|</v>
      </c>
      <c r="AI1009" s="50" t="s">
        <v>1095</v>
      </c>
    </row>
    <row r="1010" spans="6:35" ht="15.75">
      <c r="H1010" s="50" t="s">
        <v>1740</v>
      </c>
      <c r="K1010" s="130">
        <v>1.1900000000000001E-2</v>
      </c>
      <c r="AG1010" s="71" t="str">
        <f t="shared" si="115"/>
        <v>|</v>
      </c>
      <c r="AI1010" s="50" t="s">
        <v>1095</v>
      </c>
    </row>
    <row r="1011" spans="6:35" ht="15.75">
      <c r="J1011" s="50" t="s">
        <v>150</v>
      </c>
      <c r="K1011" s="59" t="s">
        <v>21</v>
      </c>
      <c r="AG1011" s="71">
        <f t="shared" si="115"/>
        <v>0</v>
      </c>
    </row>
    <row r="1012" spans="6:35" ht="15.75">
      <c r="H1012" s="50" t="s">
        <v>1741</v>
      </c>
      <c r="J1012" s="181" t="s">
        <v>150</v>
      </c>
      <c r="K1012" s="130">
        <v>1.18E-2</v>
      </c>
      <c r="AG1012" s="71">
        <f t="shared" si="115"/>
        <v>0</v>
      </c>
    </row>
    <row r="1013" spans="6:35" ht="15.75">
      <c r="H1013" s="50" t="s">
        <v>646</v>
      </c>
      <c r="J1013" s="50" t="s">
        <v>150</v>
      </c>
      <c r="K1013" s="187" t="s">
        <v>21</v>
      </c>
      <c r="AG1013" s="71">
        <f t="shared" si="115"/>
        <v>0</v>
      </c>
    </row>
    <row r="1014" spans="6:35" ht="15.75">
      <c r="AG1014" s="71">
        <f t="shared" ref="AG1014:AG1034" si="120">AI1014</f>
        <v>0</v>
      </c>
    </row>
    <row r="1015" spans="6:35" ht="15.75">
      <c r="F1015" s="130">
        <v>1.14E-2</v>
      </c>
      <c r="G1015" s="62" t="s">
        <v>151</v>
      </c>
      <c r="H1015" s="50" t="s">
        <v>1710</v>
      </c>
      <c r="I1015" s="64">
        <f>C88</f>
        <v>111600</v>
      </c>
      <c r="J1015" s="50" t="s">
        <v>151</v>
      </c>
      <c r="K1015" s="64">
        <f>(F1015*I1015)</f>
        <v>1272.24</v>
      </c>
      <c r="AG1015" s="71">
        <f t="shared" si="120"/>
        <v>0</v>
      </c>
    </row>
    <row r="1016" spans="6:35" ht="15.75">
      <c r="F1016" s="130">
        <v>1.1900000000000001E-2</v>
      </c>
      <c r="G1016" s="62" t="s">
        <v>151</v>
      </c>
      <c r="H1016" s="50" t="s">
        <v>1711</v>
      </c>
      <c r="I1016" s="64">
        <f>C89</f>
        <v>99400</v>
      </c>
      <c r="J1016" s="50" t="s">
        <v>151</v>
      </c>
      <c r="K1016" s="64">
        <f>(F1016*I1016)</f>
        <v>1182.8600000000001</v>
      </c>
      <c r="AG1016" s="71">
        <f t="shared" si="120"/>
        <v>0</v>
      </c>
    </row>
    <row r="1017" spans="6:35" ht="15.75">
      <c r="F1017" s="130">
        <v>1.18E-2</v>
      </c>
      <c r="G1017" s="62" t="s">
        <v>151</v>
      </c>
      <c r="H1017" s="50" t="s">
        <v>1712</v>
      </c>
      <c r="I1017" s="64">
        <f>C90</f>
        <v>95000</v>
      </c>
      <c r="J1017" s="50" t="s">
        <v>151</v>
      </c>
      <c r="K1017" s="64">
        <f>(F1017*I1017)</f>
        <v>1121</v>
      </c>
      <c r="AG1017" s="71">
        <f t="shared" si="120"/>
        <v>0</v>
      </c>
    </row>
    <row r="1018" spans="6:35" ht="15.75">
      <c r="F1018" s="130"/>
      <c r="H1018" s="50" t="s">
        <v>1714</v>
      </c>
      <c r="I1018" s="50" t="s">
        <v>150</v>
      </c>
      <c r="K1018" s="50" t="s">
        <v>150</v>
      </c>
      <c r="AG1018" s="71">
        <f t="shared" si="120"/>
        <v>0</v>
      </c>
    </row>
    <row r="1019" spans="6:35" ht="15.75">
      <c r="F1019" s="130">
        <v>1.2150000000000001</v>
      </c>
      <c r="G1019" s="62" t="s">
        <v>152</v>
      </c>
      <c r="H1019" s="50" t="s">
        <v>1708</v>
      </c>
      <c r="I1019" s="64">
        <f>C31</f>
        <v>1617</v>
      </c>
      <c r="J1019" s="50" t="s">
        <v>152</v>
      </c>
      <c r="K1019" s="64">
        <f t="shared" ref="K1019:K1026" si="121">(F1019*I1019)</f>
        <v>1964.6550000000002</v>
      </c>
      <c r="AG1019" s="71">
        <f t="shared" si="120"/>
        <v>0</v>
      </c>
    </row>
    <row r="1020" spans="6:35" ht="15.75">
      <c r="F1020" s="64">
        <v>1</v>
      </c>
      <c r="G1020" s="62" t="s">
        <v>4</v>
      </c>
      <c r="H1020" s="50" t="s">
        <v>1715</v>
      </c>
      <c r="I1020" s="64">
        <f>C598</f>
        <v>50.9</v>
      </c>
      <c r="J1020" s="50" t="s">
        <v>153</v>
      </c>
      <c r="K1020" s="64">
        <f t="shared" si="121"/>
        <v>50.9</v>
      </c>
      <c r="AG1020" s="71">
        <f t="shared" si="120"/>
        <v>0</v>
      </c>
    </row>
    <row r="1021" spans="6:35" ht="15.75">
      <c r="F1021" s="64">
        <v>3</v>
      </c>
      <c r="G1021" s="62" t="s">
        <v>153</v>
      </c>
      <c r="H1021" s="50" t="s">
        <v>391</v>
      </c>
      <c r="I1021" s="64">
        <f>C279</f>
        <v>79.099999999999994</v>
      </c>
      <c r="J1021" s="50" t="s">
        <v>153</v>
      </c>
      <c r="K1021" s="64">
        <f t="shared" si="121"/>
        <v>237.29999999999998</v>
      </c>
      <c r="AG1021" s="71">
        <f t="shared" si="120"/>
        <v>0</v>
      </c>
    </row>
    <row r="1022" spans="6:35" ht="15.75">
      <c r="F1022" s="64">
        <v>2</v>
      </c>
      <c r="G1022" s="62" t="s">
        <v>153</v>
      </c>
      <c r="H1022" s="50" t="s">
        <v>392</v>
      </c>
      <c r="I1022" s="64">
        <f>C284</f>
        <v>57.2</v>
      </c>
      <c r="J1022" s="50" t="s">
        <v>153</v>
      </c>
      <c r="K1022" s="64">
        <f t="shared" si="121"/>
        <v>114.4</v>
      </c>
      <c r="AG1022" s="71">
        <f t="shared" si="120"/>
        <v>0</v>
      </c>
    </row>
    <row r="1023" spans="6:35" ht="15.75">
      <c r="F1023" s="64">
        <v>1</v>
      </c>
      <c r="G1023" s="62" t="s">
        <v>153</v>
      </c>
      <c r="H1023" s="50" t="s">
        <v>393</v>
      </c>
      <c r="I1023" s="64">
        <f>C286</f>
        <v>159.69999999999999</v>
      </c>
      <c r="J1023" s="50" t="s">
        <v>153</v>
      </c>
      <c r="K1023" s="64">
        <f t="shared" si="121"/>
        <v>159.69999999999999</v>
      </c>
      <c r="AG1023" s="71">
        <f t="shared" si="120"/>
        <v>0</v>
      </c>
    </row>
    <row r="1024" spans="6:35" ht="15.75">
      <c r="F1024" s="64">
        <v>1</v>
      </c>
      <c r="G1024" s="62" t="s">
        <v>153</v>
      </c>
      <c r="H1024" s="50" t="s">
        <v>1713</v>
      </c>
      <c r="I1024" s="64">
        <f>C288</f>
        <v>7.3</v>
      </c>
      <c r="J1024" s="50" t="s">
        <v>153</v>
      </c>
      <c r="K1024" s="64">
        <f t="shared" si="121"/>
        <v>7.3</v>
      </c>
      <c r="AG1024" s="71">
        <f t="shared" si="120"/>
        <v>0</v>
      </c>
    </row>
    <row r="1025" spans="6:33" ht="15.75">
      <c r="F1025" s="64">
        <v>1</v>
      </c>
      <c r="G1025" s="62" t="s">
        <v>153</v>
      </c>
      <c r="H1025" s="50" t="s">
        <v>886</v>
      </c>
      <c r="I1025" s="64">
        <f>D598</f>
        <v>43.8</v>
      </c>
      <c r="J1025" s="50" t="s">
        <v>153</v>
      </c>
      <c r="K1025" s="64">
        <f t="shared" si="121"/>
        <v>43.8</v>
      </c>
      <c r="AG1025" s="71">
        <f t="shared" si="120"/>
        <v>0</v>
      </c>
    </row>
    <row r="1026" spans="6:33" ht="15.75">
      <c r="F1026" s="64">
        <v>10</v>
      </c>
      <c r="G1026" s="62" t="s">
        <v>1717</v>
      </c>
      <c r="H1026" s="50" t="s">
        <v>1733</v>
      </c>
      <c r="I1026" s="64">
        <f>I996</f>
        <v>2.37</v>
      </c>
      <c r="J1026" s="50" t="s">
        <v>153</v>
      </c>
      <c r="K1026" s="64">
        <f t="shared" si="121"/>
        <v>23.700000000000003</v>
      </c>
      <c r="M1026" s="51" t="s">
        <v>1742</v>
      </c>
      <c r="N1026" s="62" t="s">
        <v>249</v>
      </c>
      <c r="O1026" s="50" t="s">
        <v>1743</v>
      </c>
      <c r="Q1026" s="55"/>
      <c r="AG1026" s="71">
        <f t="shared" si="120"/>
        <v>0</v>
      </c>
    </row>
    <row r="1027" spans="6:33" ht="15.75">
      <c r="K1027" s="59" t="s">
        <v>21</v>
      </c>
      <c r="N1027" s="53"/>
      <c r="O1027" s="50" t="s">
        <v>1744</v>
      </c>
      <c r="Q1027" s="55"/>
      <c r="AG1027" s="71">
        <f t="shared" si="120"/>
        <v>0</v>
      </c>
    </row>
    <row r="1028" spans="6:33" ht="15.75">
      <c r="H1028" s="50" t="s">
        <v>1745</v>
      </c>
      <c r="K1028" s="64">
        <f>SUM(K1015:K1026)</f>
        <v>6177.8550000000005</v>
      </c>
      <c r="N1028" s="53"/>
      <c r="O1028" s="50" t="s">
        <v>1746</v>
      </c>
      <c r="Q1028" s="55"/>
      <c r="AG1028" s="71">
        <f t="shared" si="120"/>
        <v>0</v>
      </c>
    </row>
    <row r="1029" spans="6:33" ht="15.75">
      <c r="K1029" s="59" t="s">
        <v>21</v>
      </c>
      <c r="N1029" s="53"/>
      <c r="O1029" s="50" t="s">
        <v>1747</v>
      </c>
      <c r="Q1029" s="55"/>
      <c r="AG1029" s="71">
        <f t="shared" si="120"/>
        <v>0</v>
      </c>
    </row>
    <row r="1030" spans="6:33" ht="15.75">
      <c r="H1030" s="66" t="s">
        <v>155</v>
      </c>
      <c r="K1030" s="63">
        <f>K1028/F1019</f>
        <v>5084.6543209876545</v>
      </c>
      <c r="N1030" s="53"/>
      <c r="O1030" s="50" t="s">
        <v>1748</v>
      </c>
      <c r="Q1030" s="55"/>
      <c r="AG1030" s="71">
        <f t="shared" si="120"/>
        <v>0</v>
      </c>
    </row>
    <row r="1031" spans="6:33" ht="15.75">
      <c r="K1031" s="59" t="s">
        <v>156</v>
      </c>
      <c r="N1031" s="53"/>
      <c r="O1031" s="50" t="s">
        <v>1749</v>
      </c>
      <c r="Q1031" s="55"/>
      <c r="AG1031" s="71">
        <f t="shared" si="120"/>
        <v>0</v>
      </c>
    </row>
    <row r="1032" spans="6:33" ht="19.5">
      <c r="H1032" s="188" t="s">
        <v>1750</v>
      </c>
      <c r="I1032" s="189"/>
      <c r="J1032" s="190"/>
      <c r="K1032" s="188">
        <v>2211</v>
      </c>
      <c r="N1032" s="53"/>
      <c r="O1032" s="59" t="s">
        <v>21</v>
      </c>
      <c r="Q1032" s="55"/>
      <c r="AG1032" s="71">
        <f t="shared" si="120"/>
        <v>0</v>
      </c>
    </row>
    <row r="1033" spans="6:33" ht="15.75">
      <c r="F1033" s="51" t="s">
        <v>1742</v>
      </c>
      <c r="G1033" s="62" t="s">
        <v>249</v>
      </c>
      <c r="H1033" s="50" t="s">
        <v>1743</v>
      </c>
      <c r="N1033" s="53"/>
      <c r="O1033" s="50" t="s">
        <v>1722</v>
      </c>
      <c r="Q1033" s="55"/>
      <c r="AG1033" s="71">
        <f t="shared" si="120"/>
        <v>0</v>
      </c>
    </row>
    <row r="1034" spans="6:33" ht="15.75">
      <c r="H1034" s="50" t="s">
        <v>1744</v>
      </c>
      <c r="N1034" s="53"/>
      <c r="O1034" s="50" t="s">
        <v>1751</v>
      </c>
      <c r="Q1034" s="55"/>
      <c r="AG1034" s="71">
        <f t="shared" si="120"/>
        <v>0</v>
      </c>
    </row>
    <row r="1035" spans="6:33" ht="15.75">
      <c r="H1035" s="50" t="s">
        <v>1746</v>
      </c>
      <c r="N1035" s="53"/>
      <c r="Q1035" s="50" t="s">
        <v>21</v>
      </c>
      <c r="AG1035" s="71"/>
    </row>
    <row r="1036" spans="6:33" ht="15.75">
      <c r="H1036" s="50" t="s">
        <v>1747</v>
      </c>
      <c r="N1036" s="53"/>
      <c r="O1036" s="50" t="s">
        <v>1752</v>
      </c>
      <c r="Q1036" s="55"/>
      <c r="AG1036" s="71">
        <f t="shared" ref="AG1036:AG1041" si="122">AI1036</f>
        <v>0</v>
      </c>
    </row>
    <row r="1037" spans="6:33" ht="15.75">
      <c r="H1037" s="50" t="s">
        <v>1748</v>
      </c>
      <c r="N1037" s="53"/>
      <c r="O1037" s="50" t="s">
        <v>150</v>
      </c>
      <c r="P1037" s="50" t="s">
        <v>150</v>
      </c>
      <c r="Q1037" s="55"/>
      <c r="R1037" s="181" t="s">
        <v>150</v>
      </c>
      <c r="AG1037" s="71">
        <f t="shared" si="122"/>
        <v>0</v>
      </c>
    </row>
    <row r="1038" spans="6:33" ht="15.75">
      <c r="H1038" s="50" t="s">
        <v>1749</v>
      </c>
      <c r="N1038" s="53"/>
      <c r="Q1038" s="50" t="s">
        <v>150</v>
      </c>
      <c r="R1038" s="50" t="s">
        <v>150</v>
      </c>
      <c r="AG1038" s="71">
        <f t="shared" si="122"/>
        <v>0</v>
      </c>
    </row>
    <row r="1039" spans="6:33" ht="15.75">
      <c r="H1039" s="59" t="s">
        <v>21</v>
      </c>
      <c r="N1039" s="53"/>
      <c r="O1039" s="50" t="s">
        <v>1753</v>
      </c>
      <c r="Q1039" s="181" t="s">
        <v>150</v>
      </c>
      <c r="R1039" s="181" t="s">
        <v>150</v>
      </c>
      <c r="AG1039" s="71">
        <f t="shared" si="122"/>
        <v>0</v>
      </c>
    </row>
    <row r="1040" spans="6:33" ht="15.75">
      <c r="H1040" s="50" t="s">
        <v>1722</v>
      </c>
      <c r="N1040" s="53"/>
      <c r="O1040" s="50" t="s">
        <v>1754</v>
      </c>
      <c r="Q1040" s="55"/>
      <c r="R1040" s="181" t="s">
        <v>1755</v>
      </c>
      <c r="AG1040" s="71">
        <f t="shared" si="122"/>
        <v>0</v>
      </c>
    </row>
    <row r="1041" spans="6:35" ht="15.75">
      <c r="H1041" s="50" t="s">
        <v>1751</v>
      </c>
      <c r="N1041" s="53"/>
      <c r="Q1041" s="55"/>
      <c r="R1041" s="50" t="s">
        <v>150</v>
      </c>
      <c r="AG1041" s="71">
        <f t="shared" si="122"/>
        <v>0</v>
      </c>
    </row>
    <row r="1042" spans="6:35" ht="15.75">
      <c r="J1042" s="50" t="s">
        <v>21</v>
      </c>
      <c r="N1042" s="53"/>
      <c r="Q1042" s="55"/>
      <c r="R1042" s="181" t="s">
        <v>150</v>
      </c>
      <c r="AD1042" s="51" t="s">
        <v>1742</v>
      </c>
      <c r="AE1042" s="62" t="s">
        <v>249</v>
      </c>
      <c r="AF1042" s="50" t="s">
        <v>1756</v>
      </c>
      <c r="AH1042" s="55"/>
    </row>
    <row r="1043" spans="6:35" ht="15.75">
      <c r="H1043" s="50" t="s">
        <v>1752</v>
      </c>
      <c r="N1043" s="53"/>
      <c r="Q1043" s="55"/>
      <c r="R1043" s="50" t="s">
        <v>150</v>
      </c>
      <c r="AE1043" s="53"/>
      <c r="AF1043" s="50" t="s">
        <v>1744</v>
      </c>
      <c r="AH1043" s="55"/>
    </row>
    <row r="1044" spans="6:35" ht="15.75">
      <c r="H1044" s="50" t="s">
        <v>150</v>
      </c>
      <c r="I1044" s="50" t="s">
        <v>150</v>
      </c>
      <c r="K1044" s="181" t="s">
        <v>150</v>
      </c>
      <c r="M1044" s="51" t="s">
        <v>1729</v>
      </c>
      <c r="N1044" s="62"/>
      <c r="O1044" s="50" t="s">
        <v>1757</v>
      </c>
      <c r="Q1044" s="55"/>
      <c r="R1044" s="50" t="s">
        <v>150</v>
      </c>
      <c r="AE1044" s="53"/>
      <c r="AF1044" s="50" t="s">
        <v>1746</v>
      </c>
      <c r="AH1044" s="55"/>
    </row>
    <row r="1045" spans="6:35" ht="15.75">
      <c r="J1045" s="50" t="s">
        <v>150</v>
      </c>
      <c r="K1045" s="50" t="s">
        <v>150</v>
      </c>
      <c r="N1045" s="53"/>
      <c r="O1045" s="59" t="s">
        <v>21</v>
      </c>
      <c r="Q1045" s="55"/>
      <c r="AE1045" s="53"/>
      <c r="AF1045" s="50" t="s">
        <v>1747</v>
      </c>
      <c r="AH1045" s="55"/>
    </row>
    <row r="1046" spans="6:35" s="191" customFormat="1" ht="15.75">
      <c r="F1046" s="52"/>
      <c r="G1046" s="53"/>
      <c r="H1046" s="50" t="s">
        <v>1753</v>
      </c>
      <c r="I1046" s="52"/>
      <c r="J1046" s="181" t="s">
        <v>150</v>
      </c>
      <c r="K1046" s="181" t="s">
        <v>150</v>
      </c>
      <c r="M1046" s="182">
        <v>1.153E-2</v>
      </c>
      <c r="N1046" s="183" t="s">
        <v>151</v>
      </c>
      <c r="O1046" s="184" t="s">
        <v>1758</v>
      </c>
      <c r="P1046" s="185">
        <f>C86</f>
        <v>34300</v>
      </c>
      <c r="Q1046" s="184" t="s">
        <v>151</v>
      </c>
      <c r="R1046" s="185">
        <f t="shared" ref="R1046:R1055" si="123">(M1046*P1046)</f>
        <v>395.47899999999998</v>
      </c>
      <c r="S1046" s="192"/>
      <c r="AD1046" s="52"/>
      <c r="AE1046" s="53"/>
      <c r="AF1046" s="50" t="s">
        <v>1748</v>
      </c>
      <c r="AG1046" s="52"/>
      <c r="AH1046" s="55"/>
      <c r="AI1046" s="52"/>
    </row>
    <row r="1047" spans="6:35" ht="15.75">
      <c r="H1047" s="50" t="s">
        <v>1754</v>
      </c>
      <c r="K1047" s="181" t="s">
        <v>1755</v>
      </c>
      <c r="M1047" s="186">
        <v>1.35E-2</v>
      </c>
      <c r="N1047" s="62" t="s">
        <v>151</v>
      </c>
      <c r="O1047" s="50" t="s">
        <v>1758</v>
      </c>
      <c r="P1047" s="64">
        <f>P1046</f>
        <v>34300</v>
      </c>
      <c r="Q1047" s="50" t="s">
        <v>151</v>
      </c>
      <c r="R1047" s="64">
        <f t="shared" si="123"/>
        <v>463.05</v>
      </c>
      <c r="S1047" s="100"/>
      <c r="AE1047" s="53"/>
      <c r="AF1047" s="50" t="s">
        <v>1759</v>
      </c>
      <c r="AH1047" s="55"/>
    </row>
    <row r="1048" spans="6:35" ht="15.75">
      <c r="K1048" s="50" t="s">
        <v>150</v>
      </c>
      <c r="M1048" s="186">
        <v>1.016</v>
      </c>
      <c r="N1048" s="62" t="s">
        <v>152</v>
      </c>
      <c r="O1048" s="50" t="s">
        <v>879</v>
      </c>
      <c r="P1048" s="64">
        <f>I1055</f>
        <v>387.4</v>
      </c>
      <c r="Q1048" s="50" t="s">
        <v>152</v>
      </c>
      <c r="R1048" s="64">
        <f t="shared" si="123"/>
        <v>393.59839999999997</v>
      </c>
      <c r="S1048" s="100"/>
      <c r="AE1048" s="53"/>
      <c r="AF1048" s="59" t="s">
        <v>21</v>
      </c>
      <c r="AH1048" s="55"/>
    </row>
    <row r="1049" spans="6:35" ht="15.75">
      <c r="K1049" s="181" t="s">
        <v>150</v>
      </c>
      <c r="M1049" s="186">
        <v>1.64</v>
      </c>
      <c r="N1049" s="62" t="s">
        <v>152</v>
      </c>
      <c r="O1049" s="50" t="s">
        <v>880</v>
      </c>
      <c r="P1049" s="64">
        <f t="shared" ref="P1049:P1054" si="124">I1056</f>
        <v>1348.1999999999998</v>
      </c>
      <c r="Q1049" s="50" t="s">
        <v>152</v>
      </c>
      <c r="R1049" s="64">
        <f t="shared" si="123"/>
        <v>2211.0479999999998</v>
      </c>
      <c r="S1049" s="100"/>
      <c r="AE1049" s="53"/>
      <c r="AF1049" s="50" t="s">
        <v>1760</v>
      </c>
      <c r="AH1049" s="55"/>
    </row>
    <row r="1050" spans="6:35" ht="15.75">
      <c r="K1050" s="50" t="s">
        <v>150</v>
      </c>
      <c r="M1050" s="64">
        <v>2</v>
      </c>
      <c r="N1050" s="62" t="s">
        <v>153</v>
      </c>
      <c r="O1050" s="50" t="s">
        <v>881</v>
      </c>
      <c r="P1050" s="64">
        <f t="shared" si="124"/>
        <v>57.2</v>
      </c>
      <c r="Q1050" s="50" t="s">
        <v>153</v>
      </c>
      <c r="R1050" s="64">
        <f t="shared" si="123"/>
        <v>114.4</v>
      </c>
      <c r="S1050" s="100"/>
      <c r="AE1050" s="53"/>
      <c r="AF1050" s="50" t="s">
        <v>1761</v>
      </c>
      <c r="AH1050" s="55"/>
    </row>
    <row r="1051" spans="6:35" ht="15.75">
      <c r="F1051" s="51" t="s">
        <v>1729</v>
      </c>
      <c r="G1051" s="62"/>
      <c r="H1051" s="50" t="s">
        <v>1757</v>
      </c>
      <c r="K1051" s="50" t="s">
        <v>150</v>
      </c>
      <c r="M1051" s="64">
        <v>3</v>
      </c>
      <c r="N1051" s="62" t="s">
        <v>153</v>
      </c>
      <c r="O1051" s="50" t="s">
        <v>1731</v>
      </c>
      <c r="P1051" s="64">
        <f t="shared" si="124"/>
        <v>79.099999999999994</v>
      </c>
      <c r="Q1051" s="50" t="s">
        <v>153</v>
      </c>
      <c r="R1051" s="64">
        <f t="shared" si="123"/>
        <v>237.29999999999998</v>
      </c>
      <c r="S1051" s="100"/>
      <c r="AE1051" s="53"/>
      <c r="AH1051" s="50" t="s">
        <v>21</v>
      </c>
    </row>
    <row r="1052" spans="6:35" ht="15.75">
      <c r="H1052" s="59" t="s">
        <v>21</v>
      </c>
      <c r="M1052" s="64">
        <v>1</v>
      </c>
      <c r="N1052" s="62" t="s">
        <v>153</v>
      </c>
      <c r="O1052" s="50" t="s">
        <v>883</v>
      </c>
      <c r="P1052" s="64">
        <f t="shared" si="124"/>
        <v>159.69999999999999</v>
      </c>
      <c r="Q1052" s="50" t="s">
        <v>153</v>
      </c>
      <c r="R1052" s="64">
        <f t="shared" si="123"/>
        <v>159.69999999999999</v>
      </c>
      <c r="S1052" s="100"/>
      <c r="AE1052" s="53"/>
      <c r="AF1052" s="50" t="s">
        <v>1762</v>
      </c>
      <c r="AH1052" s="55"/>
    </row>
    <row r="1053" spans="6:35" ht="15.75">
      <c r="F1053" s="182">
        <v>1.153E-2</v>
      </c>
      <c r="G1053" s="183" t="s">
        <v>151</v>
      </c>
      <c r="H1053" s="184" t="s">
        <v>877</v>
      </c>
      <c r="I1053" s="185">
        <f>C88</f>
        <v>111600</v>
      </c>
      <c r="J1053" s="184" t="s">
        <v>151</v>
      </c>
      <c r="K1053" s="185">
        <f t="shared" ref="K1053:K1063" si="125">(F1053*I1053)</f>
        <v>1286.748</v>
      </c>
      <c r="M1053" s="64">
        <v>1</v>
      </c>
      <c r="N1053" s="62" t="s">
        <v>153</v>
      </c>
      <c r="O1053" s="50" t="s">
        <v>884</v>
      </c>
      <c r="P1053" s="64">
        <f t="shared" si="124"/>
        <v>7.3</v>
      </c>
      <c r="Q1053" s="50" t="s">
        <v>153</v>
      </c>
      <c r="R1053" s="64">
        <f t="shared" si="123"/>
        <v>7.3</v>
      </c>
      <c r="S1053" s="100"/>
      <c r="AE1053" s="53"/>
      <c r="AF1053" s="50" t="s">
        <v>150</v>
      </c>
      <c r="AG1053" s="50" t="s">
        <v>150</v>
      </c>
      <c r="AH1053" s="55"/>
      <c r="AI1053" s="181" t="s">
        <v>150</v>
      </c>
    </row>
    <row r="1054" spans="6:35" ht="15.75">
      <c r="F1054" s="186">
        <v>1.35E-2</v>
      </c>
      <c r="G1054" s="62" t="s">
        <v>151</v>
      </c>
      <c r="H1054" s="50" t="s">
        <v>878</v>
      </c>
      <c r="I1054" s="64">
        <f>C89</f>
        <v>99400</v>
      </c>
      <c r="J1054" s="50" t="s">
        <v>151</v>
      </c>
      <c r="K1054" s="64">
        <f t="shared" si="125"/>
        <v>1341.9</v>
      </c>
      <c r="M1054" s="64">
        <v>1</v>
      </c>
      <c r="N1054" s="62" t="s">
        <v>153</v>
      </c>
      <c r="O1054" s="50" t="s">
        <v>1763</v>
      </c>
      <c r="P1054" s="64">
        <f t="shared" si="124"/>
        <v>50.9</v>
      </c>
      <c r="Q1054" s="50" t="s">
        <v>153</v>
      </c>
      <c r="R1054" s="64">
        <f t="shared" si="123"/>
        <v>50.9</v>
      </c>
      <c r="S1054" s="100"/>
      <c r="AE1054" s="53"/>
      <c r="AH1054" s="50" t="s">
        <v>150</v>
      </c>
      <c r="AI1054" s="50" t="s">
        <v>150</v>
      </c>
    </row>
    <row r="1055" spans="6:35" ht="15.75">
      <c r="F1055" s="186">
        <v>1.016</v>
      </c>
      <c r="G1055" s="62" t="s">
        <v>152</v>
      </c>
      <c r="H1055" s="50" t="s">
        <v>879</v>
      </c>
      <c r="I1055" s="64">
        <f>C783</f>
        <v>387.4</v>
      </c>
      <c r="J1055" s="50" t="s">
        <v>152</v>
      </c>
      <c r="K1055" s="64">
        <f t="shared" si="125"/>
        <v>393.59839999999997</v>
      </c>
      <c r="M1055" s="64">
        <v>1</v>
      </c>
      <c r="N1055" s="62" t="s">
        <v>153</v>
      </c>
      <c r="O1055" s="50" t="s">
        <v>886</v>
      </c>
      <c r="P1055" s="64">
        <f>P953</f>
        <v>43.8</v>
      </c>
      <c r="Q1055" s="50" t="s">
        <v>153</v>
      </c>
      <c r="R1055" s="64">
        <f t="shared" si="123"/>
        <v>43.8</v>
      </c>
      <c r="S1055" s="100"/>
      <c r="AE1055" s="53"/>
      <c r="AF1055" s="50" t="s">
        <v>1764</v>
      </c>
      <c r="AH1055" s="181" t="s">
        <v>150</v>
      </c>
      <c r="AI1055" s="181" t="s">
        <v>150</v>
      </c>
    </row>
    <row r="1056" spans="6:35" ht="15.75">
      <c r="F1056" s="186">
        <v>1.64</v>
      </c>
      <c r="G1056" s="62" t="s">
        <v>152</v>
      </c>
      <c r="H1056" s="50" t="s">
        <v>880</v>
      </c>
      <c r="I1056" s="64">
        <f>D30</f>
        <v>1348.1999999999998</v>
      </c>
      <c r="J1056" s="50" t="s">
        <v>152</v>
      </c>
      <c r="K1056" s="64">
        <f t="shared" si="125"/>
        <v>2211.0479999999998</v>
      </c>
      <c r="N1056" s="53"/>
      <c r="Q1056" s="55"/>
      <c r="R1056" s="59" t="s">
        <v>21</v>
      </c>
      <c r="S1056" s="193"/>
      <c r="AE1056" s="53"/>
      <c r="AF1056" s="50" t="s">
        <v>1765</v>
      </c>
      <c r="AH1056" s="55"/>
      <c r="AI1056" s="181" t="s">
        <v>1766</v>
      </c>
    </row>
    <row r="1057" spans="6:35" ht="15.75">
      <c r="F1057" s="64">
        <v>2</v>
      </c>
      <c r="G1057" s="62" t="s">
        <v>153</v>
      </c>
      <c r="H1057" s="50" t="s">
        <v>881</v>
      </c>
      <c r="I1057" s="64">
        <f>C284</f>
        <v>57.2</v>
      </c>
      <c r="J1057" s="50" t="s">
        <v>153</v>
      </c>
      <c r="K1057" s="64">
        <f t="shared" si="125"/>
        <v>114.4</v>
      </c>
      <c r="N1057" s="53"/>
      <c r="O1057" s="51" t="s">
        <v>1767</v>
      </c>
      <c r="Q1057" s="55"/>
      <c r="R1057" s="64">
        <f>SUM(R1046:R1055)</f>
        <v>4076.5754000000002</v>
      </c>
      <c r="S1057" s="100"/>
      <c r="AE1057" s="53"/>
      <c r="AH1057" s="55"/>
      <c r="AI1057" s="50" t="s">
        <v>150</v>
      </c>
    </row>
    <row r="1058" spans="6:35" ht="15.75">
      <c r="F1058" s="64">
        <v>3</v>
      </c>
      <c r="G1058" s="62" t="s">
        <v>153</v>
      </c>
      <c r="H1058" s="50" t="s">
        <v>1731</v>
      </c>
      <c r="I1058" s="64">
        <f>C279</f>
        <v>79.099999999999994</v>
      </c>
      <c r="J1058" s="50" t="s">
        <v>153</v>
      </c>
      <c r="K1058" s="64">
        <f t="shared" si="125"/>
        <v>237.29999999999998</v>
      </c>
      <c r="N1058" s="62" t="s">
        <v>150</v>
      </c>
      <c r="Q1058" s="55"/>
      <c r="R1058" s="59" t="s">
        <v>21</v>
      </c>
      <c r="S1058" s="193"/>
      <c r="AE1058" s="53"/>
      <c r="AH1058" s="55"/>
      <c r="AI1058" s="181" t="s">
        <v>150</v>
      </c>
    </row>
    <row r="1059" spans="6:35" ht="15.75">
      <c r="F1059" s="64">
        <v>1</v>
      </c>
      <c r="G1059" s="62" t="s">
        <v>153</v>
      </c>
      <c r="H1059" s="50" t="s">
        <v>883</v>
      </c>
      <c r="I1059" s="64">
        <f>C286</f>
        <v>159.69999999999999</v>
      </c>
      <c r="J1059" s="50" t="s">
        <v>153</v>
      </c>
      <c r="K1059" s="64">
        <f t="shared" si="125"/>
        <v>159.69999999999999</v>
      </c>
      <c r="N1059" s="53"/>
      <c r="O1059" s="66" t="s">
        <v>155</v>
      </c>
      <c r="Q1059" s="55"/>
      <c r="R1059" s="63">
        <f>R1057/M1049</f>
        <v>2485.7167073170735</v>
      </c>
      <c r="S1059" s="100"/>
      <c r="AE1059" s="53"/>
      <c r="AH1059" s="55"/>
      <c r="AI1059" s="50" t="s">
        <v>150</v>
      </c>
    </row>
    <row r="1060" spans="6:35" ht="15.75">
      <c r="F1060" s="64">
        <v>1</v>
      </c>
      <c r="G1060" s="62" t="s">
        <v>153</v>
      </c>
      <c r="H1060" s="50" t="s">
        <v>884</v>
      </c>
      <c r="I1060" s="64">
        <f>C288</f>
        <v>7.3</v>
      </c>
      <c r="J1060" s="50" t="s">
        <v>153</v>
      </c>
      <c r="K1060" s="64">
        <f t="shared" si="125"/>
        <v>7.3</v>
      </c>
      <c r="N1060" s="53"/>
      <c r="Q1060" s="55"/>
      <c r="R1060" s="59" t="s">
        <v>156</v>
      </c>
      <c r="S1060" s="193" t="s">
        <v>156</v>
      </c>
      <c r="AD1060" s="51" t="s">
        <v>1729</v>
      </c>
      <c r="AE1060" s="62"/>
      <c r="AF1060" s="50" t="s">
        <v>1768</v>
      </c>
      <c r="AH1060" s="55"/>
      <c r="AI1060" s="50" t="s">
        <v>150</v>
      </c>
    </row>
    <row r="1061" spans="6:35" ht="15.75">
      <c r="F1061" s="64">
        <v>1</v>
      </c>
      <c r="G1061" s="62" t="s">
        <v>153</v>
      </c>
      <c r="H1061" s="50" t="s">
        <v>1732</v>
      </c>
      <c r="I1061" s="64">
        <f>C598</f>
        <v>50.9</v>
      </c>
      <c r="J1061" s="50" t="s">
        <v>153</v>
      </c>
      <c r="K1061" s="64">
        <f t="shared" si="125"/>
        <v>50.9</v>
      </c>
      <c r="M1061" s="51"/>
      <c r="N1061" s="62"/>
      <c r="O1061" s="50"/>
      <c r="Q1061" s="55"/>
      <c r="R1061" s="50" t="s">
        <v>150</v>
      </c>
      <c r="AE1061" s="53"/>
      <c r="AF1061" s="59" t="s">
        <v>21</v>
      </c>
      <c r="AH1061" s="55"/>
    </row>
    <row r="1062" spans="6:35" ht="15.75">
      <c r="F1062" s="64">
        <v>1</v>
      </c>
      <c r="G1062" s="62" t="s">
        <v>153</v>
      </c>
      <c r="H1062" s="50" t="s">
        <v>886</v>
      </c>
      <c r="I1062" s="64">
        <f>D598</f>
        <v>43.8</v>
      </c>
      <c r="J1062" s="50" t="s">
        <v>153</v>
      </c>
      <c r="K1062" s="64">
        <f t="shared" si="125"/>
        <v>43.8</v>
      </c>
      <c r="M1062" s="51" t="s">
        <v>1729</v>
      </c>
      <c r="N1062" s="62"/>
      <c r="O1062" s="50" t="s">
        <v>1769</v>
      </c>
      <c r="Q1062" s="55"/>
      <c r="R1062" s="50" t="s">
        <v>150</v>
      </c>
      <c r="AD1062" s="182">
        <v>2.3060000000000001E-2</v>
      </c>
      <c r="AE1062" s="183" t="s">
        <v>151</v>
      </c>
      <c r="AF1062" s="184" t="s">
        <v>877</v>
      </c>
      <c r="AG1062" s="185">
        <f>I1053</f>
        <v>111600</v>
      </c>
      <c r="AH1062" s="184" t="s">
        <v>151</v>
      </c>
      <c r="AI1062" s="185">
        <f t="shared" ref="AI1062:AI1072" si="126">(AD1062*AG1062)</f>
        <v>2573.4960000000001</v>
      </c>
    </row>
    <row r="1063" spans="6:35" ht="15.75">
      <c r="F1063" s="64">
        <v>58</v>
      </c>
      <c r="G1063" s="62" t="s">
        <v>1717</v>
      </c>
      <c r="H1063" s="50" t="s">
        <v>1733</v>
      </c>
      <c r="I1063" s="52">
        <f>I1026</f>
        <v>2.37</v>
      </c>
      <c r="J1063" s="50" t="s">
        <v>153</v>
      </c>
      <c r="K1063" s="64">
        <f t="shared" si="125"/>
        <v>137.46</v>
      </c>
      <c r="N1063" s="53"/>
      <c r="O1063" s="59" t="s">
        <v>21</v>
      </c>
      <c r="Q1063" s="55"/>
      <c r="AD1063" s="186">
        <v>1.856E-2</v>
      </c>
      <c r="AE1063" s="62" t="s">
        <v>151</v>
      </c>
      <c r="AF1063" s="50" t="s">
        <v>878</v>
      </c>
      <c r="AG1063" s="185">
        <f t="shared" ref="AG1063:AG1071" si="127">I1054</f>
        <v>99400</v>
      </c>
      <c r="AH1063" s="50" t="s">
        <v>151</v>
      </c>
      <c r="AI1063" s="64">
        <f t="shared" si="126"/>
        <v>1844.864</v>
      </c>
    </row>
    <row r="1064" spans="6:35" ht="15.75">
      <c r="H1064" s="51" t="s">
        <v>1767</v>
      </c>
      <c r="K1064" s="64">
        <f>SUM(K1053:K1063)</f>
        <v>5984.1543999999994</v>
      </c>
      <c r="M1064" s="182">
        <v>1.153E-2</v>
      </c>
      <c r="N1064" s="183" t="s">
        <v>151</v>
      </c>
      <c r="O1064" s="184" t="s">
        <v>877</v>
      </c>
      <c r="P1064" s="185">
        <f>I1053</f>
        <v>111600</v>
      </c>
      <c r="Q1064" s="184" t="s">
        <v>151</v>
      </c>
      <c r="R1064" s="185">
        <f t="shared" ref="R1064:R1074" si="128">(M1064*P1064)</f>
        <v>1286.748</v>
      </c>
      <c r="AD1064" s="186">
        <v>1.4</v>
      </c>
      <c r="AE1064" s="62" t="s">
        <v>152</v>
      </c>
      <c r="AF1064" s="50" t="s">
        <v>879</v>
      </c>
      <c r="AG1064" s="185">
        <f t="shared" si="127"/>
        <v>387.4</v>
      </c>
      <c r="AH1064" s="50" t="s">
        <v>152</v>
      </c>
      <c r="AI1064" s="64">
        <f t="shared" si="126"/>
        <v>542.3599999999999</v>
      </c>
    </row>
    <row r="1065" spans="6:35" ht="15.75">
      <c r="G1065" s="62" t="s">
        <v>150</v>
      </c>
      <c r="K1065" s="59" t="s">
        <v>21</v>
      </c>
      <c r="M1065" s="186">
        <v>1.52E-2</v>
      </c>
      <c r="N1065" s="62" t="s">
        <v>151</v>
      </c>
      <c r="O1065" s="50" t="s">
        <v>878</v>
      </c>
      <c r="P1065" s="185">
        <f t="shared" ref="P1065:P1073" si="129">I1054</f>
        <v>99400</v>
      </c>
      <c r="Q1065" s="50" t="s">
        <v>151</v>
      </c>
      <c r="R1065" s="64">
        <f t="shared" si="128"/>
        <v>1510.88</v>
      </c>
      <c r="AD1065" s="186">
        <v>2.2549999999999999</v>
      </c>
      <c r="AE1065" s="62" t="s">
        <v>152</v>
      </c>
      <c r="AF1065" s="50" t="s">
        <v>880</v>
      </c>
      <c r="AG1065" s="185">
        <f t="shared" si="127"/>
        <v>1348.1999999999998</v>
      </c>
      <c r="AH1065" s="50" t="s">
        <v>152</v>
      </c>
      <c r="AI1065" s="64">
        <f t="shared" si="126"/>
        <v>3040.1909999999993</v>
      </c>
    </row>
    <row r="1066" spans="6:35" ht="15.75">
      <c r="H1066" s="66" t="s">
        <v>155</v>
      </c>
      <c r="K1066" s="63">
        <f>K1064/F1056</f>
        <v>3648.8746341463411</v>
      </c>
      <c r="M1066" s="186">
        <v>1.26</v>
      </c>
      <c r="N1066" s="62" t="s">
        <v>152</v>
      </c>
      <c r="O1066" s="50" t="s">
        <v>879</v>
      </c>
      <c r="P1066" s="185">
        <f t="shared" si="129"/>
        <v>387.4</v>
      </c>
      <c r="Q1066" s="50" t="s">
        <v>152</v>
      </c>
      <c r="R1066" s="64">
        <f t="shared" si="128"/>
        <v>488.12399999999997</v>
      </c>
      <c r="AD1066" s="64">
        <v>4</v>
      </c>
      <c r="AE1066" s="62" t="s">
        <v>153</v>
      </c>
      <c r="AF1066" s="50" t="s">
        <v>881</v>
      </c>
      <c r="AG1066" s="185">
        <f t="shared" si="127"/>
        <v>57.2</v>
      </c>
      <c r="AH1066" s="50" t="s">
        <v>153</v>
      </c>
      <c r="AI1066" s="64">
        <f t="shared" si="126"/>
        <v>228.8</v>
      </c>
    </row>
    <row r="1067" spans="6:35" ht="15.75">
      <c r="K1067" s="59" t="s">
        <v>156</v>
      </c>
      <c r="M1067" s="186">
        <v>1.845</v>
      </c>
      <c r="N1067" s="62" t="s">
        <v>152</v>
      </c>
      <c r="O1067" s="50" t="s">
        <v>880</v>
      </c>
      <c r="P1067" s="185">
        <f t="shared" si="129"/>
        <v>1348.1999999999998</v>
      </c>
      <c r="Q1067" s="50" t="s">
        <v>152</v>
      </c>
      <c r="R1067" s="64">
        <f t="shared" si="128"/>
        <v>2487.4289999999996</v>
      </c>
      <c r="AD1067" s="64">
        <v>6</v>
      </c>
      <c r="AE1067" s="62" t="s">
        <v>153</v>
      </c>
      <c r="AF1067" s="50" t="s">
        <v>1731</v>
      </c>
      <c r="AG1067" s="185">
        <f t="shared" si="127"/>
        <v>79.099999999999994</v>
      </c>
      <c r="AH1067" s="50" t="s">
        <v>153</v>
      </c>
      <c r="AI1067" s="64">
        <f t="shared" si="126"/>
        <v>474.59999999999997</v>
      </c>
    </row>
    <row r="1068" spans="6:35" ht="15.75">
      <c r="F1068" s="51" t="s">
        <v>1770</v>
      </c>
      <c r="H1068" s="50" t="s">
        <v>1771</v>
      </c>
      <c r="M1068" s="64">
        <v>2</v>
      </c>
      <c r="N1068" s="62" t="s">
        <v>153</v>
      </c>
      <c r="O1068" s="50" t="s">
        <v>881</v>
      </c>
      <c r="P1068" s="185">
        <f t="shared" si="129"/>
        <v>57.2</v>
      </c>
      <c r="Q1068" s="50" t="s">
        <v>153</v>
      </c>
      <c r="R1068" s="64">
        <f t="shared" si="128"/>
        <v>114.4</v>
      </c>
      <c r="AD1068" s="64">
        <v>1</v>
      </c>
      <c r="AE1068" s="62" t="s">
        <v>153</v>
      </c>
      <c r="AF1068" s="50" t="s">
        <v>883</v>
      </c>
      <c r="AG1068" s="185">
        <f t="shared" si="127"/>
        <v>159.69999999999999</v>
      </c>
      <c r="AH1068" s="50" t="s">
        <v>153</v>
      </c>
      <c r="AI1068" s="64">
        <f t="shared" si="126"/>
        <v>159.69999999999999</v>
      </c>
    </row>
    <row r="1069" spans="6:35" ht="15.75">
      <c r="H1069" s="50" t="s">
        <v>1772</v>
      </c>
      <c r="M1069" s="64">
        <v>3</v>
      </c>
      <c r="N1069" s="62" t="s">
        <v>153</v>
      </c>
      <c r="O1069" s="50" t="s">
        <v>1731</v>
      </c>
      <c r="P1069" s="185">
        <f t="shared" si="129"/>
        <v>79.099999999999994</v>
      </c>
      <c r="Q1069" s="50" t="s">
        <v>153</v>
      </c>
      <c r="R1069" s="64">
        <f t="shared" si="128"/>
        <v>237.29999999999998</v>
      </c>
      <c r="AD1069" s="64">
        <v>2</v>
      </c>
      <c r="AE1069" s="62" t="s">
        <v>153</v>
      </c>
      <c r="AF1069" s="50" t="s">
        <v>884</v>
      </c>
      <c r="AG1069" s="185">
        <f t="shared" si="127"/>
        <v>7.3</v>
      </c>
      <c r="AH1069" s="50" t="s">
        <v>153</v>
      </c>
      <c r="AI1069" s="64">
        <f t="shared" si="126"/>
        <v>14.6</v>
      </c>
    </row>
    <row r="1070" spans="6:35" ht="15.75">
      <c r="H1070" s="59" t="s">
        <v>21</v>
      </c>
      <c r="M1070" s="64">
        <v>1</v>
      </c>
      <c r="N1070" s="62" t="s">
        <v>153</v>
      </c>
      <c r="O1070" s="50" t="s">
        <v>883</v>
      </c>
      <c r="P1070" s="185">
        <f t="shared" si="129"/>
        <v>159.69999999999999</v>
      </c>
      <c r="Q1070" s="50" t="s">
        <v>153</v>
      </c>
      <c r="R1070" s="64">
        <f t="shared" si="128"/>
        <v>159.69999999999999</v>
      </c>
      <c r="AD1070" s="64">
        <v>2</v>
      </c>
      <c r="AE1070" s="62" t="s">
        <v>153</v>
      </c>
      <c r="AF1070" s="50" t="s">
        <v>1732</v>
      </c>
      <c r="AG1070" s="185">
        <f t="shared" si="127"/>
        <v>50.9</v>
      </c>
      <c r="AH1070" s="50" t="s">
        <v>153</v>
      </c>
      <c r="AI1070" s="64">
        <f t="shared" si="126"/>
        <v>101.8</v>
      </c>
    </row>
    <row r="1071" spans="6:35" ht="15.75">
      <c r="F1071" s="186">
        <v>6.6499999999999997E-3</v>
      </c>
      <c r="G1071" s="62" t="s">
        <v>276</v>
      </c>
      <c r="H1071" s="50" t="s">
        <v>1773</v>
      </c>
      <c r="I1071" s="64">
        <f>C89</f>
        <v>99400</v>
      </c>
      <c r="J1071" s="50" t="s">
        <v>151</v>
      </c>
      <c r="K1071" s="64">
        <f t="shared" ref="K1071:K1078" si="130">(F1071*I1071)</f>
        <v>661.01</v>
      </c>
      <c r="M1071" s="64">
        <v>1</v>
      </c>
      <c r="N1071" s="62" t="s">
        <v>153</v>
      </c>
      <c r="O1071" s="50" t="s">
        <v>884</v>
      </c>
      <c r="P1071" s="185">
        <f t="shared" si="129"/>
        <v>7.3</v>
      </c>
      <c r="Q1071" s="50" t="s">
        <v>153</v>
      </c>
      <c r="R1071" s="64">
        <f t="shared" si="128"/>
        <v>7.3</v>
      </c>
      <c r="AD1071" s="64">
        <v>2</v>
      </c>
      <c r="AE1071" s="62" t="s">
        <v>153</v>
      </c>
      <c r="AF1071" s="50" t="s">
        <v>886</v>
      </c>
      <c r="AG1071" s="185">
        <f t="shared" si="127"/>
        <v>43.8</v>
      </c>
      <c r="AH1071" s="50" t="s">
        <v>153</v>
      </c>
      <c r="AI1071" s="64">
        <f t="shared" si="126"/>
        <v>87.6</v>
      </c>
    </row>
    <row r="1072" spans="6:35" ht="15.75">
      <c r="F1072" s="186">
        <v>0.32346000000000003</v>
      </c>
      <c r="G1072" s="62" t="s">
        <v>152</v>
      </c>
      <c r="H1072" s="50" t="s">
        <v>1774</v>
      </c>
      <c r="I1072" s="134">
        <v>208.8</v>
      </c>
      <c r="J1072" s="50" t="s">
        <v>151</v>
      </c>
      <c r="K1072" s="64">
        <f t="shared" si="130"/>
        <v>67.538448000000002</v>
      </c>
      <c r="M1072" s="64">
        <v>1</v>
      </c>
      <c r="N1072" s="62" t="s">
        <v>153</v>
      </c>
      <c r="O1072" s="50" t="s">
        <v>1732</v>
      </c>
      <c r="P1072" s="185">
        <f t="shared" si="129"/>
        <v>50.9</v>
      </c>
      <c r="Q1072" s="50" t="s">
        <v>153</v>
      </c>
      <c r="R1072" s="64">
        <f t="shared" si="128"/>
        <v>50.9</v>
      </c>
      <c r="AD1072" s="64">
        <v>118</v>
      </c>
      <c r="AE1072" s="62" t="s">
        <v>153</v>
      </c>
      <c r="AF1072" s="50" t="s">
        <v>1733</v>
      </c>
      <c r="AG1072" s="185">
        <f>I1063</f>
        <v>2.37</v>
      </c>
      <c r="AH1072" s="55"/>
      <c r="AI1072" s="64">
        <f t="shared" si="126"/>
        <v>279.66000000000003</v>
      </c>
    </row>
    <row r="1073" spans="6:35" ht="15.75">
      <c r="F1073" s="186">
        <v>0.47660000000000002</v>
      </c>
      <c r="G1073" s="62" t="s">
        <v>152</v>
      </c>
      <c r="H1073" s="50" t="s">
        <v>880</v>
      </c>
      <c r="I1073" s="64">
        <f>D31</f>
        <v>1509.1999999999998</v>
      </c>
      <c r="J1073" s="50" t="s">
        <v>152</v>
      </c>
      <c r="K1073" s="64">
        <f t="shared" si="130"/>
        <v>719.28471999999999</v>
      </c>
      <c r="M1073" s="64">
        <v>1</v>
      </c>
      <c r="N1073" s="62" t="s">
        <v>153</v>
      </c>
      <c r="O1073" s="50" t="s">
        <v>886</v>
      </c>
      <c r="P1073" s="185">
        <f t="shared" si="129"/>
        <v>43.8</v>
      </c>
      <c r="Q1073" s="50" t="s">
        <v>153</v>
      </c>
      <c r="R1073" s="64">
        <f t="shared" si="128"/>
        <v>43.8</v>
      </c>
      <c r="AE1073" s="53"/>
      <c r="AF1073" s="51" t="s">
        <v>1775</v>
      </c>
      <c r="AH1073" s="55"/>
      <c r="AI1073" s="64">
        <f>SUM(AI1062:AI1072)</f>
        <v>9347.6710000000003</v>
      </c>
    </row>
    <row r="1074" spans="6:35" ht="15.75">
      <c r="F1074" s="64">
        <v>3</v>
      </c>
      <c r="G1074" s="62" t="s">
        <v>153</v>
      </c>
      <c r="H1074" s="50" t="s">
        <v>1776</v>
      </c>
      <c r="I1074" s="64">
        <f>C282</f>
        <v>43.6</v>
      </c>
      <c r="J1074" s="50" t="s">
        <v>153</v>
      </c>
      <c r="K1074" s="64">
        <f t="shared" si="130"/>
        <v>130.80000000000001</v>
      </c>
      <c r="M1074" s="64">
        <v>58</v>
      </c>
      <c r="N1074" s="53"/>
      <c r="O1074" s="50" t="s">
        <v>1734</v>
      </c>
      <c r="P1074" s="185">
        <f>I1078</f>
        <v>2.37</v>
      </c>
      <c r="Q1074" s="55"/>
      <c r="R1074" s="64">
        <f t="shared" si="128"/>
        <v>137.46</v>
      </c>
      <c r="AE1074" s="62" t="s">
        <v>150</v>
      </c>
      <c r="AH1074" s="55"/>
      <c r="AI1074" s="59" t="s">
        <v>21</v>
      </c>
    </row>
    <row r="1075" spans="6:35" ht="15.75">
      <c r="F1075" s="64">
        <v>2</v>
      </c>
      <c r="G1075" s="62" t="s">
        <v>153</v>
      </c>
      <c r="H1075" s="50" t="s">
        <v>1777</v>
      </c>
      <c r="I1075" s="64">
        <f>C285</f>
        <v>35.1</v>
      </c>
      <c r="J1075" s="50" t="s">
        <v>153</v>
      </c>
      <c r="K1075" s="64">
        <f t="shared" si="130"/>
        <v>70.2</v>
      </c>
      <c r="N1075" s="53"/>
      <c r="O1075" s="51" t="s">
        <v>1778</v>
      </c>
      <c r="Q1075" s="55"/>
      <c r="R1075" s="64">
        <f>SUM(R1064:R1074)</f>
        <v>6524.0409999999993</v>
      </c>
      <c r="AE1075" s="53"/>
      <c r="AF1075" s="66" t="s">
        <v>155</v>
      </c>
      <c r="AH1075" s="55"/>
      <c r="AI1075" s="63">
        <f>AI1073/AD1065</f>
        <v>4145.3086474501115</v>
      </c>
    </row>
    <row r="1076" spans="6:35" ht="15.75">
      <c r="F1076" s="64">
        <v>1</v>
      </c>
      <c r="G1076" s="62" t="s">
        <v>153</v>
      </c>
      <c r="H1076" s="50" t="s">
        <v>1779</v>
      </c>
      <c r="I1076" s="174">
        <f>I1060</f>
        <v>7.3</v>
      </c>
      <c r="J1076" s="50" t="s">
        <v>153</v>
      </c>
      <c r="K1076" s="64">
        <f t="shared" si="130"/>
        <v>7.3</v>
      </c>
      <c r="N1076" s="62" t="s">
        <v>150</v>
      </c>
      <c r="Q1076" s="55"/>
      <c r="R1076" s="59" t="s">
        <v>21</v>
      </c>
      <c r="AE1076" s="53"/>
      <c r="AH1076" s="55"/>
      <c r="AI1076" s="59" t="s">
        <v>156</v>
      </c>
    </row>
    <row r="1077" spans="6:35" ht="15.75">
      <c r="F1077" s="64">
        <v>1</v>
      </c>
      <c r="G1077" s="62" t="s">
        <v>153</v>
      </c>
      <c r="H1077" s="50" t="s">
        <v>1780</v>
      </c>
      <c r="I1077" s="64">
        <f>C292</f>
        <v>8.9</v>
      </c>
      <c r="J1077" s="50" t="s">
        <v>153</v>
      </c>
      <c r="K1077" s="64">
        <f t="shared" si="130"/>
        <v>8.9</v>
      </c>
      <c r="N1077" s="53"/>
      <c r="O1077" s="66" t="s">
        <v>155</v>
      </c>
      <c r="Q1077" s="55"/>
      <c r="R1077" s="63">
        <f>R1075/M1067</f>
        <v>3536.0655826558263</v>
      </c>
      <c r="AG1077" s="71">
        <f t="shared" ref="AG1077:AG1140" si="131">AI1077</f>
        <v>0</v>
      </c>
    </row>
    <row r="1078" spans="6:35" ht="15.75">
      <c r="F1078" s="64">
        <v>24</v>
      </c>
      <c r="H1078" s="50" t="s">
        <v>1733</v>
      </c>
      <c r="I1078" s="52">
        <f>I1063</f>
        <v>2.37</v>
      </c>
      <c r="J1078" s="50" t="s">
        <v>153</v>
      </c>
      <c r="K1078" s="64">
        <f t="shared" si="130"/>
        <v>56.88</v>
      </c>
      <c r="N1078" s="53"/>
      <c r="Q1078" s="55"/>
      <c r="R1078" s="59" t="s">
        <v>156</v>
      </c>
      <c r="AG1078" s="71">
        <f t="shared" si="131"/>
        <v>0</v>
      </c>
    </row>
    <row r="1079" spans="6:35" ht="15.75">
      <c r="H1079" s="51" t="s">
        <v>1781</v>
      </c>
      <c r="K1079" s="64">
        <f>SUM(K1071:K1078)</f>
        <v>1721.9131680000003</v>
      </c>
      <c r="AG1079" s="71">
        <f t="shared" si="131"/>
        <v>0</v>
      </c>
    </row>
    <row r="1080" spans="6:35" ht="15.75">
      <c r="K1080" s="59" t="s">
        <v>21</v>
      </c>
      <c r="AG1080" s="71">
        <f t="shared" si="131"/>
        <v>0</v>
      </c>
    </row>
    <row r="1081" spans="6:35" ht="15.75">
      <c r="H1081" s="66" t="s">
        <v>155</v>
      </c>
      <c r="I1081" s="50" t="s">
        <v>150</v>
      </c>
      <c r="K1081" s="63">
        <f>K1079/F1073</f>
        <v>3612.9105497272349</v>
      </c>
      <c r="AG1081" s="71">
        <f t="shared" si="131"/>
        <v>0</v>
      </c>
    </row>
    <row r="1082" spans="6:35" ht="15.75">
      <c r="K1082" s="59" t="s">
        <v>156</v>
      </c>
      <c r="AG1082" s="71">
        <f t="shared" si="131"/>
        <v>0</v>
      </c>
    </row>
    <row r="1083" spans="6:35" ht="15.75">
      <c r="F1083" s="51" t="s">
        <v>1782</v>
      </c>
      <c r="G1083" s="62" t="s">
        <v>249</v>
      </c>
      <c r="H1083" s="50" t="s">
        <v>1771</v>
      </c>
      <c r="AG1083" s="71">
        <f t="shared" si="131"/>
        <v>0</v>
      </c>
    </row>
    <row r="1084" spans="6:35" ht="15.75">
      <c r="H1084" s="50" t="s">
        <v>1783</v>
      </c>
      <c r="N1084" s="50" t="s">
        <v>1700</v>
      </c>
      <c r="AG1084" s="71">
        <f t="shared" si="131"/>
        <v>0</v>
      </c>
    </row>
    <row r="1085" spans="6:35" ht="15.75">
      <c r="H1085" s="59" t="s">
        <v>21</v>
      </c>
      <c r="N1085" s="50" t="s">
        <v>1695</v>
      </c>
      <c r="AG1085" s="71">
        <f t="shared" si="131"/>
        <v>0</v>
      </c>
    </row>
    <row r="1086" spans="6:35" ht="15.75">
      <c r="F1086" s="186">
        <v>5.4000000000000003E-3</v>
      </c>
      <c r="G1086" s="62" t="s">
        <v>276</v>
      </c>
      <c r="H1086" s="50" t="s">
        <v>1773</v>
      </c>
      <c r="I1086" s="64">
        <f>C89</f>
        <v>99400</v>
      </c>
      <c r="J1086" s="50" t="s">
        <v>151</v>
      </c>
      <c r="K1086" s="64">
        <f t="shared" ref="K1086:K1093" si="132">(F1086*I1086)</f>
        <v>536.76</v>
      </c>
      <c r="N1086" s="50" t="s">
        <v>1784</v>
      </c>
      <c r="AG1086" s="71">
        <f t="shared" si="131"/>
        <v>0</v>
      </c>
    </row>
    <row r="1087" spans="6:35" ht="15.75">
      <c r="F1087" s="186">
        <v>0.23871000000000001</v>
      </c>
      <c r="G1087" s="62" t="s">
        <v>152</v>
      </c>
      <c r="H1087" s="120" t="str">
        <f>H1072</f>
        <v>frosted glass 4mmthick</v>
      </c>
      <c r="I1087" s="174">
        <f>I1072</f>
        <v>208.8</v>
      </c>
      <c r="J1087" s="50" t="s">
        <v>151</v>
      </c>
      <c r="K1087" s="64">
        <f t="shared" si="132"/>
        <v>49.842648000000004</v>
      </c>
      <c r="AG1087" s="71">
        <f t="shared" si="131"/>
        <v>0</v>
      </c>
    </row>
    <row r="1088" spans="6:35" ht="15.75">
      <c r="F1088" s="186">
        <v>0.36199999999999999</v>
      </c>
      <c r="G1088" s="62" t="s">
        <v>152</v>
      </c>
      <c r="H1088" s="50" t="s">
        <v>880</v>
      </c>
      <c r="I1088" s="64">
        <f>D31</f>
        <v>1509.1999999999998</v>
      </c>
      <c r="J1088" s="50" t="s">
        <v>152</v>
      </c>
      <c r="K1088" s="64">
        <f t="shared" si="132"/>
        <v>546.33039999999994</v>
      </c>
      <c r="AG1088" s="71">
        <f t="shared" si="131"/>
        <v>0</v>
      </c>
    </row>
    <row r="1089" spans="6:33" ht="15.75">
      <c r="F1089" s="64">
        <v>3</v>
      </c>
      <c r="G1089" s="62" t="s">
        <v>153</v>
      </c>
      <c r="H1089" s="50" t="s">
        <v>1776</v>
      </c>
      <c r="I1089" s="64">
        <f>C282</f>
        <v>43.6</v>
      </c>
      <c r="J1089" s="50" t="s">
        <v>153</v>
      </c>
      <c r="K1089" s="64">
        <f t="shared" si="132"/>
        <v>130.80000000000001</v>
      </c>
      <c r="M1089" s="130">
        <v>2.2800000000000001E-2</v>
      </c>
      <c r="N1089" s="62" t="s">
        <v>151</v>
      </c>
      <c r="O1089" s="50" t="s">
        <v>1710</v>
      </c>
      <c r="P1089" s="64">
        <f>I1053</f>
        <v>111600</v>
      </c>
      <c r="Q1089" s="50" t="s">
        <v>151</v>
      </c>
      <c r="R1089" s="64">
        <f>P1089*M1089</f>
        <v>2544.48</v>
      </c>
      <c r="AG1089" s="71">
        <f t="shared" si="131"/>
        <v>0</v>
      </c>
    </row>
    <row r="1090" spans="6:33" ht="15.75">
      <c r="F1090" s="64">
        <v>2</v>
      </c>
      <c r="G1090" s="62" t="s">
        <v>153</v>
      </c>
      <c r="H1090" s="50" t="s">
        <v>1777</v>
      </c>
      <c r="I1090" s="64">
        <f>C285</f>
        <v>35.1</v>
      </c>
      <c r="J1090" s="50" t="s">
        <v>153</v>
      </c>
      <c r="K1090" s="64">
        <f t="shared" si="132"/>
        <v>70.2</v>
      </c>
      <c r="M1090" s="130">
        <v>4.2999999999999997E-2</v>
      </c>
      <c r="N1090" s="62" t="s">
        <v>151</v>
      </c>
      <c r="O1090" s="50" t="s">
        <v>1711</v>
      </c>
      <c r="P1090" s="64">
        <f>I1054</f>
        <v>99400</v>
      </c>
      <c r="Q1090" s="50" t="s">
        <v>151</v>
      </c>
      <c r="R1090" s="64">
        <f t="shared" ref="R1090:R1100" si="133">P1090*M1090</f>
        <v>4274.2</v>
      </c>
      <c r="AG1090" s="71">
        <f t="shared" si="131"/>
        <v>0</v>
      </c>
    </row>
    <row r="1091" spans="6:33" ht="15.75">
      <c r="F1091" s="64">
        <v>1</v>
      </c>
      <c r="G1091" s="62" t="s">
        <v>153</v>
      </c>
      <c r="H1091" s="50" t="s">
        <v>1779</v>
      </c>
      <c r="I1091" s="174">
        <f>I1076</f>
        <v>7.3</v>
      </c>
      <c r="J1091" s="50" t="s">
        <v>153</v>
      </c>
      <c r="K1091" s="64">
        <f t="shared" si="132"/>
        <v>7.3</v>
      </c>
      <c r="M1091" s="130">
        <v>4.0800000000000003E-2</v>
      </c>
      <c r="N1091" s="62" t="s">
        <v>151</v>
      </c>
      <c r="O1091" s="50" t="s">
        <v>1712</v>
      </c>
      <c r="P1091" s="64">
        <f>I1017</f>
        <v>95000</v>
      </c>
      <c r="Q1091" s="50" t="s">
        <v>151</v>
      </c>
      <c r="R1091" s="64">
        <f t="shared" si="133"/>
        <v>3876.0000000000005</v>
      </c>
      <c r="AG1091" s="71">
        <f t="shared" si="131"/>
        <v>0</v>
      </c>
    </row>
    <row r="1092" spans="6:33" ht="15.75">
      <c r="F1092" s="64">
        <v>1</v>
      </c>
      <c r="G1092" s="62" t="s">
        <v>153</v>
      </c>
      <c r="H1092" s="50" t="s">
        <v>1780</v>
      </c>
      <c r="I1092" s="64">
        <f>C292</f>
        <v>8.9</v>
      </c>
      <c r="J1092" s="50" t="s">
        <v>153</v>
      </c>
      <c r="K1092" s="64">
        <f t="shared" si="132"/>
        <v>8.9</v>
      </c>
      <c r="M1092" s="130"/>
      <c r="N1092" s="53"/>
      <c r="O1092" s="50" t="s">
        <v>1785</v>
      </c>
      <c r="P1092" s="64"/>
      <c r="Q1092" s="55"/>
      <c r="R1092" s="64">
        <f t="shared" si="133"/>
        <v>0</v>
      </c>
      <c r="AG1092" s="71">
        <f t="shared" si="131"/>
        <v>0</v>
      </c>
    </row>
    <row r="1093" spans="6:33" ht="15.75">
      <c r="F1093" s="64">
        <v>10</v>
      </c>
      <c r="H1093" s="50" t="s">
        <v>1733</v>
      </c>
      <c r="I1093" s="64">
        <f>I1078</f>
        <v>2.37</v>
      </c>
      <c r="J1093" s="50" t="s">
        <v>153</v>
      </c>
      <c r="K1093" s="64">
        <f t="shared" si="132"/>
        <v>23.700000000000003</v>
      </c>
      <c r="M1093" s="130">
        <v>3.4424999999999999</v>
      </c>
      <c r="N1093" s="62" t="s">
        <v>152</v>
      </c>
      <c r="O1093" s="50" t="s">
        <v>1708</v>
      </c>
      <c r="P1093" s="64">
        <f>I1019</f>
        <v>1617</v>
      </c>
      <c r="Q1093" s="50" t="s">
        <v>152</v>
      </c>
      <c r="R1093" s="64">
        <f t="shared" si="133"/>
        <v>5566.5225</v>
      </c>
      <c r="AG1093" s="71">
        <f t="shared" si="131"/>
        <v>0</v>
      </c>
    </row>
    <row r="1094" spans="6:33" ht="15.75">
      <c r="K1094" s="59" t="s">
        <v>21</v>
      </c>
      <c r="M1094" s="64">
        <v>2</v>
      </c>
      <c r="N1094" s="62" t="s">
        <v>4</v>
      </c>
      <c r="O1094" s="50" t="s">
        <v>1715</v>
      </c>
      <c r="P1094" s="64">
        <f t="shared" ref="P1094:P1099" si="134">I1020</f>
        <v>50.9</v>
      </c>
      <c r="Q1094" s="50" t="s">
        <v>153</v>
      </c>
      <c r="R1094" s="64">
        <f t="shared" si="133"/>
        <v>101.8</v>
      </c>
      <c r="AG1094" s="71">
        <f t="shared" si="131"/>
        <v>0</v>
      </c>
    </row>
    <row r="1095" spans="6:33" ht="15.75">
      <c r="H1095" s="51" t="s">
        <v>1786</v>
      </c>
      <c r="K1095" s="64">
        <f>SUM(K1082:K1093)</f>
        <v>1373.833048</v>
      </c>
      <c r="M1095" s="64">
        <v>6</v>
      </c>
      <c r="N1095" s="62" t="s">
        <v>153</v>
      </c>
      <c r="O1095" s="50" t="s">
        <v>391</v>
      </c>
      <c r="P1095" s="64">
        <f t="shared" si="134"/>
        <v>79.099999999999994</v>
      </c>
      <c r="Q1095" s="50" t="s">
        <v>153</v>
      </c>
      <c r="R1095" s="64">
        <f t="shared" si="133"/>
        <v>474.59999999999997</v>
      </c>
      <c r="AG1095" s="71">
        <f t="shared" si="131"/>
        <v>0</v>
      </c>
    </row>
    <row r="1096" spans="6:33" ht="15.75">
      <c r="K1096" s="59" t="s">
        <v>21</v>
      </c>
      <c r="M1096" s="64">
        <v>4</v>
      </c>
      <c r="N1096" s="62" t="s">
        <v>153</v>
      </c>
      <c r="O1096" s="50" t="s">
        <v>392</v>
      </c>
      <c r="P1096" s="64">
        <f t="shared" si="134"/>
        <v>57.2</v>
      </c>
      <c r="Q1096" s="50" t="s">
        <v>153</v>
      </c>
      <c r="R1096" s="64">
        <f t="shared" si="133"/>
        <v>228.8</v>
      </c>
      <c r="AG1096" s="71">
        <f t="shared" si="131"/>
        <v>0</v>
      </c>
    </row>
    <row r="1097" spans="6:33" ht="15.75">
      <c r="H1097" s="66" t="s">
        <v>155</v>
      </c>
      <c r="I1097" s="50" t="s">
        <v>150</v>
      </c>
      <c r="K1097" s="63">
        <f>K1095/F1088</f>
        <v>3795.1189171270717</v>
      </c>
      <c r="M1097" s="64">
        <v>1</v>
      </c>
      <c r="N1097" s="62" t="s">
        <v>153</v>
      </c>
      <c r="O1097" s="50" t="s">
        <v>393</v>
      </c>
      <c r="P1097" s="64">
        <f t="shared" si="134"/>
        <v>159.69999999999999</v>
      </c>
      <c r="Q1097" s="50" t="s">
        <v>153</v>
      </c>
      <c r="R1097" s="64">
        <f t="shared" si="133"/>
        <v>159.69999999999999</v>
      </c>
      <c r="AG1097" s="71">
        <f t="shared" si="131"/>
        <v>0</v>
      </c>
    </row>
    <row r="1098" spans="6:33" ht="15.75">
      <c r="K1098" s="59" t="s">
        <v>156</v>
      </c>
      <c r="M1098" s="64">
        <v>2</v>
      </c>
      <c r="N1098" s="62" t="s">
        <v>153</v>
      </c>
      <c r="O1098" s="50" t="s">
        <v>1713</v>
      </c>
      <c r="P1098" s="64">
        <f t="shared" si="134"/>
        <v>7.3</v>
      </c>
      <c r="Q1098" s="50" t="s">
        <v>153</v>
      </c>
      <c r="R1098" s="64">
        <f t="shared" si="133"/>
        <v>14.6</v>
      </c>
      <c r="AG1098" s="71">
        <f t="shared" si="131"/>
        <v>0</v>
      </c>
    </row>
    <row r="1099" spans="6:33" ht="15.75">
      <c r="F1099" s="51" t="s">
        <v>1787</v>
      </c>
      <c r="G1099" s="62" t="s">
        <v>249</v>
      </c>
      <c r="H1099" s="50" t="s">
        <v>1788</v>
      </c>
      <c r="M1099" s="64">
        <v>2</v>
      </c>
      <c r="N1099" s="62" t="s">
        <v>153</v>
      </c>
      <c r="O1099" s="50" t="s">
        <v>886</v>
      </c>
      <c r="P1099" s="64">
        <f t="shared" si="134"/>
        <v>43.8</v>
      </c>
      <c r="Q1099" s="50" t="s">
        <v>153</v>
      </c>
      <c r="R1099" s="64">
        <f t="shared" si="133"/>
        <v>87.6</v>
      </c>
      <c r="AG1099" s="71">
        <f t="shared" si="131"/>
        <v>0</v>
      </c>
    </row>
    <row r="1100" spans="6:33" ht="15.75">
      <c r="H1100" s="50" t="s">
        <v>1789</v>
      </c>
      <c r="M1100" s="64">
        <v>10</v>
      </c>
      <c r="N1100" s="53"/>
      <c r="O1100" s="50" t="s">
        <v>1734</v>
      </c>
      <c r="P1100" s="64">
        <f>P1074</f>
        <v>2.37</v>
      </c>
      <c r="Q1100" s="55"/>
      <c r="R1100" s="64">
        <f t="shared" si="133"/>
        <v>23.700000000000003</v>
      </c>
      <c r="AG1100" s="71">
        <f t="shared" si="131"/>
        <v>0</v>
      </c>
    </row>
    <row r="1101" spans="6:33" ht="15.75">
      <c r="H1101" s="59" t="s">
        <v>21</v>
      </c>
      <c r="N1101" s="53"/>
      <c r="O1101" s="50" t="s">
        <v>1735</v>
      </c>
      <c r="Q1101" s="55"/>
      <c r="R1101" s="64">
        <f>SUM(R1089:R1100)+0.31</f>
        <v>17352.312499999996</v>
      </c>
      <c r="AG1101" s="71">
        <f t="shared" si="131"/>
        <v>0</v>
      </c>
    </row>
    <row r="1102" spans="6:33" ht="15.75">
      <c r="F1102" s="186">
        <v>5.3E-3</v>
      </c>
      <c r="G1102" s="62" t="s">
        <v>276</v>
      </c>
      <c r="H1102" s="50" t="s">
        <v>1773</v>
      </c>
      <c r="I1102" s="64">
        <f>C89</f>
        <v>99400</v>
      </c>
      <c r="J1102" s="50" t="s">
        <v>151</v>
      </c>
      <c r="K1102" s="64">
        <f t="shared" ref="K1102:K1108" si="135">(F1102*I1102)</f>
        <v>526.82000000000005</v>
      </c>
      <c r="N1102" s="53"/>
      <c r="Q1102" s="55"/>
      <c r="R1102" s="59" t="s">
        <v>21</v>
      </c>
      <c r="AG1102" s="71"/>
    </row>
    <row r="1103" spans="6:33" ht="15.75">
      <c r="F1103" s="186">
        <v>0.27450000000000002</v>
      </c>
      <c r="G1103" s="62" t="s">
        <v>152</v>
      </c>
      <c r="H1103" s="50" t="str">
        <f>H1087</f>
        <v>frosted glass 4mmthick</v>
      </c>
      <c r="I1103" s="97">
        <f>I1072</f>
        <v>208.8</v>
      </c>
      <c r="J1103" s="50" t="s">
        <v>151</v>
      </c>
      <c r="K1103" s="64">
        <f t="shared" si="135"/>
        <v>57.315600000000011</v>
      </c>
      <c r="N1103" s="53"/>
      <c r="O1103" s="66" t="s">
        <v>155</v>
      </c>
      <c r="Q1103" s="55"/>
      <c r="R1103" s="63">
        <f>R1101/M1093</f>
        <v>5040.6136528685538</v>
      </c>
      <c r="AG1103" s="71">
        <f t="shared" si="131"/>
        <v>0</v>
      </c>
    </row>
    <row r="1104" spans="6:33" ht="15.75">
      <c r="F1104" s="186">
        <v>0.4</v>
      </c>
      <c r="G1104" s="62" t="s">
        <v>152</v>
      </c>
      <c r="H1104" s="50" t="s">
        <v>880</v>
      </c>
      <c r="I1104" s="64">
        <f>D32</f>
        <v>1261.3999999999999</v>
      </c>
      <c r="J1104" s="50" t="s">
        <v>152</v>
      </c>
      <c r="K1104" s="64">
        <f t="shared" si="135"/>
        <v>504.55999999999995</v>
      </c>
      <c r="N1104" s="53"/>
      <c r="Q1104" s="55"/>
      <c r="R1104" s="59" t="s">
        <v>156</v>
      </c>
      <c r="AG1104" s="71">
        <f t="shared" si="131"/>
        <v>0</v>
      </c>
    </row>
    <row r="1105" spans="6:33" ht="15.75">
      <c r="F1105" s="64">
        <v>2</v>
      </c>
      <c r="G1105" s="62" t="s">
        <v>1790</v>
      </c>
      <c r="H1105" s="50" t="s">
        <v>1791</v>
      </c>
      <c r="I1105" s="64">
        <f>C305</f>
        <v>8.5</v>
      </c>
      <c r="J1105" s="50" t="s">
        <v>1790</v>
      </c>
      <c r="K1105" s="64">
        <f t="shared" si="135"/>
        <v>17</v>
      </c>
      <c r="AG1105" s="71">
        <f t="shared" si="131"/>
        <v>0</v>
      </c>
    </row>
    <row r="1106" spans="6:33" ht="15.75">
      <c r="F1106" s="64">
        <v>1</v>
      </c>
      <c r="G1106" s="62" t="s">
        <v>153</v>
      </c>
      <c r="H1106" s="50" t="s">
        <v>1792</v>
      </c>
      <c r="I1106" s="64">
        <f>C293</f>
        <v>6.1</v>
      </c>
      <c r="J1106" s="50" t="s">
        <v>153</v>
      </c>
      <c r="K1106" s="64">
        <f t="shared" si="135"/>
        <v>6.1</v>
      </c>
      <c r="AG1106" s="71">
        <f t="shared" si="131"/>
        <v>0</v>
      </c>
    </row>
    <row r="1107" spans="6:33" ht="15.75">
      <c r="F1107" s="64">
        <v>1</v>
      </c>
      <c r="G1107" s="62" t="s">
        <v>153</v>
      </c>
      <c r="H1107" s="50" t="s">
        <v>1793</v>
      </c>
      <c r="I1107" s="97">
        <f>C291</f>
        <v>11.8</v>
      </c>
      <c r="J1107" s="50" t="s">
        <v>153</v>
      </c>
      <c r="K1107" s="64">
        <f t="shared" si="135"/>
        <v>11.8</v>
      </c>
      <c r="O1107" s="50" t="s">
        <v>1794</v>
      </c>
      <c r="AG1107" s="71">
        <f t="shared" si="131"/>
        <v>0</v>
      </c>
    </row>
    <row r="1108" spans="6:33" ht="15.75">
      <c r="F1108" s="64">
        <v>10</v>
      </c>
      <c r="H1108" s="50" t="s">
        <v>1733</v>
      </c>
      <c r="I1108" s="64">
        <f>I1093</f>
        <v>2.37</v>
      </c>
      <c r="J1108" s="50" t="s">
        <v>153</v>
      </c>
      <c r="K1108" s="64">
        <f t="shared" si="135"/>
        <v>23.700000000000003</v>
      </c>
      <c r="AG1108" s="71">
        <f t="shared" si="131"/>
        <v>0</v>
      </c>
    </row>
    <row r="1109" spans="6:33" ht="15.75">
      <c r="K1109" s="59" t="s">
        <v>21</v>
      </c>
      <c r="AG1109" s="71">
        <f t="shared" si="131"/>
        <v>0</v>
      </c>
    </row>
    <row r="1110" spans="6:33" ht="15.75">
      <c r="H1110" s="51" t="s">
        <v>1795</v>
      </c>
      <c r="K1110" s="64">
        <f>SUM(K1098:K1108)</f>
        <v>1147.2955999999999</v>
      </c>
      <c r="AG1110" s="71">
        <f t="shared" si="131"/>
        <v>0</v>
      </c>
    </row>
    <row r="1111" spans="6:33" ht="15.75">
      <c r="K1111" s="59" t="s">
        <v>21</v>
      </c>
      <c r="M1111" s="194">
        <v>2.2800000000000001E-2</v>
      </c>
      <c r="N1111" s="195" t="s">
        <v>151</v>
      </c>
      <c r="O1111" s="163" t="s">
        <v>1796</v>
      </c>
      <c r="P1111" s="163">
        <f>P1089</f>
        <v>111600</v>
      </c>
      <c r="Q1111" s="196" t="s">
        <v>151</v>
      </c>
      <c r="R1111" s="163">
        <f>P1111*M1111</f>
        <v>2544.48</v>
      </c>
      <c r="AG1111" s="71">
        <f t="shared" si="131"/>
        <v>0</v>
      </c>
    </row>
    <row r="1112" spans="6:33" ht="15.75">
      <c r="H1112" s="66" t="s">
        <v>155</v>
      </c>
      <c r="I1112" s="50" t="s">
        <v>150</v>
      </c>
      <c r="K1112" s="63">
        <f>K1110/F1104</f>
        <v>2868.2389999999996</v>
      </c>
      <c r="M1112" s="194">
        <v>3.5400000000000001E-2</v>
      </c>
      <c r="N1112" s="195" t="s">
        <v>151</v>
      </c>
      <c r="O1112" s="163" t="s">
        <v>1797</v>
      </c>
      <c r="P1112" s="163">
        <f>P1090</f>
        <v>99400</v>
      </c>
      <c r="Q1112" s="196" t="s">
        <v>151</v>
      </c>
      <c r="R1112" s="163">
        <f t="shared" ref="R1112:R1121" si="136">P1112*M1112</f>
        <v>3518.76</v>
      </c>
      <c r="AG1112" s="71">
        <f t="shared" si="131"/>
        <v>0</v>
      </c>
    </row>
    <row r="1113" spans="6:33" ht="15.75">
      <c r="F1113" s="50" t="s">
        <v>150</v>
      </c>
      <c r="M1113" s="197">
        <v>3.2300000000000002E-2</v>
      </c>
      <c r="N1113" s="195" t="s">
        <v>151</v>
      </c>
      <c r="O1113" s="163" t="s">
        <v>1798</v>
      </c>
      <c r="P1113" s="163">
        <f>P1091</f>
        <v>95000</v>
      </c>
      <c r="Q1113" s="196" t="s">
        <v>151</v>
      </c>
      <c r="R1113" s="163">
        <f t="shared" si="136"/>
        <v>3068.5</v>
      </c>
      <c r="AG1113" s="71">
        <f t="shared" si="131"/>
        <v>0</v>
      </c>
    </row>
    <row r="1114" spans="6:33" ht="15.75">
      <c r="K1114" s="59" t="s">
        <v>156</v>
      </c>
      <c r="M1114" s="198">
        <v>2.835</v>
      </c>
      <c r="N1114" s="195" t="s">
        <v>152</v>
      </c>
      <c r="O1114" s="163" t="s">
        <v>1799</v>
      </c>
      <c r="P1114" s="163">
        <f t="shared" ref="P1114:P1120" si="137">P1093</f>
        <v>1617</v>
      </c>
      <c r="Q1114" s="196" t="s">
        <v>152</v>
      </c>
      <c r="R1114" s="163">
        <f t="shared" si="136"/>
        <v>4584.1949999999997</v>
      </c>
      <c r="AG1114" s="71">
        <f t="shared" si="131"/>
        <v>0</v>
      </c>
    </row>
    <row r="1115" spans="6:33" ht="15.75">
      <c r="F1115" s="101">
        <v>22.3</v>
      </c>
      <c r="H1115" s="50" t="s">
        <v>1800</v>
      </c>
      <c r="L1115" s="50" t="s">
        <v>150</v>
      </c>
      <c r="M1115" s="163">
        <v>2</v>
      </c>
      <c r="N1115" s="195" t="s">
        <v>295</v>
      </c>
      <c r="O1115" s="163" t="s">
        <v>1801</v>
      </c>
      <c r="P1115" s="163">
        <f t="shared" si="137"/>
        <v>50.9</v>
      </c>
      <c r="Q1115" s="196" t="s">
        <v>340</v>
      </c>
      <c r="R1115" s="163">
        <f t="shared" si="136"/>
        <v>101.8</v>
      </c>
      <c r="AG1115" s="71">
        <f t="shared" si="131"/>
        <v>0</v>
      </c>
    </row>
    <row r="1116" spans="6:33" ht="15.75">
      <c r="H1116" s="59" t="s">
        <v>21</v>
      </c>
      <c r="I1116" s="59" t="s">
        <v>21</v>
      </c>
      <c r="J1116" s="50" t="s">
        <v>21</v>
      </c>
      <c r="M1116" s="163">
        <v>6</v>
      </c>
      <c r="N1116" s="195" t="s">
        <v>295</v>
      </c>
      <c r="O1116" s="163" t="s">
        <v>1802</v>
      </c>
      <c r="P1116" s="163">
        <f t="shared" si="137"/>
        <v>79.099999999999994</v>
      </c>
      <c r="Q1116" s="196" t="s">
        <v>340</v>
      </c>
      <c r="R1116" s="163">
        <f t="shared" si="136"/>
        <v>474.59999999999997</v>
      </c>
      <c r="AG1116" s="71">
        <f t="shared" si="131"/>
        <v>0</v>
      </c>
    </row>
    <row r="1117" spans="6:33" ht="15.75">
      <c r="M1117" s="163">
        <v>4</v>
      </c>
      <c r="N1117" s="195" t="s">
        <v>295</v>
      </c>
      <c r="O1117" s="163" t="s">
        <v>1803</v>
      </c>
      <c r="P1117" s="163">
        <f t="shared" si="137"/>
        <v>57.2</v>
      </c>
      <c r="Q1117" s="196" t="s">
        <v>340</v>
      </c>
      <c r="R1117" s="163">
        <f t="shared" si="136"/>
        <v>228.8</v>
      </c>
      <c r="AG1117" s="71"/>
    </row>
    <row r="1118" spans="6:33" ht="15.75">
      <c r="H1118" s="50" t="s">
        <v>1804</v>
      </c>
      <c r="M1118" s="163">
        <v>1</v>
      </c>
      <c r="N1118" s="195" t="s">
        <v>295</v>
      </c>
      <c r="O1118" s="163" t="s">
        <v>1805</v>
      </c>
      <c r="P1118" s="163">
        <f t="shared" si="137"/>
        <v>159.69999999999999</v>
      </c>
      <c r="Q1118" s="196" t="s">
        <v>340</v>
      </c>
      <c r="R1118" s="163">
        <f t="shared" si="136"/>
        <v>159.69999999999999</v>
      </c>
      <c r="AG1118" s="71">
        <f t="shared" si="131"/>
        <v>0</v>
      </c>
    </row>
    <row r="1119" spans="6:33" ht="15.75">
      <c r="H1119" s="50" t="s">
        <v>1806</v>
      </c>
      <c r="M1119" s="163">
        <v>2</v>
      </c>
      <c r="N1119" s="195" t="s">
        <v>295</v>
      </c>
      <c r="O1119" s="163" t="s">
        <v>884</v>
      </c>
      <c r="P1119" s="163">
        <f t="shared" si="137"/>
        <v>7.3</v>
      </c>
      <c r="Q1119" s="196" t="s">
        <v>340</v>
      </c>
      <c r="R1119" s="163">
        <f t="shared" si="136"/>
        <v>14.6</v>
      </c>
      <c r="AG1119" s="71">
        <f t="shared" si="131"/>
        <v>0</v>
      </c>
    </row>
    <row r="1120" spans="6:33" ht="15.75">
      <c r="H1120" s="50" t="s">
        <v>1807</v>
      </c>
      <c r="M1120" s="163">
        <v>2</v>
      </c>
      <c r="N1120" s="195" t="s">
        <v>295</v>
      </c>
      <c r="O1120" s="163" t="s">
        <v>886</v>
      </c>
      <c r="P1120" s="163">
        <f t="shared" si="137"/>
        <v>43.8</v>
      </c>
      <c r="Q1120" s="196" t="s">
        <v>340</v>
      </c>
      <c r="R1120" s="163">
        <f t="shared" si="136"/>
        <v>87.6</v>
      </c>
      <c r="AG1120" s="71">
        <f t="shared" si="131"/>
        <v>0</v>
      </c>
    </row>
    <row r="1121" spans="6:64" ht="15.75">
      <c r="H1121" s="50" t="s">
        <v>1808</v>
      </c>
      <c r="M1121" s="64">
        <v>118</v>
      </c>
      <c r="N1121" s="53"/>
      <c r="O1121" s="50" t="s">
        <v>1734</v>
      </c>
      <c r="P1121" s="64">
        <f>P1100</f>
        <v>2.37</v>
      </c>
      <c r="Q1121" s="55"/>
      <c r="R1121" s="64">
        <f t="shared" si="136"/>
        <v>279.66000000000003</v>
      </c>
      <c r="AG1121" s="71">
        <f t="shared" si="131"/>
        <v>0</v>
      </c>
    </row>
    <row r="1122" spans="6:64" ht="15.75">
      <c r="H1122" s="50" t="s">
        <v>1809</v>
      </c>
      <c r="M1122" s="163"/>
      <c r="N1122" s="125"/>
      <c r="O1122" s="65" t="s">
        <v>155</v>
      </c>
      <c r="P1122" s="163"/>
      <c r="Q1122" s="196"/>
      <c r="R1122" s="65">
        <f>SUM(R1111:R1121)</f>
        <v>15062.695</v>
      </c>
      <c r="AG1122" s="71">
        <f t="shared" si="131"/>
        <v>0</v>
      </c>
    </row>
    <row r="1123" spans="6:64" ht="15.75">
      <c r="J1123" s="50" t="s">
        <v>150</v>
      </c>
      <c r="K1123" s="130">
        <v>3.32E-2</v>
      </c>
      <c r="M1123" s="163"/>
      <c r="N1123" s="125"/>
      <c r="O1123" s="65"/>
      <c r="P1123" s="163"/>
      <c r="Q1123" s="196"/>
      <c r="R1123" s="199" t="s">
        <v>1810</v>
      </c>
      <c r="AG1123" s="71">
        <f t="shared" si="131"/>
        <v>0</v>
      </c>
      <c r="BL1123" s="52" t="s">
        <v>1811</v>
      </c>
    </row>
    <row r="1124" spans="6:64" ht="15.75">
      <c r="H1124" s="50" t="s">
        <v>1812</v>
      </c>
      <c r="J1124" s="181" t="s">
        <v>150</v>
      </c>
      <c r="K1124" s="181" t="s">
        <v>150</v>
      </c>
      <c r="M1124" s="163"/>
      <c r="N1124" s="125"/>
      <c r="O1124" s="65" t="s">
        <v>1813</v>
      </c>
      <c r="P1124" s="163"/>
      <c r="Q1124" s="196"/>
      <c r="R1124" s="65">
        <f>R1122/2.835</f>
        <v>5313.1199294532626</v>
      </c>
      <c r="AG1124" s="71">
        <f t="shared" si="131"/>
        <v>0</v>
      </c>
    </row>
    <row r="1125" spans="6:64" ht="15.75">
      <c r="H1125" s="50" t="s">
        <v>1814</v>
      </c>
      <c r="K1125" s="181" t="s">
        <v>150</v>
      </c>
      <c r="M1125" s="163"/>
      <c r="N1125" s="125"/>
      <c r="Q1125" s="55"/>
      <c r="R1125" s="104" t="s">
        <v>1810</v>
      </c>
      <c r="AG1125" s="71">
        <f t="shared" si="131"/>
        <v>0</v>
      </c>
    </row>
    <row r="1126" spans="6:64" ht="15.75">
      <c r="AG1126" s="71">
        <f t="shared" si="131"/>
        <v>0</v>
      </c>
    </row>
    <row r="1127" spans="6:64" ht="15.75">
      <c r="F1127" s="186">
        <v>1.18E-2</v>
      </c>
      <c r="G1127" s="62" t="s">
        <v>151</v>
      </c>
      <c r="H1127" s="50" t="s">
        <v>877</v>
      </c>
      <c r="I1127" s="64">
        <f>C88</f>
        <v>111600</v>
      </c>
      <c r="J1127" s="50" t="s">
        <v>151</v>
      </c>
      <c r="K1127" s="64">
        <f t="shared" ref="K1127:K1136" si="138">(F1127*I1127)</f>
        <v>1316.8799999999999</v>
      </c>
      <c r="AG1127" s="71">
        <f t="shared" si="131"/>
        <v>0</v>
      </c>
    </row>
    <row r="1128" spans="6:64" ht="15.75">
      <c r="F1128" s="186">
        <v>3.32E-2</v>
      </c>
      <c r="G1128" s="62" t="s">
        <v>151</v>
      </c>
      <c r="H1128" s="50" t="s">
        <v>878</v>
      </c>
      <c r="I1128" s="64">
        <f>C89</f>
        <v>99400</v>
      </c>
      <c r="J1128" s="50" t="s">
        <v>151</v>
      </c>
      <c r="K1128" s="64">
        <f t="shared" si="138"/>
        <v>3300.08</v>
      </c>
      <c r="AG1128" s="71">
        <f t="shared" si="131"/>
        <v>0</v>
      </c>
    </row>
    <row r="1129" spans="6:64" ht="15.75">
      <c r="F1129" s="186">
        <v>1.8550000000000001E-2</v>
      </c>
      <c r="G1129" s="62" t="s">
        <v>151</v>
      </c>
      <c r="H1129" s="50" t="s">
        <v>1815</v>
      </c>
      <c r="I1129" s="64">
        <f>C30</f>
        <v>14384.999999999998</v>
      </c>
      <c r="J1129" s="50" t="s">
        <v>151</v>
      </c>
      <c r="K1129" s="64">
        <f t="shared" si="138"/>
        <v>266.84174999999999</v>
      </c>
      <c r="AG1129" s="71">
        <f t="shared" si="131"/>
        <v>0</v>
      </c>
    </row>
    <row r="1130" spans="6:64" ht="15.75">
      <c r="F1130" s="186">
        <v>1.46</v>
      </c>
      <c r="G1130" s="62" t="s">
        <v>152</v>
      </c>
      <c r="H1130" s="50" t="s">
        <v>1816</v>
      </c>
      <c r="I1130" s="200">
        <v>269.10000000000002</v>
      </c>
      <c r="J1130" s="50" t="s">
        <v>152</v>
      </c>
      <c r="K1130" s="64">
        <f t="shared" si="138"/>
        <v>392.88600000000002</v>
      </c>
      <c r="AG1130" s="71">
        <f t="shared" si="131"/>
        <v>0</v>
      </c>
    </row>
    <row r="1131" spans="6:64" ht="15.75">
      <c r="F1131" s="186">
        <v>2.0499999999999998</v>
      </c>
      <c r="G1131" s="62" t="s">
        <v>152</v>
      </c>
      <c r="H1131" s="50" t="s">
        <v>1817</v>
      </c>
      <c r="I1131" s="64">
        <f>D30</f>
        <v>1348.1999999999998</v>
      </c>
      <c r="J1131" s="50" t="s">
        <v>152</v>
      </c>
      <c r="K1131" s="64">
        <f t="shared" si="138"/>
        <v>2763.8099999999995</v>
      </c>
      <c r="AG1131" s="71">
        <f t="shared" si="131"/>
        <v>0</v>
      </c>
    </row>
    <row r="1132" spans="6:64" ht="15.75">
      <c r="F1132" s="64">
        <v>2</v>
      </c>
      <c r="G1132" s="62" t="s">
        <v>153</v>
      </c>
      <c r="H1132" s="50" t="s">
        <v>1818</v>
      </c>
      <c r="I1132" s="72">
        <f>C285</f>
        <v>35.1</v>
      </c>
      <c r="J1132" s="50" t="s">
        <v>153</v>
      </c>
      <c r="K1132" s="64">
        <f t="shared" si="138"/>
        <v>70.2</v>
      </c>
      <c r="AG1132" s="71">
        <f t="shared" si="131"/>
        <v>0</v>
      </c>
    </row>
    <row r="1133" spans="6:64" ht="15.75">
      <c r="F1133" s="64">
        <v>6</v>
      </c>
      <c r="G1133" s="62" t="s">
        <v>153</v>
      </c>
      <c r="H1133" s="50" t="s">
        <v>1776</v>
      </c>
      <c r="I1133" s="64">
        <f>C282</f>
        <v>43.6</v>
      </c>
      <c r="J1133" s="50" t="s">
        <v>153</v>
      </c>
      <c r="K1133" s="64">
        <f t="shared" si="138"/>
        <v>261.60000000000002</v>
      </c>
      <c r="AG1133" s="71">
        <f t="shared" si="131"/>
        <v>0</v>
      </c>
    </row>
    <row r="1134" spans="6:64" ht="15.75">
      <c r="F1134" s="64">
        <v>2</v>
      </c>
      <c r="G1134" s="62" t="s">
        <v>153</v>
      </c>
      <c r="H1134" s="50" t="s">
        <v>1819</v>
      </c>
      <c r="I1134" s="73">
        <v>53.8</v>
      </c>
      <c r="J1134" s="50" t="s">
        <v>153</v>
      </c>
      <c r="K1134" s="64">
        <f t="shared" si="138"/>
        <v>107.6</v>
      </c>
      <c r="AG1134" s="71">
        <f t="shared" si="131"/>
        <v>0</v>
      </c>
    </row>
    <row r="1135" spans="6:64" ht="15.75">
      <c r="F1135" s="64">
        <v>1</v>
      </c>
      <c r="G1135" s="62" t="s">
        <v>153</v>
      </c>
      <c r="H1135" s="157" t="s">
        <v>1820</v>
      </c>
      <c r="I1135" s="157">
        <v>63.2</v>
      </c>
      <c r="J1135" s="50" t="s">
        <v>153</v>
      </c>
      <c r="K1135" s="64">
        <f t="shared" si="138"/>
        <v>63.2</v>
      </c>
      <c r="AG1135" s="71">
        <f t="shared" si="131"/>
        <v>0</v>
      </c>
    </row>
    <row r="1136" spans="6:64" ht="15.75">
      <c r="F1136" s="64">
        <v>2.52</v>
      </c>
      <c r="G1136" s="62" t="s">
        <v>152</v>
      </c>
      <c r="H1136" s="50" t="s">
        <v>1821</v>
      </c>
      <c r="I1136" s="64">
        <f>K1167</f>
        <v>206.33800000000002</v>
      </c>
      <c r="J1136" s="50" t="s">
        <v>152</v>
      </c>
      <c r="K1136" s="64">
        <f t="shared" si="138"/>
        <v>519.97176000000002</v>
      </c>
      <c r="AG1136" s="71">
        <f t="shared" si="131"/>
        <v>0</v>
      </c>
    </row>
    <row r="1137" spans="6:33" ht="15.75">
      <c r="H1137" s="50" t="s">
        <v>1822</v>
      </c>
      <c r="I1137" s="51" t="s">
        <v>226</v>
      </c>
      <c r="K1137" s="64">
        <v>0.21</v>
      </c>
      <c r="AG1137" s="71">
        <f t="shared" si="131"/>
        <v>0</v>
      </c>
    </row>
    <row r="1138" spans="6:33" ht="15.75">
      <c r="K1138" s="59" t="s">
        <v>21</v>
      </c>
      <c r="AG1138" s="71">
        <f t="shared" si="131"/>
        <v>0</v>
      </c>
    </row>
    <row r="1139" spans="6:33" ht="15.75">
      <c r="H1139" s="51" t="s">
        <v>1823</v>
      </c>
      <c r="K1139" s="64">
        <f>SUM(K1127:K1137)</f>
        <v>9063.2795100000003</v>
      </c>
      <c r="M1139" s="124" t="s">
        <v>1824</v>
      </c>
      <c r="N1139" s="124"/>
      <c r="O1139" s="124"/>
      <c r="P1139" s="124"/>
      <c r="Q1139" s="124"/>
      <c r="R1139" s="124"/>
      <c r="S1139" s="124"/>
      <c r="AG1139" s="71">
        <f t="shared" si="131"/>
        <v>0</v>
      </c>
    </row>
    <row r="1140" spans="6:33" ht="15.75">
      <c r="G1140" s="62" t="s">
        <v>150</v>
      </c>
      <c r="K1140" s="59" t="s">
        <v>21</v>
      </c>
      <c r="O1140" s="59" t="s">
        <v>21</v>
      </c>
      <c r="Q1140" s="55"/>
      <c r="AG1140" s="71">
        <f t="shared" si="131"/>
        <v>0</v>
      </c>
    </row>
    <row r="1141" spans="6:33" ht="15.75">
      <c r="H1141" s="66" t="s">
        <v>155</v>
      </c>
      <c r="K1141" s="63">
        <f>K1139/2.52</f>
        <v>3596.5394880952381</v>
      </c>
      <c r="N1141" s="56">
        <v>0.45300000000000001</v>
      </c>
      <c r="O1141" s="50" t="s">
        <v>1610</v>
      </c>
      <c r="P1141" s="64">
        <f>C73</f>
        <v>2288.7799999999997</v>
      </c>
      <c r="Q1141" s="50" t="s">
        <v>151</v>
      </c>
      <c r="R1141" s="64">
        <f>P1141*N1141</f>
        <v>1036.8173399999998</v>
      </c>
      <c r="AG1141" s="71">
        <f t="shared" ref="AG1141:AG1203" si="139">AI1141</f>
        <v>0</v>
      </c>
    </row>
    <row r="1142" spans="6:33" ht="15.75">
      <c r="K1142" s="59" t="s">
        <v>156</v>
      </c>
      <c r="N1142" s="56">
        <v>0.30199999999999999</v>
      </c>
      <c r="O1142" s="50" t="s">
        <v>1825</v>
      </c>
      <c r="P1142" s="64">
        <f>C71</f>
        <v>1844.78</v>
      </c>
      <c r="Q1142" s="50" t="str">
        <f>Q1141</f>
        <v>CUM</v>
      </c>
      <c r="R1142" s="64">
        <f t="shared" ref="R1142:R1147" si="140">P1142*N1142</f>
        <v>557.12356</v>
      </c>
      <c r="AG1142" s="71">
        <f t="shared" si="139"/>
        <v>0</v>
      </c>
    </row>
    <row r="1143" spans="6:33" ht="15.75">
      <c r="G1143" s="62" t="s">
        <v>249</v>
      </c>
      <c r="H1143" s="50" t="s">
        <v>1826</v>
      </c>
      <c r="N1143" s="52">
        <v>0.44</v>
      </c>
      <c r="O1143" s="50" t="s">
        <v>253</v>
      </c>
      <c r="P1143" s="64">
        <f>C78</f>
        <v>2116.9</v>
      </c>
      <c r="Q1143" s="50" t="s">
        <v>151</v>
      </c>
      <c r="R1143" s="64">
        <f t="shared" si="140"/>
        <v>931.43600000000004</v>
      </c>
      <c r="AG1143" s="71">
        <f t="shared" si="139"/>
        <v>0</v>
      </c>
    </row>
    <row r="1144" spans="6:33" ht="15.75">
      <c r="H1144" s="59" t="s">
        <v>21</v>
      </c>
      <c r="I1144" s="59" t="s">
        <v>21</v>
      </c>
      <c r="N1144" s="52">
        <v>0.37</v>
      </c>
      <c r="O1144" s="50" t="s">
        <v>278</v>
      </c>
      <c r="P1144" s="64">
        <f>I808</f>
        <v>5800</v>
      </c>
      <c r="Q1144" s="50" t="s">
        <v>277</v>
      </c>
      <c r="R1144" s="64">
        <f t="shared" si="140"/>
        <v>2146</v>
      </c>
      <c r="AG1144" s="71">
        <f t="shared" si="139"/>
        <v>0</v>
      </c>
    </row>
    <row r="1145" spans="6:33" ht="15.75">
      <c r="F1145" s="64">
        <v>0.77</v>
      </c>
      <c r="G1145" s="62" t="s">
        <v>1827</v>
      </c>
      <c r="H1145" s="50" t="s">
        <v>1828</v>
      </c>
      <c r="I1145" s="64">
        <f>C194</f>
        <v>266</v>
      </c>
      <c r="J1145" s="50" t="s">
        <v>1827</v>
      </c>
      <c r="K1145" s="64">
        <f>(F1145*I1145)</f>
        <v>204.82</v>
      </c>
      <c r="N1145" s="52">
        <v>0.35</v>
      </c>
      <c r="O1145" s="50" t="s">
        <v>280</v>
      </c>
      <c r="P1145" s="64">
        <f>C11</f>
        <v>1005.1999999999999</v>
      </c>
      <c r="Q1145" s="50" t="s">
        <v>153</v>
      </c>
      <c r="R1145" s="64">
        <f t="shared" si="140"/>
        <v>351.81999999999994</v>
      </c>
      <c r="AG1145" s="71">
        <f t="shared" si="139"/>
        <v>0</v>
      </c>
    </row>
    <row r="1146" spans="6:33" ht="15.75">
      <c r="F1146" s="64">
        <v>0.61</v>
      </c>
      <c r="G1146" s="62" t="s">
        <v>1827</v>
      </c>
      <c r="H1146" s="50" t="s">
        <v>1829</v>
      </c>
      <c r="I1146" s="64">
        <f>C193</f>
        <v>25</v>
      </c>
      <c r="J1146" s="50" t="s">
        <v>1827</v>
      </c>
      <c r="K1146" s="64">
        <f>(F1146*I1146)</f>
        <v>15.25</v>
      </c>
      <c r="N1146" s="52">
        <v>2.12</v>
      </c>
      <c r="O1146" s="50" t="s">
        <v>1830</v>
      </c>
      <c r="P1146" s="64">
        <f>C12</f>
        <v>702.8</v>
      </c>
      <c r="Q1146" s="50" t="s">
        <v>153</v>
      </c>
      <c r="R1146" s="64">
        <f t="shared" si="140"/>
        <v>1489.9359999999999</v>
      </c>
      <c r="AG1146" s="71">
        <f t="shared" si="139"/>
        <v>0</v>
      </c>
    </row>
    <row r="1147" spans="6:33" ht="15.75">
      <c r="F1147" s="64">
        <v>0.7</v>
      </c>
      <c r="G1147" s="62" t="s">
        <v>345</v>
      </c>
      <c r="H1147" s="50" t="s">
        <v>421</v>
      </c>
      <c r="I1147" s="64">
        <f>C14</f>
        <v>861</v>
      </c>
      <c r="J1147" s="50" t="s">
        <v>566</v>
      </c>
      <c r="K1147" s="64">
        <f>(F1147*I1147)</f>
        <v>602.69999999999993</v>
      </c>
      <c r="N1147" s="52">
        <v>3.53</v>
      </c>
      <c r="O1147" s="50" t="s">
        <v>1831</v>
      </c>
      <c r="P1147" s="64">
        <f>C13</f>
        <v>576.79999999999995</v>
      </c>
      <c r="Q1147" s="50" t="s">
        <v>153</v>
      </c>
      <c r="R1147" s="64">
        <f t="shared" si="140"/>
        <v>2036.1039999999998</v>
      </c>
      <c r="AG1147" s="71">
        <f t="shared" si="139"/>
        <v>0</v>
      </c>
    </row>
    <row r="1148" spans="6:33" ht="15.75">
      <c r="F1148" s="64"/>
      <c r="G1148" s="62"/>
      <c r="H1148" s="50"/>
      <c r="I1148" s="64"/>
      <c r="J1148" s="50"/>
      <c r="K1148" s="64"/>
      <c r="O1148" s="50" t="s">
        <v>943</v>
      </c>
      <c r="P1148" s="64"/>
      <c r="Q1148" s="55"/>
      <c r="R1148" s="162">
        <f>K819</f>
        <v>98.98</v>
      </c>
      <c r="AG1148" s="71"/>
    </row>
    <row r="1149" spans="6:33" ht="15.75">
      <c r="F1149" s="64">
        <v>0.7</v>
      </c>
      <c r="G1149" s="62" t="s">
        <v>345</v>
      </c>
      <c r="H1149" s="50" t="s">
        <v>415</v>
      </c>
      <c r="I1149" s="64">
        <f>C12</f>
        <v>702.8</v>
      </c>
      <c r="J1149" s="50" t="s">
        <v>566</v>
      </c>
      <c r="K1149" s="64">
        <f>(F1149*I1149)</f>
        <v>491.95999999999992</v>
      </c>
      <c r="M1149" s="168" t="s">
        <v>287</v>
      </c>
      <c r="O1149" s="52" t="s">
        <v>1615</v>
      </c>
      <c r="P1149" s="141">
        <f>V1134</f>
        <v>0</v>
      </c>
      <c r="R1149" s="52">
        <v>270</v>
      </c>
      <c r="AG1149" s="71">
        <f t="shared" si="139"/>
        <v>0</v>
      </c>
    </row>
    <row r="1150" spans="6:33" ht="15.75">
      <c r="G1150" s="62" t="s">
        <v>226</v>
      </c>
      <c r="H1150" s="50" t="s">
        <v>323</v>
      </c>
      <c r="J1150" s="50" t="s">
        <v>226</v>
      </c>
      <c r="K1150" s="64">
        <v>1.5</v>
      </c>
      <c r="M1150" s="168" t="s">
        <v>287</v>
      </c>
      <c r="O1150" s="52" t="s">
        <v>1618</v>
      </c>
      <c r="P1150" s="141">
        <f>V1135</f>
        <v>0</v>
      </c>
      <c r="R1150" s="52">
        <v>150</v>
      </c>
      <c r="AG1150" s="71">
        <f t="shared" si="139"/>
        <v>0</v>
      </c>
    </row>
    <row r="1151" spans="6:33" ht="15.75">
      <c r="K1151" s="59" t="s">
        <v>21</v>
      </c>
      <c r="M1151" s="168" t="s">
        <v>287</v>
      </c>
      <c r="O1151" s="52" t="s">
        <v>337</v>
      </c>
      <c r="P1151" s="141">
        <f>V1136</f>
        <v>0</v>
      </c>
      <c r="R1151" s="52">
        <v>0.35</v>
      </c>
      <c r="AG1151" s="71">
        <f t="shared" si="139"/>
        <v>0</v>
      </c>
    </row>
    <row r="1152" spans="6:33" ht="15.75">
      <c r="H1152" s="51" t="s">
        <v>1832</v>
      </c>
      <c r="K1152" s="64">
        <f>SUM(K1145:K1150)</f>
        <v>1316.23</v>
      </c>
      <c r="Q1152" s="55"/>
      <c r="R1152" s="52">
        <f>SUM(R1141:R1151)</f>
        <v>9068.566899999998</v>
      </c>
      <c r="AG1152" s="71">
        <f t="shared" si="139"/>
        <v>0</v>
      </c>
    </row>
    <row r="1153" spans="6:33" ht="15.75">
      <c r="K1153" s="59" t="s">
        <v>21</v>
      </c>
      <c r="X1153" s="65">
        <f>SUM(X1141:X1152)</f>
        <v>0</v>
      </c>
      <c r="Y1153" s="65"/>
      <c r="AG1153" s="71">
        <f t="shared" si="139"/>
        <v>0</v>
      </c>
    </row>
    <row r="1154" spans="6:33" ht="15.75">
      <c r="H1154" s="66" t="s">
        <v>155</v>
      </c>
      <c r="K1154" s="63">
        <f>(K1152/10)</f>
        <v>131.62299999999999</v>
      </c>
      <c r="AG1154" s="71">
        <f t="shared" si="139"/>
        <v>0</v>
      </c>
    </row>
    <row r="1155" spans="6:33" ht="15.75">
      <c r="K1155" s="59" t="s">
        <v>156</v>
      </c>
      <c r="Q1155" s="55"/>
      <c r="R1155" s="162"/>
      <c r="AG1155" s="71">
        <f t="shared" si="139"/>
        <v>0</v>
      </c>
    </row>
    <row r="1156" spans="6:33" ht="15.75">
      <c r="O1156" s="52" t="s">
        <v>1833</v>
      </c>
      <c r="Q1156" s="55"/>
      <c r="R1156" s="64">
        <f>SUM(R1152:R1155)</f>
        <v>9068.566899999998</v>
      </c>
      <c r="AG1156" s="71">
        <f t="shared" si="139"/>
        <v>0</v>
      </c>
    </row>
    <row r="1157" spans="6:33" ht="15.75">
      <c r="F1157" s="50" t="s">
        <v>150</v>
      </c>
      <c r="G1157" s="62" t="s">
        <v>249</v>
      </c>
      <c r="H1157" s="50" t="s">
        <v>1834</v>
      </c>
      <c r="Q1157" s="55"/>
      <c r="R1157" s="59" t="s">
        <v>21</v>
      </c>
      <c r="AG1157" s="71">
        <f t="shared" si="139"/>
        <v>0</v>
      </c>
    </row>
    <row r="1158" spans="6:33" ht="15.75">
      <c r="H1158" s="59" t="s">
        <v>21</v>
      </c>
      <c r="I1158" s="59" t="s">
        <v>21</v>
      </c>
      <c r="O1158" s="50" t="s">
        <v>271</v>
      </c>
      <c r="Q1158" s="55"/>
      <c r="R1158" s="63">
        <f>R1156+C22</f>
        <v>9194.4268999999986</v>
      </c>
      <c r="S1158" s="56">
        <f>C22</f>
        <v>125.86</v>
      </c>
      <c r="T1158" s="56">
        <f>C23</f>
        <v>247.79999999999998</v>
      </c>
      <c r="AG1158" s="71">
        <f t="shared" si="139"/>
        <v>0</v>
      </c>
    </row>
    <row r="1159" spans="6:33" ht="15.75">
      <c r="F1159" s="64">
        <v>1.2</v>
      </c>
      <c r="G1159" s="62" t="s">
        <v>1827</v>
      </c>
      <c r="H1159" s="50" t="s">
        <v>1835</v>
      </c>
      <c r="I1159" s="64">
        <f>C194</f>
        <v>266</v>
      </c>
      <c r="J1159" s="50" t="s">
        <v>1827</v>
      </c>
      <c r="K1159" s="64">
        <f>(F1159*I1159)</f>
        <v>319.2</v>
      </c>
      <c r="O1159" s="50" t="s">
        <v>272</v>
      </c>
      <c r="Q1159" s="55"/>
      <c r="R1159" s="63">
        <f>R1158+C23</f>
        <v>9442.2268999999978</v>
      </c>
      <c r="S1159" s="56">
        <f>R1156-5363.9</f>
        <v>3704.6668999999983</v>
      </c>
      <c r="AG1159" s="71">
        <f t="shared" si="139"/>
        <v>0</v>
      </c>
    </row>
    <row r="1160" spans="6:33" ht="15.75">
      <c r="F1160" s="64">
        <v>0.9</v>
      </c>
      <c r="G1160" s="62" t="s">
        <v>1827</v>
      </c>
      <c r="H1160" s="50" t="s">
        <v>1829</v>
      </c>
      <c r="I1160" s="64">
        <f>C193</f>
        <v>25</v>
      </c>
      <c r="J1160" s="50" t="s">
        <v>1827</v>
      </c>
      <c r="K1160" s="64">
        <f>(F1160*I1160)</f>
        <v>22.5</v>
      </c>
      <c r="O1160" s="50" t="s">
        <v>767</v>
      </c>
      <c r="Q1160" s="55"/>
      <c r="R1160" s="63">
        <f>R1159+C23</f>
        <v>9690.0268999999971</v>
      </c>
      <c r="AG1160" s="71">
        <f t="shared" si="139"/>
        <v>0</v>
      </c>
    </row>
    <row r="1161" spans="6:33" ht="15.75">
      <c r="F1161" s="64">
        <v>1.1000000000000001</v>
      </c>
      <c r="G1161" s="62" t="s">
        <v>345</v>
      </c>
      <c r="H1161" s="50" t="s">
        <v>421</v>
      </c>
      <c r="I1161" s="64">
        <f>C14</f>
        <v>861</v>
      </c>
      <c r="J1161" s="50" t="s">
        <v>566</v>
      </c>
      <c r="K1161" s="64">
        <f>(F1161*I1161)</f>
        <v>947.1</v>
      </c>
      <c r="O1161" s="50" t="s">
        <v>769</v>
      </c>
      <c r="Q1161" s="55"/>
      <c r="R1161" s="63">
        <f>R1160+C23</f>
        <v>9937.8268999999964</v>
      </c>
      <c r="AG1161" s="71">
        <f t="shared" si="139"/>
        <v>0</v>
      </c>
    </row>
    <row r="1162" spans="6:33" ht="15.75">
      <c r="F1162" s="64">
        <v>1.1000000000000001</v>
      </c>
      <c r="G1162" s="62" t="s">
        <v>345</v>
      </c>
      <c r="H1162" s="50" t="s">
        <v>415</v>
      </c>
      <c r="I1162" s="64">
        <f>C12</f>
        <v>702.8</v>
      </c>
      <c r="J1162" s="50" t="s">
        <v>566</v>
      </c>
      <c r="K1162" s="64">
        <f>(F1162*I1162)</f>
        <v>773.08</v>
      </c>
      <c r="O1162" s="50" t="s">
        <v>838</v>
      </c>
      <c r="Q1162" s="55"/>
      <c r="R1162" s="63">
        <f>R1161+C23</f>
        <v>10185.626899999996</v>
      </c>
      <c r="AG1162" s="71">
        <f t="shared" si="139"/>
        <v>0</v>
      </c>
    </row>
    <row r="1163" spans="6:33" ht="15.75">
      <c r="G1163" s="62" t="s">
        <v>226</v>
      </c>
      <c r="H1163" s="50" t="s">
        <v>323</v>
      </c>
      <c r="J1163" s="50" t="s">
        <v>226</v>
      </c>
      <c r="K1163" s="64">
        <v>1.5</v>
      </c>
      <c r="O1163" s="50" t="s">
        <v>1044</v>
      </c>
      <c r="R1163" s="63">
        <f>R1162+C23</f>
        <v>10433.426899999995</v>
      </c>
      <c r="AG1163" s="71">
        <f t="shared" si="139"/>
        <v>0</v>
      </c>
    </row>
    <row r="1164" spans="6:33" ht="15.75">
      <c r="K1164" s="59" t="s">
        <v>21</v>
      </c>
      <c r="O1164" s="50" t="s">
        <v>1045</v>
      </c>
      <c r="R1164" s="63">
        <f>R1163+C23</f>
        <v>10681.226899999994</v>
      </c>
      <c r="AG1164" s="71">
        <f t="shared" si="139"/>
        <v>0</v>
      </c>
    </row>
    <row r="1165" spans="6:33" ht="15.75">
      <c r="H1165" s="51" t="s">
        <v>1832</v>
      </c>
      <c r="K1165" s="64">
        <f>SUM(K1159:K1163)</f>
        <v>2063.38</v>
      </c>
      <c r="O1165" s="50" t="s">
        <v>1046</v>
      </c>
      <c r="R1165" s="63">
        <f>R1164+C23</f>
        <v>10929.026899999993</v>
      </c>
      <c r="AG1165" s="71">
        <f t="shared" si="139"/>
        <v>0</v>
      </c>
    </row>
    <row r="1166" spans="6:33" ht="15.75">
      <c r="K1166" s="59" t="s">
        <v>21</v>
      </c>
      <c r="O1166" s="50" t="s">
        <v>1223</v>
      </c>
      <c r="R1166" s="63">
        <f>R1165+C23</f>
        <v>11176.826899999993</v>
      </c>
      <c r="AG1166" s="71">
        <f t="shared" si="139"/>
        <v>0</v>
      </c>
    </row>
    <row r="1167" spans="6:33" ht="15.75">
      <c r="H1167" s="66" t="s">
        <v>155</v>
      </c>
      <c r="K1167" s="63">
        <f>(K1165/10)</f>
        <v>206.33800000000002</v>
      </c>
      <c r="O1167" s="50" t="s">
        <v>1048</v>
      </c>
      <c r="R1167" s="63">
        <f>R1166+C23</f>
        <v>11424.626899999992</v>
      </c>
      <c r="AG1167" s="71">
        <f t="shared" si="139"/>
        <v>0</v>
      </c>
    </row>
    <row r="1168" spans="6:33" ht="15.75">
      <c r="K1168" s="59" t="s">
        <v>156</v>
      </c>
      <c r="O1168" s="52" t="s">
        <v>1836</v>
      </c>
      <c r="R1168" s="63">
        <f>R1167+C23</f>
        <v>11672.426899999991</v>
      </c>
      <c r="AG1168" s="71">
        <f t="shared" si="139"/>
        <v>0</v>
      </c>
    </row>
    <row r="1169" spans="6:35" ht="15.75">
      <c r="R1169" s="63">
        <f>R1168+C23</f>
        <v>11920.226899999991</v>
      </c>
      <c r="AG1169" s="71">
        <f t="shared" si="139"/>
        <v>0</v>
      </c>
    </row>
    <row r="1170" spans="6:35" ht="15.75">
      <c r="F1170" s="156">
        <v>23.3</v>
      </c>
      <c r="H1170" s="136" t="s">
        <v>1837</v>
      </c>
      <c r="I1170" s="136" t="s">
        <v>763</v>
      </c>
      <c r="K1170" s="201">
        <v>52</v>
      </c>
      <c r="R1170" s="63">
        <f>R1169+C23</f>
        <v>12168.02689999999</v>
      </c>
      <c r="S1170" s="52"/>
      <c r="AG1170" s="71">
        <f t="shared" si="139"/>
        <v>0</v>
      </c>
    </row>
    <row r="1171" spans="6:35" ht="15.75">
      <c r="M1171" s="56"/>
      <c r="O1171" s="65" t="s">
        <v>1590</v>
      </c>
      <c r="R1171" s="63">
        <f>R1170+C23</f>
        <v>12415.826899999989</v>
      </c>
      <c r="S1171" s="52"/>
      <c r="AG1171" s="71">
        <f t="shared" si="139"/>
        <v>0</v>
      </c>
    </row>
    <row r="1172" spans="6:35" ht="15.75">
      <c r="M1172" s="56">
        <v>0.443</v>
      </c>
      <c r="N1172" s="52" t="s">
        <v>276</v>
      </c>
      <c r="O1172" s="52" t="s">
        <v>1593</v>
      </c>
      <c r="P1172" s="52">
        <f t="shared" ref="P1172:P1178" si="141">P1141</f>
        <v>2288.7799999999997</v>
      </c>
      <c r="R1172" s="52">
        <f>P1172*M1172</f>
        <v>1013.9295399999999</v>
      </c>
      <c r="S1172" s="52"/>
      <c r="AG1172" s="71">
        <f t="shared" si="139"/>
        <v>0</v>
      </c>
    </row>
    <row r="1173" spans="6:35" ht="15.75">
      <c r="F1173" s="51" t="s">
        <v>341</v>
      </c>
      <c r="G1173" s="62" t="s">
        <v>249</v>
      </c>
      <c r="H1173" s="50" t="s">
        <v>1838</v>
      </c>
      <c r="M1173" s="56">
        <v>0.29499999999999998</v>
      </c>
      <c r="N1173" s="52" t="s">
        <v>276</v>
      </c>
      <c r="O1173" s="52" t="s">
        <v>1596</v>
      </c>
      <c r="P1173" s="52">
        <f t="shared" si="141"/>
        <v>1844.78</v>
      </c>
      <c r="R1173" s="52">
        <f t="shared" ref="R1173:R1179" si="142">P1173*M1173</f>
        <v>544.21010000000001</v>
      </c>
      <c r="S1173" s="52"/>
      <c r="AG1173" s="71">
        <f t="shared" si="139"/>
        <v>0</v>
      </c>
    </row>
    <row r="1174" spans="6:35" ht="15.75">
      <c r="H1174" s="50" t="s">
        <v>342</v>
      </c>
      <c r="M1174" s="56">
        <v>0.43</v>
      </c>
      <c r="N1174" s="52" t="s">
        <v>276</v>
      </c>
      <c r="O1174" s="52" t="s">
        <v>1600</v>
      </c>
      <c r="P1174" s="52">
        <f t="shared" si="141"/>
        <v>2116.9</v>
      </c>
      <c r="R1174" s="52">
        <f t="shared" si="142"/>
        <v>910.26700000000005</v>
      </c>
      <c r="S1174" s="52"/>
      <c r="AG1174" s="71">
        <f t="shared" si="139"/>
        <v>0</v>
      </c>
    </row>
    <row r="1175" spans="6:35" ht="15.75">
      <c r="H1175" s="59" t="s">
        <v>21</v>
      </c>
      <c r="I1175" s="59" t="s">
        <v>21</v>
      </c>
      <c r="M1175" s="56">
        <v>0.39</v>
      </c>
      <c r="N1175" s="52" t="s">
        <v>277</v>
      </c>
      <c r="O1175" s="52" t="s">
        <v>278</v>
      </c>
      <c r="P1175" s="52">
        <f t="shared" si="141"/>
        <v>5800</v>
      </c>
      <c r="R1175" s="52">
        <f t="shared" si="142"/>
        <v>2262</v>
      </c>
      <c r="S1175" s="52"/>
      <c r="AG1175" s="71">
        <f t="shared" si="139"/>
        <v>0</v>
      </c>
    </row>
    <row r="1176" spans="6:35" ht="15.75">
      <c r="F1176" s="131">
        <v>0.53339999999999999</v>
      </c>
      <c r="G1176" s="62" t="s">
        <v>306</v>
      </c>
      <c r="H1176" s="120" t="s">
        <v>343</v>
      </c>
      <c r="I1176" s="97">
        <v>208.8</v>
      </c>
      <c r="J1176" s="50" t="s">
        <v>306</v>
      </c>
      <c r="K1176" s="64">
        <f>(F1176*I1176)</f>
        <v>111.37392</v>
      </c>
      <c r="M1176" s="56">
        <v>0.35</v>
      </c>
      <c r="N1176" s="52" t="s">
        <v>154</v>
      </c>
      <c r="O1176" s="52" t="s">
        <v>280</v>
      </c>
      <c r="P1176" s="52">
        <f t="shared" si="141"/>
        <v>1005.1999999999999</v>
      </c>
      <c r="Q1176" s="52">
        <f>D1174</f>
        <v>0</v>
      </c>
      <c r="R1176" s="52">
        <f t="shared" si="142"/>
        <v>351.81999999999994</v>
      </c>
      <c r="S1176" s="52"/>
      <c r="AG1176" s="71">
        <f t="shared" si="139"/>
        <v>0</v>
      </c>
    </row>
    <row r="1177" spans="6:35" ht="15.75">
      <c r="F1177" s="64">
        <v>4.24</v>
      </c>
      <c r="G1177" s="62" t="s">
        <v>303</v>
      </c>
      <c r="H1177" s="202" t="s">
        <v>344</v>
      </c>
      <c r="I1177" s="97">
        <v>35.61</v>
      </c>
      <c r="J1177" s="50" t="s">
        <v>303</v>
      </c>
      <c r="K1177" s="64">
        <f>(F1177*I1177)</f>
        <v>150.9864</v>
      </c>
      <c r="M1177" s="56">
        <v>2.12</v>
      </c>
      <c r="N1177" s="52" t="s">
        <v>154</v>
      </c>
      <c r="O1177" s="52" t="s">
        <v>281</v>
      </c>
      <c r="P1177" s="52">
        <f t="shared" si="141"/>
        <v>702.8</v>
      </c>
      <c r="R1177" s="52">
        <f t="shared" si="142"/>
        <v>1489.9359999999999</v>
      </c>
      <c r="S1177" s="52"/>
      <c r="AG1177" s="71">
        <f t="shared" si="139"/>
        <v>0</v>
      </c>
    </row>
    <row r="1178" spans="6:35" ht="15.75">
      <c r="F1178" s="64">
        <v>16</v>
      </c>
      <c r="G1178" s="62" t="s">
        <v>345</v>
      </c>
      <c r="H1178" s="202" t="s">
        <v>346</v>
      </c>
      <c r="I1178" s="97">
        <v>1</v>
      </c>
      <c r="J1178" s="50" t="s">
        <v>340</v>
      </c>
      <c r="K1178" s="64">
        <f>(F1178*I1178)</f>
        <v>16</v>
      </c>
      <c r="M1178" s="56">
        <v>3.53</v>
      </c>
      <c r="N1178" s="52" t="s">
        <v>154</v>
      </c>
      <c r="O1178" s="52" t="s">
        <v>282</v>
      </c>
      <c r="P1178" s="52">
        <f t="shared" si="141"/>
        <v>576.79999999999995</v>
      </c>
      <c r="R1178" s="52">
        <f t="shared" si="142"/>
        <v>2036.1039999999998</v>
      </c>
      <c r="S1178" s="52"/>
      <c r="AG1178" s="71">
        <f t="shared" si="139"/>
        <v>0</v>
      </c>
    </row>
    <row r="1179" spans="6:35" ht="15.75">
      <c r="F1179" s="131">
        <v>0.53339999999999999</v>
      </c>
      <c r="G1179" s="62" t="s">
        <v>306</v>
      </c>
      <c r="H1179" s="50" t="s">
        <v>347</v>
      </c>
      <c r="I1179" s="64">
        <f>0.25/1.08*D16</f>
        <v>232.68518518518513</v>
      </c>
      <c r="J1179" s="50" t="s">
        <v>306</v>
      </c>
      <c r="K1179" s="64">
        <f>(F1179*I1179)</f>
        <v>124.11427777777774</v>
      </c>
      <c r="M1179" s="56">
        <v>1</v>
      </c>
      <c r="N1179" s="52" t="s">
        <v>276</v>
      </c>
      <c r="O1179" s="52" t="s">
        <v>1612</v>
      </c>
      <c r="P1179" s="52">
        <f>R1148</f>
        <v>98.98</v>
      </c>
      <c r="R1179" s="52">
        <f t="shared" si="142"/>
        <v>98.98</v>
      </c>
      <c r="S1179" s="52"/>
      <c r="AG1179" s="71">
        <f t="shared" si="139"/>
        <v>0</v>
      </c>
    </row>
    <row r="1180" spans="6:35" ht="15.75">
      <c r="G1180" s="62" t="s">
        <v>226</v>
      </c>
      <c r="H1180" s="50" t="s">
        <v>337</v>
      </c>
      <c r="J1180" s="50" t="s">
        <v>226</v>
      </c>
      <c r="K1180" s="64"/>
      <c r="M1180" s="168" t="s">
        <v>287</v>
      </c>
      <c r="O1180" s="52" t="s">
        <v>1615</v>
      </c>
      <c r="P1180" s="168" t="s">
        <v>287</v>
      </c>
      <c r="R1180" s="52">
        <v>270</v>
      </c>
      <c r="S1180" s="52"/>
      <c r="AG1180" s="71">
        <f t="shared" si="139"/>
        <v>0</v>
      </c>
    </row>
    <row r="1181" spans="6:35" ht="15.75">
      <c r="H1181" s="50" t="s">
        <v>348</v>
      </c>
      <c r="M1181" s="168" t="s">
        <v>287</v>
      </c>
      <c r="O1181" s="52" t="s">
        <v>1618</v>
      </c>
      <c r="P1181" s="168" t="s">
        <v>287</v>
      </c>
      <c r="R1181" s="52">
        <v>150</v>
      </c>
      <c r="S1181" s="52"/>
      <c r="AG1181" s="71">
        <f t="shared" si="139"/>
        <v>0</v>
      </c>
    </row>
    <row r="1182" spans="6:35" ht="15.75">
      <c r="K1182" s="59" t="s">
        <v>21</v>
      </c>
      <c r="M1182" s="168" t="s">
        <v>287</v>
      </c>
      <c r="O1182" s="52" t="s">
        <v>337</v>
      </c>
      <c r="P1182" s="168" t="s">
        <v>287</v>
      </c>
      <c r="R1182" s="52">
        <v>0.45</v>
      </c>
      <c r="S1182" s="52">
        <f>C22</f>
        <v>125.86</v>
      </c>
      <c r="T1182" s="52">
        <f>C23</f>
        <v>247.79999999999998</v>
      </c>
      <c r="AG1182" s="71" t="str">
        <f t="shared" si="139"/>
        <v>|</v>
      </c>
      <c r="AI1182" s="50" t="s">
        <v>1095</v>
      </c>
    </row>
    <row r="1183" spans="6:35" ht="15.75">
      <c r="H1183" s="51" t="s">
        <v>349</v>
      </c>
      <c r="K1183" s="64">
        <f>SUM(K1176:K1180)</f>
        <v>402.47459777777772</v>
      </c>
      <c r="M1183" s="56"/>
      <c r="O1183" s="52" t="s">
        <v>289</v>
      </c>
      <c r="R1183" s="65">
        <f>SUM(R1172:R1182)</f>
        <v>9127.6966400000001</v>
      </c>
      <c r="S1183" s="52"/>
      <c r="AG1183" s="71" t="str">
        <f t="shared" si="139"/>
        <v>|</v>
      </c>
      <c r="AI1183" s="50" t="s">
        <v>1095</v>
      </c>
    </row>
    <row r="1184" spans="6:35" ht="15.75">
      <c r="K1184" s="59" t="s">
        <v>21</v>
      </c>
      <c r="M1184" s="56"/>
      <c r="O1184" s="52" t="s">
        <v>271</v>
      </c>
      <c r="R1184" s="52">
        <f>R1183+C22</f>
        <v>9253.5566400000007</v>
      </c>
      <c r="AG1184" s="71" t="str">
        <f t="shared" si="139"/>
        <v>|</v>
      </c>
      <c r="AI1184" s="50" t="s">
        <v>1095</v>
      </c>
    </row>
    <row r="1185" spans="6:39" ht="15.75">
      <c r="H1185" s="51" t="s">
        <v>350</v>
      </c>
      <c r="K1185" s="63">
        <f>ROUND(K1183/0.5334,1)+0.1</f>
        <v>754.6</v>
      </c>
      <c r="R1185" s="52">
        <f>R1184+T1182</f>
        <v>9501.35664</v>
      </c>
      <c r="AG1185" s="71" t="str">
        <f t="shared" si="139"/>
        <v>|</v>
      </c>
      <c r="AI1185" s="50" t="s">
        <v>1095</v>
      </c>
    </row>
    <row r="1186" spans="6:39" ht="140.25">
      <c r="F1186" s="50" t="s">
        <v>150</v>
      </c>
      <c r="K1186" s="59" t="s">
        <v>156</v>
      </c>
      <c r="Z1186" s="156">
        <v>15.1</v>
      </c>
      <c r="AA1186" s="62" t="s">
        <v>1253</v>
      </c>
      <c r="AB1186" s="62"/>
      <c r="AC1186" s="54" t="s">
        <v>1839</v>
      </c>
      <c r="AE1186" s="57"/>
      <c r="AG1186" s="71" t="str">
        <f t="shared" si="139"/>
        <v>C.</v>
      </c>
      <c r="AH1186" s="156">
        <v>15.1</v>
      </c>
      <c r="AI1186" s="62" t="s">
        <v>1253</v>
      </c>
      <c r="AJ1186" s="203" t="s">
        <v>1840</v>
      </c>
      <c r="AL1186" s="57"/>
    </row>
    <row r="1187" spans="6:39" ht="15.75">
      <c r="F1187" s="50" t="s">
        <v>150</v>
      </c>
      <c r="G1187" s="62" t="s">
        <v>150</v>
      </c>
      <c r="H1187" s="50" t="s">
        <v>150</v>
      </c>
      <c r="AA1187" s="53"/>
      <c r="AB1187" s="53"/>
      <c r="AC1187" s="50" t="s">
        <v>1192</v>
      </c>
      <c r="AE1187" s="57"/>
      <c r="AG1187" s="71">
        <f t="shared" si="139"/>
        <v>0</v>
      </c>
      <c r="AI1187" s="53"/>
      <c r="AJ1187" s="50" t="s">
        <v>1192</v>
      </c>
      <c r="AL1187" s="57"/>
    </row>
    <row r="1188" spans="6:39" ht="78.75">
      <c r="F1188" s="51" t="s">
        <v>461</v>
      </c>
      <c r="G1188" s="62" t="s">
        <v>249</v>
      </c>
      <c r="H1188" s="50" t="s">
        <v>1841</v>
      </c>
      <c r="Z1188" s="64">
        <v>10</v>
      </c>
      <c r="AA1188" s="62" t="s">
        <v>306</v>
      </c>
      <c r="AB1188" s="62"/>
      <c r="AC1188" s="112" t="s">
        <v>1842</v>
      </c>
      <c r="AD1188" s="73">
        <v>1706</v>
      </c>
      <c r="AE1188" s="51" t="s">
        <v>306</v>
      </c>
      <c r="AF1188" s="64">
        <f>(Z1188*AD1188)</f>
        <v>17060</v>
      </c>
      <c r="AG1188" s="71" t="str">
        <f t="shared" si="139"/>
        <v>Sqm</v>
      </c>
      <c r="AH1188" s="64">
        <v>10</v>
      </c>
      <c r="AI1188" s="62" t="s">
        <v>306</v>
      </c>
      <c r="AJ1188" s="112" t="s">
        <v>1843</v>
      </c>
      <c r="AK1188" s="73">
        <v>804</v>
      </c>
      <c r="AL1188" s="51" t="s">
        <v>306</v>
      </c>
      <c r="AM1188" s="64">
        <f>(AH1188*AK1188)</f>
        <v>8040</v>
      </c>
    </row>
    <row r="1189" spans="6:39" ht="15.75">
      <c r="H1189" s="50" t="s">
        <v>1844</v>
      </c>
      <c r="Z1189" s="64">
        <v>0.12</v>
      </c>
      <c r="AA1189" s="62" t="s">
        <v>151</v>
      </c>
      <c r="AB1189" s="62"/>
      <c r="AC1189" s="50" t="s">
        <v>1260</v>
      </c>
      <c r="AD1189" s="204">
        <f>P1333</f>
        <v>5022.7</v>
      </c>
      <c r="AE1189" s="51" t="s">
        <v>151</v>
      </c>
      <c r="AF1189" s="64">
        <f>(Z1189*AD1189)</f>
        <v>602.72399999999993</v>
      </c>
      <c r="AG1189" s="71" t="str">
        <f t="shared" si="139"/>
        <v>CUM</v>
      </c>
      <c r="AH1189" s="64">
        <v>0.12</v>
      </c>
      <c r="AI1189" s="62" t="s">
        <v>151</v>
      </c>
      <c r="AJ1189" s="50" t="s">
        <v>1260</v>
      </c>
      <c r="AK1189" s="73">
        <f>AD1189</f>
        <v>5022.7</v>
      </c>
      <c r="AL1189" s="51" t="s">
        <v>151</v>
      </c>
      <c r="AM1189" s="64">
        <f>(AH1189*AK1189)</f>
        <v>602.72399999999993</v>
      </c>
    </row>
    <row r="1190" spans="6:39" ht="15.75">
      <c r="H1190" s="59" t="s">
        <v>21</v>
      </c>
      <c r="Z1190" s="64">
        <v>1</v>
      </c>
      <c r="AA1190" s="62" t="s">
        <v>345</v>
      </c>
      <c r="AB1190" s="62"/>
      <c r="AC1190" s="50" t="s">
        <v>1196</v>
      </c>
      <c r="AD1190" s="204">
        <f>P1334</f>
        <v>1076.5999999999999</v>
      </c>
      <c r="AE1190" s="51" t="s">
        <v>340</v>
      </c>
      <c r="AF1190" s="64">
        <f>(Z1190*AD1190)</f>
        <v>1076.5999999999999</v>
      </c>
      <c r="AG1190" s="71" t="str">
        <f t="shared" si="139"/>
        <v>No.</v>
      </c>
      <c r="AH1190" s="64">
        <v>1</v>
      </c>
      <c r="AI1190" s="62" t="s">
        <v>345</v>
      </c>
      <c r="AJ1190" s="50" t="s">
        <v>1196</v>
      </c>
      <c r="AK1190" s="73">
        <f>AD1190</f>
        <v>1076.5999999999999</v>
      </c>
      <c r="AL1190" s="51" t="s">
        <v>340</v>
      </c>
      <c r="AM1190" s="64">
        <f>(AH1190*AK1190)</f>
        <v>1076.5999999999999</v>
      </c>
    </row>
    <row r="1191" spans="6:39" ht="15.75">
      <c r="F1191" s="64">
        <v>1</v>
      </c>
      <c r="G1191" s="62" t="s">
        <v>13</v>
      </c>
      <c r="H1191" s="50" t="s">
        <v>1845</v>
      </c>
      <c r="I1191" s="205">
        <v>60.9</v>
      </c>
      <c r="J1191" s="50" t="s">
        <v>13</v>
      </c>
      <c r="K1191" s="63">
        <f>(F1191*I1191)</f>
        <v>60.9</v>
      </c>
      <c r="Z1191" s="64">
        <v>1</v>
      </c>
      <c r="AA1191" s="62" t="s">
        <v>345</v>
      </c>
      <c r="AB1191" s="62"/>
      <c r="AC1191" s="50" t="s">
        <v>1846</v>
      </c>
      <c r="AD1191" s="204">
        <f>P1335</f>
        <v>702.8</v>
      </c>
      <c r="AE1191" s="51" t="s">
        <v>340</v>
      </c>
      <c r="AF1191" s="64">
        <f>(Z1191*AD1191)</f>
        <v>702.8</v>
      </c>
      <c r="AG1191" s="71" t="str">
        <f t="shared" si="139"/>
        <v>No.</v>
      </c>
      <c r="AH1191" s="64">
        <v>1</v>
      </c>
      <c r="AI1191" s="62" t="s">
        <v>345</v>
      </c>
      <c r="AJ1191" s="50" t="s">
        <v>1846</v>
      </c>
      <c r="AK1191" s="73">
        <f>AG10</f>
        <v>1005.1999999999999</v>
      </c>
      <c r="AL1191" s="51" t="s">
        <v>340</v>
      </c>
      <c r="AM1191" s="64">
        <f>(AH1191*AK1191)</f>
        <v>1005.1999999999999</v>
      </c>
    </row>
    <row r="1192" spans="6:39" ht="15.75">
      <c r="K1192" s="59" t="s">
        <v>156</v>
      </c>
      <c r="Z1192" s="64"/>
      <c r="AA1192" s="62" t="s">
        <v>226</v>
      </c>
      <c r="AB1192" s="62"/>
      <c r="AC1192" s="50" t="s">
        <v>1200</v>
      </c>
      <c r="AE1192" s="51" t="s">
        <v>226</v>
      </c>
      <c r="AF1192" s="64">
        <v>0.33</v>
      </c>
      <c r="AH1192" s="64"/>
      <c r="AI1192" s="62" t="s">
        <v>226</v>
      </c>
      <c r="AJ1192" s="50" t="s">
        <v>1200</v>
      </c>
      <c r="AL1192" s="51" t="s">
        <v>226</v>
      </c>
      <c r="AM1192" s="64">
        <v>0.33</v>
      </c>
    </row>
    <row r="1193" spans="6:39" ht="15.75">
      <c r="F1193" s="51">
        <v>39</v>
      </c>
      <c r="H1193" s="120" t="s">
        <v>584</v>
      </c>
      <c r="I1193" s="73">
        <v>54.5</v>
      </c>
      <c r="J1193" s="50" t="s">
        <v>13</v>
      </c>
      <c r="K1193" s="206">
        <f>I1193</f>
        <v>54.5</v>
      </c>
      <c r="Z1193" s="64"/>
      <c r="AA1193" s="53"/>
      <c r="AB1193" s="53"/>
      <c r="AC1193" s="50" t="s">
        <v>1202</v>
      </c>
      <c r="AF1193" s="57"/>
      <c r="AG1193" s="59" t="s">
        <v>21</v>
      </c>
      <c r="AH1193" s="64"/>
      <c r="AI1193" s="53"/>
      <c r="AJ1193" s="50" t="s">
        <v>1202</v>
      </c>
      <c r="AM1193" s="57"/>
    </row>
    <row r="1194" spans="6:39" ht="15.75">
      <c r="F1194" s="51" t="s">
        <v>463</v>
      </c>
      <c r="G1194" s="62" t="s">
        <v>249</v>
      </c>
      <c r="H1194" s="50" t="s">
        <v>1847</v>
      </c>
      <c r="I1194" s="50" t="s">
        <v>150</v>
      </c>
      <c r="J1194" s="50" t="s">
        <v>566</v>
      </c>
      <c r="K1194" s="207">
        <v>9.6</v>
      </c>
      <c r="Z1194" s="64"/>
      <c r="AA1194" s="53"/>
      <c r="AB1194" s="53"/>
      <c r="AC1194" s="51" t="s">
        <v>1270</v>
      </c>
      <c r="AE1194" s="57"/>
      <c r="AF1194" s="64">
        <f>SUM(AF1188:AF1193)</f>
        <v>19442.453999999998</v>
      </c>
      <c r="AG1194" s="64">
        <f>SUM(AG1188:AG1192)</f>
        <v>0</v>
      </c>
      <c r="AH1194" s="64"/>
      <c r="AI1194" s="53"/>
      <c r="AJ1194" s="51" t="s">
        <v>1270</v>
      </c>
      <c r="AL1194" s="57"/>
      <c r="AM1194" s="64">
        <f>SUM(AM1188:AM1193)</f>
        <v>10724.854000000001</v>
      </c>
    </row>
    <row r="1195" spans="6:39" ht="15.75">
      <c r="H1195" s="50" t="s">
        <v>1848</v>
      </c>
      <c r="K1195" s="59" t="s">
        <v>156</v>
      </c>
      <c r="AA1195" s="53"/>
      <c r="AB1195" s="53"/>
      <c r="AE1195" s="57"/>
      <c r="AF1195" s="59" t="s">
        <v>21</v>
      </c>
      <c r="AG1195" s="59" t="s">
        <v>21</v>
      </c>
      <c r="AI1195" s="53"/>
      <c r="AL1195" s="57"/>
      <c r="AM1195" s="59" t="s">
        <v>21</v>
      </c>
    </row>
    <row r="1196" spans="6:39" ht="15.75">
      <c r="AA1196" s="53"/>
      <c r="AB1196" s="53"/>
      <c r="AC1196" s="51" t="s">
        <v>1275</v>
      </c>
      <c r="AF1196" s="63">
        <f>AF1194/10</f>
        <v>1944.2453999999998</v>
      </c>
      <c r="AI1196" s="53"/>
      <c r="AJ1196" s="51" t="s">
        <v>1275</v>
      </c>
      <c r="AM1196" s="63">
        <f>AM1194/10</f>
        <v>1072.4854</v>
      </c>
    </row>
    <row r="1197" spans="6:39" ht="15.75">
      <c r="F1197" s="51" t="s">
        <v>469</v>
      </c>
      <c r="G1197" s="62" t="s">
        <v>249</v>
      </c>
      <c r="H1197" s="50" t="s">
        <v>1849</v>
      </c>
      <c r="AA1197" s="53"/>
      <c r="AB1197" s="53"/>
      <c r="AC1197" s="50" t="s">
        <v>271</v>
      </c>
      <c r="AE1197" s="57">
        <f>C22*0.01</f>
        <v>1.2585999999999999</v>
      </c>
      <c r="AF1197" s="64">
        <f>AF1196+AE1197</f>
        <v>1945.5039999999997</v>
      </c>
      <c r="AI1197" s="53"/>
      <c r="AJ1197" s="50" t="s">
        <v>271</v>
      </c>
      <c r="AL1197" s="57">
        <f>AE1197</f>
        <v>1.2585999999999999</v>
      </c>
      <c r="AM1197" s="64">
        <f>AM1196+AL1197</f>
        <v>1073.7439999999999</v>
      </c>
    </row>
    <row r="1198" spans="6:39" ht="15.75">
      <c r="H1198" s="50" t="s">
        <v>1850</v>
      </c>
      <c r="AA1198" s="53"/>
      <c r="AB1198" s="53"/>
      <c r="AC1198" s="50" t="s">
        <v>272</v>
      </c>
      <c r="AE1198" s="57">
        <f>C23*0.01</f>
        <v>2.4779999999999998</v>
      </c>
      <c r="AF1198" s="64">
        <f>AF1197+AE1198</f>
        <v>1947.9819999999997</v>
      </c>
      <c r="AI1198" s="53"/>
      <c r="AJ1198" s="50" t="s">
        <v>272</v>
      </c>
      <c r="AL1198" s="57">
        <f t="shared" ref="AL1198:AL1206" si="143">AE1198</f>
        <v>2.4779999999999998</v>
      </c>
      <c r="AM1198" s="64">
        <f>AM1197+AL1198</f>
        <v>1076.222</v>
      </c>
    </row>
    <row r="1199" spans="6:39" ht="15.75">
      <c r="H1199" s="59" t="s">
        <v>21</v>
      </c>
      <c r="AA1199" s="53"/>
      <c r="AB1199" s="53"/>
      <c r="AC1199" s="50" t="s">
        <v>767</v>
      </c>
      <c r="AE1199" s="57">
        <f t="shared" ref="AE1199:AE1208" si="144">AE1198</f>
        <v>2.4779999999999998</v>
      </c>
      <c r="AF1199" s="64">
        <f t="shared" ref="AF1199:AF1208" si="145">+AF1198+AE1199</f>
        <v>1950.4599999999998</v>
      </c>
      <c r="AI1199" s="53"/>
      <c r="AJ1199" s="50" t="s">
        <v>767</v>
      </c>
      <c r="AL1199" s="57">
        <f t="shared" si="143"/>
        <v>2.4779999999999998</v>
      </c>
      <c r="AM1199" s="64">
        <f t="shared" ref="AM1199:AM1206" si="146">+AM1198+AL1199</f>
        <v>1078.7</v>
      </c>
    </row>
    <row r="1200" spans="6:39" ht="15.75">
      <c r="F1200" s="64">
        <v>0.22</v>
      </c>
      <c r="G1200" s="62" t="s">
        <v>151</v>
      </c>
      <c r="H1200" s="50" t="s">
        <v>258</v>
      </c>
      <c r="I1200" s="64">
        <f>K40</f>
        <v>4326.7</v>
      </c>
      <c r="J1200" s="50" t="s">
        <v>151</v>
      </c>
      <c r="K1200" s="64">
        <f>(F1200*I1200)</f>
        <v>951.87399999999991</v>
      </c>
      <c r="AA1200" s="53"/>
      <c r="AB1200" s="53"/>
      <c r="AC1200" s="50" t="s">
        <v>769</v>
      </c>
      <c r="AE1200" s="57">
        <f t="shared" si="144"/>
        <v>2.4779999999999998</v>
      </c>
      <c r="AF1200" s="64">
        <f t="shared" si="145"/>
        <v>1952.9379999999999</v>
      </c>
      <c r="AI1200" s="53"/>
      <c r="AJ1200" s="50" t="s">
        <v>769</v>
      </c>
      <c r="AL1200" s="57">
        <f t="shared" si="143"/>
        <v>2.4779999999999998</v>
      </c>
      <c r="AM1200" s="64">
        <f t="shared" si="146"/>
        <v>1081.1780000000001</v>
      </c>
    </row>
    <row r="1201" spans="6:39" ht="15.75">
      <c r="F1201" s="64">
        <v>2.2000000000000002</v>
      </c>
      <c r="G1201" s="62" t="s">
        <v>4</v>
      </c>
      <c r="H1201" s="50" t="s">
        <v>269</v>
      </c>
      <c r="I1201" s="64">
        <f>(C10)</f>
        <v>1076.5999999999999</v>
      </c>
      <c r="J1201" s="50" t="s">
        <v>4</v>
      </c>
      <c r="K1201" s="64">
        <f>(F1201*I1201)</f>
        <v>2368.52</v>
      </c>
      <c r="AA1201" s="53"/>
      <c r="AB1201" s="53"/>
      <c r="AC1201" s="50" t="s">
        <v>1117</v>
      </c>
      <c r="AE1201" s="57">
        <f t="shared" si="144"/>
        <v>2.4779999999999998</v>
      </c>
      <c r="AF1201" s="64">
        <f t="shared" si="145"/>
        <v>1955.4159999999999</v>
      </c>
      <c r="AI1201" s="53"/>
      <c r="AJ1201" s="50" t="s">
        <v>1117</v>
      </c>
      <c r="AL1201" s="57">
        <f t="shared" si="143"/>
        <v>2.4779999999999998</v>
      </c>
      <c r="AM1201" s="64">
        <f t="shared" si="146"/>
        <v>1083.6560000000002</v>
      </c>
    </row>
    <row r="1202" spans="6:39" ht="15.75">
      <c r="F1202" s="64">
        <v>0.5</v>
      </c>
      <c r="G1202" s="62" t="s">
        <v>4</v>
      </c>
      <c r="H1202" s="50" t="s">
        <v>1851</v>
      </c>
      <c r="I1202" s="64">
        <f>(C12)</f>
        <v>702.8</v>
      </c>
      <c r="J1202" s="50" t="s">
        <v>4</v>
      </c>
      <c r="K1202" s="64">
        <f>(F1202*I1202)</f>
        <v>351.4</v>
      </c>
      <c r="AA1202" s="53"/>
      <c r="AB1202" s="53"/>
      <c r="AC1202" s="52">
        <v>5</v>
      </c>
      <c r="AE1202" s="57">
        <f t="shared" si="144"/>
        <v>2.4779999999999998</v>
      </c>
      <c r="AF1202" s="64">
        <f t="shared" si="145"/>
        <v>1957.894</v>
      </c>
      <c r="AG1202" s="71">
        <f t="shared" si="139"/>
        <v>0</v>
      </c>
      <c r="AI1202" s="53"/>
      <c r="AJ1202" s="52">
        <v>5</v>
      </c>
      <c r="AL1202" s="57">
        <f t="shared" si="143"/>
        <v>2.4779999999999998</v>
      </c>
      <c r="AM1202" s="64">
        <f t="shared" si="146"/>
        <v>1086.1340000000002</v>
      </c>
    </row>
    <row r="1203" spans="6:39" ht="15.75">
      <c r="F1203" s="64">
        <v>3.2</v>
      </c>
      <c r="G1203" s="62" t="s">
        <v>4</v>
      </c>
      <c r="H1203" s="50" t="s">
        <v>236</v>
      </c>
      <c r="I1203" s="64">
        <f>(C13)</f>
        <v>576.79999999999995</v>
      </c>
      <c r="J1203" s="50" t="s">
        <v>4</v>
      </c>
      <c r="K1203" s="64">
        <f>(F1203*I1203)</f>
        <v>1845.76</v>
      </c>
      <c r="AC1203" s="52">
        <v>6</v>
      </c>
      <c r="AE1203" s="57">
        <f t="shared" si="144"/>
        <v>2.4779999999999998</v>
      </c>
      <c r="AF1203" s="64">
        <f t="shared" si="145"/>
        <v>1960.3720000000001</v>
      </c>
      <c r="AG1203" s="71">
        <f t="shared" si="139"/>
        <v>0</v>
      </c>
      <c r="AJ1203" s="52">
        <v>6</v>
      </c>
      <c r="AL1203" s="57">
        <f t="shared" si="143"/>
        <v>2.4779999999999998</v>
      </c>
      <c r="AM1203" s="64">
        <f t="shared" si="146"/>
        <v>1088.6120000000003</v>
      </c>
    </row>
    <row r="1204" spans="6:39" ht="15.75">
      <c r="F1204" s="64"/>
      <c r="G1204" s="62"/>
      <c r="H1204" s="50"/>
      <c r="I1204" s="64"/>
      <c r="J1204" s="50"/>
      <c r="K1204" s="64"/>
      <c r="AC1204" s="52">
        <v>7</v>
      </c>
      <c r="AE1204" s="57">
        <f t="shared" si="144"/>
        <v>2.4779999999999998</v>
      </c>
      <c r="AF1204" s="64">
        <f t="shared" si="145"/>
        <v>1962.8500000000001</v>
      </c>
      <c r="AG1204" s="71"/>
      <c r="AJ1204" s="52">
        <v>7</v>
      </c>
      <c r="AL1204" s="57">
        <f t="shared" si="143"/>
        <v>2.4779999999999998</v>
      </c>
      <c r="AM1204" s="64">
        <f t="shared" si="146"/>
        <v>1091.0900000000004</v>
      </c>
    </row>
    <row r="1205" spans="6:39" ht="15.75">
      <c r="F1205" s="64"/>
      <c r="G1205" s="62"/>
      <c r="H1205" s="50"/>
      <c r="I1205" s="64"/>
      <c r="J1205" s="50"/>
      <c r="K1205" s="64"/>
      <c r="AC1205" s="52">
        <v>8</v>
      </c>
      <c r="AE1205" s="57">
        <f t="shared" si="144"/>
        <v>2.4779999999999998</v>
      </c>
      <c r="AF1205" s="64">
        <f t="shared" si="145"/>
        <v>1965.3280000000002</v>
      </c>
      <c r="AG1205" s="71"/>
      <c r="AJ1205" s="52">
        <v>8</v>
      </c>
      <c r="AL1205" s="57">
        <f t="shared" si="143"/>
        <v>2.4779999999999998</v>
      </c>
      <c r="AM1205" s="64">
        <f t="shared" si="146"/>
        <v>1093.5680000000004</v>
      </c>
    </row>
    <row r="1206" spans="6:39" ht="15.75">
      <c r="F1206" s="64"/>
      <c r="G1206" s="62"/>
      <c r="H1206" s="50"/>
      <c r="I1206" s="64"/>
      <c r="J1206" s="50"/>
      <c r="K1206" s="64"/>
      <c r="AC1206" s="52">
        <v>9</v>
      </c>
      <c r="AE1206" s="57">
        <f t="shared" si="144"/>
        <v>2.4779999999999998</v>
      </c>
      <c r="AF1206" s="64">
        <f t="shared" si="145"/>
        <v>1967.8060000000003</v>
      </c>
      <c r="AG1206" s="71"/>
      <c r="AJ1206" s="52">
        <v>9</v>
      </c>
      <c r="AL1206" s="57">
        <f t="shared" si="143"/>
        <v>2.4779999999999998</v>
      </c>
      <c r="AM1206" s="64">
        <f t="shared" si="146"/>
        <v>1096.0460000000005</v>
      </c>
    </row>
    <row r="1207" spans="6:39" ht="15.75">
      <c r="F1207" s="64"/>
      <c r="G1207" s="62"/>
      <c r="H1207" s="50"/>
      <c r="I1207" s="64"/>
      <c r="J1207" s="50"/>
      <c r="K1207" s="64"/>
      <c r="AC1207" s="52">
        <v>10</v>
      </c>
      <c r="AE1207" s="57">
        <f t="shared" si="144"/>
        <v>2.4779999999999998</v>
      </c>
      <c r="AF1207" s="64">
        <f t="shared" si="145"/>
        <v>1970.2840000000003</v>
      </c>
      <c r="AG1207" s="71"/>
      <c r="AI1207" s="50"/>
    </row>
    <row r="1208" spans="6:39" ht="15.75">
      <c r="F1208" s="64"/>
      <c r="G1208" s="62"/>
      <c r="H1208" s="50"/>
      <c r="I1208" s="64"/>
      <c r="J1208" s="50"/>
      <c r="K1208" s="64"/>
      <c r="AC1208" s="52">
        <v>11</v>
      </c>
      <c r="AE1208" s="57">
        <f t="shared" si="144"/>
        <v>2.4779999999999998</v>
      </c>
      <c r="AF1208" s="64">
        <f t="shared" si="145"/>
        <v>1972.7620000000004</v>
      </c>
      <c r="AG1208" s="71"/>
      <c r="AI1208" s="50"/>
    </row>
    <row r="1209" spans="6:39" ht="15.75">
      <c r="G1209" s="62" t="s">
        <v>226</v>
      </c>
      <c r="H1209" s="50" t="s">
        <v>237</v>
      </c>
      <c r="I1209" s="50" t="s">
        <v>150</v>
      </c>
      <c r="J1209" s="50" t="s">
        <v>226</v>
      </c>
      <c r="K1209" s="64">
        <v>5</v>
      </c>
      <c r="N1209" s="53"/>
      <c r="Q1209" s="57"/>
      <c r="Z1209" s="101">
        <v>29.5</v>
      </c>
      <c r="AA1209" s="62" t="s">
        <v>249</v>
      </c>
      <c r="AB1209" s="62"/>
      <c r="AC1209" s="54" t="s">
        <v>1852</v>
      </c>
      <c r="AG1209" s="71" t="str">
        <f t="shared" ref="AG1209:AG1277" si="147">AI1209</f>
        <v>|</v>
      </c>
      <c r="AI1209" s="50" t="s">
        <v>1095</v>
      </c>
    </row>
    <row r="1210" spans="6:39" ht="15.75">
      <c r="K1210" s="59" t="s">
        <v>21</v>
      </c>
      <c r="N1210" s="53"/>
      <c r="Q1210" s="57"/>
      <c r="AA1210" s="53"/>
      <c r="AB1210" s="53"/>
      <c r="AC1210" s="54" t="s">
        <v>1853</v>
      </c>
      <c r="AG1210" s="71" t="str">
        <f t="shared" si="147"/>
        <v>|</v>
      </c>
      <c r="AI1210" s="50" t="s">
        <v>1095</v>
      </c>
    </row>
    <row r="1211" spans="6:39" ht="15.75">
      <c r="H1211" s="50" t="s">
        <v>238</v>
      </c>
      <c r="K1211" s="64">
        <f>SUM(K1200:K1209)</f>
        <v>5522.5540000000001</v>
      </c>
      <c r="N1211" s="53"/>
      <c r="Q1211" s="57"/>
      <c r="AA1211" s="53"/>
      <c r="AB1211" s="53"/>
      <c r="AC1211" s="50"/>
      <c r="AG1211" s="71" t="str">
        <f t="shared" si="147"/>
        <v>|</v>
      </c>
      <c r="AI1211" s="50" t="s">
        <v>1095</v>
      </c>
    </row>
    <row r="1212" spans="6:39" ht="19.5">
      <c r="F1212" s="52" t="s">
        <v>150</v>
      </c>
      <c r="K1212" s="59" t="s">
        <v>21</v>
      </c>
      <c r="N1212" s="53"/>
      <c r="O1212" s="208" t="s">
        <v>1854</v>
      </c>
      <c r="Q1212" s="57"/>
      <c r="AA1212" s="53"/>
      <c r="AB1212" s="53"/>
      <c r="AC1212" s="59" t="s">
        <v>21</v>
      </c>
      <c r="AD1212" s="59" t="s">
        <v>21</v>
      </c>
      <c r="AE1212" s="55">
        <f>54.96*10.764</f>
        <v>591.58943999999997</v>
      </c>
      <c r="AG1212" s="71" t="str">
        <f t="shared" si="147"/>
        <v>|</v>
      </c>
      <c r="AI1212" s="50" t="s">
        <v>1095</v>
      </c>
    </row>
    <row r="1213" spans="6:39" ht="94.5">
      <c r="H1213" s="66" t="s">
        <v>155</v>
      </c>
      <c r="K1213" s="63">
        <f>(K1211/10)</f>
        <v>552.25540000000001</v>
      </c>
      <c r="N1213" s="53"/>
      <c r="Q1213" s="57"/>
      <c r="Z1213" s="64">
        <v>10</v>
      </c>
      <c r="AA1213" s="62" t="s">
        <v>152</v>
      </c>
      <c r="AB1213" s="62"/>
      <c r="AC1213" s="116" t="s">
        <v>1855</v>
      </c>
      <c r="AD1213" s="97">
        <v>591.59</v>
      </c>
      <c r="AE1213" s="50" t="s">
        <v>152</v>
      </c>
      <c r="AF1213" s="64">
        <f>(Z1213*AD1213)</f>
        <v>5915.9000000000005</v>
      </c>
      <c r="AG1213" s="71" t="str">
        <f t="shared" si="147"/>
        <v>|</v>
      </c>
      <c r="AI1213" s="50" t="s">
        <v>1095</v>
      </c>
    </row>
    <row r="1214" spans="6:39" ht="15.75">
      <c r="K1214" s="59" t="s">
        <v>156</v>
      </c>
      <c r="N1214" s="53"/>
      <c r="Q1214" s="57"/>
      <c r="S1214" s="209" t="s">
        <v>1856</v>
      </c>
      <c r="Z1214" s="64">
        <v>0.21</v>
      </c>
      <c r="AA1214" s="62" t="s">
        <v>151</v>
      </c>
      <c r="AB1214" s="62"/>
      <c r="AC1214" s="50" t="s">
        <v>298</v>
      </c>
      <c r="AD1214" s="72">
        <f t="shared" ref="AD1214:AD1226" si="148">AD1242</f>
        <v>5022.7</v>
      </c>
      <c r="AE1214" s="50" t="s">
        <v>151</v>
      </c>
      <c r="AF1214" s="64">
        <f>(Z1214*AD1214)</f>
        <v>1054.7669999999998</v>
      </c>
      <c r="AG1214" s="71" t="str">
        <f t="shared" si="147"/>
        <v>|</v>
      </c>
      <c r="AI1214" s="50" t="s">
        <v>1095</v>
      </c>
    </row>
    <row r="1215" spans="6:39" ht="15.75">
      <c r="F1215" s="51" t="s">
        <v>1857</v>
      </c>
      <c r="G1215" s="62" t="s">
        <v>249</v>
      </c>
      <c r="H1215" s="50" t="s">
        <v>1858</v>
      </c>
      <c r="M1215" s="64">
        <v>10</v>
      </c>
      <c r="N1215" s="62" t="s">
        <v>152</v>
      </c>
      <c r="O1215" s="120" t="s">
        <v>1859</v>
      </c>
      <c r="P1215" s="96">
        <v>599</v>
      </c>
      <c r="Q1215" s="51" t="s">
        <v>152</v>
      </c>
      <c r="R1215" s="64">
        <f>M1215*P1215</f>
        <v>5990</v>
      </c>
      <c r="S1215" s="56">
        <v>694.02</v>
      </c>
      <c r="T1215" s="52">
        <f>S1215*M1215</f>
        <v>6940.2</v>
      </c>
      <c r="AA1215" s="53"/>
      <c r="AB1215" s="53"/>
      <c r="AC1215" s="50" t="s">
        <v>1860</v>
      </c>
      <c r="AD1215" s="72" t="str">
        <f t="shared" si="148"/>
        <v/>
      </c>
      <c r="AE1215" s="55"/>
      <c r="AF1215" s="50" t="s">
        <v>150</v>
      </c>
      <c r="AG1215" s="71" t="str">
        <f t="shared" si="147"/>
        <v>|</v>
      </c>
      <c r="AI1215" s="50" t="s">
        <v>1095</v>
      </c>
    </row>
    <row r="1216" spans="6:39" ht="15.75">
      <c r="H1216" s="50" t="s">
        <v>1861</v>
      </c>
      <c r="M1216" s="64">
        <v>0.21</v>
      </c>
      <c r="N1216" s="62" t="s">
        <v>151</v>
      </c>
      <c r="O1216" s="50" t="s">
        <v>298</v>
      </c>
      <c r="P1216" s="64">
        <f>I1220</f>
        <v>5022.7</v>
      </c>
      <c r="Q1216" s="51" t="s">
        <v>151</v>
      </c>
      <c r="R1216" s="64">
        <f t="shared" ref="R1216:R1225" si="149">(M1216*P1216)</f>
        <v>1054.7669999999998</v>
      </c>
      <c r="T1216" s="52">
        <f>R1216</f>
        <v>1054.7669999999998</v>
      </c>
      <c r="Z1216" s="64">
        <v>1.1000000000000001</v>
      </c>
      <c r="AA1216" s="62" t="s">
        <v>4</v>
      </c>
      <c r="AB1216" s="62"/>
      <c r="AC1216" s="50" t="s">
        <v>269</v>
      </c>
      <c r="AD1216" s="72">
        <f t="shared" si="148"/>
        <v>1076.5999999999999</v>
      </c>
      <c r="AE1216" s="50" t="s">
        <v>4</v>
      </c>
      <c r="AF1216" s="64">
        <f>(Z1216*AD1216)</f>
        <v>1184.26</v>
      </c>
      <c r="AG1216" s="71" t="str">
        <f t="shared" si="147"/>
        <v>|</v>
      </c>
      <c r="AI1216" s="50" t="s">
        <v>1095</v>
      </c>
    </row>
    <row r="1217" spans="6:35" ht="15.75">
      <c r="H1217" s="59" t="s">
        <v>21</v>
      </c>
      <c r="M1217" s="64">
        <v>1.1000000000000001</v>
      </c>
      <c r="N1217" s="62" t="s">
        <v>4</v>
      </c>
      <c r="O1217" s="50" t="s">
        <v>269</v>
      </c>
      <c r="P1217" s="64">
        <f>I1222</f>
        <v>1076.5999999999999</v>
      </c>
      <c r="Q1217" s="51" t="s">
        <v>4</v>
      </c>
      <c r="R1217" s="64">
        <f t="shared" si="149"/>
        <v>1184.26</v>
      </c>
      <c r="T1217" s="52">
        <f t="shared" ref="T1217:T1225" si="150">R1217</f>
        <v>1184.26</v>
      </c>
      <c r="Z1217" s="64">
        <v>1.1000000000000001</v>
      </c>
      <c r="AA1217" s="62" t="s">
        <v>4</v>
      </c>
      <c r="AB1217" s="62"/>
      <c r="AC1217" s="50" t="s">
        <v>234</v>
      </c>
      <c r="AD1217" s="72">
        <f t="shared" si="148"/>
        <v>1005.1999999999999</v>
      </c>
      <c r="AE1217" s="50" t="s">
        <v>4</v>
      </c>
      <c r="AF1217" s="64">
        <f>(Z1217*AD1217)</f>
        <v>1105.72</v>
      </c>
      <c r="AG1217" s="71" t="str">
        <f t="shared" si="147"/>
        <v>|</v>
      </c>
      <c r="AI1217" s="50" t="s">
        <v>1095</v>
      </c>
    </row>
    <row r="1218" spans="6:35" ht="15.75">
      <c r="F1218" s="64">
        <v>160</v>
      </c>
      <c r="G1218" s="62" t="s">
        <v>295</v>
      </c>
      <c r="H1218" s="50" t="s">
        <v>1862</v>
      </c>
      <c r="I1218" s="64">
        <f>(C137)</f>
        <v>11559</v>
      </c>
      <c r="J1218" s="50" t="s">
        <v>297</v>
      </c>
      <c r="K1218" s="64">
        <f>(F1218*I1218)/1000</f>
        <v>1849.44</v>
      </c>
      <c r="M1218" s="64">
        <v>1.1000000000000001</v>
      </c>
      <c r="N1218" s="62" t="s">
        <v>4</v>
      </c>
      <c r="O1218" s="50" t="s">
        <v>234</v>
      </c>
      <c r="P1218" s="64">
        <f>I1223</f>
        <v>1005.1999999999999</v>
      </c>
      <c r="Q1218" s="51" t="s">
        <v>4</v>
      </c>
      <c r="R1218" s="64">
        <f t="shared" si="149"/>
        <v>1105.72</v>
      </c>
      <c r="T1218" s="52">
        <f t="shared" si="150"/>
        <v>1105.72</v>
      </c>
      <c r="Z1218" s="64">
        <v>2.2000000000000002</v>
      </c>
      <c r="AA1218" s="62" t="s">
        <v>4</v>
      </c>
      <c r="AB1218" s="62"/>
      <c r="AC1218" s="50" t="s">
        <v>235</v>
      </c>
      <c r="AD1218" s="72">
        <f t="shared" si="148"/>
        <v>702.8</v>
      </c>
      <c r="AE1218" s="50" t="s">
        <v>4</v>
      </c>
      <c r="AF1218" s="64">
        <f>(Z1218*AD1218)</f>
        <v>1546.16</v>
      </c>
      <c r="AG1218" s="71" t="str">
        <f t="shared" si="147"/>
        <v>|</v>
      </c>
      <c r="AI1218" s="50" t="s">
        <v>1095</v>
      </c>
    </row>
    <row r="1219" spans="6:35" ht="15.75">
      <c r="H1219" s="50" t="s">
        <v>1863</v>
      </c>
      <c r="I1219" s="50" t="s">
        <v>150</v>
      </c>
      <c r="K1219" s="50" t="s">
        <v>150</v>
      </c>
      <c r="M1219" s="64">
        <v>2.2000000000000002</v>
      </c>
      <c r="N1219" s="62" t="s">
        <v>4</v>
      </c>
      <c r="O1219" s="50" t="s">
        <v>235</v>
      </c>
      <c r="P1219" s="64">
        <f>I1224</f>
        <v>702.8</v>
      </c>
      <c r="Q1219" s="51" t="s">
        <v>4</v>
      </c>
      <c r="R1219" s="64">
        <f t="shared" si="149"/>
        <v>1546.16</v>
      </c>
      <c r="T1219" s="52">
        <f t="shared" si="150"/>
        <v>1546.16</v>
      </c>
      <c r="Z1219" s="64">
        <v>2.2000000000000002</v>
      </c>
      <c r="AA1219" s="62" t="s">
        <v>4</v>
      </c>
      <c r="AB1219" s="62"/>
      <c r="AC1219" s="50" t="s">
        <v>236</v>
      </c>
      <c r="AD1219" s="72">
        <f t="shared" si="148"/>
        <v>576.79999999999995</v>
      </c>
      <c r="AE1219" s="50" t="s">
        <v>4</v>
      </c>
      <c r="AF1219" s="64">
        <f>(Z1219*AD1219)</f>
        <v>1268.96</v>
      </c>
      <c r="AG1219" s="71" t="str">
        <f t="shared" si="147"/>
        <v>|</v>
      </c>
      <c r="AI1219" s="50" t="s">
        <v>1095</v>
      </c>
    </row>
    <row r="1220" spans="6:35" ht="15.75">
      <c r="F1220" s="64">
        <v>0.21</v>
      </c>
      <c r="G1220" s="62" t="s">
        <v>151</v>
      </c>
      <c r="H1220" s="50" t="s">
        <v>298</v>
      </c>
      <c r="I1220" s="64">
        <f>(K32)</f>
        <v>5022.7</v>
      </c>
      <c r="J1220" s="50" t="s">
        <v>151</v>
      </c>
      <c r="K1220" s="64">
        <f>(F1220*I1220)</f>
        <v>1054.7669999999998</v>
      </c>
      <c r="M1220" s="64">
        <v>2.2000000000000002</v>
      </c>
      <c r="N1220" s="62" t="s">
        <v>4</v>
      </c>
      <c r="O1220" s="50" t="s">
        <v>236</v>
      </c>
      <c r="P1220" s="64">
        <f>I1225</f>
        <v>576.79999999999995</v>
      </c>
      <c r="Q1220" s="51" t="s">
        <v>4</v>
      </c>
      <c r="R1220" s="64">
        <f t="shared" si="149"/>
        <v>1268.96</v>
      </c>
      <c r="T1220" s="52">
        <f t="shared" si="150"/>
        <v>1268.96</v>
      </c>
      <c r="Z1220" s="100">
        <v>20</v>
      </c>
      <c r="AA1220" s="62" t="s">
        <v>13</v>
      </c>
      <c r="AB1220" s="62"/>
      <c r="AC1220" s="50" t="s">
        <v>252</v>
      </c>
      <c r="AD1220" s="72">
        <f t="shared" si="148"/>
        <v>5800</v>
      </c>
      <c r="AE1220" s="50" t="s">
        <v>251</v>
      </c>
      <c r="AF1220" s="64">
        <f>(Z1220*AD1220)/1000</f>
        <v>116</v>
      </c>
      <c r="AG1220" s="71" t="str">
        <f t="shared" si="147"/>
        <v>|</v>
      </c>
      <c r="AI1220" s="50" t="s">
        <v>1095</v>
      </c>
    </row>
    <row r="1221" spans="6:35" ht="15.75">
      <c r="H1221" s="50" t="s">
        <v>1860</v>
      </c>
      <c r="I1221" s="50" t="s">
        <v>150</v>
      </c>
      <c r="K1221" s="50" t="s">
        <v>150</v>
      </c>
      <c r="M1221" s="100">
        <v>20</v>
      </c>
      <c r="N1221" s="62" t="s">
        <v>13</v>
      </c>
      <c r="O1221" s="50" t="s">
        <v>252</v>
      </c>
      <c r="P1221" s="64">
        <f>I1226</f>
        <v>5800</v>
      </c>
      <c r="Q1221" s="51" t="s">
        <v>251</v>
      </c>
      <c r="R1221" s="64">
        <f>(M1221*P1221)/1000</f>
        <v>116</v>
      </c>
      <c r="T1221" s="52">
        <f t="shared" si="150"/>
        <v>116</v>
      </c>
      <c r="Z1221" s="100">
        <v>2</v>
      </c>
      <c r="AA1221" s="62" t="s">
        <v>13</v>
      </c>
      <c r="AB1221" s="62"/>
      <c r="AC1221" s="50" t="s">
        <v>1864</v>
      </c>
      <c r="AD1221" s="72">
        <f t="shared" si="148"/>
        <v>36.1</v>
      </c>
      <c r="AE1221" s="50" t="s">
        <v>13</v>
      </c>
      <c r="AF1221" s="64">
        <f>(Z1221*AD1221)</f>
        <v>72.2</v>
      </c>
      <c r="AG1221" s="71" t="str">
        <f t="shared" si="147"/>
        <v>|</v>
      </c>
      <c r="AI1221" s="50" t="s">
        <v>1095</v>
      </c>
    </row>
    <row r="1222" spans="6:35" ht="15.75">
      <c r="F1222" s="64">
        <v>1.1000000000000001</v>
      </c>
      <c r="G1222" s="62" t="s">
        <v>4</v>
      </c>
      <c r="H1222" s="50" t="s">
        <v>269</v>
      </c>
      <c r="I1222" s="64">
        <f>(C10)</f>
        <v>1076.5999999999999</v>
      </c>
      <c r="J1222" s="50" t="s">
        <v>4</v>
      </c>
      <c r="K1222" s="64">
        <f>(F1222*I1222)</f>
        <v>1184.26</v>
      </c>
      <c r="M1222" s="100">
        <v>2</v>
      </c>
      <c r="N1222" s="62" t="s">
        <v>13</v>
      </c>
      <c r="O1222" s="120" t="s">
        <v>1865</v>
      </c>
      <c r="P1222" s="73">
        <f>(22.2+26.8)/2</f>
        <v>24.5</v>
      </c>
      <c r="Q1222" s="51" t="s">
        <v>13</v>
      </c>
      <c r="R1222" s="64">
        <f t="shared" si="149"/>
        <v>49</v>
      </c>
      <c r="T1222" s="52">
        <f t="shared" si="150"/>
        <v>49</v>
      </c>
      <c r="Z1222" s="64">
        <v>1.6</v>
      </c>
      <c r="AA1222" s="62" t="s">
        <v>4</v>
      </c>
      <c r="AB1222" s="62"/>
      <c r="AC1222" s="50" t="s">
        <v>234</v>
      </c>
      <c r="AD1222" s="72">
        <f t="shared" si="148"/>
        <v>1005.1999999999999</v>
      </c>
      <c r="AE1222" s="50" t="s">
        <v>4</v>
      </c>
      <c r="AF1222" s="64">
        <f>(Z1222*AD1222)</f>
        <v>1608.32</v>
      </c>
      <c r="AG1222" s="71" t="str">
        <f t="shared" si="147"/>
        <v>|</v>
      </c>
      <c r="AI1222" s="50" t="s">
        <v>1095</v>
      </c>
    </row>
    <row r="1223" spans="6:35" ht="15.75">
      <c r="F1223" s="64">
        <v>1.1000000000000001</v>
      </c>
      <c r="G1223" s="62" t="s">
        <v>4</v>
      </c>
      <c r="H1223" s="50" t="s">
        <v>234</v>
      </c>
      <c r="I1223" s="64">
        <f>(C11)</f>
        <v>1005.1999999999999</v>
      </c>
      <c r="J1223" s="50" t="s">
        <v>4</v>
      </c>
      <c r="K1223" s="64">
        <f>(F1223*I1223)</f>
        <v>1105.72</v>
      </c>
      <c r="M1223" s="64">
        <v>1.6</v>
      </c>
      <c r="N1223" s="62" t="s">
        <v>4</v>
      </c>
      <c r="O1223" s="50" t="s">
        <v>234</v>
      </c>
      <c r="P1223" s="64">
        <f>P1218</f>
        <v>1005.1999999999999</v>
      </c>
      <c r="Q1223" s="51" t="s">
        <v>4</v>
      </c>
      <c r="R1223" s="64">
        <f t="shared" si="149"/>
        <v>1608.32</v>
      </c>
      <c r="T1223" s="52">
        <f t="shared" si="150"/>
        <v>1608.32</v>
      </c>
      <c r="Z1223" s="64">
        <v>0.5</v>
      </c>
      <c r="AA1223" s="62" t="s">
        <v>4</v>
      </c>
      <c r="AB1223" s="62"/>
      <c r="AC1223" s="50" t="s">
        <v>235</v>
      </c>
      <c r="AD1223" s="72">
        <f t="shared" si="148"/>
        <v>702.8</v>
      </c>
      <c r="AE1223" s="50" t="s">
        <v>4</v>
      </c>
      <c r="AF1223" s="64">
        <f>(Z1223*AD1223)</f>
        <v>351.4</v>
      </c>
      <c r="AG1223" s="71" t="str">
        <f t="shared" si="147"/>
        <v>|</v>
      </c>
      <c r="AI1223" s="50" t="s">
        <v>1095</v>
      </c>
    </row>
    <row r="1224" spans="6:35" ht="15.75">
      <c r="F1224" s="64">
        <v>2.2000000000000002</v>
      </c>
      <c r="G1224" s="62" t="s">
        <v>4</v>
      </c>
      <c r="H1224" s="50" t="s">
        <v>235</v>
      </c>
      <c r="I1224" s="64">
        <f>(C12)</f>
        <v>702.8</v>
      </c>
      <c r="J1224" s="50" t="s">
        <v>4</v>
      </c>
      <c r="K1224" s="64">
        <f>(F1224*I1224)</f>
        <v>1546.16</v>
      </c>
      <c r="M1224" s="64">
        <v>0.5</v>
      </c>
      <c r="N1224" s="62" t="s">
        <v>4</v>
      </c>
      <c r="O1224" s="50" t="s">
        <v>235</v>
      </c>
      <c r="P1224" s="64">
        <f>P1219</f>
        <v>702.8</v>
      </c>
      <c r="Q1224" s="51" t="s">
        <v>4</v>
      </c>
      <c r="R1224" s="64">
        <f t="shared" si="149"/>
        <v>351.4</v>
      </c>
      <c r="T1224" s="52">
        <f t="shared" si="150"/>
        <v>351.4</v>
      </c>
      <c r="Z1224" s="64">
        <v>1.1000000000000001</v>
      </c>
      <c r="AA1224" s="62" t="s">
        <v>4</v>
      </c>
      <c r="AB1224" s="62"/>
      <c r="AC1224" s="50" t="s">
        <v>236</v>
      </c>
      <c r="AD1224" s="72">
        <f t="shared" si="148"/>
        <v>576.79999999999995</v>
      </c>
      <c r="AE1224" s="50" t="s">
        <v>4</v>
      </c>
      <c r="AF1224" s="64">
        <f>(Z1224*AD1224)</f>
        <v>634.48</v>
      </c>
      <c r="AG1224" s="71" t="str">
        <f t="shared" si="147"/>
        <v>|</v>
      </c>
      <c r="AI1224" s="50" t="s">
        <v>1095</v>
      </c>
    </row>
    <row r="1225" spans="6:35" ht="15.75">
      <c r="F1225" s="64">
        <v>2.2000000000000002</v>
      </c>
      <c r="G1225" s="62" t="s">
        <v>4</v>
      </c>
      <c r="H1225" s="50" t="s">
        <v>236</v>
      </c>
      <c r="I1225" s="64">
        <f>(C13)</f>
        <v>576.79999999999995</v>
      </c>
      <c r="J1225" s="50" t="s">
        <v>4</v>
      </c>
      <c r="K1225" s="64">
        <f>(F1225*I1225)</f>
        <v>1268.96</v>
      </c>
      <c r="M1225" s="64">
        <v>1.1000000000000001</v>
      </c>
      <c r="N1225" s="62" t="s">
        <v>4</v>
      </c>
      <c r="O1225" s="50" t="s">
        <v>236</v>
      </c>
      <c r="P1225" s="64">
        <f>P1220</f>
        <v>576.79999999999995</v>
      </c>
      <c r="Q1225" s="51" t="s">
        <v>4</v>
      </c>
      <c r="R1225" s="64">
        <f t="shared" si="149"/>
        <v>634.48</v>
      </c>
      <c r="T1225" s="52">
        <f t="shared" si="150"/>
        <v>634.48</v>
      </c>
      <c r="AA1225" s="62" t="s">
        <v>226</v>
      </c>
      <c r="AB1225" s="62"/>
      <c r="AC1225" s="50" t="s">
        <v>237</v>
      </c>
      <c r="AD1225" s="72">
        <f t="shared" si="148"/>
        <v>0</v>
      </c>
      <c r="AE1225" s="50" t="s">
        <v>226</v>
      </c>
      <c r="AF1225" s="64">
        <v>0</v>
      </c>
      <c r="AG1225" s="71" t="str">
        <f t="shared" si="147"/>
        <v>|</v>
      </c>
      <c r="AI1225" s="50" t="s">
        <v>1095</v>
      </c>
    </row>
    <row r="1226" spans="6:35" ht="15.75">
      <c r="F1226" s="100">
        <v>22</v>
      </c>
      <c r="G1226" s="62" t="s">
        <v>13</v>
      </c>
      <c r="H1226" s="50" t="s">
        <v>252</v>
      </c>
      <c r="I1226" s="64">
        <f>(C67)</f>
        <v>5800</v>
      </c>
      <c r="J1226" s="50" t="s">
        <v>251</v>
      </c>
      <c r="K1226" s="64">
        <f>(F1226*I1226)/1000</f>
        <v>127.6</v>
      </c>
      <c r="N1226" s="62" t="s">
        <v>226</v>
      </c>
      <c r="O1226" s="50" t="s">
        <v>237</v>
      </c>
      <c r="Q1226" s="51" t="s">
        <v>226</v>
      </c>
      <c r="R1226" s="64">
        <v>4.5999999999999996</v>
      </c>
      <c r="S1226" s="56">
        <f>3.27-0.52</f>
        <v>2.75</v>
      </c>
      <c r="T1226" s="52">
        <v>2.74</v>
      </c>
      <c r="AA1226" s="53"/>
      <c r="AB1226" s="53"/>
      <c r="AD1226" s="72">
        <f t="shared" si="148"/>
        <v>0</v>
      </c>
      <c r="AE1226" s="55"/>
      <c r="AF1226" s="59" t="s">
        <v>21</v>
      </c>
      <c r="AG1226" s="71" t="str">
        <f t="shared" si="147"/>
        <v>|</v>
      </c>
      <c r="AI1226" s="50" t="s">
        <v>1095</v>
      </c>
    </row>
    <row r="1227" spans="6:35" ht="15.75">
      <c r="F1227" s="64">
        <v>1.6</v>
      </c>
      <c r="G1227" s="62" t="s">
        <v>4</v>
      </c>
      <c r="H1227" s="50" t="s">
        <v>234</v>
      </c>
      <c r="I1227" s="64">
        <f>(C11)</f>
        <v>1005.1999999999999</v>
      </c>
      <c r="J1227" s="50" t="s">
        <v>4</v>
      </c>
      <c r="K1227" s="64">
        <f>(F1227*I1227)</f>
        <v>1608.32</v>
      </c>
      <c r="N1227" s="53"/>
      <c r="Q1227" s="57"/>
      <c r="R1227" s="59" t="s">
        <v>21</v>
      </c>
      <c r="AA1227" s="53"/>
      <c r="AB1227" s="53"/>
      <c r="AC1227" s="50" t="s">
        <v>238</v>
      </c>
      <c r="AE1227" s="55"/>
      <c r="AF1227" s="64">
        <f>SUM(AF1213:AF1225)</f>
        <v>14858.166999999999</v>
      </c>
      <c r="AG1227" s="71" t="str">
        <f t="shared" si="147"/>
        <v>|::</v>
      </c>
      <c r="AI1227" s="50" t="s">
        <v>892</v>
      </c>
    </row>
    <row r="1228" spans="6:35" ht="15.75">
      <c r="F1228" s="64">
        <v>0.5</v>
      </c>
      <c r="G1228" s="62" t="s">
        <v>4</v>
      </c>
      <c r="H1228" s="50" t="s">
        <v>235</v>
      </c>
      <c r="I1228" s="64">
        <f>(C12)</f>
        <v>702.8</v>
      </c>
      <c r="J1228" s="50" t="s">
        <v>4</v>
      </c>
      <c r="K1228" s="64">
        <f>(F1228*I1228)</f>
        <v>351.4</v>
      </c>
      <c r="N1228" s="53"/>
      <c r="O1228" s="50" t="s">
        <v>238</v>
      </c>
      <c r="Q1228" s="57"/>
      <c r="R1228" s="64">
        <f>SUM(R1215:R1226)</f>
        <v>14913.666999999998</v>
      </c>
      <c r="T1228" s="64">
        <f>SUM(T1215:T1227)</f>
        <v>15862.006999999998</v>
      </c>
      <c r="AA1228" s="53"/>
      <c r="AB1228" s="53"/>
      <c r="AE1228" s="55"/>
      <c r="AF1228" s="59" t="s">
        <v>21</v>
      </c>
      <c r="AG1228" s="71">
        <f t="shared" si="147"/>
        <v>0</v>
      </c>
    </row>
    <row r="1229" spans="6:35" ht="15.75">
      <c r="F1229" s="64">
        <v>1.1000000000000001</v>
      </c>
      <c r="G1229" s="62" t="s">
        <v>4</v>
      </c>
      <c r="H1229" s="50" t="s">
        <v>236</v>
      </c>
      <c r="I1229" s="64">
        <f>(C13)</f>
        <v>576.79999999999995</v>
      </c>
      <c r="J1229" s="50" t="s">
        <v>4</v>
      </c>
      <c r="K1229" s="64">
        <f>(F1229*I1229)</f>
        <v>634.48</v>
      </c>
      <c r="N1229" s="53"/>
      <c r="Q1229" s="57"/>
      <c r="R1229" s="59" t="s">
        <v>21</v>
      </c>
      <c r="AA1229" s="53"/>
      <c r="AB1229" s="53"/>
      <c r="AC1229" s="66" t="s">
        <v>155</v>
      </c>
      <c r="AE1229" s="55"/>
      <c r="AF1229" s="63">
        <f>(AF1227/10)</f>
        <v>1485.8166999999999</v>
      </c>
      <c r="AG1229" s="71">
        <f t="shared" si="147"/>
        <v>0</v>
      </c>
    </row>
    <row r="1230" spans="6:35" ht="15.75">
      <c r="F1230" s="50" t="s">
        <v>646</v>
      </c>
      <c r="H1230" s="50" t="s">
        <v>1866</v>
      </c>
      <c r="I1230" s="50" t="s">
        <v>150</v>
      </c>
      <c r="K1230" s="50" t="s">
        <v>150</v>
      </c>
      <c r="N1230" s="53"/>
      <c r="O1230" s="54" t="s">
        <v>155</v>
      </c>
      <c r="Q1230" s="57"/>
      <c r="R1230" s="63">
        <f>(R1228/10)</f>
        <v>1491.3666999999998</v>
      </c>
      <c r="S1230" s="56">
        <f>R1230-975.62</f>
        <v>515.74669999999981</v>
      </c>
      <c r="T1230" s="63">
        <f>(T1228/10)</f>
        <v>1586.2006999999999</v>
      </c>
      <c r="AA1230" s="53"/>
      <c r="AB1230" s="53"/>
      <c r="AE1230" s="55"/>
      <c r="AF1230" s="59" t="s">
        <v>156</v>
      </c>
      <c r="AG1230" s="71" t="str">
        <f t="shared" si="147"/>
        <v>|</v>
      </c>
      <c r="AI1230" s="50" t="s">
        <v>1095</v>
      </c>
    </row>
    <row r="1231" spans="6:35" ht="19.5">
      <c r="F1231" s="64">
        <v>1</v>
      </c>
      <c r="G1231" s="62" t="s">
        <v>226</v>
      </c>
      <c r="H1231" s="50" t="s">
        <v>1867</v>
      </c>
      <c r="I1231" s="64">
        <f>(C57)</f>
        <v>35</v>
      </c>
      <c r="J1231" s="50" t="s">
        <v>226</v>
      </c>
      <c r="K1231" s="64">
        <f>(F1231*I1231)</f>
        <v>35</v>
      </c>
      <c r="N1231" s="53"/>
      <c r="O1231" s="208" t="s">
        <v>1868</v>
      </c>
      <c r="P1231" s="65" t="s">
        <v>1869</v>
      </c>
      <c r="Q1231" s="57"/>
      <c r="AG1231" s="71" t="str">
        <f t="shared" si="147"/>
        <v>|</v>
      </c>
      <c r="AI1231" s="50" t="s">
        <v>1095</v>
      </c>
    </row>
    <row r="1232" spans="6:35" ht="15.75">
      <c r="F1232" s="64">
        <v>1</v>
      </c>
      <c r="G1232" s="62" t="s">
        <v>226</v>
      </c>
      <c r="H1232" s="50" t="s">
        <v>1870</v>
      </c>
      <c r="I1232" s="64">
        <f>(C58)</f>
        <v>15</v>
      </c>
      <c r="J1232" s="50" t="s">
        <v>226</v>
      </c>
      <c r="K1232" s="64">
        <f>(F1232*I1232)</f>
        <v>15</v>
      </c>
      <c r="N1232" s="53"/>
      <c r="Q1232" s="57"/>
      <c r="AG1232" s="71" t="str">
        <f t="shared" si="147"/>
        <v>|</v>
      </c>
      <c r="AI1232" s="50" t="s">
        <v>1095</v>
      </c>
    </row>
    <row r="1233" spans="6:35" ht="15.75">
      <c r="F1233" s="64">
        <v>1</v>
      </c>
      <c r="G1233" s="62" t="s">
        <v>226</v>
      </c>
      <c r="H1233" s="50" t="s">
        <v>1871</v>
      </c>
      <c r="I1233" s="64">
        <f>(C28)</f>
        <v>84.8</v>
      </c>
      <c r="J1233" s="50" t="s">
        <v>226</v>
      </c>
      <c r="K1233" s="64">
        <f>(F1233*I1233)</f>
        <v>84.8</v>
      </c>
      <c r="M1233" s="210"/>
      <c r="N1233" s="211"/>
      <c r="O1233" s="210"/>
      <c r="P1233" s="210"/>
      <c r="Q1233" s="57"/>
      <c r="AG1233" s="71" t="str">
        <f t="shared" si="147"/>
        <v>|</v>
      </c>
      <c r="AI1233" s="50" t="s">
        <v>1095</v>
      </c>
    </row>
    <row r="1234" spans="6:35" ht="19.5">
      <c r="F1234" s="64">
        <v>1.1000000000000001</v>
      </c>
      <c r="G1234" s="62" t="s">
        <v>4</v>
      </c>
      <c r="H1234" s="50" t="s">
        <v>1872</v>
      </c>
      <c r="I1234" s="64">
        <f>(C29)</f>
        <v>828.8</v>
      </c>
      <c r="J1234" s="50" t="s">
        <v>4</v>
      </c>
      <c r="K1234" s="64">
        <f>(F1234*I1234)</f>
        <v>911.68000000000006</v>
      </c>
      <c r="M1234" s="64">
        <v>10</v>
      </c>
      <c r="N1234" s="62" t="s">
        <v>152</v>
      </c>
      <c r="O1234" s="50" t="s">
        <v>1873</v>
      </c>
      <c r="P1234" s="212">
        <v>597</v>
      </c>
      <c r="Q1234" s="51" t="s">
        <v>152</v>
      </c>
      <c r="R1234" s="64">
        <f>M1234*P1234</f>
        <v>5970</v>
      </c>
      <c r="T1234" s="53"/>
      <c r="U1234" s="208" t="s">
        <v>1874</v>
      </c>
      <c r="W1234" s="57"/>
      <c r="AG1234" s="71" t="str">
        <f t="shared" si="147"/>
        <v>|</v>
      </c>
      <c r="AI1234" s="50" t="s">
        <v>1095</v>
      </c>
    </row>
    <row r="1235" spans="6:35" ht="15.75">
      <c r="F1235" s="64">
        <v>2.2000000000000002</v>
      </c>
      <c r="G1235" s="62" t="s">
        <v>4</v>
      </c>
      <c r="H1235" s="50" t="s">
        <v>1875</v>
      </c>
      <c r="I1235" s="64">
        <f>(C13)</f>
        <v>576.79999999999995</v>
      </c>
      <c r="J1235" s="50" t="s">
        <v>4</v>
      </c>
      <c r="K1235" s="64">
        <f>(F1235*I1235)</f>
        <v>1268.96</v>
      </c>
      <c r="M1235" s="64">
        <v>0.21</v>
      </c>
      <c r="N1235" s="62" t="s">
        <v>151</v>
      </c>
      <c r="O1235" s="50" t="s">
        <v>298</v>
      </c>
      <c r="P1235" s="64">
        <f>P1258</f>
        <v>5022.7</v>
      </c>
      <c r="Q1235" s="51" t="s">
        <v>151</v>
      </c>
      <c r="R1235" s="64">
        <f>(M1235*P1235)</f>
        <v>1054.7669999999998</v>
      </c>
      <c r="T1235" s="53"/>
      <c r="W1235" s="57"/>
      <c r="AG1235" s="71" t="str">
        <f t="shared" si="147"/>
        <v>|</v>
      </c>
      <c r="AI1235" s="50" t="s">
        <v>1095</v>
      </c>
    </row>
    <row r="1236" spans="6:35" ht="15.75">
      <c r="G1236" s="62" t="s">
        <v>226</v>
      </c>
      <c r="H1236" s="50" t="s">
        <v>237</v>
      </c>
      <c r="J1236" s="50" t="s">
        <v>226</v>
      </c>
      <c r="K1236" s="64">
        <v>0</v>
      </c>
      <c r="M1236" s="64">
        <v>1.1000000000000001</v>
      </c>
      <c r="N1236" s="62" t="s">
        <v>4</v>
      </c>
      <c r="O1236" s="50" t="s">
        <v>269</v>
      </c>
      <c r="P1236" s="64">
        <f t="shared" ref="P1236:P1244" si="151">P1259</f>
        <v>1076.5999999999999</v>
      </c>
      <c r="Q1236" s="51" t="s">
        <v>4</v>
      </c>
      <c r="R1236" s="64">
        <f>(M1236*P1236)</f>
        <v>1184.26</v>
      </c>
      <c r="T1236" s="53"/>
      <c r="W1236" s="57"/>
      <c r="AG1236" s="71" t="str">
        <f t="shared" si="147"/>
        <v>|</v>
      </c>
      <c r="AI1236" s="50" t="s">
        <v>1095</v>
      </c>
    </row>
    <row r="1237" spans="6:35" ht="15.75">
      <c r="K1237" s="59" t="s">
        <v>21</v>
      </c>
      <c r="M1237" s="64">
        <v>1.1000000000000001</v>
      </c>
      <c r="N1237" s="62" t="s">
        <v>4</v>
      </c>
      <c r="O1237" s="50" t="s">
        <v>234</v>
      </c>
      <c r="P1237" s="64">
        <f t="shared" si="151"/>
        <v>1005.1999999999999</v>
      </c>
      <c r="Q1237" s="51" t="s">
        <v>4</v>
      </c>
      <c r="R1237" s="64">
        <f>(M1237*P1237)</f>
        <v>1105.72</v>
      </c>
      <c r="S1237" s="100">
        <v>10</v>
      </c>
      <c r="T1237" s="62" t="s">
        <v>152</v>
      </c>
      <c r="U1237" s="50" t="s">
        <v>1876</v>
      </c>
      <c r="V1237" s="154">
        <v>700</v>
      </c>
      <c r="W1237" s="51" t="s">
        <v>152</v>
      </c>
      <c r="X1237" s="64">
        <f>S1237*V1237</f>
        <v>7000</v>
      </c>
      <c r="Y1237" s="64"/>
      <c r="Z1237" s="101">
        <v>29.5</v>
      </c>
      <c r="AA1237" s="62" t="s">
        <v>249</v>
      </c>
      <c r="AB1237" s="62"/>
      <c r="AC1237" s="54" t="s">
        <v>1877</v>
      </c>
      <c r="AG1237" s="71" t="str">
        <f t="shared" si="147"/>
        <v>|</v>
      </c>
      <c r="AI1237" s="50" t="s">
        <v>1095</v>
      </c>
    </row>
    <row r="1238" spans="6:35" ht="15.75">
      <c r="H1238" s="50" t="s">
        <v>238</v>
      </c>
      <c r="K1238" s="64">
        <f>SUM(K1218:K1236)</f>
        <v>13046.546999999999</v>
      </c>
      <c r="M1238" s="64">
        <v>2.2000000000000002</v>
      </c>
      <c r="N1238" s="62" t="s">
        <v>4</v>
      </c>
      <c r="O1238" s="50" t="s">
        <v>235</v>
      </c>
      <c r="P1238" s="64">
        <f t="shared" si="151"/>
        <v>702.8</v>
      </c>
      <c r="Q1238" s="51" t="s">
        <v>4</v>
      </c>
      <c r="R1238" s="64">
        <f>(M1238*P1238)</f>
        <v>1546.16</v>
      </c>
      <c r="S1238" s="100">
        <v>0.21</v>
      </c>
      <c r="T1238" s="62" t="s">
        <v>151</v>
      </c>
      <c r="U1238" s="50" t="s">
        <v>298</v>
      </c>
      <c r="V1238" s="64">
        <f t="shared" ref="V1238:V1247" si="152">P1258</f>
        <v>5022.7</v>
      </c>
      <c r="W1238" s="51" t="s">
        <v>151</v>
      </c>
      <c r="X1238" s="64">
        <f>(S1238*V1238)</f>
        <v>1054.7669999999998</v>
      </c>
      <c r="Y1238" s="64"/>
      <c r="AA1238" s="53"/>
      <c r="AB1238" s="53"/>
      <c r="AC1238" s="50"/>
      <c r="AG1238" s="71" t="str">
        <f t="shared" si="147"/>
        <v>|</v>
      </c>
      <c r="AI1238" s="50" t="s">
        <v>1095</v>
      </c>
    </row>
    <row r="1239" spans="6:35" ht="15.75">
      <c r="K1239" s="59" t="s">
        <v>21</v>
      </c>
      <c r="M1239" s="64">
        <v>2.2000000000000002</v>
      </c>
      <c r="N1239" s="62" t="s">
        <v>4</v>
      </c>
      <c r="O1239" s="50" t="s">
        <v>236</v>
      </c>
      <c r="P1239" s="64">
        <f t="shared" si="151"/>
        <v>576.79999999999995</v>
      </c>
      <c r="Q1239" s="51" t="s">
        <v>4</v>
      </c>
      <c r="R1239" s="64">
        <f>(M1239*P1239)</f>
        <v>1268.96</v>
      </c>
      <c r="S1239" s="100">
        <v>1.1000000000000001</v>
      </c>
      <c r="T1239" s="62" t="s">
        <v>4</v>
      </c>
      <c r="U1239" s="50" t="s">
        <v>269</v>
      </c>
      <c r="V1239" s="64">
        <f t="shared" si="152"/>
        <v>1076.5999999999999</v>
      </c>
      <c r="W1239" s="51" t="s">
        <v>4</v>
      </c>
      <c r="X1239" s="64">
        <f>(S1239*V1239)</f>
        <v>1184.26</v>
      </c>
      <c r="Y1239" s="64"/>
      <c r="AA1239" s="53"/>
      <c r="AB1239" s="53"/>
      <c r="AC1239" s="50"/>
      <c r="AG1239" s="71" t="str">
        <f t="shared" si="147"/>
        <v>|</v>
      </c>
      <c r="AI1239" s="50" t="s">
        <v>1095</v>
      </c>
    </row>
    <row r="1240" spans="6:35" ht="15.75">
      <c r="F1240" s="50" t="s">
        <v>150</v>
      </c>
      <c r="M1240" s="100">
        <v>20</v>
      </c>
      <c r="N1240" s="62" t="s">
        <v>13</v>
      </c>
      <c r="O1240" s="50" t="s">
        <v>252</v>
      </c>
      <c r="P1240" s="64">
        <f t="shared" si="151"/>
        <v>5800</v>
      </c>
      <c r="Q1240" s="51" t="s">
        <v>251</v>
      </c>
      <c r="R1240" s="64">
        <f>(M1240*P1240)/1000</f>
        <v>116</v>
      </c>
      <c r="S1240" s="100">
        <v>1.1000000000000001</v>
      </c>
      <c r="T1240" s="62" t="s">
        <v>4</v>
      </c>
      <c r="U1240" s="50" t="s">
        <v>234</v>
      </c>
      <c r="V1240" s="64">
        <f t="shared" si="152"/>
        <v>1005.1999999999999</v>
      </c>
      <c r="W1240" s="51" t="s">
        <v>4</v>
      </c>
      <c r="X1240" s="64">
        <f>(S1240*V1240)</f>
        <v>1105.72</v>
      </c>
      <c r="Y1240" s="64"/>
      <c r="AA1240" s="53"/>
      <c r="AB1240" s="53"/>
      <c r="AC1240" s="59" t="s">
        <v>21</v>
      </c>
      <c r="AD1240" s="59" t="s">
        <v>21</v>
      </c>
      <c r="AE1240" s="55"/>
      <c r="AG1240" s="71" t="str">
        <f t="shared" si="147"/>
        <v>|</v>
      </c>
      <c r="AI1240" s="50" t="s">
        <v>1095</v>
      </c>
    </row>
    <row r="1241" spans="6:35" ht="126">
      <c r="H1241" s="66" t="s">
        <v>155</v>
      </c>
      <c r="K1241" s="63">
        <f>(K1238/10)</f>
        <v>1304.6546999999998</v>
      </c>
      <c r="M1241" s="100">
        <v>2</v>
      </c>
      <c r="N1241" s="62" t="s">
        <v>13</v>
      </c>
      <c r="O1241" s="50" t="s">
        <v>1878</v>
      </c>
      <c r="P1241" s="64">
        <f t="shared" si="151"/>
        <v>36.1</v>
      </c>
      <c r="Q1241" s="51" t="s">
        <v>13</v>
      </c>
      <c r="R1241" s="64">
        <f>(M1241*P1241)</f>
        <v>72.2</v>
      </c>
      <c r="S1241" s="100">
        <v>2.2000000000000002</v>
      </c>
      <c r="T1241" s="62" t="s">
        <v>4</v>
      </c>
      <c r="U1241" s="50" t="s">
        <v>235</v>
      </c>
      <c r="V1241" s="64">
        <f t="shared" si="152"/>
        <v>702.8</v>
      </c>
      <c r="W1241" s="51" t="s">
        <v>4</v>
      </c>
      <c r="X1241" s="64">
        <f>(S1241*V1241)</f>
        <v>1546.16</v>
      </c>
      <c r="Y1241" s="64"/>
      <c r="Z1241" s="64">
        <v>10</v>
      </c>
      <c r="AA1241" s="62" t="s">
        <v>152</v>
      </c>
      <c r="AB1241" s="62"/>
      <c r="AC1241" s="116" t="s">
        <v>1879</v>
      </c>
      <c r="AD1241" s="73">
        <v>756</v>
      </c>
      <c r="AE1241" s="50" t="s">
        <v>152</v>
      </c>
      <c r="AF1241" s="64">
        <f>(Z1241*AD1241)</f>
        <v>7560</v>
      </c>
      <c r="AG1241" s="71" t="str">
        <f t="shared" si="147"/>
        <v>|</v>
      </c>
      <c r="AI1241" s="50" t="s">
        <v>1095</v>
      </c>
    </row>
    <row r="1242" spans="6:35" ht="15.75">
      <c r="F1242" s="50" t="s">
        <v>150</v>
      </c>
      <c r="M1242" s="64">
        <v>1.6</v>
      </c>
      <c r="N1242" s="62" t="s">
        <v>4</v>
      </c>
      <c r="O1242" s="50" t="s">
        <v>234</v>
      </c>
      <c r="P1242" s="64">
        <f t="shared" si="151"/>
        <v>1005.1999999999999</v>
      </c>
      <c r="Q1242" s="51" t="s">
        <v>4</v>
      </c>
      <c r="R1242" s="64">
        <f>(M1242*P1242)</f>
        <v>1608.32</v>
      </c>
      <c r="S1242" s="100">
        <v>2.2000000000000002</v>
      </c>
      <c r="T1242" s="62" t="s">
        <v>4</v>
      </c>
      <c r="U1242" s="50" t="s">
        <v>236</v>
      </c>
      <c r="V1242" s="64">
        <f t="shared" si="152"/>
        <v>576.79999999999995</v>
      </c>
      <c r="W1242" s="51" t="s">
        <v>4</v>
      </c>
      <c r="X1242" s="64">
        <f>(S1242*V1242)</f>
        <v>1268.96</v>
      </c>
      <c r="Y1242" s="64"/>
      <c r="Z1242" s="64">
        <v>0.21</v>
      </c>
      <c r="AA1242" s="62" t="s">
        <v>151</v>
      </c>
      <c r="AB1242" s="62"/>
      <c r="AC1242" s="50" t="s">
        <v>298</v>
      </c>
      <c r="AD1242" s="64">
        <f>V1238</f>
        <v>5022.7</v>
      </c>
      <c r="AE1242" s="50" t="s">
        <v>151</v>
      </c>
      <c r="AF1242" s="64">
        <f>(Z1242*AD1242)</f>
        <v>1054.7669999999998</v>
      </c>
      <c r="AG1242" s="71" t="str">
        <f t="shared" si="147"/>
        <v>|</v>
      </c>
      <c r="AI1242" s="50" t="s">
        <v>1095</v>
      </c>
    </row>
    <row r="1243" spans="6:35" ht="15.75">
      <c r="K1243" s="59" t="s">
        <v>156</v>
      </c>
      <c r="M1243" s="64">
        <v>0.5</v>
      </c>
      <c r="N1243" s="62" t="s">
        <v>4</v>
      </c>
      <c r="O1243" s="50" t="s">
        <v>235</v>
      </c>
      <c r="P1243" s="64">
        <f t="shared" si="151"/>
        <v>702.8</v>
      </c>
      <c r="Q1243" s="51" t="s">
        <v>4</v>
      </c>
      <c r="R1243" s="64">
        <f>(M1243*P1243)</f>
        <v>351.4</v>
      </c>
      <c r="S1243" s="100">
        <v>20</v>
      </c>
      <c r="T1243" s="62" t="s">
        <v>13</v>
      </c>
      <c r="U1243" s="50" t="s">
        <v>252</v>
      </c>
      <c r="V1243" s="64">
        <f t="shared" si="152"/>
        <v>5800</v>
      </c>
      <c r="W1243" s="51" t="s">
        <v>251</v>
      </c>
      <c r="X1243" s="64">
        <f>(S1243*V1243)/1000</f>
        <v>116</v>
      </c>
      <c r="Y1243" s="64"/>
      <c r="AA1243" s="53"/>
      <c r="AB1243" s="53"/>
      <c r="AC1243" s="50" t="s">
        <v>1860</v>
      </c>
      <c r="AD1243" s="50" t="s">
        <v>150</v>
      </c>
      <c r="AE1243" s="55"/>
      <c r="AF1243" s="50" t="s">
        <v>150</v>
      </c>
      <c r="AG1243" s="71" t="str">
        <f t="shared" si="147"/>
        <v>|</v>
      </c>
      <c r="AI1243" s="50" t="s">
        <v>1095</v>
      </c>
    </row>
    <row r="1244" spans="6:35" ht="15.75">
      <c r="F1244" s="101">
        <v>29.5</v>
      </c>
      <c r="G1244" s="62" t="s">
        <v>249</v>
      </c>
      <c r="H1244" s="50" t="s">
        <v>1880</v>
      </c>
      <c r="M1244" s="64">
        <v>1.1000000000000001</v>
      </c>
      <c r="N1244" s="62" t="s">
        <v>4</v>
      </c>
      <c r="O1244" s="50" t="s">
        <v>236</v>
      </c>
      <c r="P1244" s="64">
        <f t="shared" si="151"/>
        <v>576.79999999999995</v>
      </c>
      <c r="Q1244" s="51" t="s">
        <v>4</v>
      </c>
      <c r="R1244" s="64">
        <f>(M1244*P1244)</f>
        <v>634.48</v>
      </c>
      <c r="S1244" s="100">
        <v>2</v>
      </c>
      <c r="T1244" s="62" t="s">
        <v>13</v>
      </c>
      <c r="U1244" s="50" t="s">
        <v>1878</v>
      </c>
      <c r="V1244" s="64">
        <f t="shared" si="152"/>
        <v>36.1</v>
      </c>
      <c r="W1244" s="51" t="s">
        <v>13</v>
      </c>
      <c r="X1244" s="64">
        <f>(S1244*V1244)</f>
        <v>72.2</v>
      </c>
      <c r="Y1244" s="64"/>
      <c r="Z1244" s="64">
        <v>1.1000000000000001</v>
      </c>
      <c r="AA1244" s="62" t="s">
        <v>4</v>
      </c>
      <c r="AB1244" s="62"/>
      <c r="AC1244" s="50" t="s">
        <v>269</v>
      </c>
      <c r="AD1244" s="64">
        <f>V1239</f>
        <v>1076.5999999999999</v>
      </c>
      <c r="AE1244" s="50" t="s">
        <v>4</v>
      </c>
      <c r="AF1244" s="64">
        <f>(Z1244*AD1244)</f>
        <v>1184.26</v>
      </c>
      <c r="AG1244" s="71" t="str">
        <f t="shared" si="147"/>
        <v>|</v>
      </c>
      <c r="AI1244" s="50" t="s">
        <v>1095</v>
      </c>
    </row>
    <row r="1245" spans="6:35" ht="15.75">
      <c r="H1245" s="50" t="s">
        <v>1881</v>
      </c>
      <c r="N1245" s="62" t="s">
        <v>226</v>
      </c>
      <c r="O1245" s="50" t="s">
        <v>237</v>
      </c>
      <c r="Q1245" s="51" t="s">
        <v>226</v>
      </c>
      <c r="R1245" s="64">
        <v>0</v>
      </c>
      <c r="S1245" s="100">
        <v>1.6</v>
      </c>
      <c r="T1245" s="62" t="s">
        <v>4</v>
      </c>
      <c r="U1245" s="50" t="s">
        <v>234</v>
      </c>
      <c r="V1245" s="64">
        <f t="shared" si="152"/>
        <v>1005.1999999999999</v>
      </c>
      <c r="W1245" s="51" t="s">
        <v>4</v>
      </c>
      <c r="X1245" s="64">
        <f>(S1245*V1245)</f>
        <v>1608.32</v>
      </c>
      <c r="Y1245" s="64"/>
      <c r="Z1245" s="64">
        <v>1.1000000000000001</v>
      </c>
      <c r="AA1245" s="62" t="s">
        <v>4</v>
      </c>
      <c r="AB1245" s="62"/>
      <c r="AC1245" s="50" t="s">
        <v>234</v>
      </c>
      <c r="AD1245" s="64">
        <f>V1240</f>
        <v>1005.1999999999999</v>
      </c>
      <c r="AE1245" s="50" t="s">
        <v>4</v>
      </c>
      <c r="AF1245" s="64">
        <f>(Z1245*AD1245)</f>
        <v>1105.72</v>
      </c>
      <c r="AG1245" s="71" t="str">
        <f t="shared" si="147"/>
        <v>|</v>
      </c>
      <c r="AI1245" s="50" t="s">
        <v>1095</v>
      </c>
    </row>
    <row r="1246" spans="6:35" ht="15.75">
      <c r="H1246" s="50" t="s">
        <v>1882</v>
      </c>
      <c r="N1246" s="53"/>
      <c r="Q1246" s="57"/>
      <c r="R1246" s="59"/>
      <c r="S1246" s="100">
        <v>0.5</v>
      </c>
      <c r="T1246" s="62" t="s">
        <v>4</v>
      </c>
      <c r="U1246" s="50" t="s">
        <v>235</v>
      </c>
      <c r="V1246" s="64">
        <f t="shared" si="152"/>
        <v>702.8</v>
      </c>
      <c r="W1246" s="51" t="s">
        <v>4</v>
      </c>
      <c r="X1246" s="64">
        <f>(S1246*V1246)</f>
        <v>351.4</v>
      </c>
      <c r="Y1246" s="64"/>
      <c r="Z1246" s="64">
        <v>2.2000000000000002</v>
      </c>
      <c r="AA1246" s="62" t="s">
        <v>4</v>
      </c>
      <c r="AB1246" s="62"/>
      <c r="AC1246" s="50" t="s">
        <v>235</v>
      </c>
      <c r="AD1246" s="64">
        <f>V1241</f>
        <v>702.8</v>
      </c>
      <c r="AE1246" s="50" t="s">
        <v>4</v>
      </c>
      <c r="AF1246" s="64">
        <f>(Z1246*AD1246)</f>
        <v>1546.16</v>
      </c>
      <c r="AG1246" s="71" t="str">
        <f t="shared" si="147"/>
        <v>|</v>
      </c>
      <c r="AI1246" s="50" t="s">
        <v>1095</v>
      </c>
    </row>
    <row r="1247" spans="6:35" ht="15.75">
      <c r="H1247" s="59" t="s">
        <v>21</v>
      </c>
      <c r="I1247" s="59" t="s">
        <v>21</v>
      </c>
      <c r="N1247" s="53"/>
      <c r="O1247" s="50" t="s">
        <v>238</v>
      </c>
      <c r="Q1247" s="57"/>
      <c r="R1247" s="64">
        <f>SUM(R1234:R1245)</f>
        <v>14912.266999999998</v>
      </c>
      <c r="S1247" s="100">
        <v>1.1000000000000001</v>
      </c>
      <c r="T1247" s="62" t="s">
        <v>4</v>
      </c>
      <c r="U1247" s="50" t="s">
        <v>236</v>
      </c>
      <c r="V1247" s="64">
        <f t="shared" si="152"/>
        <v>576.79999999999995</v>
      </c>
      <c r="W1247" s="51" t="s">
        <v>4</v>
      </c>
      <c r="X1247" s="64">
        <f>(S1247*V1247)</f>
        <v>634.48</v>
      </c>
      <c r="Y1247" s="64"/>
      <c r="Z1247" s="64">
        <v>2.2000000000000002</v>
      </c>
      <c r="AA1247" s="62" t="s">
        <v>4</v>
      </c>
      <c r="AB1247" s="62"/>
      <c r="AC1247" s="50" t="s">
        <v>236</v>
      </c>
      <c r="AD1247" s="64">
        <f>V1242</f>
        <v>576.79999999999995</v>
      </c>
      <c r="AE1247" s="50" t="s">
        <v>4</v>
      </c>
      <c r="AF1247" s="64">
        <f>(Z1247*AD1247)</f>
        <v>1268.96</v>
      </c>
      <c r="AG1247" s="71" t="str">
        <f t="shared" si="147"/>
        <v>|</v>
      </c>
      <c r="AI1247" s="50" t="s">
        <v>1095</v>
      </c>
    </row>
    <row r="1248" spans="6:35" ht="15.75">
      <c r="F1248" s="64">
        <v>10</v>
      </c>
      <c r="G1248" s="62" t="s">
        <v>152</v>
      </c>
      <c r="H1248" s="50" t="s">
        <v>1883</v>
      </c>
      <c r="I1248" s="72">
        <f>C601</f>
        <v>346.14</v>
      </c>
      <c r="J1248" s="50" t="s">
        <v>152</v>
      </c>
      <c r="K1248" s="64">
        <f>(F1248*I1248)</f>
        <v>3461.3999999999996</v>
      </c>
      <c r="N1248" s="53"/>
      <c r="Q1248" s="57"/>
      <c r="R1248" s="59" t="s">
        <v>21</v>
      </c>
      <c r="T1248" s="62" t="s">
        <v>226</v>
      </c>
      <c r="U1248" s="50" t="s">
        <v>237</v>
      </c>
      <c r="W1248" s="51" t="s">
        <v>226</v>
      </c>
      <c r="X1248" s="64">
        <v>0.18</v>
      </c>
      <c r="Y1248" s="64"/>
      <c r="Z1248" s="100">
        <v>20</v>
      </c>
      <c r="AA1248" s="62" t="s">
        <v>13</v>
      </c>
      <c r="AB1248" s="62"/>
      <c r="AC1248" s="50" t="s">
        <v>252</v>
      </c>
      <c r="AD1248" s="64">
        <f>V1243</f>
        <v>5800</v>
      </c>
      <c r="AE1248" s="50" t="s">
        <v>251</v>
      </c>
      <c r="AF1248" s="64">
        <f>(Z1248*AD1248)/1000</f>
        <v>116</v>
      </c>
      <c r="AG1248" s="71" t="str">
        <f t="shared" si="147"/>
        <v>|</v>
      </c>
      <c r="AI1248" s="50" t="s">
        <v>1095</v>
      </c>
    </row>
    <row r="1249" spans="6:35" ht="15.75">
      <c r="F1249" s="64">
        <v>0.21</v>
      </c>
      <c r="G1249" s="62" t="s">
        <v>151</v>
      </c>
      <c r="H1249" s="50" t="s">
        <v>298</v>
      </c>
      <c r="I1249" s="64">
        <f>(K32)</f>
        <v>5022.7</v>
      </c>
      <c r="J1249" s="50" t="s">
        <v>151</v>
      </c>
      <c r="K1249" s="64">
        <f>(F1249*I1249)</f>
        <v>1054.7669999999998</v>
      </c>
      <c r="N1249" s="53"/>
      <c r="O1249" s="54" t="s">
        <v>155</v>
      </c>
      <c r="Q1249" s="57"/>
      <c r="R1249" s="63">
        <f>(R1247/10)</f>
        <v>1491.2266999999997</v>
      </c>
      <c r="T1249" s="53"/>
      <c r="W1249" s="57"/>
      <c r="X1249" s="59" t="s">
        <v>21</v>
      </c>
      <c r="Y1249" s="59"/>
      <c r="Z1249" s="100">
        <v>2</v>
      </c>
      <c r="AA1249" s="62" t="s">
        <v>13</v>
      </c>
      <c r="AB1249" s="62"/>
      <c r="AC1249" s="50" t="s">
        <v>1864</v>
      </c>
      <c r="AD1249" s="64">
        <v>36.1</v>
      </c>
      <c r="AE1249" s="50" t="s">
        <v>13</v>
      </c>
      <c r="AF1249" s="64">
        <f>(Z1249*AD1249)</f>
        <v>72.2</v>
      </c>
      <c r="AG1249" s="71">
        <f t="shared" si="147"/>
        <v>0</v>
      </c>
    </row>
    <row r="1250" spans="6:35" ht="15.75">
      <c r="H1250" s="50" t="s">
        <v>1860</v>
      </c>
      <c r="I1250" s="50" t="s">
        <v>150</v>
      </c>
      <c r="K1250" s="50" t="s">
        <v>150</v>
      </c>
      <c r="N1250" s="53"/>
      <c r="Q1250" s="57"/>
      <c r="R1250" s="59"/>
      <c r="T1250" s="53"/>
      <c r="U1250" s="50" t="s">
        <v>238</v>
      </c>
      <c r="W1250" s="57"/>
      <c r="X1250" s="64">
        <f>SUM(X1237:X1248)</f>
        <v>15942.446999999998</v>
      </c>
      <c r="Y1250" s="64"/>
      <c r="Z1250" s="64">
        <v>1.6</v>
      </c>
      <c r="AA1250" s="62" t="s">
        <v>4</v>
      </c>
      <c r="AB1250" s="62"/>
      <c r="AC1250" s="50" t="s">
        <v>234</v>
      </c>
      <c r="AD1250" s="64">
        <f>V1245</f>
        <v>1005.1999999999999</v>
      </c>
      <c r="AE1250" s="50" t="s">
        <v>4</v>
      </c>
      <c r="AF1250" s="64">
        <f>(Z1250*AD1250)</f>
        <v>1608.32</v>
      </c>
      <c r="AG1250" s="71" t="str">
        <f t="shared" si="147"/>
        <v>|</v>
      </c>
      <c r="AI1250" s="50" t="s">
        <v>1095</v>
      </c>
    </row>
    <row r="1251" spans="6:35" ht="15.75">
      <c r="F1251" s="64">
        <v>1.1000000000000001</v>
      </c>
      <c r="G1251" s="62" t="s">
        <v>4</v>
      </c>
      <c r="H1251" s="50" t="s">
        <v>269</v>
      </c>
      <c r="I1251" s="64">
        <f>(C10)</f>
        <v>1076.5999999999999</v>
      </c>
      <c r="J1251" s="50" t="s">
        <v>4</v>
      </c>
      <c r="K1251" s="64">
        <f>(F1251*I1251)</f>
        <v>1184.26</v>
      </c>
      <c r="N1251" s="53"/>
      <c r="Q1251" s="57"/>
      <c r="R1251" s="59"/>
      <c r="T1251" s="53"/>
      <c r="W1251" s="57"/>
      <c r="X1251" s="59" t="s">
        <v>21</v>
      </c>
      <c r="Y1251" s="59"/>
      <c r="Z1251" s="64">
        <v>0.5</v>
      </c>
      <c r="AA1251" s="62" t="s">
        <v>4</v>
      </c>
      <c r="AB1251" s="62"/>
      <c r="AC1251" s="50" t="s">
        <v>235</v>
      </c>
      <c r="AD1251" s="64">
        <f>V1246</f>
        <v>702.8</v>
      </c>
      <c r="AE1251" s="50" t="s">
        <v>4</v>
      </c>
      <c r="AF1251" s="64">
        <f>(Z1251*AD1251)</f>
        <v>351.4</v>
      </c>
      <c r="AG1251" s="71">
        <f t="shared" si="147"/>
        <v>0</v>
      </c>
    </row>
    <row r="1252" spans="6:35" ht="15.75">
      <c r="F1252" s="64">
        <v>1.1000000000000001</v>
      </c>
      <c r="G1252" s="62" t="s">
        <v>4</v>
      </c>
      <c r="H1252" s="50" t="s">
        <v>234</v>
      </c>
      <c r="I1252" s="64">
        <f>(C11)</f>
        <v>1005.1999999999999</v>
      </c>
      <c r="J1252" s="50" t="s">
        <v>4</v>
      </c>
      <c r="K1252" s="64">
        <f>(F1252*I1252)</f>
        <v>1105.72</v>
      </c>
      <c r="N1252" s="53"/>
      <c r="Q1252" s="57"/>
      <c r="R1252" s="59"/>
      <c r="T1252" s="53"/>
      <c r="U1252" s="54" t="s">
        <v>155</v>
      </c>
      <c r="W1252" s="57"/>
      <c r="X1252" s="63">
        <f>(X1250/10)</f>
        <v>1594.2446999999997</v>
      </c>
      <c r="Y1252" s="63"/>
      <c r="Z1252" s="64">
        <v>1.1000000000000001</v>
      </c>
      <c r="AA1252" s="62" t="s">
        <v>4</v>
      </c>
      <c r="AB1252" s="62"/>
      <c r="AC1252" s="50" t="s">
        <v>236</v>
      </c>
      <c r="AD1252" s="64">
        <f>V1247</f>
        <v>576.79999999999995</v>
      </c>
      <c r="AE1252" s="50" t="s">
        <v>4</v>
      </c>
      <c r="AF1252" s="64">
        <f>(Z1252*AD1252)</f>
        <v>634.48</v>
      </c>
      <c r="AG1252" s="71" t="str">
        <f t="shared" si="147"/>
        <v>|</v>
      </c>
      <c r="AI1252" s="50" t="s">
        <v>1095</v>
      </c>
    </row>
    <row r="1253" spans="6:35" ht="15.75">
      <c r="F1253" s="64">
        <v>2.2000000000000002</v>
      </c>
      <c r="G1253" s="62" t="s">
        <v>4</v>
      </c>
      <c r="H1253" s="50" t="s">
        <v>235</v>
      </c>
      <c r="I1253" s="64">
        <f>(C12)</f>
        <v>702.8</v>
      </c>
      <c r="J1253" s="50" t="s">
        <v>4</v>
      </c>
      <c r="K1253" s="64">
        <f>(F1253*I1253)</f>
        <v>1546.16</v>
      </c>
      <c r="N1253" s="53"/>
      <c r="Q1253" s="57"/>
      <c r="R1253" s="59"/>
      <c r="AA1253" s="62" t="s">
        <v>226</v>
      </c>
      <c r="AB1253" s="62"/>
      <c r="AC1253" s="50" t="s">
        <v>237</v>
      </c>
      <c r="AD1253" s="64">
        <f>V1248</f>
        <v>0</v>
      </c>
      <c r="AE1253" s="50" t="s">
        <v>226</v>
      </c>
      <c r="AF1253" s="64">
        <v>0</v>
      </c>
      <c r="AG1253" s="71" t="str">
        <f t="shared" si="147"/>
        <v>|</v>
      </c>
      <c r="AI1253" s="50" t="s">
        <v>1095</v>
      </c>
    </row>
    <row r="1254" spans="6:35" ht="19.5">
      <c r="F1254" s="64">
        <v>2.2000000000000002</v>
      </c>
      <c r="G1254" s="62" t="s">
        <v>4</v>
      </c>
      <c r="H1254" s="50" t="s">
        <v>236</v>
      </c>
      <c r="I1254" s="64">
        <f>(C13)</f>
        <v>576.79999999999995</v>
      </c>
      <c r="J1254" s="50" t="s">
        <v>4</v>
      </c>
      <c r="K1254" s="64">
        <f>(F1254*I1254)</f>
        <v>1268.96</v>
      </c>
      <c r="M1254" s="213"/>
      <c r="N1254" s="214"/>
      <c r="O1254" s="215" t="s">
        <v>1884</v>
      </c>
      <c r="P1254" s="213"/>
      <c r="Q1254" s="216" t="s">
        <v>1885</v>
      </c>
      <c r="R1254" s="213"/>
      <c r="AA1254" s="53"/>
      <c r="AB1254" s="53"/>
      <c r="AE1254" s="55"/>
      <c r="AF1254" s="59" t="s">
        <v>21</v>
      </c>
      <c r="AG1254" s="71" t="str">
        <f t="shared" si="147"/>
        <v>|</v>
      </c>
      <c r="AI1254" s="50" t="s">
        <v>1095</v>
      </c>
    </row>
    <row r="1255" spans="6:35" ht="19.5">
      <c r="F1255" s="100">
        <v>20</v>
      </c>
      <c r="G1255" s="62" t="s">
        <v>13</v>
      </c>
      <c r="H1255" s="50" t="s">
        <v>252</v>
      </c>
      <c r="I1255" s="64">
        <f>(C67)</f>
        <v>5800</v>
      </c>
      <c r="J1255" s="50" t="s">
        <v>251</v>
      </c>
      <c r="K1255" s="64">
        <f>(F1255*I1255)/1000</f>
        <v>116</v>
      </c>
      <c r="M1255" s="213"/>
      <c r="N1255" s="214"/>
      <c r="O1255" s="213"/>
      <c r="P1255" s="213"/>
      <c r="Q1255" s="216"/>
      <c r="R1255" s="213"/>
      <c r="AA1255" s="53"/>
      <c r="AB1255" s="53"/>
      <c r="AC1255" s="50" t="s">
        <v>238</v>
      </c>
      <c r="AE1255" s="55"/>
      <c r="AF1255" s="64">
        <f>SUM(AF1241:AF1253)</f>
        <v>16502.267</v>
      </c>
      <c r="AG1255" s="71" t="str">
        <f t="shared" si="147"/>
        <v>|</v>
      </c>
      <c r="AI1255" s="50" t="s">
        <v>1095</v>
      </c>
    </row>
    <row r="1256" spans="6:35" ht="19.5">
      <c r="F1256" s="100">
        <v>2</v>
      </c>
      <c r="G1256" s="62" t="s">
        <v>13</v>
      </c>
      <c r="H1256" s="103" t="s">
        <v>1886</v>
      </c>
      <c r="I1256" s="157">
        <v>36.1</v>
      </c>
      <c r="J1256" s="50" t="s">
        <v>13</v>
      </c>
      <c r="K1256" s="64">
        <f>(F1256*I1256)</f>
        <v>72.2</v>
      </c>
      <c r="M1256" s="217"/>
      <c r="N1256" s="218"/>
      <c r="O1256" s="217"/>
      <c r="P1256" s="217"/>
      <c r="Q1256" s="216"/>
      <c r="R1256" s="213"/>
      <c r="AA1256" s="53"/>
      <c r="AB1256" s="53"/>
      <c r="AE1256" s="55"/>
      <c r="AF1256" s="59" t="s">
        <v>21</v>
      </c>
      <c r="AG1256" s="71" t="str">
        <f t="shared" si="147"/>
        <v>|</v>
      </c>
      <c r="AI1256" s="50" t="s">
        <v>1095</v>
      </c>
    </row>
    <row r="1257" spans="6:35" ht="19.5">
      <c r="F1257" s="64">
        <v>1.6</v>
      </c>
      <c r="G1257" s="62" t="s">
        <v>4</v>
      </c>
      <c r="H1257" s="50" t="s">
        <v>234</v>
      </c>
      <c r="I1257" s="64">
        <f>(C11)</f>
        <v>1005.1999999999999</v>
      </c>
      <c r="J1257" s="50" t="s">
        <v>4</v>
      </c>
      <c r="K1257" s="64">
        <f>(F1257*I1257)</f>
        <v>1608.32</v>
      </c>
      <c r="M1257" s="219">
        <v>10</v>
      </c>
      <c r="N1257" s="220" t="s">
        <v>152</v>
      </c>
      <c r="O1257" s="221" t="s">
        <v>1887</v>
      </c>
      <c r="P1257" s="222">
        <v>421.3</v>
      </c>
      <c r="Q1257" s="223" t="s">
        <v>152</v>
      </c>
      <c r="R1257" s="224">
        <f>M1257*P1257</f>
        <v>4213</v>
      </c>
      <c r="AA1257" s="53"/>
      <c r="AB1257" s="53"/>
      <c r="AC1257" s="66" t="s">
        <v>155</v>
      </c>
      <c r="AE1257" s="55"/>
      <c r="AF1257" s="63">
        <f>(AF1255/10)</f>
        <v>1650.2266999999999</v>
      </c>
      <c r="AG1257" s="225" t="s">
        <v>1888</v>
      </c>
      <c r="AI1257" s="50" t="s">
        <v>1095</v>
      </c>
    </row>
    <row r="1258" spans="6:35" ht="19.5">
      <c r="F1258" s="64">
        <v>0.5</v>
      </c>
      <c r="G1258" s="62" t="s">
        <v>4</v>
      </c>
      <c r="H1258" s="50" t="s">
        <v>235</v>
      </c>
      <c r="I1258" s="64">
        <f>(C12)</f>
        <v>702.8</v>
      </c>
      <c r="J1258" s="50" t="s">
        <v>4</v>
      </c>
      <c r="K1258" s="64">
        <f>(F1258*I1258)</f>
        <v>351.4</v>
      </c>
      <c r="M1258" s="224">
        <v>0.21</v>
      </c>
      <c r="N1258" s="226" t="s">
        <v>151</v>
      </c>
      <c r="O1258" s="227" t="s">
        <v>298</v>
      </c>
      <c r="P1258" s="224">
        <f t="shared" ref="P1258:P1263" si="153">P1216</f>
        <v>5022.7</v>
      </c>
      <c r="Q1258" s="223" t="s">
        <v>151</v>
      </c>
      <c r="R1258" s="224">
        <f t="shared" ref="R1258:R1267" si="154">(M1258*P1258)</f>
        <v>1054.7669999999998</v>
      </c>
      <c r="AA1258" s="53"/>
      <c r="AB1258" s="53"/>
      <c r="AE1258" s="55"/>
      <c r="AF1258" s="59" t="s">
        <v>156</v>
      </c>
      <c r="AG1258" s="71" t="str">
        <f t="shared" si="147"/>
        <v>|</v>
      </c>
      <c r="AI1258" s="50" t="s">
        <v>1095</v>
      </c>
    </row>
    <row r="1259" spans="6:35" ht="19.5">
      <c r="F1259" s="64">
        <v>1.1000000000000001</v>
      </c>
      <c r="G1259" s="62" t="s">
        <v>4</v>
      </c>
      <c r="H1259" s="50" t="s">
        <v>236</v>
      </c>
      <c r="I1259" s="64">
        <f>(C13)</f>
        <v>576.79999999999995</v>
      </c>
      <c r="J1259" s="50" t="s">
        <v>4</v>
      </c>
      <c r="K1259" s="64">
        <f>(F1259*I1259)</f>
        <v>634.48</v>
      </c>
      <c r="M1259" s="224">
        <v>1.1000000000000001</v>
      </c>
      <c r="N1259" s="226" t="s">
        <v>4</v>
      </c>
      <c r="O1259" s="227" t="s">
        <v>269</v>
      </c>
      <c r="P1259" s="224">
        <f t="shared" si="153"/>
        <v>1076.5999999999999</v>
      </c>
      <c r="Q1259" s="223" t="s">
        <v>4</v>
      </c>
      <c r="R1259" s="224">
        <f t="shared" si="154"/>
        <v>1184.26</v>
      </c>
      <c r="Z1259" s="101">
        <v>29.4</v>
      </c>
      <c r="AA1259" s="62" t="s">
        <v>249</v>
      </c>
      <c r="AB1259" s="62"/>
      <c r="AC1259" s="50" t="s">
        <v>1889</v>
      </c>
      <c r="AG1259" s="71" t="str">
        <f t="shared" si="147"/>
        <v>|</v>
      </c>
      <c r="AI1259" s="50" t="s">
        <v>1095</v>
      </c>
    </row>
    <row r="1260" spans="6:35" ht="19.5">
      <c r="G1260" s="62" t="s">
        <v>226</v>
      </c>
      <c r="H1260" s="50" t="s">
        <v>237</v>
      </c>
      <c r="J1260" s="50" t="s">
        <v>226</v>
      </c>
      <c r="K1260" s="64">
        <v>0</v>
      </c>
      <c r="M1260" s="224">
        <v>1.1000000000000001</v>
      </c>
      <c r="N1260" s="226" t="s">
        <v>4</v>
      </c>
      <c r="O1260" s="227" t="s">
        <v>234</v>
      </c>
      <c r="P1260" s="224">
        <f t="shared" si="153"/>
        <v>1005.1999999999999</v>
      </c>
      <c r="Q1260" s="223" t="s">
        <v>4</v>
      </c>
      <c r="R1260" s="224">
        <f t="shared" si="154"/>
        <v>1105.72</v>
      </c>
      <c r="AA1260" s="53"/>
      <c r="AB1260" s="53"/>
      <c r="AC1260" s="50" t="s">
        <v>1890</v>
      </c>
      <c r="AG1260" s="71" t="str">
        <f t="shared" si="147"/>
        <v>|</v>
      </c>
      <c r="AI1260" s="50" t="s">
        <v>1095</v>
      </c>
    </row>
    <row r="1261" spans="6:35" ht="19.5">
      <c r="K1261" s="59" t="s">
        <v>21</v>
      </c>
      <c r="M1261" s="224">
        <v>2.2000000000000002</v>
      </c>
      <c r="N1261" s="226" t="s">
        <v>4</v>
      </c>
      <c r="O1261" s="227" t="s">
        <v>235</v>
      </c>
      <c r="P1261" s="224">
        <f t="shared" si="153"/>
        <v>702.8</v>
      </c>
      <c r="Q1261" s="223" t="s">
        <v>4</v>
      </c>
      <c r="R1261" s="224">
        <f t="shared" si="154"/>
        <v>1546.16</v>
      </c>
      <c r="AA1261" s="53"/>
      <c r="AB1261" s="53"/>
      <c r="AC1261" s="59" t="s">
        <v>21</v>
      </c>
      <c r="AG1261" s="71" t="str">
        <f t="shared" si="147"/>
        <v>|</v>
      </c>
      <c r="AI1261" s="50" t="s">
        <v>1095</v>
      </c>
    </row>
    <row r="1262" spans="6:35" ht="19.5">
      <c r="H1262" s="50" t="s">
        <v>238</v>
      </c>
      <c r="K1262" s="64">
        <f>SUM(K1248:K1260)</f>
        <v>12403.666999999999</v>
      </c>
      <c r="M1262" s="224">
        <v>2.2000000000000002</v>
      </c>
      <c r="N1262" s="226" t="s">
        <v>4</v>
      </c>
      <c r="O1262" s="227" t="s">
        <v>236</v>
      </c>
      <c r="P1262" s="224">
        <f t="shared" si="153"/>
        <v>576.79999999999995</v>
      </c>
      <c r="Q1262" s="223" t="s">
        <v>4</v>
      </c>
      <c r="R1262" s="224">
        <f t="shared" si="154"/>
        <v>1268.96</v>
      </c>
      <c r="Z1262" s="64">
        <v>1.86</v>
      </c>
      <c r="AA1262" s="62" t="s">
        <v>152</v>
      </c>
      <c r="AB1262" s="62"/>
      <c r="AC1262" s="50" t="s">
        <v>1891</v>
      </c>
      <c r="AD1262" s="72">
        <f>AD1241</f>
        <v>756</v>
      </c>
      <c r="AE1262" s="50" t="str">
        <f>J1269</f>
        <v>SQM</v>
      </c>
      <c r="AF1262" s="64">
        <f t="shared" ref="AF1262:AF1267" si="155">(Z1262*AD1262)</f>
        <v>1406.16</v>
      </c>
      <c r="AG1262" s="71" t="str">
        <f t="shared" si="147"/>
        <v>|</v>
      </c>
      <c r="AI1262" s="50" t="s">
        <v>1095</v>
      </c>
    </row>
    <row r="1263" spans="6:35" ht="19.5">
      <c r="K1263" s="59" t="s">
        <v>21</v>
      </c>
      <c r="M1263" s="228">
        <v>20</v>
      </c>
      <c r="N1263" s="226" t="s">
        <v>13</v>
      </c>
      <c r="O1263" s="227" t="s">
        <v>252</v>
      </c>
      <c r="P1263" s="224">
        <f t="shared" si="153"/>
        <v>5800</v>
      </c>
      <c r="Q1263" s="223" t="s">
        <v>251</v>
      </c>
      <c r="R1263" s="224">
        <f>(M1263*P1263)/1000</f>
        <v>116</v>
      </c>
      <c r="Z1263" s="64">
        <v>0.4</v>
      </c>
      <c r="AA1263" s="62" t="s">
        <v>13</v>
      </c>
      <c r="AB1263" s="62"/>
      <c r="AC1263" s="50" t="s">
        <v>1864</v>
      </c>
      <c r="AD1263" s="134">
        <f>AD1249</f>
        <v>36.1</v>
      </c>
      <c r="AE1263" s="50" t="str">
        <f>J1270</f>
        <v>Kg</v>
      </c>
      <c r="AF1263" s="64">
        <f t="shared" si="155"/>
        <v>14.440000000000001</v>
      </c>
      <c r="AG1263" s="71">
        <f t="shared" si="147"/>
        <v>0</v>
      </c>
    </row>
    <row r="1264" spans="6:35" ht="19.5">
      <c r="H1264" s="66" t="s">
        <v>155</v>
      </c>
      <c r="K1264" s="63">
        <f>(K1262/10)</f>
        <v>1240.3667</v>
      </c>
      <c r="M1264" s="228">
        <v>2</v>
      </c>
      <c r="N1264" s="226" t="s">
        <v>13</v>
      </c>
      <c r="O1264" s="227" t="s">
        <v>1878</v>
      </c>
      <c r="P1264" s="224">
        <f>I1256</f>
        <v>36.1</v>
      </c>
      <c r="Q1264" s="223" t="s">
        <v>13</v>
      </c>
      <c r="R1264" s="224">
        <f t="shared" si="154"/>
        <v>72.2</v>
      </c>
      <c r="Z1264" s="64">
        <v>0.02</v>
      </c>
      <c r="AA1264" s="62" t="s">
        <v>151</v>
      </c>
      <c r="AB1264" s="62"/>
      <c r="AC1264" s="50" t="s">
        <v>1892</v>
      </c>
      <c r="AD1264" s="64">
        <f>I1271</f>
        <v>6414.7</v>
      </c>
      <c r="AE1264" s="50" t="str">
        <f>J1271</f>
        <v>CUM</v>
      </c>
      <c r="AF1264" s="64">
        <f t="shared" si="155"/>
        <v>128.29400000000001</v>
      </c>
      <c r="AG1264" s="71">
        <f t="shared" si="147"/>
        <v>0</v>
      </c>
    </row>
    <row r="1265" spans="6:35" ht="19.5">
      <c r="K1265" s="59" t="s">
        <v>156</v>
      </c>
      <c r="M1265" s="224">
        <v>1.6</v>
      </c>
      <c r="N1265" s="226" t="s">
        <v>4</v>
      </c>
      <c r="O1265" s="227" t="s">
        <v>234</v>
      </c>
      <c r="P1265" s="224">
        <f>P1223</f>
        <v>1005.1999999999999</v>
      </c>
      <c r="Q1265" s="223" t="s">
        <v>4</v>
      </c>
      <c r="R1265" s="224">
        <f t="shared" si="154"/>
        <v>1608.32</v>
      </c>
      <c r="Z1265" s="64">
        <v>1</v>
      </c>
      <c r="AA1265" s="62" t="s">
        <v>4</v>
      </c>
      <c r="AB1265" s="62"/>
      <c r="AC1265" s="50" t="s">
        <v>269</v>
      </c>
      <c r="AD1265" s="64">
        <f>I1272</f>
        <v>1076.5999999999999</v>
      </c>
      <c r="AE1265" s="50" t="str">
        <f>J1272</f>
        <v>NO</v>
      </c>
      <c r="AF1265" s="64">
        <f t="shared" si="155"/>
        <v>1076.5999999999999</v>
      </c>
      <c r="AG1265" s="71" t="str">
        <f t="shared" si="147"/>
        <v/>
      </c>
      <c r="AI1265" s="50" t="s">
        <v>150</v>
      </c>
    </row>
    <row r="1266" spans="6:35" ht="19.5">
      <c r="F1266" s="101">
        <v>29.4</v>
      </c>
      <c r="G1266" s="62" t="s">
        <v>249</v>
      </c>
      <c r="H1266" s="50" t="s">
        <v>1893</v>
      </c>
      <c r="M1266" s="224">
        <v>0.5</v>
      </c>
      <c r="N1266" s="226" t="s">
        <v>4</v>
      </c>
      <c r="O1266" s="227" t="s">
        <v>235</v>
      </c>
      <c r="P1266" s="224">
        <f>P1224</f>
        <v>702.8</v>
      </c>
      <c r="Q1266" s="223" t="s">
        <v>4</v>
      </c>
      <c r="R1266" s="224">
        <f t="shared" si="154"/>
        <v>351.4</v>
      </c>
      <c r="Z1266" s="64">
        <v>1</v>
      </c>
      <c r="AA1266" s="62" t="s">
        <v>4</v>
      </c>
      <c r="AB1266" s="62"/>
      <c r="AC1266" s="50" t="s">
        <v>1894</v>
      </c>
      <c r="AD1266" s="64">
        <f>I1273</f>
        <v>702.8</v>
      </c>
      <c r="AE1266" s="50" t="str">
        <f>J1273</f>
        <v>NO</v>
      </c>
      <c r="AF1266" s="64">
        <f t="shared" si="155"/>
        <v>702.8</v>
      </c>
      <c r="AG1266" s="71">
        <f t="shared" si="147"/>
        <v>0</v>
      </c>
    </row>
    <row r="1267" spans="6:35" ht="19.5">
      <c r="H1267" s="50" t="s">
        <v>1895</v>
      </c>
      <c r="M1267" s="224">
        <v>1.1000000000000001</v>
      </c>
      <c r="N1267" s="226" t="s">
        <v>4</v>
      </c>
      <c r="O1267" s="227" t="s">
        <v>236</v>
      </c>
      <c r="P1267" s="224">
        <f>P1225</f>
        <v>576.79999999999995</v>
      </c>
      <c r="Q1267" s="223" t="s">
        <v>4</v>
      </c>
      <c r="R1267" s="224">
        <f t="shared" si="154"/>
        <v>634.48</v>
      </c>
      <c r="AA1267" s="62" t="s">
        <v>226</v>
      </c>
      <c r="AB1267" s="62"/>
      <c r="AC1267" s="50" t="s">
        <v>237</v>
      </c>
      <c r="AE1267" s="50" t="s">
        <v>226</v>
      </c>
      <c r="AF1267" s="64">
        <f t="shared" si="155"/>
        <v>0</v>
      </c>
      <c r="AG1267" s="71">
        <f t="shared" si="147"/>
        <v>0</v>
      </c>
    </row>
    <row r="1268" spans="6:35" ht="19.5">
      <c r="H1268" s="59" t="s">
        <v>21</v>
      </c>
      <c r="M1268" s="213"/>
      <c r="N1268" s="226" t="s">
        <v>226</v>
      </c>
      <c r="O1268" s="227" t="s">
        <v>237</v>
      </c>
      <c r="P1268" s="213"/>
      <c r="Q1268" s="223" t="s">
        <v>226</v>
      </c>
      <c r="R1268" s="224">
        <v>0</v>
      </c>
      <c r="AA1268" s="53"/>
      <c r="AB1268" s="53"/>
      <c r="AE1268" s="55"/>
      <c r="AF1268" s="59" t="s">
        <v>21</v>
      </c>
      <c r="AG1268" s="71">
        <f t="shared" si="147"/>
        <v>0</v>
      </c>
    </row>
    <row r="1269" spans="6:35" ht="19.5">
      <c r="F1269" s="64">
        <v>1.86</v>
      </c>
      <c r="G1269" s="62" t="s">
        <v>152</v>
      </c>
      <c r="H1269" s="50" t="s">
        <v>1896</v>
      </c>
      <c r="I1269" s="72">
        <f>C602</f>
        <v>385</v>
      </c>
      <c r="J1269" s="50" t="s">
        <v>152</v>
      </c>
      <c r="K1269" s="64">
        <f>(F1269*I1269)</f>
        <v>716.1</v>
      </c>
      <c r="M1269" s="213"/>
      <c r="N1269" s="214"/>
      <c r="O1269" s="213"/>
      <c r="P1269" s="213"/>
      <c r="Q1269" s="216"/>
      <c r="R1269" s="229"/>
      <c r="AA1269" s="53"/>
      <c r="AB1269" s="53"/>
      <c r="AC1269" s="50" t="s">
        <v>1897</v>
      </c>
      <c r="AE1269" s="55"/>
      <c r="AF1269" s="64">
        <f>SUM(AF1262:AF1267)</f>
        <v>3328.2939999999999</v>
      </c>
      <c r="AG1269" s="71">
        <f t="shared" si="147"/>
        <v>0</v>
      </c>
    </row>
    <row r="1270" spans="6:35" ht="19.5">
      <c r="F1270" s="64">
        <v>0.4</v>
      </c>
      <c r="G1270" s="62" t="s">
        <v>13</v>
      </c>
      <c r="H1270" s="50" t="s">
        <v>1864</v>
      </c>
      <c r="I1270" s="174">
        <f>I1256</f>
        <v>36.1</v>
      </c>
      <c r="J1270" s="50" t="s">
        <v>13</v>
      </c>
      <c r="K1270" s="64">
        <f>(F1270*I1270)</f>
        <v>14.440000000000001</v>
      </c>
      <c r="M1270" s="213"/>
      <c r="N1270" s="214"/>
      <c r="O1270" s="227" t="s">
        <v>238</v>
      </c>
      <c r="P1270" s="213"/>
      <c r="Q1270" s="216"/>
      <c r="R1270" s="224">
        <f>SUM(R1257:R1268)</f>
        <v>13155.267000000002</v>
      </c>
      <c r="AA1270" s="53"/>
      <c r="AB1270" s="53"/>
      <c r="AE1270" s="55"/>
      <c r="AF1270" s="59" t="s">
        <v>21</v>
      </c>
      <c r="AG1270" s="71">
        <f t="shared" si="147"/>
        <v>0</v>
      </c>
    </row>
    <row r="1271" spans="6:35" ht="19.5">
      <c r="F1271" s="64">
        <v>0.02</v>
      </c>
      <c r="G1271" s="62" t="s">
        <v>151</v>
      </c>
      <c r="H1271" s="50" t="s">
        <v>1892</v>
      </c>
      <c r="I1271" s="64">
        <f>K23</f>
        <v>6414.7</v>
      </c>
      <c r="J1271" s="50" t="s">
        <v>151</v>
      </c>
      <c r="K1271" s="64">
        <f>(F1271*I1271)</f>
        <v>128.29400000000001</v>
      </c>
      <c r="M1271" s="213"/>
      <c r="N1271" s="214"/>
      <c r="O1271" s="213"/>
      <c r="P1271" s="213"/>
      <c r="Q1271" s="216"/>
      <c r="R1271" s="229" t="s">
        <v>21</v>
      </c>
      <c r="AA1271" s="53"/>
      <c r="AB1271" s="53"/>
      <c r="AC1271" s="66" t="s">
        <v>155</v>
      </c>
      <c r="AE1271" s="55"/>
      <c r="AF1271" s="63">
        <f>(AF1269/1.86)</f>
        <v>1789.4053763440859</v>
      </c>
      <c r="AG1271" s="71">
        <f t="shared" si="147"/>
        <v>0</v>
      </c>
    </row>
    <row r="1272" spans="6:35" ht="19.5">
      <c r="F1272" s="64">
        <v>1</v>
      </c>
      <c r="G1272" s="62" t="s">
        <v>4</v>
      </c>
      <c r="H1272" s="50" t="s">
        <v>269</v>
      </c>
      <c r="I1272" s="64">
        <f>C10</f>
        <v>1076.5999999999999</v>
      </c>
      <c r="J1272" s="50" t="s">
        <v>4</v>
      </c>
      <c r="K1272" s="64">
        <f>(F1272*I1272)</f>
        <v>1076.5999999999999</v>
      </c>
      <c r="M1272" s="213"/>
      <c r="N1272" s="214"/>
      <c r="O1272" s="230" t="s">
        <v>155</v>
      </c>
      <c r="P1272" s="213"/>
      <c r="Q1272" s="216"/>
      <c r="R1272" s="231">
        <f>(R1270/10)</f>
        <v>1315.5267000000001</v>
      </c>
      <c r="AA1272" s="53"/>
      <c r="AB1272" s="53"/>
      <c r="AE1272" s="55"/>
      <c r="AF1272" s="59" t="s">
        <v>156</v>
      </c>
      <c r="AG1272" s="71">
        <f t="shared" si="147"/>
        <v>0</v>
      </c>
    </row>
    <row r="1273" spans="6:35" ht="15.75">
      <c r="F1273" s="64">
        <v>1</v>
      </c>
      <c r="G1273" s="62" t="s">
        <v>4</v>
      </c>
      <c r="H1273" s="50" t="s">
        <v>1894</v>
      </c>
      <c r="I1273" s="64">
        <f>C12</f>
        <v>702.8</v>
      </c>
      <c r="J1273" s="50" t="s">
        <v>4</v>
      </c>
      <c r="K1273" s="64">
        <f>(F1273*I1273)</f>
        <v>702.8</v>
      </c>
      <c r="S1273" s="101">
        <v>29.5</v>
      </c>
      <c r="T1273" s="62" t="s">
        <v>249</v>
      </c>
      <c r="U1273" s="50" t="s">
        <v>1898</v>
      </c>
      <c r="W1273" s="55"/>
      <c r="AG1273" s="71">
        <f t="shared" si="147"/>
        <v>0</v>
      </c>
    </row>
    <row r="1274" spans="6:35" ht="15.75">
      <c r="G1274" s="62" t="s">
        <v>226</v>
      </c>
      <c r="H1274" s="50" t="s">
        <v>237</v>
      </c>
      <c r="J1274" s="50" t="s">
        <v>226</v>
      </c>
      <c r="K1274" s="64"/>
      <c r="S1274" s="52"/>
      <c r="T1274" s="53"/>
      <c r="U1274" s="50"/>
      <c r="W1274" s="55"/>
      <c r="AG1274" s="71">
        <f t="shared" si="147"/>
        <v>0</v>
      </c>
    </row>
    <row r="1275" spans="6:35" ht="15.75">
      <c r="K1275" s="59" t="s">
        <v>21</v>
      </c>
      <c r="S1275" s="52"/>
      <c r="T1275" s="53"/>
      <c r="U1275" s="50"/>
      <c r="W1275" s="55"/>
      <c r="AE1275" s="55"/>
      <c r="AG1275" s="71">
        <f t="shared" si="147"/>
        <v>0</v>
      </c>
    </row>
    <row r="1276" spans="6:35" ht="15.75">
      <c r="H1276" s="50" t="s">
        <v>1897</v>
      </c>
      <c r="K1276" s="64">
        <f>SUM(K1269:K1274)</f>
        <v>2638.2339999999999</v>
      </c>
      <c r="S1276" s="52"/>
      <c r="T1276" s="53"/>
      <c r="U1276" s="59" t="s">
        <v>21</v>
      </c>
      <c r="V1276" s="59" t="s">
        <v>21</v>
      </c>
      <c r="W1276" s="55"/>
      <c r="AE1276" s="55"/>
      <c r="AG1276" s="71">
        <f t="shared" si="147"/>
        <v>0</v>
      </c>
    </row>
    <row r="1277" spans="6:35" ht="31.5">
      <c r="K1277" s="59" t="s">
        <v>21</v>
      </c>
      <c r="S1277" s="64">
        <v>10</v>
      </c>
      <c r="T1277" s="62" t="s">
        <v>152</v>
      </c>
      <c r="U1277" s="116" t="s">
        <v>1899</v>
      </c>
      <c r="V1277" s="72">
        <v>538.21</v>
      </c>
      <c r="W1277" s="50" t="s">
        <v>152</v>
      </c>
      <c r="X1277" s="64">
        <f>(S1277*V1277)</f>
        <v>5382.1</v>
      </c>
      <c r="Y1277" s="64"/>
      <c r="AE1277" s="55"/>
      <c r="AG1277" s="71">
        <f t="shared" si="147"/>
        <v>0</v>
      </c>
    </row>
    <row r="1278" spans="6:35" ht="15.75">
      <c r="H1278" s="66" t="s">
        <v>155</v>
      </c>
      <c r="K1278" s="63">
        <f>(K1276/1.86)</f>
        <v>1418.4053763440859</v>
      </c>
      <c r="S1278" s="64">
        <v>0.21</v>
      </c>
      <c r="T1278" s="62" t="s">
        <v>151</v>
      </c>
      <c r="U1278" s="50" t="s">
        <v>298</v>
      </c>
      <c r="V1278" s="72">
        <f t="shared" ref="V1278:V1288" si="156">I1249</f>
        <v>5022.7</v>
      </c>
      <c r="W1278" s="50" t="s">
        <v>151</v>
      </c>
      <c r="X1278" s="64">
        <f>(S1278*V1278)</f>
        <v>1054.7669999999998</v>
      </c>
      <c r="Y1278" s="64"/>
      <c r="AG1278" s="71">
        <f t="shared" ref="AG1278:AG1341" si="157">AI1278</f>
        <v>0</v>
      </c>
    </row>
    <row r="1279" spans="6:35" ht="15.75">
      <c r="K1279" s="59" t="s">
        <v>156</v>
      </c>
      <c r="S1279" s="52"/>
      <c r="T1279" s="53"/>
      <c r="U1279" s="50" t="s">
        <v>1860</v>
      </c>
      <c r="V1279" s="72" t="str">
        <f t="shared" si="156"/>
        <v/>
      </c>
      <c r="W1279" s="55"/>
      <c r="X1279" s="50" t="s">
        <v>150</v>
      </c>
      <c r="Y1279" s="50"/>
      <c r="AG1279" s="71">
        <f t="shared" si="157"/>
        <v>0</v>
      </c>
    </row>
    <row r="1280" spans="6:35" ht="15.75">
      <c r="F1280" s="101"/>
      <c r="G1280" s="62" t="s">
        <v>249</v>
      </c>
      <c r="H1280" s="50" t="s">
        <v>1900</v>
      </c>
      <c r="S1280" s="64">
        <v>1.1000000000000001</v>
      </c>
      <c r="T1280" s="62" t="s">
        <v>4</v>
      </c>
      <c r="U1280" s="50" t="s">
        <v>269</v>
      </c>
      <c r="V1280" s="72">
        <f t="shared" si="156"/>
        <v>1076.5999999999999</v>
      </c>
      <c r="W1280" s="50" t="s">
        <v>4</v>
      </c>
      <c r="X1280" s="64">
        <f>(S1280*V1280)</f>
        <v>1184.26</v>
      </c>
      <c r="Y1280" s="64"/>
      <c r="AG1280" s="71">
        <f t="shared" si="157"/>
        <v>0</v>
      </c>
    </row>
    <row r="1281" spans="6:33" ht="15.75">
      <c r="H1281" s="50"/>
      <c r="S1281" s="64">
        <v>1.1000000000000001</v>
      </c>
      <c r="T1281" s="62" t="s">
        <v>4</v>
      </c>
      <c r="U1281" s="50" t="s">
        <v>234</v>
      </c>
      <c r="V1281" s="72">
        <f t="shared" si="156"/>
        <v>1005.1999999999999</v>
      </c>
      <c r="W1281" s="50" t="s">
        <v>4</v>
      </c>
      <c r="X1281" s="64">
        <f>(S1281*V1281)</f>
        <v>1105.72</v>
      </c>
      <c r="Y1281" s="64"/>
      <c r="AG1281" s="71">
        <f t="shared" si="157"/>
        <v>0</v>
      </c>
    </row>
    <row r="1282" spans="6:33" ht="15.75">
      <c r="H1282" s="59" t="s">
        <v>21</v>
      </c>
      <c r="S1282" s="64">
        <v>2.2000000000000002</v>
      </c>
      <c r="T1282" s="62" t="s">
        <v>4</v>
      </c>
      <c r="U1282" s="50" t="s">
        <v>235</v>
      </c>
      <c r="V1282" s="72">
        <f t="shared" si="156"/>
        <v>702.8</v>
      </c>
      <c r="W1282" s="50" t="s">
        <v>4</v>
      </c>
      <c r="X1282" s="64">
        <f>(S1282*V1282)</f>
        <v>1546.16</v>
      </c>
      <c r="Y1282" s="64"/>
      <c r="AG1282" s="71">
        <f t="shared" si="157"/>
        <v>0</v>
      </c>
    </row>
    <row r="1283" spans="6:33" ht="15.75">
      <c r="F1283" s="64">
        <v>1.86</v>
      </c>
      <c r="G1283" s="62" t="s">
        <v>152</v>
      </c>
      <c r="H1283" s="50" t="s">
        <v>1901</v>
      </c>
      <c r="I1283" s="72">
        <v>699.4</v>
      </c>
      <c r="J1283" s="50" t="s">
        <v>152</v>
      </c>
      <c r="K1283" s="64">
        <f>(F1283*I1283)</f>
        <v>1300.884</v>
      </c>
      <c r="S1283" s="64">
        <v>2.2000000000000002</v>
      </c>
      <c r="T1283" s="62" t="s">
        <v>4</v>
      </c>
      <c r="U1283" s="50" t="s">
        <v>236</v>
      </c>
      <c r="V1283" s="72">
        <f t="shared" si="156"/>
        <v>576.79999999999995</v>
      </c>
      <c r="W1283" s="50" t="s">
        <v>4</v>
      </c>
      <c r="X1283" s="64">
        <f>(S1283*V1283)</f>
        <v>1268.96</v>
      </c>
      <c r="Y1283" s="64"/>
      <c r="AG1283" s="71">
        <f t="shared" si="157"/>
        <v>0</v>
      </c>
    </row>
    <row r="1284" spans="6:33" ht="15.75">
      <c r="F1284" s="64">
        <v>0.4</v>
      </c>
      <c r="G1284" s="62" t="s">
        <v>13</v>
      </c>
      <c r="H1284" s="50" t="s">
        <v>278</v>
      </c>
      <c r="I1284" s="232">
        <f>C67</f>
        <v>5800</v>
      </c>
      <c r="J1284" s="50" t="s">
        <v>13</v>
      </c>
      <c r="K1284" s="64">
        <f>(F1284*I1284)</f>
        <v>2320</v>
      </c>
      <c r="S1284" s="100">
        <v>20</v>
      </c>
      <c r="T1284" s="62" t="s">
        <v>13</v>
      </c>
      <c r="U1284" s="50" t="s">
        <v>252</v>
      </c>
      <c r="V1284" s="72">
        <f t="shared" si="156"/>
        <v>5800</v>
      </c>
      <c r="W1284" s="50" t="s">
        <v>251</v>
      </c>
      <c r="X1284" s="64">
        <f>(S1284*V1284)/1000</f>
        <v>116</v>
      </c>
      <c r="Y1284" s="64"/>
      <c r="AG1284" s="71">
        <f t="shared" si="157"/>
        <v>0</v>
      </c>
    </row>
    <row r="1285" spans="6:33" ht="15.75">
      <c r="F1285" s="64">
        <v>0.02</v>
      </c>
      <c r="G1285" s="62" t="s">
        <v>151</v>
      </c>
      <c r="H1285" s="50" t="s">
        <v>1892</v>
      </c>
      <c r="I1285" s="64">
        <f>I1271</f>
        <v>6414.7</v>
      </c>
      <c r="J1285" s="50" t="s">
        <v>151</v>
      </c>
      <c r="K1285" s="64">
        <f>(F1285*I1285)</f>
        <v>128.29400000000001</v>
      </c>
      <c r="S1285" s="100">
        <v>2</v>
      </c>
      <c r="T1285" s="62" t="s">
        <v>13</v>
      </c>
      <c r="U1285" s="50" t="s">
        <v>1864</v>
      </c>
      <c r="V1285" s="72">
        <f t="shared" si="156"/>
        <v>36.1</v>
      </c>
      <c r="W1285" s="50" t="s">
        <v>13</v>
      </c>
      <c r="X1285" s="64">
        <f>(S1285*V1285)</f>
        <v>72.2</v>
      </c>
      <c r="Y1285" s="64"/>
      <c r="AG1285" s="71">
        <f t="shared" si="157"/>
        <v>0</v>
      </c>
    </row>
    <row r="1286" spans="6:33" ht="15.75">
      <c r="F1286" s="64">
        <v>1</v>
      </c>
      <c r="G1286" s="62" t="s">
        <v>4</v>
      </c>
      <c r="H1286" s="50" t="s">
        <v>269</v>
      </c>
      <c r="I1286" s="64">
        <f>I1272</f>
        <v>1076.5999999999999</v>
      </c>
      <c r="J1286" s="50" t="s">
        <v>4</v>
      </c>
      <c r="K1286" s="64">
        <f>(F1286*I1286)</f>
        <v>1076.5999999999999</v>
      </c>
      <c r="S1286" s="64">
        <v>1.6</v>
      </c>
      <c r="T1286" s="62" t="s">
        <v>4</v>
      </c>
      <c r="U1286" s="50" t="s">
        <v>234</v>
      </c>
      <c r="V1286" s="72">
        <f t="shared" si="156"/>
        <v>1005.1999999999999</v>
      </c>
      <c r="W1286" s="50" t="s">
        <v>4</v>
      </c>
      <c r="X1286" s="64">
        <f>(S1286*V1286)</f>
        <v>1608.32</v>
      </c>
      <c r="Y1286" s="64"/>
      <c r="AG1286" s="71">
        <f t="shared" si="157"/>
        <v>0</v>
      </c>
    </row>
    <row r="1287" spans="6:33" ht="15.75">
      <c r="F1287" s="64">
        <v>1</v>
      </c>
      <c r="G1287" s="62" t="s">
        <v>4</v>
      </c>
      <c r="H1287" s="50" t="s">
        <v>1894</v>
      </c>
      <c r="I1287" s="64">
        <f>I1273</f>
        <v>702.8</v>
      </c>
      <c r="J1287" s="50" t="s">
        <v>4</v>
      </c>
      <c r="K1287" s="64">
        <f>(F1287*I1287)</f>
        <v>702.8</v>
      </c>
      <c r="S1287" s="64">
        <v>0.5</v>
      </c>
      <c r="T1287" s="62" t="s">
        <v>4</v>
      </c>
      <c r="U1287" s="50" t="s">
        <v>235</v>
      </c>
      <c r="V1287" s="72">
        <f t="shared" si="156"/>
        <v>702.8</v>
      </c>
      <c r="W1287" s="50" t="s">
        <v>4</v>
      </c>
      <c r="X1287" s="64">
        <f>(S1287*V1287)</f>
        <v>351.4</v>
      </c>
      <c r="Y1287" s="64"/>
      <c r="AG1287" s="71">
        <f t="shared" si="157"/>
        <v>0</v>
      </c>
    </row>
    <row r="1288" spans="6:33" ht="15.75">
      <c r="G1288" s="62" t="s">
        <v>226</v>
      </c>
      <c r="H1288" s="50" t="s">
        <v>237</v>
      </c>
      <c r="J1288" s="50" t="s">
        <v>226</v>
      </c>
      <c r="K1288" s="64"/>
      <c r="S1288" s="64">
        <v>1.1000000000000001</v>
      </c>
      <c r="T1288" s="62" t="s">
        <v>4</v>
      </c>
      <c r="U1288" s="50" t="s">
        <v>236</v>
      </c>
      <c r="V1288" s="72">
        <f t="shared" si="156"/>
        <v>576.79999999999995</v>
      </c>
      <c r="W1288" s="50" t="s">
        <v>4</v>
      </c>
      <c r="X1288" s="64">
        <f>(S1288*V1288)</f>
        <v>634.48</v>
      </c>
      <c r="Y1288" s="64"/>
      <c r="AG1288" s="71">
        <f t="shared" si="157"/>
        <v>0</v>
      </c>
    </row>
    <row r="1289" spans="6:33" ht="15.75">
      <c r="K1289" s="59" t="s">
        <v>21</v>
      </c>
      <c r="S1289" s="52"/>
      <c r="T1289" s="62" t="s">
        <v>226</v>
      </c>
      <c r="U1289" s="50" t="s">
        <v>237</v>
      </c>
      <c r="W1289" s="50" t="s">
        <v>226</v>
      </c>
      <c r="X1289" s="64">
        <v>0</v>
      </c>
      <c r="Y1289" s="64"/>
      <c r="AG1289" s="71">
        <f t="shared" si="157"/>
        <v>0</v>
      </c>
    </row>
    <row r="1290" spans="6:33" ht="15.75">
      <c r="H1290" s="50" t="s">
        <v>1897</v>
      </c>
      <c r="K1290" s="64">
        <f>SUM(K1283:K1288)</f>
        <v>5528.5780000000004</v>
      </c>
      <c r="S1290" s="52"/>
      <c r="T1290" s="53"/>
      <c r="W1290" s="55"/>
      <c r="X1290" s="59" t="s">
        <v>21</v>
      </c>
      <c r="Y1290" s="59"/>
      <c r="AG1290" s="71">
        <f t="shared" si="157"/>
        <v>0</v>
      </c>
    </row>
    <row r="1291" spans="6:33" ht="15.75">
      <c r="K1291" s="59" t="s">
        <v>21</v>
      </c>
      <c r="S1291" s="52"/>
      <c r="T1291" s="53"/>
      <c r="U1291" s="50" t="s">
        <v>238</v>
      </c>
      <c r="W1291" s="55"/>
      <c r="X1291" s="64">
        <f>SUM(X1277:X1289)</f>
        <v>14324.367</v>
      </c>
      <c r="Y1291" s="64"/>
      <c r="AG1291" s="71">
        <f t="shared" si="157"/>
        <v>0</v>
      </c>
    </row>
    <row r="1292" spans="6:33" ht="15.75">
      <c r="H1292" s="66" t="s">
        <v>155</v>
      </c>
      <c r="K1292" s="63">
        <f>(K1290/1.86)</f>
        <v>2972.3537634408603</v>
      </c>
      <c r="S1292" s="52"/>
      <c r="T1292" s="53"/>
      <c r="W1292" s="55"/>
      <c r="X1292" s="59" t="s">
        <v>21</v>
      </c>
      <c r="Y1292" s="59"/>
      <c r="AG1292" s="71">
        <f t="shared" si="157"/>
        <v>0</v>
      </c>
    </row>
    <row r="1293" spans="6:33" ht="15.75">
      <c r="K1293" s="59" t="s">
        <v>156</v>
      </c>
      <c r="U1293" s="66" t="s">
        <v>155</v>
      </c>
      <c r="W1293" s="55"/>
      <c r="X1293" s="63">
        <f>(X1291/10)</f>
        <v>1432.4367</v>
      </c>
      <c r="Y1293" s="63"/>
      <c r="AG1293" s="71">
        <f t="shared" si="157"/>
        <v>0</v>
      </c>
    </row>
    <row r="1294" spans="6:33" ht="15.75">
      <c r="K1294" s="59"/>
      <c r="W1294" s="55"/>
      <c r="X1294" s="59" t="s">
        <v>156</v>
      </c>
      <c r="Y1294" s="59"/>
      <c r="AG1294" s="71">
        <f t="shared" si="157"/>
        <v>0</v>
      </c>
    </row>
    <row r="1295" spans="6:33" ht="15.75">
      <c r="K1295" s="59"/>
      <c r="AG1295" s="71">
        <f t="shared" si="157"/>
        <v>0</v>
      </c>
    </row>
    <row r="1296" spans="6:33" ht="15.75">
      <c r="K1296" s="59"/>
      <c r="M1296" s="51"/>
      <c r="N1296" s="62" t="s">
        <v>249</v>
      </c>
      <c r="O1296" s="50" t="s">
        <v>1902</v>
      </c>
      <c r="Q1296" s="57"/>
      <c r="S1296" s="156">
        <v>15.1</v>
      </c>
      <c r="T1296" s="62" t="s">
        <v>1253</v>
      </c>
      <c r="U1296" s="50" t="s">
        <v>1903</v>
      </c>
      <c r="W1296" s="57"/>
      <c r="AG1296" s="71">
        <f t="shared" si="157"/>
        <v>0</v>
      </c>
    </row>
    <row r="1297" spans="6:33" ht="15.75">
      <c r="K1297" s="59"/>
      <c r="N1297" s="53"/>
      <c r="O1297" s="50" t="s">
        <v>394</v>
      </c>
      <c r="Q1297" s="57"/>
      <c r="S1297" s="52"/>
      <c r="T1297" s="53"/>
      <c r="U1297" s="50" t="s">
        <v>1192</v>
      </c>
      <c r="W1297" s="57"/>
      <c r="AG1297" s="71">
        <f t="shared" si="157"/>
        <v>0</v>
      </c>
    </row>
    <row r="1298" spans="6:33" ht="15.75">
      <c r="F1298" s="51" t="s">
        <v>473</v>
      </c>
      <c r="G1298" s="62" t="s">
        <v>249</v>
      </c>
      <c r="H1298" s="50" t="s">
        <v>1849</v>
      </c>
      <c r="N1298" s="53"/>
      <c r="O1298" s="54" t="s">
        <v>1904</v>
      </c>
      <c r="Q1298" s="57"/>
      <c r="S1298" s="64">
        <v>10</v>
      </c>
      <c r="T1298" s="62" t="s">
        <v>306</v>
      </c>
      <c r="U1298" s="50" t="s">
        <v>1905</v>
      </c>
      <c r="V1298" s="73">
        <v>1506.6</v>
      </c>
      <c r="W1298" s="51" t="s">
        <v>306</v>
      </c>
      <c r="X1298" s="64">
        <f t="shared" ref="X1298:X1304" si="158">(S1298*V1298)</f>
        <v>15066</v>
      </c>
      <c r="Y1298" s="64"/>
      <c r="AG1298" s="71">
        <f t="shared" si="157"/>
        <v>0</v>
      </c>
    </row>
    <row r="1299" spans="6:33" ht="15.75">
      <c r="H1299" s="50" t="s">
        <v>1906</v>
      </c>
      <c r="N1299" s="53"/>
      <c r="O1299" s="59" t="s">
        <v>21</v>
      </c>
      <c r="Q1299" s="57"/>
      <c r="S1299" s="64">
        <v>0.21</v>
      </c>
      <c r="T1299" s="62" t="s">
        <v>151</v>
      </c>
      <c r="U1299" s="50" t="s">
        <v>1260</v>
      </c>
      <c r="V1299" s="162">
        <f>P1333</f>
        <v>5022.7</v>
      </c>
      <c r="W1299" s="51" t="s">
        <v>151</v>
      </c>
      <c r="X1299" s="64">
        <f t="shared" si="158"/>
        <v>1054.7669999999998</v>
      </c>
      <c r="Y1299" s="64"/>
      <c r="AG1299" s="71">
        <f t="shared" si="157"/>
        <v>0</v>
      </c>
    </row>
    <row r="1300" spans="6:33" ht="15.75">
      <c r="H1300" s="50" t="s">
        <v>1907</v>
      </c>
      <c r="M1300" s="64">
        <v>3.2</v>
      </c>
      <c r="N1300" s="62" t="s">
        <v>13</v>
      </c>
      <c r="O1300" s="120" t="s">
        <v>1908</v>
      </c>
      <c r="P1300" s="71">
        <v>225</v>
      </c>
      <c r="Q1300" s="51" t="s">
        <v>13</v>
      </c>
      <c r="R1300" s="64">
        <f>(M1300*P1300)</f>
        <v>720</v>
      </c>
      <c r="S1300" s="64">
        <v>1.1000000000000001</v>
      </c>
      <c r="T1300" s="62" t="s">
        <v>345</v>
      </c>
      <c r="U1300" s="50" t="s">
        <v>1196</v>
      </c>
      <c r="V1300" s="162">
        <f>P1334</f>
        <v>1076.5999999999999</v>
      </c>
      <c r="W1300" s="51" t="s">
        <v>340</v>
      </c>
      <c r="X1300" s="64">
        <f t="shared" si="158"/>
        <v>1184.26</v>
      </c>
      <c r="Y1300" s="64"/>
      <c r="AG1300" s="71">
        <f t="shared" si="157"/>
        <v>0</v>
      </c>
    </row>
    <row r="1301" spans="6:33" ht="15.75">
      <c r="H1301" s="50" t="s">
        <v>1909</v>
      </c>
      <c r="M1301" s="64">
        <v>0.98</v>
      </c>
      <c r="N1301" s="62" t="s">
        <v>320</v>
      </c>
      <c r="O1301" s="50" t="s">
        <v>1910</v>
      </c>
      <c r="P1301" s="64">
        <f>P1320</f>
        <v>144.69999999999999</v>
      </c>
      <c r="Q1301" s="51" t="s">
        <v>320</v>
      </c>
      <c r="R1301" s="64">
        <f t="shared" ref="R1301:R1306" si="159">(M1301*P1301)</f>
        <v>141.80599999999998</v>
      </c>
      <c r="S1301" s="64">
        <v>1.1000000000000001</v>
      </c>
      <c r="T1301" s="62" t="s">
        <v>345</v>
      </c>
      <c r="U1301" s="50" t="s">
        <v>1846</v>
      </c>
      <c r="V1301" s="162">
        <f>P1260</f>
        <v>1005.1999999999999</v>
      </c>
      <c r="W1301" s="51" t="s">
        <v>340</v>
      </c>
      <c r="X1301" s="64">
        <f t="shared" si="158"/>
        <v>1105.72</v>
      </c>
      <c r="Y1301" s="64"/>
      <c r="AG1301" s="71">
        <f t="shared" si="157"/>
        <v>0</v>
      </c>
    </row>
    <row r="1302" spans="6:33" ht="15.75">
      <c r="H1302" s="59" t="s">
        <v>21</v>
      </c>
      <c r="M1302" s="64">
        <v>0.5</v>
      </c>
      <c r="N1302" s="62" t="s">
        <v>4</v>
      </c>
      <c r="O1302" s="50" t="s">
        <v>322</v>
      </c>
      <c r="P1302" s="64">
        <f>AG13</f>
        <v>861</v>
      </c>
      <c r="Q1302" s="62" t="s">
        <v>4</v>
      </c>
      <c r="R1302" s="64">
        <f t="shared" si="159"/>
        <v>430.5</v>
      </c>
      <c r="S1302" s="64">
        <v>2.2000000000000002</v>
      </c>
      <c r="T1302" s="62" t="s">
        <v>345</v>
      </c>
      <c r="U1302" s="50" t="s">
        <v>1198</v>
      </c>
      <c r="V1302" s="162">
        <f>P1335</f>
        <v>702.8</v>
      </c>
      <c r="W1302" s="51" t="s">
        <v>340</v>
      </c>
      <c r="X1302" s="64">
        <f t="shared" si="158"/>
        <v>1546.16</v>
      </c>
      <c r="Y1302" s="64"/>
      <c r="AG1302" s="71">
        <f t="shared" si="157"/>
        <v>0</v>
      </c>
    </row>
    <row r="1303" spans="6:33" ht="15.75">
      <c r="F1303" s="64">
        <v>0.24</v>
      </c>
      <c r="G1303" s="62" t="s">
        <v>151</v>
      </c>
      <c r="H1303" s="50" t="s">
        <v>1911</v>
      </c>
      <c r="I1303" s="64">
        <f>(C70)</f>
        <v>1617.4499999999998</v>
      </c>
      <c r="J1303" s="50" t="s">
        <v>151</v>
      </c>
      <c r="K1303" s="64">
        <f>(F1303*I1303)</f>
        <v>388.18799999999993</v>
      </c>
      <c r="M1303" s="64">
        <v>0.7</v>
      </c>
      <c r="N1303" s="62" t="s">
        <v>4</v>
      </c>
      <c r="O1303" s="50" t="s">
        <v>1912</v>
      </c>
      <c r="P1303" s="64">
        <f>AG14</f>
        <v>833</v>
      </c>
      <c r="Q1303" s="62" t="s">
        <v>4</v>
      </c>
      <c r="R1303" s="64">
        <f t="shared" si="159"/>
        <v>583.09999999999991</v>
      </c>
      <c r="S1303" s="64">
        <v>2.2000000000000002</v>
      </c>
      <c r="T1303" s="62" t="s">
        <v>345</v>
      </c>
      <c r="U1303" s="50" t="s">
        <v>1913</v>
      </c>
      <c r="V1303" s="162">
        <f>P1305</f>
        <v>576.79999999999995</v>
      </c>
      <c r="W1303" s="51" t="s">
        <v>340</v>
      </c>
      <c r="X1303" s="64">
        <f t="shared" si="158"/>
        <v>1268.96</v>
      </c>
      <c r="Y1303" s="64"/>
      <c r="AG1303" s="71">
        <f t="shared" si="157"/>
        <v>0</v>
      </c>
    </row>
    <row r="1304" spans="6:33" ht="15.75">
      <c r="F1304" s="100">
        <v>0.11700000000000001</v>
      </c>
      <c r="G1304" s="62" t="s">
        <v>251</v>
      </c>
      <c r="H1304" s="50" t="s">
        <v>252</v>
      </c>
      <c r="I1304" s="64">
        <f>(C67)</f>
        <v>5800</v>
      </c>
      <c r="J1304" s="50" t="s">
        <v>251</v>
      </c>
      <c r="K1304" s="64">
        <f>(F1304*I1304)</f>
        <v>678.6</v>
      </c>
      <c r="M1304" s="64">
        <v>0.5</v>
      </c>
      <c r="N1304" s="62" t="s">
        <v>4</v>
      </c>
      <c r="O1304" s="50" t="s">
        <v>235</v>
      </c>
      <c r="P1304" s="64">
        <f>I1306</f>
        <v>702.8</v>
      </c>
      <c r="Q1304" s="62" t="s">
        <v>4</v>
      </c>
      <c r="R1304" s="64">
        <f t="shared" si="159"/>
        <v>351.4</v>
      </c>
      <c r="S1304" s="64">
        <v>10</v>
      </c>
      <c r="T1304" s="62" t="s">
        <v>226</v>
      </c>
      <c r="U1304" s="50" t="s">
        <v>1914</v>
      </c>
      <c r="V1304" s="162">
        <v>153.47</v>
      </c>
      <c r="W1304" s="51" t="s">
        <v>226</v>
      </c>
      <c r="X1304" s="64">
        <f t="shared" si="158"/>
        <v>1534.7</v>
      </c>
      <c r="Y1304" s="64"/>
      <c r="AG1304" s="71">
        <f t="shared" si="157"/>
        <v>0</v>
      </c>
    </row>
    <row r="1305" spans="6:33" ht="15.75">
      <c r="F1305" s="64">
        <v>0.5</v>
      </c>
      <c r="G1305" s="62" t="s">
        <v>4</v>
      </c>
      <c r="H1305" s="50" t="s">
        <v>269</v>
      </c>
      <c r="I1305" s="64">
        <f>(C10)</f>
        <v>1076.5999999999999</v>
      </c>
      <c r="J1305" s="50" t="s">
        <v>4</v>
      </c>
      <c r="K1305" s="64">
        <f>(F1305*I1305)</f>
        <v>538.29999999999995</v>
      </c>
      <c r="M1305" s="64">
        <v>0.8</v>
      </c>
      <c r="N1305" s="62" t="s">
        <v>4</v>
      </c>
      <c r="O1305" s="50" t="s">
        <v>236</v>
      </c>
      <c r="P1305" s="64">
        <f>I1307</f>
        <v>576.79999999999995</v>
      </c>
      <c r="Q1305" s="62" t="s">
        <v>4</v>
      </c>
      <c r="R1305" s="64">
        <f t="shared" si="159"/>
        <v>461.44</v>
      </c>
      <c r="S1305" s="52"/>
      <c r="T1305" s="53"/>
      <c r="U1305" s="50"/>
      <c r="V1305" s="162">
        <f>P1337</f>
        <v>0</v>
      </c>
      <c r="W1305" s="57"/>
      <c r="X1305" s="59" t="s">
        <v>21</v>
      </c>
      <c r="Y1305" s="59"/>
      <c r="AG1305" s="71">
        <f t="shared" si="157"/>
        <v>0</v>
      </c>
    </row>
    <row r="1306" spans="6:33" ht="15.75">
      <c r="F1306" s="64">
        <v>1.1000000000000001</v>
      </c>
      <c r="G1306" s="62" t="s">
        <v>4</v>
      </c>
      <c r="H1306" s="50" t="s">
        <v>1851</v>
      </c>
      <c r="I1306" s="64">
        <f>(C12)</f>
        <v>702.8</v>
      </c>
      <c r="J1306" s="50" t="s">
        <v>4</v>
      </c>
      <c r="K1306" s="64">
        <f>(F1306*I1306)</f>
        <v>773.08</v>
      </c>
      <c r="M1306" s="64">
        <v>10</v>
      </c>
      <c r="N1306" s="62" t="s">
        <v>306</v>
      </c>
      <c r="O1306" s="50" t="s">
        <v>1915</v>
      </c>
      <c r="P1306" s="72">
        <f>C460</f>
        <v>3.2</v>
      </c>
      <c r="Q1306" s="62" t="s">
        <v>306</v>
      </c>
      <c r="R1306" s="64">
        <f t="shared" si="159"/>
        <v>32</v>
      </c>
      <c r="S1306" s="52"/>
      <c r="T1306" s="53"/>
      <c r="U1306" s="51" t="s">
        <v>1270</v>
      </c>
      <c r="V1306" s="162"/>
      <c r="W1306" s="57"/>
      <c r="X1306" s="64">
        <f>SUM(X1298:X1304)</f>
        <v>22760.566999999999</v>
      </c>
      <c r="Y1306" s="64"/>
      <c r="AG1306" s="71">
        <f t="shared" si="157"/>
        <v>0</v>
      </c>
    </row>
    <row r="1307" spans="6:33" ht="15.75">
      <c r="F1307" s="64">
        <v>4.3</v>
      </c>
      <c r="G1307" s="62" t="s">
        <v>4</v>
      </c>
      <c r="H1307" s="50" t="s">
        <v>236</v>
      </c>
      <c r="I1307" s="64">
        <f>(C13)</f>
        <v>576.79999999999995</v>
      </c>
      <c r="J1307" s="50" t="s">
        <v>4</v>
      </c>
      <c r="K1307" s="64">
        <f>(F1307*I1307)</f>
        <v>2480.2399999999998</v>
      </c>
      <c r="N1307" s="62" t="s">
        <v>226</v>
      </c>
      <c r="O1307" s="50" t="s">
        <v>323</v>
      </c>
      <c r="P1307" s="50" t="s">
        <v>150</v>
      </c>
      <c r="Q1307" s="51" t="s">
        <v>226</v>
      </c>
      <c r="R1307" s="64">
        <v>0</v>
      </c>
      <c r="S1307" s="52"/>
      <c r="T1307" s="53"/>
      <c r="W1307" s="57"/>
      <c r="X1307" s="59" t="s">
        <v>21</v>
      </c>
      <c r="Y1307" s="59"/>
      <c r="AG1307" s="71">
        <f t="shared" si="157"/>
        <v>0</v>
      </c>
    </row>
    <row r="1308" spans="6:33" ht="15.75">
      <c r="G1308" s="62" t="s">
        <v>226</v>
      </c>
      <c r="H1308" s="50" t="s">
        <v>237</v>
      </c>
      <c r="J1308" s="50" t="s">
        <v>226</v>
      </c>
      <c r="K1308" s="64">
        <v>0</v>
      </c>
      <c r="N1308" s="53"/>
      <c r="Q1308" s="57"/>
      <c r="R1308" s="59" t="s">
        <v>21</v>
      </c>
      <c r="S1308" s="52"/>
      <c r="T1308" s="53"/>
      <c r="U1308" s="51" t="s">
        <v>1275</v>
      </c>
      <c r="W1308" s="57"/>
      <c r="X1308" s="63">
        <f>X1306/10</f>
        <v>2276.0567000000001</v>
      </c>
      <c r="Y1308" s="63"/>
      <c r="AG1308" s="71">
        <f t="shared" si="157"/>
        <v>0</v>
      </c>
    </row>
    <row r="1309" spans="6:33" ht="15.75">
      <c r="K1309" s="59" t="s">
        <v>21</v>
      </c>
      <c r="N1309" s="53"/>
      <c r="O1309" s="50" t="s">
        <v>238</v>
      </c>
      <c r="Q1309" s="57"/>
      <c r="R1309" s="64">
        <f>SUM(R1300:R1307)</f>
        <v>2720.2460000000001</v>
      </c>
      <c r="S1309" s="52"/>
      <c r="T1309" s="53"/>
      <c r="U1309" s="50" t="s">
        <v>271</v>
      </c>
      <c r="W1309" s="57">
        <f>X1313+Z1308</f>
        <v>2278.2767000000003</v>
      </c>
      <c r="X1309" s="64">
        <f>X1308+Z1306</f>
        <v>2276.0567000000001</v>
      </c>
      <c r="Y1309" s="64"/>
      <c r="AG1309" s="71">
        <f t="shared" si="157"/>
        <v>0</v>
      </c>
    </row>
    <row r="1310" spans="6:33" ht="15.75">
      <c r="H1310" s="50" t="s">
        <v>238</v>
      </c>
      <c r="K1310" s="64">
        <f>SUM(K1303:K1308)</f>
        <v>4858.4079999999994</v>
      </c>
      <c r="N1310" s="53"/>
      <c r="Q1310" s="57"/>
      <c r="R1310" s="59" t="s">
        <v>21</v>
      </c>
      <c r="S1310" s="52"/>
      <c r="T1310" s="53"/>
      <c r="U1310" s="50" t="s">
        <v>272</v>
      </c>
      <c r="W1310" s="57">
        <f>W1309+Z1308</f>
        <v>2278.2767000000003</v>
      </c>
      <c r="X1310" s="64">
        <f>X1309+1.11</f>
        <v>2277.1667000000002</v>
      </c>
      <c r="Y1310" s="64"/>
      <c r="AG1310" s="71">
        <f t="shared" si="157"/>
        <v>0</v>
      </c>
    </row>
    <row r="1311" spans="6:33" ht="15.75">
      <c r="K1311" s="59" t="s">
        <v>21</v>
      </c>
      <c r="N1311" s="53"/>
      <c r="O1311" s="54" t="s">
        <v>155</v>
      </c>
      <c r="Q1311" s="57"/>
      <c r="R1311" s="63">
        <f>(R1309/10)</f>
        <v>272.02460000000002</v>
      </c>
      <c r="S1311" s="52"/>
      <c r="T1311" s="53"/>
      <c r="U1311" s="50" t="s">
        <v>767</v>
      </c>
      <c r="W1311" s="57"/>
      <c r="X1311" s="64">
        <f>X1310+1.11</f>
        <v>2278.2767000000003</v>
      </c>
      <c r="Y1311" s="64"/>
      <c r="AG1311" s="71">
        <f t="shared" si="157"/>
        <v>0</v>
      </c>
    </row>
    <row r="1312" spans="6:33" ht="15.75">
      <c r="H1312" s="66" t="s">
        <v>155</v>
      </c>
      <c r="K1312" s="63">
        <f>(K1310/10)</f>
        <v>485.84079999999994</v>
      </c>
      <c r="M1312" s="50" t="s">
        <v>150</v>
      </c>
      <c r="N1312" s="53"/>
      <c r="Q1312" s="57"/>
      <c r="S1312" s="52"/>
      <c r="T1312" s="53"/>
      <c r="U1312" s="50" t="s">
        <v>769</v>
      </c>
      <c r="W1312" s="57"/>
      <c r="X1312" s="64">
        <f>X1311+Z1308</f>
        <v>2278.2767000000003</v>
      </c>
      <c r="Y1312" s="64"/>
      <c r="AG1312" s="71">
        <f t="shared" si="157"/>
        <v>0</v>
      </c>
    </row>
    <row r="1313" spans="6:33" ht="15.75">
      <c r="F1313" s="50" t="s">
        <v>150</v>
      </c>
      <c r="N1313" s="53"/>
      <c r="Q1313" s="57"/>
      <c r="R1313" s="59" t="s">
        <v>156</v>
      </c>
      <c r="S1313" s="52"/>
      <c r="T1313" s="53"/>
      <c r="U1313" s="50" t="s">
        <v>1117</v>
      </c>
      <c r="W1313" s="57"/>
      <c r="X1313" s="64">
        <f>X1312+Z1308</f>
        <v>2278.2767000000003</v>
      </c>
      <c r="Y1313" s="64"/>
      <c r="AG1313" s="71">
        <f t="shared" si="157"/>
        <v>0</v>
      </c>
    </row>
    <row r="1314" spans="6:33" ht="15.75">
      <c r="K1314" s="59" t="s">
        <v>156</v>
      </c>
      <c r="N1314" s="53"/>
      <c r="Q1314" s="57"/>
      <c r="S1314" s="52"/>
      <c r="T1314" s="53"/>
      <c r="W1314" s="57"/>
      <c r="AG1314" s="71">
        <f t="shared" si="157"/>
        <v>0</v>
      </c>
    </row>
    <row r="1315" spans="6:33" ht="15.75">
      <c r="F1315" s="51" t="s">
        <v>1916</v>
      </c>
      <c r="G1315" s="62" t="s">
        <v>249</v>
      </c>
      <c r="H1315" s="54" t="s">
        <v>1917</v>
      </c>
      <c r="M1315" s="51" t="s">
        <v>358</v>
      </c>
      <c r="N1315" s="62" t="s">
        <v>249</v>
      </c>
      <c r="O1315" s="50" t="s">
        <v>1918</v>
      </c>
      <c r="Q1315" s="57"/>
      <c r="AG1315" s="71">
        <f t="shared" si="157"/>
        <v>0</v>
      </c>
    </row>
    <row r="1316" spans="6:33" ht="15.75">
      <c r="H1316" s="50" t="s">
        <v>1919</v>
      </c>
      <c r="N1316" s="53"/>
      <c r="O1316" s="50" t="s">
        <v>394</v>
      </c>
      <c r="Q1316" s="57"/>
      <c r="S1316" s="156">
        <v>15.1</v>
      </c>
      <c r="T1316" s="62" t="s">
        <v>1253</v>
      </c>
      <c r="U1316" s="50" t="s">
        <v>1920</v>
      </c>
      <c r="W1316" s="57"/>
      <c r="AG1316" s="71">
        <f t="shared" si="157"/>
        <v>0</v>
      </c>
    </row>
    <row r="1317" spans="6:33" ht="15.75">
      <c r="H1317" s="50" t="s">
        <v>1921</v>
      </c>
      <c r="N1317" s="53"/>
      <c r="O1317" s="54" t="s">
        <v>304</v>
      </c>
      <c r="Q1317" s="57"/>
      <c r="S1317" s="52"/>
      <c r="T1317" s="53"/>
      <c r="U1317" s="50" t="s">
        <v>1192</v>
      </c>
      <c r="W1317" s="57"/>
      <c r="AG1317" s="71">
        <f t="shared" si="157"/>
        <v>0</v>
      </c>
    </row>
    <row r="1318" spans="6:33" ht="15.75">
      <c r="H1318" s="50" t="s">
        <v>1922</v>
      </c>
      <c r="N1318" s="53"/>
      <c r="O1318" s="59" t="s">
        <v>21</v>
      </c>
      <c r="Q1318" s="57"/>
      <c r="S1318" s="64">
        <v>10</v>
      </c>
      <c r="T1318" s="62" t="s">
        <v>306</v>
      </c>
      <c r="U1318" s="50" t="s">
        <v>1923</v>
      </c>
      <c r="V1318" s="73">
        <f>AD1188</f>
        <v>1706</v>
      </c>
      <c r="W1318" s="51" t="s">
        <v>306</v>
      </c>
      <c r="X1318" s="64">
        <f>(S1318*V1318)</f>
        <v>17060</v>
      </c>
      <c r="Y1318" s="64"/>
      <c r="AG1318" s="71">
        <f t="shared" si="157"/>
        <v>0</v>
      </c>
    </row>
    <row r="1319" spans="6:33" ht="15.75">
      <c r="H1319" s="50" t="s">
        <v>1924</v>
      </c>
      <c r="M1319" s="64">
        <v>1.4</v>
      </c>
      <c r="N1319" s="62" t="s">
        <v>320</v>
      </c>
      <c r="O1319" s="233" t="s">
        <v>582</v>
      </c>
      <c r="P1319" s="96">
        <v>289.8</v>
      </c>
      <c r="Q1319" s="51" t="s">
        <v>320</v>
      </c>
      <c r="R1319" s="64">
        <f>(M1319*P1319)</f>
        <v>405.71999999999997</v>
      </c>
      <c r="S1319" s="64">
        <v>0.21</v>
      </c>
      <c r="T1319" s="62" t="s">
        <v>151</v>
      </c>
      <c r="U1319" s="50" t="s">
        <v>1260</v>
      </c>
      <c r="V1319" s="162">
        <f>V1299</f>
        <v>5022.7</v>
      </c>
      <c r="W1319" s="51" t="s">
        <v>151</v>
      </c>
      <c r="X1319" s="64">
        <f t="shared" ref="X1319:X1324" si="160">(S1319*V1319)</f>
        <v>1054.7669999999998</v>
      </c>
      <c r="Y1319" s="64"/>
      <c r="AG1319" s="71">
        <f t="shared" si="157"/>
        <v>0</v>
      </c>
    </row>
    <row r="1320" spans="6:33" ht="15.75">
      <c r="H1320" s="59" t="s">
        <v>21</v>
      </c>
      <c r="M1320" s="64">
        <v>0.98</v>
      </c>
      <c r="N1320" s="62" t="s">
        <v>320</v>
      </c>
      <c r="O1320" s="120" t="s">
        <v>396</v>
      </c>
      <c r="P1320" s="72">
        <f>C196</f>
        <v>144.69999999999999</v>
      </c>
      <c r="Q1320" s="51" t="s">
        <v>320</v>
      </c>
      <c r="R1320" s="64">
        <f>(M1320*P1320)</f>
        <v>141.80599999999998</v>
      </c>
      <c r="S1320" s="64">
        <v>1.1000000000000001</v>
      </c>
      <c r="T1320" s="62" t="s">
        <v>345</v>
      </c>
      <c r="U1320" s="50" t="s">
        <v>1196</v>
      </c>
      <c r="V1320" s="73">
        <f t="shared" ref="V1320:V1325" si="161">V1300</f>
        <v>1076.5999999999999</v>
      </c>
      <c r="W1320" s="51" t="s">
        <v>340</v>
      </c>
      <c r="X1320" s="64">
        <f t="shared" si="160"/>
        <v>1184.26</v>
      </c>
      <c r="Y1320" s="64"/>
      <c r="AG1320" s="71">
        <f t="shared" si="157"/>
        <v>0</v>
      </c>
    </row>
    <row r="1321" spans="6:33" ht="15.75">
      <c r="F1321" s="64">
        <v>12.8</v>
      </c>
      <c r="G1321" s="62" t="s">
        <v>151</v>
      </c>
      <c r="H1321" s="50" t="s">
        <v>1925</v>
      </c>
      <c r="I1321" s="64">
        <f>(C82)</f>
        <v>1431.9499999999998</v>
      </c>
      <c r="J1321" s="50" t="s">
        <v>151</v>
      </c>
      <c r="K1321" s="64">
        <f>(F1321*I1321)</f>
        <v>18328.96</v>
      </c>
      <c r="M1321" s="64">
        <v>2.2000000000000002</v>
      </c>
      <c r="N1321" s="62" t="s">
        <v>4</v>
      </c>
      <c r="O1321" s="50" t="s">
        <v>322</v>
      </c>
      <c r="P1321" s="64">
        <f>P1302</f>
        <v>861</v>
      </c>
      <c r="Q1321" s="51" t="s">
        <v>4</v>
      </c>
      <c r="R1321" s="64">
        <f>(M1321*P1321)</f>
        <v>1894.2</v>
      </c>
      <c r="S1321" s="64">
        <v>1.1000000000000001</v>
      </c>
      <c r="T1321" s="62" t="s">
        <v>345</v>
      </c>
      <c r="U1321" s="50" t="s">
        <v>1846</v>
      </c>
      <c r="V1321" s="73">
        <f t="shared" si="161"/>
        <v>1005.1999999999999</v>
      </c>
      <c r="W1321" s="51" t="s">
        <v>340</v>
      </c>
      <c r="X1321" s="64">
        <f t="shared" si="160"/>
        <v>1105.72</v>
      </c>
      <c r="Y1321" s="64"/>
      <c r="AG1321" s="71">
        <f t="shared" si="157"/>
        <v>0</v>
      </c>
    </row>
    <row r="1322" spans="6:33" ht="15.75">
      <c r="F1322" s="64">
        <v>5</v>
      </c>
      <c r="G1322" s="62" t="s">
        <v>151</v>
      </c>
      <c r="H1322" s="50" t="s">
        <v>1926</v>
      </c>
      <c r="I1322" s="64">
        <f>(C85)</f>
        <v>1637.95</v>
      </c>
      <c r="J1322" s="50" t="s">
        <v>151</v>
      </c>
      <c r="K1322" s="64">
        <f>(F1322*I1322)</f>
        <v>8189.75</v>
      </c>
      <c r="N1322" s="62" t="s">
        <v>226</v>
      </c>
      <c r="O1322" s="50" t="s">
        <v>323</v>
      </c>
      <c r="P1322" s="50" t="s">
        <v>150</v>
      </c>
      <c r="Q1322" s="51" t="s">
        <v>226</v>
      </c>
      <c r="R1322" s="64">
        <v>2.5499999999999998</v>
      </c>
      <c r="S1322" s="64">
        <v>2.2000000000000002</v>
      </c>
      <c r="T1322" s="62" t="s">
        <v>345</v>
      </c>
      <c r="U1322" s="50" t="s">
        <v>1198</v>
      </c>
      <c r="V1322" s="73">
        <f t="shared" si="161"/>
        <v>702.8</v>
      </c>
      <c r="W1322" s="51" t="s">
        <v>340</v>
      </c>
      <c r="X1322" s="64">
        <f t="shared" si="160"/>
        <v>1546.16</v>
      </c>
      <c r="Y1322" s="64"/>
      <c r="AG1322" s="71">
        <f t="shared" si="157"/>
        <v>0</v>
      </c>
    </row>
    <row r="1323" spans="6:33" ht="15.75">
      <c r="F1323" s="64">
        <v>1.8</v>
      </c>
      <c r="G1323" s="62" t="s">
        <v>4</v>
      </c>
      <c r="H1323" s="50" t="s">
        <v>269</v>
      </c>
      <c r="I1323" s="64">
        <f>(C10)</f>
        <v>1076.5999999999999</v>
      </c>
      <c r="J1323" s="50" t="s">
        <v>4</v>
      </c>
      <c r="K1323" s="64">
        <f>(F1323*I1323)</f>
        <v>1937.8799999999999</v>
      </c>
      <c r="N1323" s="53"/>
      <c r="Q1323" s="57"/>
      <c r="R1323" s="59"/>
      <c r="S1323" s="64">
        <v>2.2000000000000002</v>
      </c>
      <c r="T1323" s="62" t="s">
        <v>345</v>
      </c>
      <c r="U1323" s="50" t="s">
        <v>1913</v>
      </c>
      <c r="V1323" s="73">
        <f t="shared" si="161"/>
        <v>576.79999999999995</v>
      </c>
      <c r="W1323" s="51" t="s">
        <v>340</v>
      </c>
      <c r="X1323" s="64">
        <f t="shared" si="160"/>
        <v>1268.96</v>
      </c>
      <c r="Y1323" s="64"/>
      <c r="AG1323" s="71">
        <f t="shared" si="157"/>
        <v>0</v>
      </c>
    </row>
    <row r="1324" spans="6:33" ht="15.75">
      <c r="F1324" s="64">
        <v>17.7</v>
      </c>
      <c r="G1324" s="62" t="s">
        <v>4</v>
      </c>
      <c r="H1324" s="50" t="s">
        <v>1851</v>
      </c>
      <c r="I1324" s="64">
        <f>(C12)</f>
        <v>702.8</v>
      </c>
      <c r="J1324" s="50" t="s">
        <v>4</v>
      </c>
      <c r="K1324" s="64">
        <f>(F1324*I1324)</f>
        <v>12439.56</v>
      </c>
      <c r="N1324" s="53"/>
      <c r="O1324" s="50" t="s">
        <v>238</v>
      </c>
      <c r="Q1324" s="57"/>
      <c r="R1324" s="64">
        <f>SUM(R1319:R1322)</f>
        <v>2444.2760000000003</v>
      </c>
      <c r="S1324" s="64">
        <v>10</v>
      </c>
      <c r="T1324" s="62" t="s">
        <v>226</v>
      </c>
      <c r="U1324" s="50" t="s">
        <v>1914</v>
      </c>
      <c r="V1324" s="73">
        <f t="shared" si="161"/>
        <v>153.47</v>
      </c>
      <c r="W1324" s="51" t="s">
        <v>226</v>
      </c>
      <c r="X1324" s="64">
        <f t="shared" si="160"/>
        <v>1534.7</v>
      </c>
      <c r="Y1324" s="64"/>
      <c r="AG1324" s="71">
        <f t="shared" si="157"/>
        <v>0</v>
      </c>
    </row>
    <row r="1325" spans="6:33" ht="15.75">
      <c r="F1325" s="64">
        <v>14.1</v>
      </c>
      <c r="G1325" s="62" t="s">
        <v>4</v>
      </c>
      <c r="H1325" s="50" t="s">
        <v>236</v>
      </c>
      <c r="I1325" s="64">
        <f>(C13)</f>
        <v>576.79999999999995</v>
      </c>
      <c r="J1325" s="50" t="s">
        <v>4</v>
      </c>
      <c r="K1325" s="64">
        <f>(F1325*I1325)</f>
        <v>8132.8799999999992</v>
      </c>
      <c r="N1325" s="53"/>
      <c r="Q1325" s="57"/>
      <c r="R1325" s="59" t="s">
        <v>21</v>
      </c>
      <c r="S1325" s="52"/>
      <c r="T1325" s="53"/>
      <c r="U1325" s="50"/>
      <c r="V1325" s="73">
        <f t="shared" si="161"/>
        <v>0</v>
      </c>
      <c r="W1325" s="57"/>
      <c r="X1325" s="59" t="s">
        <v>21</v>
      </c>
      <c r="Y1325" s="59"/>
      <c r="AG1325" s="71">
        <f t="shared" si="157"/>
        <v>0</v>
      </c>
    </row>
    <row r="1326" spans="6:33" ht="15.75">
      <c r="G1326" s="62" t="s">
        <v>226</v>
      </c>
      <c r="H1326" s="50" t="s">
        <v>237</v>
      </c>
      <c r="J1326" s="50" t="s">
        <v>226</v>
      </c>
      <c r="K1326" s="64">
        <v>0</v>
      </c>
      <c r="N1326" s="53"/>
      <c r="O1326" s="50" t="s">
        <v>155</v>
      </c>
      <c r="Q1326" s="57"/>
      <c r="R1326" s="63">
        <f>(R1324/10)</f>
        <v>244.42760000000004</v>
      </c>
      <c r="S1326" s="52">
        <f>R1326-157</f>
        <v>87.427600000000041</v>
      </c>
      <c r="T1326" s="53"/>
      <c r="U1326" s="51" t="s">
        <v>1270</v>
      </c>
      <c r="W1326" s="57"/>
      <c r="X1326" s="64">
        <f>SUM(X1318:X1324)</f>
        <v>24754.566999999999</v>
      </c>
      <c r="Y1326" s="64"/>
      <c r="AG1326" s="71">
        <f t="shared" si="157"/>
        <v>0</v>
      </c>
    </row>
    <row r="1327" spans="6:33" ht="15.75">
      <c r="K1327" s="59" t="s">
        <v>21</v>
      </c>
      <c r="M1327" s="50" t="s">
        <v>150</v>
      </c>
      <c r="N1327" s="53"/>
      <c r="Q1327" s="57"/>
      <c r="S1327" s="52"/>
      <c r="T1327" s="53"/>
      <c r="W1327" s="57"/>
      <c r="X1327" s="59" t="s">
        <v>21</v>
      </c>
      <c r="Y1327" s="59"/>
      <c r="AG1327" s="71">
        <f t="shared" si="157"/>
        <v>0</v>
      </c>
    </row>
    <row r="1328" spans="6:33" ht="15.75">
      <c r="H1328" s="50" t="s">
        <v>263</v>
      </c>
      <c r="K1328" s="64">
        <f>SUM(K1321:K1327)</f>
        <v>49029.03</v>
      </c>
      <c r="N1328" s="53"/>
      <c r="Q1328" s="57"/>
      <c r="R1328" s="59" t="s">
        <v>156</v>
      </c>
      <c r="S1328" s="52"/>
      <c r="T1328" s="53"/>
      <c r="U1328" s="51" t="s">
        <v>1275</v>
      </c>
      <c r="W1328" s="57"/>
      <c r="X1328" s="63">
        <f>X1326/10</f>
        <v>2475.4566999999997</v>
      </c>
      <c r="Y1328" s="63"/>
      <c r="AG1328" s="71">
        <f t="shared" si="157"/>
        <v>0</v>
      </c>
    </row>
    <row r="1329" spans="6:33" ht="15.75">
      <c r="K1329" s="59" t="s">
        <v>21</v>
      </c>
      <c r="N1329" s="53"/>
      <c r="Q1329" s="57"/>
      <c r="AG1329" s="71">
        <f t="shared" si="157"/>
        <v>0</v>
      </c>
    </row>
    <row r="1330" spans="6:33" ht="15.75">
      <c r="H1330" s="66" t="s">
        <v>270</v>
      </c>
      <c r="K1330" s="63">
        <f>(K1328/10)</f>
        <v>4902.9030000000002</v>
      </c>
      <c r="M1330" s="156">
        <v>15.1</v>
      </c>
      <c r="N1330" s="62" t="s">
        <v>1253</v>
      </c>
      <c r="O1330" s="50" t="s">
        <v>1920</v>
      </c>
      <c r="Q1330" s="57"/>
      <c r="T1330" s="54" t="s">
        <v>1927</v>
      </c>
      <c r="AG1330" s="71">
        <f t="shared" si="157"/>
        <v>0</v>
      </c>
    </row>
    <row r="1331" spans="6:33" ht="15.75">
      <c r="K1331" s="59" t="s">
        <v>156</v>
      </c>
      <c r="N1331" s="53"/>
      <c r="O1331" s="50" t="s">
        <v>1192</v>
      </c>
      <c r="Q1331" s="57"/>
      <c r="S1331" s="64">
        <v>10</v>
      </c>
      <c r="T1331" s="62" t="s">
        <v>152</v>
      </c>
      <c r="U1331" s="50" t="s">
        <v>1928</v>
      </c>
      <c r="V1331" s="73">
        <v>464</v>
      </c>
      <c r="W1331" s="50" t="s">
        <v>152</v>
      </c>
      <c r="X1331" s="64">
        <f>(S1331*V1331)</f>
        <v>4640</v>
      </c>
      <c r="Y1331" s="64"/>
      <c r="AA1331" s="52">
        <v>9</v>
      </c>
      <c r="AC1331" s="52" t="s">
        <v>1929</v>
      </c>
      <c r="AD1331" s="52">
        <f>AE44</f>
        <v>903.5</v>
      </c>
      <c r="AE1331" s="52">
        <f>AD1331*AA1331</f>
        <v>8131.5</v>
      </c>
      <c r="AG1331" s="71">
        <f t="shared" si="157"/>
        <v>0</v>
      </c>
    </row>
    <row r="1332" spans="6:33" ht="15.75">
      <c r="M1332" s="64">
        <v>10</v>
      </c>
      <c r="N1332" s="62" t="s">
        <v>306</v>
      </c>
      <c r="O1332" s="234" t="s">
        <v>1930</v>
      </c>
      <c r="P1332" s="73">
        <v>1595</v>
      </c>
      <c r="Q1332" s="51" t="s">
        <v>306</v>
      </c>
      <c r="R1332" s="64">
        <f>(M1332*P1332)</f>
        <v>15950</v>
      </c>
      <c r="S1332" s="64">
        <v>0.21</v>
      </c>
      <c r="T1332" s="62" t="s">
        <v>151</v>
      </c>
      <c r="U1332" s="50" t="s">
        <v>298</v>
      </c>
      <c r="V1332" s="64">
        <f>P1333</f>
        <v>5022.7</v>
      </c>
      <c r="W1332" s="50" t="s">
        <v>151</v>
      </c>
      <c r="X1332" s="64">
        <f>(S1332*V1332)</f>
        <v>1054.7669999999998</v>
      </c>
      <c r="Y1332" s="64"/>
      <c r="AA1332" s="52">
        <v>4.5</v>
      </c>
      <c r="AC1332" s="50" t="s">
        <v>1892</v>
      </c>
      <c r="AD1332" s="52">
        <f>K23</f>
        <v>6414.7</v>
      </c>
      <c r="AE1332" s="52">
        <f>AD1332*AA1332</f>
        <v>28866.149999999998</v>
      </c>
      <c r="AG1332" s="71">
        <f t="shared" si="157"/>
        <v>0</v>
      </c>
    </row>
    <row r="1333" spans="6:33" ht="15.75">
      <c r="G1333" s="62" t="s">
        <v>230</v>
      </c>
      <c r="H1333" s="50" t="s">
        <v>231</v>
      </c>
      <c r="M1333" s="64">
        <v>0.12</v>
      </c>
      <c r="N1333" s="62" t="s">
        <v>151</v>
      </c>
      <c r="O1333" s="50" t="s">
        <v>1260</v>
      </c>
      <c r="P1333" s="64">
        <f>K32</f>
        <v>5022.7</v>
      </c>
      <c r="Q1333" s="51" t="s">
        <v>151</v>
      </c>
      <c r="R1333" s="64">
        <f>(M1333*P1333)</f>
        <v>602.72399999999993</v>
      </c>
      <c r="S1333" s="52">
        <v>10</v>
      </c>
      <c r="T1333" s="53"/>
      <c r="U1333" s="50" t="s">
        <v>1931</v>
      </c>
      <c r="V1333" s="162">
        <f>K1344</f>
        <v>339.82280000000003</v>
      </c>
      <c r="W1333" s="55"/>
      <c r="X1333" s="64">
        <f>(S1333*V1333)</f>
        <v>3398.2280000000001</v>
      </c>
      <c r="Y1333" s="64"/>
      <c r="AA1333" s="52">
        <v>1.8</v>
      </c>
      <c r="AC1333" s="50" t="s">
        <v>234</v>
      </c>
      <c r="AD1333" s="52">
        <f>V1335</f>
        <v>1005.1999999999999</v>
      </c>
      <c r="AE1333" s="52">
        <f>AD1333*AA1333</f>
        <v>1809.36</v>
      </c>
      <c r="AG1333" s="71">
        <f t="shared" si="157"/>
        <v>0</v>
      </c>
    </row>
    <row r="1334" spans="6:33" ht="15.75">
      <c r="H1334" s="50" t="s">
        <v>232</v>
      </c>
      <c r="M1334" s="64">
        <v>1</v>
      </c>
      <c r="N1334" s="62" t="s">
        <v>345</v>
      </c>
      <c r="O1334" s="50" t="s">
        <v>1196</v>
      </c>
      <c r="P1334" s="64">
        <f>I1305</f>
        <v>1076.5999999999999</v>
      </c>
      <c r="Q1334" s="51" t="s">
        <v>340</v>
      </c>
      <c r="R1334" s="64">
        <f>(M1334*P1334)</f>
        <v>1076.5999999999999</v>
      </c>
      <c r="S1334" s="64">
        <v>1.1000000000000001</v>
      </c>
      <c r="T1334" s="235" t="s">
        <v>4</v>
      </c>
      <c r="U1334" s="50" t="s">
        <v>269</v>
      </c>
      <c r="V1334" s="64">
        <f>AG9</f>
        <v>1076.5999999999999</v>
      </c>
      <c r="W1334" s="51" t="s">
        <v>4</v>
      </c>
      <c r="X1334" s="64">
        <f t="shared" ref="X1334:X1341" si="162">S1334*V1334</f>
        <v>1184.26</v>
      </c>
      <c r="Y1334" s="64"/>
      <c r="AA1334" s="52">
        <v>17.7</v>
      </c>
      <c r="AC1334" s="50" t="s">
        <v>235</v>
      </c>
      <c r="AD1334" s="52">
        <f>V1336</f>
        <v>702.8</v>
      </c>
      <c r="AE1334" s="52">
        <f>AD1334*AA1334</f>
        <v>12439.56</v>
      </c>
      <c r="AG1334" s="71">
        <f t="shared" si="157"/>
        <v>0</v>
      </c>
    </row>
    <row r="1335" spans="6:33" ht="15.75">
      <c r="H1335" s="59" t="s">
        <v>21</v>
      </c>
      <c r="L1335" s="52">
        <f>SUM(K1355:K1360)</f>
        <v>8938.5740000000005</v>
      </c>
      <c r="M1335" s="64">
        <v>1</v>
      </c>
      <c r="N1335" s="62" t="s">
        <v>345</v>
      </c>
      <c r="O1335" s="50" t="s">
        <v>1198</v>
      </c>
      <c r="P1335" s="64">
        <f>I1306</f>
        <v>702.8</v>
      </c>
      <c r="Q1335" s="51" t="s">
        <v>340</v>
      </c>
      <c r="R1335" s="64">
        <f>(M1335*P1335)</f>
        <v>702.8</v>
      </c>
      <c r="S1335" s="64">
        <v>2.1</v>
      </c>
      <c r="T1335" s="235" t="s">
        <v>4</v>
      </c>
      <c r="U1335" s="50" t="s">
        <v>234</v>
      </c>
      <c r="V1335" s="64">
        <f>AG10</f>
        <v>1005.1999999999999</v>
      </c>
      <c r="W1335" s="51" t="s">
        <v>4</v>
      </c>
      <c r="X1335" s="64">
        <f t="shared" si="162"/>
        <v>2110.92</v>
      </c>
      <c r="Y1335" s="64"/>
      <c r="AA1335" s="52">
        <v>14.1</v>
      </c>
      <c r="AC1335" s="50" t="s">
        <v>236</v>
      </c>
      <c r="AD1335" s="52">
        <f>V1337</f>
        <v>576.79999999999995</v>
      </c>
      <c r="AE1335" s="52">
        <f>AD1335*AA1335</f>
        <v>8132.8799999999992</v>
      </c>
      <c r="AG1335" s="71">
        <f t="shared" si="157"/>
        <v>0</v>
      </c>
    </row>
    <row r="1336" spans="6:33" ht="15.75">
      <c r="F1336" s="64">
        <v>0.04</v>
      </c>
      <c r="G1336" s="62" t="s">
        <v>151</v>
      </c>
      <c r="H1336" s="50" t="s">
        <v>233</v>
      </c>
      <c r="I1336" s="64">
        <f>(K32)</f>
        <v>5022.7</v>
      </c>
      <c r="J1336" s="50" t="s">
        <v>151</v>
      </c>
      <c r="K1336" s="64">
        <f>(F1336*I1336)</f>
        <v>200.90799999999999</v>
      </c>
      <c r="N1336" s="62" t="s">
        <v>226</v>
      </c>
      <c r="O1336" s="50" t="s">
        <v>1200</v>
      </c>
      <c r="Q1336" s="51" t="s">
        <v>226</v>
      </c>
      <c r="R1336" s="64">
        <v>0.33</v>
      </c>
      <c r="S1336" s="64">
        <v>2.2000000000000002</v>
      </c>
      <c r="T1336" s="235" t="s">
        <v>4</v>
      </c>
      <c r="U1336" s="50" t="s">
        <v>235</v>
      </c>
      <c r="V1336" s="64">
        <f>AG11</f>
        <v>702.8</v>
      </c>
      <c r="W1336" s="51" t="s">
        <v>4</v>
      </c>
      <c r="X1336" s="64">
        <f t="shared" si="162"/>
        <v>1546.16</v>
      </c>
      <c r="Y1336" s="64"/>
      <c r="AE1336" s="52">
        <f>SUM(AE1331:AE1335)</f>
        <v>59379.44999999999</v>
      </c>
      <c r="AG1336" s="71">
        <f t="shared" si="157"/>
        <v>0</v>
      </c>
    </row>
    <row r="1337" spans="6:33" ht="15.75">
      <c r="F1337" s="64">
        <v>2.2000000000000002</v>
      </c>
      <c r="G1337" s="62" t="s">
        <v>4</v>
      </c>
      <c r="H1337" s="50" t="s">
        <v>234</v>
      </c>
      <c r="I1337" s="64">
        <f>(C11)</f>
        <v>1005.1999999999999</v>
      </c>
      <c r="J1337" s="50" t="s">
        <v>4</v>
      </c>
      <c r="K1337" s="64">
        <f>(F1337*I1337)</f>
        <v>2211.44</v>
      </c>
      <c r="L1337" s="52">
        <f>SUM(K1355:K1360)</f>
        <v>8938.5740000000005</v>
      </c>
      <c r="N1337" s="53"/>
      <c r="O1337" s="50" t="s">
        <v>1202</v>
      </c>
      <c r="Q1337" s="57"/>
      <c r="R1337" s="59" t="s">
        <v>21</v>
      </c>
      <c r="S1337" s="64">
        <v>1.1000000000000001</v>
      </c>
      <c r="T1337" s="235" t="s">
        <v>4</v>
      </c>
      <c r="U1337" s="50" t="s">
        <v>236</v>
      </c>
      <c r="V1337" s="64">
        <f>AG12</f>
        <v>576.79999999999995</v>
      </c>
      <c r="W1337" s="51" t="s">
        <v>4</v>
      </c>
      <c r="X1337" s="64">
        <f t="shared" si="162"/>
        <v>634.48</v>
      </c>
      <c r="Y1337" s="64"/>
      <c r="AE1337" s="52">
        <f>AE1336/10</f>
        <v>5937.9449999999988</v>
      </c>
      <c r="AG1337" s="71">
        <f t="shared" si="157"/>
        <v>0</v>
      </c>
    </row>
    <row r="1338" spans="6:33" ht="15.75">
      <c r="F1338" s="64">
        <v>0.5</v>
      </c>
      <c r="G1338" s="62" t="s">
        <v>4</v>
      </c>
      <c r="H1338" s="50" t="s">
        <v>235</v>
      </c>
      <c r="I1338" s="64">
        <f>(C12)</f>
        <v>702.8</v>
      </c>
      <c r="J1338" s="50" t="s">
        <v>4</v>
      </c>
      <c r="K1338" s="64">
        <f>(F1338*I1338)</f>
        <v>351.4</v>
      </c>
      <c r="N1338" s="53"/>
      <c r="O1338" s="51" t="s">
        <v>1270</v>
      </c>
      <c r="Q1338" s="57"/>
      <c r="R1338" s="64">
        <f>SUM(R1332:R1336)</f>
        <v>18332.453999999998</v>
      </c>
      <c r="S1338" s="100">
        <v>6.5</v>
      </c>
      <c r="T1338" s="235" t="s">
        <v>13</v>
      </c>
      <c r="U1338" s="50" t="s">
        <v>1932</v>
      </c>
      <c r="V1338" s="64">
        <v>17.18</v>
      </c>
      <c r="W1338" s="51" t="s">
        <v>251</v>
      </c>
      <c r="X1338" s="64">
        <f t="shared" si="162"/>
        <v>111.67</v>
      </c>
      <c r="Y1338" s="64"/>
      <c r="AG1338" s="71">
        <f t="shared" si="157"/>
        <v>0</v>
      </c>
    </row>
    <row r="1339" spans="6:33" ht="15.75">
      <c r="F1339" s="64">
        <v>1.1000000000000001</v>
      </c>
      <c r="G1339" s="62" t="s">
        <v>4</v>
      </c>
      <c r="H1339" s="50" t="s">
        <v>236</v>
      </c>
      <c r="I1339" s="64">
        <f>(C13)</f>
        <v>576.79999999999995</v>
      </c>
      <c r="J1339" s="50" t="s">
        <v>4</v>
      </c>
      <c r="K1339" s="64">
        <f>(F1339*I1339)</f>
        <v>634.48</v>
      </c>
      <c r="N1339" s="53"/>
      <c r="Q1339" s="57"/>
      <c r="R1339" s="59" t="s">
        <v>21</v>
      </c>
      <c r="S1339" s="100">
        <v>3</v>
      </c>
      <c r="T1339" s="235" t="s">
        <v>13</v>
      </c>
      <c r="U1339" s="50" t="s">
        <v>1933</v>
      </c>
      <c r="V1339" s="73">
        <f>C610</f>
        <v>26.8</v>
      </c>
      <c r="W1339" s="51" t="s">
        <v>13</v>
      </c>
      <c r="X1339" s="64">
        <f t="shared" si="162"/>
        <v>80.400000000000006</v>
      </c>
      <c r="Y1339" s="64"/>
      <c r="AG1339" s="71">
        <f t="shared" si="157"/>
        <v>0</v>
      </c>
    </row>
    <row r="1340" spans="6:33" ht="15.75">
      <c r="G1340" s="62" t="s">
        <v>226</v>
      </c>
      <c r="H1340" s="50" t="s">
        <v>237</v>
      </c>
      <c r="J1340" s="50" t="s">
        <v>226</v>
      </c>
      <c r="K1340" s="64">
        <v>0</v>
      </c>
      <c r="N1340" s="53"/>
      <c r="O1340" s="51" t="s">
        <v>1275</v>
      </c>
      <c r="Q1340" s="57"/>
      <c r="R1340" s="63">
        <f>R1338/10</f>
        <v>1833.2453999999998</v>
      </c>
      <c r="S1340" s="64">
        <v>2.15</v>
      </c>
      <c r="T1340" s="235" t="s">
        <v>4</v>
      </c>
      <c r="U1340" s="50" t="s">
        <v>1934</v>
      </c>
      <c r="V1340" s="64">
        <v>45.8</v>
      </c>
      <c r="W1340" s="51" t="s">
        <v>4</v>
      </c>
      <c r="X1340" s="64">
        <f t="shared" si="162"/>
        <v>98.469999999999985</v>
      </c>
      <c r="Y1340" s="64"/>
      <c r="AG1340" s="71">
        <f t="shared" si="157"/>
        <v>0</v>
      </c>
    </row>
    <row r="1341" spans="6:33" ht="15.75">
      <c r="K1341" s="59" t="s">
        <v>21</v>
      </c>
      <c r="N1341" s="53"/>
      <c r="O1341" s="50" t="s">
        <v>271</v>
      </c>
      <c r="Q1341" s="57">
        <f>R1345+S1302</f>
        <v>1842.2753999999998</v>
      </c>
      <c r="R1341" s="64">
        <f>R1340+S1299</f>
        <v>1833.4553999999998</v>
      </c>
      <c r="S1341" s="236">
        <v>0.4</v>
      </c>
      <c r="T1341" s="237" t="s">
        <v>4</v>
      </c>
      <c r="U1341" s="238" t="s">
        <v>1935</v>
      </c>
      <c r="V1341" s="236"/>
      <c r="W1341" s="239" t="s">
        <v>4</v>
      </c>
      <c r="X1341" s="64">
        <f t="shared" si="162"/>
        <v>0</v>
      </c>
      <c r="Y1341" s="64"/>
      <c r="AG1341" s="71">
        <f t="shared" si="157"/>
        <v>0</v>
      </c>
    </row>
    <row r="1342" spans="6:33" ht="15.75">
      <c r="H1342" s="50" t="s">
        <v>238</v>
      </c>
      <c r="K1342" s="64">
        <f>SUM(K1336:K1340)</f>
        <v>3398.2280000000001</v>
      </c>
      <c r="N1342" s="53"/>
      <c r="O1342" s="50" t="s">
        <v>272</v>
      </c>
      <c r="Q1342" s="57">
        <f>Q1341+S1302</f>
        <v>1844.4753999999998</v>
      </c>
      <c r="R1342" s="64">
        <f>R1341+1.11</f>
        <v>1834.5653999999997</v>
      </c>
      <c r="S1342" s="64"/>
      <c r="T1342" s="235"/>
      <c r="U1342" s="50"/>
      <c r="V1342" s="64"/>
      <c r="W1342" s="51" t="s">
        <v>4</v>
      </c>
      <c r="X1342" s="64">
        <f>(S1342*V1342)</f>
        <v>0</v>
      </c>
      <c r="Y1342" s="64"/>
      <c r="AG1342" s="71">
        <f t="shared" ref="AG1342:AG1405" si="163">AI1342</f>
        <v>0</v>
      </c>
    </row>
    <row r="1343" spans="6:33" ht="15.75">
      <c r="K1343" s="59" t="s">
        <v>21</v>
      </c>
      <c r="N1343" s="53"/>
      <c r="O1343" s="50" t="s">
        <v>767</v>
      </c>
      <c r="Q1343" s="57"/>
      <c r="R1343" s="64">
        <f>R1342+1.11</f>
        <v>1835.6753999999996</v>
      </c>
      <c r="S1343" s="52"/>
      <c r="T1343" s="235" t="s">
        <v>226</v>
      </c>
      <c r="U1343" s="50" t="s">
        <v>237</v>
      </c>
      <c r="V1343" s="64"/>
      <c r="W1343" s="51" t="s">
        <v>226</v>
      </c>
      <c r="X1343" s="64">
        <v>0.8</v>
      </c>
      <c r="Y1343" s="64"/>
      <c r="AG1343" s="71">
        <f t="shared" si="163"/>
        <v>0</v>
      </c>
    </row>
    <row r="1344" spans="6:33" ht="15.75">
      <c r="H1344" s="66" t="s">
        <v>155</v>
      </c>
      <c r="K1344" s="63">
        <f>(K1342/10)</f>
        <v>339.82280000000003</v>
      </c>
      <c r="N1344" s="53"/>
      <c r="O1344" s="50" t="s">
        <v>769</v>
      </c>
      <c r="Q1344" s="57"/>
      <c r="R1344" s="64">
        <f>R1343+S1302</f>
        <v>1837.8753999999997</v>
      </c>
      <c r="S1344" s="52"/>
      <c r="T1344" s="240"/>
      <c r="W1344" s="57"/>
      <c r="X1344" s="59" t="s">
        <v>21</v>
      </c>
      <c r="Y1344" s="59"/>
      <c r="AG1344" s="71">
        <f t="shared" si="163"/>
        <v>0</v>
      </c>
    </row>
    <row r="1345" spans="6:33" ht="15.75">
      <c r="K1345" s="59" t="s">
        <v>156</v>
      </c>
      <c r="N1345" s="53"/>
      <c r="O1345" s="50" t="s">
        <v>1117</v>
      </c>
      <c r="Q1345" s="57"/>
      <c r="R1345" s="64">
        <f>R1344+S1302</f>
        <v>1840.0753999999997</v>
      </c>
      <c r="S1345" s="52"/>
      <c r="T1345" s="240"/>
      <c r="U1345" s="50" t="s">
        <v>238</v>
      </c>
      <c r="W1345" s="57"/>
      <c r="X1345" s="64">
        <f>SUM(X1331:X1344)</f>
        <v>14860.154999999997</v>
      </c>
      <c r="Y1345" s="64"/>
      <c r="AG1345" s="71">
        <f t="shared" si="163"/>
        <v>0</v>
      </c>
    </row>
    <row r="1346" spans="6:33" ht="15.75">
      <c r="N1346" s="53"/>
      <c r="Q1346" s="57"/>
      <c r="S1346" s="52"/>
      <c r="T1346" s="240"/>
      <c r="W1346" s="57"/>
      <c r="X1346" s="59" t="s">
        <v>21</v>
      </c>
      <c r="Y1346" s="59"/>
      <c r="AG1346" s="71">
        <f t="shared" si="163"/>
        <v>0</v>
      </c>
    </row>
    <row r="1347" spans="6:33" ht="15.75">
      <c r="F1347" s="101">
        <v>32.1</v>
      </c>
      <c r="G1347" s="62" t="s">
        <v>249</v>
      </c>
      <c r="H1347" s="50" t="s">
        <v>290</v>
      </c>
      <c r="N1347" s="53"/>
      <c r="Q1347" s="55"/>
      <c r="S1347" s="52"/>
      <c r="T1347" s="240"/>
      <c r="U1347" s="50" t="s">
        <v>155</v>
      </c>
      <c r="W1347" s="57"/>
      <c r="X1347" s="63">
        <f>(X1345/10)</f>
        <v>1486.0154999999997</v>
      </c>
      <c r="Y1347" s="63"/>
      <c r="Z1347" s="52">
        <f>0.8-0.77</f>
        <v>3.0000000000000027E-2</v>
      </c>
      <c r="AG1347" s="71">
        <f t="shared" si="163"/>
        <v>0</v>
      </c>
    </row>
    <row r="1348" spans="6:33" ht="15.75">
      <c r="H1348" s="50" t="s">
        <v>291</v>
      </c>
      <c r="N1348" s="53"/>
      <c r="Q1348" s="55"/>
      <c r="S1348" s="52"/>
      <c r="T1348" s="240"/>
      <c r="W1348" s="57"/>
      <c r="X1348" s="59" t="s">
        <v>156</v>
      </c>
      <c r="Y1348" s="59"/>
      <c r="AG1348" s="71">
        <f t="shared" si="163"/>
        <v>0</v>
      </c>
    </row>
    <row r="1349" spans="6:33" ht="15.75">
      <c r="H1349" s="50" t="s">
        <v>292</v>
      </c>
      <c r="N1349" s="53"/>
      <c r="Q1349" s="55"/>
      <c r="AG1349" s="71">
        <f t="shared" si="163"/>
        <v>0</v>
      </c>
    </row>
    <row r="1350" spans="6:33" ht="15.75">
      <c r="H1350" s="50" t="s">
        <v>293</v>
      </c>
      <c r="N1350" s="53"/>
      <c r="Q1350" s="55"/>
      <c r="Z1350" s="131">
        <v>3.02</v>
      </c>
      <c r="AA1350" s="62" t="s">
        <v>534</v>
      </c>
      <c r="AB1350" s="62"/>
      <c r="AC1350" s="50" t="s">
        <v>1936</v>
      </c>
      <c r="AD1350" s="64">
        <f t="shared" ref="AD1350:AD1361" si="164">V1352</f>
        <v>287</v>
      </c>
      <c r="AE1350" s="62" t="s">
        <v>534</v>
      </c>
      <c r="AF1350" s="64">
        <f t="shared" ref="AF1350:AF1361" si="165">AD1350*Z1350</f>
        <v>866.74</v>
      </c>
      <c r="AG1350" s="71">
        <f t="shared" si="163"/>
        <v>0</v>
      </c>
    </row>
    <row r="1351" spans="6:33" ht="19.5">
      <c r="H1351" s="50" t="s">
        <v>294</v>
      </c>
      <c r="N1351" s="53"/>
      <c r="O1351" s="52" t="s">
        <v>1937</v>
      </c>
      <c r="Q1351" s="57"/>
      <c r="T1351" s="53"/>
      <c r="U1351" s="208" t="s">
        <v>1938</v>
      </c>
      <c r="W1351" s="55"/>
      <c r="Z1351" s="131">
        <v>2.19</v>
      </c>
      <c r="AA1351" s="62" t="s">
        <v>534</v>
      </c>
      <c r="AB1351" s="62"/>
      <c r="AC1351" s="50" t="s">
        <v>1936</v>
      </c>
      <c r="AD1351" s="64">
        <f t="shared" si="164"/>
        <v>287</v>
      </c>
      <c r="AE1351" s="62" t="s">
        <v>534</v>
      </c>
      <c r="AF1351" s="64">
        <f t="shared" si="165"/>
        <v>628.53</v>
      </c>
      <c r="AG1351" s="71">
        <f t="shared" si="163"/>
        <v>0</v>
      </c>
    </row>
    <row r="1352" spans="6:33" ht="15.75">
      <c r="H1352" s="59" t="s">
        <v>21</v>
      </c>
      <c r="N1352" s="53"/>
      <c r="Q1352" s="57"/>
      <c r="S1352" s="100">
        <v>3.72</v>
      </c>
      <c r="T1352" s="62" t="s">
        <v>534</v>
      </c>
      <c r="U1352" s="50" t="s">
        <v>1936</v>
      </c>
      <c r="V1352" s="64">
        <f>P1391</f>
        <v>287</v>
      </c>
      <c r="W1352" s="62" t="s">
        <v>534</v>
      </c>
      <c r="X1352" s="64">
        <f>V1352*S1352</f>
        <v>1067.6400000000001</v>
      </c>
      <c r="Y1352" s="64"/>
      <c r="Z1352" s="131">
        <v>4.96</v>
      </c>
      <c r="AA1352" s="62" t="s">
        <v>534</v>
      </c>
      <c r="AB1352" s="62"/>
      <c r="AC1352" s="50" t="s">
        <v>1936</v>
      </c>
      <c r="AD1352" s="64">
        <f t="shared" si="164"/>
        <v>287</v>
      </c>
      <c r="AE1352" s="62" t="s">
        <v>534</v>
      </c>
      <c r="AF1352" s="64">
        <f t="shared" si="165"/>
        <v>1423.52</v>
      </c>
      <c r="AG1352" s="71">
        <f t="shared" si="163"/>
        <v>0</v>
      </c>
    </row>
    <row r="1353" spans="6:33" ht="15.75">
      <c r="F1353" s="64">
        <v>190</v>
      </c>
      <c r="G1353" s="62" t="s">
        <v>295</v>
      </c>
      <c r="H1353" s="50" t="s">
        <v>296</v>
      </c>
      <c r="I1353" s="64">
        <f>(C83)</f>
        <v>16106</v>
      </c>
      <c r="J1353" s="50" t="s">
        <v>297</v>
      </c>
      <c r="K1353" s="64">
        <f>(F1353*I1353)/1000</f>
        <v>3060.14</v>
      </c>
      <c r="M1353" s="52">
        <v>70</v>
      </c>
      <c r="N1353" s="53" t="s">
        <v>303</v>
      </c>
      <c r="O1353" s="241" t="s">
        <v>1939</v>
      </c>
      <c r="P1353" s="129">
        <v>33</v>
      </c>
      <c r="Q1353" s="57" t="s">
        <v>303</v>
      </c>
      <c r="R1353" s="52">
        <f>P1353*M1353</f>
        <v>2310</v>
      </c>
      <c r="S1353" s="100">
        <v>3.87</v>
      </c>
      <c r="T1353" s="62" t="s">
        <v>534</v>
      </c>
      <c r="U1353" s="50" t="s">
        <v>1936</v>
      </c>
      <c r="V1353" s="64">
        <f t="shared" ref="V1353:V1363" si="166">P1392</f>
        <v>287</v>
      </c>
      <c r="W1353" s="62" t="s">
        <v>534</v>
      </c>
      <c r="X1353" s="64">
        <f t="shared" ref="X1353:X1363" si="167">V1353*S1353</f>
        <v>1110.69</v>
      </c>
      <c r="Y1353" s="64"/>
      <c r="Z1353" s="131">
        <v>0.85</v>
      </c>
      <c r="AA1353" s="62" t="s">
        <v>534</v>
      </c>
      <c r="AB1353" s="62"/>
      <c r="AC1353" s="50" t="s">
        <v>1936</v>
      </c>
      <c r="AD1353" s="64">
        <f t="shared" si="164"/>
        <v>287</v>
      </c>
      <c r="AE1353" s="62" t="s">
        <v>534</v>
      </c>
      <c r="AF1353" s="64">
        <f t="shared" si="165"/>
        <v>243.95</v>
      </c>
      <c r="AG1353" s="71">
        <f t="shared" si="163"/>
        <v>0</v>
      </c>
    </row>
    <row r="1354" spans="6:33" ht="15.75">
      <c r="F1354" s="64">
        <v>0.12</v>
      </c>
      <c r="G1354" s="62" t="s">
        <v>151</v>
      </c>
      <c r="H1354" s="50" t="s">
        <v>298</v>
      </c>
      <c r="I1354" s="64">
        <f>(K32)</f>
        <v>5022.7</v>
      </c>
      <c r="J1354" s="50" t="s">
        <v>151</v>
      </c>
      <c r="K1354" s="62">
        <f t="shared" ref="K1354:K1360" si="168">(F1354*I1354)</f>
        <v>602.72399999999993</v>
      </c>
      <c r="N1354" s="53"/>
      <c r="Q1354" s="57"/>
      <c r="S1354" s="100">
        <v>7.46</v>
      </c>
      <c r="T1354" s="62" t="s">
        <v>534</v>
      </c>
      <c r="U1354" s="50" t="s">
        <v>1936</v>
      </c>
      <c r="V1354" s="64">
        <f t="shared" si="166"/>
        <v>287</v>
      </c>
      <c r="W1354" s="62" t="s">
        <v>534</v>
      </c>
      <c r="X1354" s="64">
        <f t="shared" si="167"/>
        <v>2141.02</v>
      </c>
      <c r="Y1354" s="64"/>
      <c r="Z1354" s="131">
        <v>0.73199999999999998</v>
      </c>
      <c r="AA1354" s="62" t="s">
        <v>533</v>
      </c>
      <c r="AB1354" s="62"/>
      <c r="AC1354" s="50" t="s">
        <v>1940</v>
      </c>
      <c r="AD1354" s="64">
        <f>V1356</f>
        <v>208.8</v>
      </c>
      <c r="AE1354" s="62" t="s">
        <v>533</v>
      </c>
      <c r="AF1354" s="64">
        <f t="shared" si="165"/>
        <v>152.8416</v>
      </c>
      <c r="AG1354" s="71">
        <f t="shared" si="163"/>
        <v>0</v>
      </c>
    </row>
    <row r="1355" spans="6:33" ht="15.75">
      <c r="F1355" s="64">
        <v>10</v>
      </c>
      <c r="G1355" s="62" t="s">
        <v>152</v>
      </c>
      <c r="H1355" s="50" t="s">
        <v>299</v>
      </c>
      <c r="I1355" s="64">
        <f>(K1344)</f>
        <v>339.82280000000003</v>
      </c>
      <c r="J1355" s="50" t="s">
        <v>152</v>
      </c>
      <c r="K1355" s="62">
        <f t="shared" si="168"/>
        <v>3398.2280000000001</v>
      </c>
      <c r="M1355" s="52">
        <v>0.3</v>
      </c>
      <c r="N1355" s="53" t="s">
        <v>313</v>
      </c>
      <c r="O1355" s="241" t="s">
        <v>1941</v>
      </c>
      <c r="P1355" s="129">
        <v>17600</v>
      </c>
      <c r="Q1355" s="57" t="s">
        <v>313</v>
      </c>
      <c r="R1355" s="52">
        <f>P1355*M1355</f>
        <v>5280</v>
      </c>
      <c r="S1355" s="100">
        <v>1.28</v>
      </c>
      <c r="T1355" s="62" t="s">
        <v>534</v>
      </c>
      <c r="U1355" s="50" t="s">
        <v>1936</v>
      </c>
      <c r="V1355" s="64">
        <f t="shared" si="166"/>
        <v>287</v>
      </c>
      <c r="W1355" s="62" t="s">
        <v>534</v>
      </c>
      <c r="X1355" s="64">
        <f t="shared" si="167"/>
        <v>367.36</v>
      </c>
      <c r="Y1355" s="64"/>
      <c r="Z1355" s="131">
        <v>6.8719999999999999</v>
      </c>
      <c r="AA1355" s="62" t="s">
        <v>303</v>
      </c>
      <c r="AB1355" s="62"/>
      <c r="AC1355" s="50" t="s">
        <v>1942</v>
      </c>
      <c r="AD1355" s="64">
        <f t="shared" si="164"/>
        <v>28.6</v>
      </c>
      <c r="AE1355" s="62" t="s">
        <v>303</v>
      </c>
      <c r="AF1355" s="64">
        <f t="shared" si="165"/>
        <v>196.53919999999999</v>
      </c>
      <c r="AG1355" s="71">
        <f t="shared" si="163"/>
        <v>0</v>
      </c>
    </row>
    <row r="1356" spans="6:33" ht="15.75">
      <c r="F1356" s="100">
        <v>1.54</v>
      </c>
      <c r="G1356" s="62" t="s">
        <v>13</v>
      </c>
      <c r="H1356" s="50" t="s">
        <v>300</v>
      </c>
      <c r="I1356" s="72">
        <f>C653</f>
        <v>41.9</v>
      </c>
      <c r="J1356" s="50" t="s">
        <v>13</v>
      </c>
      <c r="K1356" s="64">
        <f t="shared" si="168"/>
        <v>64.525999999999996</v>
      </c>
      <c r="N1356" s="53"/>
      <c r="Q1356" s="57"/>
      <c r="S1356" s="100">
        <v>1.107</v>
      </c>
      <c r="T1356" s="62" t="s">
        <v>533</v>
      </c>
      <c r="U1356" s="50" t="s">
        <v>1940</v>
      </c>
      <c r="V1356" s="64">
        <f t="shared" si="166"/>
        <v>208.8</v>
      </c>
      <c r="W1356" s="62" t="s">
        <v>533</v>
      </c>
      <c r="X1356" s="64">
        <f t="shared" si="167"/>
        <v>231.14160000000001</v>
      </c>
      <c r="Y1356" s="64"/>
      <c r="Z1356" s="131">
        <v>8</v>
      </c>
      <c r="AA1356" s="62" t="s">
        <v>4</v>
      </c>
      <c r="AB1356" s="62"/>
      <c r="AC1356" s="50" t="s">
        <v>1943</v>
      </c>
      <c r="AD1356" s="64">
        <f t="shared" si="164"/>
        <v>63.5</v>
      </c>
      <c r="AE1356" s="62" t="s">
        <v>4</v>
      </c>
      <c r="AF1356" s="64">
        <f t="shared" si="165"/>
        <v>508</v>
      </c>
      <c r="AG1356" s="71">
        <f t="shared" si="163"/>
        <v>0</v>
      </c>
    </row>
    <row r="1357" spans="6:33" ht="15.75">
      <c r="F1357" s="64">
        <v>1.1000000000000001</v>
      </c>
      <c r="G1357" s="62" t="s">
        <v>4</v>
      </c>
      <c r="H1357" s="50" t="s">
        <v>269</v>
      </c>
      <c r="I1357" s="64">
        <f>(C10)</f>
        <v>1076.5999999999999</v>
      </c>
      <c r="J1357" s="50" t="s">
        <v>4</v>
      </c>
      <c r="K1357" s="64">
        <f t="shared" si="168"/>
        <v>1184.26</v>
      </c>
      <c r="N1357" s="53"/>
      <c r="O1357" s="52" t="s">
        <v>1944</v>
      </c>
      <c r="Q1357" s="57"/>
      <c r="R1357" s="52">
        <f>SUM(R1353:R1355)</f>
        <v>7590</v>
      </c>
      <c r="S1357" s="100">
        <v>10.343999999999999</v>
      </c>
      <c r="T1357" s="62" t="s">
        <v>303</v>
      </c>
      <c r="U1357" s="50" t="s">
        <v>1942</v>
      </c>
      <c r="V1357" s="64">
        <f t="shared" si="166"/>
        <v>28.6</v>
      </c>
      <c r="W1357" s="62" t="s">
        <v>303</v>
      </c>
      <c r="X1357" s="64">
        <f t="shared" si="167"/>
        <v>295.83839999999998</v>
      </c>
      <c r="Y1357" s="64"/>
      <c r="Z1357" s="131">
        <v>4</v>
      </c>
      <c r="AA1357" s="62" t="s">
        <v>4</v>
      </c>
      <c r="AB1357" s="62"/>
      <c r="AC1357" s="50" t="s">
        <v>1945</v>
      </c>
      <c r="AD1357" s="64">
        <f t="shared" si="164"/>
        <v>50.9</v>
      </c>
      <c r="AE1357" s="62" t="s">
        <v>4</v>
      </c>
      <c r="AF1357" s="64">
        <f t="shared" si="165"/>
        <v>203.6</v>
      </c>
      <c r="AG1357" s="71">
        <f t="shared" si="163"/>
        <v>0</v>
      </c>
    </row>
    <row r="1358" spans="6:33" ht="15.75">
      <c r="F1358" s="64">
        <v>2.1</v>
      </c>
      <c r="G1358" s="62" t="s">
        <v>4</v>
      </c>
      <c r="H1358" s="50" t="s">
        <v>234</v>
      </c>
      <c r="I1358" s="64">
        <f>(C11)</f>
        <v>1005.1999999999999</v>
      </c>
      <c r="J1358" s="50" t="s">
        <v>4</v>
      </c>
      <c r="K1358" s="64">
        <f t="shared" si="168"/>
        <v>2110.92</v>
      </c>
      <c r="N1358" s="53"/>
      <c r="O1358" s="242" t="s">
        <v>1946</v>
      </c>
      <c r="Q1358" s="57"/>
      <c r="R1358" s="65">
        <f>R1357/10</f>
        <v>759</v>
      </c>
      <c r="S1358" s="100">
        <v>12</v>
      </c>
      <c r="T1358" s="62" t="s">
        <v>4</v>
      </c>
      <c r="U1358" s="50" t="s">
        <v>1947</v>
      </c>
      <c r="V1358" s="64">
        <f t="shared" si="166"/>
        <v>63.5</v>
      </c>
      <c r="W1358" s="62" t="s">
        <v>4</v>
      </c>
      <c r="X1358" s="64">
        <f t="shared" si="167"/>
        <v>762</v>
      </c>
      <c r="Y1358" s="64"/>
      <c r="Z1358" s="131">
        <v>4</v>
      </c>
      <c r="AA1358" s="62" t="s">
        <v>4</v>
      </c>
      <c r="AB1358" s="62"/>
      <c r="AC1358" s="50" t="s">
        <v>1948</v>
      </c>
      <c r="AD1358" s="64">
        <f t="shared" si="164"/>
        <v>30</v>
      </c>
      <c r="AE1358" s="62" t="s">
        <v>4</v>
      </c>
      <c r="AF1358" s="64">
        <f t="shared" si="165"/>
        <v>120</v>
      </c>
      <c r="AG1358" s="71">
        <f t="shared" si="163"/>
        <v>0</v>
      </c>
    </row>
    <row r="1359" spans="6:33" ht="15.75">
      <c r="F1359" s="64">
        <v>2.2000000000000002</v>
      </c>
      <c r="G1359" s="62" t="s">
        <v>4</v>
      </c>
      <c r="H1359" s="50" t="s">
        <v>235</v>
      </c>
      <c r="I1359" s="64">
        <f>(C12)</f>
        <v>702.8</v>
      </c>
      <c r="J1359" s="50" t="s">
        <v>4</v>
      </c>
      <c r="K1359" s="64">
        <f t="shared" si="168"/>
        <v>1546.16</v>
      </c>
      <c r="N1359" s="53"/>
      <c r="Q1359" s="57"/>
      <c r="S1359" s="100">
        <v>6</v>
      </c>
      <c r="T1359" s="62" t="s">
        <v>4</v>
      </c>
      <c r="U1359" s="50" t="s">
        <v>1945</v>
      </c>
      <c r="V1359" s="64">
        <f t="shared" si="166"/>
        <v>50.9</v>
      </c>
      <c r="W1359" s="62" t="s">
        <v>4</v>
      </c>
      <c r="X1359" s="64">
        <f t="shared" si="167"/>
        <v>305.39999999999998</v>
      </c>
      <c r="Y1359" s="64"/>
      <c r="Z1359" s="131">
        <v>4</v>
      </c>
      <c r="AA1359" s="62" t="s">
        <v>4</v>
      </c>
      <c r="AB1359" s="62"/>
      <c r="AC1359" s="50" t="s">
        <v>1949</v>
      </c>
      <c r="AD1359" s="64">
        <f t="shared" si="164"/>
        <v>20</v>
      </c>
      <c r="AE1359" s="62" t="s">
        <v>4</v>
      </c>
      <c r="AF1359" s="64">
        <f t="shared" si="165"/>
        <v>80</v>
      </c>
      <c r="AG1359" s="71">
        <f t="shared" si="163"/>
        <v>0</v>
      </c>
    </row>
    <row r="1360" spans="6:33" ht="15.75">
      <c r="F1360" s="64">
        <v>1.1000000000000001</v>
      </c>
      <c r="G1360" s="62" t="s">
        <v>4</v>
      </c>
      <c r="H1360" s="50" t="s">
        <v>236</v>
      </c>
      <c r="I1360" s="64">
        <f>(C13)</f>
        <v>576.79999999999995</v>
      </c>
      <c r="J1360" s="50" t="s">
        <v>4</v>
      </c>
      <c r="K1360" s="64">
        <f t="shared" si="168"/>
        <v>634.48</v>
      </c>
      <c r="M1360" s="52">
        <v>2</v>
      </c>
      <c r="N1360" s="53" t="s">
        <v>154</v>
      </c>
      <c r="O1360" s="52" t="s">
        <v>1830</v>
      </c>
      <c r="P1360" s="52">
        <f>C12</f>
        <v>702.8</v>
      </c>
      <c r="Q1360" s="57" t="s">
        <v>1950</v>
      </c>
      <c r="R1360" s="52">
        <f>P1360*M1360</f>
        <v>1405.6</v>
      </c>
      <c r="S1360" s="100">
        <v>6</v>
      </c>
      <c r="T1360" s="62" t="s">
        <v>4</v>
      </c>
      <c r="U1360" s="50" t="s">
        <v>1948</v>
      </c>
      <c r="V1360" s="64">
        <f t="shared" si="166"/>
        <v>30</v>
      </c>
      <c r="W1360" s="62" t="s">
        <v>4</v>
      </c>
      <c r="X1360" s="64">
        <f t="shared" si="167"/>
        <v>180</v>
      </c>
      <c r="Y1360" s="64"/>
      <c r="Z1360" s="131">
        <v>4</v>
      </c>
      <c r="AA1360" s="62" t="s">
        <v>4</v>
      </c>
      <c r="AB1360" s="62"/>
      <c r="AC1360" s="50" t="s">
        <v>1951</v>
      </c>
      <c r="AD1360" s="64">
        <f t="shared" si="164"/>
        <v>15</v>
      </c>
      <c r="AE1360" s="62" t="s">
        <v>4</v>
      </c>
      <c r="AF1360" s="64">
        <f t="shared" si="165"/>
        <v>60</v>
      </c>
      <c r="AG1360" s="71">
        <f t="shared" si="163"/>
        <v>0</v>
      </c>
    </row>
    <row r="1361" spans="6:33" ht="15.75">
      <c r="G1361" s="62" t="s">
        <v>226</v>
      </c>
      <c r="H1361" s="50" t="s">
        <v>237</v>
      </c>
      <c r="J1361" s="50" t="s">
        <v>226</v>
      </c>
      <c r="K1361" s="64">
        <v>0</v>
      </c>
      <c r="N1361" s="53"/>
      <c r="Q1361" s="57"/>
      <c r="S1361" s="100">
        <v>6</v>
      </c>
      <c r="T1361" s="62" t="s">
        <v>4</v>
      </c>
      <c r="U1361" s="50" t="s">
        <v>1949</v>
      </c>
      <c r="V1361" s="64">
        <f t="shared" si="166"/>
        <v>20</v>
      </c>
      <c r="W1361" s="62" t="s">
        <v>4</v>
      </c>
      <c r="X1361" s="64">
        <f t="shared" si="167"/>
        <v>120</v>
      </c>
      <c r="Y1361" s="64"/>
      <c r="Z1361" s="131">
        <v>0.94499999999999995</v>
      </c>
      <c r="AA1361" s="62" t="s">
        <v>306</v>
      </c>
      <c r="AB1361" s="62"/>
      <c r="AC1361" s="50" t="s">
        <v>1952</v>
      </c>
      <c r="AD1361" s="64">
        <f t="shared" si="164"/>
        <v>2156</v>
      </c>
      <c r="AE1361" s="62" t="s">
        <v>306</v>
      </c>
      <c r="AF1361" s="64">
        <f t="shared" si="165"/>
        <v>2037.4199999999998</v>
      </c>
      <c r="AG1361" s="71">
        <f t="shared" si="163"/>
        <v>0</v>
      </c>
    </row>
    <row r="1362" spans="6:33" ht="15.75">
      <c r="K1362" s="59" t="s">
        <v>21</v>
      </c>
      <c r="N1362" s="53"/>
      <c r="O1362" s="52" t="s">
        <v>1953</v>
      </c>
      <c r="P1362" s="52" t="s">
        <v>287</v>
      </c>
      <c r="Q1362" s="57"/>
      <c r="R1362" s="52">
        <v>11.5</v>
      </c>
      <c r="S1362" s="100">
        <v>4</v>
      </c>
      <c r="T1362" s="62" t="s">
        <v>4</v>
      </c>
      <c r="U1362" s="50" t="s">
        <v>1951</v>
      </c>
      <c r="V1362" s="64">
        <f t="shared" si="166"/>
        <v>15</v>
      </c>
      <c r="W1362" s="62" t="s">
        <v>4</v>
      </c>
      <c r="X1362" s="64">
        <f t="shared" si="167"/>
        <v>60</v>
      </c>
      <c r="Y1362" s="64"/>
      <c r="AA1362" s="53"/>
      <c r="AB1362" s="53"/>
      <c r="AC1362" s="50" t="s">
        <v>1954</v>
      </c>
      <c r="AE1362" s="57"/>
      <c r="AF1362" s="64">
        <v>0.81</v>
      </c>
      <c r="AG1362" s="71">
        <f t="shared" si="163"/>
        <v>0</v>
      </c>
    </row>
    <row r="1363" spans="6:33" ht="15.75">
      <c r="H1363" s="50" t="s">
        <v>238</v>
      </c>
      <c r="K1363" s="64">
        <f>SUM(K1353:K1361)</f>
        <v>12601.437999999998</v>
      </c>
      <c r="N1363" s="53"/>
      <c r="O1363" s="242" t="s">
        <v>1955</v>
      </c>
      <c r="Q1363" s="57"/>
      <c r="R1363" s="52">
        <f>SUM(R1358:R1362)</f>
        <v>2176.1</v>
      </c>
      <c r="S1363" s="100">
        <v>1.4179999999999999</v>
      </c>
      <c r="T1363" s="62" t="s">
        <v>306</v>
      </c>
      <c r="U1363" s="50" t="s">
        <v>1952</v>
      </c>
      <c r="V1363" s="64">
        <f t="shared" si="166"/>
        <v>2156</v>
      </c>
      <c r="W1363" s="62" t="s">
        <v>306</v>
      </c>
      <c r="X1363" s="64">
        <f t="shared" si="167"/>
        <v>3057.2079999999996</v>
      </c>
      <c r="Y1363" s="64"/>
      <c r="AC1363" s="61" t="s">
        <v>1956</v>
      </c>
      <c r="AF1363" s="63">
        <f>SUM(AF1350:AF1362)</f>
        <v>6521.9508000000005</v>
      </c>
      <c r="AG1363" s="71">
        <f t="shared" si="163"/>
        <v>0</v>
      </c>
    </row>
    <row r="1364" spans="6:33" ht="15.75">
      <c r="K1364" s="59" t="s">
        <v>21</v>
      </c>
      <c r="N1364" s="53"/>
      <c r="Q1364" s="57"/>
      <c r="T1364" s="53"/>
      <c r="U1364" s="50" t="s">
        <v>1954</v>
      </c>
      <c r="W1364" s="57"/>
      <c r="X1364" s="64"/>
      <c r="Y1364" s="64"/>
      <c r="AG1364" s="71">
        <f t="shared" si="163"/>
        <v>0</v>
      </c>
    </row>
    <row r="1365" spans="6:33" ht="15.75">
      <c r="H1365" s="66" t="s">
        <v>155</v>
      </c>
      <c r="K1365" s="63">
        <f>(K1363/10)</f>
        <v>1260.1437999999998</v>
      </c>
      <c r="N1365" s="53"/>
      <c r="O1365" s="242" t="s">
        <v>1957</v>
      </c>
      <c r="Q1365" s="57"/>
      <c r="R1365" s="65">
        <f>R1363/6</f>
        <v>362.68333333333334</v>
      </c>
      <c r="U1365" s="61" t="s">
        <v>1956</v>
      </c>
      <c r="X1365" s="63">
        <f>SUM(X1352:X1364)</f>
        <v>9698.2979999999989</v>
      </c>
      <c r="Y1365" s="63"/>
      <c r="AG1365" s="71">
        <f t="shared" si="163"/>
        <v>0</v>
      </c>
    </row>
    <row r="1366" spans="6:33" ht="19.5">
      <c r="K1366" s="59" t="s">
        <v>156</v>
      </c>
      <c r="N1366" s="53"/>
      <c r="Q1366" s="57"/>
      <c r="AA1366" s="53"/>
      <c r="AB1366" s="53"/>
      <c r="AC1366" s="208" t="s">
        <v>1958</v>
      </c>
      <c r="AE1366" s="55"/>
      <c r="AG1366" s="71">
        <f t="shared" si="163"/>
        <v>0</v>
      </c>
    </row>
    <row r="1367" spans="6:33" ht="15.75">
      <c r="K1367" s="59"/>
      <c r="N1367" s="53"/>
      <c r="Q1367" s="55"/>
      <c r="Z1367" s="131">
        <v>3.72</v>
      </c>
      <c r="AA1367" s="62" t="s">
        <v>534</v>
      </c>
      <c r="AB1367" s="62"/>
      <c r="AC1367" s="50" t="s">
        <v>1936</v>
      </c>
      <c r="AD1367" s="64">
        <f>AD1350</f>
        <v>287</v>
      </c>
      <c r="AE1367" s="62" t="s">
        <v>534</v>
      </c>
      <c r="AF1367" s="64">
        <f t="shared" ref="AF1367:AF1378" si="169">AD1367*Z1367</f>
        <v>1067.6400000000001</v>
      </c>
      <c r="AG1367" s="71">
        <f t="shared" si="163"/>
        <v>0</v>
      </c>
    </row>
    <row r="1368" spans="6:33" ht="19.5">
      <c r="K1368" s="59"/>
      <c r="M1368" s="101">
        <v>29.5</v>
      </c>
      <c r="N1368" s="62" t="s">
        <v>249</v>
      </c>
      <c r="O1368" s="50" t="s">
        <v>1959</v>
      </c>
      <c r="Q1368" s="57"/>
      <c r="T1368" s="53"/>
      <c r="U1368" s="208" t="s">
        <v>1960</v>
      </c>
      <c r="W1368" s="55"/>
      <c r="Z1368" s="131">
        <v>2.69</v>
      </c>
      <c r="AA1368" s="62" t="s">
        <v>534</v>
      </c>
      <c r="AB1368" s="62"/>
      <c r="AC1368" s="50" t="s">
        <v>1936</v>
      </c>
      <c r="AD1368" s="64">
        <f t="shared" ref="AD1368:AD1378" si="170">AD1351</f>
        <v>287</v>
      </c>
      <c r="AE1368" s="62" t="s">
        <v>534</v>
      </c>
      <c r="AF1368" s="64">
        <f t="shared" si="169"/>
        <v>772.03</v>
      </c>
      <c r="AG1368" s="71">
        <f t="shared" si="163"/>
        <v>0</v>
      </c>
    </row>
    <row r="1369" spans="6:33" ht="15.75">
      <c r="F1369" s="101">
        <v>32.200000000000003</v>
      </c>
      <c r="G1369" s="62" t="s">
        <v>249</v>
      </c>
      <c r="H1369" s="50" t="s">
        <v>290</v>
      </c>
      <c r="K1369" s="59"/>
      <c r="N1369" s="53"/>
      <c r="O1369" s="50" t="s">
        <v>1881</v>
      </c>
      <c r="Q1369" s="57"/>
      <c r="S1369" s="100">
        <v>3.49</v>
      </c>
      <c r="T1369" s="62" t="s">
        <v>534</v>
      </c>
      <c r="U1369" s="50" t="s">
        <v>1936</v>
      </c>
      <c r="V1369" s="64">
        <f>P1408</f>
        <v>287</v>
      </c>
      <c r="W1369" s="62" t="s">
        <v>534</v>
      </c>
      <c r="X1369" s="64">
        <f>V1369*S1369</f>
        <v>1001.6300000000001</v>
      </c>
      <c r="Y1369" s="64"/>
      <c r="Z1369" s="131">
        <v>6.15</v>
      </c>
      <c r="AA1369" s="62" t="s">
        <v>534</v>
      </c>
      <c r="AB1369" s="62"/>
      <c r="AC1369" s="50" t="s">
        <v>1936</v>
      </c>
      <c r="AD1369" s="64">
        <f t="shared" si="170"/>
        <v>287</v>
      </c>
      <c r="AE1369" s="62" t="s">
        <v>534</v>
      </c>
      <c r="AF1369" s="64">
        <f t="shared" si="169"/>
        <v>1765.0500000000002</v>
      </c>
      <c r="AG1369" s="71">
        <f t="shared" si="163"/>
        <v>0</v>
      </c>
    </row>
    <row r="1370" spans="6:33" ht="15.75">
      <c r="H1370" s="50" t="s">
        <v>291</v>
      </c>
      <c r="K1370" s="59"/>
      <c r="N1370" s="53"/>
      <c r="O1370" s="50" t="s">
        <v>1882</v>
      </c>
      <c r="Q1370" s="57"/>
      <c r="S1370" s="100">
        <v>2.5299999999999998</v>
      </c>
      <c r="T1370" s="62" t="s">
        <v>534</v>
      </c>
      <c r="U1370" s="50" t="s">
        <v>1936</v>
      </c>
      <c r="V1370" s="64">
        <f t="shared" ref="V1370:V1380" si="171">P1409</f>
        <v>287</v>
      </c>
      <c r="W1370" s="62" t="s">
        <v>534</v>
      </c>
      <c r="X1370" s="64">
        <f t="shared" ref="X1370:X1380" si="172">V1370*S1370</f>
        <v>726.1099999999999</v>
      </c>
      <c r="Y1370" s="64"/>
      <c r="Z1370" s="131">
        <v>1.07</v>
      </c>
      <c r="AA1370" s="62" t="s">
        <v>534</v>
      </c>
      <c r="AB1370" s="62"/>
      <c r="AC1370" s="50" t="s">
        <v>1936</v>
      </c>
      <c r="AD1370" s="64">
        <f t="shared" si="170"/>
        <v>287</v>
      </c>
      <c r="AE1370" s="62" t="s">
        <v>534</v>
      </c>
      <c r="AF1370" s="64">
        <f t="shared" si="169"/>
        <v>307.09000000000003</v>
      </c>
      <c r="AG1370" s="71">
        <f t="shared" si="163"/>
        <v>0</v>
      </c>
    </row>
    <row r="1371" spans="6:33" ht="15.75">
      <c r="H1371" s="50" t="s">
        <v>292</v>
      </c>
      <c r="K1371" s="59"/>
      <c r="N1371" s="53"/>
      <c r="O1371" s="59" t="s">
        <v>21</v>
      </c>
      <c r="P1371" s="59" t="s">
        <v>21</v>
      </c>
      <c r="Q1371" s="57"/>
      <c r="R1371" s="64"/>
      <c r="S1371" s="100">
        <v>5.75</v>
      </c>
      <c r="T1371" s="62" t="s">
        <v>534</v>
      </c>
      <c r="U1371" s="50" t="s">
        <v>1936</v>
      </c>
      <c r="V1371" s="64">
        <f t="shared" si="171"/>
        <v>287</v>
      </c>
      <c r="W1371" s="62" t="s">
        <v>534</v>
      </c>
      <c r="X1371" s="64">
        <f t="shared" si="172"/>
        <v>1650.25</v>
      </c>
      <c r="Y1371" s="64"/>
      <c r="Z1371" s="131">
        <v>1.153</v>
      </c>
      <c r="AA1371" s="62" t="s">
        <v>533</v>
      </c>
      <c r="AB1371" s="62"/>
      <c r="AC1371" s="50" t="s">
        <v>1940</v>
      </c>
      <c r="AD1371" s="64">
        <f t="shared" si="170"/>
        <v>208.8</v>
      </c>
      <c r="AE1371" s="62" t="s">
        <v>533</v>
      </c>
      <c r="AF1371" s="64">
        <f t="shared" si="169"/>
        <v>240.74640000000002</v>
      </c>
      <c r="AG1371" s="71">
        <f t="shared" si="163"/>
        <v>0</v>
      </c>
    </row>
    <row r="1372" spans="6:33" ht="15.75">
      <c r="H1372" s="50" t="s">
        <v>293</v>
      </c>
      <c r="K1372" s="59"/>
      <c r="M1372" s="64">
        <v>10</v>
      </c>
      <c r="N1372" s="62" t="s">
        <v>152</v>
      </c>
      <c r="O1372" s="50" t="s">
        <v>1961</v>
      </c>
      <c r="P1372" s="162">
        <f>P1332</f>
        <v>1595</v>
      </c>
      <c r="Q1372" s="51" t="s">
        <v>152</v>
      </c>
      <c r="R1372" s="64">
        <f>M1372*P1372</f>
        <v>15950</v>
      </c>
      <c r="S1372" s="100">
        <v>1</v>
      </c>
      <c r="T1372" s="62" t="s">
        <v>534</v>
      </c>
      <c r="U1372" s="50" t="s">
        <v>1936</v>
      </c>
      <c r="V1372" s="64">
        <f t="shared" si="171"/>
        <v>287</v>
      </c>
      <c r="W1372" s="62" t="s">
        <v>534</v>
      </c>
      <c r="X1372" s="64">
        <f t="shared" si="172"/>
        <v>287</v>
      </c>
      <c r="Y1372" s="64"/>
      <c r="Z1372" s="131">
        <v>8.6720000000000006</v>
      </c>
      <c r="AA1372" s="62" t="s">
        <v>303</v>
      </c>
      <c r="AB1372" s="62"/>
      <c r="AC1372" s="50" t="s">
        <v>1942</v>
      </c>
      <c r="AD1372" s="64">
        <f t="shared" si="170"/>
        <v>28.6</v>
      </c>
      <c r="AE1372" s="62" t="s">
        <v>303</v>
      </c>
      <c r="AF1372" s="64">
        <f t="shared" si="169"/>
        <v>248.01920000000004</v>
      </c>
      <c r="AG1372" s="71">
        <f t="shared" si="163"/>
        <v>0</v>
      </c>
    </row>
    <row r="1373" spans="6:33" ht="15.75">
      <c r="H1373" s="50" t="s">
        <v>294</v>
      </c>
      <c r="K1373" s="59"/>
      <c r="M1373" s="64">
        <v>0.21</v>
      </c>
      <c r="N1373" s="62" t="s">
        <v>151</v>
      </c>
      <c r="O1373" s="50" t="s">
        <v>298</v>
      </c>
      <c r="P1373" s="64">
        <f>P1333</f>
        <v>5022.7</v>
      </c>
      <c r="Q1373" s="51" t="s">
        <v>151</v>
      </c>
      <c r="R1373" s="64">
        <f>(M1373*P1373)</f>
        <v>1054.7669999999998</v>
      </c>
      <c r="S1373" s="100">
        <v>0.96699999999999997</v>
      </c>
      <c r="T1373" s="62" t="s">
        <v>533</v>
      </c>
      <c r="U1373" s="50" t="s">
        <v>1940</v>
      </c>
      <c r="V1373" s="64">
        <f t="shared" si="171"/>
        <v>208.8</v>
      </c>
      <c r="W1373" s="62" t="s">
        <v>533</v>
      </c>
      <c r="X1373" s="64">
        <f t="shared" si="172"/>
        <v>201.90960000000001</v>
      </c>
      <c r="Y1373" s="64"/>
      <c r="Z1373" s="131">
        <v>8</v>
      </c>
      <c r="AA1373" s="62" t="s">
        <v>4</v>
      </c>
      <c r="AB1373" s="62"/>
      <c r="AC1373" s="50" t="s">
        <v>1943</v>
      </c>
      <c r="AD1373" s="64">
        <f t="shared" si="170"/>
        <v>63.5</v>
      </c>
      <c r="AE1373" s="62" t="s">
        <v>4</v>
      </c>
      <c r="AF1373" s="64">
        <f t="shared" si="169"/>
        <v>508</v>
      </c>
      <c r="AG1373" s="71">
        <f t="shared" si="163"/>
        <v>0</v>
      </c>
    </row>
    <row r="1374" spans="6:33" ht="15.75">
      <c r="H1374" s="59" t="s">
        <v>21</v>
      </c>
      <c r="K1374" s="59"/>
      <c r="N1374" s="53"/>
      <c r="O1374" s="50" t="s">
        <v>1860</v>
      </c>
      <c r="P1374" s="50" t="s">
        <v>150</v>
      </c>
      <c r="Q1374" s="57"/>
      <c r="R1374" s="50" t="s">
        <v>150</v>
      </c>
      <c r="S1374" s="100">
        <v>8.0719999999999992</v>
      </c>
      <c r="T1374" s="62" t="s">
        <v>303</v>
      </c>
      <c r="U1374" s="50" t="s">
        <v>1942</v>
      </c>
      <c r="V1374" s="64">
        <f t="shared" si="171"/>
        <v>28.6</v>
      </c>
      <c r="W1374" s="62" t="s">
        <v>303</v>
      </c>
      <c r="X1374" s="64">
        <f t="shared" si="172"/>
        <v>230.85919999999999</v>
      </c>
      <c r="Y1374" s="64"/>
      <c r="Z1374" s="131">
        <v>4</v>
      </c>
      <c r="AA1374" s="62" t="s">
        <v>4</v>
      </c>
      <c r="AB1374" s="62"/>
      <c r="AC1374" s="50" t="s">
        <v>1945</v>
      </c>
      <c r="AD1374" s="64">
        <f t="shared" si="170"/>
        <v>50.9</v>
      </c>
      <c r="AE1374" s="62" t="s">
        <v>4</v>
      </c>
      <c r="AF1374" s="64">
        <f t="shared" si="169"/>
        <v>203.6</v>
      </c>
      <c r="AG1374" s="71">
        <f t="shared" si="163"/>
        <v>0</v>
      </c>
    </row>
    <row r="1375" spans="6:33" ht="15.75">
      <c r="F1375" s="64">
        <v>190</v>
      </c>
      <c r="G1375" s="62" t="s">
        <v>295</v>
      </c>
      <c r="H1375" s="50" t="s">
        <v>1962</v>
      </c>
      <c r="I1375" s="243">
        <f>E83</f>
        <v>8710</v>
      </c>
      <c r="J1375" s="50" t="s">
        <v>297</v>
      </c>
      <c r="K1375" s="64">
        <f>(F1375*I1375)/1000</f>
        <v>1654.9</v>
      </c>
      <c r="M1375" s="64">
        <v>1.1000000000000001</v>
      </c>
      <c r="N1375" s="62" t="s">
        <v>4</v>
      </c>
      <c r="O1375" s="50" t="s">
        <v>269</v>
      </c>
      <c r="P1375" s="64">
        <f>AG9</f>
        <v>1076.5999999999999</v>
      </c>
      <c r="Q1375" s="51" t="s">
        <v>4</v>
      </c>
      <c r="R1375" s="64">
        <f>(M1375*P1375)</f>
        <v>1184.26</v>
      </c>
      <c r="S1375" s="100">
        <v>8</v>
      </c>
      <c r="T1375" s="62" t="s">
        <v>4</v>
      </c>
      <c r="U1375" s="50" t="s">
        <v>1943</v>
      </c>
      <c r="V1375" s="64">
        <f t="shared" si="171"/>
        <v>63.5</v>
      </c>
      <c r="W1375" s="62" t="s">
        <v>4</v>
      </c>
      <c r="X1375" s="64">
        <f t="shared" si="172"/>
        <v>508</v>
      </c>
      <c r="Y1375" s="64"/>
      <c r="Z1375" s="131">
        <v>4</v>
      </c>
      <c r="AA1375" s="62" t="s">
        <v>4</v>
      </c>
      <c r="AB1375" s="62"/>
      <c r="AC1375" s="50" t="s">
        <v>1948</v>
      </c>
      <c r="AD1375" s="64">
        <f t="shared" si="170"/>
        <v>30</v>
      </c>
      <c r="AE1375" s="62" t="s">
        <v>4</v>
      </c>
      <c r="AF1375" s="64">
        <f t="shared" si="169"/>
        <v>120</v>
      </c>
      <c r="AG1375" s="71">
        <f t="shared" si="163"/>
        <v>0</v>
      </c>
    </row>
    <row r="1376" spans="6:33" ht="15.75">
      <c r="F1376" s="64">
        <v>0.12</v>
      </c>
      <c r="G1376" s="62" t="s">
        <v>151</v>
      </c>
      <c r="H1376" s="50" t="s">
        <v>298</v>
      </c>
      <c r="I1376" s="52">
        <f>K32</f>
        <v>5022.7</v>
      </c>
      <c r="J1376" s="50" t="s">
        <v>151</v>
      </c>
      <c r="K1376" s="64">
        <f t="shared" ref="K1376:K1382" si="173">(F1376*I1376)</f>
        <v>602.72399999999993</v>
      </c>
      <c r="M1376" s="64">
        <v>1.1000000000000001</v>
      </c>
      <c r="N1376" s="62" t="s">
        <v>4</v>
      </c>
      <c r="O1376" s="50" t="s">
        <v>234</v>
      </c>
      <c r="P1376" s="64">
        <f>AG10</f>
        <v>1005.1999999999999</v>
      </c>
      <c r="Q1376" s="51" t="s">
        <v>4</v>
      </c>
      <c r="R1376" s="64">
        <f>(M1376*P1376)</f>
        <v>1105.72</v>
      </c>
      <c r="S1376" s="100">
        <v>4</v>
      </c>
      <c r="T1376" s="62" t="s">
        <v>4</v>
      </c>
      <c r="U1376" s="50" t="s">
        <v>1945</v>
      </c>
      <c r="V1376" s="64">
        <f t="shared" si="171"/>
        <v>50.9</v>
      </c>
      <c r="W1376" s="62" t="s">
        <v>4</v>
      </c>
      <c r="X1376" s="64">
        <f t="shared" si="172"/>
        <v>203.6</v>
      </c>
      <c r="Y1376" s="64"/>
      <c r="Z1376" s="131">
        <v>4</v>
      </c>
      <c r="AA1376" s="62" t="s">
        <v>4</v>
      </c>
      <c r="AB1376" s="62"/>
      <c r="AC1376" s="50" t="s">
        <v>1949</v>
      </c>
      <c r="AD1376" s="64">
        <f t="shared" si="170"/>
        <v>20</v>
      </c>
      <c r="AE1376" s="62" t="s">
        <v>4</v>
      </c>
      <c r="AF1376" s="64">
        <f t="shared" si="169"/>
        <v>80</v>
      </c>
      <c r="AG1376" s="71">
        <f t="shared" si="163"/>
        <v>0</v>
      </c>
    </row>
    <row r="1377" spans="6:33" ht="15.75">
      <c r="F1377" s="64">
        <v>10</v>
      </c>
      <c r="G1377" s="62" t="s">
        <v>152</v>
      </c>
      <c r="H1377" s="50" t="s">
        <v>299</v>
      </c>
      <c r="I1377" s="52">
        <f>K1344</f>
        <v>339.82280000000003</v>
      </c>
      <c r="J1377" s="50" t="s">
        <v>152</v>
      </c>
      <c r="K1377" s="64">
        <f t="shared" si="173"/>
        <v>3398.2280000000001</v>
      </c>
      <c r="M1377" s="64">
        <v>2.2000000000000002</v>
      </c>
      <c r="N1377" s="62" t="s">
        <v>4</v>
      </c>
      <c r="O1377" s="50" t="s">
        <v>235</v>
      </c>
      <c r="P1377" s="64">
        <f>AG11</f>
        <v>702.8</v>
      </c>
      <c r="Q1377" s="51" t="s">
        <v>4</v>
      </c>
      <c r="R1377" s="64">
        <f>(M1377*P1377)</f>
        <v>1546.16</v>
      </c>
      <c r="S1377" s="100">
        <v>4</v>
      </c>
      <c r="T1377" s="62" t="s">
        <v>4</v>
      </c>
      <c r="U1377" s="50" t="s">
        <v>1948</v>
      </c>
      <c r="V1377" s="64">
        <f t="shared" si="171"/>
        <v>30</v>
      </c>
      <c r="W1377" s="62" t="s">
        <v>4</v>
      </c>
      <c r="X1377" s="64">
        <f t="shared" si="172"/>
        <v>120</v>
      </c>
      <c r="Y1377" s="64"/>
      <c r="Z1377" s="131">
        <v>4</v>
      </c>
      <c r="AA1377" s="62" t="s">
        <v>4</v>
      </c>
      <c r="AB1377" s="62"/>
      <c r="AC1377" s="50" t="s">
        <v>1951</v>
      </c>
      <c r="AD1377" s="64">
        <f t="shared" si="170"/>
        <v>15</v>
      </c>
      <c r="AE1377" s="62" t="s">
        <v>4</v>
      </c>
      <c r="AF1377" s="64">
        <f t="shared" si="169"/>
        <v>60</v>
      </c>
      <c r="AG1377" s="71">
        <f t="shared" si="163"/>
        <v>0</v>
      </c>
    </row>
    <row r="1378" spans="6:33" ht="15.75">
      <c r="F1378" s="64">
        <v>5.8</v>
      </c>
      <c r="G1378" s="62" t="s">
        <v>13</v>
      </c>
      <c r="H1378" s="50" t="s">
        <v>300</v>
      </c>
      <c r="I1378" s="52">
        <f>C653</f>
        <v>41.9</v>
      </c>
      <c r="J1378" s="50" t="s">
        <v>13</v>
      </c>
      <c r="K1378" s="64">
        <f t="shared" si="173"/>
        <v>243.01999999999998</v>
      </c>
      <c r="M1378" s="64">
        <v>2.2000000000000002</v>
      </c>
      <c r="N1378" s="62" t="s">
        <v>4</v>
      </c>
      <c r="O1378" s="50" t="s">
        <v>236</v>
      </c>
      <c r="P1378" s="64">
        <f>AG12</f>
        <v>576.79999999999995</v>
      </c>
      <c r="Q1378" s="51" t="s">
        <v>4</v>
      </c>
      <c r="R1378" s="64">
        <f>(M1378*P1378)</f>
        <v>1268.96</v>
      </c>
      <c r="S1378" s="100">
        <v>4</v>
      </c>
      <c r="T1378" s="62" t="s">
        <v>4</v>
      </c>
      <c r="U1378" s="50" t="s">
        <v>1949</v>
      </c>
      <c r="V1378" s="64">
        <f t="shared" si="171"/>
        <v>20</v>
      </c>
      <c r="W1378" s="62" t="s">
        <v>4</v>
      </c>
      <c r="X1378" s="64">
        <f t="shared" si="172"/>
        <v>80</v>
      </c>
      <c r="Y1378" s="64"/>
      <c r="Z1378" s="131">
        <v>1.42</v>
      </c>
      <c r="AA1378" s="62" t="s">
        <v>306</v>
      </c>
      <c r="AB1378" s="62"/>
      <c r="AC1378" s="50" t="s">
        <v>1952</v>
      </c>
      <c r="AD1378" s="64">
        <f t="shared" si="170"/>
        <v>2156</v>
      </c>
      <c r="AE1378" s="62" t="s">
        <v>306</v>
      </c>
      <c r="AF1378" s="64">
        <f t="shared" si="169"/>
        <v>3061.52</v>
      </c>
      <c r="AG1378" s="71">
        <f t="shared" si="163"/>
        <v>0</v>
      </c>
    </row>
    <row r="1379" spans="6:33" ht="15.75">
      <c r="F1379" s="64">
        <v>1.1000000000000001</v>
      </c>
      <c r="G1379" s="62" t="s">
        <v>4</v>
      </c>
      <c r="H1379" s="50" t="s">
        <v>269</v>
      </c>
      <c r="I1379" s="52">
        <f>C10</f>
        <v>1076.5999999999999</v>
      </c>
      <c r="J1379" s="50" t="s">
        <v>4</v>
      </c>
      <c r="K1379" s="64">
        <f t="shared" si="173"/>
        <v>1184.26</v>
      </c>
      <c r="M1379" s="100">
        <v>20</v>
      </c>
      <c r="N1379" s="62" t="s">
        <v>13</v>
      </c>
      <c r="O1379" s="50" t="s">
        <v>252</v>
      </c>
      <c r="P1379" s="64">
        <f>AE31</f>
        <v>5800</v>
      </c>
      <c r="Q1379" s="51" t="s">
        <v>251</v>
      </c>
      <c r="R1379" s="64">
        <f>(M1379*P1379)/1000</f>
        <v>116</v>
      </c>
      <c r="S1379" s="100">
        <v>4</v>
      </c>
      <c r="T1379" s="62" t="s">
        <v>4</v>
      </c>
      <c r="U1379" s="50" t="s">
        <v>1951</v>
      </c>
      <c r="V1379" s="64">
        <f t="shared" si="171"/>
        <v>15</v>
      </c>
      <c r="W1379" s="62" t="s">
        <v>4</v>
      </c>
      <c r="X1379" s="64">
        <f t="shared" si="172"/>
        <v>60</v>
      </c>
      <c r="Y1379" s="64"/>
      <c r="AA1379" s="53"/>
      <c r="AB1379" s="53"/>
      <c r="AC1379" s="50" t="s">
        <v>1954</v>
      </c>
      <c r="AE1379" s="57"/>
      <c r="AF1379" s="64">
        <v>0.85</v>
      </c>
      <c r="AG1379" s="71">
        <f t="shared" si="163"/>
        <v>0</v>
      </c>
    </row>
    <row r="1380" spans="6:33" ht="15.75">
      <c r="F1380" s="64">
        <v>2.1</v>
      </c>
      <c r="G1380" s="62" t="s">
        <v>4</v>
      </c>
      <c r="H1380" s="50" t="s">
        <v>234</v>
      </c>
      <c r="I1380" s="52">
        <f>C11</f>
        <v>1005.1999999999999</v>
      </c>
      <c r="J1380" s="50" t="s">
        <v>4</v>
      </c>
      <c r="K1380" s="64">
        <f t="shared" si="173"/>
        <v>2110.92</v>
      </c>
      <c r="M1380" s="100">
        <v>2</v>
      </c>
      <c r="N1380" s="62" t="s">
        <v>13</v>
      </c>
      <c r="O1380" s="50" t="s">
        <v>1864</v>
      </c>
      <c r="P1380" s="152">
        <f>P1264</f>
        <v>36.1</v>
      </c>
      <c r="Q1380" s="51" t="s">
        <v>13</v>
      </c>
      <c r="R1380" s="64">
        <f>(M1380*P1380)</f>
        <v>72.2</v>
      </c>
      <c r="S1380" s="100">
        <v>1.2150000000000001</v>
      </c>
      <c r="T1380" s="62" t="s">
        <v>306</v>
      </c>
      <c r="U1380" s="50" t="s">
        <v>1952</v>
      </c>
      <c r="V1380" s="64">
        <f t="shared" si="171"/>
        <v>2156</v>
      </c>
      <c r="W1380" s="62" t="s">
        <v>306</v>
      </c>
      <c r="X1380" s="64">
        <f t="shared" si="172"/>
        <v>2619.54</v>
      </c>
      <c r="Y1380" s="64"/>
      <c r="AC1380" s="61" t="s">
        <v>1956</v>
      </c>
      <c r="AF1380" s="63">
        <f>SUM(AF1367:AF1379)</f>
        <v>8434.5456000000013</v>
      </c>
      <c r="AG1380" s="71">
        <f t="shared" si="163"/>
        <v>0</v>
      </c>
    </row>
    <row r="1381" spans="6:33" ht="15.75">
      <c r="F1381" s="64">
        <v>2.2000000000000002</v>
      </c>
      <c r="G1381" s="62" t="s">
        <v>4</v>
      </c>
      <c r="H1381" s="50" t="s">
        <v>235</v>
      </c>
      <c r="I1381" s="52">
        <f>C12</f>
        <v>702.8</v>
      </c>
      <c r="J1381" s="50" t="s">
        <v>4</v>
      </c>
      <c r="K1381" s="64">
        <f t="shared" si="173"/>
        <v>1546.16</v>
      </c>
      <c r="M1381" s="64">
        <v>1.6</v>
      </c>
      <c r="N1381" s="62" t="s">
        <v>4</v>
      </c>
      <c r="O1381" s="50" t="s">
        <v>234</v>
      </c>
      <c r="P1381" s="64">
        <f>P1265</f>
        <v>1005.1999999999999</v>
      </c>
      <c r="Q1381" s="51" t="s">
        <v>4</v>
      </c>
      <c r="R1381" s="64">
        <f>(M1381*P1381)</f>
        <v>1608.32</v>
      </c>
      <c r="T1381" s="53"/>
      <c r="U1381" s="50" t="s">
        <v>1954</v>
      </c>
      <c r="W1381" s="57"/>
      <c r="X1381" s="64">
        <v>0.23</v>
      </c>
      <c r="Y1381" s="64"/>
      <c r="AG1381" s="71">
        <f t="shared" si="163"/>
        <v>0</v>
      </c>
    </row>
    <row r="1382" spans="6:33" ht="15.75">
      <c r="F1382" s="64">
        <v>1.1000000000000001</v>
      </c>
      <c r="G1382" s="62" t="s">
        <v>4</v>
      </c>
      <c r="H1382" s="50" t="s">
        <v>236</v>
      </c>
      <c r="I1382" s="52">
        <f>C13</f>
        <v>576.79999999999995</v>
      </c>
      <c r="J1382" s="50" t="s">
        <v>4</v>
      </c>
      <c r="K1382" s="64">
        <f t="shared" si="173"/>
        <v>634.48</v>
      </c>
      <c r="M1382" s="64">
        <v>0.5</v>
      </c>
      <c r="N1382" s="62" t="s">
        <v>4</v>
      </c>
      <c r="O1382" s="50" t="s">
        <v>235</v>
      </c>
      <c r="P1382" s="64">
        <f>P1266</f>
        <v>702.8</v>
      </c>
      <c r="Q1382" s="51" t="s">
        <v>4</v>
      </c>
      <c r="R1382" s="64">
        <f>(M1382*P1382)</f>
        <v>351.4</v>
      </c>
      <c r="U1382" s="61" t="s">
        <v>1956</v>
      </c>
      <c r="X1382" s="63">
        <f>SUM(X1369:X1381)</f>
        <v>7689.1287999999995</v>
      </c>
      <c r="Y1382" s="63"/>
      <c r="AG1382" s="71">
        <f t="shared" si="163"/>
        <v>0</v>
      </c>
    </row>
    <row r="1383" spans="6:33" ht="19.5">
      <c r="G1383" s="62" t="s">
        <v>226</v>
      </c>
      <c r="H1383" s="50" t="s">
        <v>237</v>
      </c>
      <c r="J1383" s="50" t="s">
        <v>226</v>
      </c>
      <c r="K1383" s="64">
        <v>0</v>
      </c>
      <c r="M1383" s="64">
        <v>1.1000000000000001</v>
      </c>
      <c r="N1383" s="62" t="s">
        <v>4</v>
      </c>
      <c r="O1383" s="50" t="s">
        <v>236</v>
      </c>
      <c r="P1383" s="64">
        <f>P1267</f>
        <v>576.79999999999995</v>
      </c>
      <c r="Q1383" s="51" t="s">
        <v>4</v>
      </c>
      <c r="R1383" s="64">
        <f>(M1383*P1383)</f>
        <v>634.48</v>
      </c>
      <c r="AA1383" s="53"/>
      <c r="AB1383" s="53"/>
      <c r="AC1383" s="208" t="s">
        <v>1963</v>
      </c>
      <c r="AE1383" s="55"/>
      <c r="AG1383" s="71">
        <f t="shared" si="163"/>
        <v>0</v>
      </c>
    </row>
    <row r="1384" spans="6:33" ht="15.75">
      <c r="K1384" s="59" t="s">
        <v>21</v>
      </c>
      <c r="N1384" s="62" t="s">
        <v>226</v>
      </c>
      <c r="O1384" s="50" t="s">
        <v>237</v>
      </c>
      <c r="P1384" s="64"/>
      <c r="Q1384" s="51" t="s">
        <v>226</v>
      </c>
      <c r="R1384" s="64">
        <v>0.28000000000000003</v>
      </c>
      <c r="Z1384" s="131">
        <v>2.87</v>
      </c>
      <c r="AA1384" s="62" t="s">
        <v>534</v>
      </c>
      <c r="AB1384" s="62"/>
      <c r="AC1384" s="50" t="s">
        <v>1936</v>
      </c>
      <c r="AD1384" s="64">
        <f>AD1367</f>
        <v>287</v>
      </c>
      <c r="AE1384" s="62" t="s">
        <v>534</v>
      </c>
      <c r="AF1384" s="64">
        <f t="shared" ref="AF1384:AF1395" si="174">AD1384*Z1384</f>
        <v>823.69</v>
      </c>
      <c r="AG1384" s="71">
        <f t="shared" si="163"/>
        <v>0</v>
      </c>
    </row>
    <row r="1385" spans="6:33" ht="19.5">
      <c r="H1385" s="50" t="s">
        <v>238</v>
      </c>
      <c r="K1385" s="64">
        <f>SUM(K1375:K1383)</f>
        <v>11374.691999999999</v>
      </c>
      <c r="N1385" s="53"/>
      <c r="Q1385" s="57"/>
      <c r="R1385" s="59" t="s">
        <v>21</v>
      </c>
      <c r="T1385" s="53"/>
      <c r="U1385" s="208" t="s">
        <v>1964</v>
      </c>
      <c r="W1385" s="55"/>
      <c r="Z1385" s="131">
        <v>0.56000000000000005</v>
      </c>
      <c r="AA1385" s="62" t="s">
        <v>534</v>
      </c>
      <c r="AB1385" s="62"/>
      <c r="AC1385" s="50" t="s">
        <v>1936</v>
      </c>
      <c r="AD1385" s="64">
        <f t="shared" ref="AD1385:AD1395" si="175">AD1368</f>
        <v>287</v>
      </c>
      <c r="AE1385" s="62" t="s">
        <v>534</v>
      </c>
      <c r="AF1385" s="64">
        <f t="shared" si="174"/>
        <v>160.72000000000003</v>
      </c>
      <c r="AG1385" s="71">
        <f t="shared" si="163"/>
        <v>0</v>
      </c>
    </row>
    <row r="1386" spans="6:33" ht="15.75">
      <c r="K1386" s="59" t="s">
        <v>21</v>
      </c>
      <c r="N1386" s="53"/>
      <c r="O1386" s="50" t="s">
        <v>238</v>
      </c>
      <c r="Q1386" s="57"/>
      <c r="R1386" s="64">
        <f>SUM(R1372:R1384)</f>
        <v>24892.546999999999</v>
      </c>
      <c r="S1386" s="100">
        <v>4.88</v>
      </c>
      <c r="T1386" s="62" t="s">
        <v>534</v>
      </c>
      <c r="U1386" s="50" t="s">
        <v>1936</v>
      </c>
      <c r="V1386" s="64">
        <f>V1369</f>
        <v>287</v>
      </c>
      <c r="W1386" s="62" t="s">
        <v>534</v>
      </c>
      <c r="X1386" s="64">
        <f>V1386*S1386</f>
        <v>1400.56</v>
      </c>
      <c r="Y1386" s="64"/>
      <c r="Z1386" s="131">
        <v>2.98</v>
      </c>
      <c r="AA1386" s="62" t="s">
        <v>534</v>
      </c>
      <c r="AB1386" s="62"/>
      <c r="AC1386" s="50" t="s">
        <v>1936</v>
      </c>
      <c r="AD1386" s="64">
        <f t="shared" si="175"/>
        <v>287</v>
      </c>
      <c r="AE1386" s="62" t="s">
        <v>534</v>
      </c>
      <c r="AF1386" s="64">
        <f t="shared" si="174"/>
        <v>855.26</v>
      </c>
      <c r="AG1386" s="71">
        <f t="shared" si="163"/>
        <v>0</v>
      </c>
    </row>
    <row r="1387" spans="6:33" ht="15.75">
      <c r="H1387" s="66" t="s">
        <v>155</v>
      </c>
      <c r="K1387" s="63">
        <f>(K1385/10)</f>
        <v>1137.4692</v>
      </c>
      <c r="N1387" s="53"/>
      <c r="Q1387" s="57"/>
      <c r="R1387" s="59" t="s">
        <v>21</v>
      </c>
      <c r="S1387" s="100">
        <v>6.57</v>
      </c>
      <c r="T1387" s="62" t="s">
        <v>534</v>
      </c>
      <c r="U1387" s="50" t="s">
        <v>1936</v>
      </c>
      <c r="V1387" s="64">
        <f t="shared" ref="V1387:V1397" si="176">V1370</f>
        <v>287</v>
      </c>
      <c r="W1387" s="62" t="s">
        <v>534</v>
      </c>
      <c r="X1387" s="64">
        <f t="shared" ref="X1387:X1397" si="177">V1387*S1387</f>
        <v>1885.5900000000001</v>
      </c>
      <c r="Y1387" s="64"/>
      <c r="Z1387" s="131">
        <v>0.52</v>
      </c>
      <c r="AA1387" s="62" t="s">
        <v>534</v>
      </c>
      <c r="AB1387" s="62"/>
      <c r="AC1387" s="50" t="s">
        <v>1936</v>
      </c>
      <c r="AD1387" s="64">
        <f t="shared" si="175"/>
        <v>287</v>
      </c>
      <c r="AE1387" s="62" t="s">
        <v>534</v>
      </c>
      <c r="AF1387" s="64">
        <f t="shared" si="174"/>
        <v>149.24</v>
      </c>
      <c r="AG1387" s="71">
        <f t="shared" si="163"/>
        <v>0</v>
      </c>
    </row>
    <row r="1388" spans="6:33" ht="15.75">
      <c r="K1388" s="59" t="s">
        <v>156</v>
      </c>
      <c r="N1388" s="53"/>
      <c r="O1388" s="50" t="s">
        <v>155</v>
      </c>
      <c r="Q1388" s="57"/>
      <c r="R1388" s="64">
        <f>(R1386/10)</f>
        <v>2489.2547</v>
      </c>
      <c r="S1388" s="100">
        <v>11.56</v>
      </c>
      <c r="T1388" s="62" t="s">
        <v>534</v>
      </c>
      <c r="U1388" s="50" t="s">
        <v>1936</v>
      </c>
      <c r="V1388" s="64">
        <f t="shared" si="176"/>
        <v>287</v>
      </c>
      <c r="W1388" s="62" t="s">
        <v>534</v>
      </c>
      <c r="X1388" s="64">
        <f t="shared" si="177"/>
        <v>3317.7200000000003</v>
      </c>
      <c r="Y1388" s="64"/>
      <c r="Z1388" s="131">
        <v>0.53300000000000003</v>
      </c>
      <c r="AA1388" s="62" t="s">
        <v>533</v>
      </c>
      <c r="AB1388" s="62"/>
      <c r="AC1388" s="50" t="s">
        <v>1940</v>
      </c>
      <c r="AD1388" s="64">
        <f t="shared" si="175"/>
        <v>208.8</v>
      </c>
      <c r="AE1388" s="62" t="s">
        <v>533</v>
      </c>
      <c r="AF1388" s="64">
        <f t="shared" si="174"/>
        <v>111.29040000000001</v>
      </c>
      <c r="AG1388" s="71">
        <f t="shared" si="163"/>
        <v>0</v>
      </c>
    </row>
    <row r="1389" spans="6:33" ht="15.75">
      <c r="K1389" s="59"/>
      <c r="N1389" s="53"/>
      <c r="Q1389" s="57"/>
      <c r="R1389" s="59" t="s">
        <v>156</v>
      </c>
      <c r="S1389" s="100">
        <v>2.0099999999999998</v>
      </c>
      <c r="T1389" s="62" t="s">
        <v>534</v>
      </c>
      <c r="U1389" s="50" t="s">
        <v>1936</v>
      </c>
      <c r="V1389" s="64">
        <f t="shared" si="176"/>
        <v>287</v>
      </c>
      <c r="W1389" s="62" t="s">
        <v>534</v>
      </c>
      <c r="X1389" s="64">
        <f t="shared" si="177"/>
        <v>576.86999999999989</v>
      </c>
      <c r="Y1389" s="64"/>
      <c r="Z1389" s="131">
        <v>4.1959999999999997</v>
      </c>
      <c r="AA1389" s="62" t="s">
        <v>303</v>
      </c>
      <c r="AB1389" s="62"/>
      <c r="AC1389" s="50" t="s">
        <v>1942</v>
      </c>
      <c r="AD1389" s="64">
        <f t="shared" si="175"/>
        <v>28.6</v>
      </c>
      <c r="AE1389" s="62" t="s">
        <v>303</v>
      </c>
      <c r="AF1389" s="64">
        <f t="shared" si="174"/>
        <v>120.0056</v>
      </c>
      <c r="AG1389" s="71">
        <f t="shared" si="163"/>
        <v>0</v>
      </c>
    </row>
    <row r="1390" spans="6:33" ht="19.5">
      <c r="F1390" s="51" t="s">
        <v>301</v>
      </c>
      <c r="G1390" s="62" t="s">
        <v>249</v>
      </c>
      <c r="H1390" s="50" t="s">
        <v>302</v>
      </c>
      <c r="N1390" s="53"/>
      <c r="O1390" s="208" t="s">
        <v>1965</v>
      </c>
      <c r="Q1390" s="55"/>
      <c r="S1390" s="100">
        <v>1.96</v>
      </c>
      <c r="T1390" s="62" t="s">
        <v>533</v>
      </c>
      <c r="U1390" s="50" t="s">
        <v>1940</v>
      </c>
      <c r="V1390" s="64">
        <f t="shared" si="176"/>
        <v>208.8</v>
      </c>
      <c r="W1390" s="62" t="s">
        <v>533</v>
      </c>
      <c r="X1390" s="64">
        <f t="shared" si="177"/>
        <v>409.24799999999999</v>
      </c>
      <c r="Y1390" s="64"/>
      <c r="Z1390" s="131">
        <v>4</v>
      </c>
      <c r="AA1390" s="62" t="s">
        <v>4</v>
      </c>
      <c r="AB1390" s="62"/>
      <c r="AC1390" s="50" t="s">
        <v>1943</v>
      </c>
      <c r="AD1390" s="64">
        <f t="shared" si="175"/>
        <v>63.5</v>
      </c>
      <c r="AE1390" s="62" t="s">
        <v>4</v>
      </c>
      <c r="AF1390" s="64">
        <f t="shared" si="174"/>
        <v>254</v>
      </c>
      <c r="AG1390" s="71">
        <f t="shared" si="163"/>
        <v>0</v>
      </c>
    </row>
    <row r="1391" spans="6:33" ht="15.75">
      <c r="H1391" s="59" t="s">
        <v>21</v>
      </c>
      <c r="M1391" s="131">
        <v>4.1849999999999996</v>
      </c>
      <c r="N1391" s="62" t="s">
        <v>534</v>
      </c>
      <c r="O1391" s="120" t="s">
        <v>1966</v>
      </c>
      <c r="P1391" s="73">
        <v>287</v>
      </c>
      <c r="Q1391" s="62" t="s">
        <v>534</v>
      </c>
      <c r="R1391" s="64">
        <f>P1391*M1391</f>
        <v>1201.0949999999998</v>
      </c>
      <c r="S1391" s="100">
        <v>16.224</v>
      </c>
      <c r="T1391" s="62" t="s">
        <v>303</v>
      </c>
      <c r="U1391" s="50" t="s">
        <v>1942</v>
      </c>
      <c r="V1391" s="64">
        <f t="shared" si="176"/>
        <v>28.6</v>
      </c>
      <c r="W1391" s="62" t="s">
        <v>303</v>
      </c>
      <c r="X1391" s="64">
        <f t="shared" si="177"/>
        <v>464.00640000000004</v>
      </c>
      <c r="Y1391" s="64"/>
      <c r="Z1391" s="131">
        <v>2</v>
      </c>
      <c r="AA1391" s="62" t="s">
        <v>4</v>
      </c>
      <c r="AB1391" s="62"/>
      <c r="AC1391" s="50" t="s">
        <v>1945</v>
      </c>
      <c r="AD1391" s="64">
        <f t="shared" si="175"/>
        <v>50.9</v>
      </c>
      <c r="AE1391" s="62" t="s">
        <v>4</v>
      </c>
      <c r="AF1391" s="64">
        <f t="shared" si="174"/>
        <v>101.8</v>
      </c>
      <c r="AG1391" s="71">
        <f t="shared" si="163"/>
        <v>0</v>
      </c>
    </row>
    <row r="1392" spans="6:33" ht="15.75">
      <c r="F1392" s="64">
        <v>0.14000000000000001</v>
      </c>
      <c r="G1392" s="62" t="s">
        <v>151</v>
      </c>
      <c r="H1392" s="50" t="s">
        <v>259</v>
      </c>
      <c r="I1392" s="64">
        <f>(K49)</f>
        <v>3909.1000000000004</v>
      </c>
      <c r="J1392" s="50" t="s">
        <v>151</v>
      </c>
      <c r="K1392" s="64">
        <f>(F1392*I1392)</f>
        <v>547.27400000000011</v>
      </c>
      <c r="M1392" s="131">
        <v>4.55</v>
      </c>
      <c r="N1392" s="62" t="s">
        <v>534</v>
      </c>
      <c r="O1392" s="50" t="s">
        <v>1936</v>
      </c>
      <c r="P1392" s="64">
        <f>P1391</f>
        <v>287</v>
      </c>
      <c r="Q1392" s="62" t="s">
        <v>534</v>
      </c>
      <c r="R1392" s="64">
        <f t="shared" ref="R1392:R1402" si="178">P1392*M1392</f>
        <v>1305.8499999999999</v>
      </c>
      <c r="S1392" s="100">
        <v>16</v>
      </c>
      <c r="T1392" s="62" t="s">
        <v>4</v>
      </c>
      <c r="U1392" s="50" t="s">
        <v>1943</v>
      </c>
      <c r="V1392" s="64">
        <f t="shared" si="176"/>
        <v>63.5</v>
      </c>
      <c r="W1392" s="62" t="s">
        <v>4</v>
      </c>
      <c r="X1392" s="64">
        <f t="shared" si="177"/>
        <v>1016</v>
      </c>
      <c r="Y1392" s="64"/>
      <c r="Z1392" s="131">
        <v>2</v>
      </c>
      <c r="AA1392" s="62" t="s">
        <v>4</v>
      </c>
      <c r="AB1392" s="62"/>
      <c r="AC1392" s="50" t="s">
        <v>1948</v>
      </c>
      <c r="AD1392" s="64">
        <f t="shared" si="175"/>
        <v>30</v>
      </c>
      <c r="AE1392" s="62" t="s">
        <v>4</v>
      </c>
      <c r="AF1392" s="64">
        <f t="shared" si="174"/>
        <v>60</v>
      </c>
      <c r="AG1392" s="71">
        <f t="shared" si="163"/>
        <v>0</v>
      </c>
    </row>
    <row r="1393" spans="6:33" ht="15.75">
      <c r="F1393" s="64">
        <v>1.1000000000000001</v>
      </c>
      <c r="G1393" s="62" t="s">
        <v>153</v>
      </c>
      <c r="H1393" s="50" t="s">
        <v>269</v>
      </c>
      <c r="I1393" s="64">
        <f>(C10)</f>
        <v>1076.5999999999999</v>
      </c>
      <c r="J1393" s="50" t="s">
        <v>153</v>
      </c>
      <c r="K1393" s="64">
        <f>(F1393*I1393)</f>
        <v>1184.26</v>
      </c>
      <c r="M1393" s="131">
        <v>8.66</v>
      </c>
      <c r="N1393" s="62" t="s">
        <v>534</v>
      </c>
      <c r="O1393" s="50" t="s">
        <v>1936</v>
      </c>
      <c r="P1393" s="64">
        <f>P1391</f>
        <v>287</v>
      </c>
      <c r="Q1393" s="62" t="s">
        <v>534</v>
      </c>
      <c r="R1393" s="64">
        <f t="shared" si="178"/>
        <v>2485.42</v>
      </c>
      <c r="S1393" s="100">
        <v>8</v>
      </c>
      <c r="T1393" s="62" t="s">
        <v>4</v>
      </c>
      <c r="U1393" s="50" t="s">
        <v>1945</v>
      </c>
      <c r="V1393" s="64">
        <f t="shared" si="176"/>
        <v>50.9</v>
      </c>
      <c r="W1393" s="62" t="s">
        <v>4</v>
      </c>
      <c r="X1393" s="64">
        <f t="shared" si="177"/>
        <v>407.2</v>
      </c>
      <c r="Y1393" s="64"/>
      <c r="Z1393" s="131">
        <v>2</v>
      </c>
      <c r="AA1393" s="62" t="s">
        <v>4</v>
      </c>
      <c r="AB1393" s="62"/>
      <c r="AC1393" s="50" t="s">
        <v>1949</v>
      </c>
      <c r="AD1393" s="64">
        <f t="shared" si="175"/>
        <v>20</v>
      </c>
      <c r="AE1393" s="62" t="s">
        <v>4</v>
      </c>
      <c r="AF1393" s="64">
        <f t="shared" si="174"/>
        <v>40</v>
      </c>
      <c r="AG1393" s="71">
        <f t="shared" si="163"/>
        <v>0</v>
      </c>
    </row>
    <row r="1394" spans="6:33" ht="15.75">
      <c r="F1394" s="64">
        <v>0.5</v>
      </c>
      <c r="G1394" s="62" t="s">
        <v>153</v>
      </c>
      <c r="H1394" s="50" t="s">
        <v>235</v>
      </c>
      <c r="I1394" s="64">
        <f>(C12)</f>
        <v>702.8</v>
      </c>
      <c r="J1394" s="50" t="s">
        <v>153</v>
      </c>
      <c r="K1394" s="64">
        <f>(F1394*I1394)</f>
        <v>351.4</v>
      </c>
      <c r="M1394" s="131">
        <v>1.51</v>
      </c>
      <c r="N1394" s="62" t="s">
        <v>534</v>
      </c>
      <c r="O1394" s="50" t="s">
        <v>1936</v>
      </c>
      <c r="P1394" s="64">
        <f>P1391</f>
        <v>287</v>
      </c>
      <c r="Q1394" s="62" t="s">
        <v>534</v>
      </c>
      <c r="R1394" s="64">
        <f t="shared" si="178"/>
        <v>433.37</v>
      </c>
      <c r="S1394" s="100">
        <v>8</v>
      </c>
      <c r="T1394" s="62" t="s">
        <v>4</v>
      </c>
      <c r="U1394" s="50" t="s">
        <v>1948</v>
      </c>
      <c r="V1394" s="64">
        <f t="shared" si="176"/>
        <v>30</v>
      </c>
      <c r="W1394" s="62" t="s">
        <v>4</v>
      </c>
      <c r="X1394" s="64">
        <f t="shared" si="177"/>
        <v>240</v>
      </c>
      <c r="Y1394" s="64"/>
      <c r="Z1394" s="131">
        <v>4</v>
      </c>
      <c r="AA1394" s="62" t="s">
        <v>4</v>
      </c>
      <c r="AB1394" s="62"/>
      <c r="AC1394" s="50" t="s">
        <v>1951</v>
      </c>
      <c r="AD1394" s="64">
        <f t="shared" si="175"/>
        <v>15</v>
      </c>
      <c r="AE1394" s="62" t="s">
        <v>4</v>
      </c>
      <c r="AF1394" s="64">
        <f t="shared" si="174"/>
        <v>60</v>
      </c>
      <c r="AG1394" s="71">
        <f t="shared" si="163"/>
        <v>0</v>
      </c>
    </row>
    <row r="1395" spans="6:33" ht="15.75">
      <c r="F1395" s="64">
        <v>1.1000000000000001</v>
      </c>
      <c r="G1395" s="62" t="s">
        <v>153</v>
      </c>
      <c r="H1395" s="50" t="s">
        <v>236</v>
      </c>
      <c r="I1395" s="64">
        <f>(C13)</f>
        <v>576.79999999999995</v>
      </c>
      <c r="J1395" s="50" t="s">
        <v>153</v>
      </c>
      <c r="K1395" s="64">
        <f>(F1395*I1395)</f>
        <v>634.48</v>
      </c>
      <c r="M1395" s="131">
        <v>1.462</v>
      </c>
      <c r="N1395" s="62" t="s">
        <v>533</v>
      </c>
      <c r="O1395" s="120" t="s">
        <v>1940</v>
      </c>
      <c r="P1395" s="97">
        <v>208.8</v>
      </c>
      <c r="Q1395" s="62" t="s">
        <v>533</v>
      </c>
      <c r="R1395" s="64">
        <f t="shared" si="178"/>
        <v>305.26560000000001</v>
      </c>
      <c r="S1395" s="100">
        <v>8</v>
      </c>
      <c r="T1395" s="62" t="s">
        <v>4</v>
      </c>
      <c r="U1395" s="50" t="s">
        <v>1949</v>
      </c>
      <c r="V1395" s="64">
        <f t="shared" si="176"/>
        <v>20</v>
      </c>
      <c r="W1395" s="62" t="s">
        <v>4</v>
      </c>
      <c r="X1395" s="64">
        <f t="shared" si="177"/>
        <v>160</v>
      </c>
      <c r="Y1395" s="64"/>
      <c r="Z1395" s="131">
        <v>0.67500000000000004</v>
      </c>
      <c r="AA1395" s="62" t="s">
        <v>306</v>
      </c>
      <c r="AB1395" s="62"/>
      <c r="AC1395" s="50" t="s">
        <v>1952</v>
      </c>
      <c r="AD1395" s="64">
        <f t="shared" si="175"/>
        <v>2156</v>
      </c>
      <c r="AE1395" s="62" t="s">
        <v>306</v>
      </c>
      <c r="AF1395" s="64">
        <f t="shared" si="174"/>
        <v>1455.3000000000002</v>
      </c>
      <c r="AG1395" s="71">
        <f t="shared" si="163"/>
        <v>0</v>
      </c>
    </row>
    <row r="1396" spans="6:33" ht="15.75">
      <c r="G1396" s="62" t="s">
        <v>226</v>
      </c>
      <c r="H1396" s="50" t="s">
        <v>237</v>
      </c>
      <c r="I1396" s="50" t="s">
        <v>150</v>
      </c>
      <c r="J1396" s="50" t="s">
        <v>226</v>
      </c>
      <c r="K1396" s="64">
        <v>5</v>
      </c>
      <c r="M1396" s="131">
        <v>12.144</v>
      </c>
      <c r="N1396" s="62" t="s">
        <v>303</v>
      </c>
      <c r="O1396" s="120" t="s">
        <v>1967</v>
      </c>
      <c r="P1396" s="73">
        <v>28.6</v>
      </c>
      <c r="Q1396" s="62" t="s">
        <v>303</v>
      </c>
      <c r="R1396" s="64">
        <f t="shared" si="178"/>
        <v>347.3184</v>
      </c>
      <c r="S1396" s="100">
        <v>4</v>
      </c>
      <c r="T1396" s="62" t="s">
        <v>4</v>
      </c>
      <c r="U1396" s="50" t="s">
        <v>1951</v>
      </c>
      <c r="V1396" s="64">
        <f t="shared" si="176"/>
        <v>15</v>
      </c>
      <c r="W1396" s="62" t="s">
        <v>4</v>
      </c>
      <c r="X1396" s="64">
        <f t="shared" si="177"/>
        <v>60</v>
      </c>
      <c r="Y1396" s="64"/>
      <c r="AA1396" s="53"/>
      <c r="AB1396" s="53"/>
      <c r="AC1396" s="50" t="s">
        <v>1954</v>
      </c>
      <c r="AE1396" s="57"/>
      <c r="AF1396" s="64">
        <v>0.39</v>
      </c>
      <c r="AG1396" s="71">
        <f t="shared" si="163"/>
        <v>0</v>
      </c>
    </row>
    <row r="1397" spans="6:33" ht="15.75">
      <c r="K1397" s="59" t="s">
        <v>21</v>
      </c>
      <c r="M1397" s="131">
        <v>12</v>
      </c>
      <c r="N1397" s="62" t="s">
        <v>4</v>
      </c>
      <c r="O1397" s="120" t="s">
        <v>1968</v>
      </c>
      <c r="P1397" s="73">
        <v>63.5</v>
      </c>
      <c r="Q1397" s="62" t="s">
        <v>4</v>
      </c>
      <c r="R1397" s="64">
        <f t="shared" si="178"/>
        <v>762</v>
      </c>
      <c r="S1397" s="100">
        <v>2.4300000000000002</v>
      </c>
      <c r="T1397" s="62" t="s">
        <v>306</v>
      </c>
      <c r="U1397" s="50" t="s">
        <v>1952</v>
      </c>
      <c r="V1397" s="64">
        <f t="shared" si="176"/>
        <v>2156</v>
      </c>
      <c r="W1397" s="62" t="s">
        <v>306</v>
      </c>
      <c r="X1397" s="64">
        <f t="shared" si="177"/>
        <v>5239.08</v>
      </c>
      <c r="Y1397" s="64"/>
      <c r="AC1397" s="61" t="s">
        <v>1956</v>
      </c>
      <c r="AF1397" s="63">
        <f>SUM(AF1384:AF1396)</f>
        <v>4191.6960000000008</v>
      </c>
      <c r="AG1397" s="71">
        <f t="shared" si="163"/>
        <v>0</v>
      </c>
    </row>
    <row r="1398" spans="6:33" ht="15.75">
      <c r="H1398" s="50" t="s">
        <v>238</v>
      </c>
      <c r="K1398" s="64">
        <f>SUM(K1392:K1396)</f>
        <v>2722.4140000000002</v>
      </c>
      <c r="M1398" s="131">
        <v>6</v>
      </c>
      <c r="N1398" s="62" t="s">
        <v>4</v>
      </c>
      <c r="O1398" s="120" t="s">
        <v>1969</v>
      </c>
      <c r="P1398" s="72">
        <f>P1094</f>
        <v>50.9</v>
      </c>
      <c r="Q1398" s="62" t="s">
        <v>4</v>
      </c>
      <c r="R1398" s="64">
        <f t="shared" si="178"/>
        <v>305.39999999999998</v>
      </c>
      <c r="T1398" s="53"/>
      <c r="U1398" s="50" t="s">
        <v>1954</v>
      </c>
      <c r="W1398" s="57"/>
      <c r="X1398" s="64"/>
      <c r="Y1398" s="64"/>
      <c r="AG1398" s="71">
        <f t="shared" si="163"/>
        <v>0</v>
      </c>
    </row>
    <row r="1399" spans="6:33" ht="19.5">
      <c r="K1399" s="59" t="s">
        <v>21</v>
      </c>
      <c r="M1399" s="131">
        <v>6</v>
      </c>
      <c r="N1399" s="62" t="s">
        <v>4</v>
      </c>
      <c r="O1399" s="50" t="s">
        <v>1970</v>
      </c>
      <c r="P1399" s="64">
        <v>30</v>
      </c>
      <c r="Q1399" s="62" t="s">
        <v>4</v>
      </c>
      <c r="R1399" s="64">
        <f t="shared" si="178"/>
        <v>180</v>
      </c>
      <c r="U1399" s="61" t="s">
        <v>1956</v>
      </c>
      <c r="X1399" s="63">
        <f>SUM(X1386:X1398)</f>
        <v>15176.2744</v>
      </c>
      <c r="Y1399" s="63"/>
      <c r="AA1399" s="53"/>
      <c r="AB1399" s="53"/>
      <c r="AC1399" s="208" t="s">
        <v>1971</v>
      </c>
      <c r="AE1399" s="55"/>
      <c r="AG1399" s="71">
        <f t="shared" si="163"/>
        <v>0</v>
      </c>
    </row>
    <row r="1400" spans="6:33" ht="15.75">
      <c r="H1400" s="66" t="s">
        <v>155</v>
      </c>
      <c r="K1400" s="63">
        <f>(K1398/10)</f>
        <v>272.2414</v>
      </c>
      <c r="M1400" s="131">
        <v>6</v>
      </c>
      <c r="N1400" s="62" t="s">
        <v>4</v>
      </c>
      <c r="O1400" s="50" t="s">
        <v>1949</v>
      </c>
      <c r="P1400" s="64">
        <v>20</v>
      </c>
      <c r="Q1400" s="62" t="s">
        <v>4</v>
      </c>
      <c r="R1400" s="64">
        <f t="shared" si="178"/>
        <v>120</v>
      </c>
      <c r="Z1400" s="131">
        <v>2.33</v>
      </c>
      <c r="AA1400" s="62" t="s">
        <v>534</v>
      </c>
      <c r="AB1400" s="62"/>
      <c r="AC1400" s="50" t="s">
        <v>1936</v>
      </c>
      <c r="AD1400" s="64">
        <f t="shared" ref="AD1400:AD1411" si="179">V1402</f>
        <v>287</v>
      </c>
      <c r="AE1400" s="62" t="s">
        <v>534</v>
      </c>
      <c r="AF1400" s="64">
        <f t="shared" ref="AF1400:AF1411" si="180">AD1400*Z1400</f>
        <v>668.71</v>
      </c>
      <c r="AG1400" s="71">
        <f t="shared" si="163"/>
        <v>0</v>
      </c>
    </row>
    <row r="1401" spans="6:33" ht="19.5">
      <c r="F1401" s="50" t="s">
        <v>150</v>
      </c>
      <c r="M1401" s="131">
        <v>4</v>
      </c>
      <c r="N1401" s="62" t="s">
        <v>4</v>
      </c>
      <c r="O1401" s="50" t="s">
        <v>1951</v>
      </c>
      <c r="P1401" s="64">
        <v>15</v>
      </c>
      <c r="Q1401" s="62" t="s">
        <v>4</v>
      </c>
      <c r="R1401" s="64">
        <f t="shared" si="178"/>
        <v>60</v>
      </c>
      <c r="T1401" s="53"/>
      <c r="U1401" s="208" t="s">
        <v>1972</v>
      </c>
      <c r="W1401" s="55"/>
      <c r="Z1401" s="131">
        <v>0.67</v>
      </c>
      <c r="AA1401" s="62" t="s">
        <v>534</v>
      </c>
      <c r="AB1401" s="62"/>
      <c r="AC1401" s="50" t="s">
        <v>1936</v>
      </c>
      <c r="AD1401" s="64">
        <f t="shared" si="179"/>
        <v>287</v>
      </c>
      <c r="AE1401" s="62" t="s">
        <v>534</v>
      </c>
      <c r="AF1401" s="64">
        <f t="shared" si="180"/>
        <v>192.29000000000002</v>
      </c>
      <c r="AG1401" s="71">
        <f t="shared" si="163"/>
        <v>0</v>
      </c>
    </row>
    <row r="1402" spans="6:33" ht="15.75">
      <c r="K1402" s="59" t="s">
        <v>156</v>
      </c>
      <c r="M1402" s="131">
        <v>1.823</v>
      </c>
      <c r="N1402" s="62" t="s">
        <v>306</v>
      </c>
      <c r="O1402" s="50" t="s">
        <v>1952</v>
      </c>
      <c r="P1402" s="52">
        <f>ROUND(AG17+AG11+(AG20*0.5),2)</f>
        <v>2156</v>
      </c>
      <c r="Q1402" s="62" t="s">
        <v>306</v>
      </c>
      <c r="R1402" s="64">
        <f t="shared" si="178"/>
        <v>3930.3879999999999</v>
      </c>
      <c r="S1402" s="100">
        <f>8*0.775</f>
        <v>6.2</v>
      </c>
      <c r="T1402" s="62" t="s">
        <v>534</v>
      </c>
      <c r="U1402" s="50" t="s">
        <v>1936</v>
      </c>
      <c r="V1402" s="64">
        <f>V1386</f>
        <v>287</v>
      </c>
      <c r="W1402" s="62" t="s">
        <v>534</v>
      </c>
      <c r="X1402" s="64">
        <f>V1402*S1402</f>
        <v>1779.4</v>
      </c>
      <c r="Y1402" s="64"/>
      <c r="Z1402" s="131">
        <v>2.65</v>
      </c>
      <c r="AA1402" s="62" t="s">
        <v>534</v>
      </c>
      <c r="AB1402" s="62"/>
      <c r="AC1402" s="50" t="s">
        <v>1936</v>
      </c>
      <c r="AD1402" s="64">
        <f t="shared" si="179"/>
        <v>287</v>
      </c>
      <c r="AE1402" s="62" t="s">
        <v>534</v>
      </c>
      <c r="AF1402" s="64">
        <f t="shared" si="180"/>
        <v>760.55</v>
      </c>
      <c r="AG1402" s="71">
        <f t="shared" si="163"/>
        <v>0</v>
      </c>
    </row>
    <row r="1403" spans="6:33" ht="15.75">
      <c r="F1403" s="51" t="s">
        <v>380</v>
      </c>
      <c r="G1403" s="62" t="s">
        <v>249</v>
      </c>
      <c r="H1403" s="50" t="s">
        <v>381</v>
      </c>
      <c r="N1403" s="53"/>
      <c r="O1403" s="50" t="s">
        <v>1954</v>
      </c>
      <c r="Q1403" s="57"/>
      <c r="R1403" s="64">
        <v>0.51</v>
      </c>
      <c r="S1403" s="100">
        <f>8.4*1.123</f>
        <v>9.4332000000000011</v>
      </c>
      <c r="T1403" s="62" t="s">
        <v>534</v>
      </c>
      <c r="U1403" s="50" t="s">
        <v>1936</v>
      </c>
      <c r="V1403" s="64">
        <f t="shared" ref="V1403:V1413" si="181">V1387</f>
        <v>287</v>
      </c>
      <c r="W1403" s="62" t="s">
        <v>534</v>
      </c>
      <c r="X1403" s="64">
        <f t="shared" ref="X1403:X1413" si="182">V1403*S1403</f>
        <v>2707.3284000000003</v>
      </c>
      <c r="Y1403" s="64"/>
      <c r="Z1403" s="131">
        <v>0.46</v>
      </c>
      <c r="AA1403" s="62" t="s">
        <v>534</v>
      </c>
      <c r="AB1403" s="62"/>
      <c r="AC1403" s="50" t="s">
        <v>1936</v>
      </c>
      <c r="AD1403" s="64">
        <f t="shared" si="179"/>
        <v>287</v>
      </c>
      <c r="AE1403" s="62" t="s">
        <v>534</v>
      </c>
      <c r="AF1403" s="64">
        <f t="shared" si="180"/>
        <v>132.02000000000001</v>
      </c>
      <c r="AG1403" s="71">
        <f t="shared" si="163"/>
        <v>0</v>
      </c>
    </row>
    <row r="1404" spans="6:33" ht="15.75">
      <c r="H1404" s="59" t="s">
        <v>21</v>
      </c>
      <c r="L1404" s="52">
        <f>5.85*1.123</f>
        <v>6.5695499999999996</v>
      </c>
      <c r="R1404" s="63">
        <f>SUM(R1391:R1403)</f>
        <v>11436.617</v>
      </c>
      <c r="S1404" s="100">
        <f>24.24*0.663</f>
        <v>16.071120000000001</v>
      </c>
      <c r="T1404" s="62" t="s">
        <v>534</v>
      </c>
      <c r="U1404" s="50" t="s">
        <v>1936</v>
      </c>
      <c r="V1404" s="64">
        <f t="shared" si="181"/>
        <v>287</v>
      </c>
      <c r="W1404" s="62" t="s">
        <v>534</v>
      </c>
      <c r="X1404" s="64">
        <f t="shared" si="182"/>
        <v>4612.4114399999999</v>
      </c>
      <c r="Y1404" s="64"/>
      <c r="Z1404" s="131">
        <v>0.41699999999999998</v>
      </c>
      <c r="AA1404" s="62" t="s">
        <v>533</v>
      </c>
      <c r="AB1404" s="62"/>
      <c r="AC1404" s="50" t="s">
        <v>1940</v>
      </c>
      <c r="AD1404" s="64">
        <f t="shared" si="179"/>
        <v>208.8</v>
      </c>
      <c r="AE1404" s="62" t="s">
        <v>533</v>
      </c>
      <c r="AF1404" s="64">
        <f t="shared" si="180"/>
        <v>87.069599999999994</v>
      </c>
      <c r="AG1404" s="71">
        <f t="shared" si="163"/>
        <v>0</v>
      </c>
    </row>
    <row r="1405" spans="6:33" ht="15.75">
      <c r="F1405" s="64">
        <v>0.14000000000000001</v>
      </c>
      <c r="G1405" s="62" t="s">
        <v>151</v>
      </c>
      <c r="H1405" s="50" t="s">
        <v>258</v>
      </c>
      <c r="I1405" s="64">
        <f>(K40)</f>
        <v>4326.7</v>
      </c>
      <c r="J1405" s="50" t="s">
        <v>151</v>
      </c>
      <c r="K1405" s="64">
        <f>(F1405*I1405)</f>
        <v>605.73800000000006</v>
      </c>
      <c r="O1405" s="244"/>
      <c r="S1405" s="100">
        <f>23.02*0.124</f>
        <v>2.8544800000000001</v>
      </c>
      <c r="T1405" s="62" t="s">
        <v>534</v>
      </c>
      <c r="U1405" s="50" t="s">
        <v>1936</v>
      </c>
      <c r="V1405" s="64">
        <f t="shared" si="181"/>
        <v>287</v>
      </c>
      <c r="W1405" s="62" t="s">
        <v>534</v>
      </c>
      <c r="X1405" s="64">
        <f t="shared" si="182"/>
        <v>819.23576000000003</v>
      </c>
      <c r="Y1405" s="64"/>
      <c r="Z1405" s="131">
        <v>3.6960000000000002</v>
      </c>
      <c r="AA1405" s="62" t="s">
        <v>303</v>
      </c>
      <c r="AB1405" s="62"/>
      <c r="AC1405" s="50" t="s">
        <v>1942</v>
      </c>
      <c r="AD1405" s="64">
        <f t="shared" si="179"/>
        <v>28.6</v>
      </c>
      <c r="AE1405" s="62" t="s">
        <v>303</v>
      </c>
      <c r="AF1405" s="64">
        <f t="shared" si="180"/>
        <v>105.7056</v>
      </c>
      <c r="AG1405" s="71">
        <f t="shared" si="163"/>
        <v>0</v>
      </c>
    </row>
    <row r="1406" spans="6:33" ht="15.75">
      <c r="F1406" s="64">
        <v>1.1000000000000001</v>
      </c>
      <c r="G1406" s="62" t="s">
        <v>153</v>
      </c>
      <c r="H1406" s="50" t="s">
        <v>269</v>
      </c>
      <c r="I1406" s="64">
        <f>(C10)</f>
        <v>1076.5999999999999</v>
      </c>
      <c r="J1406" s="50" t="s">
        <v>153</v>
      </c>
      <c r="K1406" s="64">
        <f>(F1406*I1406)</f>
        <v>1184.26</v>
      </c>
      <c r="S1406" s="100">
        <f>3.31</f>
        <v>3.31</v>
      </c>
      <c r="T1406" s="62" t="s">
        <v>533</v>
      </c>
      <c r="U1406" s="50" t="s">
        <v>1940</v>
      </c>
      <c r="V1406" s="64">
        <f t="shared" si="181"/>
        <v>208.8</v>
      </c>
      <c r="W1406" s="62" t="s">
        <v>533</v>
      </c>
      <c r="X1406" s="64">
        <f t="shared" si="182"/>
        <v>691.12800000000004</v>
      </c>
      <c r="Y1406" s="64"/>
      <c r="Z1406" s="131">
        <v>4</v>
      </c>
      <c r="AA1406" s="62" t="s">
        <v>4</v>
      </c>
      <c r="AB1406" s="62"/>
      <c r="AC1406" s="50" t="s">
        <v>1943</v>
      </c>
      <c r="AD1406" s="64">
        <f t="shared" si="179"/>
        <v>63.5</v>
      </c>
      <c r="AE1406" s="62" t="s">
        <v>4</v>
      </c>
      <c r="AF1406" s="64">
        <f t="shared" si="180"/>
        <v>254</v>
      </c>
      <c r="AG1406" s="71">
        <f t="shared" ref="AG1406:AG1469" si="183">AI1406</f>
        <v>0</v>
      </c>
    </row>
    <row r="1407" spans="6:33" ht="19.5">
      <c r="F1407" s="64">
        <v>0.5</v>
      </c>
      <c r="G1407" s="62" t="s">
        <v>153</v>
      </c>
      <c r="H1407" s="50" t="s">
        <v>235</v>
      </c>
      <c r="I1407" s="64">
        <f>(C12)</f>
        <v>702.8</v>
      </c>
      <c r="J1407" s="50" t="s">
        <v>153</v>
      </c>
      <c r="K1407" s="64">
        <f>(F1407*I1407)</f>
        <v>351.4</v>
      </c>
      <c r="N1407" s="53"/>
      <c r="O1407" s="208" t="s">
        <v>1973</v>
      </c>
      <c r="Q1407" s="55"/>
      <c r="S1407" s="100">
        <v>23.02</v>
      </c>
      <c r="T1407" s="62" t="s">
        <v>303</v>
      </c>
      <c r="U1407" s="50" t="s">
        <v>1942</v>
      </c>
      <c r="V1407" s="64">
        <f t="shared" si="181"/>
        <v>28.6</v>
      </c>
      <c r="W1407" s="62" t="s">
        <v>303</v>
      </c>
      <c r="X1407" s="64">
        <f t="shared" si="182"/>
        <v>658.37200000000007</v>
      </c>
      <c r="Y1407" s="64"/>
      <c r="Z1407" s="131">
        <v>2</v>
      </c>
      <c r="AA1407" s="62" t="s">
        <v>4</v>
      </c>
      <c r="AB1407" s="62"/>
      <c r="AC1407" s="50" t="s">
        <v>1945</v>
      </c>
      <c r="AD1407" s="64">
        <f t="shared" si="179"/>
        <v>50.9</v>
      </c>
      <c r="AE1407" s="62" t="s">
        <v>4</v>
      </c>
      <c r="AF1407" s="64">
        <f t="shared" si="180"/>
        <v>101.8</v>
      </c>
      <c r="AG1407" s="71">
        <f t="shared" si="183"/>
        <v>0</v>
      </c>
    </row>
    <row r="1408" spans="6:33" ht="15.75">
      <c r="F1408" s="64">
        <v>1.1000000000000001</v>
      </c>
      <c r="G1408" s="62" t="s">
        <v>153</v>
      </c>
      <c r="H1408" s="50" t="s">
        <v>236</v>
      </c>
      <c r="I1408" s="64">
        <f>(C13)</f>
        <v>576.79999999999995</v>
      </c>
      <c r="J1408" s="50" t="s">
        <v>153</v>
      </c>
      <c r="K1408" s="64">
        <f>(F1408*I1408)</f>
        <v>634.48</v>
      </c>
      <c r="M1408" s="131">
        <v>3.95</v>
      </c>
      <c r="N1408" s="62" t="s">
        <v>534</v>
      </c>
      <c r="O1408" s="120" t="s">
        <v>1974</v>
      </c>
      <c r="P1408" s="64">
        <f>P1391</f>
        <v>287</v>
      </c>
      <c r="Q1408" s="62" t="s">
        <v>534</v>
      </c>
      <c r="R1408" s="64">
        <f>P1408*M1408</f>
        <v>1133.6500000000001</v>
      </c>
      <c r="S1408" s="100">
        <v>16</v>
      </c>
      <c r="T1408" s="62" t="s">
        <v>4</v>
      </c>
      <c r="U1408" s="50" t="s">
        <v>1943</v>
      </c>
      <c r="V1408" s="64">
        <f t="shared" si="181"/>
        <v>63.5</v>
      </c>
      <c r="W1408" s="62" t="s">
        <v>4</v>
      </c>
      <c r="X1408" s="64">
        <f t="shared" si="182"/>
        <v>1016</v>
      </c>
      <c r="Y1408" s="64"/>
      <c r="Z1408" s="131">
        <v>2</v>
      </c>
      <c r="AA1408" s="62" t="s">
        <v>4</v>
      </c>
      <c r="AB1408" s="62"/>
      <c r="AC1408" s="50" t="s">
        <v>1948</v>
      </c>
      <c r="AD1408" s="64">
        <f t="shared" si="179"/>
        <v>30</v>
      </c>
      <c r="AE1408" s="62" t="s">
        <v>4</v>
      </c>
      <c r="AF1408" s="64">
        <f t="shared" si="180"/>
        <v>60</v>
      </c>
      <c r="AG1408" s="71">
        <f t="shared" si="183"/>
        <v>0</v>
      </c>
    </row>
    <row r="1409" spans="6:33" ht="15.75">
      <c r="G1409" s="62" t="s">
        <v>226</v>
      </c>
      <c r="H1409" s="50" t="s">
        <v>237</v>
      </c>
      <c r="I1409" s="50" t="s">
        <v>150</v>
      </c>
      <c r="J1409" s="50" t="s">
        <v>226</v>
      </c>
      <c r="K1409" s="64">
        <v>5</v>
      </c>
      <c r="M1409" s="131">
        <v>2.86</v>
      </c>
      <c r="N1409" s="62" t="s">
        <v>534</v>
      </c>
      <c r="O1409" s="50" t="s">
        <v>1936</v>
      </c>
      <c r="P1409" s="64">
        <f t="shared" ref="P1409:P1419" si="184">P1392</f>
        <v>287</v>
      </c>
      <c r="Q1409" s="62" t="s">
        <v>534</v>
      </c>
      <c r="R1409" s="64">
        <f t="shared" ref="R1409:R1419" si="185">P1409*M1409</f>
        <v>820.81999999999994</v>
      </c>
      <c r="S1409" s="100">
        <v>8</v>
      </c>
      <c r="T1409" s="62" t="s">
        <v>4</v>
      </c>
      <c r="U1409" s="50" t="s">
        <v>1945</v>
      </c>
      <c r="V1409" s="64">
        <f t="shared" si="181"/>
        <v>50.9</v>
      </c>
      <c r="W1409" s="62" t="s">
        <v>4</v>
      </c>
      <c r="X1409" s="64">
        <f t="shared" si="182"/>
        <v>407.2</v>
      </c>
      <c r="Y1409" s="64"/>
      <c r="Z1409" s="131">
        <v>2</v>
      </c>
      <c r="AA1409" s="62" t="s">
        <v>4</v>
      </c>
      <c r="AB1409" s="62"/>
      <c r="AC1409" s="50" t="s">
        <v>1949</v>
      </c>
      <c r="AD1409" s="64">
        <f t="shared" si="179"/>
        <v>20</v>
      </c>
      <c r="AE1409" s="62" t="s">
        <v>4</v>
      </c>
      <c r="AF1409" s="64">
        <f t="shared" si="180"/>
        <v>40</v>
      </c>
      <c r="AG1409" s="71">
        <f t="shared" si="183"/>
        <v>0</v>
      </c>
    </row>
    <row r="1410" spans="6:33" ht="15.75">
      <c r="G1410" s="62"/>
      <c r="H1410" s="50"/>
      <c r="I1410" s="50"/>
      <c r="J1410" s="50"/>
      <c r="K1410" s="64"/>
      <c r="M1410" s="131">
        <v>6.55</v>
      </c>
      <c r="N1410" s="62" t="s">
        <v>534</v>
      </c>
      <c r="O1410" s="50" t="s">
        <v>1936</v>
      </c>
      <c r="P1410" s="64">
        <f t="shared" si="184"/>
        <v>287</v>
      </c>
      <c r="Q1410" s="62" t="s">
        <v>534</v>
      </c>
      <c r="R1410" s="64">
        <f t="shared" si="185"/>
        <v>1879.85</v>
      </c>
      <c r="S1410" s="100">
        <v>8</v>
      </c>
      <c r="T1410" s="62" t="s">
        <v>4</v>
      </c>
      <c r="U1410" s="50" t="s">
        <v>1948</v>
      </c>
      <c r="V1410" s="64">
        <f t="shared" si="181"/>
        <v>30</v>
      </c>
      <c r="W1410" s="62" t="s">
        <v>4</v>
      </c>
      <c r="X1410" s="64">
        <f t="shared" si="182"/>
        <v>240</v>
      </c>
      <c r="Y1410" s="64"/>
      <c r="Z1410" s="131">
        <v>2</v>
      </c>
      <c r="AA1410" s="62" t="s">
        <v>4</v>
      </c>
      <c r="AB1410" s="62"/>
      <c r="AC1410" s="50" t="s">
        <v>1951</v>
      </c>
      <c r="AD1410" s="64">
        <f t="shared" si="179"/>
        <v>15</v>
      </c>
      <c r="AE1410" s="62" t="s">
        <v>4</v>
      </c>
      <c r="AF1410" s="64">
        <f t="shared" si="180"/>
        <v>30</v>
      </c>
      <c r="AG1410" s="71">
        <f t="shared" si="183"/>
        <v>0</v>
      </c>
    </row>
    <row r="1411" spans="6:33" ht="15.75">
      <c r="K1411" s="59" t="s">
        <v>21</v>
      </c>
      <c r="M1411" s="131">
        <v>1.1499999999999999</v>
      </c>
      <c r="N1411" s="62" t="s">
        <v>534</v>
      </c>
      <c r="O1411" s="50" t="s">
        <v>1936</v>
      </c>
      <c r="P1411" s="64">
        <f t="shared" si="184"/>
        <v>287</v>
      </c>
      <c r="Q1411" s="62" t="s">
        <v>534</v>
      </c>
      <c r="R1411" s="64">
        <f t="shared" si="185"/>
        <v>330.04999999999995</v>
      </c>
      <c r="S1411" s="100">
        <v>8</v>
      </c>
      <c r="T1411" s="62" t="s">
        <v>4</v>
      </c>
      <c r="U1411" s="50" t="s">
        <v>1949</v>
      </c>
      <c r="V1411" s="64">
        <f t="shared" si="181"/>
        <v>20</v>
      </c>
      <c r="W1411" s="62" t="s">
        <v>4</v>
      </c>
      <c r="X1411" s="64">
        <f t="shared" si="182"/>
        <v>160</v>
      </c>
      <c r="Y1411" s="64"/>
      <c r="Z1411" s="131">
        <v>0.54</v>
      </c>
      <c r="AA1411" s="62" t="s">
        <v>306</v>
      </c>
      <c r="AB1411" s="62"/>
      <c r="AC1411" s="50" t="s">
        <v>1952</v>
      </c>
      <c r="AD1411" s="64">
        <f t="shared" si="179"/>
        <v>2156</v>
      </c>
      <c r="AE1411" s="62" t="s">
        <v>306</v>
      </c>
      <c r="AF1411" s="64">
        <f t="shared" si="180"/>
        <v>1164.24</v>
      </c>
      <c r="AG1411" s="71">
        <f t="shared" si="183"/>
        <v>0</v>
      </c>
    </row>
    <row r="1412" spans="6:33" ht="15.75">
      <c r="H1412" s="50" t="s">
        <v>238</v>
      </c>
      <c r="K1412" s="64">
        <f>SUM(K1405:K1409)</f>
        <v>2780.8780000000002</v>
      </c>
      <c r="L1412" s="52">
        <f>SUM(K1433:K1436)</f>
        <v>2873.3180000000002</v>
      </c>
      <c r="M1412" s="131">
        <v>1.3380000000000001</v>
      </c>
      <c r="N1412" s="62" t="s">
        <v>533</v>
      </c>
      <c r="O1412" s="50" t="s">
        <v>1940</v>
      </c>
      <c r="P1412" s="64">
        <f t="shared" si="184"/>
        <v>208.8</v>
      </c>
      <c r="Q1412" s="62" t="s">
        <v>533</v>
      </c>
      <c r="R1412" s="64">
        <f t="shared" si="185"/>
        <v>279.37440000000004</v>
      </c>
      <c r="S1412" s="100">
        <v>4</v>
      </c>
      <c r="T1412" s="62" t="s">
        <v>4</v>
      </c>
      <c r="U1412" s="50" t="s">
        <v>1951</v>
      </c>
      <c r="V1412" s="64">
        <f t="shared" si="181"/>
        <v>15</v>
      </c>
      <c r="W1412" s="62" t="s">
        <v>4</v>
      </c>
      <c r="X1412" s="64">
        <f t="shared" si="182"/>
        <v>60</v>
      </c>
      <c r="Y1412" s="64"/>
      <c r="AA1412" s="53"/>
      <c r="AB1412" s="53"/>
      <c r="AC1412" s="50" t="s">
        <v>1954</v>
      </c>
      <c r="AE1412" s="57"/>
      <c r="AF1412" s="64">
        <v>0.7</v>
      </c>
      <c r="AG1412" s="71">
        <f t="shared" si="183"/>
        <v>0</v>
      </c>
    </row>
    <row r="1413" spans="6:33" ht="15.75">
      <c r="K1413" s="59" t="s">
        <v>21</v>
      </c>
      <c r="M1413" s="131">
        <v>9.2720000000000002</v>
      </c>
      <c r="N1413" s="62" t="s">
        <v>303</v>
      </c>
      <c r="O1413" s="120" t="s">
        <v>1975</v>
      </c>
      <c r="P1413" s="64">
        <f t="shared" si="184"/>
        <v>28.6</v>
      </c>
      <c r="Q1413" s="62" t="s">
        <v>303</v>
      </c>
      <c r="R1413" s="64">
        <f t="shared" si="185"/>
        <v>265.17920000000004</v>
      </c>
      <c r="S1413" s="100">
        <v>3.96</v>
      </c>
      <c r="T1413" s="62" t="s">
        <v>306</v>
      </c>
      <c r="U1413" s="50" t="s">
        <v>1952</v>
      </c>
      <c r="V1413" s="64">
        <f t="shared" si="181"/>
        <v>2156</v>
      </c>
      <c r="W1413" s="62" t="s">
        <v>306</v>
      </c>
      <c r="X1413" s="64">
        <f t="shared" si="182"/>
        <v>8537.76</v>
      </c>
      <c r="Y1413" s="64"/>
      <c r="AC1413" s="61" t="s">
        <v>1956</v>
      </c>
      <c r="AF1413" s="63">
        <f>SUM(AF1400:AF1412)</f>
        <v>3597.0851999999995</v>
      </c>
      <c r="AG1413" s="71">
        <f t="shared" si="183"/>
        <v>0</v>
      </c>
    </row>
    <row r="1414" spans="6:33" ht="15.75">
      <c r="H1414" s="66" t="s">
        <v>155</v>
      </c>
      <c r="K1414" s="63">
        <f>(K1412/10)</f>
        <v>278.08780000000002</v>
      </c>
      <c r="M1414" s="131">
        <v>8</v>
      </c>
      <c r="N1414" s="62" t="s">
        <v>4</v>
      </c>
      <c r="O1414" s="120" t="s">
        <v>1976</v>
      </c>
      <c r="P1414" s="64">
        <f t="shared" si="184"/>
        <v>63.5</v>
      </c>
      <c r="Q1414" s="62" t="s">
        <v>4</v>
      </c>
      <c r="R1414" s="64">
        <f t="shared" si="185"/>
        <v>508</v>
      </c>
      <c r="T1414" s="53"/>
      <c r="U1414" s="50" t="s">
        <v>1954</v>
      </c>
      <c r="W1414" s="57"/>
      <c r="X1414" s="64">
        <v>0.09</v>
      </c>
      <c r="Y1414" s="64"/>
      <c r="AG1414" s="71">
        <f t="shared" si="183"/>
        <v>0</v>
      </c>
    </row>
    <row r="1415" spans="6:33" ht="15.75">
      <c r="K1415" s="59" t="s">
        <v>156</v>
      </c>
      <c r="M1415" s="131">
        <v>4</v>
      </c>
      <c r="N1415" s="62" t="s">
        <v>4</v>
      </c>
      <c r="O1415" s="120" t="s">
        <v>1969</v>
      </c>
      <c r="P1415" s="64">
        <f t="shared" si="184"/>
        <v>50.9</v>
      </c>
      <c r="Q1415" s="62" t="s">
        <v>4</v>
      </c>
      <c r="R1415" s="64">
        <f t="shared" si="185"/>
        <v>203.6</v>
      </c>
      <c r="U1415" s="61" t="s">
        <v>1956</v>
      </c>
      <c r="X1415" s="63">
        <f>SUM(X1402:X1414)</f>
        <v>21688.925599999999</v>
      </c>
      <c r="Y1415" s="63"/>
      <c r="AG1415" s="71">
        <f t="shared" si="183"/>
        <v>0</v>
      </c>
    </row>
    <row r="1416" spans="6:33" ht="19.5">
      <c r="F1416" s="51" t="s">
        <v>1977</v>
      </c>
      <c r="G1416" s="62" t="s">
        <v>249</v>
      </c>
      <c r="H1416" s="50" t="s">
        <v>1978</v>
      </c>
      <c r="M1416" s="131">
        <v>4</v>
      </c>
      <c r="N1416" s="62" t="s">
        <v>4</v>
      </c>
      <c r="O1416" s="50" t="s">
        <v>1948</v>
      </c>
      <c r="P1416" s="64">
        <f t="shared" si="184"/>
        <v>30</v>
      </c>
      <c r="Q1416" s="62" t="s">
        <v>4</v>
      </c>
      <c r="R1416" s="64">
        <f t="shared" si="185"/>
        <v>120</v>
      </c>
      <c r="AA1416" s="53"/>
      <c r="AB1416" s="53"/>
      <c r="AC1416" s="208" t="s">
        <v>1979</v>
      </c>
      <c r="AE1416" s="55"/>
      <c r="AG1416" s="71">
        <f t="shared" si="183"/>
        <v>0</v>
      </c>
    </row>
    <row r="1417" spans="6:33" ht="15.75">
      <c r="H1417" s="59" t="s">
        <v>21</v>
      </c>
      <c r="M1417" s="131">
        <v>4</v>
      </c>
      <c r="N1417" s="62" t="s">
        <v>4</v>
      </c>
      <c r="O1417" s="50" t="s">
        <v>1949</v>
      </c>
      <c r="P1417" s="64">
        <f t="shared" si="184"/>
        <v>20</v>
      </c>
      <c r="Q1417" s="62" t="s">
        <v>4</v>
      </c>
      <c r="R1417" s="64">
        <f t="shared" si="185"/>
        <v>80</v>
      </c>
      <c r="Z1417" s="131">
        <f>4.2*0.775</f>
        <v>3.2550000000000003</v>
      </c>
      <c r="AA1417" s="62" t="s">
        <v>534</v>
      </c>
      <c r="AB1417" s="62"/>
      <c r="AC1417" s="50" t="s">
        <v>1936</v>
      </c>
      <c r="AD1417" s="64">
        <f>AD1400</f>
        <v>287</v>
      </c>
      <c r="AE1417" s="62" t="s">
        <v>534</v>
      </c>
      <c r="AF1417" s="64">
        <f t="shared" ref="AF1417:AF1428" si="186">AD1417*Z1417</f>
        <v>934.18500000000006</v>
      </c>
      <c r="AG1417" s="71">
        <f t="shared" si="183"/>
        <v>0</v>
      </c>
    </row>
    <row r="1418" spans="6:33" ht="15.75">
      <c r="F1418" s="64">
        <v>0.1</v>
      </c>
      <c r="G1418" s="62" t="s">
        <v>151</v>
      </c>
      <c r="H1418" s="50" t="s">
        <v>257</v>
      </c>
      <c r="I1418" s="64">
        <f>(K32)</f>
        <v>5022.7</v>
      </c>
      <c r="J1418" s="50" t="s">
        <v>151</v>
      </c>
      <c r="K1418" s="64">
        <f>(F1418*I1418)</f>
        <v>502.27</v>
      </c>
      <c r="M1418" s="131">
        <v>4</v>
      </c>
      <c r="N1418" s="62" t="s">
        <v>4</v>
      </c>
      <c r="O1418" s="50" t="s">
        <v>1951</v>
      </c>
      <c r="P1418" s="64">
        <f t="shared" si="184"/>
        <v>15</v>
      </c>
      <c r="Q1418" s="62" t="s">
        <v>4</v>
      </c>
      <c r="R1418" s="64">
        <f t="shared" si="185"/>
        <v>60</v>
      </c>
      <c r="U1418" s="65" t="s">
        <v>1980</v>
      </c>
      <c r="Z1418" s="131">
        <v>2.3580000000000001</v>
      </c>
      <c r="AA1418" s="62" t="s">
        <v>534</v>
      </c>
      <c r="AB1418" s="62"/>
      <c r="AC1418" s="50" t="s">
        <v>1936</v>
      </c>
      <c r="AD1418" s="64">
        <f t="shared" ref="AD1418:AD1428" si="187">AD1401</f>
        <v>287</v>
      </c>
      <c r="AE1418" s="62" t="s">
        <v>534</v>
      </c>
      <c r="AF1418" s="64">
        <f t="shared" si="186"/>
        <v>676.74599999999998</v>
      </c>
      <c r="AG1418" s="71">
        <f t="shared" si="183"/>
        <v>0</v>
      </c>
    </row>
    <row r="1419" spans="6:33" ht="15.75">
      <c r="F1419" s="64">
        <v>1.1000000000000001</v>
      </c>
      <c r="G1419" s="62" t="s">
        <v>153</v>
      </c>
      <c r="H1419" s="50" t="s">
        <v>269</v>
      </c>
      <c r="I1419" s="64">
        <f>(C10)</f>
        <v>1076.5999999999999</v>
      </c>
      <c r="J1419" s="50" t="s">
        <v>153</v>
      </c>
      <c r="K1419" s="64">
        <f>(F1419*I1419)</f>
        <v>1184.26</v>
      </c>
      <c r="L1419" s="52">
        <f>M1458+M1459+M1460</f>
        <v>11.742000000000001</v>
      </c>
      <c r="M1419" s="131">
        <v>1.62</v>
      </c>
      <c r="N1419" s="62" t="s">
        <v>306</v>
      </c>
      <c r="O1419" s="50" t="s">
        <v>1952</v>
      </c>
      <c r="P1419" s="64">
        <f t="shared" si="184"/>
        <v>2156</v>
      </c>
      <c r="Q1419" s="62" t="s">
        <v>306</v>
      </c>
      <c r="R1419" s="64">
        <f t="shared" si="185"/>
        <v>3492.7200000000003</v>
      </c>
      <c r="S1419" s="100">
        <v>4.42</v>
      </c>
      <c r="T1419" s="62" t="s">
        <v>534</v>
      </c>
      <c r="U1419" s="50" t="s">
        <v>1936</v>
      </c>
      <c r="V1419" s="64">
        <f>P1458</f>
        <v>287</v>
      </c>
      <c r="W1419" s="62" t="s">
        <v>534</v>
      </c>
      <c r="X1419" s="71">
        <f>V1419*S1419</f>
        <v>1268.54</v>
      </c>
      <c r="Y1419" s="71"/>
      <c r="Z1419" s="131">
        <f>8.08*0.663</f>
        <v>5.3570400000000005</v>
      </c>
      <c r="AA1419" s="62" t="s">
        <v>534</v>
      </c>
      <c r="AB1419" s="62"/>
      <c r="AC1419" s="50" t="s">
        <v>1936</v>
      </c>
      <c r="AD1419" s="64">
        <f t="shared" si="187"/>
        <v>287</v>
      </c>
      <c r="AE1419" s="62" t="s">
        <v>534</v>
      </c>
      <c r="AF1419" s="64">
        <f t="shared" si="186"/>
        <v>1537.4704800000002</v>
      </c>
      <c r="AG1419" s="71">
        <f t="shared" si="183"/>
        <v>0</v>
      </c>
    </row>
    <row r="1420" spans="6:33" ht="15.75">
      <c r="F1420" s="64">
        <v>1.1000000000000001</v>
      </c>
      <c r="G1420" s="62" t="s">
        <v>153</v>
      </c>
      <c r="H1420" s="50" t="s">
        <v>235</v>
      </c>
      <c r="I1420" s="64">
        <f>(C12)</f>
        <v>702.8</v>
      </c>
      <c r="J1420" s="50" t="s">
        <v>153</v>
      </c>
      <c r="K1420" s="64">
        <f>(F1420*I1420)</f>
        <v>773.08</v>
      </c>
      <c r="N1420" s="53"/>
      <c r="O1420" s="50" t="s">
        <v>1954</v>
      </c>
      <c r="Q1420" s="57"/>
      <c r="R1420" s="64">
        <v>0.25</v>
      </c>
      <c r="S1420" s="100">
        <v>4.72</v>
      </c>
      <c r="T1420" s="62" t="s">
        <v>534</v>
      </c>
      <c r="U1420" s="50" t="s">
        <v>1936</v>
      </c>
      <c r="V1420" s="64">
        <f>P1459</f>
        <v>287</v>
      </c>
      <c r="W1420" s="62" t="s">
        <v>534</v>
      </c>
      <c r="X1420" s="71">
        <f t="shared" ref="X1420:X1430" si="188">V1420*S1420</f>
        <v>1354.6399999999999</v>
      </c>
      <c r="Y1420" s="71"/>
      <c r="Z1420" s="131">
        <v>0.92600000000000005</v>
      </c>
      <c r="AA1420" s="62" t="s">
        <v>534</v>
      </c>
      <c r="AB1420" s="62"/>
      <c r="AC1420" s="50" t="s">
        <v>1936</v>
      </c>
      <c r="AD1420" s="64">
        <f t="shared" si="187"/>
        <v>287</v>
      </c>
      <c r="AE1420" s="62" t="s">
        <v>534</v>
      </c>
      <c r="AF1420" s="64">
        <f t="shared" si="186"/>
        <v>265.762</v>
      </c>
      <c r="AG1420" s="71">
        <f t="shared" si="183"/>
        <v>0</v>
      </c>
    </row>
    <row r="1421" spans="6:33" ht="15.75">
      <c r="F1421" s="64">
        <v>1.1000000000000001</v>
      </c>
      <c r="G1421" s="62" t="s">
        <v>153</v>
      </c>
      <c r="H1421" s="50" t="s">
        <v>236</v>
      </c>
      <c r="I1421" s="64">
        <f>(C13)</f>
        <v>576.79999999999995</v>
      </c>
      <c r="J1421" s="50" t="s">
        <v>153</v>
      </c>
      <c r="K1421" s="64">
        <f>(F1421*I1421)</f>
        <v>634.48</v>
      </c>
      <c r="R1421" s="63">
        <f>SUM(R1408:R1420)</f>
        <v>9173.4936000000016</v>
      </c>
      <c r="S1421" s="100">
        <v>9.06</v>
      </c>
      <c r="T1421" s="62" t="s">
        <v>534</v>
      </c>
      <c r="U1421" s="50" t="s">
        <v>1936</v>
      </c>
      <c r="V1421" s="64">
        <f>P1460</f>
        <v>287</v>
      </c>
      <c r="W1421" s="62" t="s">
        <v>534</v>
      </c>
      <c r="X1421" s="71">
        <f t="shared" si="188"/>
        <v>2600.2200000000003</v>
      </c>
      <c r="Y1421" s="71"/>
      <c r="Z1421" s="131">
        <v>0.85</v>
      </c>
      <c r="AA1421" s="62" t="s">
        <v>533</v>
      </c>
      <c r="AB1421" s="62"/>
      <c r="AC1421" s="50" t="s">
        <v>1940</v>
      </c>
      <c r="AD1421" s="64">
        <f t="shared" si="187"/>
        <v>208.8</v>
      </c>
      <c r="AE1421" s="62" t="s">
        <v>533</v>
      </c>
      <c r="AF1421" s="64">
        <f t="shared" si="186"/>
        <v>177.48000000000002</v>
      </c>
      <c r="AG1421" s="71">
        <f t="shared" si="183"/>
        <v>0</v>
      </c>
    </row>
    <row r="1422" spans="6:33" ht="15.75">
      <c r="G1422" s="62" t="s">
        <v>226</v>
      </c>
      <c r="H1422" s="50" t="s">
        <v>237</v>
      </c>
      <c r="I1422" s="50" t="s">
        <v>150</v>
      </c>
      <c r="J1422" s="50" t="s">
        <v>226</v>
      </c>
      <c r="K1422" s="64">
        <v>5</v>
      </c>
      <c r="M1422" s="64"/>
      <c r="N1422" s="62"/>
      <c r="O1422" s="50"/>
      <c r="P1422" s="64"/>
      <c r="Q1422" s="51"/>
      <c r="R1422" s="64"/>
      <c r="S1422" s="100">
        <v>1.58</v>
      </c>
      <c r="T1422" s="62" t="s">
        <v>534</v>
      </c>
      <c r="U1422" s="50" t="s">
        <v>1936</v>
      </c>
      <c r="V1422" s="64">
        <f>P1461</f>
        <v>287</v>
      </c>
      <c r="W1422" s="62" t="s">
        <v>534</v>
      </c>
      <c r="X1422" s="71">
        <f t="shared" si="188"/>
        <v>453.46000000000004</v>
      </c>
      <c r="Y1422" s="71"/>
      <c r="Z1422" s="131">
        <v>7.4720000000000004</v>
      </c>
      <c r="AA1422" s="62" t="s">
        <v>303</v>
      </c>
      <c r="AB1422" s="62"/>
      <c r="AC1422" s="50" t="s">
        <v>1942</v>
      </c>
      <c r="AD1422" s="64">
        <f t="shared" si="187"/>
        <v>28.6</v>
      </c>
      <c r="AE1422" s="62" t="s">
        <v>303</v>
      </c>
      <c r="AF1422" s="64">
        <f t="shared" si="186"/>
        <v>213.69920000000002</v>
      </c>
      <c r="AG1422" s="71">
        <f t="shared" si="183"/>
        <v>0</v>
      </c>
    </row>
    <row r="1423" spans="6:33" ht="15.75">
      <c r="K1423" s="59" t="s">
        <v>21</v>
      </c>
      <c r="M1423" s="64"/>
      <c r="N1423" s="62"/>
      <c r="O1423" s="50"/>
      <c r="P1423" s="64"/>
      <c r="Q1423" s="51"/>
      <c r="R1423" s="64"/>
      <c r="S1423" s="100">
        <v>1.65</v>
      </c>
      <c r="T1423" s="62" t="s">
        <v>533</v>
      </c>
      <c r="U1423" s="50" t="s">
        <v>1940</v>
      </c>
      <c r="V1423" s="64">
        <f>P1429</f>
        <v>208.8</v>
      </c>
      <c r="W1423" s="62" t="s">
        <v>533</v>
      </c>
      <c r="X1423" s="71">
        <f t="shared" si="188"/>
        <v>344.52</v>
      </c>
      <c r="Y1423" s="71"/>
      <c r="Z1423" s="131">
        <v>8</v>
      </c>
      <c r="AA1423" s="62" t="s">
        <v>4</v>
      </c>
      <c r="AB1423" s="62"/>
      <c r="AC1423" s="50" t="s">
        <v>1943</v>
      </c>
      <c r="AD1423" s="64">
        <f t="shared" si="187"/>
        <v>63.5</v>
      </c>
      <c r="AE1423" s="62" t="s">
        <v>4</v>
      </c>
      <c r="AF1423" s="64">
        <f t="shared" si="186"/>
        <v>508</v>
      </c>
      <c r="AG1423" s="71">
        <f t="shared" si="183"/>
        <v>0</v>
      </c>
    </row>
    <row r="1424" spans="6:33" ht="19.5">
      <c r="H1424" s="50" t="s">
        <v>238</v>
      </c>
      <c r="K1424" s="64">
        <f>SUM(K1418:K1422)</f>
        <v>3099.09</v>
      </c>
      <c r="N1424" s="53"/>
      <c r="O1424" s="208" t="s">
        <v>1981</v>
      </c>
      <c r="Q1424" s="55"/>
      <c r="S1424" s="100">
        <v>12.74</v>
      </c>
      <c r="T1424" s="62" t="s">
        <v>303</v>
      </c>
      <c r="U1424" s="50" t="s">
        <v>1942</v>
      </c>
      <c r="V1424" s="64">
        <f>P1463</f>
        <v>28.6</v>
      </c>
      <c r="W1424" s="62" t="s">
        <v>303</v>
      </c>
      <c r="X1424" s="71">
        <f t="shared" si="188"/>
        <v>364.36400000000003</v>
      </c>
      <c r="Y1424" s="71"/>
      <c r="Z1424" s="131">
        <v>4</v>
      </c>
      <c r="AA1424" s="62" t="s">
        <v>4</v>
      </c>
      <c r="AB1424" s="62"/>
      <c r="AC1424" s="50" t="s">
        <v>1945</v>
      </c>
      <c r="AD1424" s="64">
        <f t="shared" si="187"/>
        <v>50.9</v>
      </c>
      <c r="AE1424" s="62" t="s">
        <v>4</v>
      </c>
      <c r="AF1424" s="64">
        <f t="shared" si="186"/>
        <v>203.6</v>
      </c>
      <c r="AG1424" s="71">
        <f t="shared" si="183"/>
        <v>0</v>
      </c>
    </row>
    <row r="1425" spans="6:33" ht="15.75">
      <c r="H1425" s="57"/>
      <c r="K1425" s="59" t="s">
        <v>21</v>
      </c>
      <c r="M1425" s="131">
        <v>2.79</v>
      </c>
      <c r="N1425" s="62" t="s">
        <v>534</v>
      </c>
      <c r="O1425" s="120" t="s">
        <v>1974</v>
      </c>
      <c r="P1425" s="64">
        <f>P1408</f>
        <v>287</v>
      </c>
      <c r="Q1425" s="62" t="s">
        <v>534</v>
      </c>
      <c r="R1425" s="64">
        <f>P1425*M1425</f>
        <v>800.73</v>
      </c>
      <c r="S1425" s="100">
        <v>12</v>
      </c>
      <c r="T1425" s="62" t="s">
        <v>4</v>
      </c>
      <c r="U1425" s="50" t="s">
        <v>1943</v>
      </c>
      <c r="V1425" s="64">
        <f>P1464</f>
        <v>63.5</v>
      </c>
      <c r="W1425" s="62" t="s">
        <v>4</v>
      </c>
      <c r="X1425" s="71">
        <f t="shared" si="188"/>
        <v>762</v>
      </c>
      <c r="Y1425" s="71"/>
      <c r="Z1425" s="131">
        <v>4</v>
      </c>
      <c r="AA1425" s="62" t="s">
        <v>4</v>
      </c>
      <c r="AB1425" s="62"/>
      <c r="AC1425" s="50" t="s">
        <v>1948</v>
      </c>
      <c r="AD1425" s="64">
        <f t="shared" si="187"/>
        <v>30</v>
      </c>
      <c r="AE1425" s="62" t="s">
        <v>4</v>
      </c>
      <c r="AF1425" s="64">
        <f t="shared" si="186"/>
        <v>120</v>
      </c>
      <c r="AG1425" s="71">
        <f t="shared" si="183"/>
        <v>0</v>
      </c>
    </row>
    <row r="1426" spans="6:33" ht="15.75">
      <c r="H1426" s="66" t="s">
        <v>155</v>
      </c>
      <c r="I1426" s="65"/>
      <c r="J1426" s="110"/>
      <c r="K1426" s="63">
        <f>(K1424/10)</f>
        <v>309.90899999999999</v>
      </c>
      <c r="M1426" s="131">
        <v>0.5</v>
      </c>
      <c r="N1426" s="62" t="s">
        <v>534</v>
      </c>
      <c r="O1426" s="50" t="s">
        <v>1936</v>
      </c>
      <c r="P1426" s="64">
        <f t="shared" ref="P1426:P1436" si="189">P1409</f>
        <v>287</v>
      </c>
      <c r="Q1426" s="62" t="s">
        <v>534</v>
      </c>
      <c r="R1426" s="64">
        <f t="shared" ref="R1426:R1436" si="190">P1426*M1426</f>
        <v>143.5</v>
      </c>
      <c r="S1426" s="100">
        <v>6</v>
      </c>
      <c r="T1426" s="62" t="s">
        <v>4</v>
      </c>
      <c r="U1426" s="50" t="s">
        <v>1945</v>
      </c>
      <c r="V1426" s="64">
        <f>P1465</f>
        <v>50.9</v>
      </c>
      <c r="W1426" s="62" t="s">
        <v>4</v>
      </c>
      <c r="X1426" s="71">
        <f t="shared" si="188"/>
        <v>305.39999999999998</v>
      </c>
      <c r="Y1426" s="71"/>
      <c r="Z1426" s="131">
        <v>4</v>
      </c>
      <c r="AA1426" s="62" t="s">
        <v>4</v>
      </c>
      <c r="AB1426" s="62"/>
      <c r="AC1426" s="50" t="s">
        <v>1949</v>
      </c>
      <c r="AD1426" s="64">
        <f t="shared" si="187"/>
        <v>20</v>
      </c>
      <c r="AE1426" s="62" t="s">
        <v>4</v>
      </c>
      <c r="AF1426" s="64">
        <f t="shared" si="186"/>
        <v>80</v>
      </c>
      <c r="AG1426" s="71">
        <f t="shared" si="183"/>
        <v>0</v>
      </c>
    </row>
    <row r="1427" spans="6:33" ht="15.75">
      <c r="K1427" s="59" t="s">
        <v>156</v>
      </c>
      <c r="M1427" s="131">
        <v>2.85</v>
      </c>
      <c r="N1427" s="62" t="s">
        <v>534</v>
      </c>
      <c r="O1427" s="50" t="s">
        <v>1936</v>
      </c>
      <c r="P1427" s="64">
        <f t="shared" si="189"/>
        <v>287</v>
      </c>
      <c r="Q1427" s="62" t="s">
        <v>534</v>
      </c>
      <c r="R1427" s="64">
        <f t="shared" si="190"/>
        <v>817.95</v>
      </c>
      <c r="S1427" s="100">
        <v>6</v>
      </c>
      <c r="T1427" s="62" t="s">
        <v>4</v>
      </c>
      <c r="U1427" s="50" t="s">
        <v>1948</v>
      </c>
      <c r="V1427" s="64">
        <v>30</v>
      </c>
      <c r="W1427" s="62" t="s">
        <v>4</v>
      </c>
      <c r="X1427" s="71">
        <f t="shared" si="188"/>
        <v>180</v>
      </c>
      <c r="Y1427" s="71"/>
      <c r="Z1427" s="131">
        <v>4</v>
      </c>
      <c r="AA1427" s="62" t="s">
        <v>4</v>
      </c>
      <c r="AB1427" s="62"/>
      <c r="AC1427" s="50" t="s">
        <v>1951</v>
      </c>
      <c r="AD1427" s="64">
        <f t="shared" si="187"/>
        <v>15</v>
      </c>
      <c r="AE1427" s="62" t="s">
        <v>4</v>
      </c>
      <c r="AF1427" s="64">
        <f t="shared" si="186"/>
        <v>60</v>
      </c>
      <c r="AG1427" s="71">
        <f t="shared" si="183"/>
        <v>0</v>
      </c>
    </row>
    <row r="1428" spans="6:33" ht="15.75">
      <c r="M1428" s="131">
        <v>0.5</v>
      </c>
      <c r="N1428" s="62" t="s">
        <v>534</v>
      </c>
      <c r="O1428" s="50" t="s">
        <v>1936</v>
      </c>
      <c r="P1428" s="64">
        <f t="shared" si="189"/>
        <v>287</v>
      </c>
      <c r="Q1428" s="62" t="s">
        <v>534</v>
      </c>
      <c r="R1428" s="64">
        <f t="shared" si="190"/>
        <v>143.5</v>
      </c>
      <c r="S1428" s="100">
        <v>6</v>
      </c>
      <c r="T1428" s="62" t="s">
        <v>4</v>
      </c>
      <c r="U1428" s="50" t="s">
        <v>1949</v>
      </c>
      <c r="V1428" s="64">
        <v>20</v>
      </c>
      <c r="W1428" s="62" t="s">
        <v>4</v>
      </c>
      <c r="X1428" s="71">
        <f t="shared" si="188"/>
        <v>120</v>
      </c>
      <c r="Y1428" s="71"/>
      <c r="Z1428" s="131">
        <v>1.08</v>
      </c>
      <c r="AA1428" s="62" t="s">
        <v>306</v>
      </c>
      <c r="AB1428" s="62"/>
      <c r="AC1428" s="50" t="s">
        <v>1952</v>
      </c>
      <c r="AD1428" s="64">
        <f t="shared" si="187"/>
        <v>2156</v>
      </c>
      <c r="AE1428" s="62" t="s">
        <v>306</v>
      </c>
      <c r="AF1428" s="64">
        <f t="shared" si="186"/>
        <v>2328.48</v>
      </c>
      <c r="AG1428" s="71">
        <f t="shared" si="183"/>
        <v>0</v>
      </c>
    </row>
    <row r="1429" spans="6:33" ht="15.75">
      <c r="G1429" s="62" t="s">
        <v>249</v>
      </c>
      <c r="H1429" s="50" t="s">
        <v>1982</v>
      </c>
      <c r="M1429" s="131">
        <v>0.47099999999999997</v>
      </c>
      <c r="N1429" s="62" t="s">
        <v>533</v>
      </c>
      <c r="O1429" s="50" t="s">
        <v>1940</v>
      </c>
      <c r="P1429" s="97">
        <f t="shared" si="189"/>
        <v>208.8</v>
      </c>
      <c r="Q1429" s="62" t="s">
        <v>533</v>
      </c>
      <c r="R1429" s="64">
        <f t="shared" si="190"/>
        <v>98.344800000000006</v>
      </c>
      <c r="S1429" s="100">
        <v>4</v>
      </c>
      <c r="T1429" s="62" t="s">
        <v>4</v>
      </c>
      <c r="U1429" s="50" t="s">
        <v>1951</v>
      </c>
      <c r="V1429" s="64">
        <v>15</v>
      </c>
      <c r="W1429" s="62" t="s">
        <v>4</v>
      </c>
      <c r="X1429" s="71">
        <f t="shared" si="188"/>
        <v>60</v>
      </c>
      <c r="Y1429" s="71"/>
      <c r="AA1429" s="53"/>
      <c r="AB1429" s="53"/>
      <c r="AC1429" s="50" t="s">
        <v>1954</v>
      </c>
      <c r="AE1429" s="57"/>
      <c r="AF1429" s="64">
        <v>0.96</v>
      </c>
      <c r="AG1429" s="71">
        <f t="shared" si="183"/>
        <v>0</v>
      </c>
    </row>
    <row r="1430" spans="6:33" ht="15.75">
      <c r="H1430" s="50" t="s">
        <v>1983</v>
      </c>
      <c r="M1430" s="131">
        <v>3.996</v>
      </c>
      <c r="N1430" s="62" t="s">
        <v>303</v>
      </c>
      <c r="O1430" s="120" t="s">
        <v>1975</v>
      </c>
      <c r="P1430" s="64">
        <f t="shared" si="189"/>
        <v>28.6</v>
      </c>
      <c r="Q1430" s="62" t="s">
        <v>303</v>
      </c>
      <c r="R1430" s="64">
        <f t="shared" si="190"/>
        <v>114.2856</v>
      </c>
      <c r="S1430" s="100">
        <f>1.5*1.35</f>
        <v>2.0250000000000004</v>
      </c>
      <c r="T1430" s="62" t="s">
        <v>306</v>
      </c>
      <c r="U1430" s="50" t="s">
        <v>1952</v>
      </c>
      <c r="V1430" s="64">
        <f>P1469</f>
        <v>2156</v>
      </c>
      <c r="W1430" s="62" t="s">
        <v>306</v>
      </c>
      <c r="X1430" s="64">
        <f t="shared" si="188"/>
        <v>4365.9000000000005</v>
      </c>
      <c r="Y1430" s="64"/>
      <c r="AC1430" s="61" t="s">
        <v>1956</v>
      </c>
      <c r="AF1430" s="63">
        <f>SUM(AF1417:AF1429)</f>
        <v>7106.3826800000015</v>
      </c>
      <c r="AG1430" s="71">
        <f t="shared" si="183"/>
        <v>0</v>
      </c>
    </row>
    <row r="1431" spans="6:33" ht="15.75">
      <c r="H1431" s="50" t="s">
        <v>1984</v>
      </c>
      <c r="M1431" s="131">
        <v>4</v>
      </c>
      <c r="N1431" s="62" t="s">
        <v>4</v>
      </c>
      <c r="O1431" s="120" t="s">
        <v>1976</v>
      </c>
      <c r="P1431" s="64">
        <f t="shared" si="189"/>
        <v>63.5</v>
      </c>
      <c r="Q1431" s="62" t="s">
        <v>4</v>
      </c>
      <c r="R1431" s="64">
        <f t="shared" si="190"/>
        <v>254</v>
      </c>
      <c r="T1431" s="53"/>
      <c r="U1431" s="50" t="s">
        <v>1954</v>
      </c>
      <c r="W1431" s="57"/>
      <c r="X1431" s="64">
        <v>0.31</v>
      </c>
      <c r="Y1431" s="64"/>
      <c r="AG1431" s="71">
        <f t="shared" si="183"/>
        <v>0</v>
      </c>
    </row>
    <row r="1432" spans="6:33" ht="15.75">
      <c r="H1432" s="59" t="s">
        <v>21</v>
      </c>
      <c r="M1432" s="131">
        <v>2</v>
      </c>
      <c r="N1432" s="62" t="s">
        <v>4</v>
      </c>
      <c r="O1432" s="120" t="s">
        <v>1969</v>
      </c>
      <c r="P1432" s="64">
        <f t="shared" si="189"/>
        <v>50.9</v>
      </c>
      <c r="Q1432" s="62" t="s">
        <v>4</v>
      </c>
      <c r="R1432" s="64">
        <f t="shared" si="190"/>
        <v>101.8</v>
      </c>
      <c r="U1432" s="61" t="s">
        <v>1956</v>
      </c>
      <c r="X1432" s="63">
        <f>SUM(X1419:X1431)</f>
        <v>12179.353999999998</v>
      </c>
      <c r="Y1432" s="63"/>
      <c r="AG1432" s="71">
        <f t="shared" si="183"/>
        <v>0</v>
      </c>
    </row>
    <row r="1433" spans="6:33" ht="19.5">
      <c r="F1433" s="64">
        <v>0.14000000000000001</v>
      </c>
      <c r="G1433" s="62" t="s">
        <v>151</v>
      </c>
      <c r="H1433" s="50" t="s">
        <v>257</v>
      </c>
      <c r="I1433" s="64">
        <f>(K32)</f>
        <v>5022.7</v>
      </c>
      <c r="J1433" s="50" t="s">
        <v>151</v>
      </c>
      <c r="K1433" s="64">
        <f>(F1433*I1433)</f>
        <v>703.178</v>
      </c>
      <c r="M1433" s="131">
        <v>2</v>
      </c>
      <c r="N1433" s="62" t="s">
        <v>4</v>
      </c>
      <c r="O1433" s="50" t="s">
        <v>1948</v>
      </c>
      <c r="P1433" s="64">
        <f t="shared" si="189"/>
        <v>30</v>
      </c>
      <c r="Q1433" s="62" t="s">
        <v>4</v>
      </c>
      <c r="R1433" s="64">
        <f t="shared" si="190"/>
        <v>60</v>
      </c>
      <c r="U1433" s="52">
        <f>2.025</f>
        <v>2.0249999999999999</v>
      </c>
      <c r="Z1433" s="56"/>
      <c r="AA1433" s="53"/>
      <c r="AB1433" s="53"/>
      <c r="AC1433" s="208" t="s">
        <v>1985</v>
      </c>
      <c r="AD1433" s="125" t="s">
        <v>1986</v>
      </c>
      <c r="AE1433" s="125"/>
      <c r="AF1433" s="125"/>
      <c r="AG1433" s="71">
        <f t="shared" si="183"/>
        <v>0</v>
      </c>
    </row>
    <row r="1434" spans="6:33" ht="15.75">
      <c r="F1434" s="64">
        <v>1.1000000000000001</v>
      </c>
      <c r="G1434" s="62" t="s">
        <v>153</v>
      </c>
      <c r="H1434" s="50" t="s">
        <v>269</v>
      </c>
      <c r="I1434" s="64">
        <f>(C10)</f>
        <v>1076.5999999999999</v>
      </c>
      <c r="J1434" s="50" t="s">
        <v>153</v>
      </c>
      <c r="K1434" s="64">
        <f>(F1434*I1434)</f>
        <v>1184.26</v>
      </c>
      <c r="M1434" s="131">
        <v>2</v>
      </c>
      <c r="N1434" s="62" t="s">
        <v>4</v>
      </c>
      <c r="O1434" s="50" t="s">
        <v>1949</v>
      </c>
      <c r="P1434" s="64">
        <f t="shared" si="189"/>
        <v>20</v>
      </c>
      <c r="Q1434" s="62" t="s">
        <v>4</v>
      </c>
      <c r="R1434" s="64">
        <f t="shared" si="190"/>
        <v>40</v>
      </c>
      <c r="Z1434" s="100">
        <v>4.21</v>
      </c>
      <c r="AA1434" s="62" t="s">
        <v>534</v>
      </c>
      <c r="AB1434" s="62"/>
      <c r="AC1434" s="50" t="s">
        <v>1936</v>
      </c>
      <c r="AD1434" s="64">
        <f>V1436</f>
        <v>287</v>
      </c>
      <c r="AE1434" s="62" t="s">
        <v>534</v>
      </c>
      <c r="AF1434" s="64">
        <f>AD1434*Z1434</f>
        <v>1208.27</v>
      </c>
      <c r="AG1434" s="71">
        <f t="shared" si="183"/>
        <v>0</v>
      </c>
    </row>
    <row r="1435" spans="6:33" ht="19.5">
      <c r="F1435" s="64">
        <v>0.5</v>
      </c>
      <c r="G1435" s="62" t="s">
        <v>153</v>
      </c>
      <c r="H1435" s="50" t="s">
        <v>235</v>
      </c>
      <c r="I1435" s="64">
        <f>(C12)</f>
        <v>702.8</v>
      </c>
      <c r="J1435" s="50" t="s">
        <v>153</v>
      </c>
      <c r="K1435" s="64">
        <f>(F1435*I1435)</f>
        <v>351.4</v>
      </c>
      <c r="M1435" s="131">
        <v>4</v>
      </c>
      <c r="N1435" s="62" t="s">
        <v>4</v>
      </c>
      <c r="O1435" s="50" t="s">
        <v>1951</v>
      </c>
      <c r="P1435" s="64">
        <f t="shared" si="189"/>
        <v>15</v>
      </c>
      <c r="Q1435" s="62" t="s">
        <v>4</v>
      </c>
      <c r="R1435" s="64">
        <f t="shared" si="190"/>
        <v>60</v>
      </c>
      <c r="T1435" s="53"/>
      <c r="U1435" s="208" t="s">
        <v>1987</v>
      </c>
      <c r="V1435" s="125" t="s">
        <v>1986</v>
      </c>
      <c r="W1435" s="125"/>
      <c r="X1435" s="125"/>
      <c r="Y1435" s="125"/>
      <c r="Z1435" s="100">
        <v>0.40500000000000003</v>
      </c>
      <c r="AA1435" s="62" t="s">
        <v>533</v>
      </c>
      <c r="AB1435" s="62"/>
      <c r="AC1435" s="50" t="s">
        <v>1940</v>
      </c>
      <c r="AD1435" s="64">
        <f>V1437</f>
        <v>208.8</v>
      </c>
      <c r="AE1435" s="62" t="s">
        <v>534</v>
      </c>
      <c r="AF1435" s="64">
        <f>AD1435*Z1435</f>
        <v>84.564000000000007</v>
      </c>
      <c r="AG1435" s="71">
        <f t="shared" si="183"/>
        <v>0</v>
      </c>
    </row>
    <row r="1436" spans="6:33" ht="15.75">
      <c r="F1436" s="64">
        <v>1.1000000000000001</v>
      </c>
      <c r="G1436" s="62" t="s">
        <v>153</v>
      </c>
      <c r="H1436" s="50" t="s">
        <v>236</v>
      </c>
      <c r="I1436" s="64">
        <f>(C13)</f>
        <v>576.79999999999995</v>
      </c>
      <c r="J1436" s="50" t="s">
        <v>153</v>
      </c>
      <c r="K1436" s="64">
        <f>(F1436*I1436)</f>
        <v>634.48</v>
      </c>
      <c r="M1436" s="131">
        <v>0.60799999999999998</v>
      </c>
      <c r="N1436" s="62" t="s">
        <v>306</v>
      </c>
      <c r="O1436" s="50" t="s">
        <v>1952</v>
      </c>
      <c r="P1436" s="64">
        <f t="shared" si="189"/>
        <v>2156</v>
      </c>
      <c r="Q1436" s="62" t="s">
        <v>306</v>
      </c>
      <c r="R1436" s="64">
        <f t="shared" si="190"/>
        <v>1310.848</v>
      </c>
      <c r="S1436" s="100">
        <v>3.7389999999999999</v>
      </c>
      <c r="T1436" s="62" t="s">
        <v>534</v>
      </c>
      <c r="U1436" s="50" t="s">
        <v>1936</v>
      </c>
      <c r="V1436" s="64">
        <f>P1475</f>
        <v>287</v>
      </c>
      <c r="W1436" s="62" t="s">
        <v>534</v>
      </c>
      <c r="X1436" s="64">
        <f>V1436*S1436</f>
        <v>1073.0930000000001</v>
      </c>
      <c r="Y1436" s="64"/>
      <c r="Z1436" s="100">
        <v>0.40500000000000003</v>
      </c>
      <c r="AA1436" s="62" t="s">
        <v>533</v>
      </c>
      <c r="AB1436" s="62"/>
      <c r="AC1436" s="50" t="s">
        <v>1952</v>
      </c>
      <c r="AD1436" s="64">
        <f>V1438</f>
        <v>2156</v>
      </c>
      <c r="AE1436" s="62" t="s">
        <v>534</v>
      </c>
      <c r="AF1436" s="64">
        <f>AD1436*Z1436</f>
        <v>873.18000000000006</v>
      </c>
      <c r="AG1436" s="71">
        <f t="shared" si="183"/>
        <v>0</v>
      </c>
    </row>
    <row r="1437" spans="6:33" ht="15.75">
      <c r="F1437" s="64">
        <v>2</v>
      </c>
      <c r="G1437" s="62" t="s">
        <v>13</v>
      </c>
      <c r="H1437" s="50" t="s">
        <v>1988</v>
      </c>
      <c r="I1437" s="64">
        <f>(C653)</f>
        <v>41.9</v>
      </c>
      <c r="J1437" s="50" t="s">
        <v>13</v>
      </c>
      <c r="K1437" s="64">
        <f>(F1437*I1437)</f>
        <v>83.8</v>
      </c>
      <c r="N1437" s="53"/>
      <c r="O1437" s="50" t="s">
        <v>1954</v>
      </c>
      <c r="Q1437" s="57"/>
      <c r="R1437" s="64">
        <v>0.57999999999999996</v>
      </c>
      <c r="S1437" s="100">
        <v>0.36</v>
      </c>
      <c r="T1437" s="62" t="s">
        <v>533</v>
      </c>
      <c r="U1437" s="50" t="s">
        <v>1940</v>
      </c>
      <c r="V1437" s="64">
        <f>P1476</f>
        <v>208.8</v>
      </c>
      <c r="W1437" s="62" t="s">
        <v>534</v>
      </c>
      <c r="X1437" s="64">
        <f>V1437*S1437</f>
        <v>75.168000000000006</v>
      </c>
      <c r="Y1437" s="64"/>
      <c r="Z1437" s="100"/>
      <c r="AA1437" s="62"/>
      <c r="AB1437" s="62"/>
      <c r="AC1437" s="50"/>
      <c r="AD1437" s="64"/>
      <c r="AE1437" s="62"/>
      <c r="AF1437" s="64">
        <f>SUM(AF1434:AF1436)</f>
        <v>2166.0140000000001</v>
      </c>
      <c r="AG1437" s="71">
        <f t="shared" si="183"/>
        <v>0</v>
      </c>
    </row>
    <row r="1438" spans="6:33" ht="15.75">
      <c r="G1438" s="62" t="s">
        <v>226</v>
      </c>
      <c r="H1438" s="50" t="s">
        <v>237</v>
      </c>
      <c r="I1438" s="50" t="s">
        <v>150</v>
      </c>
      <c r="J1438" s="50" t="s">
        <v>226</v>
      </c>
      <c r="K1438" s="64">
        <v>5</v>
      </c>
      <c r="R1438" s="63">
        <f>SUM(R1425:R1437)</f>
        <v>3945.5384000000004</v>
      </c>
      <c r="S1438" s="100">
        <v>0.36</v>
      </c>
      <c r="T1438" s="62" t="s">
        <v>533</v>
      </c>
      <c r="U1438" s="50" t="s">
        <v>1952</v>
      </c>
      <c r="V1438" s="64">
        <f>P1477</f>
        <v>2156</v>
      </c>
      <c r="W1438" s="62" t="s">
        <v>534</v>
      </c>
      <c r="X1438" s="64">
        <f>V1438*S1438</f>
        <v>776.16</v>
      </c>
      <c r="Y1438" s="64"/>
      <c r="Z1438" s="100"/>
      <c r="AA1438" s="62"/>
      <c r="AB1438" s="62"/>
      <c r="AC1438" s="61" t="s">
        <v>1989</v>
      </c>
      <c r="AD1438" s="64"/>
      <c r="AE1438" s="62"/>
      <c r="AF1438" s="63">
        <f>AF1437/Z1436</f>
        <v>5348.1827160493831</v>
      </c>
      <c r="AG1438" s="71">
        <f t="shared" si="183"/>
        <v>0</v>
      </c>
    </row>
    <row r="1439" spans="6:33" ht="15.75">
      <c r="K1439" s="59" t="s">
        <v>21</v>
      </c>
      <c r="M1439" s="64"/>
      <c r="N1439" s="62"/>
      <c r="O1439" s="50"/>
      <c r="P1439" s="64"/>
      <c r="Q1439" s="51"/>
      <c r="R1439" s="64"/>
      <c r="S1439" s="100"/>
      <c r="T1439" s="62"/>
      <c r="U1439" s="50"/>
      <c r="V1439" s="64"/>
      <c r="W1439" s="62"/>
      <c r="X1439" s="64">
        <f>SUM(X1436:X1438)</f>
        <v>1924.4209999999998</v>
      </c>
      <c r="Y1439" s="64"/>
      <c r="AG1439" s="71">
        <f t="shared" si="183"/>
        <v>0</v>
      </c>
    </row>
    <row r="1440" spans="6:33" ht="19.5">
      <c r="F1440" s="50" t="s">
        <v>150</v>
      </c>
      <c r="H1440" s="50" t="s">
        <v>238</v>
      </c>
      <c r="K1440" s="64">
        <f>SUM(K1433:K1438)</f>
        <v>2962.1180000000004</v>
      </c>
      <c r="N1440" s="53"/>
      <c r="O1440" s="208" t="s">
        <v>1990</v>
      </c>
      <c r="Q1440" s="55"/>
      <c r="S1440" s="100"/>
      <c r="T1440" s="62"/>
      <c r="U1440" s="61" t="s">
        <v>1989</v>
      </c>
      <c r="V1440" s="64"/>
      <c r="W1440" s="62"/>
      <c r="X1440" s="63">
        <f>X1439/S1438</f>
        <v>5345.6138888888881</v>
      </c>
      <c r="Y1440" s="63"/>
      <c r="AG1440" s="71">
        <f t="shared" si="183"/>
        <v>0</v>
      </c>
    </row>
    <row r="1441" spans="6:33" ht="15.75">
      <c r="H1441" s="65"/>
      <c r="I1441" s="65"/>
      <c r="J1441" s="110"/>
      <c r="K1441" s="67" t="s">
        <v>21</v>
      </c>
      <c r="M1441" s="131">
        <v>5.35</v>
      </c>
      <c r="N1441" s="62" t="s">
        <v>534</v>
      </c>
      <c r="O1441" s="120" t="s">
        <v>1974</v>
      </c>
      <c r="P1441" s="64">
        <f>P1425</f>
        <v>287</v>
      </c>
      <c r="Q1441" s="62" t="s">
        <v>534</v>
      </c>
      <c r="R1441" s="64">
        <f>P1441*M1441</f>
        <v>1535.4499999999998</v>
      </c>
      <c r="AG1441" s="71">
        <f t="shared" si="183"/>
        <v>0</v>
      </c>
    </row>
    <row r="1442" spans="6:33" ht="19.5">
      <c r="H1442" s="66" t="s">
        <v>155</v>
      </c>
      <c r="I1442" s="65"/>
      <c r="J1442" s="110"/>
      <c r="K1442" s="63">
        <f>(K1440/10)</f>
        <v>296.21180000000004</v>
      </c>
      <c r="M1442" s="131">
        <v>7.58</v>
      </c>
      <c r="N1442" s="62" t="s">
        <v>534</v>
      </c>
      <c r="O1442" s="50" t="s">
        <v>1936</v>
      </c>
      <c r="P1442" s="64">
        <f t="shared" ref="P1442:P1452" si="191">P1426</f>
        <v>287</v>
      </c>
      <c r="Q1442" s="62" t="s">
        <v>534</v>
      </c>
      <c r="R1442" s="64">
        <f t="shared" ref="R1442:R1452" si="192">P1442*M1442</f>
        <v>2175.46</v>
      </c>
      <c r="T1442" s="53"/>
      <c r="U1442" s="208" t="s">
        <v>1991</v>
      </c>
      <c r="V1442" s="125" t="s">
        <v>1986</v>
      </c>
      <c r="W1442" s="55"/>
      <c r="AG1442" s="71">
        <f t="shared" si="183"/>
        <v>0</v>
      </c>
    </row>
    <row r="1443" spans="6:33" ht="15.75">
      <c r="K1443" s="59" t="s">
        <v>156</v>
      </c>
      <c r="M1443" s="131">
        <v>13.15</v>
      </c>
      <c r="N1443" s="62" t="s">
        <v>534</v>
      </c>
      <c r="O1443" s="50" t="s">
        <v>1936</v>
      </c>
      <c r="P1443" s="64">
        <f t="shared" si="191"/>
        <v>287</v>
      </c>
      <c r="Q1443" s="62" t="s">
        <v>534</v>
      </c>
      <c r="R1443" s="64">
        <f t="shared" si="192"/>
        <v>3774.05</v>
      </c>
      <c r="S1443" s="100">
        <v>4.21</v>
      </c>
      <c r="T1443" s="62" t="s">
        <v>534</v>
      </c>
      <c r="U1443" s="50" t="s">
        <v>1936</v>
      </c>
      <c r="V1443" s="64">
        <f>P1482</f>
        <v>287</v>
      </c>
      <c r="W1443" s="62" t="s">
        <v>534</v>
      </c>
      <c r="X1443" s="64">
        <f>V1443*S1443</f>
        <v>1208.27</v>
      </c>
      <c r="Y1443" s="64"/>
      <c r="AG1443" s="71">
        <f t="shared" si="183"/>
        <v>0</v>
      </c>
    </row>
    <row r="1444" spans="6:33" ht="15.75">
      <c r="H1444" s="50" t="s">
        <v>150</v>
      </c>
      <c r="M1444" s="131">
        <v>2.31</v>
      </c>
      <c r="N1444" s="62" t="s">
        <v>534</v>
      </c>
      <c r="O1444" s="50" t="s">
        <v>1936</v>
      </c>
      <c r="P1444" s="64">
        <f t="shared" si="191"/>
        <v>287</v>
      </c>
      <c r="Q1444" s="62" t="s">
        <v>534</v>
      </c>
      <c r="R1444" s="64">
        <f t="shared" si="192"/>
        <v>662.97</v>
      </c>
      <c r="S1444" s="100">
        <v>0.45</v>
      </c>
      <c r="T1444" s="62" t="s">
        <v>533</v>
      </c>
      <c r="U1444" s="50" t="s">
        <v>1940</v>
      </c>
      <c r="V1444" s="64">
        <f>P1483</f>
        <v>208.8</v>
      </c>
      <c r="W1444" s="62" t="s">
        <v>534</v>
      </c>
      <c r="X1444" s="64">
        <f>V1444*S1444</f>
        <v>93.960000000000008</v>
      </c>
      <c r="Y1444" s="64"/>
      <c r="AG1444" s="71">
        <f t="shared" si="183"/>
        <v>0</v>
      </c>
    </row>
    <row r="1445" spans="6:33" ht="15.75">
      <c r="M1445" s="131">
        <v>2.44</v>
      </c>
      <c r="N1445" s="62" t="s">
        <v>533</v>
      </c>
      <c r="O1445" s="50" t="s">
        <v>1940</v>
      </c>
      <c r="P1445" s="97">
        <f t="shared" si="191"/>
        <v>208.8</v>
      </c>
      <c r="Q1445" s="62" t="s">
        <v>533</v>
      </c>
      <c r="R1445" s="64">
        <f t="shared" si="192"/>
        <v>509.47200000000004</v>
      </c>
      <c r="S1445" s="100">
        <v>0.45</v>
      </c>
      <c r="T1445" s="62" t="s">
        <v>533</v>
      </c>
      <c r="U1445" s="50" t="s">
        <v>1952</v>
      </c>
      <c r="V1445" s="64">
        <f>P1484</f>
        <v>2156</v>
      </c>
      <c r="W1445" s="62" t="s">
        <v>534</v>
      </c>
      <c r="X1445" s="64">
        <f>V1445*S1445</f>
        <v>970.2</v>
      </c>
      <c r="Y1445" s="64"/>
      <c r="AG1445" s="71">
        <f t="shared" si="183"/>
        <v>0</v>
      </c>
    </row>
    <row r="1446" spans="6:33" ht="15.75">
      <c r="F1446" s="51" t="s">
        <v>1992</v>
      </c>
      <c r="G1446" s="62" t="s">
        <v>249</v>
      </c>
      <c r="H1446" s="50" t="s">
        <v>1993</v>
      </c>
      <c r="M1446" s="131">
        <v>18.62</v>
      </c>
      <c r="N1446" s="62" t="s">
        <v>303</v>
      </c>
      <c r="O1446" s="120" t="s">
        <v>1975</v>
      </c>
      <c r="P1446" s="64">
        <f t="shared" si="191"/>
        <v>28.6</v>
      </c>
      <c r="Q1446" s="62" t="s">
        <v>303</v>
      </c>
      <c r="R1446" s="64">
        <f t="shared" si="192"/>
        <v>532.53200000000004</v>
      </c>
      <c r="S1446" s="100">
        <f>R1485-2967</f>
        <v>961.03800000000001</v>
      </c>
      <c r="T1446" s="62"/>
      <c r="U1446" s="50"/>
      <c r="V1446" s="64"/>
      <c r="W1446" s="62"/>
      <c r="X1446" s="64">
        <f>SUM(X1443:X1445)</f>
        <v>2272.4300000000003</v>
      </c>
      <c r="Y1446" s="64"/>
      <c r="AG1446" s="71">
        <f t="shared" si="183"/>
        <v>0</v>
      </c>
    </row>
    <row r="1447" spans="6:33" ht="19.5">
      <c r="H1447" s="50" t="s">
        <v>1994</v>
      </c>
      <c r="M1447" s="131">
        <v>16</v>
      </c>
      <c r="N1447" s="62" t="s">
        <v>4</v>
      </c>
      <c r="O1447" s="120" t="s">
        <v>1976</v>
      </c>
      <c r="P1447" s="64">
        <f t="shared" si="191"/>
        <v>63.5</v>
      </c>
      <c r="Q1447" s="62" t="s">
        <v>4</v>
      </c>
      <c r="R1447" s="64">
        <f t="shared" si="192"/>
        <v>1016</v>
      </c>
      <c r="S1447" s="100"/>
      <c r="T1447" s="62"/>
      <c r="U1447" s="61" t="s">
        <v>1989</v>
      </c>
      <c r="V1447" s="64"/>
      <c r="W1447" s="62"/>
      <c r="X1447" s="63">
        <f>X1446/S1445</f>
        <v>5049.8444444444449</v>
      </c>
      <c r="Y1447" s="63"/>
      <c r="Z1447" s="56"/>
      <c r="AA1447" s="53"/>
      <c r="AB1447" s="53"/>
      <c r="AC1447" s="208" t="s">
        <v>1995</v>
      </c>
      <c r="AE1447" s="55"/>
      <c r="AG1447" s="71">
        <f t="shared" si="183"/>
        <v>0</v>
      </c>
    </row>
    <row r="1448" spans="6:33" ht="15.75">
      <c r="H1448" s="50" t="s">
        <v>1996</v>
      </c>
      <c r="M1448" s="131">
        <v>8</v>
      </c>
      <c r="N1448" s="62" t="s">
        <v>4</v>
      </c>
      <c r="O1448" s="120" t="s">
        <v>1969</v>
      </c>
      <c r="P1448" s="64">
        <f t="shared" si="191"/>
        <v>50.9</v>
      </c>
      <c r="Q1448" s="62" t="s">
        <v>4</v>
      </c>
      <c r="R1448" s="64">
        <f t="shared" si="192"/>
        <v>407.2</v>
      </c>
      <c r="Z1448" s="100">
        <v>3.26</v>
      </c>
      <c r="AA1448" s="62" t="s">
        <v>534</v>
      </c>
      <c r="AB1448" s="62"/>
      <c r="AC1448" s="50" t="s">
        <v>1936</v>
      </c>
      <c r="AD1448" s="64">
        <f t="shared" ref="AD1448:AD1459" si="193">V1450</f>
        <v>287</v>
      </c>
      <c r="AE1448" s="62" t="s">
        <v>534</v>
      </c>
      <c r="AF1448" s="64">
        <f t="shared" ref="AF1448:AF1459" si="194">AD1448*Z1448</f>
        <v>935.61999999999989</v>
      </c>
      <c r="AG1448" s="71">
        <f t="shared" si="183"/>
        <v>0</v>
      </c>
    </row>
    <row r="1449" spans="6:33" ht="19.5">
      <c r="H1449" s="50" t="s">
        <v>1997</v>
      </c>
      <c r="M1449" s="131">
        <v>8</v>
      </c>
      <c r="N1449" s="62" t="s">
        <v>4</v>
      </c>
      <c r="O1449" s="50" t="s">
        <v>1948</v>
      </c>
      <c r="P1449" s="64">
        <f t="shared" si="191"/>
        <v>30</v>
      </c>
      <c r="Q1449" s="62" t="s">
        <v>4</v>
      </c>
      <c r="R1449" s="64">
        <f t="shared" si="192"/>
        <v>240</v>
      </c>
      <c r="T1449" s="53"/>
      <c r="U1449" s="208" t="s">
        <v>1998</v>
      </c>
      <c r="W1449" s="55"/>
      <c r="Z1449" s="100">
        <v>0.84</v>
      </c>
      <c r="AA1449" s="62" t="s">
        <v>534</v>
      </c>
      <c r="AB1449" s="62"/>
      <c r="AC1449" s="50" t="s">
        <v>1936</v>
      </c>
      <c r="AD1449" s="64">
        <f t="shared" si="193"/>
        <v>287</v>
      </c>
      <c r="AE1449" s="62" t="s">
        <v>534</v>
      </c>
      <c r="AF1449" s="64">
        <f t="shared" si="194"/>
        <v>241.07999999999998</v>
      </c>
      <c r="AG1449" s="71">
        <f t="shared" si="183"/>
        <v>0</v>
      </c>
    </row>
    <row r="1450" spans="6:33" ht="15.75">
      <c r="H1450" s="59" t="s">
        <v>21</v>
      </c>
      <c r="I1450" s="59" t="s">
        <v>21</v>
      </c>
      <c r="M1450" s="131">
        <v>8</v>
      </c>
      <c r="N1450" s="62" t="s">
        <v>4</v>
      </c>
      <c r="O1450" s="50" t="s">
        <v>1949</v>
      </c>
      <c r="P1450" s="64">
        <f t="shared" si="191"/>
        <v>20</v>
      </c>
      <c r="Q1450" s="62" t="s">
        <v>4</v>
      </c>
      <c r="R1450" s="64">
        <f t="shared" si="192"/>
        <v>160</v>
      </c>
      <c r="S1450" s="100">
        <v>3.49</v>
      </c>
      <c r="T1450" s="62" t="s">
        <v>534</v>
      </c>
      <c r="U1450" s="50" t="s">
        <v>1936</v>
      </c>
      <c r="V1450" s="64">
        <f>P1489</f>
        <v>287</v>
      </c>
      <c r="W1450" s="62" t="s">
        <v>534</v>
      </c>
      <c r="X1450" s="64">
        <f>V1450*S1450</f>
        <v>1001.6300000000001</v>
      </c>
      <c r="Y1450" s="64"/>
      <c r="Z1450" s="100">
        <v>3.65</v>
      </c>
      <c r="AA1450" s="62" t="s">
        <v>534</v>
      </c>
      <c r="AB1450" s="62"/>
      <c r="AC1450" s="50" t="s">
        <v>1936</v>
      </c>
      <c r="AD1450" s="64">
        <f t="shared" si="193"/>
        <v>287</v>
      </c>
      <c r="AE1450" s="62" t="s">
        <v>534</v>
      </c>
      <c r="AF1450" s="64">
        <f t="shared" si="194"/>
        <v>1047.55</v>
      </c>
      <c r="AG1450" s="71">
        <f t="shared" si="183"/>
        <v>0</v>
      </c>
    </row>
    <row r="1451" spans="6:33" ht="15.75">
      <c r="G1451" s="62" t="s">
        <v>524</v>
      </c>
      <c r="H1451" s="50" t="s">
        <v>1999</v>
      </c>
      <c r="M1451" s="131">
        <v>4</v>
      </c>
      <c r="N1451" s="62" t="s">
        <v>4</v>
      </c>
      <c r="O1451" s="50" t="s">
        <v>1951</v>
      </c>
      <c r="P1451" s="64">
        <f t="shared" si="191"/>
        <v>15</v>
      </c>
      <c r="Q1451" s="62" t="s">
        <v>4</v>
      </c>
      <c r="R1451" s="64">
        <f t="shared" si="192"/>
        <v>60</v>
      </c>
      <c r="S1451" s="100">
        <v>2.5299999999999998</v>
      </c>
      <c r="T1451" s="62" t="s">
        <v>534</v>
      </c>
      <c r="U1451" s="50" t="s">
        <v>1936</v>
      </c>
      <c r="V1451" s="64">
        <f t="shared" ref="V1451:V1461" si="195">P1490</f>
        <v>287</v>
      </c>
      <c r="W1451" s="62" t="s">
        <v>534</v>
      </c>
      <c r="X1451" s="64">
        <f t="shared" ref="X1451:X1461" si="196">V1451*S1451</f>
        <v>726.1099999999999</v>
      </c>
      <c r="Y1451" s="64"/>
      <c r="Z1451" s="100">
        <v>0.64</v>
      </c>
      <c r="AA1451" s="62" t="s">
        <v>534</v>
      </c>
      <c r="AB1451" s="62"/>
      <c r="AC1451" s="50" t="s">
        <v>1936</v>
      </c>
      <c r="AD1451" s="64">
        <f t="shared" si="193"/>
        <v>287</v>
      </c>
      <c r="AE1451" s="62" t="s">
        <v>534</v>
      </c>
      <c r="AF1451" s="64">
        <f t="shared" si="194"/>
        <v>183.68</v>
      </c>
      <c r="AG1451" s="71">
        <f t="shared" si="183"/>
        <v>0</v>
      </c>
    </row>
    <row r="1452" spans="6:33" ht="15.75">
      <c r="G1452" s="62" t="s">
        <v>21</v>
      </c>
      <c r="H1452" s="59" t="s">
        <v>21</v>
      </c>
      <c r="M1452" s="131">
        <f>1.8*1.65</f>
        <v>2.9699999999999998</v>
      </c>
      <c r="N1452" s="62" t="s">
        <v>306</v>
      </c>
      <c r="O1452" s="50" t="s">
        <v>1952</v>
      </c>
      <c r="P1452" s="64">
        <f t="shared" si="191"/>
        <v>2156</v>
      </c>
      <c r="Q1452" s="62" t="s">
        <v>306</v>
      </c>
      <c r="R1452" s="64">
        <f t="shared" si="192"/>
        <v>6403.32</v>
      </c>
      <c r="S1452" s="100">
        <v>5.7549999999999999</v>
      </c>
      <c r="T1452" s="62" t="s">
        <v>534</v>
      </c>
      <c r="U1452" s="50" t="s">
        <v>1936</v>
      </c>
      <c r="V1452" s="64">
        <f t="shared" si="195"/>
        <v>287</v>
      </c>
      <c r="W1452" s="62" t="s">
        <v>534</v>
      </c>
      <c r="X1452" s="64">
        <f t="shared" si="196"/>
        <v>1651.6849999999999</v>
      </c>
      <c r="Y1452" s="64"/>
      <c r="Z1452" s="100">
        <v>0.84099999999999997</v>
      </c>
      <c r="AA1452" s="62" t="s">
        <v>533</v>
      </c>
      <c r="AB1452" s="62"/>
      <c r="AC1452" s="50" t="s">
        <v>1940</v>
      </c>
      <c r="AD1452" s="64">
        <f t="shared" si="193"/>
        <v>208.8</v>
      </c>
      <c r="AE1452" s="62" t="s">
        <v>533</v>
      </c>
      <c r="AF1452" s="64">
        <f t="shared" si="194"/>
        <v>175.60079999999999</v>
      </c>
      <c r="AG1452" s="71">
        <f t="shared" si="183"/>
        <v>0</v>
      </c>
    </row>
    <row r="1453" spans="6:33" ht="15.75">
      <c r="F1453" s="131">
        <v>1.4E-2</v>
      </c>
      <c r="G1453" s="62" t="s">
        <v>313</v>
      </c>
      <c r="H1453" s="50" t="s">
        <v>2000</v>
      </c>
      <c r="I1453" s="64">
        <f>K49</f>
        <v>3909.1000000000004</v>
      </c>
      <c r="J1453" s="50" t="s">
        <v>313</v>
      </c>
      <c r="K1453" s="64">
        <f>(F1453*I1453)</f>
        <v>54.727400000000003</v>
      </c>
      <c r="N1453" s="53"/>
      <c r="O1453" s="50" t="s">
        <v>1954</v>
      </c>
      <c r="Q1453" s="57"/>
      <c r="R1453" s="64">
        <v>0.78</v>
      </c>
      <c r="S1453" s="100">
        <v>1.0009999999999999</v>
      </c>
      <c r="T1453" s="62" t="s">
        <v>534</v>
      </c>
      <c r="U1453" s="50" t="s">
        <v>1936</v>
      </c>
      <c r="V1453" s="64">
        <f t="shared" si="195"/>
        <v>287</v>
      </c>
      <c r="W1453" s="62" t="s">
        <v>534</v>
      </c>
      <c r="X1453" s="64">
        <f t="shared" si="196"/>
        <v>287.28699999999998</v>
      </c>
      <c r="Y1453" s="64"/>
      <c r="Z1453" s="100">
        <v>5.1959999999999997</v>
      </c>
      <c r="AA1453" s="62" t="s">
        <v>303</v>
      </c>
      <c r="AB1453" s="62"/>
      <c r="AC1453" s="50" t="s">
        <v>1942</v>
      </c>
      <c r="AD1453" s="64">
        <f t="shared" si="193"/>
        <v>28.6</v>
      </c>
      <c r="AE1453" s="62" t="s">
        <v>303</v>
      </c>
      <c r="AF1453" s="64">
        <f t="shared" si="194"/>
        <v>148.60560000000001</v>
      </c>
      <c r="AG1453" s="71">
        <f t="shared" si="183"/>
        <v>0</v>
      </c>
    </row>
    <row r="1454" spans="6:33" ht="15.75">
      <c r="F1454" s="64">
        <v>0.3</v>
      </c>
      <c r="G1454" s="62" t="s">
        <v>345</v>
      </c>
      <c r="H1454" s="50" t="s">
        <v>2001</v>
      </c>
      <c r="I1454" s="64">
        <f>C10</f>
        <v>1076.5999999999999</v>
      </c>
      <c r="J1454" s="50" t="s">
        <v>345</v>
      </c>
      <c r="K1454" s="64">
        <f>(F1454*I1454)</f>
        <v>322.97999999999996</v>
      </c>
      <c r="R1454" s="63">
        <f>SUM(R1441:R1453)</f>
        <v>17477.233999999997</v>
      </c>
      <c r="S1454" s="100">
        <f>1.012</f>
        <v>1.012</v>
      </c>
      <c r="T1454" s="62" t="s">
        <v>533</v>
      </c>
      <c r="U1454" s="50" t="s">
        <v>1940</v>
      </c>
      <c r="V1454" s="64">
        <f t="shared" si="195"/>
        <v>208.8</v>
      </c>
      <c r="W1454" s="62" t="s">
        <v>533</v>
      </c>
      <c r="X1454" s="64">
        <f t="shared" si="196"/>
        <v>211.30560000000003</v>
      </c>
      <c r="Y1454" s="64"/>
      <c r="Z1454" s="100">
        <v>4</v>
      </c>
      <c r="AA1454" s="62" t="s">
        <v>4</v>
      </c>
      <c r="AB1454" s="62"/>
      <c r="AC1454" s="50" t="s">
        <v>1943</v>
      </c>
      <c r="AD1454" s="64">
        <f t="shared" si="193"/>
        <v>63.5</v>
      </c>
      <c r="AE1454" s="62" t="s">
        <v>4</v>
      </c>
      <c r="AF1454" s="64">
        <f t="shared" si="194"/>
        <v>254</v>
      </c>
      <c r="AG1454" s="71">
        <f t="shared" si="183"/>
        <v>0</v>
      </c>
    </row>
    <row r="1455" spans="6:33" ht="15.75">
      <c r="F1455" s="64">
        <v>0.3</v>
      </c>
      <c r="G1455" s="62" t="s">
        <v>345</v>
      </c>
      <c r="H1455" s="50" t="s">
        <v>1198</v>
      </c>
      <c r="I1455" s="64">
        <f>C12</f>
        <v>702.8</v>
      </c>
      <c r="J1455" s="50" t="s">
        <v>345</v>
      </c>
      <c r="K1455" s="64">
        <f>(F1455*I1455)</f>
        <v>210.83999999999997</v>
      </c>
      <c r="R1455" s="52">
        <f>R1454/M1452</f>
        <v>5884.5905723905717</v>
      </c>
      <c r="S1455" s="100" t="s">
        <v>306</v>
      </c>
      <c r="T1455" s="62" t="s">
        <v>303</v>
      </c>
      <c r="U1455" s="50" t="s">
        <v>1942</v>
      </c>
      <c r="V1455" s="64">
        <f t="shared" si="195"/>
        <v>28.6</v>
      </c>
      <c r="W1455" s="62" t="s">
        <v>303</v>
      </c>
      <c r="X1455" s="64" t="e">
        <f t="shared" si="196"/>
        <v>#VALUE!</v>
      </c>
      <c r="Y1455" s="64"/>
      <c r="Z1455" s="100">
        <v>2</v>
      </c>
      <c r="AA1455" s="62" t="s">
        <v>4</v>
      </c>
      <c r="AB1455" s="62"/>
      <c r="AC1455" s="50" t="s">
        <v>1945</v>
      </c>
      <c r="AD1455" s="64">
        <f t="shared" si="193"/>
        <v>50.9</v>
      </c>
      <c r="AE1455" s="62" t="s">
        <v>4</v>
      </c>
      <c r="AF1455" s="64">
        <f t="shared" si="194"/>
        <v>101.8</v>
      </c>
      <c r="AG1455" s="71">
        <f t="shared" si="183"/>
        <v>0</v>
      </c>
    </row>
    <row r="1456" spans="6:33" ht="15.75">
      <c r="G1456" s="62" t="s">
        <v>226</v>
      </c>
      <c r="H1456" s="50" t="s">
        <v>337</v>
      </c>
      <c r="J1456" s="50" t="s">
        <v>226</v>
      </c>
      <c r="K1456" s="52">
        <v>5</v>
      </c>
      <c r="S1456" s="100">
        <v>8</v>
      </c>
      <c r="T1456" s="62" t="s">
        <v>4</v>
      </c>
      <c r="U1456" s="50" t="s">
        <v>1943</v>
      </c>
      <c r="V1456" s="64">
        <f t="shared" si="195"/>
        <v>63.5</v>
      </c>
      <c r="W1456" s="62" t="s">
        <v>4</v>
      </c>
      <c r="X1456" s="64">
        <f t="shared" si="196"/>
        <v>508</v>
      </c>
      <c r="Y1456" s="64"/>
      <c r="Z1456" s="100">
        <v>2</v>
      </c>
      <c r="AA1456" s="62" t="s">
        <v>4</v>
      </c>
      <c r="AB1456" s="62"/>
      <c r="AC1456" s="50" t="s">
        <v>1948</v>
      </c>
      <c r="AD1456" s="64">
        <f t="shared" si="193"/>
        <v>30</v>
      </c>
      <c r="AE1456" s="62" t="s">
        <v>4</v>
      </c>
      <c r="AF1456" s="64">
        <f t="shared" si="194"/>
        <v>60</v>
      </c>
      <c r="AG1456" s="71">
        <f t="shared" si="183"/>
        <v>0</v>
      </c>
    </row>
    <row r="1457" spans="6:33" ht="19.5">
      <c r="K1457" s="59" t="s">
        <v>21</v>
      </c>
      <c r="N1457" s="53"/>
      <c r="O1457" s="208" t="s">
        <v>2002</v>
      </c>
      <c r="Q1457" s="55"/>
      <c r="S1457" s="100">
        <v>4</v>
      </c>
      <c r="T1457" s="62" t="s">
        <v>4</v>
      </c>
      <c r="U1457" s="50" t="s">
        <v>1945</v>
      </c>
      <c r="V1457" s="64">
        <f t="shared" si="195"/>
        <v>50.9</v>
      </c>
      <c r="W1457" s="62" t="s">
        <v>4</v>
      </c>
      <c r="X1457" s="64">
        <f t="shared" si="196"/>
        <v>203.6</v>
      </c>
      <c r="Y1457" s="64"/>
      <c r="Z1457" s="100">
        <v>2</v>
      </c>
      <c r="AA1457" s="62" t="s">
        <v>4</v>
      </c>
      <c r="AB1457" s="62"/>
      <c r="AC1457" s="50" t="s">
        <v>1949</v>
      </c>
      <c r="AD1457" s="64">
        <f t="shared" si="193"/>
        <v>20</v>
      </c>
      <c r="AE1457" s="62" t="s">
        <v>4</v>
      </c>
      <c r="AF1457" s="64">
        <f t="shared" si="194"/>
        <v>40</v>
      </c>
      <c r="AG1457" s="71">
        <f t="shared" si="183"/>
        <v>0</v>
      </c>
    </row>
    <row r="1458" spans="6:33" ht="15.75">
      <c r="H1458" s="51" t="s">
        <v>2003</v>
      </c>
      <c r="K1458" s="64">
        <f>SUM(K1453:K1456)</f>
        <v>593.54739999999993</v>
      </c>
      <c r="M1458" s="131">
        <v>10.75</v>
      </c>
      <c r="N1458" s="62" t="s">
        <v>534</v>
      </c>
      <c r="O1458" s="120" t="s">
        <v>1974</v>
      </c>
      <c r="P1458" s="64">
        <f>P1441</f>
        <v>287</v>
      </c>
      <c r="Q1458" s="62" t="s">
        <v>534</v>
      </c>
      <c r="R1458" s="64">
        <f>P1458*M1458</f>
        <v>3085.25</v>
      </c>
      <c r="S1458" s="100">
        <v>4</v>
      </c>
      <c r="T1458" s="62" t="s">
        <v>4</v>
      </c>
      <c r="U1458" s="50" t="s">
        <v>1948</v>
      </c>
      <c r="V1458" s="64">
        <f t="shared" si="195"/>
        <v>30</v>
      </c>
      <c r="W1458" s="62" t="s">
        <v>4</v>
      </c>
      <c r="X1458" s="64">
        <f t="shared" si="196"/>
        <v>120</v>
      </c>
      <c r="Y1458" s="64"/>
      <c r="Z1458" s="100">
        <v>4</v>
      </c>
      <c r="AA1458" s="62" t="s">
        <v>4</v>
      </c>
      <c r="AB1458" s="62"/>
      <c r="AC1458" s="50" t="s">
        <v>1951</v>
      </c>
      <c r="AD1458" s="64">
        <f t="shared" si="193"/>
        <v>15</v>
      </c>
      <c r="AE1458" s="62" t="s">
        <v>4</v>
      </c>
      <c r="AF1458" s="64">
        <f t="shared" si="194"/>
        <v>60</v>
      </c>
      <c r="AG1458" s="71">
        <f t="shared" si="183"/>
        <v>0</v>
      </c>
    </row>
    <row r="1459" spans="6:33" ht="15.75">
      <c r="K1459" s="59" t="s">
        <v>21</v>
      </c>
      <c r="M1459" s="131">
        <v>0.99199999999999999</v>
      </c>
      <c r="N1459" s="62" t="s">
        <v>534</v>
      </c>
      <c r="O1459" s="50" t="s">
        <v>1936</v>
      </c>
      <c r="P1459" s="64">
        <f t="shared" ref="P1459:P1469" si="197">P1442</f>
        <v>287</v>
      </c>
      <c r="Q1459" s="62" t="s">
        <v>534</v>
      </c>
      <c r="R1459" s="64">
        <f t="shared" ref="R1459:R1469" si="198">P1459*M1459</f>
        <v>284.70400000000001</v>
      </c>
      <c r="S1459" s="100">
        <v>4</v>
      </c>
      <c r="T1459" s="62" t="s">
        <v>4</v>
      </c>
      <c r="U1459" s="50" t="s">
        <v>1949</v>
      </c>
      <c r="V1459" s="64">
        <f t="shared" si="195"/>
        <v>20</v>
      </c>
      <c r="W1459" s="62" t="s">
        <v>4</v>
      </c>
      <c r="X1459" s="64">
        <f t="shared" si="196"/>
        <v>80</v>
      </c>
      <c r="Y1459" s="64"/>
      <c r="Z1459" s="100">
        <v>1.01</v>
      </c>
      <c r="AA1459" s="62" t="s">
        <v>306</v>
      </c>
      <c r="AB1459" s="62"/>
      <c r="AC1459" s="50" t="s">
        <v>1952</v>
      </c>
      <c r="AD1459" s="64">
        <f t="shared" si="193"/>
        <v>2156</v>
      </c>
      <c r="AE1459" s="62" t="s">
        <v>306</v>
      </c>
      <c r="AF1459" s="64">
        <f t="shared" si="194"/>
        <v>2177.56</v>
      </c>
      <c r="AG1459" s="71">
        <f t="shared" si="183"/>
        <v>0</v>
      </c>
    </row>
    <row r="1460" spans="6:33" ht="15.75">
      <c r="H1460" s="66" t="s">
        <v>2004</v>
      </c>
      <c r="I1460" s="65"/>
      <c r="J1460" s="110"/>
      <c r="K1460" s="63">
        <f>K1458/6.77</f>
        <v>87.673175775480047</v>
      </c>
      <c r="M1460" s="131">
        <v>0</v>
      </c>
      <c r="N1460" s="62" t="s">
        <v>534</v>
      </c>
      <c r="O1460" s="50" t="s">
        <v>1936</v>
      </c>
      <c r="P1460" s="64">
        <f t="shared" si="197"/>
        <v>287</v>
      </c>
      <c r="Q1460" s="62" t="s">
        <v>534</v>
      </c>
      <c r="R1460" s="64">
        <f t="shared" si="198"/>
        <v>0</v>
      </c>
      <c r="S1460" s="100">
        <v>4</v>
      </c>
      <c r="T1460" s="62" t="s">
        <v>4</v>
      </c>
      <c r="U1460" s="50" t="s">
        <v>1951</v>
      </c>
      <c r="V1460" s="64">
        <f t="shared" si="195"/>
        <v>15</v>
      </c>
      <c r="W1460" s="62" t="s">
        <v>4</v>
      </c>
      <c r="X1460" s="64">
        <f t="shared" si="196"/>
        <v>60</v>
      </c>
      <c r="Y1460" s="64"/>
      <c r="Z1460" s="56"/>
      <c r="AA1460" s="53"/>
      <c r="AB1460" s="53"/>
      <c r="AC1460" s="50" t="s">
        <v>1954</v>
      </c>
      <c r="AE1460" s="57"/>
      <c r="AF1460" s="64">
        <v>0.84</v>
      </c>
      <c r="AG1460" s="71">
        <f t="shared" si="183"/>
        <v>0</v>
      </c>
    </row>
    <row r="1461" spans="6:33" ht="15.75">
      <c r="F1461" s="50" t="s">
        <v>150</v>
      </c>
      <c r="M1461" s="131">
        <v>0</v>
      </c>
      <c r="N1461" s="62" t="s">
        <v>534</v>
      </c>
      <c r="O1461" s="50" t="s">
        <v>1936</v>
      </c>
      <c r="P1461" s="64">
        <f t="shared" si="197"/>
        <v>287</v>
      </c>
      <c r="Q1461" s="62" t="s">
        <v>534</v>
      </c>
      <c r="R1461" s="64">
        <f t="shared" si="198"/>
        <v>0</v>
      </c>
      <c r="S1461" s="100">
        <v>1.26</v>
      </c>
      <c r="T1461" s="62" t="s">
        <v>306</v>
      </c>
      <c r="U1461" s="50" t="s">
        <v>1952</v>
      </c>
      <c r="V1461" s="64">
        <f t="shared" si="195"/>
        <v>2156</v>
      </c>
      <c r="W1461" s="62" t="s">
        <v>306</v>
      </c>
      <c r="X1461" s="64">
        <f t="shared" si="196"/>
        <v>2716.56</v>
      </c>
      <c r="Y1461" s="64"/>
      <c r="Z1461" s="56"/>
      <c r="AC1461" s="61" t="s">
        <v>1956</v>
      </c>
      <c r="AF1461" s="63">
        <f>SUM(AF1448:AF1460)</f>
        <v>5426.3364000000001</v>
      </c>
      <c r="AG1461" s="71">
        <f t="shared" si="183"/>
        <v>0</v>
      </c>
    </row>
    <row r="1462" spans="6:33" ht="15.75">
      <c r="K1462" s="59" t="s">
        <v>156</v>
      </c>
      <c r="M1462" s="131">
        <v>1.89</v>
      </c>
      <c r="N1462" s="62" t="s">
        <v>533</v>
      </c>
      <c r="O1462" s="50" t="s">
        <v>1940</v>
      </c>
      <c r="P1462" s="97">
        <f t="shared" si="197"/>
        <v>208.8</v>
      </c>
      <c r="Q1462" s="62" t="s">
        <v>533</v>
      </c>
      <c r="R1462" s="64">
        <f t="shared" si="198"/>
        <v>394.63200000000001</v>
      </c>
      <c r="T1462" s="53"/>
      <c r="U1462" s="50" t="s">
        <v>1954</v>
      </c>
      <c r="W1462" s="57"/>
      <c r="X1462" s="64">
        <v>0.14000000000000001</v>
      </c>
      <c r="Y1462" s="64"/>
      <c r="AG1462" s="71">
        <f t="shared" si="183"/>
        <v>0</v>
      </c>
    </row>
    <row r="1463" spans="6:33" ht="15.75">
      <c r="G1463" s="62" t="s">
        <v>520</v>
      </c>
      <c r="H1463" s="50" t="s">
        <v>2005</v>
      </c>
      <c r="M1463" s="131">
        <v>8</v>
      </c>
      <c r="N1463" s="62" t="s">
        <v>303</v>
      </c>
      <c r="O1463" s="120" t="s">
        <v>1975</v>
      </c>
      <c r="P1463" s="64">
        <f t="shared" si="197"/>
        <v>28.6</v>
      </c>
      <c r="Q1463" s="62" t="s">
        <v>303</v>
      </c>
      <c r="R1463" s="64">
        <f t="shared" si="198"/>
        <v>228.8</v>
      </c>
      <c r="U1463" s="61" t="s">
        <v>1956</v>
      </c>
      <c r="X1463" s="63" t="e">
        <f>SUM(X1450:X1462)</f>
        <v>#VALUE!</v>
      </c>
      <c r="Y1463" s="63"/>
      <c r="AG1463" s="71">
        <f t="shared" si="183"/>
        <v>0</v>
      </c>
    </row>
    <row r="1464" spans="6:33" ht="15.75">
      <c r="G1464" s="62" t="s">
        <v>21</v>
      </c>
      <c r="H1464" s="59" t="s">
        <v>21</v>
      </c>
      <c r="M1464" s="131">
        <v>0</v>
      </c>
      <c r="N1464" s="62" t="s">
        <v>4</v>
      </c>
      <c r="O1464" s="120" t="s">
        <v>1976</v>
      </c>
      <c r="P1464" s="64">
        <f t="shared" si="197"/>
        <v>63.5</v>
      </c>
      <c r="Q1464" s="62" t="s">
        <v>4</v>
      </c>
      <c r="R1464" s="64">
        <f t="shared" si="198"/>
        <v>0</v>
      </c>
      <c r="AG1464" s="71">
        <f t="shared" si="183"/>
        <v>0</v>
      </c>
    </row>
    <row r="1465" spans="6:33" ht="15.75">
      <c r="F1465" s="131">
        <v>7.0000000000000001E-3</v>
      </c>
      <c r="G1465" s="62" t="s">
        <v>313</v>
      </c>
      <c r="H1465" s="50" t="s">
        <v>2000</v>
      </c>
      <c r="I1465" s="64">
        <f>K49</f>
        <v>3909.1000000000004</v>
      </c>
      <c r="J1465" s="50" t="s">
        <v>313</v>
      </c>
      <c r="K1465" s="64">
        <f>(F1465*I1465)</f>
        <v>27.363700000000001</v>
      </c>
      <c r="M1465" s="131">
        <v>0</v>
      </c>
      <c r="N1465" s="62" t="s">
        <v>4</v>
      </c>
      <c r="O1465" s="120" t="s">
        <v>1969</v>
      </c>
      <c r="P1465" s="64">
        <f t="shared" si="197"/>
        <v>50.9</v>
      </c>
      <c r="Q1465" s="62" t="s">
        <v>4</v>
      </c>
      <c r="R1465" s="64">
        <f t="shared" si="198"/>
        <v>0</v>
      </c>
      <c r="AG1465" s="71">
        <f t="shared" si="183"/>
        <v>0</v>
      </c>
    </row>
    <row r="1466" spans="6:33" ht="19.5">
      <c r="F1466" s="64">
        <v>0.2</v>
      </c>
      <c r="G1466" s="62" t="s">
        <v>345</v>
      </c>
      <c r="H1466" s="50" t="s">
        <v>2001</v>
      </c>
      <c r="I1466" s="64">
        <f>C10</f>
        <v>1076.5999999999999</v>
      </c>
      <c r="J1466" s="50" t="s">
        <v>345</v>
      </c>
      <c r="K1466" s="64">
        <f>(F1466*I1466)</f>
        <v>215.32</v>
      </c>
      <c r="M1466" s="131">
        <v>0</v>
      </c>
      <c r="N1466" s="62" t="s">
        <v>4</v>
      </c>
      <c r="O1466" s="50" t="s">
        <v>1948</v>
      </c>
      <c r="P1466" s="64">
        <f t="shared" si="197"/>
        <v>30</v>
      </c>
      <c r="Q1466" s="62" t="s">
        <v>4</v>
      </c>
      <c r="R1466" s="64">
        <f t="shared" si="198"/>
        <v>0</v>
      </c>
      <c r="T1466" s="53"/>
      <c r="U1466" s="208" t="s">
        <v>2006</v>
      </c>
      <c r="V1466" s="125" t="s">
        <v>1986</v>
      </c>
      <c r="W1466" s="55"/>
      <c r="AG1466" s="71">
        <f t="shared" si="183"/>
        <v>0</v>
      </c>
    </row>
    <row r="1467" spans="6:33" ht="15.75">
      <c r="F1467" s="64">
        <v>0.2</v>
      </c>
      <c r="G1467" s="62" t="s">
        <v>345</v>
      </c>
      <c r="H1467" s="50" t="s">
        <v>1198</v>
      </c>
      <c r="I1467" s="64">
        <f>C12</f>
        <v>702.8</v>
      </c>
      <c r="J1467" s="50" t="s">
        <v>345</v>
      </c>
      <c r="K1467" s="64">
        <f>(F1467*I1467)</f>
        <v>140.56</v>
      </c>
      <c r="M1467" s="131">
        <v>0</v>
      </c>
      <c r="N1467" s="62" t="s">
        <v>4</v>
      </c>
      <c r="O1467" s="50" t="s">
        <v>1949</v>
      </c>
      <c r="P1467" s="64">
        <f t="shared" si="197"/>
        <v>20</v>
      </c>
      <c r="Q1467" s="62" t="s">
        <v>4</v>
      </c>
      <c r="R1467" s="64">
        <f t="shared" si="198"/>
        <v>0</v>
      </c>
      <c r="S1467" s="100">
        <v>6.81</v>
      </c>
      <c r="T1467" s="62" t="s">
        <v>534</v>
      </c>
      <c r="U1467" s="50" t="s">
        <v>1936</v>
      </c>
      <c r="V1467" s="64">
        <f>V1443</f>
        <v>287</v>
      </c>
      <c r="W1467" s="62" t="s">
        <v>534</v>
      </c>
      <c r="X1467" s="64">
        <f>V1467*S1467</f>
        <v>1954.4699999999998</v>
      </c>
      <c r="Y1467" s="64"/>
      <c r="AG1467" s="71">
        <f t="shared" si="183"/>
        <v>0</v>
      </c>
    </row>
    <row r="1468" spans="6:33" ht="15.75">
      <c r="H1468" s="50" t="s">
        <v>337</v>
      </c>
      <c r="K1468" s="52">
        <v>5</v>
      </c>
      <c r="M1468" s="131">
        <v>0</v>
      </c>
      <c r="N1468" s="62" t="s">
        <v>4</v>
      </c>
      <c r="O1468" s="50" t="s">
        <v>1951</v>
      </c>
      <c r="P1468" s="64">
        <f t="shared" si="197"/>
        <v>15</v>
      </c>
      <c r="Q1468" s="62" t="s">
        <v>4</v>
      </c>
      <c r="R1468" s="64">
        <f t="shared" si="198"/>
        <v>0</v>
      </c>
      <c r="S1468" s="100">
        <v>0.77100000000000002</v>
      </c>
      <c r="T1468" s="62" t="s">
        <v>533</v>
      </c>
      <c r="U1468" s="50" t="s">
        <v>1940</v>
      </c>
      <c r="V1468" s="64">
        <f>V1444</f>
        <v>208.8</v>
      </c>
      <c r="W1468" s="62" t="s">
        <v>534</v>
      </c>
      <c r="X1468" s="64">
        <f>V1468*S1468</f>
        <v>160.98480000000001</v>
      </c>
      <c r="Y1468" s="64"/>
      <c r="AG1468" s="71">
        <f t="shared" si="183"/>
        <v>0</v>
      </c>
    </row>
    <row r="1469" spans="6:33" ht="15.75">
      <c r="K1469" s="59" t="s">
        <v>21</v>
      </c>
      <c r="M1469" s="131">
        <v>1.89</v>
      </c>
      <c r="N1469" s="62" t="s">
        <v>306</v>
      </c>
      <c r="O1469" s="50" t="s">
        <v>1952</v>
      </c>
      <c r="P1469" s="64">
        <f t="shared" si="197"/>
        <v>2156</v>
      </c>
      <c r="Q1469" s="62" t="s">
        <v>306</v>
      </c>
      <c r="R1469" s="64">
        <f t="shared" si="198"/>
        <v>4074.8399999999997</v>
      </c>
      <c r="S1469" s="100">
        <v>0.77100000000000002</v>
      </c>
      <c r="T1469" s="62" t="s">
        <v>533</v>
      </c>
      <c r="U1469" s="50" t="s">
        <v>1952</v>
      </c>
      <c r="V1469" s="64">
        <f>V1445</f>
        <v>2156</v>
      </c>
      <c r="W1469" s="62" t="s">
        <v>534</v>
      </c>
      <c r="X1469" s="64">
        <f>V1469*S1469</f>
        <v>1662.2760000000001</v>
      </c>
      <c r="Y1469" s="64"/>
      <c r="AG1469" s="71">
        <f t="shared" si="183"/>
        <v>0</v>
      </c>
    </row>
    <row r="1470" spans="6:33" ht="15.75">
      <c r="H1470" s="51" t="s">
        <v>2003</v>
      </c>
      <c r="K1470" s="64">
        <f>SUM(K1465:K1468)</f>
        <v>388.24369999999999</v>
      </c>
      <c r="N1470" s="53"/>
      <c r="O1470" s="50" t="s">
        <v>1954</v>
      </c>
      <c r="Q1470" s="57"/>
      <c r="R1470" s="64">
        <v>0.28000000000000003</v>
      </c>
      <c r="S1470" s="100"/>
      <c r="T1470" s="62"/>
      <c r="U1470" s="50"/>
      <c r="V1470" s="64"/>
      <c r="W1470" s="62"/>
      <c r="X1470" s="64">
        <f>SUM(X1467:X1469)</f>
        <v>3777.7308000000003</v>
      </c>
      <c r="Y1470" s="64"/>
      <c r="AG1470" s="71">
        <f t="shared" ref="AG1470:AG1533" si="199">AI1470</f>
        <v>0</v>
      </c>
    </row>
    <row r="1471" spans="6:33" ht="15.75">
      <c r="K1471" s="59" t="s">
        <v>21</v>
      </c>
      <c r="R1471" s="63">
        <f>SUM(R1458:R1470)</f>
        <v>8068.5060000000003</v>
      </c>
      <c r="S1471" s="100"/>
      <c r="T1471" s="62"/>
      <c r="U1471" s="61" t="s">
        <v>1989</v>
      </c>
      <c r="V1471" s="64"/>
      <c r="W1471" s="62"/>
      <c r="X1471" s="63">
        <f>X1470/S1469</f>
        <v>4899.7805447470819</v>
      </c>
      <c r="Y1471" s="63"/>
      <c r="AG1471" s="71">
        <f t="shared" si="199"/>
        <v>0</v>
      </c>
    </row>
    <row r="1472" spans="6:33" ht="15.75">
      <c r="H1472" s="66" t="s">
        <v>2004</v>
      </c>
      <c r="I1472" s="65"/>
      <c r="J1472" s="110"/>
      <c r="K1472" s="63">
        <f>K1470/6.77</f>
        <v>57.347666174298375</v>
      </c>
      <c r="AG1472" s="71">
        <f t="shared" si="199"/>
        <v>0</v>
      </c>
    </row>
    <row r="1473" spans="6:33" ht="15.75">
      <c r="K1473" s="59" t="s">
        <v>156</v>
      </c>
      <c r="AG1473" s="71">
        <f t="shared" si="199"/>
        <v>0</v>
      </c>
    </row>
    <row r="1474" spans="6:33" ht="19.5">
      <c r="K1474" s="59"/>
      <c r="N1474" s="53"/>
      <c r="O1474" s="208" t="s">
        <v>2007</v>
      </c>
      <c r="P1474" s="2119" t="s">
        <v>1986</v>
      </c>
      <c r="Q1474" s="2119"/>
      <c r="R1474" s="2119"/>
      <c r="S1474" s="2106"/>
      <c r="T1474" s="2106"/>
      <c r="U1474" s="2106"/>
      <c r="V1474" s="245"/>
      <c r="W1474" s="245"/>
      <c r="AG1474" s="71">
        <f t="shared" si="199"/>
        <v>0</v>
      </c>
    </row>
    <row r="1475" spans="6:33" ht="15.75">
      <c r="K1475" s="59"/>
      <c r="M1475" s="131">
        <v>4.67</v>
      </c>
      <c r="N1475" s="62" t="s">
        <v>534</v>
      </c>
      <c r="O1475" s="120" t="s">
        <v>1974</v>
      </c>
      <c r="P1475" s="64">
        <f>P1458</f>
        <v>287</v>
      </c>
      <c r="Q1475" s="62" t="s">
        <v>534</v>
      </c>
      <c r="R1475" s="64">
        <f>P1475*M1475</f>
        <v>1340.29</v>
      </c>
      <c r="S1475" s="131"/>
      <c r="T1475" s="62"/>
      <c r="U1475" s="50"/>
      <c r="V1475" s="64"/>
      <c r="W1475" s="62"/>
      <c r="X1475" s="64"/>
      <c r="Y1475" s="64"/>
      <c r="AG1475" s="71">
        <f t="shared" si="199"/>
        <v>0</v>
      </c>
    </row>
    <row r="1476" spans="6:33" ht="15.75">
      <c r="G1476" s="62" t="s">
        <v>514</v>
      </c>
      <c r="H1476" s="50" t="s">
        <v>2008</v>
      </c>
      <c r="K1476" s="59"/>
      <c r="M1476" s="131">
        <v>0.54</v>
      </c>
      <c r="N1476" s="62" t="s">
        <v>533</v>
      </c>
      <c r="O1476" s="50" t="s">
        <v>1940</v>
      </c>
      <c r="P1476" s="97">
        <f>P1462</f>
        <v>208.8</v>
      </c>
      <c r="Q1476" s="62" t="s">
        <v>534</v>
      </c>
      <c r="R1476" s="64">
        <f>P1476*M1476</f>
        <v>112.75200000000001</v>
      </c>
      <c r="S1476" s="131"/>
      <c r="T1476" s="62"/>
      <c r="U1476" s="50"/>
      <c r="V1476" s="64"/>
      <c r="W1476" s="62"/>
      <c r="X1476" s="64"/>
      <c r="Y1476" s="64"/>
      <c r="AG1476" s="71">
        <f t="shared" si="199"/>
        <v>0</v>
      </c>
    </row>
    <row r="1477" spans="6:33" ht="15.75">
      <c r="G1477" s="62" t="s">
        <v>21</v>
      </c>
      <c r="H1477" s="59" t="s">
        <v>21</v>
      </c>
      <c r="K1477" s="59"/>
      <c r="M1477" s="131">
        <v>0.54</v>
      </c>
      <c r="N1477" s="62" t="s">
        <v>533</v>
      </c>
      <c r="O1477" s="50" t="s">
        <v>1952</v>
      </c>
      <c r="P1477" s="64">
        <f>P1469</f>
        <v>2156</v>
      </c>
      <c r="Q1477" s="62" t="s">
        <v>534</v>
      </c>
      <c r="R1477" s="64">
        <f>P1477*M1477</f>
        <v>1164.24</v>
      </c>
      <c r="S1477" s="131"/>
      <c r="T1477" s="62"/>
      <c r="U1477" s="50"/>
      <c r="V1477" s="64"/>
      <c r="W1477" s="62"/>
      <c r="X1477" s="64"/>
      <c r="Y1477" s="64"/>
      <c r="AG1477" s="71">
        <f t="shared" si="199"/>
        <v>0</v>
      </c>
    </row>
    <row r="1478" spans="6:33" ht="15.75">
      <c r="F1478" s="131">
        <v>4.7000000000000002E-3</v>
      </c>
      <c r="G1478" s="62" t="s">
        <v>313</v>
      </c>
      <c r="H1478" s="50" t="s">
        <v>2000</v>
      </c>
      <c r="I1478" s="52">
        <f>K49</f>
        <v>3909.1000000000004</v>
      </c>
      <c r="J1478" s="50" t="s">
        <v>313</v>
      </c>
      <c r="K1478" s="64">
        <f>(F1478*I1478)</f>
        <v>18.372770000000003</v>
      </c>
      <c r="M1478" s="131"/>
      <c r="N1478" s="62"/>
      <c r="O1478" s="50"/>
      <c r="P1478" s="64"/>
      <c r="Q1478" s="62"/>
      <c r="R1478" s="64">
        <f>SUM(R1475:R1477)</f>
        <v>2617.2820000000002</v>
      </c>
      <c r="S1478" s="131"/>
      <c r="T1478" s="62"/>
      <c r="U1478" s="50"/>
      <c r="W1478" s="57"/>
      <c r="X1478" s="64"/>
      <c r="Y1478" s="64"/>
      <c r="AG1478" s="71">
        <f t="shared" si="199"/>
        <v>0</v>
      </c>
    </row>
    <row r="1479" spans="6:33" ht="15.75">
      <c r="F1479" s="64">
        <v>0.15</v>
      </c>
      <c r="G1479" s="62" t="s">
        <v>345</v>
      </c>
      <c r="H1479" s="50" t="s">
        <v>2001</v>
      </c>
      <c r="I1479" s="52">
        <f>C10</f>
        <v>1076.5999999999999</v>
      </c>
      <c r="J1479" s="50" t="s">
        <v>345</v>
      </c>
      <c r="K1479" s="64">
        <f>(F1479*I1479)</f>
        <v>161.48999999999998</v>
      </c>
      <c r="M1479" s="131"/>
      <c r="N1479" s="62"/>
      <c r="O1479" s="61" t="s">
        <v>1989</v>
      </c>
      <c r="P1479" s="64"/>
      <c r="Q1479" s="62"/>
      <c r="R1479" s="63">
        <f>R1478/M1477</f>
        <v>4846.8185185185184</v>
      </c>
      <c r="S1479" s="131"/>
      <c r="T1479" s="62"/>
      <c r="U1479" s="50"/>
      <c r="V1479" s="64"/>
      <c r="W1479" s="62"/>
      <c r="X1479" s="63"/>
      <c r="Y1479" s="63"/>
      <c r="AG1479" s="71">
        <f t="shared" si="199"/>
        <v>0</v>
      </c>
    </row>
    <row r="1480" spans="6:33" ht="15.75">
      <c r="F1480" s="64">
        <v>0.15</v>
      </c>
      <c r="G1480" s="62" t="s">
        <v>345</v>
      </c>
      <c r="H1480" s="50" t="s">
        <v>1198</v>
      </c>
      <c r="I1480" s="52">
        <f>C12</f>
        <v>702.8</v>
      </c>
      <c r="J1480" s="50" t="s">
        <v>345</v>
      </c>
      <c r="K1480" s="64">
        <f>(F1480*I1480)</f>
        <v>105.41999999999999</v>
      </c>
      <c r="M1480" s="131"/>
      <c r="N1480" s="62"/>
      <c r="O1480" s="50"/>
      <c r="P1480" s="64"/>
      <c r="Q1480" s="62"/>
      <c r="R1480" s="64"/>
      <c r="AG1480" s="71">
        <f t="shared" si="199"/>
        <v>0</v>
      </c>
    </row>
    <row r="1481" spans="6:33" ht="19.5">
      <c r="H1481" s="50" t="s">
        <v>337</v>
      </c>
      <c r="K1481" s="52">
        <v>5</v>
      </c>
      <c r="N1481" s="53"/>
      <c r="O1481" s="208" t="s">
        <v>2009</v>
      </c>
      <c r="P1481" s="125" t="s">
        <v>1986</v>
      </c>
      <c r="Q1481" s="55"/>
      <c r="AG1481" s="71">
        <f t="shared" si="199"/>
        <v>0</v>
      </c>
    </row>
    <row r="1482" spans="6:33" ht="15.75">
      <c r="K1482" s="59" t="s">
        <v>21</v>
      </c>
      <c r="M1482" s="131">
        <v>7.01</v>
      </c>
      <c r="N1482" s="62" t="s">
        <v>534</v>
      </c>
      <c r="O1482" s="120" t="s">
        <v>1974</v>
      </c>
      <c r="P1482" s="64">
        <f>P1475</f>
        <v>287</v>
      </c>
      <c r="Q1482" s="62" t="s">
        <v>534</v>
      </c>
      <c r="R1482" s="64">
        <f>P1482*M1482</f>
        <v>2011.87</v>
      </c>
      <c r="S1482" s="56">
        <f>0.3028*0.3028</f>
        <v>9.1687840000000007E-2</v>
      </c>
      <c r="T1482" s="52">
        <f>60*S1482</f>
        <v>5.5012704000000001</v>
      </c>
      <c r="U1482" s="52">
        <f>4.58/10</f>
        <v>0.45800000000000002</v>
      </c>
      <c r="AG1482" s="71">
        <f t="shared" si="199"/>
        <v>0</v>
      </c>
    </row>
    <row r="1483" spans="6:33" ht="15.75">
      <c r="H1483" s="51" t="s">
        <v>2003</v>
      </c>
      <c r="K1483" s="64">
        <f>SUM(K1478:K1481)</f>
        <v>290.28276999999997</v>
      </c>
      <c r="M1483" s="131">
        <v>0.81</v>
      </c>
      <c r="N1483" s="62" t="s">
        <v>533</v>
      </c>
      <c r="O1483" s="50" t="s">
        <v>1940</v>
      </c>
      <c r="P1483" s="97">
        <f>P1476</f>
        <v>208.8</v>
      </c>
      <c r="Q1483" s="62" t="s">
        <v>534</v>
      </c>
      <c r="R1483" s="64">
        <f>P1483*M1483</f>
        <v>169.12800000000001</v>
      </c>
      <c r="AG1483" s="71">
        <f t="shared" si="199"/>
        <v>0</v>
      </c>
    </row>
    <row r="1484" spans="6:33" ht="15.75">
      <c r="K1484" s="59" t="s">
        <v>21</v>
      </c>
      <c r="M1484" s="131">
        <v>0.81</v>
      </c>
      <c r="N1484" s="62" t="s">
        <v>533</v>
      </c>
      <c r="O1484" s="50" t="s">
        <v>1952</v>
      </c>
      <c r="P1484" s="64">
        <f>P1477</f>
        <v>2156</v>
      </c>
      <c r="Q1484" s="62" t="s">
        <v>534</v>
      </c>
      <c r="R1484" s="64">
        <f>P1484*M1484</f>
        <v>1746.3600000000001</v>
      </c>
      <c r="AG1484" s="71">
        <f t="shared" si="199"/>
        <v>0</v>
      </c>
    </row>
    <row r="1485" spans="6:33" ht="15.75">
      <c r="H1485" s="66" t="s">
        <v>2004</v>
      </c>
      <c r="I1485" s="65"/>
      <c r="J1485" s="110"/>
      <c r="K1485" s="63">
        <f>K1483/6.77</f>
        <v>42.877809453471194</v>
      </c>
      <c r="M1485" s="131"/>
      <c r="N1485" s="62"/>
      <c r="O1485" s="50"/>
      <c r="P1485" s="64"/>
      <c r="Q1485" s="62"/>
      <c r="R1485" s="64">
        <f>SUM(R1482:R1484)+0.68</f>
        <v>3928.038</v>
      </c>
      <c r="AG1485" s="71">
        <f t="shared" si="199"/>
        <v>0</v>
      </c>
    </row>
    <row r="1486" spans="6:33" ht="15.75">
      <c r="K1486" s="59" t="s">
        <v>156</v>
      </c>
      <c r="M1486" s="131"/>
      <c r="N1486" s="62"/>
      <c r="O1486" s="61" t="s">
        <v>1989</v>
      </c>
      <c r="P1486" s="64"/>
      <c r="Q1486" s="62"/>
      <c r="R1486" s="63">
        <f>R1485/M1484</f>
        <v>4849.4296296296297</v>
      </c>
      <c r="AG1486" s="71">
        <f t="shared" si="199"/>
        <v>0</v>
      </c>
    </row>
    <row r="1487" spans="6:33" ht="15.75">
      <c r="K1487" s="59"/>
      <c r="N1487" s="53"/>
      <c r="O1487" s="50"/>
      <c r="Q1487" s="57"/>
      <c r="R1487" s="64"/>
      <c r="AG1487" s="71">
        <f t="shared" si="199"/>
        <v>0</v>
      </c>
    </row>
    <row r="1488" spans="6:33" ht="19.5">
      <c r="F1488" s="101">
        <v>37.1</v>
      </c>
      <c r="G1488" s="62" t="s">
        <v>249</v>
      </c>
      <c r="H1488" s="50" t="s">
        <v>2010</v>
      </c>
      <c r="N1488" s="53"/>
      <c r="O1488" s="208" t="s">
        <v>2011</v>
      </c>
      <c r="Q1488" s="55"/>
      <c r="AG1488" s="71">
        <f t="shared" si="199"/>
        <v>0</v>
      </c>
    </row>
    <row r="1489" spans="6:33" ht="15.75">
      <c r="H1489" s="59" t="s">
        <v>21</v>
      </c>
      <c r="M1489" s="131">
        <v>4.42</v>
      </c>
      <c r="N1489" s="62" t="s">
        <v>534</v>
      </c>
      <c r="O1489" s="120" t="s">
        <v>1974</v>
      </c>
      <c r="P1489" s="64">
        <f>P1458</f>
        <v>287</v>
      </c>
      <c r="Q1489" s="62" t="s">
        <v>534</v>
      </c>
      <c r="R1489" s="64">
        <f>P1489*M1489</f>
        <v>1268.54</v>
      </c>
      <c r="AG1489" s="71">
        <f t="shared" si="199"/>
        <v>0</v>
      </c>
    </row>
    <row r="1490" spans="6:33" ht="15.75">
      <c r="F1490" s="64">
        <v>0.09</v>
      </c>
      <c r="G1490" s="62" t="s">
        <v>151</v>
      </c>
      <c r="H1490" s="50" t="s">
        <v>315</v>
      </c>
      <c r="I1490" s="64">
        <f>(C84)</f>
        <v>1297</v>
      </c>
      <c r="J1490" s="50" t="s">
        <v>151</v>
      </c>
      <c r="K1490" s="64">
        <f>(F1490*I1490)</f>
        <v>116.72999999999999</v>
      </c>
      <c r="M1490" s="131">
        <v>4.72</v>
      </c>
      <c r="N1490" s="62" t="s">
        <v>534</v>
      </c>
      <c r="O1490" s="120" t="s">
        <v>1974</v>
      </c>
      <c r="P1490" s="64">
        <f t="shared" ref="P1490:P1500" si="200">P1459</f>
        <v>287</v>
      </c>
      <c r="Q1490" s="62" t="s">
        <v>534</v>
      </c>
      <c r="R1490" s="64">
        <f t="shared" ref="R1490:R1500" si="201">P1490*M1490</f>
        <v>1354.6399999999999</v>
      </c>
      <c r="AG1490" s="71">
        <f t="shared" si="199"/>
        <v>0</v>
      </c>
    </row>
    <row r="1491" spans="6:33" ht="15.75">
      <c r="F1491" s="64">
        <v>2.2000000000000002</v>
      </c>
      <c r="G1491" s="62" t="s">
        <v>153</v>
      </c>
      <c r="H1491" s="50" t="s">
        <v>234</v>
      </c>
      <c r="I1491" s="64">
        <f>(C11)</f>
        <v>1005.1999999999999</v>
      </c>
      <c r="J1491" s="50" t="s">
        <v>153</v>
      </c>
      <c r="K1491" s="64">
        <f>(F1491*I1491)</f>
        <v>2211.44</v>
      </c>
      <c r="M1491" s="131">
        <v>9.06</v>
      </c>
      <c r="N1491" s="62" t="s">
        <v>534</v>
      </c>
      <c r="O1491" s="50" t="s">
        <v>1936</v>
      </c>
      <c r="P1491" s="64">
        <f t="shared" si="200"/>
        <v>287</v>
      </c>
      <c r="Q1491" s="62" t="s">
        <v>534</v>
      </c>
      <c r="R1491" s="64">
        <f t="shared" si="201"/>
        <v>2600.2200000000003</v>
      </c>
      <c r="AG1491" s="71">
        <f t="shared" si="199"/>
        <v>0</v>
      </c>
    </row>
    <row r="1492" spans="6:33" ht="15.75">
      <c r="F1492" s="64">
        <v>0.5</v>
      </c>
      <c r="G1492" s="62" t="s">
        <v>153</v>
      </c>
      <c r="H1492" s="50" t="s">
        <v>235</v>
      </c>
      <c r="I1492" s="64">
        <f>(C12)</f>
        <v>702.8</v>
      </c>
      <c r="J1492" s="50" t="s">
        <v>153</v>
      </c>
      <c r="K1492" s="64">
        <f>(F1492*I1492)</f>
        <v>351.4</v>
      </c>
      <c r="M1492" s="131">
        <v>1.58</v>
      </c>
      <c r="N1492" s="62" t="s">
        <v>534</v>
      </c>
      <c r="O1492" s="50" t="s">
        <v>1936</v>
      </c>
      <c r="P1492" s="64">
        <f t="shared" si="200"/>
        <v>287</v>
      </c>
      <c r="Q1492" s="62" t="s">
        <v>534</v>
      </c>
      <c r="R1492" s="64">
        <f t="shared" si="201"/>
        <v>453.46000000000004</v>
      </c>
      <c r="AG1492" s="71">
        <f t="shared" si="199"/>
        <v>0</v>
      </c>
    </row>
    <row r="1493" spans="6:33" ht="15.75">
      <c r="F1493" s="64">
        <v>3.8</v>
      </c>
      <c r="G1493" s="62" t="s">
        <v>153</v>
      </c>
      <c r="H1493" s="50" t="s">
        <v>236</v>
      </c>
      <c r="I1493" s="64">
        <f>(C13)</f>
        <v>576.79999999999995</v>
      </c>
      <c r="J1493" s="50" t="s">
        <v>153</v>
      </c>
      <c r="K1493" s="64">
        <f>(F1493*I1493)</f>
        <v>2191.8399999999997</v>
      </c>
      <c r="M1493" s="131">
        <v>1.65</v>
      </c>
      <c r="N1493" s="62" t="s">
        <v>533</v>
      </c>
      <c r="O1493" s="50" t="s">
        <v>1940</v>
      </c>
      <c r="P1493" s="64">
        <f t="shared" si="200"/>
        <v>208.8</v>
      </c>
      <c r="Q1493" s="62" t="s">
        <v>533</v>
      </c>
      <c r="R1493" s="64">
        <f t="shared" si="201"/>
        <v>344.52</v>
      </c>
      <c r="AG1493" s="71">
        <f t="shared" si="199"/>
        <v>0</v>
      </c>
    </row>
    <row r="1494" spans="6:33" ht="15.75">
      <c r="G1494" s="62" t="s">
        <v>226</v>
      </c>
      <c r="H1494" s="50" t="s">
        <v>2012</v>
      </c>
      <c r="I1494" s="50" t="s">
        <v>150</v>
      </c>
      <c r="J1494" s="50" t="s">
        <v>226</v>
      </c>
      <c r="K1494" s="64">
        <v>1.5</v>
      </c>
      <c r="M1494" s="131">
        <v>12.74</v>
      </c>
      <c r="N1494" s="62" t="s">
        <v>303</v>
      </c>
      <c r="O1494" s="50" t="str">
        <f>O1463</f>
        <v>rubber beeding P-41/64</v>
      </c>
      <c r="P1494" s="64">
        <f t="shared" si="200"/>
        <v>28.6</v>
      </c>
      <c r="Q1494" s="62" t="s">
        <v>303</v>
      </c>
      <c r="R1494" s="64">
        <f t="shared" si="201"/>
        <v>364.36400000000003</v>
      </c>
      <c r="AG1494" s="71">
        <f t="shared" si="199"/>
        <v>0</v>
      </c>
    </row>
    <row r="1495" spans="6:33" ht="15.75">
      <c r="K1495" s="59" t="s">
        <v>21</v>
      </c>
      <c r="M1495" s="131">
        <v>12</v>
      </c>
      <c r="N1495" s="62" t="s">
        <v>4</v>
      </c>
      <c r="O1495" s="50" t="str">
        <f>O1464</f>
        <v>hinges 75mm x 30 mm P-41/77 b</v>
      </c>
      <c r="P1495" s="64">
        <f t="shared" si="200"/>
        <v>63.5</v>
      </c>
      <c r="Q1495" s="62" t="s">
        <v>4</v>
      </c>
      <c r="R1495" s="64">
        <f t="shared" si="201"/>
        <v>762</v>
      </c>
      <c r="AG1495" s="71">
        <f t="shared" si="199"/>
        <v>0</v>
      </c>
    </row>
    <row r="1496" spans="6:33" ht="15.75">
      <c r="H1496" s="50" t="s">
        <v>317</v>
      </c>
      <c r="K1496" s="64">
        <f>SUM(K1489:K1494)</f>
        <v>4872.91</v>
      </c>
      <c r="M1496" s="131">
        <v>6</v>
      </c>
      <c r="N1496" s="62" t="s">
        <v>4</v>
      </c>
      <c r="O1496" s="50" t="str">
        <f>O1465</f>
        <v>handle 150 mm long p-42 /80b</v>
      </c>
      <c r="P1496" s="64">
        <f t="shared" si="200"/>
        <v>50.9</v>
      </c>
      <c r="Q1496" s="62" t="s">
        <v>4</v>
      </c>
      <c r="R1496" s="64">
        <f t="shared" si="201"/>
        <v>305.39999999999998</v>
      </c>
      <c r="AG1496" s="71">
        <f t="shared" si="199"/>
        <v>0</v>
      </c>
    </row>
    <row r="1497" spans="6:33" ht="15.75">
      <c r="K1497" s="59" t="s">
        <v>21</v>
      </c>
      <c r="M1497" s="131">
        <v>6</v>
      </c>
      <c r="N1497" s="62" t="s">
        <v>4</v>
      </c>
      <c r="O1497" s="50" t="s">
        <v>1948</v>
      </c>
      <c r="P1497" s="64">
        <f t="shared" si="200"/>
        <v>30</v>
      </c>
      <c r="Q1497" s="62" t="s">
        <v>4</v>
      </c>
      <c r="R1497" s="64">
        <f t="shared" si="201"/>
        <v>180</v>
      </c>
      <c r="AG1497" s="71">
        <f t="shared" si="199"/>
        <v>0</v>
      </c>
    </row>
    <row r="1498" spans="6:33" ht="15.75">
      <c r="H1498" s="66" t="s">
        <v>155</v>
      </c>
      <c r="I1498" s="65"/>
      <c r="J1498" s="110"/>
      <c r="K1498" s="63">
        <f>(K1496/100)</f>
        <v>48.729099999999995</v>
      </c>
      <c r="M1498" s="131">
        <v>6</v>
      </c>
      <c r="N1498" s="62" t="s">
        <v>4</v>
      </c>
      <c r="O1498" s="50" t="s">
        <v>1949</v>
      </c>
      <c r="P1498" s="64">
        <f t="shared" si="200"/>
        <v>20</v>
      </c>
      <c r="Q1498" s="62" t="s">
        <v>4</v>
      </c>
      <c r="R1498" s="64">
        <f t="shared" si="201"/>
        <v>120</v>
      </c>
      <c r="AG1498" s="71">
        <f t="shared" si="199"/>
        <v>0</v>
      </c>
    </row>
    <row r="1499" spans="6:33" ht="15.75">
      <c r="K1499" s="59" t="s">
        <v>156</v>
      </c>
      <c r="M1499" s="131">
        <v>4</v>
      </c>
      <c r="N1499" s="62" t="s">
        <v>4</v>
      </c>
      <c r="O1499" s="50" t="s">
        <v>1951</v>
      </c>
      <c r="P1499" s="64">
        <f t="shared" si="200"/>
        <v>15</v>
      </c>
      <c r="Q1499" s="62" t="s">
        <v>4</v>
      </c>
      <c r="R1499" s="64">
        <f t="shared" si="201"/>
        <v>60</v>
      </c>
      <c r="AG1499" s="71">
        <f t="shared" si="199"/>
        <v>0</v>
      </c>
    </row>
    <row r="1500" spans="6:33" ht="15.75">
      <c r="F1500" s="51" t="s">
        <v>2013</v>
      </c>
      <c r="G1500" s="62" t="s">
        <v>249</v>
      </c>
      <c r="H1500" s="50" t="s">
        <v>2014</v>
      </c>
      <c r="M1500" s="131">
        <f>1.5*1.35</f>
        <v>2.0250000000000004</v>
      </c>
      <c r="N1500" s="62" t="s">
        <v>306</v>
      </c>
      <c r="O1500" s="50" t="s">
        <v>1952</v>
      </c>
      <c r="P1500" s="64">
        <f t="shared" si="200"/>
        <v>2156</v>
      </c>
      <c r="Q1500" s="62" t="s">
        <v>306</v>
      </c>
      <c r="R1500" s="64">
        <f t="shared" si="201"/>
        <v>4365.9000000000005</v>
      </c>
      <c r="AG1500" s="71">
        <f t="shared" si="199"/>
        <v>0</v>
      </c>
    </row>
    <row r="1501" spans="6:33" ht="15.75">
      <c r="H1501" s="50" t="s">
        <v>2015</v>
      </c>
      <c r="N1501" s="53"/>
      <c r="O1501" s="50" t="s">
        <v>1954</v>
      </c>
      <c r="Q1501" s="57"/>
      <c r="R1501" s="64">
        <v>0.31</v>
      </c>
      <c r="AG1501" s="71">
        <f t="shared" si="199"/>
        <v>0</v>
      </c>
    </row>
    <row r="1502" spans="6:33" ht="15.75">
      <c r="H1502" s="50" t="s">
        <v>2016</v>
      </c>
      <c r="R1502" s="63">
        <f>SUM(R1489:R1501)</f>
        <v>12179.353999999998</v>
      </c>
      <c r="AG1502" s="71">
        <f t="shared" si="199"/>
        <v>0</v>
      </c>
    </row>
    <row r="1503" spans="6:33" ht="15.75">
      <c r="H1503" s="50" t="s">
        <v>2017</v>
      </c>
      <c r="AG1503" s="71">
        <f t="shared" si="199"/>
        <v>0</v>
      </c>
    </row>
    <row r="1504" spans="6:33" ht="15.75">
      <c r="H1504" s="59" t="s">
        <v>21</v>
      </c>
      <c r="AG1504" s="71">
        <f t="shared" si="199"/>
        <v>0</v>
      </c>
    </row>
    <row r="1505" spans="6:33" ht="15.75">
      <c r="F1505" s="64">
        <v>4.8</v>
      </c>
      <c r="G1505" s="62" t="s">
        <v>13</v>
      </c>
      <c r="H1505" s="50" t="s">
        <v>2018</v>
      </c>
      <c r="I1505" s="64">
        <f>(C271)</f>
        <v>48.95</v>
      </c>
      <c r="J1505" s="50" t="s">
        <v>13</v>
      </c>
      <c r="K1505" s="64">
        <f>(F1505*I1505)</f>
        <v>234.96</v>
      </c>
      <c r="AG1505" s="71">
        <f t="shared" si="199"/>
        <v>0</v>
      </c>
    </row>
    <row r="1506" spans="6:33" ht="15.75">
      <c r="F1506" s="64">
        <v>0.75</v>
      </c>
      <c r="G1506" s="62" t="s">
        <v>153</v>
      </c>
      <c r="H1506" s="50" t="s">
        <v>2019</v>
      </c>
      <c r="I1506" s="64">
        <f>(C14)</f>
        <v>861</v>
      </c>
      <c r="J1506" s="50" t="s">
        <v>153</v>
      </c>
      <c r="K1506" s="64">
        <f>(F1506*I1506)</f>
        <v>645.75</v>
      </c>
      <c r="AG1506" s="71">
        <f t="shared" si="199"/>
        <v>0</v>
      </c>
    </row>
    <row r="1507" spans="6:33" ht="15.75">
      <c r="F1507" s="64">
        <v>0.75</v>
      </c>
      <c r="G1507" s="62" t="s">
        <v>153</v>
      </c>
      <c r="H1507" s="50" t="s">
        <v>1851</v>
      </c>
      <c r="I1507" s="64">
        <f>(C12)</f>
        <v>702.8</v>
      </c>
      <c r="J1507" s="50" t="s">
        <v>153</v>
      </c>
      <c r="K1507" s="64">
        <f>(F1507*I1507)</f>
        <v>527.09999999999991</v>
      </c>
      <c r="AG1507" s="71">
        <f t="shared" si="199"/>
        <v>0</v>
      </c>
    </row>
    <row r="1508" spans="6:33" ht="15.75">
      <c r="F1508" s="64">
        <v>1.2</v>
      </c>
      <c r="G1508" s="62" t="s">
        <v>153</v>
      </c>
      <c r="H1508" s="50" t="s">
        <v>236</v>
      </c>
      <c r="I1508" s="64">
        <f>(C13)</f>
        <v>576.79999999999995</v>
      </c>
      <c r="J1508" s="50" t="s">
        <v>153</v>
      </c>
      <c r="K1508" s="64">
        <f>(F1508*I1508)</f>
        <v>692.16</v>
      </c>
      <c r="AG1508" s="71">
        <f t="shared" si="199"/>
        <v>0</v>
      </c>
    </row>
    <row r="1509" spans="6:33" ht="15.75">
      <c r="G1509" s="62" t="s">
        <v>226</v>
      </c>
      <c r="H1509" s="50" t="s">
        <v>316</v>
      </c>
      <c r="I1509" s="50" t="s">
        <v>150</v>
      </c>
      <c r="J1509" s="50" t="s">
        <v>226</v>
      </c>
      <c r="K1509" s="64">
        <v>1.5</v>
      </c>
      <c r="AG1509" s="71">
        <f t="shared" si="199"/>
        <v>0</v>
      </c>
    </row>
    <row r="1510" spans="6:33" ht="15.75">
      <c r="K1510" s="59" t="s">
        <v>21</v>
      </c>
      <c r="AG1510" s="71">
        <f t="shared" si="199"/>
        <v>0</v>
      </c>
    </row>
    <row r="1511" spans="6:33" ht="15.75">
      <c r="H1511" s="50" t="s">
        <v>238</v>
      </c>
      <c r="K1511" s="64">
        <f>SUM(K1505:K1509)</f>
        <v>2101.4699999999998</v>
      </c>
      <c r="AG1511" s="71">
        <f t="shared" si="199"/>
        <v>0</v>
      </c>
    </row>
    <row r="1512" spans="6:33" ht="15.75">
      <c r="K1512" s="59" t="s">
        <v>21</v>
      </c>
      <c r="AG1512" s="71">
        <f t="shared" si="199"/>
        <v>0</v>
      </c>
    </row>
    <row r="1513" spans="6:33" ht="15.75">
      <c r="H1513" s="66" t="s">
        <v>155</v>
      </c>
      <c r="I1513" s="65"/>
      <c r="J1513" s="110"/>
      <c r="K1513" s="63">
        <f>(K1511/10)</f>
        <v>210.14699999999999</v>
      </c>
      <c r="AG1513" s="71">
        <f t="shared" si="199"/>
        <v>0</v>
      </c>
    </row>
    <row r="1514" spans="6:33" ht="15.75">
      <c r="K1514" s="59" t="s">
        <v>156</v>
      </c>
      <c r="AG1514" s="71">
        <f t="shared" si="199"/>
        <v>0</v>
      </c>
    </row>
    <row r="1515" spans="6:33" ht="15.75">
      <c r="F1515" s="51" t="s">
        <v>2020</v>
      </c>
      <c r="G1515" s="62" t="s">
        <v>249</v>
      </c>
      <c r="H1515" s="51" t="s">
        <v>2021</v>
      </c>
      <c r="AG1515" s="71">
        <f t="shared" si="199"/>
        <v>0</v>
      </c>
    </row>
    <row r="1516" spans="6:33" ht="15.75">
      <c r="H1516" s="51" t="s">
        <v>1024</v>
      </c>
      <c r="M1516" s="51"/>
      <c r="N1516" s="62" t="s">
        <v>249</v>
      </c>
      <c r="O1516" s="50" t="s">
        <v>2022</v>
      </c>
      <c r="Q1516" s="55"/>
      <c r="AG1516" s="71">
        <f t="shared" si="199"/>
        <v>0</v>
      </c>
    </row>
    <row r="1517" spans="6:33" ht="15.75">
      <c r="F1517" s="64">
        <v>3.08</v>
      </c>
      <c r="G1517" s="62" t="s">
        <v>2023</v>
      </c>
      <c r="H1517" s="50" t="s">
        <v>2024</v>
      </c>
      <c r="I1517" s="64">
        <f>E271</f>
        <v>155</v>
      </c>
      <c r="J1517" s="50" t="s">
        <v>2023</v>
      </c>
      <c r="K1517" s="64">
        <f>(F1517*I1517)</f>
        <v>477.40000000000003</v>
      </c>
      <c r="N1517" s="53"/>
      <c r="O1517" s="50" t="s">
        <v>2015</v>
      </c>
      <c r="Q1517" s="55"/>
      <c r="AG1517" s="71">
        <f t="shared" si="199"/>
        <v>0</v>
      </c>
    </row>
    <row r="1518" spans="6:33" ht="15.75">
      <c r="F1518" s="64">
        <v>0.5</v>
      </c>
      <c r="G1518" s="62" t="s">
        <v>345</v>
      </c>
      <c r="H1518" s="50" t="s">
        <v>2025</v>
      </c>
      <c r="I1518" s="64">
        <f>C14</f>
        <v>861</v>
      </c>
      <c r="J1518" s="50" t="s">
        <v>345</v>
      </c>
      <c r="K1518" s="64">
        <f>(F1518*I1518)</f>
        <v>430.5</v>
      </c>
      <c r="N1518" s="53"/>
      <c r="O1518" s="50" t="s">
        <v>2016</v>
      </c>
      <c r="Q1518" s="55"/>
      <c r="AG1518" s="71">
        <f t="shared" si="199"/>
        <v>0</v>
      </c>
    </row>
    <row r="1519" spans="6:33" ht="15.75">
      <c r="F1519" s="64">
        <v>0.5</v>
      </c>
      <c r="G1519" s="62" t="s">
        <v>345</v>
      </c>
      <c r="H1519" s="50" t="s">
        <v>1198</v>
      </c>
      <c r="I1519" s="64">
        <f>C12</f>
        <v>702.8</v>
      </c>
      <c r="J1519" s="50" t="s">
        <v>345</v>
      </c>
      <c r="K1519" s="64">
        <f>(F1519*I1519)</f>
        <v>351.4</v>
      </c>
      <c r="N1519" s="53"/>
      <c r="O1519" s="50" t="s">
        <v>2017</v>
      </c>
      <c r="Q1519" s="55"/>
      <c r="AG1519" s="71">
        <f t="shared" si="199"/>
        <v>0</v>
      </c>
    </row>
    <row r="1520" spans="6:33" ht="15.75">
      <c r="F1520" s="64">
        <v>0.8</v>
      </c>
      <c r="G1520" s="62" t="s">
        <v>345</v>
      </c>
      <c r="H1520" s="50" t="s">
        <v>2026</v>
      </c>
      <c r="I1520" s="64">
        <f>C13</f>
        <v>576.79999999999995</v>
      </c>
      <c r="J1520" s="50" t="s">
        <v>345</v>
      </c>
      <c r="K1520" s="64">
        <f>(F1520*I1520)</f>
        <v>461.44</v>
      </c>
      <c r="N1520" s="53"/>
      <c r="O1520" s="59" t="s">
        <v>21</v>
      </c>
      <c r="Q1520" s="55"/>
      <c r="AG1520" s="71">
        <f t="shared" si="199"/>
        <v>0</v>
      </c>
    </row>
    <row r="1521" spans="6:33" ht="15.75">
      <c r="G1521" s="62" t="s">
        <v>226</v>
      </c>
      <c r="H1521" s="50" t="s">
        <v>316</v>
      </c>
      <c r="J1521" s="50" t="s">
        <v>226</v>
      </c>
      <c r="K1521" s="64">
        <v>1.5</v>
      </c>
      <c r="M1521" s="64">
        <v>2.1800000000000002</v>
      </c>
      <c r="N1521" s="62" t="s">
        <v>13</v>
      </c>
      <c r="O1521" s="50" t="s">
        <v>2027</v>
      </c>
      <c r="P1521" s="64">
        <v>70</v>
      </c>
      <c r="Q1521" s="50" t="s">
        <v>13</v>
      </c>
      <c r="R1521" s="64">
        <f>M1521*P1521</f>
        <v>152.60000000000002</v>
      </c>
      <c r="AG1521" s="71">
        <f t="shared" si="199"/>
        <v>0</v>
      </c>
    </row>
    <row r="1522" spans="6:33" ht="15.75">
      <c r="M1522" s="64">
        <v>0.75</v>
      </c>
      <c r="N1522" s="62" t="s">
        <v>153</v>
      </c>
      <c r="O1522" s="50" t="s">
        <v>2019</v>
      </c>
      <c r="P1522" s="64">
        <f>C14</f>
        <v>861</v>
      </c>
      <c r="Q1522" s="50" t="s">
        <v>153</v>
      </c>
      <c r="R1522" s="64">
        <f>M1522*P1522</f>
        <v>645.75</v>
      </c>
      <c r="AG1522" s="71">
        <f t="shared" si="199"/>
        <v>0</v>
      </c>
    </row>
    <row r="1523" spans="6:33" ht="15.75">
      <c r="K1523" s="59" t="s">
        <v>21</v>
      </c>
      <c r="M1523" s="64">
        <v>0.75</v>
      </c>
      <c r="N1523" s="62" t="s">
        <v>153</v>
      </c>
      <c r="O1523" s="50" t="s">
        <v>1851</v>
      </c>
      <c r="P1523" s="64">
        <f>C12</f>
        <v>702.8</v>
      </c>
      <c r="Q1523" s="50" t="s">
        <v>153</v>
      </c>
      <c r="R1523" s="64">
        <f>M1523*P1523</f>
        <v>527.09999999999991</v>
      </c>
      <c r="AG1523" s="71">
        <f t="shared" si="199"/>
        <v>0</v>
      </c>
    </row>
    <row r="1524" spans="6:33" ht="15.75">
      <c r="H1524" s="51" t="s">
        <v>2028</v>
      </c>
      <c r="K1524" s="64">
        <f>SUM(K1517:K1521)</f>
        <v>1722.2400000000002</v>
      </c>
      <c r="M1524" s="64">
        <v>1.2</v>
      </c>
      <c r="N1524" s="62" t="s">
        <v>153</v>
      </c>
      <c r="O1524" s="50" t="s">
        <v>236</v>
      </c>
      <c r="P1524" s="64">
        <f>C13</f>
        <v>576.79999999999995</v>
      </c>
      <c r="Q1524" s="50" t="s">
        <v>153</v>
      </c>
      <c r="R1524" s="64">
        <f>M1524*P1524</f>
        <v>692.16</v>
      </c>
      <c r="AG1524" s="71">
        <f t="shared" si="199"/>
        <v>0</v>
      </c>
    </row>
    <row r="1525" spans="6:33" ht="15.75">
      <c r="K1525" s="59" t="s">
        <v>21</v>
      </c>
      <c r="N1525" s="62" t="s">
        <v>226</v>
      </c>
      <c r="O1525" s="50" t="s">
        <v>316</v>
      </c>
      <c r="P1525" s="50" t="s">
        <v>150</v>
      </c>
      <c r="Q1525" s="50" t="s">
        <v>226</v>
      </c>
      <c r="R1525" s="64">
        <v>1.5</v>
      </c>
      <c r="AG1525" s="71">
        <f t="shared" si="199"/>
        <v>0</v>
      </c>
    </row>
    <row r="1526" spans="6:33" ht="15.75">
      <c r="F1526" s="50" t="s">
        <v>150</v>
      </c>
      <c r="G1526" s="62" t="s">
        <v>150</v>
      </c>
      <c r="H1526" s="66" t="s">
        <v>350</v>
      </c>
      <c r="I1526" s="54" t="s">
        <v>150</v>
      </c>
      <c r="J1526" s="54" t="s">
        <v>150</v>
      </c>
      <c r="K1526" s="63">
        <f>K1524/10</f>
        <v>172.22400000000002</v>
      </c>
      <c r="N1526" s="53"/>
      <c r="Q1526" s="55"/>
      <c r="R1526" s="59" t="s">
        <v>21</v>
      </c>
      <c r="AG1526" s="71">
        <f t="shared" si="199"/>
        <v>0</v>
      </c>
    </row>
    <row r="1527" spans="6:33" ht="15.75">
      <c r="K1527" s="59" t="s">
        <v>156</v>
      </c>
      <c r="N1527" s="53"/>
      <c r="O1527" s="50" t="s">
        <v>238</v>
      </c>
      <c r="Q1527" s="55"/>
      <c r="R1527" s="64">
        <f>SUM(R1521:R1525)</f>
        <v>2019.1099999999997</v>
      </c>
      <c r="AG1527" s="71">
        <f t="shared" si="199"/>
        <v>0</v>
      </c>
    </row>
    <row r="1528" spans="6:33" ht="15.75">
      <c r="F1528" s="51" t="s">
        <v>358</v>
      </c>
      <c r="G1528" s="62" t="s">
        <v>249</v>
      </c>
      <c r="H1528" s="50" t="s">
        <v>2029</v>
      </c>
      <c r="N1528" s="53"/>
      <c r="Q1528" s="55"/>
      <c r="R1528" s="59" t="s">
        <v>21</v>
      </c>
      <c r="AG1528" s="71">
        <f t="shared" si="199"/>
        <v>0</v>
      </c>
    </row>
    <row r="1529" spans="6:33" ht="15.75">
      <c r="H1529" s="50" t="s">
        <v>324</v>
      </c>
      <c r="N1529" s="53"/>
      <c r="O1529" s="50" t="s">
        <v>155</v>
      </c>
      <c r="Q1529" s="55"/>
      <c r="R1529" s="64">
        <f>(R1527/10)</f>
        <v>201.91099999999997</v>
      </c>
      <c r="AG1529" s="71">
        <f t="shared" si="199"/>
        <v>0</v>
      </c>
    </row>
    <row r="1530" spans="6:33" ht="15.75">
      <c r="H1530" s="50" t="s">
        <v>2030</v>
      </c>
      <c r="N1530" s="53"/>
      <c r="Q1530" s="55"/>
      <c r="R1530" s="59" t="s">
        <v>156</v>
      </c>
      <c r="AG1530" s="71">
        <f t="shared" si="199"/>
        <v>0</v>
      </c>
    </row>
    <row r="1531" spans="6:33" ht="16.5">
      <c r="H1531" s="59" t="s">
        <v>21</v>
      </c>
      <c r="L1531" s="246"/>
      <c r="M1531" s="247"/>
      <c r="N1531" s="2111" t="s">
        <v>2031</v>
      </c>
      <c r="O1531" s="2111"/>
      <c r="P1531" s="2111"/>
      <c r="Q1531" s="2111"/>
      <c r="R1531" s="2111"/>
      <c r="AG1531" s="71">
        <f t="shared" si="199"/>
        <v>0</v>
      </c>
    </row>
    <row r="1532" spans="6:33" ht="16.5">
      <c r="F1532" s="64">
        <v>1.44</v>
      </c>
      <c r="G1532" s="62" t="s">
        <v>320</v>
      </c>
      <c r="H1532" s="50" t="s">
        <v>2032</v>
      </c>
      <c r="I1532" s="64">
        <f>(C196)</f>
        <v>144.69999999999999</v>
      </c>
      <c r="J1532" s="50" t="s">
        <v>320</v>
      </c>
      <c r="K1532" s="64">
        <f>(F1532*I1532)</f>
        <v>208.36799999999997</v>
      </c>
      <c r="L1532" s="248"/>
      <c r="M1532" s="249"/>
      <c r="N1532" s="250"/>
      <c r="O1532" s="251" t="s">
        <v>2033</v>
      </c>
      <c r="P1532" s="252"/>
      <c r="Q1532" s="250"/>
      <c r="R1532" s="252"/>
      <c r="AG1532" s="71">
        <f t="shared" si="199"/>
        <v>0</v>
      </c>
    </row>
    <row r="1533" spans="6:33" ht="16.5">
      <c r="F1533" s="64">
        <v>0.7</v>
      </c>
      <c r="G1533" s="62" t="s">
        <v>4</v>
      </c>
      <c r="H1533" s="50" t="s">
        <v>322</v>
      </c>
      <c r="I1533" s="64">
        <f>(C14)</f>
        <v>861</v>
      </c>
      <c r="J1533" s="50" t="s">
        <v>4</v>
      </c>
      <c r="K1533" s="64">
        <f>(F1533*I1533)</f>
        <v>602.69999999999993</v>
      </c>
      <c r="L1533" s="248"/>
      <c r="M1533" s="249"/>
      <c r="N1533" s="250"/>
      <c r="O1533" s="253"/>
      <c r="P1533" s="252"/>
      <c r="Q1533" s="250"/>
      <c r="R1533" s="252"/>
      <c r="AG1533" s="71">
        <f t="shared" si="199"/>
        <v>0</v>
      </c>
    </row>
    <row r="1534" spans="6:33" ht="16.5">
      <c r="F1534" s="64">
        <v>2.5499999999999998</v>
      </c>
      <c r="G1534" s="62" t="s">
        <v>320</v>
      </c>
      <c r="H1534" s="50" t="s">
        <v>321</v>
      </c>
      <c r="I1534" s="64">
        <f>(C195)</f>
        <v>234.3</v>
      </c>
      <c r="J1534" s="50" t="s">
        <v>320</v>
      </c>
      <c r="K1534" s="64">
        <f>(F1534*I1534)</f>
        <v>597.46500000000003</v>
      </c>
      <c r="L1534" s="248"/>
      <c r="M1534" s="249"/>
      <c r="N1534" s="250"/>
      <c r="O1534" s="253"/>
      <c r="P1534" s="252"/>
      <c r="Q1534" s="250"/>
      <c r="R1534" s="252"/>
      <c r="AG1534" s="71">
        <f t="shared" ref="AG1534:AG1597" si="202">AI1534</f>
        <v>0</v>
      </c>
    </row>
    <row r="1535" spans="6:33" ht="16.5">
      <c r="F1535" s="64">
        <v>1.2</v>
      </c>
      <c r="G1535" s="62" t="s">
        <v>4</v>
      </c>
      <c r="H1535" s="50" t="s">
        <v>322</v>
      </c>
      <c r="I1535" s="64">
        <f>(C14)</f>
        <v>861</v>
      </c>
      <c r="J1535" s="50" t="s">
        <v>4</v>
      </c>
      <c r="K1535" s="64">
        <f>(F1535*I1535)</f>
        <v>1033.2</v>
      </c>
      <c r="L1535" s="248"/>
      <c r="M1535" s="249">
        <v>19.13</v>
      </c>
      <c r="N1535" s="250" t="s">
        <v>534</v>
      </c>
      <c r="O1535" s="253" t="s">
        <v>2034</v>
      </c>
      <c r="P1535" s="252">
        <f>P1489</f>
        <v>287</v>
      </c>
      <c r="Q1535" s="250" t="s">
        <v>534</v>
      </c>
      <c r="R1535" s="252">
        <f>P1535*M1535</f>
        <v>5490.3099999999995</v>
      </c>
      <c r="AG1535" s="71">
        <f t="shared" si="202"/>
        <v>0</v>
      </c>
    </row>
    <row r="1536" spans="6:33" ht="16.5">
      <c r="G1536" s="62" t="s">
        <v>226</v>
      </c>
      <c r="H1536" s="50" t="s">
        <v>323</v>
      </c>
      <c r="I1536" s="50" t="s">
        <v>150</v>
      </c>
      <c r="J1536" s="50" t="s">
        <v>226</v>
      </c>
      <c r="K1536" s="64">
        <v>1.5</v>
      </c>
      <c r="L1536" s="248"/>
      <c r="M1536" s="249">
        <v>2.97</v>
      </c>
      <c r="N1536" s="250" t="s">
        <v>533</v>
      </c>
      <c r="O1536" s="253" t="s">
        <v>2035</v>
      </c>
      <c r="P1536" s="252">
        <f>P1493</f>
        <v>208.8</v>
      </c>
      <c r="Q1536" s="250" t="s">
        <v>533</v>
      </c>
      <c r="R1536" s="252">
        <f t="shared" ref="R1536:R1541" si="203">P1536*M1536</f>
        <v>620.13600000000008</v>
      </c>
      <c r="AG1536" s="71">
        <f t="shared" si="202"/>
        <v>0</v>
      </c>
    </row>
    <row r="1537" spans="6:33" ht="16.5">
      <c r="K1537" s="59" t="s">
        <v>21</v>
      </c>
      <c r="L1537" s="248"/>
      <c r="M1537" s="249">
        <v>15.3</v>
      </c>
      <c r="N1537" s="250" t="s">
        <v>303</v>
      </c>
      <c r="O1537" s="253" t="s">
        <v>2036</v>
      </c>
      <c r="P1537" s="252">
        <f>P1494</f>
        <v>28.6</v>
      </c>
      <c r="Q1537" s="250" t="s">
        <v>303</v>
      </c>
      <c r="R1537" s="252">
        <f t="shared" si="203"/>
        <v>437.58000000000004</v>
      </c>
      <c r="AG1537" s="71">
        <f t="shared" si="202"/>
        <v>0</v>
      </c>
    </row>
    <row r="1538" spans="6:33" ht="16.5">
      <c r="H1538" s="50" t="s">
        <v>238</v>
      </c>
      <c r="K1538" s="64">
        <f>SUM(K1532:K1536)</f>
        <v>2443.2330000000002</v>
      </c>
      <c r="L1538" s="248"/>
      <c r="M1538" s="249">
        <v>3</v>
      </c>
      <c r="N1538" s="250" t="s">
        <v>2037</v>
      </c>
      <c r="O1538" s="253" t="s">
        <v>2038</v>
      </c>
      <c r="P1538" s="252">
        <f>I4009</f>
        <v>350</v>
      </c>
      <c r="Q1538" s="250" t="s">
        <v>4</v>
      </c>
      <c r="R1538" s="252">
        <f t="shared" si="203"/>
        <v>1050</v>
      </c>
      <c r="AG1538" s="71">
        <f t="shared" si="202"/>
        <v>0</v>
      </c>
    </row>
    <row r="1539" spans="6:33" ht="16.5">
      <c r="K1539" s="59" t="s">
        <v>21</v>
      </c>
      <c r="L1539" s="248"/>
      <c r="M1539" s="249">
        <v>3</v>
      </c>
      <c r="N1539" s="250" t="s">
        <v>4</v>
      </c>
      <c r="O1539" s="253" t="s">
        <v>2039</v>
      </c>
      <c r="P1539" s="252">
        <f>I4010</f>
        <v>50.9</v>
      </c>
      <c r="Q1539" s="250" t="s">
        <v>4</v>
      </c>
      <c r="R1539" s="252">
        <f t="shared" si="203"/>
        <v>152.69999999999999</v>
      </c>
      <c r="AG1539" s="71">
        <f t="shared" si="202"/>
        <v>0</v>
      </c>
    </row>
    <row r="1540" spans="6:33" ht="16.5">
      <c r="H1540" s="66" t="s">
        <v>155</v>
      </c>
      <c r="I1540" s="65"/>
      <c r="J1540" s="110"/>
      <c r="K1540" s="63">
        <f>(K1538/10)</f>
        <v>244.32330000000002</v>
      </c>
      <c r="L1540" s="248"/>
      <c r="M1540" s="249">
        <v>6</v>
      </c>
      <c r="N1540" s="250" t="s">
        <v>4</v>
      </c>
      <c r="O1540" s="253" t="s">
        <v>2040</v>
      </c>
      <c r="P1540" s="252">
        <f>I3995</f>
        <v>15</v>
      </c>
      <c r="Q1540" s="250" t="s">
        <v>4</v>
      </c>
      <c r="R1540" s="252">
        <f t="shared" si="203"/>
        <v>90</v>
      </c>
      <c r="AG1540" s="71">
        <f t="shared" si="202"/>
        <v>0</v>
      </c>
    </row>
    <row r="1541" spans="6:33" ht="16.5">
      <c r="F1541" s="50" t="s">
        <v>150</v>
      </c>
      <c r="L1541" s="248"/>
      <c r="M1541" s="249">
        <v>2.97</v>
      </c>
      <c r="N1541" s="250" t="s">
        <v>306</v>
      </c>
      <c r="O1541" s="253" t="s">
        <v>2041</v>
      </c>
      <c r="P1541" s="252">
        <f>R1552</f>
        <v>2156</v>
      </c>
      <c r="Q1541" s="250" t="s">
        <v>306</v>
      </c>
      <c r="R1541" s="252">
        <f t="shared" si="203"/>
        <v>6403.3200000000006</v>
      </c>
      <c r="AG1541" s="71">
        <f t="shared" si="202"/>
        <v>0</v>
      </c>
    </row>
    <row r="1542" spans="6:33" ht="16.5">
      <c r="K1542" s="59" t="s">
        <v>156</v>
      </c>
      <c r="L1542" s="248"/>
      <c r="M1542" s="249"/>
      <c r="N1542" s="250"/>
      <c r="O1542" s="253" t="s">
        <v>337</v>
      </c>
      <c r="P1542" s="247"/>
      <c r="Q1542" s="254"/>
      <c r="R1542" s="252">
        <v>3.5</v>
      </c>
      <c r="AG1542" s="71">
        <f t="shared" si="202"/>
        <v>0</v>
      </c>
    </row>
    <row r="1543" spans="6:33" ht="16.5">
      <c r="F1543" s="88">
        <v>41</v>
      </c>
      <c r="G1543" s="62" t="s">
        <v>249</v>
      </c>
      <c r="H1543" s="50" t="s">
        <v>2042</v>
      </c>
      <c r="L1543" s="248"/>
      <c r="M1543" s="247"/>
      <c r="N1543" s="255"/>
      <c r="O1543" s="50" t="s">
        <v>2043</v>
      </c>
      <c r="P1543" s="247"/>
      <c r="Q1543" s="247"/>
      <c r="R1543" s="256">
        <f>SUM(R1535:R1542)</f>
        <v>14247.546</v>
      </c>
      <c r="AG1543" s="71">
        <f t="shared" si="202"/>
        <v>0</v>
      </c>
    </row>
    <row r="1544" spans="6:33" ht="16.5">
      <c r="H1544" s="50" t="s">
        <v>318</v>
      </c>
      <c r="L1544" s="257"/>
      <c r="M1544" s="247"/>
      <c r="N1544" s="247"/>
      <c r="AG1544" s="71">
        <f t="shared" si="202"/>
        <v>0</v>
      </c>
    </row>
    <row r="1545" spans="6:33" ht="16.5">
      <c r="H1545" s="50" t="s">
        <v>319</v>
      </c>
      <c r="L1545" s="246"/>
      <c r="M1545" s="247"/>
      <c r="N1545" s="247"/>
      <c r="O1545" s="50" t="s">
        <v>155</v>
      </c>
      <c r="P1545" s="247"/>
      <c r="Q1545" s="247"/>
      <c r="R1545" s="258">
        <f>R1543/2.97</f>
        <v>4797.1535353535355</v>
      </c>
      <c r="S1545" s="56">
        <f>R1545-3740</f>
        <v>1057.1535353535355</v>
      </c>
      <c r="AG1545" s="71">
        <f t="shared" si="202"/>
        <v>0</v>
      </c>
    </row>
    <row r="1546" spans="6:33" ht="16.5">
      <c r="H1546" s="59" t="s">
        <v>21</v>
      </c>
      <c r="L1546" s="248"/>
      <c r="M1546" s="247"/>
      <c r="N1546" s="247"/>
      <c r="O1546" s="259"/>
      <c r="P1546" s="247"/>
      <c r="Q1546" s="247"/>
      <c r="R1546" s="247"/>
      <c r="AG1546" s="71">
        <f t="shared" si="202"/>
        <v>0</v>
      </c>
    </row>
    <row r="1547" spans="6:33" ht="16.5">
      <c r="F1547" s="64">
        <v>2.2200000000000002</v>
      </c>
      <c r="G1547" s="62" t="s">
        <v>320</v>
      </c>
      <c r="H1547" s="50" t="s">
        <v>321</v>
      </c>
      <c r="I1547" s="64">
        <f>(C207)</f>
        <v>223.2</v>
      </c>
      <c r="J1547" s="50" t="s">
        <v>320</v>
      </c>
      <c r="K1547" s="64">
        <f>(F1547*I1547)</f>
        <v>495.50400000000002</v>
      </c>
      <c r="L1547" s="248"/>
      <c r="M1547" s="252">
        <v>1</v>
      </c>
      <c r="N1547" s="250" t="s">
        <v>153</v>
      </c>
      <c r="O1547" s="253" t="s">
        <v>2044</v>
      </c>
      <c r="P1547" s="252">
        <f>AG17</f>
        <v>950.59999999999991</v>
      </c>
      <c r="Q1547" s="253" t="s">
        <v>153</v>
      </c>
      <c r="R1547" s="252">
        <f>P1547*M1547</f>
        <v>950.59999999999991</v>
      </c>
      <c r="AG1547" s="71">
        <f t="shared" si="202"/>
        <v>0</v>
      </c>
    </row>
    <row r="1548" spans="6:33" ht="16.5">
      <c r="F1548" s="64">
        <v>1.1000000000000001</v>
      </c>
      <c r="G1548" s="62" t="s">
        <v>4</v>
      </c>
      <c r="H1548" s="50" t="s">
        <v>322</v>
      </c>
      <c r="I1548" s="64">
        <f>(C14)</f>
        <v>861</v>
      </c>
      <c r="J1548" s="50" t="s">
        <v>4</v>
      </c>
      <c r="K1548" s="64">
        <f>(F1548*I1548)</f>
        <v>947.1</v>
      </c>
      <c r="L1548" s="248"/>
      <c r="M1548" s="252">
        <v>1</v>
      </c>
      <c r="N1548" s="250" t="s">
        <v>153</v>
      </c>
      <c r="O1548" s="253" t="s">
        <v>2045</v>
      </c>
      <c r="P1548" s="252">
        <f>AG11</f>
        <v>702.8</v>
      </c>
      <c r="Q1548" s="253" t="s">
        <v>153</v>
      </c>
      <c r="R1548" s="252">
        <f>P1548*M1548</f>
        <v>702.8</v>
      </c>
      <c r="AG1548" s="71">
        <f t="shared" si="202"/>
        <v>0</v>
      </c>
    </row>
    <row r="1549" spans="6:33" ht="16.5">
      <c r="G1549" s="62" t="s">
        <v>226</v>
      </c>
      <c r="H1549" s="50" t="s">
        <v>323</v>
      </c>
      <c r="I1549" s="50" t="s">
        <v>150</v>
      </c>
      <c r="J1549" s="50" t="s">
        <v>226</v>
      </c>
      <c r="K1549" s="64">
        <v>1.5</v>
      </c>
      <c r="L1549" s="248"/>
      <c r="M1549" s="252">
        <v>0.5</v>
      </c>
      <c r="N1549" s="250" t="s">
        <v>153</v>
      </c>
      <c r="O1549" s="253" t="s">
        <v>2046</v>
      </c>
      <c r="P1549" s="252">
        <f>AG20</f>
        <v>1005.1999999999999</v>
      </c>
      <c r="Q1549" s="253" t="s">
        <v>153</v>
      </c>
      <c r="R1549" s="252">
        <f>P1549*M1549</f>
        <v>502.59999999999997</v>
      </c>
      <c r="AG1549" s="71">
        <f t="shared" si="202"/>
        <v>0</v>
      </c>
    </row>
    <row r="1550" spans="6:33" ht="16.5">
      <c r="K1550" s="59" t="s">
        <v>21</v>
      </c>
      <c r="L1550" s="248"/>
      <c r="M1550" s="247"/>
      <c r="N1550" s="255"/>
      <c r="O1550" s="247"/>
      <c r="P1550" s="247"/>
      <c r="Q1550" s="260"/>
      <c r="R1550" s="252"/>
      <c r="AG1550" s="71">
        <f t="shared" si="202"/>
        <v>0</v>
      </c>
    </row>
    <row r="1551" spans="6:33" ht="16.5">
      <c r="H1551" s="50" t="s">
        <v>238</v>
      </c>
      <c r="K1551" s="64">
        <f>SUM(K1547:K1549)</f>
        <v>1444.104</v>
      </c>
      <c r="L1551" s="248"/>
      <c r="M1551" s="247"/>
      <c r="N1551" s="255"/>
      <c r="O1551" s="253" t="s">
        <v>2047</v>
      </c>
      <c r="P1551" s="247"/>
      <c r="Q1551" s="260"/>
      <c r="R1551" s="261" t="s">
        <v>21</v>
      </c>
      <c r="AG1551" s="71">
        <f t="shared" si="202"/>
        <v>0</v>
      </c>
    </row>
    <row r="1552" spans="6:33" ht="16.5">
      <c r="K1552" s="59" t="s">
        <v>21</v>
      </c>
      <c r="L1552" s="248"/>
      <c r="M1552" s="247"/>
      <c r="N1552" s="255"/>
      <c r="O1552" s="247"/>
      <c r="P1552" s="247"/>
      <c r="Q1552" s="260"/>
      <c r="R1552" s="256">
        <f>SUM(R1547:R1551)</f>
        <v>2156</v>
      </c>
      <c r="AG1552" s="71">
        <f t="shared" si="202"/>
        <v>0</v>
      </c>
    </row>
    <row r="1553" spans="6:33" ht="15.75">
      <c r="H1553" s="66" t="s">
        <v>155</v>
      </c>
      <c r="I1553" s="65"/>
      <c r="J1553" s="110"/>
      <c r="K1553" s="63">
        <f>(K1551/10)</f>
        <v>144.41040000000001</v>
      </c>
      <c r="L1553" s="248"/>
      <c r="AG1553" s="71">
        <f t="shared" si="202"/>
        <v>0</v>
      </c>
    </row>
    <row r="1554" spans="6:33" ht="15.75">
      <c r="H1554" s="50"/>
      <c r="K1554" s="64"/>
      <c r="L1554" s="248"/>
      <c r="AG1554" s="71">
        <f t="shared" si="202"/>
        <v>0</v>
      </c>
    </row>
    <row r="1555" spans="6:33" ht="15.75">
      <c r="H1555" s="50"/>
      <c r="K1555" s="64"/>
      <c r="L1555" s="248"/>
      <c r="AG1555" s="71">
        <f t="shared" si="202"/>
        <v>0</v>
      </c>
    </row>
    <row r="1556" spans="6:33" ht="15.75">
      <c r="F1556" s="262">
        <v>238</v>
      </c>
      <c r="G1556" s="263" t="s">
        <v>249</v>
      </c>
      <c r="H1556" s="264" t="s">
        <v>2048</v>
      </c>
      <c r="I1556" s="265"/>
      <c r="J1556" s="266"/>
      <c r="K1556" s="265"/>
      <c r="L1556" s="248"/>
      <c r="AG1556" s="71">
        <f t="shared" si="202"/>
        <v>0</v>
      </c>
    </row>
    <row r="1557" spans="6:33" ht="15.75">
      <c r="F1557" s="267"/>
      <c r="G1557" s="268"/>
      <c r="H1557" s="269" t="s">
        <v>2049</v>
      </c>
      <c r="I1557" s="270"/>
      <c r="J1557" s="271"/>
      <c r="K1557" s="270"/>
      <c r="L1557" s="257"/>
      <c r="AG1557" s="71">
        <f t="shared" si="202"/>
        <v>0</v>
      </c>
    </row>
    <row r="1558" spans="6:33" ht="15.75">
      <c r="F1558" s="267"/>
      <c r="G1558" s="268"/>
      <c r="H1558" s="272" t="s">
        <v>21</v>
      </c>
      <c r="I1558" s="270"/>
      <c r="J1558" s="271"/>
      <c r="K1558" s="270"/>
      <c r="AG1558" s="71">
        <f t="shared" si="202"/>
        <v>0</v>
      </c>
    </row>
    <row r="1559" spans="6:33" ht="15.75">
      <c r="F1559" s="273">
        <v>20</v>
      </c>
      <c r="G1559" s="274" t="s">
        <v>320</v>
      </c>
      <c r="H1559" s="269" t="s">
        <v>2050</v>
      </c>
      <c r="I1559" s="275">
        <f>D40</f>
        <v>116.2</v>
      </c>
      <c r="J1559" s="269" t="s">
        <v>320</v>
      </c>
      <c r="K1559" s="276">
        <f>(F1559*I1559)</f>
        <v>2324</v>
      </c>
      <c r="AG1559" s="71">
        <f t="shared" si="202"/>
        <v>0</v>
      </c>
    </row>
    <row r="1560" spans="6:33" ht="15.75">
      <c r="F1560" s="267"/>
      <c r="G1560" s="268"/>
      <c r="H1560" s="269" t="s">
        <v>2051</v>
      </c>
      <c r="I1560" s="270"/>
      <c r="J1560" s="271"/>
      <c r="K1560" s="269" t="s">
        <v>150</v>
      </c>
      <c r="AG1560" s="71">
        <f t="shared" si="202"/>
        <v>0</v>
      </c>
    </row>
    <row r="1561" spans="6:33" ht="15.75">
      <c r="F1561" s="273">
        <v>50</v>
      </c>
      <c r="G1561" s="274" t="s">
        <v>13</v>
      </c>
      <c r="H1561" s="269" t="s">
        <v>252</v>
      </c>
      <c r="I1561" s="276">
        <f>C67/1000</f>
        <v>5.8</v>
      </c>
      <c r="J1561" s="269" t="s">
        <v>13</v>
      </c>
      <c r="K1561" s="276">
        <f>(F1561*I1561)</f>
        <v>290</v>
      </c>
      <c r="AG1561" s="71">
        <f t="shared" si="202"/>
        <v>0</v>
      </c>
    </row>
    <row r="1562" spans="6:33" ht="15.75">
      <c r="F1562" s="273">
        <v>1</v>
      </c>
      <c r="G1562" s="274" t="s">
        <v>226</v>
      </c>
      <c r="H1562" s="269" t="s">
        <v>2052</v>
      </c>
      <c r="I1562" s="277">
        <v>75</v>
      </c>
      <c r="J1562" s="269" t="s">
        <v>226</v>
      </c>
      <c r="K1562" s="276">
        <f>(F1562*I1562)</f>
        <v>75</v>
      </c>
      <c r="AG1562" s="71">
        <f t="shared" si="202"/>
        <v>0</v>
      </c>
    </row>
    <row r="1563" spans="6:33" ht="15.75">
      <c r="F1563" s="273">
        <v>1</v>
      </c>
      <c r="G1563" s="274" t="s">
        <v>226</v>
      </c>
      <c r="H1563" s="269" t="s">
        <v>2053</v>
      </c>
      <c r="I1563" s="276">
        <f>C38</f>
        <v>40</v>
      </c>
      <c r="J1563" s="269" t="s">
        <v>226</v>
      </c>
      <c r="K1563" s="276">
        <f>(F1563*I1563)</f>
        <v>40</v>
      </c>
      <c r="AG1563" s="71">
        <f t="shared" si="202"/>
        <v>0</v>
      </c>
    </row>
    <row r="1564" spans="6:33" ht="15.75">
      <c r="F1564" s="273">
        <v>2.5</v>
      </c>
      <c r="G1564" s="274" t="s">
        <v>226</v>
      </c>
      <c r="H1564" s="269" t="s">
        <v>2054</v>
      </c>
      <c r="I1564" s="276">
        <f>D14</f>
        <v>833</v>
      </c>
      <c r="J1564" s="269" t="s">
        <v>226</v>
      </c>
      <c r="K1564" s="276">
        <f>(F1564*I1564)</f>
        <v>2082.5</v>
      </c>
      <c r="AG1564" s="71">
        <f t="shared" si="202"/>
        <v>0</v>
      </c>
    </row>
    <row r="1565" spans="6:33" ht="15.75">
      <c r="F1565" s="267"/>
      <c r="G1565" s="274" t="s">
        <v>226</v>
      </c>
      <c r="H1565" s="269" t="s">
        <v>2055</v>
      </c>
      <c r="I1565" s="270"/>
      <c r="J1565" s="269" t="s">
        <v>226</v>
      </c>
      <c r="K1565" s="278">
        <v>1.5</v>
      </c>
      <c r="AG1565" s="71">
        <f t="shared" si="202"/>
        <v>0</v>
      </c>
    </row>
    <row r="1566" spans="6:33" ht="15.75">
      <c r="F1566" s="267"/>
      <c r="G1566" s="268"/>
      <c r="H1566" s="270"/>
      <c r="I1566" s="270"/>
      <c r="J1566" s="271"/>
      <c r="K1566" s="272" t="s">
        <v>21</v>
      </c>
      <c r="AG1566" s="71">
        <f t="shared" si="202"/>
        <v>0</v>
      </c>
    </row>
    <row r="1567" spans="6:33" ht="15.75">
      <c r="F1567" s="267"/>
      <c r="G1567" s="268"/>
      <c r="H1567" s="279" t="s">
        <v>2056</v>
      </c>
      <c r="I1567" s="280"/>
      <c r="J1567" s="281"/>
      <c r="K1567" s="282">
        <f>SUM(K1559:K1565)</f>
        <v>4813</v>
      </c>
      <c r="AG1567" s="71">
        <f t="shared" si="202"/>
        <v>0</v>
      </c>
    </row>
    <row r="1568" spans="6:33" ht="15.75">
      <c r="F1568" s="267"/>
      <c r="G1568" s="268"/>
      <c r="H1568" s="269"/>
      <c r="I1568" s="270"/>
      <c r="J1568" s="271"/>
      <c r="K1568" s="272" t="s">
        <v>21</v>
      </c>
      <c r="AG1568" s="71">
        <f t="shared" si="202"/>
        <v>0</v>
      </c>
    </row>
    <row r="1569" spans="6:33" ht="15.75">
      <c r="F1569" s="283"/>
      <c r="G1569" s="284"/>
      <c r="H1569" s="285"/>
      <c r="I1569" s="285"/>
      <c r="J1569" s="286"/>
      <c r="K1569" s="287"/>
      <c r="AG1569" s="71">
        <f t="shared" si="202"/>
        <v>0</v>
      </c>
    </row>
    <row r="1570" spans="6:33" ht="15.75">
      <c r="F1570" s="288" t="s">
        <v>2057</v>
      </c>
      <c r="G1570" s="263" t="s">
        <v>249</v>
      </c>
      <c r="H1570" s="264" t="s">
        <v>598</v>
      </c>
      <c r="I1570" s="265"/>
      <c r="J1570" s="266"/>
      <c r="K1570" s="265"/>
      <c r="AG1570" s="71">
        <f t="shared" si="202"/>
        <v>0</v>
      </c>
    </row>
    <row r="1571" spans="6:33" ht="15.75">
      <c r="F1571" s="267"/>
      <c r="G1571" s="268"/>
      <c r="H1571" s="269" t="s">
        <v>2058</v>
      </c>
      <c r="I1571" s="270"/>
      <c r="J1571" s="271"/>
      <c r="K1571" s="270"/>
      <c r="AG1571" s="71">
        <f t="shared" si="202"/>
        <v>0</v>
      </c>
    </row>
    <row r="1572" spans="6:33" ht="15.75">
      <c r="F1572" s="267"/>
      <c r="G1572" s="268"/>
      <c r="H1572" s="272" t="s">
        <v>21</v>
      </c>
      <c r="I1572" s="270"/>
      <c r="J1572" s="271"/>
      <c r="K1572" s="270"/>
      <c r="AG1572" s="71">
        <f t="shared" si="202"/>
        <v>0</v>
      </c>
    </row>
    <row r="1573" spans="6:33" ht="15.75">
      <c r="F1573" s="273">
        <v>1</v>
      </c>
      <c r="G1573" s="274" t="s">
        <v>541</v>
      </c>
      <c r="H1573" s="269" t="s">
        <v>542</v>
      </c>
      <c r="I1573" s="276">
        <f>(C139)</f>
        <v>45000</v>
      </c>
      <c r="J1573" s="269" t="s">
        <v>277</v>
      </c>
      <c r="K1573" s="276">
        <f>(F1573*I1573)/10</f>
        <v>4500</v>
      </c>
      <c r="AG1573" s="71">
        <f t="shared" si="202"/>
        <v>0</v>
      </c>
    </row>
    <row r="1574" spans="6:33" ht="15.75">
      <c r="F1574" s="289">
        <v>0.01</v>
      </c>
      <c r="G1574" s="274" t="s">
        <v>541</v>
      </c>
      <c r="H1574" s="269" t="s">
        <v>543</v>
      </c>
      <c r="I1574" s="276">
        <f>(C143)</f>
        <v>43750</v>
      </c>
      <c r="J1574" s="269" t="s">
        <v>277</v>
      </c>
      <c r="K1574" s="276">
        <f>(F1574*I1574)/10</f>
        <v>43.75</v>
      </c>
      <c r="AG1574" s="71">
        <f t="shared" si="202"/>
        <v>0</v>
      </c>
    </row>
    <row r="1575" spans="6:33" ht="15.75">
      <c r="F1575" s="289">
        <v>3.5</v>
      </c>
      <c r="G1575" s="274" t="s">
        <v>4</v>
      </c>
      <c r="H1575" s="269" t="s">
        <v>544</v>
      </c>
      <c r="I1575" s="276">
        <f>AG38</f>
        <v>933.8</v>
      </c>
      <c r="J1575" s="269" t="s">
        <v>340</v>
      </c>
      <c r="K1575" s="276">
        <f>(F1575*I1575)</f>
        <v>3268.2999999999997</v>
      </c>
      <c r="AG1575" s="71">
        <f t="shared" si="202"/>
        <v>0</v>
      </c>
    </row>
    <row r="1576" spans="6:33" ht="15.75">
      <c r="F1576" s="273">
        <v>1.3</v>
      </c>
      <c r="G1576" s="274" t="s">
        <v>13</v>
      </c>
      <c r="H1576" s="269" t="s">
        <v>2059</v>
      </c>
      <c r="I1576" s="276">
        <f>C67/1000</f>
        <v>5.8</v>
      </c>
      <c r="J1576" s="269" t="s">
        <v>13</v>
      </c>
      <c r="K1576" s="276">
        <f>(F1576*I1576)</f>
        <v>7.54</v>
      </c>
      <c r="AG1576" s="71">
        <f t="shared" si="202"/>
        <v>0</v>
      </c>
    </row>
    <row r="1577" spans="6:33" ht="15.75">
      <c r="F1577" s="273">
        <v>0.25</v>
      </c>
      <c r="G1577" s="274" t="s">
        <v>4</v>
      </c>
      <c r="H1577" s="269" t="s">
        <v>2060</v>
      </c>
      <c r="I1577" s="276">
        <f>D14</f>
        <v>833</v>
      </c>
      <c r="J1577" s="269" t="s">
        <v>340</v>
      </c>
      <c r="K1577" s="276">
        <f>(F1577*I1577)</f>
        <v>208.25</v>
      </c>
      <c r="AG1577" s="71">
        <f t="shared" si="202"/>
        <v>0</v>
      </c>
    </row>
    <row r="1578" spans="6:33" ht="15.75">
      <c r="F1578" s="289"/>
      <c r="G1578" s="274" t="s">
        <v>226</v>
      </c>
      <c r="H1578" s="269" t="s">
        <v>237</v>
      </c>
      <c r="I1578" s="270"/>
      <c r="J1578" s="269" t="s">
        <v>226</v>
      </c>
      <c r="K1578" s="276">
        <f>(F1578*I1578)</f>
        <v>0</v>
      </c>
      <c r="AG1578" s="71">
        <f t="shared" si="202"/>
        <v>0</v>
      </c>
    </row>
    <row r="1579" spans="6:33" ht="15.75">
      <c r="F1579" s="289"/>
      <c r="G1579" s="268"/>
      <c r="H1579" s="270"/>
      <c r="I1579" s="270"/>
      <c r="J1579" s="271"/>
      <c r="K1579" s="272" t="s">
        <v>21</v>
      </c>
      <c r="AG1579" s="71">
        <f t="shared" si="202"/>
        <v>0</v>
      </c>
    </row>
    <row r="1580" spans="6:33" ht="15.75">
      <c r="F1580" s="289"/>
      <c r="G1580" s="268"/>
      <c r="H1580" s="269" t="s">
        <v>545</v>
      </c>
      <c r="I1580" s="270"/>
      <c r="J1580" s="271"/>
      <c r="K1580" s="276">
        <f>SUM(K1573:K1578)</f>
        <v>8027.8399999999992</v>
      </c>
      <c r="AG1580" s="71">
        <f t="shared" si="202"/>
        <v>0</v>
      </c>
    </row>
    <row r="1581" spans="6:33" ht="15.75">
      <c r="F1581" s="289"/>
      <c r="G1581" s="268"/>
      <c r="H1581" s="270"/>
      <c r="I1581" s="270"/>
      <c r="J1581" s="271"/>
      <c r="K1581" s="272" t="s">
        <v>21</v>
      </c>
      <c r="AG1581" s="71">
        <f t="shared" si="202"/>
        <v>0</v>
      </c>
    </row>
    <row r="1582" spans="6:33" ht="15.75">
      <c r="F1582" s="290"/>
      <c r="G1582" s="284"/>
      <c r="H1582" s="291" t="s">
        <v>546</v>
      </c>
      <c r="I1582" s="292"/>
      <c r="J1582" s="293"/>
      <c r="K1582" s="294">
        <f>(K1580*10)</f>
        <v>80278.399999999994</v>
      </c>
      <c r="AG1582" s="71">
        <f t="shared" si="202"/>
        <v>0</v>
      </c>
    </row>
    <row r="1583" spans="6:33" ht="15.75">
      <c r="F1583" s="100"/>
      <c r="K1583" s="59"/>
      <c r="AG1583" s="71">
        <f t="shared" si="202"/>
        <v>0</v>
      </c>
    </row>
    <row r="1584" spans="6:33" ht="15.75">
      <c r="F1584" s="100"/>
      <c r="K1584" s="59"/>
      <c r="AG1584" s="71">
        <f t="shared" si="202"/>
        <v>0</v>
      </c>
    </row>
    <row r="1585" spans="6:33" ht="15.75">
      <c r="F1585" s="100"/>
      <c r="H1585" s="295" t="s">
        <v>2061</v>
      </c>
      <c r="K1585" s="59"/>
      <c r="AG1585" s="71">
        <f t="shared" si="202"/>
        <v>0</v>
      </c>
    </row>
    <row r="1586" spans="6:33" ht="15.75">
      <c r="F1586" s="64">
        <v>1</v>
      </c>
      <c r="G1586" s="62" t="s">
        <v>541</v>
      </c>
      <c r="H1586" s="50" t="s">
        <v>2062</v>
      </c>
      <c r="I1586" s="52">
        <f>C138</f>
        <v>45000</v>
      </c>
      <c r="J1586" s="50" t="s">
        <v>277</v>
      </c>
      <c r="K1586" s="64">
        <f>(F1586*I1586)/10</f>
        <v>4500</v>
      </c>
      <c r="AG1586" s="71">
        <f t="shared" si="202"/>
        <v>0</v>
      </c>
    </row>
    <row r="1587" spans="6:33" ht="15.75">
      <c r="F1587" s="100">
        <v>0.01</v>
      </c>
      <c r="G1587" s="62" t="s">
        <v>541</v>
      </c>
      <c r="H1587" s="50" t="s">
        <v>543</v>
      </c>
      <c r="I1587" s="52">
        <f>C143</f>
        <v>43750</v>
      </c>
      <c r="J1587" s="50" t="s">
        <v>277</v>
      </c>
      <c r="K1587" s="64">
        <f>(F1587*I1587)/10</f>
        <v>43.75</v>
      </c>
      <c r="AG1587" s="71">
        <f t="shared" si="202"/>
        <v>0</v>
      </c>
    </row>
    <row r="1588" spans="6:33" ht="15.75">
      <c r="F1588" s="100">
        <v>3.5</v>
      </c>
      <c r="G1588" s="62" t="s">
        <v>4</v>
      </c>
      <c r="H1588" s="50" t="s">
        <v>544</v>
      </c>
      <c r="I1588" s="52">
        <f>I1575</f>
        <v>933.8</v>
      </c>
      <c r="J1588" s="50" t="s">
        <v>340</v>
      </c>
      <c r="K1588" s="64">
        <f>(F1588*I1588)</f>
        <v>3268.2999999999997</v>
      </c>
      <c r="AG1588" s="71">
        <f t="shared" si="202"/>
        <v>0</v>
      </c>
    </row>
    <row r="1589" spans="6:33" ht="15.75">
      <c r="F1589" s="64">
        <v>1.3</v>
      </c>
      <c r="G1589" s="62" t="s">
        <v>13</v>
      </c>
      <c r="H1589" s="50" t="s">
        <v>2059</v>
      </c>
      <c r="I1589" s="52">
        <f>C67/1000</f>
        <v>5.8</v>
      </c>
      <c r="J1589" s="50" t="s">
        <v>13</v>
      </c>
      <c r="K1589" s="64">
        <f>(F1589*I1589)</f>
        <v>7.54</v>
      </c>
      <c r="AG1589" s="71">
        <f t="shared" si="202"/>
        <v>0</v>
      </c>
    </row>
    <row r="1590" spans="6:33" ht="15.75">
      <c r="F1590" s="64">
        <v>0.25</v>
      </c>
      <c r="G1590" s="62" t="s">
        <v>4</v>
      </c>
      <c r="H1590" s="50" t="s">
        <v>2060</v>
      </c>
      <c r="I1590" s="52">
        <f>D14</f>
        <v>833</v>
      </c>
      <c r="J1590" s="50" t="s">
        <v>340</v>
      </c>
      <c r="K1590" s="64">
        <f>(F1590*I1590)</f>
        <v>208.25</v>
      </c>
      <c r="AG1590" s="71">
        <f t="shared" si="202"/>
        <v>0</v>
      </c>
    </row>
    <row r="1591" spans="6:33" ht="15.75">
      <c r="F1591" s="100"/>
      <c r="G1591" s="62" t="s">
        <v>226</v>
      </c>
      <c r="H1591" s="50" t="s">
        <v>237</v>
      </c>
      <c r="J1591" s="50" t="s">
        <v>226</v>
      </c>
      <c r="K1591" s="64">
        <f>(F1591*I1591)</f>
        <v>0</v>
      </c>
      <c r="AG1591" s="71">
        <f t="shared" si="202"/>
        <v>0</v>
      </c>
    </row>
    <row r="1592" spans="6:33" ht="15.75">
      <c r="F1592" s="100"/>
      <c r="K1592" s="59" t="s">
        <v>21</v>
      </c>
      <c r="AG1592" s="71">
        <f t="shared" si="202"/>
        <v>0</v>
      </c>
    </row>
    <row r="1593" spans="6:33" ht="15.75">
      <c r="F1593" s="100"/>
      <c r="H1593" s="50" t="s">
        <v>545</v>
      </c>
      <c r="K1593" s="64">
        <f>SUM(K1586:K1591)</f>
        <v>8027.8399999999992</v>
      </c>
      <c r="AG1593" s="71">
        <f t="shared" si="202"/>
        <v>0</v>
      </c>
    </row>
    <row r="1594" spans="6:33" ht="15.75">
      <c r="F1594" s="100"/>
      <c r="K1594" s="59" t="s">
        <v>21</v>
      </c>
      <c r="AG1594" s="71">
        <f t="shared" si="202"/>
        <v>0</v>
      </c>
    </row>
    <row r="1595" spans="6:33" ht="15.75">
      <c r="F1595" s="100" t="s">
        <v>150</v>
      </c>
      <c r="H1595" s="66" t="s">
        <v>546</v>
      </c>
      <c r="I1595" s="65"/>
      <c r="J1595" s="110"/>
      <c r="K1595" s="63">
        <f>(K1593*10)</f>
        <v>80278.399999999994</v>
      </c>
      <c r="AG1595" s="71">
        <f t="shared" si="202"/>
        <v>0</v>
      </c>
    </row>
    <row r="1596" spans="6:33" ht="15.75">
      <c r="F1596" s="100"/>
      <c r="K1596" s="59" t="s">
        <v>156</v>
      </c>
      <c r="AG1596" s="71">
        <f t="shared" si="202"/>
        <v>0</v>
      </c>
    </row>
    <row r="1597" spans="6:33" ht="15.75">
      <c r="F1597" s="100"/>
      <c r="H1597" s="50" t="s">
        <v>150</v>
      </c>
      <c r="K1597" s="50" t="s">
        <v>150</v>
      </c>
      <c r="AG1597" s="71">
        <f t="shared" si="202"/>
        <v>0</v>
      </c>
    </row>
    <row r="1598" spans="6:33" ht="15.75">
      <c r="F1598" s="107" t="s">
        <v>539</v>
      </c>
      <c r="G1598" s="62" t="s">
        <v>524</v>
      </c>
      <c r="H1598" s="50" t="s">
        <v>598</v>
      </c>
      <c r="O1598" s="65" t="s">
        <v>2063</v>
      </c>
      <c r="AG1598" s="71">
        <f t="shared" ref="AG1598:AG1661" si="204">AI1598</f>
        <v>0</v>
      </c>
    </row>
    <row r="1599" spans="6:33" ht="15.75">
      <c r="F1599" s="100"/>
      <c r="H1599" s="50" t="s">
        <v>540</v>
      </c>
      <c r="M1599" s="107" t="s">
        <v>539</v>
      </c>
      <c r="N1599" s="62" t="s">
        <v>524</v>
      </c>
      <c r="O1599" s="50" t="s">
        <v>598</v>
      </c>
      <c r="Q1599" s="55"/>
      <c r="AG1599" s="71">
        <f t="shared" si="204"/>
        <v>0</v>
      </c>
    </row>
    <row r="1600" spans="6:33" ht="15.75">
      <c r="F1600" s="100"/>
      <c r="H1600" s="59" t="s">
        <v>21</v>
      </c>
      <c r="M1600" s="100"/>
      <c r="N1600" s="53"/>
      <c r="O1600" s="50" t="s">
        <v>540</v>
      </c>
      <c r="Q1600" s="55"/>
      <c r="AG1600" s="71">
        <f t="shared" si="204"/>
        <v>0</v>
      </c>
    </row>
    <row r="1601" spans="6:33" ht="15.75">
      <c r="F1601" s="64">
        <v>1</v>
      </c>
      <c r="G1601" s="62" t="s">
        <v>541</v>
      </c>
      <c r="H1601" s="50" t="s">
        <v>542</v>
      </c>
      <c r="I1601" s="64">
        <f>(C139)</f>
        <v>45000</v>
      </c>
      <c r="J1601" s="50" t="s">
        <v>277</v>
      </c>
      <c r="K1601" s="64">
        <f>(F1601*I1601)/10</f>
        <v>4500</v>
      </c>
      <c r="L1601" s="52">
        <f>K1626+K1630</f>
        <v>393.12</v>
      </c>
      <c r="M1601" s="100"/>
      <c r="N1601" s="53"/>
      <c r="O1601" s="59" t="s">
        <v>21</v>
      </c>
      <c r="Q1601" s="55"/>
      <c r="AG1601" s="71">
        <f t="shared" si="204"/>
        <v>0</v>
      </c>
    </row>
    <row r="1602" spans="6:33" ht="15.75">
      <c r="F1602" s="100">
        <v>0.01</v>
      </c>
      <c r="G1602" s="62" t="s">
        <v>541</v>
      </c>
      <c r="H1602" s="50" t="s">
        <v>543</v>
      </c>
      <c r="I1602" s="72">
        <f>I1587</f>
        <v>43750</v>
      </c>
      <c r="J1602" s="50" t="s">
        <v>277</v>
      </c>
      <c r="K1602" s="64">
        <f>(F1602*I1602)/10</f>
        <v>43.75</v>
      </c>
      <c r="L1602" s="52">
        <f>L1601/3</f>
        <v>131.04</v>
      </c>
      <c r="M1602" s="64">
        <v>1</v>
      </c>
      <c r="N1602" s="62" t="s">
        <v>541</v>
      </c>
      <c r="O1602" s="50" t="s">
        <v>542</v>
      </c>
      <c r="P1602" s="64">
        <f>I1601</f>
        <v>45000</v>
      </c>
      <c r="Q1602" s="50" t="s">
        <v>277</v>
      </c>
      <c r="R1602" s="64">
        <f>(M1602*P1602)/10</f>
        <v>4500</v>
      </c>
      <c r="AG1602" s="71">
        <f t="shared" si="204"/>
        <v>0</v>
      </c>
    </row>
    <row r="1603" spans="6:33" ht="15.75">
      <c r="F1603" s="100">
        <v>3.5</v>
      </c>
      <c r="G1603" s="62" t="s">
        <v>4</v>
      </c>
      <c r="H1603" s="50" t="s">
        <v>544</v>
      </c>
      <c r="I1603" s="64">
        <f>AG38</f>
        <v>933.8</v>
      </c>
      <c r="J1603" s="50" t="s">
        <v>4</v>
      </c>
      <c r="K1603" s="64">
        <f>(F1603*I1603)</f>
        <v>3268.2999999999997</v>
      </c>
      <c r="M1603" s="100">
        <v>0.01</v>
      </c>
      <c r="N1603" s="62" t="s">
        <v>541</v>
      </c>
      <c r="O1603" s="54" t="s">
        <v>2064</v>
      </c>
      <c r="P1603" s="207">
        <f>80000/112*100</f>
        <v>71428.571428571435</v>
      </c>
      <c r="Q1603" s="50" t="s">
        <v>277</v>
      </c>
      <c r="R1603" s="64">
        <f>(M1603*P1603)/10</f>
        <v>71.428571428571431</v>
      </c>
      <c r="AG1603" s="71">
        <f t="shared" si="204"/>
        <v>0</v>
      </c>
    </row>
    <row r="1604" spans="6:33" ht="15.75">
      <c r="F1604" s="100"/>
      <c r="G1604" s="62" t="s">
        <v>226</v>
      </c>
      <c r="H1604" s="50" t="s">
        <v>237</v>
      </c>
      <c r="J1604" s="50" t="s">
        <v>226</v>
      </c>
      <c r="K1604" s="64">
        <v>0</v>
      </c>
      <c r="M1604" s="100">
        <v>3.5</v>
      </c>
      <c r="N1604" s="62" t="s">
        <v>4</v>
      </c>
      <c r="O1604" s="50" t="s">
        <v>544</v>
      </c>
      <c r="P1604" s="64">
        <f>I1603</f>
        <v>933.8</v>
      </c>
      <c r="Q1604" s="50" t="s">
        <v>4</v>
      </c>
      <c r="R1604" s="64">
        <f>(M1604*P1604)</f>
        <v>3268.2999999999997</v>
      </c>
      <c r="AG1604" s="71">
        <f t="shared" si="204"/>
        <v>0</v>
      </c>
    </row>
    <row r="1605" spans="6:33" ht="15.75">
      <c r="K1605" s="59" t="s">
        <v>21</v>
      </c>
      <c r="M1605" s="100"/>
      <c r="N1605" s="62" t="s">
        <v>226</v>
      </c>
      <c r="O1605" s="50" t="s">
        <v>237</v>
      </c>
      <c r="Q1605" s="50" t="s">
        <v>226</v>
      </c>
      <c r="R1605" s="64">
        <v>0</v>
      </c>
      <c r="AG1605" s="71">
        <f t="shared" si="204"/>
        <v>0</v>
      </c>
    </row>
    <row r="1606" spans="6:33" ht="15.75">
      <c r="H1606" s="50" t="s">
        <v>545</v>
      </c>
      <c r="K1606" s="64">
        <f>SUM(K1601:K1604)</f>
        <v>7812.0499999999993</v>
      </c>
      <c r="N1606" s="53"/>
      <c r="Q1606" s="55"/>
      <c r="R1606" s="59" t="s">
        <v>21</v>
      </c>
      <c r="AG1606" s="71">
        <f t="shared" si="204"/>
        <v>0</v>
      </c>
    </row>
    <row r="1607" spans="6:33" ht="15.75">
      <c r="K1607" s="59" t="s">
        <v>21</v>
      </c>
      <c r="N1607" s="53"/>
      <c r="O1607" s="50" t="s">
        <v>545</v>
      </c>
      <c r="Q1607" s="55"/>
      <c r="R1607" s="64">
        <f>SUM(R1602:R1605)</f>
        <v>7839.7285714285717</v>
      </c>
      <c r="AG1607" s="71">
        <f t="shared" si="204"/>
        <v>0</v>
      </c>
    </row>
    <row r="1608" spans="6:33" ht="15.75">
      <c r="H1608" s="66" t="s">
        <v>546</v>
      </c>
      <c r="I1608" s="65"/>
      <c r="J1608" s="110"/>
      <c r="K1608" s="63">
        <f>(K1606*10)</f>
        <v>78120.5</v>
      </c>
      <c r="N1608" s="53"/>
      <c r="Q1608" s="55"/>
      <c r="R1608" s="59" t="s">
        <v>21</v>
      </c>
      <c r="AG1608" s="71">
        <f t="shared" si="204"/>
        <v>0</v>
      </c>
    </row>
    <row r="1609" spans="6:33" ht="15.75">
      <c r="H1609" s="50" t="s">
        <v>150</v>
      </c>
      <c r="K1609" s="50" t="s">
        <v>150</v>
      </c>
      <c r="N1609" s="53"/>
      <c r="O1609" s="66" t="s">
        <v>546</v>
      </c>
      <c r="P1609" s="65"/>
      <c r="Q1609" s="110"/>
      <c r="R1609" s="63">
        <f>(R1607*10)</f>
        <v>78397.28571428571</v>
      </c>
      <c r="AG1609" s="71">
        <f t="shared" si="204"/>
        <v>0</v>
      </c>
    </row>
    <row r="1610" spans="6:33" ht="15.75">
      <c r="G1610" s="53" t="s">
        <v>520</v>
      </c>
      <c r="H1610" s="50" t="s">
        <v>598</v>
      </c>
      <c r="K1610" s="50"/>
      <c r="AG1610" s="71">
        <f t="shared" si="204"/>
        <v>0</v>
      </c>
    </row>
    <row r="1611" spans="6:33" ht="15.75">
      <c r="H1611" s="50" t="s">
        <v>2065</v>
      </c>
      <c r="K1611" s="50"/>
      <c r="N1611" s="53" t="s">
        <v>520</v>
      </c>
      <c r="O1611" s="50" t="s">
        <v>598</v>
      </c>
      <c r="Q1611" s="55"/>
      <c r="R1611" s="50"/>
      <c r="AG1611" s="71">
        <f t="shared" si="204"/>
        <v>0</v>
      </c>
    </row>
    <row r="1612" spans="6:33" ht="15.75">
      <c r="F1612" s="100"/>
      <c r="H1612" s="59" t="s">
        <v>21</v>
      </c>
      <c r="K1612" s="50"/>
      <c r="N1612" s="53"/>
      <c r="O1612" s="50" t="s">
        <v>2065</v>
      </c>
      <c r="Q1612" s="55"/>
      <c r="R1612" s="50"/>
      <c r="AG1612" s="71">
        <f t="shared" si="204"/>
        <v>0</v>
      </c>
    </row>
    <row r="1613" spans="6:33" ht="15.75">
      <c r="F1613" s="64">
        <v>1</v>
      </c>
      <c r="G1613" s="62" t="s">
        <v>541</v>
      </c>
      <c r="H1613" s="50" t="s">
        <v>2062</v>
      </c>
      <c r="I1613" s="52">
        <f>C138</f>
        <v>45000</v>
      </c>
      <c r="J1613" s="50" t="s">
        <v>277</v>
      </c>
      <c r="K1613" s="64">
        <f>(F1613*I1613)/10</f>
        <v>4500</v>
      </c>
      <c r="M1613" s="100"/>
      <c r="N1613" s="53"/>
      <c r="O1613" s="59" t="s">
        <v>21</v>
      </c>
      <c r="Q1613" s="55"/>
      <c r="R1613" s="50"/>
      <c r="AG1613" s="71">
        <f t="shared" si="204"/>
        <v>0</v>
      </c>
    </row>
    <row r="1614" spans="6:33" ht="15.75">
      <c r="F1614" s="100">
        <v>0.01</v>
      </c>
      <c r="G1614" s="62" t="s">
        <v>541</v>
      </c>
      <c r="H1614" s="50" t="s">
        <v>543</v>
      </c>
      <c r="I1614" s="52">
        <f>C143</f>
        <v>43750</v>
      </c>
      <c r="J1614" s="50" t="s">
        <v>277</v>
      </c>
      <c r="K1614" s="64">
        <f>(F1614*I1614)/10</f>
        <v>43.75</v>
      </c>
      <c r="M1614" s="64">
        <v>1</v>
      </c>
      <c r="N1614" s="62" t="s">
        <v>541</v>
      </c>
      <c r="O1614" s="50" t="s">
        <v>2062</v>
      </c>
      <c r="P1614" s="52">
        <f>I1613</f>
        <v>45000</v>
      </c>
      <c r="Q1614" s="50" t="s">
        <v>277</v>
      </c>
      <c r="R1614" s="64">
        <f>(M1614*P1614)/10</f>
        <v>4500</v>
      </c>
      <c r="AG1614" s="71">
        <f t="shared" si="204"/>
        <v>0</v>
      </c>
    </row>
    <row r="1615" spans="6:33" ht="15.75">
      <c r="F1615" s="100">
        <v>3.5</v>
      </c>
      <c r="G1615" s="62" t="s">
        <v>4</v>
      </c>
      <c r="H1615" s="50" t="s">
        <v>544</v>
      </c>
      <c r="I1615" s="52">
        <f>I1603</f>
        <v>933.8</v>
      </c>
      <c r="J1615" s="50" t="s">
        <v>4</v>
      </c>
      <c r="K1615" s="64">
        <f>(F1615*I1615)</f>
        <v>3268.2999999999997</v>
      </c>
      <c r="M1615" s="100">
        <v>0.01</v>
      </c>
      <c r="N1615" s="62" t="s">
        <v>541</v>
      </c>
      <c r="O1615" s="54" t="str">
        <f>O1603</f>
        <v>BINDING WIRE insulated with PVC as per circular</v>
      </c>
      <c r="P1615" s="52">
        <f>P1603</f>
        <v>71428.571428571435</v>
      </c>
      <c r="Q1615" s="50" t="s">
        <v>277</v>
      </c>
      <c r="R1615" s="64">
        <f>(M1615*P1615)/10</f>
        <v>71.428571428571431</v>
      </c>
      <c r="AG1615" s="71">
        <f t="shared" si="204"/>
        <v>0</v>
      </c>
    </row>
    <row r="1616" spans="6:33" ht="15.75">
      <c r="F1616" s="100"/>
      <c r="G1616" s="62" t="s">
        <v>226</v>
      </c>
      <c r="H1616" s="50" t="s">
        <v>237</v>
      </c>
      <c r="J1616" s="50" t="s">
        <v>226</v>
      </c>
      <c r="K1616" s="64">
        <v>0</v>
      </c>
      <c r="M1616" s="100">
        <v>3.5</v>
      </c>
      <c r="N1616" s="62" t="s">
        <v>541</v>
      </c>
      <c r="O1616" s="50" t="s">
        <v>544</v>
      </c>
      <c r="P1616" s="52">
        <f>I1615</f>
        <v>933.8</v>
      </c>
      <c r="Q1616" s="50" t="s">
        <v>4</v>
      </c>
      <c r="R1616" s="64">
        <f>(M1616*P1616)</f>
        <v>3268.2999999999997</v>
      </c>
      <c r="AG1616" s="71">
        <f t="shared" si="204"/>
        <v>0</v>
      </c>
    </row>
    <row r="1617" spans="6:33" ht="15.75">
      <c r="K1617" s="59" t="s">
        <v>21</v>
      </c>
      <c r="M1617" s="100"/>
      <c r="N1617" s="62" t="s">
        <v>541</v>
      </c>
      <c r="O1617" s="50" t="s">
        <v>237</v>
      </c>
      <c r="Q1617" s="50" t="s">
        <v>226</v>
      </c>
      <c r="R1617" s="64">
        <v>0</v>
      </c>
      <c r="AG1617" s="71">
        <f t="shared" si="204"/>
        <v>0</v>
      </c>
    </row>
    <row r="1618" spans="6:33" ht="15.75">
      <c r="H1618" s="50" t="s">
        <v>545</v>
      </c>
      <c r="K1618" s="64">
        <f>SUM(K1613:K1616)</f>
        <v>7812.0499999999993</v>
      </c>
      <c r="N1618" s="53"/>
      <c r="Q1618" s="55"/>
      <c r="R1618" s="59" t="s">
        <v>21</v>
      </c>
      <c r="AG1618" s="71">
        <f t="shared" si="204"/>
        <v>0</v>
      </c>
    </row>
    <row r="1619" spans="6:33" ht="15.75">
      <c r="K1619" s="59" t="s">
        <v>21</v>
      </c>
      <c r="N1619" s="53"/>
      <c r="O1619" s="50" t="s">
        <v>545</v>
      </c>
      <c r="Q1619" s="55"/>
      <c r="R1619" s="64">
        <f>SUM(R1614:R1617)</f>
        <v>7839.7285714285717</v>
      </c>
      <c r="AG1619" s="71">
        <f t="shared" si="204"/>
        <v>0</v>
      </c>
    </row>
    <row r="1620" spans="6:33" ht="15.75">
      <c r="H1620" s="66" t="s">
        <v>546</v>
      </c>
      <c r="I1620" s="65"/>
      <c r="J1620" s="110"/>
      <c r="K1620" s="63">
        <f>(K1618*10)</f>
        <v>78120.5</v>
      </c>
      <c r="N1620" s="53"/>
      <c r="Q1620" s="55"/>
      <c r="R1620" s="59" t="s">
        <v>21</v>
      </c>
      <c r="AG1620" s="71">
        <f t="shared" si="204"/>
        <v>0</v>
      </c>
    </row>
    <row r="1621" spans="6:33" ht="15.75">
      <c r="H1621" s="50" t="s">
        <v>150</v>
      </c>
      <c r="N1621" s="53"/>
      <c r="O1621" s="66" t="s">
        <v>546</v>
      </c>
      <c r="P1621" s="65"/>
      <c r="Q1621" s="110"/>
      <c r="R1621" s="63">
        <f>(R1619*10)</f>
        <v>78397.28571428571</v>
      </c>
      <c r="AG1621" s="71">
        <f t="shared" si="204"/>
        <v>0</v>
      </c>
    </row>
    <row r="1622" spans="6:33" ht="15.75">
      <c r="F1622" s="101">
        <v>44.1</v>
      </c>
      <c r="G1622" s="62" t="s">
        <v>249</v>
      </c>
      <c r="H1622" s="50" t="s">
        <v>549</v>
      </c>
      <c r="AG1622" s="71">
        <f t="shared" si="204"/>
        <v>0</v>
      </c>
    </row>
    <row r="1623" spans="6:33" ht="15.75">
      <c r="H1623" s="50" t="s">
        <v>550</v>
      </c>
      <c r="AG1623" s="71">
        <f t="shared" si="204"/>
        <v>0</v>
      </c>
    </row>
    <row r="1624" spans="6:33" ht="15.75">
      <c r="H1624" s="50" t="s">
        <v>2066</v>
      </c>
      <c r="M1624" s="101">
        <v>44.1</v>
      </c>
      <c r="N1624" s="62" t="s">
        <v>249</v>
      </c>
      <c r="O1624" s="50" t="s">
        <v>549</v>
      </c>
      <c r="AG1624" s="71">
        <f t="shared" si="204"/>
        <v>0</v>
      </c>
    </row>
    <row r="1625" spans="6:33" ht="15.75">
      <c r="H1625" s="59" t="s">
        <v>21</v>
      </c>
      <c r="N1625" s="53"/>
      <c r="O1625" s="50" t="s">
        <v>550</v>
      </c>
      <c r="AG1625" s="71">
        <f t="shared" si="204"/>
        <v>0</v>
      </c>
    </row>
    <row r="1626" spans="6:33" ht="15.75">
      <c r="F1626" s="64">
        <v>3</v>
      </c>
      <c r="G1626" s="62" t="s">
        <v>552</v>
      </c>
      <c r="H1626" s="50" t="s">
        <v>553</v>
      </c>
      <c r="I1626" s="64">
        <f>D620</f>
        <v>120.54</v>
      </c>
      <c r="J1626" s="50" t="s">
        <v>552</v>
      </c>
      <c r="K1626" s="64">
        <f t="shared" ref="K1626:K1631" si="205">(F1626*I1626)</f>
        <v>361.62</v>
      </c>
      <c r="N1626" s="53"/>
      <c r="O1626" s="50" t="s">
        <v>2066</v>
      </c>
      <c r="AG1626" s="71">
        <f t="shared" si="204"/>
        <v>0</v>
      </c>
    </row>
    <row r="1627" spans="6:33" ht="15.75">
      <c r="F1627" s="64">
        <v>1</v>
      </c>
      <c r="G1627" s="62" t="s">
        <v>153</v>
      </c>
      <c r="H1627" s="50" t="s">
        <v>554</v>
      </c>
      <c r="I1627" s="157">
        <f>(C623)</f>
        <v>76</v>
      </c>
      <c r="J1627" s="50" t="s">
        <v>153</v>
      </c>
      <c r="K1627" s="64">
        <f t="shared" si="205"/>
        <v>76</v>
      </c>
      <c r="N1627" s="53"/>
      <c r="O1627" s="59" t="s">
        <v>21</v>
      </c>
      <c r="AG1627" s="71">
        <f t="shared" si="204"/>
        <v>0</v>
      </c>
    </row>
    <row r="1628" spans="6:33" ht="15.75">
      <c r="F1628" s="64">
        <v>1</v>
      </c>
      <c r="G1628" s="62" t="s">
        <v>153</v>
      </c>
      <c r="H1628" s="50" t="s">
        <v>555</v>
      </c>
      <c r="I1628" s="64">
        <f>(C626)</f>
        <v>71</v>
      </c>
      <c r="J1628" s="50" t="s">
        <v>153</v>
      </c>
      <c r="K1628" s="64">
        <f t="shared" si="205"/>
        <v>71</v>
      </c>
      <c r="M1628" s="64">
        <v>3</v>
      </c>
      <c r="N1628" s="62" t="s">
        <v>552</v>
      </c>
      <c r="O1628" s="50" t="s">
        <v>553</v>
      </c>
      <c r="P1628" s="52">
        <f>I1626</f>
        <v>120.54</v>
      </c>
      <c r="Q1628" s="52" t="str">
        <f>J1628</f>
        <v>NO.</v>
      </c>
      <c r="R1628" s="52">
        <f t="shared" ref="R1628:R1633" si="206">P1628*M1628</f>
        <v>361.62</v>
      </c>
      <c r="AG1628" s="71">
        <f t="shared" si="204"/>
        <v>0</v>
      </c>
    </row>
    <row r="1629" spans="6:33" ht="15.75">
      <c r="F1629" s="64">
        <v>2</v>
      </c>
      <c r="G1629" s="62" t="s">
        <v>153</v>
      </c>
      <c r="H1629" s="50" t="s">
        <v>556</v>
      </c>
      <c r="I1629" s="64">
        <f>C597</f>
        <v>21.2</v>
      </c>
      <c r="J1629" s="50" t="s">
        <v>153</v>
      </c>
      <c r="K1629" s="64">
        <f t="shared" si="205"/>
        <v>42.4</v>
      </c>
      <c r="M1629" s="64">
        <v>1</v>
      </c>
      <c r="N1629" s="62" t="s">
        <v>153</v>
      </c>
      <c r="O1629" s="50" t="s">
        <v>554</v>
      </c>
      <c r="P1629" s="52">
        <v>76.78</v>
      </c>
      <c r="Q1629" s="52" t="str">
        <f>J1629</f>
        <v>NO.</v>
      </c>
      <c r="R1629" s="52">
        <f t="shared" si="206"/>
        <v>76.78</v>
      </c>
      <c r="AG1629" s="71">
        <f t="shared" si="204"/>
        <v>0</v>
      </c>
    </row>
    <row r="1630" spans="6:33" ht="15.75">
      <c r="F1630" s="64">
        <v>1</v>
      </c>
      <c r="G1630" s="62" t="s">
        <v>153</v>
      </c>
      <c r="H1630" s="50" t="s">
        <v>557</v>
      </c>
      <c r="I1630" s="64">
        <f>(C696)</f>
        <v>31.5</v>
      </c>
      <c r="J1630" s="50" t="s">
        <v>153</v>
      </c>
      <c r="K1630" s="64">
        <f t="shared" si="205"/>
        <v>31.5</v>
      </c>
      <c r="M1630" s="64">
        <v>1</v>
      </c>
      <c r="N1630" s="62" t="s">
        <v>153</v>
      </c>
      <c r="O1630" s="50" t="s">
        <v>555</v>
      </c>
      <c r="P1630" s="52">
        <f>I1628</f>
        <v>71</v>
      </c>
      <c r="Q1630" s="52" t="str">
        <f>J1630</f>
        <v>NO.</v>
      </c>
      <c r="R1630" s="52">
        <f t="shared" si="206"/>
        <v>71</v>
      </c>
      <c r="AG1630" s="71">
        <f t="shared" si="204"/>
        <v>0</v>
      </c>
    </row>
    <row r="1631" spans="6:33" ht="15.75">
      <c r="F1631" s="64">
        <v>0.5</v>
      </c>
      <c r="G1631" s="62" t="s">
        <v>153</v>
      </c>
      <c r="H1631" s="50" t="s">
        <v>558</v>
      </c>
      <c r="I1631" s="64">
        <f>(C15)</f>
        <v>933.8</v>
      </c>
      <c r="J1631" s="50" t="s">
        <v>153</v>
      </c>
      <c r="K1631" s="64">
        <f t="shared" si="205"/>
        <v>466.9</v>
      </c>
      <c r="M1631" s="63">
        <v>2</v>
      </c>
      <c r="N1631" s="124" t="s">
        <v>1717</v>
      </c>
      <c r="O1631" s="296" t="s">
        <v>2067</v>
      </c>
      <c r="P1631" s="136">
        <v>12</v>
      </c>
      <c r="Q1631" s="52" t="str">
        <f>J1631</f>
        <v>NO.</v>
      </c>
      <c r="R1631" s="52">
        <f t="shared" si="206"/>
        <v>24</v>
      </c>
      <c r="AG1631" s="71">
        <f t="shared" si="204"/>
        <v>0</v>
      </c>
    </row>
    <row r="1632" spans="6:33" ht="15.75">
      <c r="G1632" s="62" t="s">
        <v>226</v>
      </c>
      <c r="H1632" s="50" t="s">
        <v>559</v>
      </c>
      <c r="J1632" s="50" t="s">
        <v>226</v>
      </c>
      <c r="K1632" s="64"/>
      <c r="M1632" s="64">
        <v>1</v>
      </c>
      <c r="N1632" s="297" t="s">
        <v>1717</v>
      </c>
      <c r="O1632" s="50" t="s">
        <v>557</v>
      </c>
      <c r="P1632" s="52">
        <f>I1630</f>
        <v>31.5</v>
      </c>
      <c r="Q1632" s="52" t="str">
        <f>J1632</f>
        <v>L.S</v>
      </c>
      <c r="R1632" s="52">
        <f t="shared" si="206"/>
        <v>31.5</v>
      </c>
      <c r="AG1632" s="71">
        <f t="shared" si="204"/>
        <v>0</v>
      </c>
    </row>
    <row r="1633" spans="6:33" ht="15.75">
      <c r="H1633" s="50" t="s">
        <v>560</v>
      </c>
      <c r="M1633" s="64">
        <v>0.5</v>
      </c>
      <c r="N1633" s="297" t="s">
        <v>1717</v>
      </c>
      <c r="O1633" s="50" t="s">
        <v>558</v>
      </c>
      <c r="P1633" s="52">
        <f>I1631</f>
        <v>933.8</v>
      </c>
      <c r="R1633" s="52">
        <f t="shared" si="206"/>
        <v>466.9</v>
      </c>
      <c r="AG1633" s="71">
        <f t="shared" si="204"/>
        <v>0</v>
      </c>
    </row>
    <row r="1634" spans="6:33" ht="15.75">
      <c r="K1634" s="59" t="s">
        <v>21</v>
      </c>
      <c r="N1634" s="297" t="s">
        <v>1717</v>
      </c>
      <c r="O1634" s="50" t="s">
        <v>559</v>
      </c>
      <c r="P1634" s="52">
        <f>I1634</f>
        <v>0</v>
      </c>
      <c r="AG1634" s="71">
        <f t="shared" si="204"/>
        <v>0</v>
      </c>
    </row>
    <row r="1635" spans="6:33" ht="15.75">
      <c r="H1635" s="50" t="s">
        <v>561</v>
      </c>
      <c r="K1635" s="64">
        <f>SUM(K1626:K1632)</f>
        <v>1049.42</v>
      </c>
      <c r="O1635" s="50" t="s">
        <v>560</v>
      </c>
      <c r="R1635" s="52">
        <f>26.98+4.7</f>
        <v>31.68</v>
      </c>
      <c r="AG1635" s="71">
        <f t="shared" si="204"/>
        <v>0</v>
      </c>
    </row>
    <row r="1636" spans="6:33" ht="15.75">
      <c r="F1636" s="50" t="s">
        <v>150</v>
      </c>
      <c r="AG1636" s="71">
        <f t="shared" si="204"/>
        <v>0</v>
      </c>
    </row>
    <row r="1637" spans="6:33" ht="15.75">
      <c r="K1637" s="59" t="s">
        <v>21</v>
      </c>
      <c r="O1637" s="50" t="s">
        <v>561</v>
      </c>
      <c r="R1637" s="65">
        <f>SUM(R1628:R1636)</f>
        <v>1063.48</v>
      </c>
      <c r="AG1637" s="71">
        <f t="shared" si="204"/>
        <v>0</v>
      </c>
    </row>
    <row r="1638" spans="6:33" ht="15.75">
      <c r="H1638" s="66" t="s">
        <v>562</v>
      </c>
      <c r="I1638" s="65"/>
      <c r="J1638" s="110"/>
      <c r="K1638" s="63">
        <f>(K1635/3)</f>
        <v>349.80666666666667</v>
      </c>
      <c r="AG1638" s="71">
        <f t="shared" si="204"/>
        <v>0</v>
      </c>
    </row>
    <row r="1639" spans="6:33" ht="15.75">
      <c r="H1639" s="50"/>
      <c r="K1639" s="59" t="s">
        <v>156</v>
      </c>
      <c r="N1639" s="53"/>
      <c r="Q1639" s="55"/>
      <c r="R1639" s="59" t="s">
        <v>21</v>
      </c>
      <c r="AG1639" s="71">
        <f t="shared" si="204"/>
        <v>0</v>
      </c>
    </row>
    <row r="1640" spans="6:33" ht="15.75">
      <c r="F1640" s="51" t="s">
        <v>2068</v>
      </c>
      <c r="H1640" s="50" t="s">
        <v>2069</v>
      </c>
      <c r="N1640" s="53"/>
      <c r="O1640" s="66" t="s">
        <v>562</v>
      </c>
      <c r="P1640" s="65"/>
      <c r="Q1640" s="110"/>
      <c r="R1640" s="63">
        <f>(R1637/3)</f>
        <v>354.49333333333334</v>
      </c>
      <c r="S1640" s="56">
        <f>310*3</f>
        <v>930</v>
      </c>
      <c r="T1640" s="52">
        <f>S1640-R1637</f>
        <v>-133.48000000000002</v>
      </c>
      <c r="AG1640" s="71">
        <f t="shared" si="204"/>
        <v>0</v>
      </c>
    </row>
    <row r="1641" spans="6:33" ht="15.75">
      <c r="H1641" s="50" t="s">
        <v>2070</v>
      </c>
      <c r="N1641" s="53"/>
      <c r="O1641" s="50"/>
      <c r="Q1641" s="55"/>
      <c r="R1641" s="59" t="s">
        <v>156</v>
      </c>
      <c r="AG1641" s="71">
        <f t="shared" si="204"/>
        <v>0</v>
      </c>
    </row>
    <row r="1642" spans="6:33" ht="15.75">
      <c r="H1642" s="50" t="s">
        <v>2071</v>
      </c>
      <c r="AG1642" s="71">
        <f t="shared" si="204"/>
        <v>0</v>
      </c>
    </row>
    <row r="1643" spans="6:33" ht="15.75">
      <c r="H1643" s="59" t="s">
        <v>21</v>
      </c>
      <c r="AG1643" s="71">
        <f t="shared" si="204"/>
        <v>0</v>
      </c>
    </row>
    <row r="1644" spans="6:33" ht="15.75">
      <c r="F1644" s="64">
        <v>0.15</v>
      </c>
      <c r="G1644" s="62" t="s">
        <v>151</v>
      </c>
      <c r="H1644" s="50" t="s">
        <v>2072</v>
      </c>
      <c r="I1644" s="64">
        <f>(C70)</f>
        <v>1617.4499999999998</v>
      </c>
      <c r="J1644" s="50" t="s">
        <v>151</v>
      </c>
      <c r="K1644" s="64">
        <f>(F1644*I1644)</f>
        <v>242.61749999999995</v>
      </c>
      <c r="AG1644" s="71">
        <f t="shared" si="204"/>
        <v>0</v>
      </c>
    </row>
    <row r="1645" spans="6:33" ht="15.75">
      <c r="F1645" s="131">
        <v>8.6499999999999994E-2</v>
      </c>
      <c r="G1645" s="62" t="s">
        <v>251</v>
      </c>
      <c r="H1645" s="50" t="s">
        <v>252</v>
      </c>
      <c r="I1645" s="64">
        <f>(C67)</f>
        <v>5800</v>
      </c>
      <c r="J1645" s="50" t="s">
        <v>251</v>
      </c>
      <c r="K1645" s="64">
        <f>(F1645*I1645)</f>
        <v>501.7</v>
      </c>
      <c r="AG1645" s="71">
        <f t="shared" si="204"/>
        <v>0</v>
      </c>
    </row>
    <row r="1646" spans="6:33" ht="15.75">
      <c r="F1646" s="64">
        <v>1.6</v>
      </c>
      <c r="G1646" s="62" t="s">
        <v>4</v>
      </c>
      <c r="H1646" s="50" t="s">
        <v>269</v>
      </c>
      <c r="I1646" s="64">
        <f>(C10)</f>
        <v>1076.5999999999999</v>
      </c>
      <c r="J1646" s="50" t="s">
        <v>4</v>
      </c>
      <c r="K1646" s="64">
        <f>(F1646*I1646)</f>
        <v>1722.56</v>
      </c>
      <c r="AG1646" s="71">
        <f t="shared" si="204"/>
        <v>0</v>
      </c>
    </row>
    <row r="1647" spans="6:33" ht="15.75">
      <c r="F1647" s="64">
        <v>0.5</v>
      </c>
      <c r="G1647" s="62" t="s">
        <v>4</v>
      </c>
      <c r="H1647" s="50" t="s">
        <v>235</v>
      </c>
      <c r="I1647" s="64">
        <f>(C12)</f>
        <v>702.8</v>
      </c>
      <c r="J1647" s="50" t="s">
        <v>4</v>
      </c>
      <c r="K1647" s="64">
        <f>(F1647*I1647)</f>
        <v>351.4</v>
      </c>
      <c r="AG1647" s="71">
        <f t="shared" si="204"/>
        <v>0</v>
      </c>
    </row>
    <row r="1648" spans="6:33" ht="15.75">
      <c r="F1648" s="64">
        <v>1.1000000000000001</v>
      </c>
      <c r="G1648" s="62" t="s">
        <v>4</v>
      </c>
      <c r="H1648" s="50" t="s">
        <v>236</v>
      </c>
      <c r="I1648" s="64">
        <f>(C13)</f>
        <v>576.79999999999995</v>
      </c>
      <c r="J1648" s="50" t="s">
        <v>4</v>
      </c>
      <c r="K1648" s="64">
        <f>(F1648*I1648)</f>
        <v>634.48</v>
      </c>
      <c r="AG1648" s="71">
        <f t="shared" si="204"/>
        <v>0</v>
      </c>
    </row>
    <row r="1649" spans="6:33" ht="15.75">
      <c r="G1649" s="62" t="s">
        <v>226</v>
      </c>
      <c r="H1649" s="50" t="s">
        <v>237</v>
      </c>
      <c r="I1649" s="50" t="s">
        <v>150</v>
      </c>
      <c r="J1649" s="50" t="s">
        <v>226</v>
      </c>
      <c r="K1649" s="64">
        <v>0</v>
      </c>
      <c r="AG1649" s="71">
        <f t="shared" si="204"/>
        <v>0</v>
      </c>
    </row>
    <row r="1650" spans="6:33" ht="15.75">
      <c r="K1650" s="59" t="s">
        <v>21</v>
      </c>
      <c r="AG1650" s="71">
        <f t="shared" si="204"/>
        <v>0</v>
      </c>
    </row>
    <row r="1651" spans="6:33" ht="15.75">
      <c r="H1651" s="50" t="s">
        <v>238</v>
      </c>
      <c r="K1651" s="64">
        <f>SUM(K1644:K1649)</f>
        <v>3452.7574999999997</v>
      </c>
      <c r="AG1651" s="71">
        <f t="shared" si="204"/>
        <v>0</v>
      </c>
    </row>
    <row r="1652" spans="6:33" ht="15.75">
      <c r="K1652" s="59" t="s">
        <v>21</v>
      </c>
      <c r="AG1652" s="71">
        <f t="shared" si="204"/>
        <v>0</v>
      </c>
    </row>
    <row r="1653" spans="6:33" ht="15.75">
      <c r="H1653" s="66" t="s">
        <v>155</v>
      </c>
      <c r="I1653" s="65"/>
      <c r="J1653" s="110"/>
      <c r="K1653" s="63">
        <f>(K1651/10)</f>
        <v>345.27574999999996</v>
      </c>
      <c r="AG1653" s="71">
        <f t="shared" si="204"/>
        <v>0</v>
      </c>
    </row>
    <row r="1654" spans="6:33" ht="15.75">
      <c r="K1654" s="59" t="s">
        <v>156</v>
      </c>
      <c r="AG1654" s="71">
        <f t="shared" si="204"/>
        <v>0</v>
      </c>
    </row>
    <row r="1655" spans="6:33" ht="15.75">
      <c r="F1655" s="51" t="s">
        <v>2073</v>
      </c>
      <c r="G1655" s="62" t="s">
        <v>249</v>
      </c>
      <c r="H1655" s="50" t="s">
        <v>2074</v>
      </c>
      <c r="AG1655" s="71">
        <f t="shared" si="204"/>
        <v>0</v>
      </c>
    </row>
    <row r="1656" spans="6:33" ht="15.75">
      <c r="H1656" s="50" t="s">
        <v>2075</v>
      </c>
      <c r="AG1656" s="71">
        <f t="shared" si="204"/>
        <v>0</v>
      </c>
    </row>
    <row r="1657" spans="6:33" ht="15.75">
      <c r="H1657" s="50" t="s">
        <v>2076</v>
      </c>
      <c r="J1657" s="50" t="s">
        <v>150</v>
      </c>
      <c r="AG1657" s="71">
        <f t="shared" si="204"/>
        <v>0</v>
      </c>
    </row>
    <row r="1658" spans="6:33" ht="15.75">
      <c r="H1658" s="50" t="s">
        <v>2077</v>
      </c>
      <c r="AG1658" s="71">
        <f t="shared" si="204"/>
        <v>0</v>
      </c>
    </row>
    <row r="1659" spans="6:33" ht="15.75">
      <c r="H1659" s="50" t="s">
        <v>2078</v>
      </c>
      <c r="AG1659" s="71">
        <f t="shared" si="204"/>
        <v>0</v>
      </c>
    </row>
    <row r="1660" spans="6:33" ht="15.75">
      <c r="H1660" s="50" t="s">
        <v>2079</v>
      </c>
      <c r="AG1660" s="71">
        <f t="shared" si="204"/>
        <v>0</v>
      </c>
    </row>
    <row r="1661" spans="6:33" ht="15.75">
      <c r="H1661" s="50" t="s">
        <v>2080</v>
      </c>
      <c r="AG1661" s="71">
        <f t="shared" si="204"/>
        <v>0</v>
      </c>
    </row>
    <row r="1662" spans="6:33" ht="15.75">
      <c r="H1662" s="50" t="s">
        <v>2081</v>
      </c>
      <c r="AG1662" s="71">
        <f t="shared" ref="AG1662:AG1695" si="207">AI1662</f>
        <v>0</v>
      </c>
    </row>
    <row r="1663" spans="6:33" ht="15.75">
      <c r="H1663" s="50" t="s">
        <v>2082</v>
      </c>
      <c r="AG1663" s="71">
        <f t="shared" si="207"/>
        <v>0</v>
      </c>
    </row>
    <row r="1664" spans="6:33" ht="15.75">
      <c r="H1664" s="59" t="s">
        <v>156</v>
      </c>
      <c r="AG1664" s="71">
        <f t="shared" si="207"/>
        <v>0</v>
      </c>
    </row>
    <row r="1665" spans="6:33" ht="15.75">
      <c r="AG1665" s="71">
        <f t="shared" si="207"/>
        <v>0</v>
      </c>
    </row>
    <row r="1666" spans="6:33" ht="15.75">
      <c r="F1666" s="64">
        <v>1</v>
      </c>
      <c r="G1666" s="62" t="s">
        <v>303</v>
      </c>
      <c r="H1666" s="50" t="s">
        <v>2083</v>
      </c>
      <c r="I1666" s="174">
        <v>45.72</v>
      </c>
      <c r="J1666" s="50" t="s">
        <v>303</v>
      </c>
      <c r="K1666" s="64">
        <f>(F1666*I1666)</f>
        <v>45.72</v>
      </c>
      <c r="AG1666" s="71">
        <f t="shared" si="207"/>
        <v>0</v>
      </c>
    </row>
    <row r="1667" spans="6:33" ht="15.75">
      <c r="F1667" s="64">
        <v>1</v>
      </c>
      <c r="G1667" s="62" t="s">
        <v>2084</v>
      </c>
      <c r="H1667" s="50" t="s">
        <v>2085</v>
      </c>
      <c r="I1667" s="174">
        <v>5</v>
      </c>
      <c r="J1667" s="50" t="s">
        <v>2084</v>
      </c>
      <c r="K1667" s="64">
        <f>(F1667*I1667)</f>
        <v>5</v>
      </c>
      <c r="AG1667" s="71">
        <f t="shared" si="207"/>
        <v>0</v>
      </c>
    </row>
    <row r="1668" spans="6:33" ht="15.75">
      <c r="G1668" s="62" t="s">
        <v>226</v>
      </c>
      <c r="H1668" s="50" t="s">
        <v>2086</v>
      </c>
      <c r="J1668" s="50" t="s">
        <v>226</v>
      </c>
      <c r="K1668" s="64">
        <v>7.28</v>
      </c>
      <c r="AG1668" s="71">
        <f t="shared" si="207"/>
        <v>0</v>
      </c>
    </row>
    <row r="1669" spans="6:33" ht="15.75">
      <c r="K1669" s="59" t="s">
        <v>21</v>
      </c>
      <c r="AG1669" s="71">
        <f t="shared" si="207"/>
        <v>0</v>
      </c>
    </row>
    <row r="1670" spans="6:33" ht="15.75">
      <c r="H1670" s="51" t="s">
        <v>2087</v>
      </c>
      <c r="K1670" s="64">
        <f>SUM(K1666:K1668)</f>
        <v>58</v>
      </c>
      <c r="AG1670" s="71">
        <f t="shared" si="207"/>
        <v>0</v>
      </c>
    </row>
    <row r="1671" spans="6:33" ht="15.75">
      <c r="K1671" s="59" t="s">
        <v>156</v>
      </c>
      <c r="AG1671" s="71">
        <f t="shared" si="207"/>
        <v>0</v>
      </c>
    </row>
    <row r="1672" spans="6:33" ht="15.75">
      <c r="F1672" s="51" t="s">
        <v>2088</v>
      </c>
      <c r="G1672" s="62" t="s">
        <v>249</v>
      </c>
      <c r="H1672" s="50" t="s">
        <v>2089</v>
      </c>
      <c r="AG1672" s="71">
        <f t="shared" si="207"/>
        <v>0</v>
      </c>
    </row>
    <row r="1673" spans="6:33" ht="15.75">
      <c r="H1673" s="50" t="s">
        <v>2090</v>
      </c>
      <c r="AG1673" s="71">
        <f t="shared" si="207"/>
        <v>0</v>
      </c>
    </row>
    <row r="1674" spans="6:33" ht="15.75">
      <c r="H1674" s="50" t="s">
        <v>2091</v>
      </c>
      <c r="AG1674" s="71">
        <f t="shared" si="207"/>
        <v>0</v>
      </c>
    </row>
    <row r="1675" spans="6:33" ht="15.75">
      <c r="H1675" s="50" t="s">
        <v>2092</v>
      </c>
      <c r="AG1675" s="71">
        <f t="shared" si="207"/>
        <v>0</v>
      </c>
    </row>
    <row r="1676" spans="6:33" ht="15.75">
      <c r="H1676" s="50" t="s">
        <v>2093</v>
      </c>
      <c r="AG1676" s="71">
        <f t="shared" si="207"/>
        <v>0</v>
      </c>
    </row>
    <row r="1677" spans="6:33" ht="15.75">
      <c r="H1677" s="59" t="s">
        <v>21</v>
      </c>
      <c r="I1677" s="59" t="s">
        <v>21</v>
      </c>
      <c r="AG1677" s="71">
        <f t="shared" si="207"/>
        <v>0</v>
      </c>
    </row>
    <row r="1678" spans="6:33" ht="15.75">
      <c r="F1678" s="64">
        <v>1</v>
      </c>
      <c r="G1678" s="62" t="s">
        <v>2094</v>
      </c>
      <c r="H1678" s="50" t="s">
        <v>2095</v>
      </c>
      <c r="I1678" s="174">
        <v>85</v>
      </c>
      <c r="J1678" s="50" t="s">
        <v>340</v>
      </c>
      <c r="K1678" s="64">
        <f>(F1678*I1678)</f>
        <v>85</v>
      </c>
      <c r="AG1678" s="71">
        <f t="shared" si="207"/>
        <v>0</v>
      </c>
    </row>
    <row r="1679" spans="6:33" ht="15.75">
      <c r="G1679" s="62" t="s">
        <v>226</v>
      </c>
      <c r="H1679" s="50" t="s">
        <v>2096</v>
      </c>
      <c r="J1679" s="50" t="s">
        <v>226</v>
      </c>
      <c r="K1679" s="64">
        <v>7.5</v>
      </c>
      <c r="AG1679" s="71">
        <f t="shared" si="207"/>
        <v>0</v>
      </c>
    </row>
    <row r="1680" spans="6:33" ht="15.75">
      <c r="G1680" s="62" t="s">
        <v>226</v>
      </c>
      <c r="H1680" s="50" t="s">
        <v>2097</v>
      </c>
      <c r="J1680" s="50" t="s">
        <v>226</v>
      </c>
      <c r="K1680" s="64">
        <f>1.75+0.75</f>
        <v>2.5</v>
      </c>
      <c r="AG1680" s="71">
        <f t="shared" si="207"/>
        <v>0</v>
      </c>
    </row>
    <row r="1681" spans="6:33" ht="15.75">
      <c r="H1681" s="50" t="s">
        <v>2098</v>
      </c>
      <c r="K1681" s="59" t="s">
        <v>21</v>
      </c>
      <c r="AG1681" s="71">
        <f t="shared" si="207"/>
        <v>0</v>
      </c>
    </row>
    <row r="1682" spans="6:33" ht="15.75">
      <c r="H1682" s="51" t="s">
        <v>2087</v>
      </c>
      <c r="K1682" s="64">
        <f>SUM(K1678:K1680)</f>
        <v>95</v>
      </c>
      <c r="AG1682" s="71">
        <f t="shared" si="207"/>
        <v>0</v>
      </c>
    </row>
    <row r="1683" spans="6:33" ht="15.75">
      <c r="K1683" s="59" t="s">
        <v>156</v>
      </c>
      <c r="AG1683" s="71">
        <f t="shared" si="207"/>
        <v>0</v>
      </c>
    </row>
    <row r="1684" spans="6:33" ht="15.75">
      <c r="F1684" s="51" t="s">
        <v>2099</v>
      </c>
      <c r="G1684" s="62" t="s">
        <v>249</v>
      </c>
      <c r="H1684" s="50" t="s">
        <v>2100</v>
      </c>
      <c r="AG1684" s="71">
        <f t="shared" si="207"/>
        <v>0</v>
      </c>
    </row>
    <row r="1685" spans="6:33" ht="15.75">
      <c r="H1685" s="50" t="s">
        <v>2101</v>
      </c>
      <c r="K1685" s="50" t="s">
        <v>150</v>
      </c>
      <c r="AG1685" s="71">
        <f t="shared" si="207"/>
        <v>0</v>
      </c>
    </row>
    <row r="1686" spans="6:33" ht="15.75">
      <c r="H1686" s="59" t="s">
        <v>21</v>
      </c>
      <c r="AG1686" s="71">
        <f t="shared" si="207"/>
        <v>0</v>
      </c>
    </row>
    <row r="1687" spans="6:33" ht="15.75">
      <c r="F1687" s="64">
        <v>1</v>
      </c>
      <c r="G1687" s="62" t="s">
        <v>2094</v>
      </c>
      <c r="H1687" s="50" t="s">
        <v>2102</v>
      </c>
      <c r="I1687" s="174">
        <v>50</v>
      </c>
      <c r="J1687" s="50" t="s">
        <v>340</v>
      </c>
      <c r="K1687" s="64">
        <f>(F1687*I1687)</f>
        <v>50</v>
      </c>
      <c r="AG1687" s="71">
        <f t="shared" si="207"/>
        <v>0</v>
      </c>
    </row>
    <row r="1688" spans="6:33" ht="15.75">
      <c r="G1688" s="62" t="s">
        <v>226</v>
      </c>
      <c r="H1688" s="50" t="s">
        <v>2103</v>
      </c>
      <c r="J1688" s="50" t="s">
        <v>226</v>
      </c>
      <c r="K1688" s="64">
        <v>5</v>
      </c>
      <c r="AG1688" s="71">
        <f t="shared" si="207"/>
        <v>0</v>
      </c>
    </row>
    <row r="1689" spans="6:33" ht="15.75">
      <c r="K1689" s="59" t="s">
        <v>21</v>
      </c>
      <c r="AG1689" s="71">
        <f t="shared" si="207"/>
        <v>0</v>
      </c>
    </row>
    <row r="1690" spans="6:33" ht="15.75">
      <c r="H1690" s="51" t="s">
        <v>2104</v>
      </c>
      <c r="K1690" s="64">
        <f>SUM(K1686:K1688)</f>
        <v>55</v>
      </c>
      <c r="AG1690" s="71">
        <f t="shared" si="207"/>
        <v>0</v>
      </c>
    </row>
    <row r="1691" spans="6:33" ht="15.75">
      <c r="K1691" s="59" t="s">
        <v>156</v>
      </c>
      <c r="AG1691" s="71">
        <f t="shared" si="207"/>
        <v>0</v>
      </c>
    </row>
    <row r="1692" spans="6:33" ht="15.75">
      <c r="F1692" s="51" t="s">
        <v>2105</v>
      </c>
      <c r="G1692" s="62" t="s">
        <v>249</v>
      </c>
      <c r="H1692" s="50" t="s">
        <v>2106</v>
      </c>
      <c r="AG1692" s="71">
        <f t="shared" si="207"/>
        <v>0</v>
      </c>
    </row>
    <row r="1693" spans="6:33" ht="15.75">
      <c r="H1693" s="59" t="s">
        <v>21</v>
      </c>
      <c r="I1693" s="59" t="s">
        <v>21</v>
      </c>
      <c r="AG1693" s="71">
        <f t="shared" si="207"/>
        <v>0</v>
      </c>
    </row>
    <row r="1694" spans="6:33" ht="15.75">
      <c r="F1694" s="64">
        <v>1</v>
      </c>
      <c r="G1694" s="62" t="s">
        <v>2094</v>
      </c>
      <c r="H1694" s="50" t="s">
        <v>2107</v>
      </c>
      <c r="I1694" s="174">
        <v>1.2</v>
      </c>
      <c r="J1694" s="50" t="s">
        <v>340</v>
      </c>
      <c r="K1694" s="64">
        <f>(F1694*I1694)</f>
        <v>1.2</v>
      </c>
      <c r="AG1694" s="71">
        <f t="shared" si="207"/>
        <v>0</v>
      </c>
    </row>
    <row r="1695" spans="6:33" ht="15.75">
      <c r="G1695" s="62" t="s">
        <v>226</v>
      </c>
      <c r="H1695" s="50" t="s">
        <v>2103</v>
      </c>
      <c r="J1695" s="50" t="s">
        <v>226</v>
      </c>
      <c r="K1695" s="64">
        <f>K1694*0.25</f>
        <v>0.3</v>
      </c>
      <c r="AG1695" s="71">
        <f t="shared" si="207"/>
        <v>0</v>
      </c>
    </row>
    <row r="1696" spans="6:33" ht="15.75">
      <c r="K1696" s="59" t="s">
        <v>21</v>
      </c>
    </row>
    <row r="1697" spans="6:11" ht="15.75">
      <c r="H1697" s="51" t="s">
        <v>2104</v>
      </c>
      <c r="K1697" s="64">
        <f>SUM(K1692:K1695)</f>
        <v>1.5</v>
      </c>
    </row>
    <row r="1698" spans="6:11" ht="15.75">
      <c r="F1698" s="50" t="s">
        <v>150</v>
      </c>
      <c r="K1698" s="59" t="s">
        <v>21</v>
      </c>
    </row>
    <row r="1699" spans="6:11" ht="15.75">
      <c r="F1699" s="101">
        <v>50.1</v>
      </c>
      <c r="G1699" s="62" t="s">
        <v>249</v>
      </c>
      <c r="H1699" s="50" t="s">
        <v>2108</v>
      </c>
    </row>
    <row r="1700" spans="6:11" ht="15.75">
      <c r="H1700" s="50" t="s">
        <v>2109</v>
      </c>
    </row>
    <row r="1701" spans="6:11" ht="15.75">
      <c r="H1701" s="50" t="s">
        <v>2110</v>
      </c>
    </row>
    <row r="1702" spans="6:11" ht="15.75">
      <c r="H1702" s="50" t="s">
        <v>2111</v>
      </c>
    </row>
    <row r="1703" spans="6:11" ht="15.75">
      <c r="H1703" s="50" t="s">
        <v>2112</v>
      </c>
    </row>
    <row r="1704" spans="6:11" ht="15.75">
      <c r="H1704" s="59" t="s">
        <v>21</v>
      </c>
      <c r="I1704" s="59" t="s">
        <v>21</v>
      </c>
    </row>
    <row r="1705" spans="6:11" ht="15.75">
      <c r="F1705" s="64">
        <v>9</v>
      </c>
      <c r="G1705" s="62" t="s">
        <v>313</v>
      </c>
      <c r="H1705" s="50" t="s">
        <v>2113</v>
      </c>
      <c r="I1705" s="64">
        <f>C73</f>
        <v>2288.7799999999997</v>
      </c>
      <c r="J1705" s="50" t="s">
        <v>313</v>
      </c>
      <c r="K1705" s="64">
        <f>(F1705*I1705)</f>
        <v>20599.019999999997</v>
      </c>
    </row>
    <row r="1706" spans="6:11" ht="15.75">
      <c r="F1706" s="64">
        <v>4.5</v>
      </c>
      <c r="G1706" s="62" t="s">
        <v>313</v>
      </c>
      <c r="H1706" s="50" t="s">
        <v>2114</v>
      </c>
      <c r="I1706" s="64">
        <f>K32</f>
        <v>5022.7</v>
      </c>
      <c r="J1706" s="50" t="s">
        <v>313</v>
      </c>
      <c r="K1706" s="64">
        <f>(F1706*I1706)</f>
        <v>22602.149999999998</v>
      </c>
    </row>
    <row r="1707" spans="6:11" ht="15.75">
      <c r="F1707" s="64">
        <v>1.8</v>
      </c>
      <c r="G1707" s="62" t="s">
        <v>345</v>
      </c>
      <c r="H1707" s="50" t="s">
        <v>2115</v>
      </c>
      <c r="I1707" s="64">
        <f>C11</f>
        <v>1005.1999999999999</v>
      </c>
      <c r="J1707" s="50" t="s">
        <v>340</v>
      </c>
      <c r="K1707" s="64">
        <f>(F1707*I1707)</f>
        <v>1809.36</v>
      </c>
    </row>
    <row r="1708" spans="6:11" ht="15.75">
      <c r="F1708" s="64">
        <v>17.7</v>
      </c>
      <c r="G1708" s="62" t="s">
        <v>345</v>
      </c>
      <c r="H1708" s="50" t="s">
        <v>1198</v>
      </c>
      <c r="I1708" s="64">
        <f>C12</f>
        <v>702.8</v>
      </c>
      <c r="J1708" s="50" t="s">
        <v>340</v>
      </c>
      <c r="K1708" s="64">
        <f>(F1708*I1708)</f>
        <v>12439.56</v>
      </c>
    </row>
    <row r="1709" spans="6:11" ht="15.75">
      <c r="F1709" s="64">
        <v>14.1</v>
      </c>
      <c r="G1709" s="62" t="s">
        <v>345</v>
      </c>
      <c r="H1709" s="50" t="s">
        <v>2026</v>
      </c>
      <c r="I1709" s="64">
        <f>C13</f>
        <v>576.79999999999995</v>
      </c>
      <c r="J1709" s="50" t="s">
        <v>340</v>
      </c>
      <c r="K1709" s="64">
        <f>(F1709*I1709)</f>
        <v>8132.8799999999992</v>
      </c>
    </row>
    <row r="1710" spans="6:11" ht="15.75">
      <c r="K1710" s="59" t="s">
        <v>21</v>
      </c>
    </row>
    <row r="1711" spans="6:11" ht="15.75">
      <c r="H1711" s="51" t="s">
        <v>2116</v>
      </c>
      <c r="K1711" s="64">
        <f>SUM(K1705:K1709)</f>
        <v>65582.97</v>
      </c>
    </row>
    <row r="1712" spans="6:11" ht="15.75">
      <c r="K1712" s="59" t="s">
        <v>21</v>
      </c>
    </row>
    <row r="1713" spans="6:11" ht="15.75">
      <c r="H1713" s="51" t="s">
        <v>2117</v>
      </c>
      <c r="K1713" s="63">
        <f>(K1711/10)</f>
        <v>6558.2970000000005</v>
      </c>
    </row>
    <row r="1714" spans="6:11" ht="15.75">
      <c r="K1714" s="59" t="s">
        <v>156</v>
      </c>
    </row>
    <row r="1716" spans="6:11" ht="15.75">
      <c r="G1716" s="62" t="s">
        <v>230</v>
      </c>
      <c r="H1716" s="50" t="s">
        <v>2118</v>
      </c>
    </row>
    <row r="1717" spans="6:11" ht="15.75">
      <c r="H1717" s="50" t="s">
        <v>2119</v>
      </c>
    </row>
    <row r="1718" spans="6:11" ht="15.75">
      <c r="H1718" s="59" t="s">
        <v>21</v>
      </c>
      <c r="I1718" s="59" t="s">
        <v>21</v>
      </c>
    </row>
    <row r="1720" spans="6:11" ht="15.75">
      <c r="F1720" s="100">
        <v>0.314</v>
      </c>
      <c r="G1720" s="62" t="s">
        <v>313</v>
      </c>
      <c r="H1720" s="50" t="s">
        <v>2120</v>
      </c>
      <c r="I1720" s="64">
        <f>K1713</f>
        <v>6558.2970000000005</v>
      </c>
      <c r="J1720" s="50" t="s">
        <v>313</v>
      </c>
      <c r="K1720" s="64">
        <f>(F1720*I1720)</f>
        <v>2059.3052580000003</v>
      </c>
    </row>
    <row r="1721" spans="6:11" ht="15.75">
      <c r="F1721" s="64">
        <v>18</v>
      </c>
      <c r="G1721" s="62" t="s">
        <v>345</v>
      </c>
      <c r="H1721" s="103" t="s">
        <v>2121</v>
      </c>
      <c r="I1721" s="157">
        <v>41.87</v>
      </c>
      <c r="J1721" s="50" t="s">
        <v>340</v>
      </c>
      <c r="K1721" s="64">
        <f>(F1721*I1721)</f>
        <v>753.66</v>
      </c>
    </row>
    <row r="1722" spans="6:11" ht="15.75">
      <c r="F1722" s="64">
        <v>18</v>
      </c>
      <c r="G1722" s="62" t="s">
        <v>345</v>
      </c>
      <c r="H1722" s="50" t="s">
        <v>2122</v>
      </c>
      <c r="I1722" s="64">
        <v>1</v>
      </c>
      <c r="J1722" s="50" t="s">
        <v>340</v>
      </c>
      <c r="K1722" s="64">
        <f>(F1722*I1722)</f>
        <v>18</v>
      </c>
    </row>
    <row r="1723" spans="6:11" ht="15.75">
      <c r="F1723" s="64">
        <v>18</v>
      </c>
      <c r="G1723" s="62" t="s">
        <v>345</v>
      </c>
      <c r="H1723" s="50" t="s">
        <v>2123</v>
      </c>
      <c r="I1723" s="64">
        <v>2</v>
      </c>
      <c r="J1723" s="50" t="s">
        <v>340</v>
      </c>
      <c r="K1723" s="64">
        <f>(F1723*I1723)</f>
        <v>36</v>
      </c>
    </row>
    <row r="1724" spans="6:11" ht="15.75">
      <c r="K1724" s="59" t="s">
        <v>21</v>
      </c>
    </row>
    <row r="1725" spans="6:11" ht="15.75">
      <c r="H1725" s="51" t="s">
        <v>2124</v>
      </c>
      <c r="K1725" s="64">
        <f>SUM(K1719:K1723)</f>
        <v>2866.9652580000002</v>
      </c>
    </row>
    <row r="1726" spans="6:11" ht="15.75">
      <c r="K1726" s="59" t="s">
        <v>21</v>
      </c>
    </row>
    <row r="1727" spans="6:11" ht="15.75">
      <c r="H1727" s="51" t="s">
        <v>2125</v>
      </c>
      <c r="K1727" s="63">
        <f>(K1725/6.28)</f>
        <v>456.52313025477707</v>
      </c>
    </row>
    <row r="1728" spans="6:11" ht="15.75">
      <c r="K1728" s="59" t="s">
        <v>156</v>
      </c>
    </row>
    <row r="1729" spans="6:11" ht="15.75">
      <c r="F1729" s="50" t="s">
        <v>150</v>
      </c>
      <c r="H1729" s="50" t="s">
        <v>2126</v>
      </c>
    </row>
    <row r="1730" spans="6:11" ht="15.75">
      <c r="H1730" s="59" t="s">
        <v>21</v>
      </c>
    </row>
    <row r="1731" spans="6:11" ht="15.75">
      <c r="F1731" s="100">
        <v>0.01</v>
      </c>
      <c r="G1731" s="62" t="s">
        <v>313</v>
      </c>
      <c r="H1731" s="50" t="s">
        <v>2120</v>
      </c>
      <c r="I1731" s="64">
        <f>K1713</f>
        <v>6558.2970000000005</v>
      </c>
      <c r="J1731" s="50" t="s">
        <v>313</v>
      </c>
      <c r="K1731" s="64">
        <f>ROUND(F1731*I1731,2)</f>
        <v>65.58</v>
      </c>
    </row>
    <row r="1732" spans="6:11" ht="15.75">
      <c r="F1732" s="64">
        <v>0.01</v>
      </c>
      <c r="G1732" s="62" t="s">
        <v>276</v>
      </c>
      <c r="H1732" s="50" t="s">
        <v>2127</v>
      </c>
      <c r="I1732" s="162" t="s">
        <v>287</v>
      </c>
      <c r="K1732" s="64">
        <v>1.2</v>
      </c>
    </row>
    <row r="1733" spans="6:11" ht="15.75">
      <c r="I1733" s="141"/>
      <c r="K1733" s="59" t="s">
        <v>21</v>
      </c>
    </row>
    <row r="1734" spans="6:11" ht="15.75">
      <c r="H1734" s="51" t="s">
        <v>2128</v>
      </c>
      <c r="K1734" s="64">
        <f>SUM(K1728:K1732)</f>
        <v>66.78</v>
      </c>
    </row>
    <row r="1735" spans="6:11" ht="15.75">
      <c r="K1735" s="59" t="s">
        <v>21</v>
      </c>
    </row>
    <row r="1736" spans="6:11" ht="15.75">
      <c r="H1736" s="51" t="s">
        <v>2129</v>
      </c>
      <c r="K1736" s="64">
        <f>K1734/0.01</f>
        <v>6678</v>
      </c>
    </row>
    <row r="1737" spans="6:11" ht="15.75">
      <c r="K1737" s="59" t="s">
        <v>156</v>
      </c>
    </row>
    <row r="1738" spans="6:11" ht="15.75">
      <c r="F1738" s="51" t="s">
        <v>2130</v>
      </c>
      <c r="G1738" s="62" t="s">
        <v>230</v>
      </c>
      <c r="H1738" s="50" t="s">
        <v>2118</v>
      </c>
    </row>
    <row r="1739" spans="6:11" ht="15.75">
      <c r="H1739" s="54" t="s">
        <v>2131</v>
      </c>
    </row>
    <row r="1740" spans="6:11" ht="15.75">
      <c r="H1740" s="59" t="s">
        <v>21</v>
      </c>
      <c r="I1740" s="59" t="s">
        <v>21</v>
      </c>
    </row>
    <row r="1741" spans="6:11" ht="15.75">
      <c r="F1741" s="100">
        <v>0.40500000000000003</v>
      </c>
      <c r="G1741" s="62" t="s">
        <v>313</v>
      </c>
      <c r="H1741" s="50" t="s">
        <v>2120</v>
      </c>
      <c r="I1741" s="64">
        <f>K1736</f>
        <v>6678</v>
      </c>
      <c r="J1741" s="50" t="s">
        <v>313</v>
      </c>
      <c r="K1741" s="64">
        <f>(F1741*I1741)</f>
        <v>2704.59</v>
      </c>
    </row>
    <row r="1742" spans="6:11" ht="15.75">
      <c r="F1742" s="50" t="s">
        <v>150</v>
      </c>
      <c r="G1742" s="62" t="s">
        <v>150</v>
      </c>
      <c r="H1742" s="50" t="s">
        <v>2132</v>
      </c>
      <c r="I1742" s="162" t="s">
        <v>287</v>
      </c>
      <c r="K1742" s="50" t="s">
        <v>150</v>
      </c>
    </row>
    <row r="1743" spans="6:11" ht="15.75">
      <c r="K1743" s="59" t="s">
        <v>21</v>
      </c>
    </row>
    <row r="1744" spans="6:11" ht="15.75">
      <c r="H1744" s="51" t="s">
        <v>2133</v>
      </c>
      <c r="K1744" s="64">
        <f>SUM(K1738:K1742)</f>
        <v>2704.59</v>
      </c>
    </row>
    <row r="1745" spans="6:11" ht="15.75">
      <c r="K1745" s="59" t="s">
        <v>21</v>
      </c>
    </row>
    <row r="1746" spans="6:11" ht="15.75">
      <c r="H1746" s="51" t="s">
        <v>2134</v>
      </c>
      <c r="K1746" s="63">
        <f>K1744/9</f>
        <v>300.51</v>
      </c>
    </row>
    <row r="1747" spans="6:11" ht="15.75">
      <c r="K1747" s="59" t="s">
        <v>156</v>
      </c>
    </row>
    <row r="1748" spans="6:11" ht="15.75">
      <c r="F1748" s="51" t="s">
        <v>2135</v>
      </c>
      <c r="H1748" s="50" t="s">
        <v>2136</v>
      </c>
    </row>
    <row r="1749" spans="6:11" ht="15.75">
      <c r="H1749" s="59" t="s">
        <v>21</v>
      </c>
    </row>
    <row r="1750" spans="6:11" ht="15.75">
      <c r="F1750" s="64">
        <v>4.32</v>
      </c>
      <c r="G1750" s="62" t="s">
        <v>151</v>
      </c>
      <c r="H1750" s="50" t="s">
        <v>2137</v>
      </c>
      <c r="I1750" s="64">
        <f>C61</f>
        <v>117.6</v>
      </c>
      <c r="J1750" s="50" t="s">
        <v>151</v>
      </c>
      <c r="K1750" s="64">
        <f t="shared" ref="K1750:K1757" si="208">(F1750*I1750)</f>
        <v>508.03199999999998</v>
      </c>
    </row>
    <row r="1751" spans="6:11" ht="15.75">
      <c r="F1751" s="64">
        <v>1.44</v>
      </c>
      <c r="G1751" s="62" t="s">
        <v>151</v>
      </c>
      <c r="H1751" s="50" t="s">
        <v>2138</v>
      </c>
      <c r="I1751" s="174">
        <v>69.099999999999994</v>
      </c>
      <c r="J1751" s="50" t="s">
        <v>151</v>
      </c>
      <c r="K1751" s="64">
        <f t="shared" si="208"/>
        <v>99.503999999999991</v>
      </c>
    </row>
    <row r="1752" spans="6:11" ht="15.75">
      <c r="F1752" s="64">
        <v>1.44</v>
      </c>
      <c r="G1752" s="62" t="s">
        <v>151</v>
      </c>
      <c r="H1752" s="50" t="s">
        <v>2139</v>
      </c>
      <c r="I1752" s="64">
        <f>C35</f>
        <v>210</v>
      </c>
      <c r="J1752" s="50" t="s">
        <v>151</v>
      </c>
      <c r="K1752" s="64">
        <f t="shared" si="208"/>
        <v>302.39999999999998</v>
      </c>
    </row>
    <row r="1753" spans="6:11" ht="15.75">
      <c r="F1753" s="64">
        <v>1.44</v>
      </c>
      <c r="G1753" s="62" t="s">
        <v>151</v>
      </c>
      <c r="H1753" s="50" t="s">
        <v>2140</v>
      </c>
      <c r="I1753" s="64">
        <f>C78</f>
        <v>2116.9</v>
      </c>
      <c r="J1753" s="50" t="s">
        <v>151</v>
      </c>
      <c r="K1753" s="64">
        <f t="shared" si="208"/>
        <v>3048.3360000000002</v>
      </c>
    </row>
    <row r="1754" spans="6:11" ht="15.75">
      <c r="F1754" s="64">
        <v>2.88</v>
      </c>
      <c r="G1754" s="62" t="s">
        <v>151</v>
      </c>
      <c r="H1754" s="50" t="s">
        <v>2141</v>
      </c>
      <c r="I1754" s="157">
        <v>10</v>
      </c>
      <c r="J1754" s="50" t="s">
        <v>151</v>
      </c>
      <c r="K1754" s="64">
        <f t="shared" si="208"/>
        <v>28.799999999999997</v>
      </c>
    </row>
    <row r="1755" spans="6:11" ht="15.75">
      <c r="F1755" s="64">
        <v>20</v>
      </c>
      <c r="G1755" s="62" t="s">
        <v>305</v>
      </c>
      <c r="H1755" s="50" t="s">
        <v>2142</v>
      </c>
      <c r="I1755" s="174">
        <v>46.1</v>
      </c>
      <c r="J1755" s="50" t="s">
        <v>305</v>
      </c>
      <c r="K1755" s="64">
        <f t="shared" si="208"/>
        <v>922</v>
      </c>
    </row>
    <row r="1756" spans="6:11" ht="15.75">
      <c r="F1756" s="64">
        <v>42</v>
      </c>
      <c r="G1756" s="62" t="s">
        <v>2143</v>
      </c>
      <c r="H1756" s="50" t="s">
        <v>2144</v>
      </c>
      <c r="I1756" s="71">
        <v>17.5</v>
      </c>
      <c r="J1756" s="50" t="s">
        <v>2143</v>
      </c>
      <c r="K1756" s="64">
        <f t="shared" si="208"/>
        <v>735</v>
      </c>
    </row>
    <row r="1757" spans="6:11" ht="15.75">
      <c r="F1757" s="64">
        <v>4.32</v>
      </c>
      <c r="G1757" s="62" t="s">
        <v>151</v>
      </c>
      <c r="H1757" s="50" t="s">
        <v>2145</v>
      </c>
      <c r="I1757" s="64">
        <f>C26</f>
        <v>41.019999999999996</v>
      </c>
      <c r="J1757" s="50" t="s">
        <v>151</v>
      </c>
      <c r="K1757" s="64">
        <f t="shared" si="208"/>
        <v>177.2064</v>
      </c>
    </row>
    <row r="1758" spans="6:11" ht="15.75">
      <c r="F1758" s="51" t="s">
        <v>2146</v>
      </c>
      <c r="H1758" s="50" t="s">
        <v>2147</v>
      </c>
      <c r="K1758" s="64">
        <v>2000</v>
      </c>
    </row>
    <row r="1759" spans="6:11" ht="15.75">
      <c r="K1759" s="59" t="s">
        <v>21</v>
      </c>
    </row>
    <row r="1760" spans="6:11" ht="15.75">
      <c r="H1760" s="50" t="s">
        <v>2148</v>
      </c>
      <c r="K1760" s="64">
        <f>SUM(K1750:K1758)</f>
        <v>7821.2784000000001</v>
      </c>
    </row>
    <row r="1761" spans="6:12" ht="15.75">
      <c r="K1761" s="59" t="s">
        <v>21</v>
      </c>
    </row>
    <row r="1762" spans="6:12" ht="15.75">
      <c r="H1762" s="50" t="s">
        <v>2149</v>
      </c>
      <c r="K1762" s="63">
        <f>K1760/20</f>
        <v>391.06392</v>
      </c>
    </row>
    <row r="1763" spans="6:12" ht="15.75">
      <c r="K1763" s="59" t="s">
        <v>156</v>
      </c>
    </row>
    <row r="1765" spans="6:12" ht="15.75">
      <c r="F1765" s="51" t="s">
        <v>2150</v>
      </c>
      <c r="H1765" s="50" t="s">
        <v>2151</v>
      </c>
    </row>
    <row r="1766" spans="6:12" ht="15.75">
      <c r="H1766" s="59" t="s">
        <v>21</v>
      </c>
    </row>
    <row r="1767" spans="6:12" ht="15.75">
      <c r="F1767" s="64">
        <v>0.1</v>
      </c>
      <c r="G1767" s="62" t="s">
        <v>151</v>
      </c>
      <c r="H1767" s="50" t="s">
        <v>2137</v>
      </c>
      <c r="I1767" s="64">
        <f>K90</f>
        <v>235.2</v>
      </c>
      <c r="J1767" s="50" t="s">
        <v>151</v>
      </c>
      <c r="K1767" s="64">
        <f t="shared" ref="K1767:K1772" si="209">(F1767*I1767)</f>
        <v>23.52</v>
      </c>
    </row>
    <row r="1768" spans="6:12" ht="15.75">
      <c r="F1768" s="64">
        <v>6.3</v>
      </c>
      <c r="G1768" s="62" t="s">
        <v>2143</v>
      </c>
      <c r="H1768" s="50" t="s">
        <v>2152</v>
      </c>
      <c r="I1768" s="71">
        <v>34.6</v>
      </c>
      <c r="J1768" s="50" t="s">
        <v>2143</v>
      </c>
      <c r="K1768" s="64">
        <f t="shared" si="209"/>
        <v>217.98</v>
      </c>
    </row>
    <row r="1769" spans="6:12" ht="15.75">
      <c r="F1769" s="64">
        <v>6.3</v>
      </c>
      <c r="G1769" s="62" t="s">
        <v>2143</v>
      </c>
      <c r="H1769" s="50" t="s">
        <v>2153</v>
      </c>
      <c r="I1769" s="72">
        <f>I1756</f>
        <v>17.5</v>
      </c>
      <c r="J1769" s="50" t="s">
        <v>2143</v>
      </c>
      <c r="K1769" s="64">
        <f t="shared" si="209"/>
        <v>110.25</v>
      </c>
    </row>
    <row r="1770" spans="6:12" ht="15.75">
      <c r="F1770" s="64">
        <v>3.15</v>
      </c>
      <c r="G1770" s="62" t="s">
        <v>533</v>
      </c>
      <c r="H1770" s="50" t="s">
        <v>2154</v>
      </c>
      <c r="I1770" s="64">
        <f>C198</f>
        <v>31.65</v>
      </c>
      <c r="J1770" s="50" t="s">
        <v>533</v>
      </c>
      <c r="K1770" s="64">
        <f t="shared" si="209"/>
        <v>99.697499999999991</v>
      </c>
      <c r="L1770" s="52" t="s">
        <v>1827</v>
      </c>
    </row>
    <row r="1771" spans="6:12" ht="15.75">
      <c r="F1771" s="64">
        <v>0.25</v>
      </c>
      <c r="G1771" s="62" t="s">
        <v>2094</v>
      </c>
      <c r="H1771" s="50" t="s">
        <v>2155</v>
      </c>
      <c r="I1771" s="64">
        <f>D16</f>
        <v>1005.1999999999999</v>
      </c>
      <c r="J1771" s="50" t="s">
        <v>2094</v>
      </c>
      <c r="K1771" s="64">
        <f t="shared" si="209"/>
        <v>251.29999999999998</v>
      </c>
    </row>
    <row r="1772" spans="6:12" ht="15.75">
      <c r="F1772" s="64">
        <v>0.2</v>
      </c>
      <c r="G1772" s="62" t="s">
        <v>2094</v>
      </c>
      <c r="H1772" s="50" t="s">
        <v>2156</v>
      </c>
      <c r="I1772" s="64">
        <f>AG38</f>
        <v>933.8</v>
      </c>
      <c r="J1772" s="50" t="s">
        <v>2094</v>
      </c>
      <c r="K1772" s="64">
        <f t="shared" si="209"/>
        <v>186.76</v>
      </c>
    </row>
    <row r="1773" spans="6:12" ht="15.75">
      <c r="H1773" s="50" t="s">
        <v>2157</v>
      </c>
      <c r="I1773" s="50" t="s">
        <v>150</v>
      </c>
      <c r="J1773" s="50" t="s">
        <v>150</v>
      </c>
      <c r="K1773" s="64">
        <v>0</v>
      </c>
    </row>
    <row r="1774" spans="6:12" ht="15.75">
      <c r="J1774" s="50" t="s">
        <v>150</v>
      </c>
      <c r="K1774" s="59" t="s">
        <v>21</v>
      </c>
    </row>
    <row r="1775" spans="6:12" ht="15.75">
      <c r="F1775" s="50" t="s">
        <v>150</v>
      </c>
      <c r="G1775" s="62" t="s">
        <v>150</v>
      </c>
      <c r="H1775" s="50" t="s">
        <v>2149</v>
      </c>
      <c r="K1775" s="63">
        <f>SUM(K1767:K1774)</f>
        <v>889.50749999999994</v>
      </c>
    </row>
    <row r="1776" spans="6:12" ht="15.75">
      <c r="H1776" s="50" t="s">
        <v>150</v>
      </c>
      <c r="K1776" s="59" t="s">
        <v>21</v>
      </c>
    </row>
    <row r="1777" spans="6:11" ht="15.75">
      <c r="K1777" s="59"/>
    </row>
    <row r="1778" spans="6:11" ht="15.75">
      <c r="F1778" s="51" t="s">
        <v>2158</v>
      </c>
      <c r="H1778" s="50" t="s">
        <v>2159</v>
      </c>
    </row>
    <row r="1779" spans="6:11" ht="15.75">
      <c r="H1779" s="59" t="s">
        <v>21</v>
      </c>
    </row>
    <row r="1780" spans="6:11" ht="15.75">
      <c r="F1780" s="131">
        <v>0.48599999999999999</v>
      </c>
      <c r="G1780" s="62" t="s">
        <v>276</v>
      </c>
      <c r="H1780" s="50" t="s">
        <v>2137</v>
      </c>
      <c r="I1780" s="64">
        <f>C61</f>
        <v>117.6</v>
      </c>
      <c r="J1780" s="50" t="s">
        <v>276</v>
      </c>
      <c r="K1780" s="64">
        <f t="shared" ref="K1780:K1786" si="210">(F1780*I1780)</f>
        <v>57.153599999999997</v>
      </c>
    </row>
    <row r="1781" spans="6:11" ht="15.75">
      <c r="F1781" s="131">
        <v>0.48599999999999999</v>
      </c>
      <c r="G1781" s="62" t="s">
        <v>276</v>
      </c>
      <c r="H1781" s="50" t="s">
        <v>2160</v>
      </c>
      <c r="I1781" s="64">
        <f>K204</f>
        <v>5702.5769999999993</v>
      </c>
      <c r="J1781" s="50" t="s">
        <v>276</v>
      </c>
      <c r="K1781" s="64">
        <f t="shared" si="210"/>
        <v>2771.4524219999994</v>
      </c>
    </row>
    <row r="1782" spans="6:11" ht="15.75">
      <c r="F1782" s="64">
        <v>81.75</v>
      </c>
      <c r="G1782" s="62" t="s">
        <v>2161</v>
      </c>
      <c r="H1782" s="50" t="s">
        <v>2162</v>
      </c>
      <c r="I1782" s="64">
        <f>I745</f>
        <v>41.2</v>
      </c>
      <c r="J1782" s="50" t="s">
        <v>2161</v>
      </c>
      <c r="K1782" s="64">
        <f t="shared" si="210"/>
        <v>3368.1000000000004</v>
      </c>
    </row>
    <row r="1783" spans="6:11" ht="15.75">
      <c r="F1783" s="64">
        <v>7.2</v>
      </c>
      <c r="G1783" s="62" t="s">
        <v>2161</v>
      </c>
      <c r="H1783" s="50" t="s">
        <v>2163</v>
      </c>
      <c r="I1783" s="64">
        <f>I745</f>
        <v>41.2</v>
      </c>
      <c r="J1783" s="50" t="s">
        <v>2161</v>
      </c>
      <c r="K1783" s="64">
        <f t="shared" si="210"/>
        <v>296.64000000000004</v>
      </c>
    </row>
    <row r="1784" spans="6:11" ht="15.75">
      <c r="F1784" s="64">
        <v>43.68</v>
      </c>
      <c r="G1784" s="62" t="s">
        <v>2161</v>
      </c>
      <c r="H1784" s="50" t="s">
        <v>2164</v>
      </c>
      <c r="I1784" s="64">
        <f>I743</f>
        <v>41.2</v>
      </c>
      <c r="J1784" s="50" t="s">
        <v>2161</v>
      </c>
      <c r="K1784" s="64">
        <f t="shared" si="210"/>
        <v>1799.6160000000002</v>
      </c>
    </row>
    <row r="1785" spans="6:11" ht="15.75">
      <c r="F1785" s="64">
        <v>132.63</v>
      </c>
      <c r="G1785" s="62" t="s">
        <v>2161</v>
      </c>
      <c r="H1785" s="50" t="s">
        <v>2165</v>
      </c>
      <c r="I1785" s="64">
        <f>C37</f>
        <v>41.6</v>
      </c>
      <c r="J1785" s="50" t="s">
        <v>2161</v>
      </c>
      <c r="K1785" s="64">
        <f t="shared" si="210"/>
        <v>5517.4080000000004</v>
      </c>
    </row>
    <row r="1786" spans="6:11" ht="15.75">
      <c r="F1786" s="64">
        <v>2.2000000000000002</v>
      </c>
      <c r="G1786" s="62" t="s">
        <v>533</v>
      </c>
      <c r="H1786" s="50" t="s">
        <v>2166</v>
      </c>
      <c r="I1786" s="157">
        <v>970</v>
      </c>
      <c r="J1786" s="50" t="s">
        <v>533</v>
      </c>
      <c r="K1786" s="64">
        <f t="shared" si="210"/>
        <v>2134</v>
      </c>
    </row>
    <row r="1787" spans="6:11" ht="15.75">
      <c r="F1787" s="162" t="s">
        <v>287</v>
      </c>
      <c r="H1787" s="50" t="s">
        <v>2167</v>
      </c>
      <c r="I1787" s="162" t="s">
        <v>287</v>
      </c>
      <c r="K1787" s="64">
        <v>250</v>
      </c>
    </row>
    <row r="1788" spans="6:11" ht="15.75">
      <c r="F1788" s="162" t="s">
        <v>287</v>
      </c>
      <c r="H1788" s="50" t="s">
        <v>2168</v>
      </c>
      <c r="I1788" s="162" t="s">
        <v>287</v>
      </c>
      <c r="K1788" s="64">
        <v>20.47</v>
      </c>
    </row>
    <row r="1789" spans="6:11" ht="15.75">
      <c r="K1789" s="59" t="s">
        <v>21</v>
      </c>
    </row>
    <row r="1790" spans="6:11" ht="15.75">
      <c r="K1790" s="64">
        <f>SUM(K1780:K1789)</f>
        <v>16214.840022000002</v>
      </c>
    </row>
    <row r="1791" spans="6:11" ht="15.75">
      <c r="K1791" s="59" t="s">
        <v>21</v>
      </c>
    </row>
    <row r="1792" spans="6:11" ht="15.75">
      <c r="K1792" s="59"/>
    </row>
    <row r="1793" spans="6:11" ht="15.75">
      <c r="F1793" s="88">
        <v>86</v>
      </c>
      <c r="H1793" s="50" t="s">
        <v>2169</v>
      </c>
      <c r="K1793" s="97">
        <f>C806</f>
        <v>33.9</v>
      </c>
    </row>
    <row r="1794" spans="6:11" ht="15.75">
      <c r="F1794" s="101"/>
      <c r="H1794" s="50"/>
      <c r="K1794" s="64"/>
    </row>
    <row r="1795" spans="6:11" ht="15.75">
      <c r="F1795" s="51" t="s">
        <v>2170</v>
      </c>
      <c r="H1795" s="50" t="s">
        <v>2171</v>
      </c>
      <c r="K1795" s="154">
        <v>8.1999999999999993</v>
      </c>
    </row>
    <row r="1796" spans="6:11" ht="15.75">
      <c r="H1796" s="50" t="s">
        <v>2172</v>
      </c>
      <c r="K1796" s="52">
        <f>700*K1795</f>
        <v>5739.9999999999991</v>
      </c>
    </row>
    <row r="1797" spans="6:11" ht="15.75">
      <c r="F1797" s="50" t="s">
        <v>150</v>
      </c>
      <c r="H1797" s="50" t="s">
        <v>2173</v>
      </c>
      <c r="K1797" s="52">
        <f>200*K1795</f>
        <v>1639.9999999999998</v>
      </c>
    </row>
    <row r="1798" spans="6:11" ht="15.75">
      <c r="F1798" s="101"/>
      <c r="G1798" s="62" t="s">
        <v>249</v>
      </c>
      <c r="H1798" s="50" t="s">
        <v>1053</v>
      </c>
    </row>
    <row r="1799" spans="6:11" ht="15.75">
      <c r="H1799" s="50" t="s">
        <v>2174</v>
      </c>
    </row>
    <row r="1800" spans="6:11" ht="15.75">
      <c r="H1800" s="50" t="s">
        <v>1119</v>
      </c>
    </row>
    <row r="1801" spans="6:11" ht="15.75">
      <c r="H1801" s="59" t="s">
        <v>21</v>
      </c>
    </row>
    <row r="1802" spans="6:11" ht="15.75">
      <c r="G1802" s="62" t="s">
        <v>2175</v>
      </c>
      <c r="H1802" s="50" t="s">
        <v>1119</v>
      </c>
      <c r="K1802" s="50" t="s">
        <v>2176</v>
      </c>
    </row>
    <row r="1803" spans="6:11" ht="15.75">
      <c r="H1803" s="59" t="s">
        <v>21</v>
      </c>
      <c r="K1803" s="59" t="s">
        <v>156</v>
      </c>
    </row>
    <row r="1804" spans="6:11" ht="15.75">
      <c r="F1804" s="64">
        <v>30</v>
      </c>
      <c r="G1804" s="62" t="s">
        <v>552</v>
      </c>
      <c r="H1804" s="50" t="s">
        <v>1125</v>
      </c>
      <c r="I1804" s="64">
        <f>(C661)</f>
        <v>8.1</v>
      </c>
      <c r="J1804" s="50" t="s">
        <v>552</v>
      </c>
      <c r="K1804" s="64">
        <f>(F1804*I1804)</f>
        <v>243</v>
      </c>
    </row>
    <row r="1805" spans="6:11" ht="15.75">
      <c r="F1805" s="50" t="s">
        <v>150</v>
      </c>
      <c r="H1805" s="50" t="s">
        <v>1128</v>
      </c>
      <c r="I1805" s="50" t="s">
        <v>150</v>
      </c>
      <c r="K1805" s="50" t="s">
        <v>150</v>
      </c>
    </row>
    <row r="1806" spans="6:11" ht="15.75">
      <c r="F1806" s="64">
        <v>8</v>
      </c>
      <c r="G1806" s="62" t="s">
        <v>153</v>
      </c>
      <c r="H1806" s="50" t="s">
        <v>1069</v>
      </c>
      <c r="I1806" s="64">
        <f>(C663)</f>
        <v>7.1</v>
      </c>
      <c r="J1806" s="50" t="s">
        <v>153</v>
      </c>
      <c r="K1806" s="64">
        <f t="shared" ref="K1806:K1812" si="211">(F1806*I1806)</f>
        <v>56.8</v>
      </c>
    </row>
    <row r="1807" spans="6:11" ht="15.75">
      <c r="F1807" s="64">
        <v>8</v>
      </c>
      <c r="G1807" s="62" t="s">
        <v>153</v>
      </c>
      <c r="H1807" s="50" t="s">
        <v>1072</v>
      </c>
      <c r="I1807" s="64">
        <f>(C672)</f>
        <v>10.199999999999999</v>
      </c>
      <c r="J1807" s="50" t="s">
        <v>153</v>
      </c>
      <c r="K1807" s="64">
        <f t="shared" si="211"/>
        <v>81.599999999999994</v>
      </c>
    </row>
    <row r="1808" spans="6:11" ht="15.75">
      <c r="F1808" s="64">
        <v>3</v>
      </c>
      <c r="G1808" s="62" t="s">
        <v>153</v>
      </c>
      <c r="H1808" s="50" t="s">
        <v>1133</v>
      </c>
      <c r="I1808" s="64">
        <f>(C41)</f>
        <v>796.59999999999991</v>
      </c>
      <c r="J1808" s="50" t="s">
        <v>153</v>
      </c>
      <c r="K1808" s="64">
        <f t="shared" si="211"/>
        <v>2389.7999999999997</v>
      </c>
    </row>
    <row r="1809" spans="6:11" ht="15.75">
      <c r="F1809" s="64">
        <v>1</v>
      </c>
      <c r="G1809" s="62" t="s">
        <v>153</v>
      </c>
      <c r="H1809" s="50" t="s">
        <v>2177</v>
      </c>
      <c r="I1809" s="64">
        <f>(C10)</f>
        <v>1076.5999999999999</v>
      </c>
      <c r="J1809" s="50" t="s">
        <v>153</v>
      </c>
      <c r="K1809" s="64">
        <f t="shared" si="211"/>
        <v>1076.5999999999999</v>
      </c>
    </row>
    <row r="1810" spans="6:11" ht="15.75">
      <c r="F1810" s="64">
        <v>2</v>
      </c>
      <c r="G1810" s="62" t="s">
        <v>153</v>
      </c>
      <c r="H1810" s="50" t="s">
        <v>235</v>
      </c>
      <c r="I1810" s="64">
        <f>(C12)</f>
        <v>702.8</v>
      </c>
      <c r="J1810" s="50" t="s">
        <v>153</v>
      </c>
      <c r="K1810" s="64">
        <f t="shared" si="211"/>
        <v>1405.6</v>
      </c>
    </row>
    <row r="1811" spans="6:11" ht="15.75">
      <c r="F1811" s="64">
        <v>1</v>
      </c>
      <c r="G1811" s="62" t="s">
        <v>153</v>
      </c>
      <c r="H1811" s="50" t="s">
        <v>236</v>
      </c>
      <c r="I1811" s="64">
        <f>(C13)</f>
        <v>576.79999999999995</v>
      </c>
      <c r="J1811" s="50" t="s">
        <v>153</v>
      </c>
      <c r="K1811" s="64">
        <f t="shared" si="211"/>
        <v>576.79999999999995</v>
      </c>
    </row>
    <row r="1812" spans="6:11" ht="15.75">
      <c r="F1812" s="64">
        <v>1</v>
      </c>
      <c r="G1812" s="62" t="s">
        <v>153</v>
      </c>
      <c r="H1812" s="50" t="s">
        <v>2178</v>
      </c>
      <c r="I1812" s="50">
        <v>5</v>
      </c>
      <c r="J1812" s="50" t="s">
        <v>340</v>
      </c>
      <c r="K1812" s="64">
        <f t="shared" si="211"/>
        <v>5</v>
      </c>
    </row>
    <row r="1813" spans="6:11" ht="15.75">
      <c r="H1813" s="50" t="s">
        <v>2179</v>
      </c>
      <c r="I1813" s="50" t="s">
        <v>150</v>
      </c>
      <c r="K1813" s="50" t="s">
        <v>150</v>
      </c>
    </row>
    <row r="1814" spans="6:11" ht="15.75">
      <c r="G1814" s="62" t="s">
        <v>226</v>
      </c>
      <c r="H1814" s="50" t="s">
        <v>237</v>
      </c>
      <c r="J1814" s="50" t="s">
        <v>226</v>
      </c>
      <c r="K1814" s="64">
        <v>0</v>
      </c>
    </row>
    <row r="1815" spans="6:11" ht="15.75">
      <c r="K1815" s="59" t="s">
        <v>21</v>
      </c>
    </row>
    <row r="1816" spans="6:11" ht="15.75">
      <c r="H1816" s="50" t="s">
        <v>1139</v>
      </c>
      <c r="K1816" s="64">
        <f>SUM(K1804:K1814)</f>
        <v>5835.2</v>
      </c>
    </row>
    <row r="1817" spans="6:11" ht="15.75">
      <c r="K1817" s="59" t="s">
        <v>21</v>
      </c>
    </row>
    <row r="1818" spans="6:11" ht="15.75">
      <c r="H1818" s="50" t="s">
        <v>562</v>
      </c>
      <c r="K1818" s="64">
        <f>(K1816/30)</f>
        <v>194.50666666666666</v>
      </c>
    </row>
    <row r="1819" spans="6:11" ht="15.75">
      <c r="K1819" s="59" t="s">
        <v>21</v>
      </c>
    </row>
    <row r="1820" spans="6:11" ht="15.75">
      <c r="G1820" s="62" t="s">
        <v>520</v>
      </c>
      <c r="H1820" s="50" t="s">
        <v>1119</v>
      </c>
      <c r="K1820" s="50" t="s">
        <v>2180</v>
      </c>
    </row>
    <row r="1821" spans="6:11" ht="15.75">
      <c r="H1821" s="59" t="s">
        <v>21</v>
      </c>
      <c r="K1821" s="59" t="s">
        <v>156</v>
      </c>
    </row>
    <row r="1822" spans="6:11" ht="15.75">
      <c r="F1822" s="64">
        <v>30</v>
      </c>
      <c r="G1822" s="62" t="s">
        <v>552</v>
      </c>
      <c r="H1822" s="50" t="s">
        <v>1125</v>
      </c>
      <c r="I1822" s="64">
        <f>(C661)</f>
        <v>8.1</v>
      </c>
      <c r="J1822" s="50" t="s">
        <v>552</v>
      </c>
      <c r="K1822" s="64">
        <f>(F1822*I1822)</f>
        <v>243</v>
      </c>
    </row>
    <row r="1823" spans="6:11" ht="15.75">
      <c r="F1823" s="50" t="s">
        <v>150</v>
      </c>
      <c r="H1823" s="50" t="s">
        <v>1128</v>
      </c>
      <c r="I1823" s="50" t="s">
        <v>150</v>
      </c>
      <c r="K1823" s="50" t="s">
        <v>150</v>
      </c>
    </row>
    <row r="1824" spans="6:11" ht="15.75">
      <c r="F1824" s="64">
        <v>8</v>
      </c>
      <c r="G1824" s="62" t="s">
        <v>153</v>
      </c>
      <c r="H1824" s="50" t="s">
        <v>1069</v>
      </c>
      <c r="I1824" s="64">
        <f>(C663)</f>
        <v>7.1</v>
      </c>
      <c r="J1824" s="50" t="s">
        <v>153</v>
      </c>
      <c r="K1824" s="64">
        <f t="shared" ref="K1824:K1830" si="212">(F1824*I1824)</f>
        <v>56.8</v>
      </c>
    </row>
    <row r="1825" spans="6:11" ht="15.75">
      <c r="F1825" s="64">
        <v>8</v>
      </c>
      <c r="G1825" s="62" t="s">
        <v>153</v>
      </c>
      <c r="H1825" s="50" t="s">
        <v>1072</v>
      </c>
      <c r="I1825" s="64">
        <f>D672</f>
        <v>21.1</v>
      </c>
      <c r="J1825" s="50" t="s">
        <v>153</v>
      </c>
      <c r="K1825" s="64">
        <f t="shared" si="212"/>
        <v>168.8</v>
      </c>
    </row>
    <row r="1826" spans="6:11" ht="15.75">
      <c r="F1826" s="64">
        <v>3</v>
      </c>
      <c r="G1826" s="62" t="s">
        <v>153</v>
      </c>
      <c r="H1826" s="50" t="s">
        <v>1133</v>
      </c>
      <c r="I1826" s="64">
        <f>(C41)</f>
        <v>796.59999999999991</v>
      </c>
      <c r="J1826" s="50" t="s">
        <v>153</v>
      </c>
      <c r="K1826" s="64">
        <f t="shared" si="212"/>
        <v>2389.7999999999997</v>
      </c>
    </row>
    <row r="1827" spans="6:11" ht="15.75">
      <c r="F1827" s="64">
        <v>1</v>
      </c>
      <c r="G1827" s="62" t="s">
        <v>153</v>
      </c>
      <c r="H1827" s="50" t="s">
        <v>2177</v>
      </c>
      <c r="I1827" s="64">
        <f>(C10)</f>
        <v>1076.5999999999999</v>
      </c>
      <c r="J1827" s="50" t="s">
        <v>153</v>
      </c>
      <c r="K1827" s="64">
        <f t="shared" si="212"/>
        <v>1076.5999999999999</v>
      </c>
    </row>
    <row r="1828" spans="6:11" ht="15.75">
      <c r="F1828" s="64">
        <v>2</v>
      </c>
      <c r="G1828" s="62" t="s">
        <v>153</v>
      </c>
      <c r="H1828" s="50" t="s">
        <v>235</v>
      </c>
      <c r="I1828" s="64">
        <f>(C12)</f>
        <v>702.8</v>
      </c>
      <c r="J1828" s="50" t="s">
        <v>153</v>
      </c>
      <c r="K1828" s="64">
        <f t="shared" si="212"/>
        <v>1405.6</v>
      </c>
    </row>
    <row r="1829" spans="6:11" ht="15.75">
      <c r="F1829" s="64">
        <v>1</v>
      </c>
      <c r="G1829" s="62" t="s">
        <v>153</v>
      </c>
      <c r="H1829" s="50" t="s">
        <v>236</v>
      </c>
      <c r="I1829" s="64">
        <f>(C13)</f>
        <v>576.79999999999995</v>
      </c>
      <c r="J1829" s="50" t="s">
        <v>153</v>
      </c>
      <c r="K1829" s="64">
        <f t="shared" si="212"/>
        <v>576.79999999999995</v>
      </c>
    </row>
    <row r="1830" spans="6:11" ht="15.75">
      <c r="F1830" s="64">
        <v>1</v>
      </c>
      <c r="G1830" s="62" t="s">
        <v>153</v>
      </c>
      <c r="H1830" s="50" t="s">
        <v>2178</v>
      </c>
      <c r="I1830" s="50">
        <v>3</v>
      </c>
      <c r="J1830" s="50" t="s">
        <v>153</v>
      </c>
      <c r="K1830" s="64">
        <f t="shared" si="212"/>
        <v>3</v>
      </c>
    </row>
    <row r="1831" spans="6:11" ht="15.75">
      <c r="H1831" s="50" t="s">
        <v>2179</v>
      </c>
      <c r="I1831" s="50" t="s">
        <v>150</v>
      </c>
      <c r="K1831" s="50" t="s">
        <v>150</v>
      </c>
    </row>
    <row r="1832" spans="6:11" ht="15.75">
      <c r="G1832" s="62" t="s">
        <v>226</v>
      </c>
      <c r="H1832" s="50" t="s">
        <v>237</v>
      </c>
      <c r="J1832" s="50" t="s">
        <v>226</v>
      </c>
      <c r="K1832" s="64">
        <v>0</v>
      </c>
    </row>
    <row r="1833" spans="6:11" ht="15.75">
      <c r="K1833" s="59" t="s">
        <v>21</v>
      </c>
    </row>
    <row r="1834" spans="6:11" ht="15.75">
      <c r="H1834" s="50" t="s">
        <v>1139</v>
      </c>
      <c r="K1834" s="64">
        <f>SUM(K1822:K1832)</f>
        <v>5920.4</v>
      </c>
    </row>
    <row r="1835" spans="6:11" ht="15.75">
      <c r="K1835" s="59" t="s">
        <v>21</v>
      </c>
    </row>
    <row r="1836" spans="6:11" ht="15.75">
      <c r="H1836" s="50" t="s">
        <v>562</v>
      </c>
      <c r="K1836" s="64">
        <f>(K1834/30)</f>
        <v>197.34666666666666</v>
      </c>
    </row>
    <row r="1837" spans="6:11" ht="15.75">
      <c r="K1837" s="59" t="s">
        <v>21</v>
      </c>
    </row>
    <row r="1838" spans="6:11" ht="15.75">
      <c r="G1838" s="62" t="s">
        <v>524</v>
      </c>
      <c r="H1838" s="50" t="s">
        <v>1119</v>
      </c>
      <c r="K1838" s="50" t="s">
        <v>2181</v>
      </c>
    </row>
    <row r="1839" spans="6:11" ht="15.75">
      <c r="H1839" s="59" t="s">
        <v>21</v>
      </c>
      <c r="K1839" s="59" t="s">
        <v>156</v>
      </c>
    </row>
    <row r="1840" spans="6:11" ht="15.75">
      <c r="F1840" s="64">
        <v>30</v>
      </c>
      <c r="G1840" s="62" t="s">
        <v>552</v>
      </c>
      <c r="H1840" s="50" t="s">
        <v>1125</v>
      </c>
      <c r="I1840" s="64">
        <f>(C661)</f>
        <v>8.1</v>
      </c>
      <c r="J1840" s="50" t="s">
        <v>552</v>
      </c>
      <c r="K1840" s="64">
        <f>(F1840*I1840)</f>
        <v>243</v>
      </c>
    </row>
    <row r="1841" spans="6:18" ht="15.75">
      <c r="F1841" s="50" t="s">
        <v>150</v>
      </c>
      <c r="H1841" s="50" t="s">
        <v>1128</v>
      </c>
      <c r="I1841" s="50" t="s">
        <v>150</v>
      </c>
      <c r="K1841" s="50" t="s">
        <v>150</v>
      </c>
    </row>
    <row r="1842" spans="6:18" ht="15.75">
      <c r="F1842" s="64">
        <v>8</v>
      </c>
      <c r="G1842" s="62" t="s">
        <v>153</v>
      </c>
      <c r="H1842" s="50" t="s">
        <v>1069</v>
      </c>
      <c r="I1842" s="64">
        <f>D663</f>
        <v>8.5</v>
      </c>
      <c r="J1842" s="50" t="s">
        <v>153</v>
      </c>
      <c r="K1842" s="64">
        <f t="shared" ref="K1842:K1848" si="213">(F1842*I1842)</f>
        <v>68</v>
      </c>
    </row>
    <row r="1843" spans="6:18" ht="15.75">
      <c r="F1843" s="64">
        <v>8</v>
      </c>
      <c r="G1843" s="62" t="s">
        <v>153</v>
      </c>
      <c r="H1843" s="50" t="s">
        <v>1072</v>
      </c>
      <c r="I1843" s="64">
        <f>C677</f>
        <v>28.5</v>
      </c>
      <c r="J1843" s="50" t="s">
        <v>153</v>
      </c>
      <c r="K1843" s="64">
        <f t="shared" si="213"/>
        <v>228</v>
      </c>
    </row>
    <row r="1844" spans="6:18" ht="15.75">
      <c r="F1844" s="64">
        <v>3</v>
      </c>
      <c r="G1844" s="62" t="s">
        <v>153</v>
      </c>
      <c r="H1844" s="50" t="s">
        <v>1133</v>
      </c>
      <c r="I1844" s="64">
        <f>(C41)</f>
        <v>796.59999999999991</v>
      </c>
      <c r="J1844" s="50" t="s">
        <v>153</v>
      </c>
      <c r="K1844" s="64">
        <f t="shared" si="213"/>
        <v>2389.7999999999997</v>
      </c>
    </row>
    <row r="1845" spans="6:18" ht="15.75">
      <c r="F1845" s="64">
        <v>1</v>
      </c>
      <c r="G1845" s="62" t="s">
        <v>153</v>
      </c>
      <c r="H1845" s="50" t="s">
        <v>2177</v>
      </c>
      <c r="I1845" s="64">
        <f>(C10)</f>
        <v>1076.5999999999999</v>
      </c>
      <c r="J1845" s="50" t="s">
        <v>153</v>
      </c>
      <c r="K1845" s="64">
        <f t="shared" si="213"/>
        <v>1076.5999999999999</v>
      </c>
    </row>
    <row r="1846" spans="6:18" ht="15.75">
      <c r="F1846" s="64">
        <v>2</v>
      </c>
      <c r="G1846" s="62" t="s">
        <v>153</v>
      </c>
      <c r="H1846" s="50" t="s">
        <v>235</v>
      </c>
      <c r="I1846" s="64">
        <f>(C12)</f>
        <v>702.8</v>
      </c>
      <c r="J1846" s="50" t="s">
        <v>153</v>
      </c>
      <c r="K1846" s="64">
        <f t="shared" si="213"/>
        <v>1405.6</v>
      </c>
    </row>
    <row r="1847" spans="6:18" ht="15.75">
      <c r="F1847" s="64">
        <v>1</v>
      </c>
      <c r="G1847" s="62" t="s">
        <v>153</v>
      </c>
      <c r="H1847" s="50" t="s">
        <v>236</v>
      </c>
      <c r="I1847" s="64">
        <f>(C13)</f>
        <v>576.79999999999995</v>
      </c>
      <c r="J1847" s="50" t="s">
        <v>153</v>
      </c>
      <c r="K1847" s="64">
        <f t="shared" si="213"/>
        <v>576.79999999999995</v>
      </c>
    </row>
    <row r="1848" spans="6:18" ht="15.75">
      <c r="F1848" s="64">
        <v>1</v>
      </c>
      <c r="G1848" s="62" t="s">
        <v>153</v>
      </c>
      <c r="H1848" s="50" t="s">
        <v>2178</v>
      </c>
      <c r="I1848" s="50">
        <v>5.26</v>
      </c>
      <c r="J1848" s="50" t="s">
        <v>153</v>
      </c>
      <c r="K1848" s="64">
        <f t="shared" si="213"/>
        <v>5.26</v>
      </c>
    </row>
    <row r="1849" spans="6:18" ht="15.75">
      <c r="H1849" s="50" t="s">
        <v>2179</v>
      </c>
      <c r="I1849" s="50" t="s">
        <v>150</v>
      </c>
      <c r="K1849" s="50" t="s">
        <v>150</v>
      </c>
    </row>
    <row r="1850" spans="6:18" ht="15.75">
      <c r="G1850" s="62" t="s">
        <v>226</v>
      </c>
      <c r="H1850" s="50" t="s">
        <v>237</v>
      </c>
      <c r="J1850" s="50" t="s">
        <v>226</v>
      </c>
      <c r="K1850" s="64">
        <v>0</v>
      </c>
    </row>
    <row r="1851" spans="6:18" ht="15.75">
      <c r="K1851" s="59" t="s">
        <v>21</v>
      </c>
    </row>
    <row r="1852" spans="6:18" ht="15.75">
      <c r="H1852" s="50" t="s">
        <v>1139</v>
      </c>
      <c r="K1852" s="64">
        <f>SUM(K1840:K1850)</f>
        <v>5993.06</v>
      </c>
    </row>
    <row r="1853" spans="6:18" ht="15.75">
      <c r="K1853" s="59" t="s">
        <v>21</v>
      </c>
    </row>
    <row r="1854" spans="6:18" ht="15.75">
      <c r="H1854" s="50" t="s">
        <v>562</v>
      </c>
      <c r="K1854" s="64">
        <f>(K1852/30)</f>
        <v>199.76866666666669</v>
      </c>
      <c r="N1854" s="62" t="s">
        <v>524</v>
      </c>
      <c r="O1854" s="50" t="s">
        <v>1119</v>
      </c>
      <c r="Q1854" s="55"/>
      <c r="R1854" s="50" t="s">
        <v>2182</v>
      </c>
    </row>
    <row r="1855" spans="6:18" ht="15.75">
      <c r="K1855" s="59" t="s">
        <v>21</v>
      </c>
      <c r="N1855" s="53"/>
      <c r="O1855" s="59" t="s">
        <v>21</v>
      </c>
      <c r="Q1855" s="55"/>
      <c r="R1855" s="59" t="s">
        <v>156</v>
      </c>
    </row>
    <row r="1856" spans="6:18" ht="15.75">
      <c r="M1856" s="64">
        <v>30</v>
      </c>
      <c r="N1856" s="62" t="s">
        <v>552</v>
      </c>
      <c r="O1856" s="50" t="s">
        <v>1125</v>
      </c>
      <c r="P1856" s="64">
        <f>I1840</f>
        <v>8.1</v>
      </c>
      <c r="Q1856" s="50" t="s">
        <v>552</v>
      </c>
      <c r="R1856" s="64">
        <f>(M1856*P1856)</f>
        <v>243</v>
      </c>
    </row>
    <row r="1857" spans="6:18" ht="15.75">
      <c r="F1857" s="298">
        <v>52</v>
      </c>
      <c r="G1857" s="62" t="s">
        <v>249</v>
      </c>
      <c r="H1857" s="50" t="s">
        <v>2183</v>
      </c>
      <c r="M1857" s="50" t="s">
        <v>150</v>
      </c>
      <c r="N1857" s="53"/>
      <c r="O1857" s="50" t="s">
        <v>1128</v>
      </c>
      <c r="P1857" s="64" t="str">
        <f t="shared" ref="P1857:P1866" si="214">I1841</f>
        <v/>
      </c>
      <c r="Q1857" s="55"/>
      <c r="R1857" s="50" t="s">
        <v>150</v>
      </c>
    </row>
    <row r="1858" spans="6:18" ht="15.75">
      <c r="H1858" s="50" t="s">
        <v>2184</v>
      </c>
      <c r="M1858" s="64">
        <v>8</v>
      </c>
      <c r="N1858" s="62" t="s">
        <v>153</v>
      </c>
      <c r="O1858" s="120" t="s">
        <v>2185</v>
      </c>
      <c r="P1858" s="71">
        <v>10.199999999999999</v>
      </c>
      <c r="Q1858" s="50" t="s">
        <v>153</v>
      </c>
      <c r="R1858" s="64">
        <f t="shared" ref="R1858:R1863" si="215">(M1858*P1858)</f>
        <v>81.599999999999994</v>
      </c>
    </row>
    <row r="1859" spans="6:18" ht="15.75">
      <c r="H1859" s="50" t="s">
        <v>2186</v>
      </c>
      <c r="M1859" s="64">
        <v>8</v>
      </c>
      <c r="N1859" s="62" t="s">
        <v>153</v>
      </c>
      <c r="O1859" s="120" t="s">
        <v>2187</v>
      </c>
      <c r="P1859" s="71">
        <v>28.5</v>
      </c>
      <c r="Q1859" s="50" t="s">
        <v>153</v>
      </c>
      <c r="R1859" s="64">
        <f t="shared" si="215"/>
        <v>228</v>
      </c>
    </row>
    <row r="1860" spans="6:18" ht="15.75">
      <c r="H1860" s="50" t="s">
        <v>2188</v>
      </c>
      <c r="M1860" s="64">
        <v>3</v>
      </c>
      <c r="N1860" s="62" t="s">
        <v>153</v>
      </c>
      <c r="O1860" s="50" t="s">
        <v>1133</v>
      </c>
      <c r="P1860" s="64">
        <f t="shared" si="214"/>
        <v>796.59999999999991</v>
      </c>
      <c r="Q1860" s="50" t="s">
        <v>153</v>
      </c>
      <c r="R1860" s="64">
        <f t="shared" si="215"/>
        <v>2389.7999999999997</v>
      </c>
    </row>
    <row r="1861" spans="6:18" ht="15.75">
      <c r="H1861" s="50" t="s">
        <v>2189</v>
      </c>
      <c r="M1861" s="64">
        <v>1</v>
      </c>
      <c r="N1861" s="62" t="s">
        <v>153</v>
      </c>
      <c r="O1861" s="50" t="s">
        <v>2177</v>
      </c>
      <c r="P1861" s="64">
        <f t="shared" si="214"/>
        <v>1076.5999999999999</v>
      </c>
      <c r="Q1861" s="50" t="s">
        <v>153</v>
      </c>
      <c r="R1861" s="64">
        <f t="shared" si="215"/>
        <v>1076.5999999999999</v>
      </c>
    </row>
    <row r="1862" spans="6:18" ht="15.75">
      <c r="H1862" s="50" t="s">
        <v>2190</v>
      </c>
      <c r="M1862" s="64">
        <v>2</v>
      </c>
      <c r="N1862" s="62" t="s">
        <v>153</v>
      </c>
      <c r="O1862" s="50" t="s">
        <v>235</v>
      </c>
      <c r="P1862" s="64">
        <f t="shared" si="214"/>
        <v>702.8</v>
      </c>
      <c r="Q1862" s="50" t="s">
        <v>153</v>
      </c>
      <c r="R1862" s="64">
        <f t="shared" si="215"/>
        <v>1405.6</v>
      </c>
    </row>
    <row r="1863" spans="6:18" ht="15.75">
      <c r="H1863" s="50" t="s">
        <v>2191</v>
      </c>
      <c r="M1863" s="64">
        <v>1</v>
      </c>
      <c r="N1863" s="62" t="s">
        <v>153</v>
      </c>
      <c r="O1863" s="50" t="s">
        <v>236</v>
      </c>
      <c r="P1863" s="64">
        <f t="shared" si="214"/>
        <v>576.79999999999995</v>
      </c>
      <c r="Q1863" s="50" t="s">
        <v>153</v>
      </c>
      <c r="R1863" s="64">
        <f t="shared" si="215"/>
        <v>576.79999999999995</v>
      </c>
    </row>
    <row r="1864" spans="6:18" ht="15.75">
      <c r="H1864" s="50" t="s">
        <v>2192</v>
      </c>
      <c r="N1864" s="62" t="s">
        <v>226</v>
      </c>
      <c r="O1864" s="50" t="s">
        <v>2178</v>
      </c>
      <c r="P1864" s="64">
        <f t="shared" si="214"/>
        <v>5.26</v>
      </c>
      <c r="Q1864" s="50" t="s">
        <v>226</v>
      </c>
      <c r="R1864" s="64">
        <v>5</v>
      </c>
    </row>
    <row r="1865" spans="6:18" ht="15.75">
      <c r="H1865" s="59" t="s">
        <v>156</v>
      </c>
      <c r="I1865" s="59" t="s">
        <v>156</v>
      </c>
      <c r="N1865" s="53"/>
      <c r="O1865" s="50" t="s">
        <v>2179</v>
      </c>
      <c r="P1865" s="64" t="str">
        <f t="shared" si="214"/>
        <v/>
      </c>
      <c r="Q1865" s="55"/>
      <c r="R1865" s="50" t="s">
        <v>150</v>
      </c>
    </row>
    <row r="1866" spans="6:18" ht="15.75">
      <c r="G1866" s="62" t="s">
        <v>249</v>
      </c>
      <c r="H1866" s="50" t="s">
        <v>513</v>
      </c>
      <c r="N1866" s="62" t="s">
        <v>226</v>
      </c>
      <c r="O1866" s="50" t="s">
        <v>237</v>
      </c>
      <c r="P1866" s="64">
        <f t="shared" si="214"/>
        <v>0</v>
      </c>
      <c r="Q1866" s="50" t="s">
        <v>226</v>
      </c>
      <c r="R1866" s="64">
        <v>0</v>
      </c>
    </row>
    <row r="1867" spans="6:18" ht="15.75">
      <c r="H1867" s="50" t="s">
        <v>591</v>
      </c>
      <c r="N1867" s="53"/>
      <c r="Q1867" s="55"/>
      <c r="R1867" s="59" t="s">
        <v>21</v>
      </c>
    </row>
    <row r="1868" spans="6:18" ht="15.75">
      <c r="G1868" s="62" t="s">
        <v>514</v>
      </c>
      <c r="H1868" s="50" t="s">
        <v>515</v>
      </c>
      <c r="N1868" s="53"/>
      <c r="O1868" s="50" t="s">
        <v>1139</v>
      </c>
      <c r="Q1868" s="55"/>
      <c r="R1868" s="64">
        <f>SUM(R1856:R1866)</f>
        <v>6006.4</v>
      </c>
    </row>
    <row r="1869" spans="6:18" ht="15.75">
      <c r="H1869" s="59" t="s">
        <v>21</v>
      </c>
      <c r="N1869" s="53"/>
      <c r="Q1869" s="55"/>
      <c r="R1869" s="59" t="s">
        <v>21</v>
      </c>
    </row>
    <row r="1870" spans="6:18" ht="15.75">
      <c r="F1870" s="64">
        <v>1</v>
      </c>
      <c r="G1870" s="62" t="s">
        <v>303</v>
      </c>
      <c r="H1870" s="50" t="s">
        <v>516</v>
      </c>
      <c r="I1870" s="64">
        <f>C517</f>
        <v>26</v>
      </c>
      <c r="J1870" s="50" t="s">
        <v>303</v>
      </c>
      <c r="K1870" s="64">
        <f>(F1870*I1870)</f>
        <v>26</v>
      </c>
      <c r="N1870" s="53"/>
      <c r="O1870" s="50" t="s">
        <v>562</v>
      </c>
      <c r="Q1870" s="55"/>
      <c r="R1870" s="64">
        <f>(R1868/30)</f>
        <v>200.21333333333331</v>
      </c>
    </row>
    <row r="1871" spans="6:18" ht="15.75">
      <c r="F1871" s="64">
        <v>1</v>
      </c>
      <c r="G1871" s="62" t="s">
        <v>226</v>
      </c>
      <c r="H1871" s="50" t="s">
        <v>517</v>
      </c>
      <c r="I1871" s="64">
        <f>I1870*0.7</f>
        <v>18.2</v>
      </c>
      <c r="J1871" s="50" t="s">
        <v>226</v>
      </c>
      <c r="K1871" s="64">
        <f>(F1871*I1871)</f>
        <v>18.2</v>
      </c>
      <c r="N1871" s="53"/>
      <c r="Q1871" s="55"/>
      <c r="R1871" s="59" t="s">
        <v>21</v>
      </c>
    </row>
    <row r="1872" spans="6:18" ht="15.75">
      <c r="F1872" s="64">
        <v>1</v>
      </c>
      <c r="G1872" s="62" t="s">
        <v>303</v>
      </c>
      <c r="H1872" s="50" t="s">
        <v>518</v>
      </c>
      <c r="I1872" s="64">
        <f>K1818</f>
        <v>194.50666666666666</v>
      </c>
      <c r="J1872" s="50" t="s">
        <v>303</v>
      </c>
      <c r="K1872" s="64">
        <f>(F1872*I1872)</f>
        <v>194.50666666666666</v>
      </c>
    </row>
    <row r="1873" spans="6:18" ht="15.75">
      <c r="I1873" s="50" t="s">
        <v>150</v>
      </c>
      <c r="K1873" s="59" t="s">
        <v>21</v>
      </c>
    </row>
    <row r="1874" spans="6:18" ht="15.75">
      <c r="H1874" s="50" t="s">
        <v>519</v>
      </c>
      <c r="K1874" s="63">
        <f>SUM(K1870:K1872)</f>
        <v>238.70666666666665</v>
      </c>
    </row>
    <row r="1875" spans="6:18" ht="15.75">
      <c r="H1875" s="50" t="s">
        <v>150</v>
      </c>
      <c r="I1875" s="50" t="s">
        <v>150</v>
      </c>
      <c r="K1875" s="59" t="s">
        <v>156</v>
      </c>
      <c r="N1875" s="62" t="s">
        <v>524</v>
      </c>
      <c r="O1875" s="50" t="s">
        <v>2193</v>
      </c>
      <c r="Q1875" s="55"/>
    </row>
    <row r="1876" spans="6:18" ht="15.75">
      <c r="G1876" s="62" t="s">
        <v>520</v>
      </c>
      <c r="H1876" s="50" t="s">
        <v>521</v>
      </c>
      <c r="N1876" s="53"/>
      <c r="O1876" s="59" t="s">
        <v>21</v>
      </c>
      <c r="Q1876" s="55"/>
    </row>
    <row r="1877" spans="6:18" ht="15.75">
      <c r="H1877" s="59" t="s">
        <v>21</v>
      </c>
      <c r="M1877" s="64">
        <v>1</v>
      </c>
      <c r="N1877" s="62" t="s">
        <v>303</v>
      </c>
      <c r="O1877" s="50" t="s">
        <v>2194</v>
      </c>
      <c r="P1877" s="64">
        <f>C520</f>
        <v>65</v>
      </c>
      <c r="Q1877" s="50" t="s">
        <v>303</v>
      </c>
      <c r="R1877" s="64">
        <f>(M1877*P1877)</f>
        <v>65</v>
      </c>
    </row>
    <row r="1878" spans="6:18" ht="15.75">
      <c r="F1878" s="64">
        <v>1</v>
      </c>
      <c r="G1878" s="62" t="s">
        <v>303</v>
      </c>
      <c r="H1878" s="50" t="s">
        <v>522</v>
      </c>
      <c r="I1878" s="64">
        <f>C518</f>
        <v>35</v>
      </c>
      <c r="J1878" s="50" t="s">
        <v>303</v>
      </c>
      <c r="K1878" s="64">
        <f>(F1878*I1878)</f>
        <v>35</v>
      </c>
      <c r="M1878" s="64">
        <v>1</v>
      </c>
      <c r="N1878" s="62" t="s">
        <v>226</v>
      </c>
      <c r="O1878" s="50" t="s">
        <v>527</v>
      </c>
      <c r="P1878" s="64">
        <f>P1877*0.2</f>
        <v>13</v>
      </c>
      <c r="Q1878" s="50" t="s">
        <v>226</v>
      </c>
      <c r="R1878" s="64">
        <f>(M1878*P1878)</f>
        <v>13</v>
      </c>
    </row>
    <row r="1879" spans="6:18" ht="15.75">
      <c r="F1879" s="64">
        <v>1</v>
      </c>
      <c r="G1879" s="62" t="s">
        <v>226</v>
      </c>
      <c r="H1879" s="50" t="s">
        <v>523</v>
      </c>
      <c r="I1879" s="64">
        <f>I1878*0.4</f>
        <v>14</v>
      </c>
      <c r="J1879" s="50" t="s">
        <v>226</v>
      </c>
      <c r="K1879" s="64">
        <f>(F1879*I1879)</f>
        <v>14</v>
      </c>
      <c r="M1879" s="64">
        <v>1</v>
      </c>
      <c r="N1879" s="62" t="s">
        <v>303</v>
      </c>
      <c r="O1879" s="50" t="s">
        <v>518</v>
      </c>
      <c r="P1879" s="64">
        <f>R1870</f>
        <v>200.21333333333331</v>
      </c>
      <c r="Q1879" s="50" t="s">
        <v>303</v>
      </c>
      <c r="R1879" s="64">
        <f>(M1879*P1879)</f>
        <v>200.21333333333331</v>
      </c>
    </row>
    <row r="1880" spans="6:18" ht="15.75">
      <c r="F1880" s="64">
        <v>1</v>
      </c>
      <c r="G1880" s="62" t="s">
        <v>303</v>
      </c>
      <c r="H1880" s="50" t="s">
        <v>518</v>
      </c>
      <c r="I1880" s="64">
        <f>K1836</f>
        <v>197.34666666666666</v>
      </c>
      <c r="J1880" s="50" t="s">
        <v>303</v>
      </c>
      <c r="K1880" s="64">
        <f>(F1880*I1880)</f>
        <v>197.34666666666666</v>
      </c>
      <c r="N1880" s="53"/>
      <c r="P1880" s="50" t="s">
        <v>150</v>
      </c>
      <c r="Q1880" s="55"/>
      <c r="R1880" s="59" t="s">
        <v>21</v>
      </c>
    </row>
    <row r="1881" spans="6:18" ht="15.75">
      <c r="I1881" s="50" t="s">
        <v>150</v>
      </c>
      <c r="K1881" s="59" t="s">
        <v>21</v>
      </c>
      <c r="N1881" s="53"/>
      <c r="O1881" s="50" t="s">
        <v>519</v>
      </c>
      <c r="Q1881" s="55"/>
      <c r="R1881" s="63">
        <f>SUM(R1877:R1879)</f>
        <v>278.21333333333331</v>
      </c>
    </row>
    <row r="1882" spans="6:18" ht="15.75">
      <c r="H1882" s="50" t="s">
        <v>519</v>
      </c>
      <c r="K1882" s="63">
        <f>SUM(K1878:K1880)</f>
        <v>246.34666666666666</v>
      </c>
      <c r="N1882" s="53"/>
      <c r="P1882" s="50" t="s">
        <v>150</v>
      </c>
      <c r="Q1882" s="55"/>
      <c r="R1882" s="59" t="s">
        <v>156</v>
      </c>
    </row>
    <row r="1883" spans="6:18" ht="15.75">
      <c r="I1883" s="50" t="s">
        <v>150</v>
      </c>
      <c r="K1883" s="59" t="s">
        <v>156</v>
      </c>
    </row>
    <row r="1884" spans="6:18" ht="15.75">
      <c r="G1884" s="62" t="s">
        <v>524</v>
      </c>
      <c r="H1884" s="50" t="s">
        <v>525</v>
      </c>
    </row>
    <row r="1885" spans="6:18" ht="15.75">
      <c r="H1885" s="59" t="s">
        <v>21</v>
      </c>
      <c r="N1885" s="62" t="s">
        <v>524</v>
      </c>
      <c r="O1885" s="50" t="s">
        <v>1119</v>
      </c>
      <c r="Q1885" s="55"/>
      <c r="R1885" s="50" t="s">
        <v>2195</v>
      </c>
    </row>
    <row r="1886" spans="6:18" ht="15.75">
      <c r="F1886" s="64">
        <v>1</v>
      </c>
      <c r="G1886" s="62" t="s">
        <v>303</v>
      </c>
      <c r="H1886" s="50" t="s">
        <v>526</v>
      </c>
      <c r="I1886" s="64">
        <v>52</v>
      </c>
      <c r="J1886" s="50" t="s">
        <v>303</v>
      </c>
      <c r="K1886" s="64">
        <f>(F1886*I1886)</f>
        <v>52</v>
      </c>
      <c r="N1886" s="53"/>
      <c r="O1886" s="59" t="s">
        <v>21</v>
      </c>
      <c r="Q1886" s="55"/>
      <c r="R1886" s="59" t="s">
        <v>156</v>
      </c>
    </row>
    <row r="1887" spans="6:18" ht="15.75">
      <c r="F1887" s="64">
        <v>1</v>
      </c>
      <c r="G1887" s="62" t="s">
        <v>226</v>
      </c>
      <c r="H1887" s="50" t="s">
        <v>527</v>
      </c>
      <c r="I1887" s="64">
        <f>I1886*0.2</f>
        <v>10.4</v>
      </c>
      <c r="J1887" s="50" t="s">
        <v>226</v>
      </c>
      <c r="K1887" s="64">
        <f>(F1887*I1887)</f>
        <v>10.4</v>
      </c>
      <c r="M1887" s="64">
        <v>30</v>
      </c>
      <c r="N1887" s="62" t="s">
        <v>552</v>
      </c>
      <c r="O1887" s="50" t="s">
        <v>1125</v>
      </c>
      <c r="P1887" s="64">
        <v>9.5</v>
      </c>
      <c r="Q1887" s="50" t="s">
        <v>552</v>
      </c>
      <c r="R1887" s="64">
        <f>(M1887*P1887)</f>
        <v>285</v>
      </c>
    </row>
    <row r="1888" spans="6:18" ht="15.75">
      <c r="F1888" s="64">
        <v>1</v>
      </c>
      <c r="G1888" s="62" t="s">
        <v>303</v>
      </c>
      <c r="H1888" s="50" t="s">
        <v>518</v>
      </c>
      <c r="I1888" s="64">
        <f>K1854</f>
        <v>199.76866666666669</v>
      </c>
      <c r="J1888" s="50" t="s">
        <v>303</v>
      </c>
      <c r="K1888" s="64">
        <f>(F1888*I1888)</f>
        <v>199.76866666666669</v>
      </c>
      <c r="M1888" s="50" t="s">
        <v>150</v>
      </c>
      <c r="N1888" s="53"/>
      <c r="O1888" s="50" t="s">
        <v>1128</v>
      </c>
      <c r="P1888" s="64" t="str">
        <f t="shared" ref="P1888:P1896" si="216">P1857</f>
        <v/>
      </c>
      <c r="Q1888" s="55"/>
      <c r="R1888" s="50" t="s">
        <v>150</v>
      </c>
    </row>
    <row r="1889" spans="6:18" ht="15.75">
      <c r="I1889" s="50" t="s">
        <v>150</v>
      </c>
      <c r="K1889" s="59" t="s">
        <v>21</v>
      </c>
      <c r="M1889" s="64">
        <v>8</v>
      </c>
      <c r="N1889" s="62" t="s">
        <v>153</v>
      </c>
      <c r="O1889" s="50" t="s">
        <v>2196</v>
      </c>
      <c r="P1889" s="73">
        <v>13.8</v>
      </c>
      <c r="Q1889" s="50" t="s">
        <v>153</v>
      </c>
      <c r="R1889" s="64">
        <f t="shared" ref="R1889:R1894" si="217">(M1889*P1889)</f>
        <v>110.4</v>
      </c>
    </row>
    <row r="1890" spans="6:18" ht="15.75">
      <c r="H1890" s="50" t="s">
        <v>519</v>
      </c>
      <c r="K1890" s="63">
        <f>SUM(K1886:K1888)</f>
        <v>262.1686666666667</v>
      </c>
      <c r="M1890" s="64">
        <v>8</v>
      </c>
      <c r="N1890" s="62" t="s">
        <v>153</v>
      </c>
      <c r="O1890" s="50" t="s">
        <v>2197</v>
      </c>
      <c r="P1890" s="73">
        <v>32</v>
      </c>
      <c r="Q1890" s="50" t="s">
        <v>153</v>
      </c>
      <c r="R1890" s="64">
        <f t="shared" si="217"/>
        <v>256</v>
      </c>
    </row>
    <row r="1891" spans="6:18" ht="15.75">
      <c r="I1891" s="50" t="s">
        <v>150</v>
      </c>
      <c r="K1891" s="59" t="s">
        <v>156</v>
      </c>
      <c r="M1891" s="64">
        <v>3</v>
      </c>
      <c r="N1891" s="62" t="s">
        <v>153</v>
      </c>
      <c r="O1891" s="50" t="s">
        <v>1133</v>
      </c>
      <c r="P1891" s="64">
        <f t="shared" si="216"/>
        <v>796.59999999999991</v>
      </c>
      <c r="Q1891" s="50" t="s">
        <v>153</v>
      </c>
      <c r="R1891" s="64">
        <f t="shared" si="217"/>
        <v>2389.7999999999997</v>
      </c>
    </row>
    <row r="1892" spans="6:18" ht="15.75">
      <c r="I1892" s="50"/>
      <c r="K1892" s="59"/>
      <c r="M1892" s="64">
        <v>1</v>
      </c>
      <c r="N1892" s="62" t="s">
        <v>153</v>
      </c>
      <c r="O1892" s="50" t="s">
        <v>2177</v>
      </c>
      <c r="P1892" s="64">
        <f t="shared" si="216"/>
        <v>1076.5999999999999</v>
      </c>
      <c r="Q1892" s="50" t="s">
        <v>153</v>
      </c>
      <c r="R1892" s="64">
        <f t="shared" si="217"/>
        <v>1076.5999999999999</v>
      </c>
    </row>
    <row r="1893" spans="6:18" ht="15.75">
      <c r="G1893" s="62" t="s">
        <v>524</v>
      </c>
      <c r="H1893" s="50" t="s">
        <v>2198</v>
      </c>
      <c r="M1893" s="64">
        <v>2</v>
      </c>
      <c r="N1893" s="62" t="s">
        <v>153</v>
      </c>
      <c r="O1893" s="50" t="s">
        <v>235</v>
      </c>
      <c r="P1893" s="64">
        <f t="shared" si="216"/>
        <v>702.8</v>
      </c>
      <c r="Q1893" s="50" t="s">
        <v>153</v>
      </c>
      <c r="R1893" s="64">
        <f t="shared" si="217"/>
        <v>1405.6</v>
      </c>
    </row>
    <row r="1894" spans="6:18" ht="15.75">
      <c r="H1894" s="59" t="s">
        <v>21</v>
      </c>
      <c r="M1894" s="64">
        <v>1</v>
      </c>
      <c r="N1894" s="62" t="s">
        <v>153</v>
      </c>
      <c r="O1894" s="50" t="s">
        <v>236</v>
      </c>
      <c r="P1894" s="64">
        <f t="shared" si="216"/>
        <v>576.79999999999995</v>
      </c>
      <c r="Q1894" s="50" t="s">
        <v>153</v>
      </c>
      <c r="R1894" s="64">
        <f t="shared" si="217"/>
        <v>576.79999999999995</v>
      </c>
    </row>
    <row r="1895" spans="6:18" ht="15.75">
      <c r="F1895" s="64">
        <v>1</v>
      </c>
      <c r="G1895" s="62" t="s">
        <v>303</v>
      </c>
      <c r="H1895" s="50" t="s">
        <v>2199</v>
      </c>
      <c r="I1895" s="64">
        <f>C521</f>
        <v>82</v>
      </c>
      <c r="J1895" s="50" t="s">
        <v>303</v>
      </c>
      <c r="K1895" s="64">
        <f>(F1895*I1895)</f>
        <v>82</v>
      </c>
      <c r="N1895" s="62" t="s">
        <v>226</v>
      </c>
      <c r="O1895" s="50" t="s">
        <v>2178</v>
      </c>
      <c r="P1895" s="64">
        <f t="shared" si="216"/>
        <v>5.26</v>
      </c>
      <c r="Q1895" s="50" t="s">
        <v>226</v>
      </c>
      <c r="R1895" s="64">
        <v>5</v>
      </c>
    </row>
    <row r="1896" spans="6:18" ht="15.75">
      <c r="F1896" s="64">
        <v>1</v>
      </c>
      <c r="G1896" s="62" t="s">
        <v>226</v>
      </c>
      <c r="H1896" s="50" t="s">
        <v>527</v>
      </c>
      <c r="I1896" s="64">
        <f>I1895*0.2</f>
        <v>16.400000000000002</v>
      </c>
      <c r="J1896" s="50" t="s">
        <v>226</v>
      </c>
      <c r="K1896" s="64">
        <f>(F1896*I1896)</f>
        <v>16.400000000000002</v>
      </c>
      <c r="N1896" s="53"/>
      <c r="O1896" s="50" t="s">
        <v>2179</v>
      </c>
      <c r="P1896" s="64" t="str">
        <f t="shared" si="216"/>
        <v/>
      </c>
      <c r="Q1896" s="55"/>
      <c r="R1896" s="50" t="s">
        <v>150</v>
      </c>
    </row>
    <row r="1897" spans="6:18" ht="15.75">
      <c r="F1897" s="64">
        <v>1</v>
      </c>
      <c r="G1897" s="62" t="s">
        <v>303</v>
      </c>
      <c r="H1897" s="50" t="s">
        <v>518</v>
      </c>
      <c r="I1897" s="64">
        <f>I1888</f>
        <v>199.76866666666669</v>
      </c>
      <c r="J1897" s="50" t="s">
        <v>303</v>
      </c>
      <c r="K1897" s="64">
        <f>(F1897*I1897)</f>
        <v>199.76866666666669</v>
      </c>
      <c r="N1897" s="62" t="s">
        <v>226</v>
      </c>
      <c r="O1897" s="50" t="s">
        <v>237</v>
      </c>
      <c r="P1897" s="64" t="str">
        <f>I1881</f>
        <v/>
      </c>
      <c r="Q1897" s="50" t="s">
        <v>226</v>
      </c>
      <c r="R1897" s="64">
        <v>0</v>
      </c>
    </row>
    <row r="1898" spans="6:18" ht="15.75">
      <c r="I1898" s="50" t="s">
        <v>150</v>
      </c>
      <c r="K1898" s="59" t="s">
        <v>21</v>
      </c>
      <c r="N1898" s="53"/>
      <c r="Q1898" s="55"/>
      <c r="R1898" s="59" t="s">
        <v>21</v>
      </c>
    </row>
    <row r="1899" spans="6:18" ht="15.75">
      <c r="H1899" s="50" t="s">
        <v>519</v>
      </c>
      <c r="K1899" s="63">
        <f>SUM(K1895:K1897)</f>
        <v>298.1686666666667</v>
      </c>
      <c r="N1899" s="53"/>
      <c r="O1899" s="50" t="s">
        <v>1139</v>
      </c>
      <c r="Q1899" s="55"/>
      <c r="R1899" s="64">
        <f>SUM(R1887:R1897)</f>
        <v>6105.2</v>
      </c>
    </row>
    <row r="1900" spans="6:18" ht="15.75">
      <c r="I1900" s="50" t="s">
        <v>150</v>
      </c>
      <c r="K1900" s="59" t="s">
        <v>156</v>
      </c>
      <c r="N1900" s="53"/>
      <c r="Q1900" s="55"/>
      <c r="R1900" s="59" t="s">
        <v>21</v>
      </c>
    </row>
    <row r="1901" spans="6:18" ht="15.75">
      <c r="I1901" s="50"/>
      <c r="K1901" s="59"/>
      <c r="N1901" s="53"/>
      <c r="O1901" s="50" t="s">
        <v>562</v>
      </c>
      <c r="Q1901" s="55"/>
      <c r="R1901" s="64">
        <f>(R1899/30)</f>
        <v>203.50666666666666</v>
      </c>
    </row>
    <row r="1902" spans="6:18" ht="31.5">
      <c r="F1902" s="299">
        <v>52.1</v>
      </c>
      <c r="H1902" s="300" t="s">
        <v>2200</v>
      </c>
      <c r="I1902" s="50"/>
      <c r="K1902" s="59"/>
      <c r="N1902" s="53"/>
      <c r="Q1902" s="55"/>
      <c r="R1902" s="59" t="s">
        <v>21</v>
      </c>
    </row>
    <row r="1903" spans="6:18" ht="15.75">
      <c r="I1903" s="50"/>
      <c r="K1903" s="59"/>
    </row>
    <row r="1904" spans="6:18" ht="15.75">
      <c r="F1904" s="51"/>
      <c r="G1904" s="62"/>
      <c r="H1904" s="50" t="s">
        <v>1053</v>
      </c>
      <c r="I1904" s="50"/>
      <c r="K1904" s="59"/>
    </row>
    <row r="1905" spans="6:18" ht="15.75">
      <c r="G1905" s="62"/>
      <c r="H1905" s="50" t="s">
        <v>2201</v>
      </c>
      <c r="I1905" s="50"/>
      <c r="K1905" s="59"/>
    </row>
    <row r="1906" spans="6:18" ht="15.75">
      <c r="H1906" s="59" t="s">
        <v>21</v>
      </c>
      <c r="I1906" s="50"/>
      <c r="K1906" s="59"/>
      <c r="N1906" s="62" t="s">
        <v>524</v>
      </c>
      <c r="O1906" s="50" t="s">
        <v>2198</v>
      </c>
      <c r="Q1906" s="55"/>
    </row>
    <row r="1907" spans="6:18" ht="15.75">
      <c r="F1907" s="64">
        <v>30</v>
      </c>
      <c r="G1907" s="62" t="s">
        <v>552</v>
      </c>
      <c r="H1907" s="50" t="s">
        <v>2202</v>
      </c>
      <c r="I1907" s="162">
        <f>E661</f>
        <v>10.92</v>
      </c>
      <c r="J1907" s="50" t="s">
        <v>552</v>
      </c>
      <c r="K1907" s="64">
        <f>(F1907*I1907)</f>
        <v>327.60000000000002</v>
      </c>
      <c r="N1907" s="53"/>
      <c r="O1907" s="59" t="s">
        <v>21</v>
      </c>
      <c r="Q1907" s="55"/>
    </row>
    <row r="1908" spans="6:18" ht="15.75">
      <c r="F1908" s="64">
        <v>8</v>
      </c>
      <c r="G1908" s="62" t="s">
        <v>153</v>
      </c>
      <c r="H1908" s="50" t="s">
        <v>1069</v>
      </c>
      <c r="I1908" s="162">
        <f>C663</f>
        <v>7.1</v>
      </c>
      <c r="J1908" s="50" t="s">
        <v>153</v>
      </c>
      <c r="K1908" s="64">
        <f t="shared" ref="K1908:K1913" si="218">(F1908*I1908)</f>
        <v>56.8</v>
      </c>
      <c r="M1908" s="64">
        <v>1</v>
      </c>
      <c r="N1908" s="62" t="s">
        <v>303</v>
      </c>
      <c r="O1908" s="50" t="s">
        <v>2203</v>
      </c>
      <c r="P1908" s="64">
        <f>C521</f>
        <v>82</v>
      </c>
      <c r="Q1908" s="50" t="s">
        <v>303</v>
      </c>
      <c r="R1908" s="64">
        <f>(M1908*P1908)</f>
        <v>82</v>
      </c>
    </row>
    <row r="1909" spans="6:18" ht="15.75">
      <c r="F1909" s="64">
        <v>8</v>
      </c>
      <c r="G1909" s="62" t="s">
        <v>153</v>
      </c>
      <c r="H1909" s="50" t="s">
        <v>1072</v>
      </c>
      <c r="I1909" s="162">
        <f>D672</f>
        <v>21.1</v>
      </c>
      <c r="J1909" s="50" t="s">
        <v>153</v>
      </c>
      <c r="K1909" s="64">
        <f t="shared" si="218"/>
        <v>168.8</v>
      </c>
      <c r="M1909" s="64">
        <v>1</v>
      </c>
      <c r="N1909" s="62" t="s">
        <v>226</v>
      </c>
      <c r="O1909" s="50" t="s">
        <v>527</v>
      </c>
      <c r="P1909" s="64">
        <f>P1908*0.2</f>
        <v>16.400000000000002</v>
      </c>
      <c r="Q1909" s="50" t="s">
        <v>226</v>
      </c>
      <c r="R1909" s="64">
        <f>(M1909*P1909)</f>
        <v>16.400000000000002</v>
      </c>
    </row>
    <row r="1910" spans="6:18" ht="15.75">
      <c r="F1910" s="64">
        <v>3</v>
      </c>
      <c r="G1910" s="62" t="s">
        <v>153</v>
      </c>
      <c r="H1910" s="50" t="s">
        <v>1133</v>
      </c>
      <c r="I1910" s="162">
        <f>C41</f>
        <v>796.59999999999991</v>
      </c>
      <c r="J1910" s="50" t="s">
        <v>153</v>
      </c>
      <c r="K1910" s="64">
        <f t="shared" si="218"/>
        <v>2389.7999999999997</v>
      </c>
      <c r="M1910" s="64">
        <v>1</v>
      </c>
      <c r="N1910" s="62" t="s">
        <v>303</v>
      </c>
      <c r="O1910" s="50" t="s">
        <v>518</v>
      </c>
      <c r="P1910" s="64">
        <f>R1901</f>
        <v>203.50666666666666</v>
      </c>
      <c r="Q1910" s="50" t="s">
        <v>303</v>
      </c>
      <c r="R1910" s="64">
        <f>(M1910*P1910)</f>
        <v>203.50666666666666</v>
      </c>
    </row>
    <row r="1911" spans="6:18" ht="15.75">
      <c r="F1911" s="64">
        <v>1</v>
      </c>
      <c r="G1911" s="62" t="s">
        <v>153</v>
      </c>
      <c r="H1911" s="50" t="s">
        <v>2177</v>
      </c>
      <c r="I1911" s="162">
        <f>C10</f>
        <v>1076.5999999999999</v>
      </c>
      <c r="J1911" s="50" t="s">
        <v>153</v>
      </c>
      <c r="K1911" s="64">
        <f t="shared" si="218"/>
        <v>1076.5999999999999</v>
      </c>
      <c r="N1911" s="53"/>
      <c r="P1911" s="50" t="s">
        <v>150</v>
      </c>
      <c r="Q1911" s="55"/>
      <c r="R1911" s="59" t="s">
        <v>21</v>
      </c>
    </row>
    <row r="1912" spans="6:18" ht="15.75">
      <c r="F1912" s="64">
        <v>2</v>
      </c>
      <c r="G1912" s="62" t="s">
        <v>153</v>
      </c>
      <c r="H1912" s="50" t="s">
        <v>235</v>
      </c>
      <c r="I1912" s="162">
        <f>C12</f>
        <v>702.8</v>
      </c>
      <c r="J1912" s="50" t="s">
        <v>153</v>
      </c>
      <c r="K1912" s="64">
        <f t="shared" si="218"/>
        <v>1405.6</v>
      </c>
      <c r="N1912" s="53"/>
      <c r="O1912" s="50" t="s">
        <v>519</v>
      </c>
      <c r="Q1912" s="55"/>
      <c r="R1912" s="63">
        <f>SUM(R1908:R1910)</f>
        <v>301.90666666666664</v>
      </c>
    </row>
    <row r="1913" spans="6:18" ht="15.75">
      <c r="F1913" s="64">
        <v>1</v>
      </c>
      <c r="G1913" s="62" t="s">
        <v>153</v>
      </c>
      <c r="H1913" s="50" t="s">
        <v>236</v>
      </c>
      <c r="I1913" s="162">
        <f>C13</f>
        <v>576.79999999999995</v>
      </c>
      <c r="J1913" s="50" t="s">
        <v>153</v>
      </c>
      <c r="K1913" s="64">
        <f t="shared" si="218"/>
        <v>576.79999999999995</v>
      </c>
      <c r="N1913" s="53"/>
      <c r="P1913" s="50" t="s">
        <v>150</v>
      </c>
      <c r="Q1913" s="55"/>
      <c r="R1913" s="59" t="s">
        <v>156</v>
      </c>
    </row>
    <row r="1914" spans="6:18" ht="15.75">
      <c r="K1914" s="59" t="s">
        <v>21</v>
      </c>
    </row>
    <row r="1915" spans="6:18" ht="15.75">
      <c r="H1915" s="50" t="s">
        <v>1139</v>
      </c>
      <c r="K1915" s="64">
        <f>SUM(K1907:K1913)</f>
        <v>6002</v>
      </c>
    </row>
    <row r="1916" spans="6:18" ht="15.75">
      <c r="K1916" s="59" t="s">
        <v>21</v>
      </c>
    </row>
    <row r="1917" spans="6:18" ht="15.75">
      <c r="H1917" s="50" t="s">
        <v>562</v>
      </c>
      <c r="K1917" s="64">
        <f>(K1915/30)</f>
        <v>200.06666666666666</v>
      </c>
    </row>
    <row r="1918" spans="6:18" ht="15.75">
      <c r="K1918" s="59" t="s">
        <v>21</v>
      </c>
    </row>
    <row r="1919" spans="6:18" ht="15.75">
      <c r="I1919" s="50"/>
      <c r="K1919" s="59"/>
    </row>
    <row r="1920" spans="6:18" ht="15.75">
      <c r="H1920" s="52" t="s">
        <v>2204</v>
      </c>
      <c r="I1920" s="50"/>
      <c r="K1920" s="59"/>
    </row>
    <row r="1921" spans="6:11" ht="15.75">
      <c r="H1921" s="59" t="s">
        <v>21</v>
      </c>
      <c r="I1921" s="50"/>
      <c r="K1921" s="59"/>
    </row>
    <row r="1922" spans="6:11" ht="15.75">
      <c r="F1922" s="64">
        <v>1</v>
      </c>
      <c r="G1922" s="62" t="s">
        <v>303</v>
      </c>
      <c r="H1922" s="50" t="s">
        <v>2205</v>
      </c>
      <c r="I1922" s="162">
        <f>E698</f>
        <v>98.6</v>
      </c>
      <c r="J1922" s="50" t="s">
        <v>303</v>
      </c>
      <c r="K1922" s="64">
        <f>(F1922*I1922)</f>
        <v>98.6</v>
      </c>
    </row>
    <row r="1923" spans="6:11" ht="15.75">
      <c r="F1923" s="64">
        <v>1</v>
      </c>
      <c r="G1923" s="62" t="s">
        <v>226</v>
      </c>
      <c r="H1923" s="50" t="s">
        <v>2206</v>
      </c>
      <c r="I1923" s="162">
        <f>I1922*0.2</f>
        <v>19.72</v>
      </c>
      <c r="J1923" s="50" t="s">
        <v>226</v>
      </c>
      <c r="K1923" s="64">
        <f>(F1923*I1923)</f>
        <v>19.72</v>
      </c>
    </row>
    <row r="1924" spans="6:11" ht="15.75">
      <c r="F1924" s="64">
        <v>1</v>
      </c>
      <c r="G1924" s="62" t="s">
        <v>303</v>
      </c>
      <c r="H1924" s="50" t="s">
        <v>518</v>
      </c>
      <c r="I1924" s="162">
        <f>K1917</f>
        <v>200.06666666666666</v>
      </c>
      <c r="J1924" s="50" t="s">
        <v>303</v>
      </c>
      <c r="K1924" s="64">
        <f>(F1924*I1924)</f>
        <v>200.06666666666666</v>
      </c>
    </row>
    <row r="1925" spans="6:11" ht="31.5">
      <c r="F1925" s="64"/>
      <c r="G1925" s="62"/>
      <c r="H1925" s="112" t="s">
        <v>2207</v>
      </c>
      <c r="I1925" s="162"/>
      <c r="J1925" s="50" t="s">
        <v>226</v>
      </c>
      <c r="K1925" s="64">
        <f>1.25+0.47</f>
        <v>1.72</v>
      </c>
    </row>
    <row r="1926" spans="6:11" ht="15.75">
      <c r="I1926" s="50"/>
      <c r="K1926" s="59" t="s">
        <v>21</v>
      </c>
    </row>
    <row r="1927" spans="6:11" ht="15.75">
      <c r="H1927" s="50" t="s">
        <v>519</v>
      </c>
      <c r="I1927" s="50"/>
      <c r="K1927" s="63">
        <f>SUM(K1922:K1925)</f>
        <v>320.10666666666668</v>
      </c>
    </row>
    <row r="1928" spans="6:11" ht="15.75">
      <c r="I1928" s="50"/>
      <c r="K1928" s="59" t="s">
        <v>156</v>
      </c>
    </row>
    <row r="1929" spans="6:11" ht="15.75">
      <c r="I1929" s="50"/>
      <c r="K1929" s="59"/>
    </row>
    <row r="1930" spans="6:11" ht="15.75">
      <c r="I1930" s="50"/>
      <c r="K1930" s="59"/>
    </row>
    <row r="1931" spans="6:11" ht="15.75">
      <c r="F1931" s="101">
        <v>53.1</v>
      </c>
      <c r="G1931" s="62" t="s">
        <v>249</v>
      </c>
      <c r="H1931" s="50" t="s">
        <v>2208</v>
      </c>
    </row>
    <row r="1932" spans="6:11" ht="15.75">
      <c r="H1932" s="54" t="s">
        <v>2209</v>
      </c>
    </row>
    <row r="1933" spans="6:11" ht="15.75">
      <c r="H1933" s="50" t="s">
        <v>2210</v>
      </c>
    </row>
    <row r="1934" spans="6:11" ht="15.75">
      <c r="H1934" s="50" t="s">
        <v>2211</v>
      </c>
    </row>
    <row r="1935" spans="6:11" ht="15.75">
      <c r="H1935" s="59" t="s">
        <v>21</v>
      </c>
    </row>
    <row r="1936" spans="6:11" ht="63">
      <c r="F1936" s="301">
        <v>1</v>
      </c>
      <c r="G1936" s="301" t="s">
        <v>153</v>
      </c>
      <c r="H1936" s="302" t="s">
        <v>2212</v>
      </c>
      <c r="I1936" s="301">
        <f>(C617)</f>
        <v>1640</v>
      </c>
      <c r="J1936" s="303" t="s">
        <v>153</v>
      </c>
      <c r="K1936" s="301">
        <f>(F1936*I1936)</f>
        <v>1640</v>
      </c>
    </row>
    <row r="1937" spans="6:22" ht="15.75">
      <c r="F1937" s="64"/>
      <c r="G1937" s="62"/>
      <c r="H1937" s="102"/>
      <c r="I1937" s="64"/>
      <c r="J1937" s="50"/>
      <c r="K1937" s="64"/>
    </row>
    <row r="1938" spans="6:22" ht="15.75">
      <c r="F1938" s="64"/>
      <c r="G1938" s="62"/>
      <c r="H1938" s="102"/>
      <c r="I1938" s="64"/>
      <c r="J1938" s="51"/>
      <c r="K1938" s="64"/>
    </row>
    <row r="1939" spans="6:22" ht="15.75">
      <c r="F1939" s="304">
        <v>1</v>
      </c>
      <c r="G1939" s="304" t="s">
        <v>153</v>
      </c>
      <c r="H1939" s="50" t="s">
        <v>2213</v>
      </c>
      <c r="I1939" s="305">
        <v>-166</v>
      </c>
      <c r="J1939" s="102" t="s">
        <v>153</v>
      </c>
      <c r="K1939" s="304">
        <f>(F1939*I1939)</f>
        <v>-166</v>
      </c>
    </row>
    <row r="1940" spans="6:22" ht="15.75">
      <c r="F1940" s="72"/>
      <c r="G1940" s="297"/>
      <c r="H1940" s="102"/>
      <c r="I1940" s="72"/>
      <c r="J1940" s="127"/>
      <c r="K1940" s="72"/>
    </row>
    <row r="1941" spans="6:22" ht="15.75">
      <c r="F1941" s="72">
        <v>1</v>
      </c>
      <c r="G1941" s="297" t="s">
        <v>153</v>
      </c>
      <c r="H1941" s="102" t="s">
        <v>2214</v>
      </c>
      <c r="I1941" s="306">
        <v>250</v>
      </c>
      <c r="J1941" s="102" t="s">
        <v>153</v>
      </c>
      <c r="K1941" s="307">
        <f>(F1941*I1941)</f>
        <v>250</v>
      </c>
    </row>
    <row r="1942" spans="6:22" ht="15.75">
      <c r="F1942" s="64"/>
      <c r="G1942" s="62"/>
      <c r="H1942" s="50"/>
      <c r="I1942" s="64"/>
      <c r="J1942" s="50"/>
      <c r="K1942" s="64"/>
    </row>
    <row r="1943" spans="6:22" ht="15.75">
      <c r="F1943" s="64">
        <v>0.5</v>
      </c>
      <c r="G1943" s="62" t="s">
        <v>153</v>
      </c>
      <c r="H1943" s="50" t="s">
        <v>558</v>
      </c>
      <c r="I1943" s="64">
        <f>(C15)</f>
        <v>933.8</v>
      </c>
      <c r="J1943" s="50" t="s">
        <v>153</v>
      </c>
      <c r="K1943" s="64">
        <f>(F1943*I1943)</f>
        <v>466.9</v>
      </c>
      <c r="N1943" s="52">
        <f>7635</f>
        <v>7635</v>
      </c>
    </row>
    <row r="1944" spans="6:22" ht="15.75">
      <c r="F1944" s="64">
        <v>1</v>
      </c>
      <c r="G1944" s="62" t="s">
        <v>153</v>
      </c>
      <c r="H1944" s="50" t="s">
        <v>235</v>
      </c>
      <c r="I1944" s="64">
        <f>(C12)</f>
        <v>702.8</v>
      </c>
      <c r="J1944" s="50" t="s">
        <v>153</v>
      </c>
      <c r="K1944" s="64">
        <f>(F1944*I1944)</f>
        <v>702.8</v>
      </c>
      <c r="N1944" s="52">
        <f>N1943*4%</f>
        <v>305.40000000000003</v>
      </c>
    </row>
    <row r="1945" spans="6:22" ht="15.75">
      <c r="F1945" s="64">
        <v>0.5</v>
      </c>
      <c r="G1945" s="62" t="s">
        <v>153</v>
      </c>
      <c r="H1945" s="50" t="s">
        <v>269</v>
      </c>
      <c r="I1945" s="64">
        <f>(C10)</f>
        <v>1076.5999999999999</v>
      </c>
      <c r="J1945" s="50" t="s">
        <v>153</v>
      </c>
      <c r="K1945" s="64">
        <f>(F1945*I1945)</f>
        <v>538.29999999999995</v>
      </c>
      <c r="N1945" s="52">
        <f>SUM(N1943:N1944)</f>
        <v>7940.4</v>
      </c>
    </row>
    <row r="1946" spans="6:22" ht="15.75">
      <c r="G1946" s="62" t="s">
        <v>226</v>
      </c>
      <c r="H1946" s="50" t="s">
        <v>2215</v>
      </c>
      <c r="J1946" s="50" t="s">
        <v>226</v>
      </c>
      <c r="K1946" s="64">
        <v>0.82</v>
      </c>
    </row>
    <row r="1947" spans="6:22" ht="15.75">
      <c r="K1947" s="59" t="s">
        <v>21</v>
      </c>
    </row>
    <row r="1948" spans="6:22" ht="15.75">
      <c r="H1948" s="50" t="s">
        <v>1233</v>
      </c>
      <c r="K1948" s="64">
        <f>SUM(K1936:K1946)</f>
        <v>3432.82</v>
      </c>
    </row>
    <row r="1949" spans="6:22" ht="15.75">
      <c r="K1949" s="59" t="s">
        <v>21</v>
      </c>
    </row>
    <row r="1950" spans="6:22" ht="15.75">
      <c r="F1950" s="51" t="s">
        <v>2216</v>
      </c>
      <c r="H1950" s="50" t="s">
        <v>2217</v>
      </c>
      <c r="J1950" s="50" t="s">
        <v>340</v>
      </c>
      <c r="K1950" s="308">
        <v>967.5</v>
      </c>
      <c r="V1950" s="50" t="s">
        <v>2176</v>
      </c>
    </row>
    <row r="1951" spans="6:22" ht="15.75">
      <c r="H1951" s="50" t="s">
        <v>2218</v>
      </c>
      <c r="J1951" s="50" t="s">
        <v>340</v>
      </c>
      <c r="K1951" s="309">
        <v>1828</v>
      </c>
    </row>
    <row r="1952" spans="6:22" ht="15.75">
      <c r="F1952" s="51" t="s">
        <v>2219</v>
      </c>
      <c r="H1952" s="50" t="s">
        <v>2220</v>
      </c>
      <c r="J1952" s="50" t="s">
        <v>340</v>
      </c>
      <c r="K1952" s="308">
        <v>30</v>
      </c>
    </row>
    <row r="1953" spans="6:18" ht="15.75">
      <c r="F1953" s="51"/>
      <c r="H1953" s="50"/>
      <c r="K1953" s="50"/>
    </row>
    <row r="1954" spans="6:18" ht="15.75">
      <c r="F1954" s="88">
        <v>54</v>
      </c>
      <c r="G1954" s="62" t="s">
        <v>249</v>
      </c>
      <c r="H1954" s="50" t="s">
        <v>2221</v>
      </c>
      <c r="J1954" s="50" t="s">
        <v>340</v>
      </c>
      <c r="K1954" s="310">
        <v>202</v>
      </c>
    </row>
    <row r="1955" spans="6:18" ht="15.75">
      <c r="K1955" s="59" t="s">
        <v>156</v>
      </c>
    </row>
    <row r="1957" spans="6:18" ht="15.75">
      <c r="F1957" s="101">
        <v>54.1</v>
      </c>
      <c r="G1957" s="62" t="s">
        <v>249</v>
      </c>
      <c r="H1957" s="50" t="s">
        <v>2222</v>
      </c>
      <c r="J1957" s="50" t="s">
        <v>340</v>
      </c>
      <c r="K1957" s="174">
        <v>300</v>
      </c>
    </row>
    <row r="1958" spans="6:18" ht="15.75">
      <c r="K1958" s="59" t="s">
        <v>156</v>
      </c>
    </row>
    <row r="1960" spans="6:18" ht="15.75">
      <c r="F1960" s="101">
        <v>54.2</v>
      </c>
      <c r="G1960" s="62" t="s">
        <v>249</v>
      </c>
      <c r="H1960" s="50" t="s">
        <v>2223</v>
      </c>
      <c r="J1960" s="50" t="s">
        <v>340</v>
      </c>
      <c r="K1960" s="174">
        <v>250</v>
      </c>
    </row>
    <row r="1961" spans="6:18" ht="15.75">
      <c r="K1961" s="59" t="s">
        <v>156</v>
      </c>
    </row>
    <row r="1962" spans="6:18" ht="15.75"/>
    <row r="1963" spans="6:18" ht="15.75">
      <c r="F1963" s="51" t="s">
        <v>2224</v>
      </c>
      <c r="G1963" s="62" t="s">
        <v>249</v>
      </c>
      <c r="H1963" s="50" t="s">
        <v>2225</v>
      </c>
      <c r="M1963" s="51" t="s">
        <v>2224</v>
      </c>
      <c r="N1963" s="62" t="s">
        <v>249</v>
      </c>
      <c r="O1963" s="50" t="s">
        <v>2225</v>
      </c>
      <c r="Q1963" s="55"/>
    </row>
    <row r="1964" spans="6:18" ht="15.75">
      <c r="H1964" s="50" t="s">
        <v>2226</v>
      </c>
      <c r="N1964" s="53"/>
      <c r="O1964" s="50" t="s">
        <v>2226</v>
      </c>
      <c r="Q1964" s="55"/>
    </row>
    <row r="1965" spans="6:18" ht="15.75">
      <c r="H1965" s="50" t="s">
        <v>2227</v>
      </c>
      <c r="N1965" s="53"/>
      <c r="O1965" s="50" t="s">
        <v>2227</v>
      </c>
      <c r="Q1965" s="55"/>
    </row>
    <row r="1966" spans="6:18" ht="15.75">
      <c r="H1966" s="50" t="s">
        <v>2228</v>
      </c>
      <c r="N1966" s="53"/>
      <c r="O1966" s="50" t="s">
        <v>2228</v>
      </c>
      <c r="Q1966" s="55"/>
    </row>
    <row r="1967" spans="6:18" ht="15.75">
      <c r="H1967" s="59" t="s">
        <v>21</v>
      </c>
      <c r="N1967" s="53"/>
      <c r="O1967" s="59" t="s">
        <v>21</v>
      </c>
      <c r="Q1967" s="55"/>
    </row>
    <row r="1968" spans="6:18" ht="15.75">
      <c r="F1968" s="64">
        <v>1</v>
      </c>
      <c r="G1968" s="62" t="s">
        <v>153</v>
      </c>
      <c r="H1968" s="50" t="s">
        <v>2229</v>
      </c>
      <c r="I1968" s="64">
        <f>(C201)</f>
        <v>1180</v>
      </c>
      <c r="J1968" s="50" t="s">
        <v>153</v>
      </c>
      <c r="K1968" s="64">
        <f t="shared" ref="K1968:K1974" si="219">(F1968*I1968)</f>
        <v>1180</v>
      </c>
      <c r="M1968" s="64">
        <v>1</v>
      </c>
      <c r="N1968" s="62" t="s">
        <v>153</v>
      </c>
      <c r="O1968" s="50" t="s">
        <v>2229</v>
      </c>
      <c r="P1968" s="64">
        <f>I1968</f>
        <v>1180</v>
      </c>
      <c r="Q1968" s="50" t="s">
        <v>153</v>
      </c>
      <c r="R1968" s="64">
        <f t="shared" ref="R1968:R1974" si="220">(M1968*P1968)</f>
        <v>1180</v>
      </c>
    </row>
    <row r="1969" spans="6:18" ht="15.75">
      <c r="F1969" s="64">
        <v>0.65</v>
      </c>
      <c r="G1969" s="62" t="s">
        <v>151</v>
      </c>
      <c r="H1969" s="50" t="s">
        <v>2230</v>
      </c>
      <c r="I1969" s="64">
        <f>(C61*2)</f>
        <v>235.2</v>
      </c>
      <c r="J1969" s="50" t="s">
        <v>151</v>
      </c>
      <c r="K1969" s="64">
        <f t="shared" si="219"/>
        <v>152.88</v>
      </c>
      <c r="M1969" s="64">
        <v>0.65</v>
      </c>
      <c r="N1969" s="62" t="s">
        <v>151</v>
      </c>
      <c r="O1969" s="50" t="s">
        <v>2230</v>
      </c>
      <c r="P1969" s="64">
        <f t="shared" ref="P1969:P1975" si="221">I1969</f>
        <v>235.2</v>
      </c>
      <c r="Q1969" s="50" t="s">
        <v>151</v>
      </c>
      <c r="R1969" s="64">
        <f t="shared" si="220"/>
        <v>152.88</v>
      </c>
    </row>
    <row r="1970" spans="6:18" ht="15.75">
      <c r="F1970" s="64">
        <v>0.56999999999999995</v>
      </c>
      <c r="G1970" s="62" t="s">
        <v>151</v>
      </c>
      <c r="H1970" s="50" t="s">
        <v>2231</v>
      </c>
      <c r="I1970" s="64">
        <f>(C26)</f>
        <v>41.019999999999996</v>
      </c>
      <c r="J1970" s="50" t="s">
        <v>151</v>
      </c>
      <c r="K1970" s="64">
        <f t="shared" si="219"/>
        <v>23.381399999999996</v>
      </c>
      <c r="M1970" s="64">
        <v>0.56999999999999995</v>
      </c>
      <c r="N1970" s="62" t="s">
        <v>151</v>
      </c>
      <c r="O1970" s="50" t="s">
        <v>2231</v>
      </c>
      <c r="P1970" s="64">
        <f t="shared" si="221"/>
        <v>41.019999999999996</v>
      </c>
      <c r="Q1970" s="50" t="s">
        <v>151</v>
      </c>
      <c r="R1970" s="64">
        <f t="shared" si="220"/>
        <v>23.381399999999996</v>
      </c>
    </row>
    <row r="1971" spans="6:18" ht="15.75">
      <c r="F1971" s="100">
        <v>8.1000000000000003E-2</v>
      </c>
      <c r="G1971" s="62" t="s">
        <v>151</v>
      </c>
      <c r="H1971" s="50" t="s">
        <v>2232</v>
      </c>
      <c r="I1971" s="64">
        <f>(R60)</f>
        <v>4934.8500000000004</v>
      </c>
      <c r="J1971" s="50" t="s">
        <v>151</v>
      </c>
      <c r="K1971" s="64">
        <f t="shared" si="219"/>
        <v>399.72285000000005</v>
      </c>
      <c r="M1971" s="100">
        <v>8.1000000000000003E-2</v>
      </c>
      <c r="N1971" s="62" t="s">
        <v>151</v>
      </c>
      <c r="O1971" s="50" t="s">
        <v>2232</v>
      </c>
      <c r="P1971" s="64">
        <f t="shared" si="221"/>
        <v>4934.8500000000004</v>
      </c>
      <c r="Q1971" s="50" t="s">
        <v>151</v>
      </c>
      <c r="R1971" s="64">
        <f t="shared" si="220"/>
        <v>399.72285000000005</v>
      </c>
    </row>
    <row r="1972" spans="6:18" ht="15.75">
      <c r="F1972" s="64">
        <v>1</v>
      </c>
      <c r="G1972" s="62" t="s">
        <v>153</v>
      </c>
      <c r="H1972" s="50" t="s">
        <v>558</v>
      </c>
      <c r="I1972" s="64">
        <f>(C15)</f>
        <v>933.8</v>
      </c>
      <c r="J1972" s="50" t="s">
        <v>153</v>
      </c>
      <c r="K1972" s="64">
        <f t="shared" si="219"/>
        <v>933.8</v>
      </c>
      <c r="M1972" s="64">
        <v>1</v>
      </c>
      <c r="N1972" s="62" t="s">
        <v>153</v>
      </c>
      <c r="O1972" s="50" t="s">
        <v>558</v>
      </c>
      <c r="P1972" s="64">
        <f t="shared" si="221"/>
        <v>933.8</v>
      </c>
      <c r="Q1972" s="50" t="s">
        <v>153</v>
      </c>
      <c r="R1972" s="64">
        <f t="shared" si="220"/>
        <v>933.8</v>
      </c>
    </row>
    <row r="1973" spans="6:18" ht="15.75">
      <c r="F1973" s="64">
        <v>0.5</v>
      </c>
      <c r="G1973" s="62" t="s">
        <v>153</v>
      </c>
      <c r="H1973" s="50" t="s">
        <v>234</v>
      </c>
      <c r="I1973" s="64">
        <f>(C11)</f>
        <v>1005.1999999999999</v>
      </c>
      <c r="J1973" s="50" t="s">
        <v>153</v>
      </c>
      <c r="K1973" s="64">
        <f t="shared" si="219"/>
        <v>502.59999999999997</v>
      </c>
      <c r="M1973" s="64">
        <v>0.5</v>
      </c>
      <c r="N1973" s="62" t="s">
        <v>153</v>
      </c>
      <c r="O1973" s="50" t="s">
        <v>234</v>
      </c>
      <c r="P1973" s="64">
        <f t="shared" si="221"/>
        <v>1005.1999999999999</v>
      </c>
      <c r="Q1973" s="50" t="s">
        <v>153</v>
      </c>
      <c r="R1973" s="64">
        <f t="shared" si="220"/>
        <v>502.59999999999997</v>
      </c>
    </row>
    <row r="1974" spans="6:18" ht="15.75">
      <c r="F1974" s="64">
        <v>0.5</v>
      </c>
      <c r="G1974" s="62" t="s">
        <v>153</v>
      </c>
      <c r="H1974" s="50" t="s">
        <v>235</v>
      </c>
      <c r="I1974" s="64">
        <f>(C12)</f>
        <v>702.8</v>
      </c>
      <c r="J1974" s="50" t="s">
        <v>153</v>
      </c>
      <c r="K1974" s="64">
        <f t="shared" si="219"/>
        <v>351.4</v>
      </c>
      <c r="M1974" s="64">
        <v>0.5</v>
      </c>
      <c r="N1974" s="62" t="s">
        <v>153</v>
      </c>
      <c r="O1974" s="50" t="s">
        <v>235</v>
      </c>
      <c r="P1974" s="64">
        <f t="shared" si="221"/>
        <v>702.8</v>
      </c>
      <c r="Q1974" s="50" t="s">
        <v>153</v>
      </c>
      <c r="R1974" s="64">
        <f t="shared" si="220"/>
        <v>351.4</v>
      </c>
    </row>
    <row r="1975" spans="6:18" ht="15.75">
      <c r="G1975" s="62" t="s">
        <v>226</v>
      </c>
      <c r="H1975" s="50" t="s">
        <v>237</v>
      </c>
      <c r="I1975" s="50" t="s">
        <v>150</v>
      </c>
      <c r="J1975" s="50" t="s">
        <v>226</v>
      </c>
      <c r="K1975" s="64">
        <v>1.25</v>
      </c>
      <c r="N1975" s="62"/>
      <c r="O1975" s="54" t="s">
        <v>2233</v>
      </c>
      <c r="P1975" s="64" t="str">
        <f t="shared" si="221"/>
        <v/>
      </c>
      <c r="Q1975" s="50"/>
      <c r="R1975" s="97">
        <v>-164</v>
      </c>
    </row>
    <row r="1976" spans="6:18" ht="15.75">
      <c r="K1976" s="59" t="s">
        <v>21</v>
      </c>
      <c r="O1976" s="54" t="s">
        <v>2234</v>
      </c>
      <c r="P1976" s="64"/>
      <c r="Q1976" s="50"/>
      <c r="R1976" s="97">
        <v>134.1</v>
      </c>
    </row>
    <row r="1977" spans="6:18" ht="16.5" thickBot="1">
      <c r="H1977" s="50" t="s">
        <v>1233</v>
      </c>
      <c r="K1977" s="64">
        <f>SUM(K1968:K1975)</f>
        <v>3545.0342500000002</v>
      </c>
      <c r="N1977" s="53" t="s">
        <v>287</v>
      </c>
      <c r="O1977" s="54" t="s">
        <v>337</v>
      </c>
      <c r="Q1977" s="55"/>
      <c r="R1977" s="64">
        <v>0.32</v>
      </c>
    </row>
    <row r="1978" spans="6:18" ht="16.5" thickTop="1">
      <c r="K1978" s="59" t="s">
        <v>156</v>
      </c>
      <c r="N1978" s="53"/>
      <c r="O1978" s="50" t="s">
        <v>1233</v>
      </c>
      <c r="Q1978" s="55"/>
      <c r="R1978" s="311">
        <f>SUM(R1968:R1977)</f>
        <v>3514.2042500000002</v>
      </c>
    </row>
    <row r="1979" spans="6:18" ht="16.5" thickBot="1">
      <c r="G1979" s="62" t="s">
        <v>150</v>
      </c>
      <c r="H1979" s="50" t="s">
        <v>150</v>
      </c>
      <c r="K1979" s="50" t="s">
        <v>150</v>
      </c>
      <c r="N1979" s="53"/>
      <c r="Q1979" s="55"/>
      <c r="R1979" s="312"/>
    </row>
    <row r="1980" spans="6:18" ht="16.5" thickTop="1">
      <c r="J1980" s="50" t="s">
        <v>150</v>
      </c>
      <c r="K1980" s="50" t="s">
        <v>150</v>
      </c>
    </row>
    <row r="1981" spans="6:18" ht="15.75">
      <c r="F1981" s="51" t="s">
        <v>2235</v>
      </c>
      <c r="G1981" s="62" t="s">
        <v>249</v>
      </c>
      <c r="H1981" s="50" t="s">
        <v>2225</v>
      </c>
      <c r="M1981" s="51" t="s">
        <v>2235</v>
      </c>
      <c r="N1981" s="62" t="s">
        <v>249</v>
      </c>
      <c r="O1981" s="50" t="s">
        <v>2225</v>
      </c>
      <c r="Q1981" s="55"/>
    </row>
    <row r="1982" spans="6:18" ht="15.75">
      <c r="H1982" s="50" t="s">
        <v>2226</v>
      </c>
      <c r="N1982" s="53"/>
      <c r="O1982" s="50" t="s">
        <v>2226</v>
      </c>
      <c r="Q1982" s="55"/>
    </row>
    <row r="1983" spans="6:18" ht="15.75">
      <c r="H1983" s="50" t="s">
        <v>2227</v>
      </c>
      <c r="N1983" s="53"/>
      <c r="O1983" s="50" t="s">
        <v>2227</v>
      </c>
      <c r="Q1983" s="55"/>
    </row>
    <row r="1984" spans="6:18" ht="15.75">
      <c r="H1984" s="50" t="s">
        <v>2236</v>
      </c>
      <c r="N1984" s="53"/>
      <c r="O1984" s="50" t="s">
        <v>2236</v>
      </c>
      <c r="Q1984" s="55"/>
    </row>
    <row r="1985" spans="6:18" ht="15.75">
      <c r="H1985" s="59" t="s">
        <v>21</v>
      </c>
      <c r="N1985" s="53"/>
      <c r="O1985" s="59" t="s">
        <v>21</v>
      </c>
      <c r="Q1985" s="55"/>
    </row>
    <row r="1986" spans="6:18" ht="15.75">
      <c r="F1986" s="64">
        <v>1</v>
      </c>
      <c r="G1986" s="62" t="s">
        <v>153</v>
      </c>
      <c r="H1986" s="50" t="s">
        <v>2229</v>
      </c>
      <c r="I1986" s="64">
        <f>(C201)</f>
        <v>1180</v>
      </c>
      <c r="J1986" s="50" t="s">
        <v>153</v>
      </c>
      <c r="K1986" s="64">
        <f>(F1986*I1986)</f>
        <v>1180</v>
      </c>
      <c r="M1986" s="64">
        <v>1</v>
      </c>
      <c r="N1986" s="62" t="s">
        <v>153</v>
      </c>
      <c r="O1986" s="50" t="s">
        <v>2229</v>
      </c>
      <c r="P1986" s="64">
        <f>I1986</f>
        <v>1180</v>
      </c>
      <c r="Q1986" s="50" t="s">
        <v>153</v>
      </c>
      <c r="R1986" s="64">
        <f>(M1986*P1986)</f>
        <v>1180</v>
      </c>
    </row>
    <row r="1987" spans="6:18" ht="15.75">
      <c r="F1987" s="100">
        <v>0.40500000000000003</v>
      </c>
      <c r="G1987" s="62" t="s">
        <v>151</v>
      </c>
      <c r="H1987" s="50" t="s">
        <v>2237</v>
      </c>
      <c r="I1987" s="64">
        <f>(K1330)</f>
        <v>4902.9030000000002</v>
      </c>
      <c r="J1987" s="50" t="s">
        <v>151</v>
      </c>
      <c r="K1987" s="64">
        <f>(F1987*I1987)</f>
        <v>1985.6757150000003</v>
      </c>
      <c r="M1987" s="100">
        <v>0.40500000000000003</v>
      </c>
      <c r="N1987" s="62" t="s">
        <v>151</v>
      </c>
      <c r="O1987" s="50" t="s">
        <v>2237</v>
      </c>
      <c r="P1987" s="64">
        <f t="shared" ref="P1987:P1996" si="222">I1987</f>
        <v>4902.9030000000002</v>
      </c>
      <c r="Q1987" s="50" t="s">
        <v>151</v>
      </c>
      <c r="R1987" s="64">
        <f>(M1987*P1987)</f>
        <v>1985.6757150000003</v>
      </c>
    </row>
    <row r="1988" spans="6:18" ht="15.75">
      <c r="H1988" s="50" t="s">
        <v>2238</v>
      </c>
      <c r="I1988" s="50" t="s">
        <v>150</v>
      </c>
      <c r="K1988" s="50" t="s">
        <v>150</v>
      </c>
      <c r="N1988" s="53"/>
      <c r="O1988" s="50" t="s">
        <v>2238</v>
      </c>
      <c r="P1988" s="64" t="str">
        <f t="shared" si="222"/>
        <v/>
      </c>
      <c r="Q1988" s="55"/>
      <c r="R1988" s="50" t="s">
        <v>150</v>
      </c>
    </row>
    <row r="1989" spans="6:18" ht="15.75">
      <c r="F1989" s="64">
        <v>1.89</v>
      </c>
      <c r="G1989" s="62" t="s">
        <v>152</v>
      </c>
      <c r="H1989" s="50" t="s">
        <v>2239</v>
      </c>
      <c r="I1989" s="64">
        <f>(K1442)</f>
        <v>296.21180000000004</v>
      </c>
      <c r="J1989" s="50" t="s">
        <v>152</v>
      </c>
      <c r="K1989" s="64">
        <f>(F1989*I1989)</f>
        <v>559.84030200000007</v>
      </c>
      <c r="M1989" s="64">
        <v>1.89</v>
      </c>
      <c r="N1989" s="62" t="s">
        <v>152</v>
      </c>
      <c r="O1989" s="50" t="s">
        <v>2239</v>
      </c>
      <c r="P1989" s="64">
        <f t="shared" si="222"/>
        <v>296.21180000000004</v>
      </c>
      <c r="Q1989" s="50" t="s">
        <v>152</v>
      </c>
      <c r="R1989" s="64">
        <f>(M1989*P1989)</f>
        <v>559.84030200000007</v>
      </c>
    </row>
    <row r="1990" spans="6:18" ht="15.75">
      <c r="H1990" s="50" t="s">
        <v>2240</v>
      </c>
      <c r="I1990" s="50" t="s">
        <v>150</v>
      </c>
      <c r="K1990" s="50" t="s">
        <v>150</v>
      </c>
      <c r="N1990" s="53"/>
      <c r="O1990" s="50" t="s">
        <v>2240</v>
      </c>
      <c r="P1990" s="64" t="str">
        <f t="shared" si="222"/>
        <v/>
      </c>
      <c r="Q1990" s="55"/>
      <c r="R1990" s="50" t="s">
        <v>150</v>
      </c>
    </row>
    <row r="1991" spans="6:18" ht="15.75">
      <c r="F1991" s="100">
        <v>8.1000000000000003E-2</v>
      </c>
      <c r="G1991" s="62" t="s">
        <v>151</v>
      </c>
      <c r="H1991" s="50" t="s">
        <v>2241</v>
      </c>
      <c r="I1991" s="64">
        <f>(R60)</f>
        <v>4934.8500000000004</v>
      </c>
      <c r="J1991" s="50" t="s">
        <v>151</v>
      </c>
      <c r="K1991" s="64">
        <f>(F1991*I1991)</f>
        <v>399.72285000000005</v>
      </c>
      <c r="M1991" s="100">
        <v>8.1000000000000003E-2</v>
      </c>
      <c r="N1991" s="62" t="s">
        <v>151</v>
      </c>
      <c r="O1991" s="50" t="s">
        <v>2241</v>
      </c>
      <c r="P1991" s="64">
        <f t="shared" si="222"/>
        <v>4934.8500000000004</v>
      </c>
      <c r="Q1991" s="50" t="s">
        <v>151</v>
      </c>
      <c r="R1991" s="64">
        <f>(M1991*P1991)</f>
        <v>399.72285000000005</v>
      </c>
    </row>
    <row r="1992" spans="6:18" ht="15.75">
      <c r="H1992" s="50" t="s">
        <v>2242</v>
      </c>
      <c r="N1992" s="53"/>
      <c r="O1992" s="50" t="s">
        <v>2242</v>
      </c>
      <c r="P1992" s="64"/>
      <c r="Q1992" s="55"/>
    </row>
    <row r="1993" spans="6:18" ht="15.75">
      <c r="F1993" s="64">
        <v>1</v>
      </c>
      <c r="G1993" s="62" t="s">
        <v>4</v>
      </c>
      <c r="H1993" s="50" t="s">
        <v>558</v>
      </c>
      <c r="I1993" s="64">
        <f>(C15)</f>
        <v>933.8</v>
      </c>
      <c r="J1993" s="50" t="s">
        <v>4</v>
      </c>
      <c r="K1993" s="64">
        <f>(F1993*I1993)</f>
        <v>933.8</v>
      </c>
      <c r="M1993" s="64">
        <v>1</v>
      </c>
      <c r="N1993" s="62" t="s">
        <v>4</v>
      </c>
      <c r="O1993" s="50" t="s">
        <v>558</v>
      </c>
      <c r="P1993" s="64">
        <f t="shared" si="222"/>
        <v>933.8</v>
      </c>
      <c r="Q1993" s="50" t="s">
        <v>4</v>
      </c>
      <c r="R1993" s="64">
        <f>(M1993*P1993)</f>
        <v>933.8</v>
      </c>
    </row>
    <row r="1994" spans="6:18" ht="15.75">
      <c r="F1994" s="64">
        <v>0.5</v>
      </c>
      <c r="G1994" s="62" t="s">
        <v>153</v>
      </c>
      <c r="H1994" s="50" t="s">
        <v>234</v>
      </c>
      <c r="I1994" s="64">
        <f>(C11)</f>
        <v>1005.1999999999999</v>
      </c>
      <c r="J1994" s="50" t="s">
        <v>153</v>
      </c>
      <c r="K1994" s="64">
        <f>(F1994*I1994)</f>
        <v>502.59999999999997</v>
      </c>
      <c r="M1994" s="64">
        <v>0.5</v>
      </c>
      <c r="N1994" s="62" t="s">
        <v>153</v>
      </c>
      <c r="O1994" s="50" t="s">
        <v>234</v>
      </c>
      <c r="P1994" s="64">
        <f t="shared" si="222"/>
        <v>1005.1999999999999</v>
      </c>
      <c r="Q1994" s="50" t="s">
        <v>153</v>
      </c>
      <c r="R1994" s="64">
        <f>(M1994*P1994)</f>
        <v>502.59999999999997</v>
      </c>
    </row>
    <row r="1995" spans="6:18" ht="15.75">
      <c r="F1995" s="64">
        <v>0.5</v>
      </c>
      <c r="G1995" s="62" t="s">
        <v>153</v>
      </c>
      <c r="H1995" s="50" t="s">
        <v>235</v>
      </c>
      <c r="I1995" s="64">
        <f>(C12)</f>
        <v>702.8</v>
      </c>
      <c r="J1995" s="50" t="s">
        <v>153</v>
      </c>
      <c r="K1995" s="64">
        <f>(F1995*I1995)</f>
        <v>351.4</v>
      </c>
      <c r="M1995" s="64">
        <v>0.5</v>
      </c>
      <c r="N1995" s="62" t="s">
        <v>153</v>
      </c>
      <c r="O1995" s="50" t="s">
        <v>235</v>
      </c>
      <c r="P1995" s="64">
        <f t="shared" si="222"/>
        <v>702.8</v>
      </c>
      <c r="Q1995" s="50" t="s">
        <v>153</v>
      </c>
      <c r="R1995" s="64">
        <f>(M1995*P1995)</f>
        <v>351.4</v>
      </c>
    </row>
    <row r="1996" spans="6:18" ht="15.75">
      <c r="G1996" s="62" t="s">
        <v>226</v>
      </c>
      <c r="H1996" s="50" t="s">
        <v>237</v>
      </c>
      <c r="I1996" s="50" t="s">
        <v>150</v>
      </c>
      <c r="J1996" s="50" t="s">
        <v>226</v>
      </c>
      <c r="K1996" s="64">
        <v>1.03</v>
      </c>
      <c r="N1996" s="62"/>
      <c r="O1996" s="54" t="s">
        <v>2233</v>
      </c>
      <c r="P1996" s="64" t="str">
        <f t="shared" si="222"/>
        <v/>
      </c>
      <c r="Q1996" s="50"/>
      <c r="R1996" s="97">
        <v>-164</v>
      </c>
    </row>
    <row r="1997" spans="6:18" ht="15.75">
      <c r="H1997" s="50" t="s">
        <v>150</v>
      </c>
      <c r="K1997" s="59" t="s">
        <v>21</v>
      </c>
      <c r="O1997" s="54" t="s">
        <v>2234</v>
      </c>
      <c r="P1997" s="64"/>
      <c r="Q1997" s="50"/>
      <c r="R1997" s="97">
        <v>134.1</v>
      </c>
    </row>
    <row r="1998" spans="6:18" ht="16.5" thickBot="1">
      <c r="H1998" s="50" t="s">
        <v>1233</v>
      </c>
      <c r="K1998" s="64">
        <f>SUM(K1986:K1996)</f>
        <v>5914.068867</v>
      </c>
      <c r="N1998" s="53" t="s">
        <v>287</v>
      </c>
      <c r="O1998" s="54" t="s">
        <v>337</v>
      </c>
      <c r="Q1998" s="55"/>
      <c r="R1998" s="64">
        <v>0.47</v>
      </c>
    </row>
    <row r="1999" spans="6:18" ht="16.5" thickTop="1">
      <c r="K1999" s="59" t="s">
        <v>156</v>
      </c>
      <c r="N1999" s="53"/>
      <c r="O1999" s="102" t="s">
        <v>1233</v>
      </c>
      <c r="Q1999" s="55"/>
      <c r="R1999" s="311">
        <f>SUM(R1986:R1998)</f>
        <v>5883.6088670000008</v>
      </c>
    </row>
    <row r="2000" spans="6:18" ht="16.5" thickBot="1">
      <c r="G2000" s="62" t="s">
        <v>150</v>
      </c>
      <c r="H2000" s="50" t="s">
        <v>150</v>
      </c>
      <c r="K2000" s="50" t="s">
        <v>150</v>
      </c>
      <c r="N2000" s="53"/>
      <c r="Q2000" s="55"/>
      <c r="R2000" s="312"/>
    </row>
    <row r="2001" spans="6:19" ht="16.5" thickTop="1">
      <c r="F2001" s="88">
        <v>57</v>
      </c>
      <c r="G2001" s="62" t="s">
        <v>249</v>
      </c>
      <c r="H2001" s="50" t="s">
        <v>2243</v>
      </c>
    </row>
    <row r="2002" spans="6:19" ht="15.75">
      <c r="H2002" s="50" t="s">
        <v>2244</v>
      </c>
      <c r="M2002" s="88">
        <v>57</v>
      </c>
      <c r="N2002" s="62" t="s">
        <v>249</v>
      </c>
      <c r="O2002" s="50" t="s">
        <v>2243</v>
      </c>
      <c r="Q2002" s="55"/>
      <c r="S2002" s="52"/>
    </row>
    <row r="2003" spans="6:19" ht="15.75">
      <c r="H2003" s="50" t="s">
        <v>2245</v>
      </c>
      <c r="N2003" s="53"/>
      <c r="O2003" s="50" t="s">
        <v>2244</v>
      </c>
      <c r="Q2003" s="55"/>
      <c r="S2003" s="52"/>
    </row>
    <row r="2004" spans="6:19" ht="15.75">
      <c r="H2004" s="59" t="s">
        <v>21</v>
      </c>
      <c r="N2004" s="53"/>
      <c r="O2004" s="50" t="s">
        <v>2245</v>
      </c>
      <c r="Q2004" s="55"/>
      <c r="S2004" s="52"/>
    </row>
    <row r="2005" spans="6:19" ht="63">
      <c r="F2005" s="301">
        <v>1</v>
      </c>
      <c r="G2005" s="301" t="s">
        <v>1248</v>
      </c>
      <c r="H2005" s="116" t="s">
        <v>2246</v>
      </c>
      <c r="I2005" s="301">
        <f>C613</f>
        <v>3030</v>
      </c>
      <c r="J2005" s="303" t="s">
        <v>1248</v>
      </c>
      <c r="K2005" s="301">
        <f>(F2005*I2005)</f>
        <v>3030</v>
      </c>
      <c r="N2005" s="53"/>
      <c r="O2005" s="59" t="s">
        <v>21</v>
      </c>
      <c r="Q2005" s="55"/>
      <c r="S2005" s="52"/>
    </row>
    <row r="2006" spans="6:19" ht="126">
      <c r="F2006" s="64"/>
      <c r="G2006" s="62"/>
      <c r="H2006" s="313" t="s">
        <v>2247</v>
      </c>
      <c r="I2006" s="64"/>
      <c r="J2006" s="50"/>
      <c r="K2006" s="64"/>
      <c r="M2006" s="301">
        <v>1</v>
      </c>
      <c r="N2006" s="301" t="s">
        <v>1248</v>
      </c>
      <c r="O2006" s="116" t="s">
        <v>2248</v>
      </c>
      <c r="P2006" s="301">
        <f>I2005</f>
        <v>3030</v>
      </c>
      <c r="Q2006" s="303" t="s">
        <v>1248</v>
      </c>
      <c r="R2006" s="301">
        <f>(M2006*P2006)</f>
        <v>3030</v>
      </c>
      <c r="S2006" s="52"/>
    </row>
    <row r="2007" spans="6:19" ht="15.75">
      <c r="F2007" s="64">
        <v>1</v>
      </c>
      <c r="G2007" s="62" t="s">
        <v>153</v>
      </c>
      <c r="H2007" s="50" t="s">
        <v>269</v>
      </c>
      <c r="I2007" s="64">
        <f>(C10)</f>
        <v>1076.5999999999999</v>
      </c>
      <c r="J2007" s="50" t="s">
        <v>153</v>
      </c>
      <c r="K2007" s="64">
        <f>(F2007*I2007)</f>
        <v>1076.5999999999999</v>
      </c>
      <c r="M2007" s="64"/>
      <c r="N2007" s="62"/>
      <c r="O2007" s="313" t="s">
        <v>2247</v>
      </c>
      <c r="P2007" s="64"/>
      <c r="Q2007" s="50"/>
      <c r="R2007" s="64"/>
      <c r="S2007" s="52"/>
    </row>
    <row r="2008" spans="6:19" ht="15.75">
      <c r="F2008" s="64">
        <v>2</v>
      </c>
      <c r="G2008" s="62" t="s">
        <v>153</v>
      </c>
      <c r="H2008" s="50" t="s">
        <v>558</v>
      </c>
      <c r="I2008" s="64">
        <f>(C15)</f>
        <v>933.8</v>
      </c>
      <c r="J2008" s="50" t="s">
        <v>153</v>
      </c>
      <c r="K2008" s="64">
        <f>(F2008*I2008)</f>
        <v>1867.6</v>
      </c>
      <c r="M2008" s="64">
        <v>1</v>
      </c>
      <c r="N2008" s="62" t="s">
        <v>153</v>
      </c>
      <c r="O2008" s="50" t="s">
        <v>269</v>
      </c>
      <c r="P2008" s="64">
        <f t="shared" ref="P2008:P2013" si="223">I2007</f>
        <v>1076.5999999999999</v>
      </c>
      <c r="Q2008" s="50" t="s">
        <v>153</v>
      </c>
      <c r="R2008" s="64">
        <f>(M2008*P2008)</f>
        <v>1076.5999999999999</v>
      </c>
      <c r="S2008" s="52"/>
    </row>
    <row r="2009" spans="6:19" ht="15.75">
      <c r="F2009" s="64">
        <v>1</v>
      </c>
      <c r="G2009" s="62" t="s">
        <v>153</v>
      </c>
      <c r="H2009" s="50" t="s">
        <v>236</v>
      </c>
      <c r="I2009" s="64">
        <f>(C13)</f>
        <v>576.79999999999995</v>
      </c>
      <c r="J2009" s="50" t="s">
        <v>153</v>
      </c>
      <c r="K2009" s="64">
        <f>(F2009*I2009)</f>
        <v>576.79999999999995</v>
      </c>
      <c r="M2009" s="64">
        <v>2</v>
      </c>
      <c r="N2009" s="62" t="s">
        <v>153</v>
      </c>
      <c r="O2009" s="50" t="s">
        <v>558</v>
      </c>
      <c r="P2009" s="64">
        <f t="shared" si="223"/>
        <v>933.8</v>
      </c>
      <c r="Q2009" s="50" t="s">
        <v>153</v>
      </c>
      <c r="R2009" s="64">
        <f>(M2009*P2009)</f>
        <v>1867.6</v>
      </c>
      <c r="S2009" s="52"/>
    </row>
    <row r="2010" spans="6:19" ht="15.75">
      <c r="F2010" s="64"/>
      <c r="G2010" s="62"/>
      <c r="H2010" s="313" t="s">
        <v>2249</v>
      </c>
      <c r="I2010" s="64"/>
      <c r="J2010" s="50"/>
      <c r="K2010" s="64"/>
      <c r="M2010" s="64">
        <v>1</v>
      </c>
      <c r="N2010" s="62" t="s">
        <v>153</v>
      </c>
      <c r="O2010" s="50" t="s">
        <v>236</v>
      </c>
      <c r="P2010" s="64">
        <f t="shared" si="223"/>
        <v>576.79999999999995</v>
      </c>
      <c r="Q2010" s="50" t="s">
        <v>153</v>
      </c>
      <c r="R2010" s="64">
        <f>(M2010*P2010)</f>
        <v>576.79999999999995</v>
      </c>
      <c r="S2010" s="52"/>
    </row>
    <row r="2011" spans="6:19" ht="15.75">
      <c r="F2011" s="64">
        <v>0.5</v>
      </c>
      <c r="G2011" s="62" t="s">
        <v>153</v>
      </c>
      <c r="H2011" s="50" t="s">
        <v>558</v>
      </c>
      <c r="I2011" s="64">
        <f>(C15)</f>
        <v>933.8</v>
      </c>
      <c r="J2011" s="50" t="s">
        <v>153</v>
      </c>
      <c r="K2011" s="64">
        <f>(F2011*I2011)</f>
        <v>466.9</v>
      </c>
      <c r="M2011" s="64"/>
      <c r="N2011" s="62"/>
      <c r="O2011" s="313" t="s">
        <v>2249</v>
      </c>
      <c r="P2011" s="64"/>
      <c r="Q2011" s="50"/>
      <c r="R2011" s="64"/>
      <c r="S2011" s="52"/>
    </row>
    <row r="2012" spans="6:19" ht="15.75">
      <c r="F2012" s="64">
        <v>0.5</v>
      </c>
      <c r="G2012" s="62" t="s">
        <v>153</v>
      </c>
      <c r="H2012" s="50" t="s">
        <v>235</v>
      </c>
      <c r="I2012" s="64">
        <f>(C12)</f>
        <v>702.8</v>
      </c>
      <c r="J2012" s="50" t="s">
        <v>153</v>
      </c>
      <c r="K2012" s="64">
        <f>(F2012*I2012)</f>
        <v>351.4</v>
      </c>
      <c r="M2012" s="64">
        <v>0.5</v>
      </c>
      <c r="N2012" s="62" t="s">
        <v>153</v>
      </c>
      <c r="O2012" s="50" t="s">
        <v>558</v>
      </c>
      <c r="P2012" s="64">
        <f t="shared" si="223"/>
        <v>933.8</v>
      </c>
      <c r="Q2012" s="50" t="s">
        <v>153</v>
      </c>
      <c r="R2012" s="64">
        <f>(M2012*P2012)</f>
        <v>466.9</v>
      </c>
      <c r="S2012" s="52"/>
    </row>
    <row r="2013" spans="6:19" ht="15.75">
      <c r="G2013" s="62" t="s">
        <v>226</v>
      </c>
      <c r="H2013" s="50" t="s">
        <v>237</v>
      </c>
      <c r="J2013" s="50" t="s">
        <v>226</v>
      </c>
      <c r="K2013" s="64">
        <v>0.7</v>
      </c>
      <c r="M2013" s="64">
        <v>0.5</v>
      </c>
      <c r="N2013" s="62" t="s">
        <v>153</v>
      </c>
      <c r="O2013" s="50" t="s">
        <v>235</v>
      </c>
      <c r="P2013" s="64">
        <f t="shared" si="223"/>
        <v>702.8</v>
      </c>
      <c r="Q2013" s="50" t="s">
        <v>153</v>
      </c>
      <c r="R2013" s="64">
        <f>(M2013*P2013)</f>
        <v>351.4</v>
      </c>
      <c r="S2013" s="52"/>
    </row>
    <row r="2014" spans="6:19" ht="15.75">
      <c r="K2014" s="59" t="s">
        <v>21</v>
      </c>
      <c r="M2014" s="64"/>
      <c r="N2014" s="62"/>
      <c r="O2014" s="54" t="s">
        <v>2233</v>
      </c>
      <c r="P2014" s="64">
        <f>I2014</f>
        <v>0</v>
      </c>
      <c r="Q2014" s="50"/>
      <c r="R2014" s="97">
        <v>-164</v>
      </c>
      <c r="S2014" s="52"/>
    </row>
    <row r="2015" spans="6:19" ht="15.75">
      <c r="H2015" s="50" t="s">
        <v>1233</v>
      </c>
      <c r="K2015" s="64">
        <f>SUM(K2005:K2013)</f>
        <v>7370</v>
      </c>
      <c r="M2015" s="64"/>
      <c r="N2015" s="62"/>
      <c r="O2015" s="54" t="s">
        <v>2234</v>
      </c>
      <c r="P2015" s="64"/>
      <c r="Q2015" s="50"/>
      <c r="R2015" s="97">
        <v>134.1</v>
      </c>
      <c r="S2015" s="52"/>
    </row>
    <row r="2016" spans="6:19" ht="15.75">
      <c r="F2016" s="50" t="s">
        <v>150</v>
      </c>
      <c r="N2016" s="62" t="s">
        <v>226</v>
      </c>
      <c r="O2016" s="50" t="s">
        <v>237</v>
      </c>
      <c r="Q2016" s="50" t="s">
        <v>226</v>
      </c>
      <c r="R2016" s="64">
        <v>0.7</v>
      </c>
      <c r="S2016" s="52"/>
    </row>
    <row r="2017" spans="6:19" ht="15.75">
      <c r="K2017" s="59" t="s">
        <v>21</v>
      </c>
      <c r="N2017" s="53"/>
      <c r="O2017" s="50" t="s">
        <v>1233</v>
      </c>
      <c r="Q2017" s="55"/>
      <c r="R2017" s="64"/>
      <c r="S2017" s="52"/>
    </row>
    <row r="2018" spans="6:19" ht="15.75">
      <c r="G2018" s="62" t="s">
        <v>150</v>
      </c>
      <c r="H2018" s="50" t="s">
        <v>150</v>
      </c>
      <c r="K2018" s="50" t="s">
        <v>150</v>
      </c>
      <c r="N2018" s="53"/>
      <c r="Q2018" s="55"/>
      <c r="R2018" s="65">
        <f>SUM(R2006:R2017)</f>
        <v>7340.1</v>
      </c>
      <c r="S2018" s="52"/>
    </row>
    <row r="2019" spans="6:19" ht="15.75">
      <c r="H2019" s="50" t="s">
        <v>150</v>
      </c>
      <c r="M2019" s="50" t="s">
        <v>150</v>
      </c>
      <c r="N2019" s="53"/>
      <c r="S2019" s="52"/>
    </row>
    <row r="2020" spans="6:19" ht="15.75">
      <c r="F2020" s="101">
        <v>57.1</v>
      </c>
      <c r="G2020" s="62" t="s">
        <v>249</v>
      </c>
      <c r="H2020" s="50" t="s">
        <v>2250</v>
      </c>
      <c r="M2020" s="88">
        <v>57</v>
      </c>
      <c r="N2020" s="62" t="s">
        <v>249</v>
      </c>
      <c r="O2020" s="50" t="s">
        <v>2250</v>
      </c>
      <c r="Q2020" s="55"/>
      <c r="S2020" s="52"/>
    </row>
    <row r="2021" spans="6:19" ht="15.75">
      <c r="H2021" s="50" t="s">
        <v>2244</v>
      </c>
      <c r="N2021" s="53"/>
      <c r="O2021" s="50" t="s">
        <v>2244</v>
      </c>
      <c r="Q2021" s="55"/>
    </row>
    <row r="2022" spans="6:19" ht="15.75">
      <c r="H2022" s="50" t="s">
        <v>2245</v>
      </c>
      <c r="N2022" s="53"/>
      <c r="O2022" s="50" t="s">
        <v>2245</v>
      </c>
      <c r="Q2022" s="55"/>
    </row>
    <row r="2023" spans="6:19" ht="15.75">
      <c r="H2023" s="59" t="s">
        <v>21</v>
      </c>
      <c r="N2023" s="53"/>
      <c r="O2023" s="59" t="s">
        <v>21</v>
      </c>
      <c r="Q2023" s="55"/>
    </row>
    <row r="2024" spans="6:19" ht="126">
      <c r="F2024" s="301">
        <v>1</v>
      </c>
      <c r="G2024" s="301" t="s">
        <v>1248</v>
      </c>
      <c r="H2024" s="112" t="s">
        <v>2248</v>
      </c>
      <c r="I2024" s="52">
        <f>E613</f>
        <v>3420</v>
      </c>
      <c r="J2024" s="303" t="s">
        <v>1248</v>
      </c>
      <c r="K2024" s="301">
        <f>(F2024*I2024)</f>
        <v>3420</v>
      </c>
      <c r="M2024" s="301">
        <v>1</v>
      </c>
      <c r="N2024" s="301" t="s">
        <v>1248</v>
      </c>
      <c r="O2024" s="116" t="s">
        <v>2248</v>
      </c>
      <c r="P2024" s="301">
        <f>I2024</f>
        <v>3420</v>
      </c>
      <c r="Q2024" s="303" t="s">
        <v>1248</v>
      </c>
      <c r="R2024" s="301">
        <f>(M2024*P2024)</f>
        <v>3420</v>
      </c>
    </row>
    <row r="2025" spans="6:19" ht="15.75">
      <c r="F2025" s="64"/>
      <c r="G2025" s="62"/>
      <c r="H2025" s="313" t="s">
        <v>2247</v>
      </c>
      <c r="J2025" s="50"/>
      <c r="K2025" s="64"/>
      <c r="M2025" s="64"/>
      <c r="N2025" s="62"/>
      <c r="O2025" s="313" t="s">
        <v>2247</v>
      </c>
      <c r="P2025" s="64"/>
      <c r="Q2025" s="50"/>
      <c r="R2025" s="301"/>
    </row>
    <row r="2026" spans="6:19" ht="15.75">
      <c r="F2026" s="64">
        <v>1</v>
      </c>
      <c r="G2026" s="62" t="s">
        <v>153</v>
      </c>
      <c r="H2026" s="50" t="s">
        <v>269</v>
      </c>
      <c r="I2026" s="52">
        <f>C10</f>
        <v>1076.5999999999999</v>
      </c>
      <c r="J2026" s="50" t="s">
        <v>153</v>
      </c>
      <c r="K2026" s="64">
        <f>(F2026*I2026)</f>
        <v>1076.5999999999999</v>
      </c>
      <c r="M2026" s="64">
        <v>1</v>
      </c>
      <c r="N2026" s="62" t="s">
        <v>153</v>
      </c>
      <c r="O2026" s="50" t="s">
        <v>269</v>
      </c>
      <c r="P2026" s="64">
        <f>I2026</f>
        <v>1076.5999999999999</v>
      </c>
      <c r="Q2026" s="50" t="s">
        <v>153</v>
      </c>
      <c r="R2026" s="301">
        <f>(M2026*P2026)</f>
        <v>1076.5999999999999</v>
      </c>
    </row>
    <row r="2027" spans="6:19" ht="15.75">
      <c r="F2027" s="64">
        <v>2</v>
      </c>
      <c r="G2027" s="62" t="s">
        <v>153</v>
      </c>
      <c r="H2027" s="50" t="s">
        <v>558</v>
      </c>
      <c r="I2027" s="52">
        <f>C15</f>
        <v>933.8</v>
      </c>
      <c r="J2027" s="50" t="s">
        <v>153</v>
      </c>
      <c r="K2027" s="64">
        <f>(F2027*I2027)</f>
        <v>1867.6</v>
      </c>
      <c r="M2027" s="64">
        <v>2</v>
      </c>
      <c r="N2027" s="62" t="s">
        <v>153</v>
      </c>
      <c r="O2027" s="50" t="s">
        <v>558</v>
      </c>
      <c r="P2027" s="64">
        <f>I2027</f>
        <v>933.8</v>
      </c>
      <c r="Q2027" s="50" t="s">
        <v>153</v>
      </c>
      <c r="R2027" s="301">
        <f>(M2027*P2027)</f>
        <v>1867.6</v>
      </c>
    </row>
    <row r="2028" spans="6:19" ht="15.75">
      <c r="F2028" s="64">
        <v>1</v>
      </c>
      <c r="G2028" s="62" t="s">
        <v>153</v>
      </c>
      <c r="H2028" s="50" t="s">
        <v>236</v>
      </c>
      <c r="I2028" s="52">
        <f>C13</f>
        <v>576.79999999999995</v>
      </c>
      <c r="J2028" s="50" t="s">
        <v>153</v>
      </c>
      <c r="K2028" s="64">
        <f>(F2028*I2028)</f>
        <v>576.79999999999995</v>
      </c>
      <c r="M2028" s="64">
        <v>1</v>
      </c>
      <c r="N2028" s="62" t="s">
        <v>153</v>
      </c>
      <c r="O2028" s="50" t="s">
        <v>236</v>
      </c>
      <c r="P2028" s="64">
        <f>I2028</f>
        <v>576.79999999999995</v>
      </c>
      <c r="Q2028" s="50" t="s">
        <v>153</v>
      </c>
      <c r="R2028" s="301">
        <f>(M2028*P2028)</f>
        <v>576.79999999999995</v>
      </c>
    </row>
    <row r="2029" spans="6:19" ht="15.75">
      <c r="F2029" s="64"/>
      <c r="G2029" s="62"/>
      <c r="H2029" s="313" t="s">
        <v>2249</v>
      </c>
      <c r="J2029" s="50"/>
      <c r="K2029" s="64"/>
      <c r="M2029" s="64"/>
      <c r="N2029" s="62"/>
      <c r="O2029" s="313" t="s">
        <v>2249</v>
      </c>
      <c r="Q2029" s="50"/>
      <c r="R2029" s="64"/>
    </row>
    <row r="2030" spans="6:19" ht="15.75">
      <c r="F2030" s="64">
        <v>0.5</v>
      </c>
      <c r="G2030" s="62" t="s">
        <v>153</v>
      </c>
      <c r="H2030" s="50" t="s">
        <v>558</v>
      </c>
      <c r="I2030" s="52">
        <f>C15</f>
        <v>933.8</v>
      </c>
      <c r="J2030" s="50" t="s">
        <v>153</v>
      </c>
      <c r="K2030" s="64">
        <f>(F2030*I2030)</f>
        <v>466.9</v>
      </c>
      <c r="M2030" s="64">
        <v>0.5</v>
      </c>
      <c r="N2030" s="62" t="s">
        <v>153</v>
      </c>
      <c r="O2030" s="50" t="s">
        <v>558</v>
      </c>
      <c r="P2030" s="64">
        <f>I2030</f>
        <v>933.8</v>
      </c>
      <c r="Q2030" s="50" t="s">
        <v>153</v>
      </c>
      <c r="R2030" s="64">
        <f>(M2030*P2030)</f>
        <v>466.9</v>
      </c>
    </row>
    <row r="2031" spans="6:19" ht="15.75">
      <c r="F2031" s="64">
        <v>0.5</v>
      </c>
      <c r="G2031" s="62" t="s">
        <v>153</v>
      </c>
      <c r="H2031" s="50" t="s">
        <v>235</v>
      </c>
      <c r="I2031" s="52">
        <f>C12</f>
        <v>702.8</v>
      </c>
      <c r="J2031" s="50" t="s">
        <v>153</v>
      </c>
      <c r="K2031" s="64">
        <f>(F2031*I2031)</f>
        <v>351.4</v>
      </c>
      <c r="M2031" s="64">
        <v>0.5</v>
      </c>
      <c r="N2031" s="62" t="s">
        <v>153</v>
      </c>
      <c r="O2031" s="50" t="s">
        <v>235</v>
      </c>
      <c r="P2031" s="64">
        <f>I2031</f>
        <v>702.8</v>
      </c>
      <c r="Q2031" s="50" t="s">
        <v>153</v>
      </c>
      <c r="R2031" s="64">
        <f>(M2031*P2031)</f>
        <v>351.4</v>
      </c>
    </row>
    <row r="2032" spans="6:19" ht="15.75">
      <c r="G2032" s="62" t="s">
        <v>226</v>
      </c>
      <c r="H2032" s="50" t="s">
        <v>237</v>
      </c>
      <c r="J2032" s="50" t="s">
        <v>226</v>
      </c>
      <c r="K2032" s="64">
        <v>0.7</v>
      </c>
      <c r="M2032" s="64"/>
      <c r="N2032" s="62"/>
      <c r="O2032" s="54" t="s">
        <v>2233</v>
      </c>
      <c r="P2032" s="64">
        <f>I2032</f>
        <v>0</v>
      </c>
      <c r="Q2032" s="50"/>
      <c r="R2032" s="97">
        <v>-164</v>
      </c>
    </row>
    <row r="2033" spans="6:18" ht="15.75">
      <c r="K2033" s="59" t="s">
        <v>21</v>
      </c>
      <c r="M2033" s="64"/>
      <c r="N2033" s="62"/>
      <c r="O2033" s="54" t="s">
        <v>2234</v>
      </c>
      <c r="P2033" s="64"/>
      <c r="Q2033" s="50"/>
      <c r="R2033" s="97">
        <v>134.1</v>
      </c>
    </row>
    <row r="2034" spans="6:18" ht="15.75">
      <c r="H2034" s="50" t="s">
        <v>1233</v>
      </c>
      <c r="K2034" s="64">
        <f>SUM(K2024:K2032)</f>
        <v>7760</v>
      </c>
      <c r="N2034" s="62" t="s">
        <v>226</v>
      </c>
      <c r="O2034" s="50" t="s">
        <v>237</v>
      </c>
      <c r="Q2034" s="50" t="s">
        <v>226</v>
      </c>
      <c r="R2034" s="64">
        <v>0.7</v>
      </c>
    </row>
    <row r="2035" spans="6:18" ht="15.75">
      <c r="H2035" s="50"/>
      <c r="N2035" s="53"/>
      <c r="Q2035" s="55"/>
      <c r="R2035" s="59" t="s">
        <v>21</v>
      </c>
    </row>
    <row r="2036" spans="6:18" ht="15.75">
      <c r="H2036" s="50"/>
      <c r="K2036" s="59" t="s">
        <v>21</v>
      </c>
      <c r="N2036" s="53"/>
      <c r="O2036" s="50" t="s">
        <v>1233</v>
      </c>
      <c r="Q2036" s="55"/>
      <c r="R2036" s="64"/>
    </row>
    <row r="2037" spans="6:18" ht="15.75">
      <c r="H2037" s="50"/>
      <c r="M2037" s="50" t="s">
        <v>150</v>
      </c>
      <c r="N2037" s="53"/>
      <c r="Q2037" s="55"/>
      <c r="R2037" s="65">
        <f>SUM(R2024:R2036)</f>
        <v>7730.1</v>
      </c>
    </row>
    <row r="2038" spans="6:18" ht="15.75">
      <c r="F2038" s="51" t="s">
        <v>585</v>
      </c>
      <c r="G2038" s="62" t="s">
        <v>249</v>
      </c>
      <c r="H2038" s="50" t="s">
        <v>586</v>
      </c>
      <c r="N2038" s="53"/>
      <c r="Q2038" s="55"/>
      <c r="R2038" s="59" t="s">
        <v>21</v>
      </c>
    </row>
    <row r="2039" spans="6:18" ht="15.75">
      <c r="H2039" s="50" t="s">
        <v>587</v>
      </c>
    </row>
    <row r="2040" spans="6:18" ht="15.75">
      <c r="H2040" s="59" t="s">
        <v>21</v>
      </c>
    </row>
    <row r="2041" spans="6:18" ht="15.75">
      <c r="G2041" s="62" t="s">
        <v>588</v>
      </c>
      <c r="H2041" s="50" t="s">
        <v>589</v>
      </c>
    </row>
    <row r="2042" spans="6:18" ht="15.75">
      <c r="H2042" s="50" t="s">
        <v>2251</v>
      </c>
    </row>
    <row r="2043" spans="6:18" ht="15.75">
      <c r="H2043" s="50" t="s">
        <v>592</v>
      </c>
    </row>
    <row r="2044" spans="6:18" ht="15.75">
      <c r="H2044" s="50" t="s">
        <v>593</v>
      </c>
    </row>
    <row r="2045" spans="6:18" ht="15.75">
      <c r="H2045" s="50" t="s">
        <v>594</v>
      </c>
    </row>
    <row r="2046" spans="6:18" ht="15.75">
      <c r="H2046" s="50" t="s">
        <v>595</v>
      </c>
    </row>
    <row r="2047" spans="6:18" ht="15.75">
      <c r="H2047" s="50" t="s">
        <v>563</v>
      </c>
    </row>
    <row r="2048" spans="6:18" ht="15.75">
      <c r="H2048" s="59" t="s">
        <v>21</v>
      </c>
    </row>
    <row r="2049" spans="6:11" ht="15.75">
      <c r="F2049" s="64">
        <v>3</v>
      </c>
      <c r="G2049" s="62" t="s">
        <v>552</v>
      </c>
      <c r="H2049" s="50" t="s">
        <v>564</v>
      </c>
      <c r="I2049" s="157">
        <f>(C620)</f>
        <v>193.05</v>
      </c>
      <c r="J2049" s="50" t="s">
        <v>552</v>
      </c>
      <c r="K2049" s="64">
        <f t="shared" ref="K2049:K2055" si="224">(F2049*I2049)</f>
        <v>579.15000000000009</v>
      </c>
    </row>
    <row r="2050" spans="6:11" ht="15.75">
      <c r="F2050" s="64">
        <v>1</v>
      </c>
      <c r="G2050" s="62" t="s">
        <v>4</v>
      </c>
      <c r="H2050" s="50" t="s">
        <v>565</v>
      </c>
      <c r="I2050" s="97">
        <v>76</v>
      </c>
      <c r="J2050" s="50" t="s">
        <v>566</v>
      </c>
      <c r="K2050" s="64">
        <f t="shared" si="224"/>
        <v>76</v>
      </c>
    </row>
    <row r="2051" spans="6:11" ht="15.75">
      <c r="F2051" s="64">
        <v>1</v>
      </c>
      <c r="G2051" s="62" t="s">
        <v>4</v>
      </c>
      <c r="H2051" s="50" t="s">
        <v>567</v>
      </c>
      <c r="I2051" s="64">
        <f>C648</f>
        <v>70</v>
      </c>
      <c r="J2051" s="50" t="s">
        <v>566</v>
      </c>
      <c r="K2051" s="64">
        <f t="shared" si="224"/>
        <v>70</v>
      </c>
    </row>
    <row r="2052" spans="6:11" ht="15.75">
      <c r="F2052" s="64">
        <v>1</v>
      </c>
      <c r="G2052" s="62" t="s">
        <v>4</v>
      </c>
      <c r="H2052" s="50" t="s">
        <v>568</v>
      </c>
      <c r="I2052" s="64">
        <f>C645</f>
        <v>159.80000000000001</v>
      </c>
      <c r="J2052" s="50" t="s">
        <v>566</v>
      </c>
      <c r="K2052" s="64">
        <f t="shared" si="224"/>
        <v>159.80000000000001</v>
      </c>
    </row>
    <row r="2053" spans="6:11" ht="15.75">
      <c r="F2053" s="64">
        <v>0.5</v>
      </c>
      <c r="G2053" s="62" t="s">
        <v>153</v>
      </c>
      <c r="H2053" s="50" t="s">
        <v>558</v>
      </c>
      <c r="I2053" s="64">
        <f>(C15)</f>
        <v>933.8</v>
      </c>
      <c r="J2053" s="50" t="s">
        <v>566</v>
      </c>
      <c r="K2053" s="64">
        <f t="shared" si="224"/>
        <v>466.9</v>
      </c>
    </row>
    <row r="2054" spans="6:11" ht="15.75">
      <c r="F2054" s="64">
        <v>0.5</v>
      </c>
      <c r="G2054" s="62" t="s">
        <v>153</v>
      </c>
      <c r="H2054" s="50" t="s">
        <v>234</v>
      </c>
      <c r="I2054" s="64">
        <f>(C11)</f>
        <v>1005.1999999999999</v>
      </c>
      <c r="J2054" s="50" t="s">
        <v>566</v>
      </c>
      <c r="K2054" s="64">
        <f t="shared" si="224"/>
        <v>502.59999999999997</v>
      </c>
    </row>
    <row r="2055" spans="6:11" ht="15.75">
      <c r="F2055" s="64">
        <v>0.5</v>
      </c>
      <c r="G2055" s="62" t="s">
        <v>153</v>
      </c>
      <c r="H2055" s="50" t="s">
        <v>235</v>
      </c>
      <c r="I2055" s="64">
        <f>(C12)</f>
        <v>702.8</v>
      </c>
      <c r="J2055" s="50" t="s">
        <v>566</v>
      </c>
      <c r="K2055" s="64">
        <f t="shared" si="224"/>
        <v>351.4</v>
      </c>
    </row>
    <row r="2056" spans="6:11" ht="15.75">
      <c r="G2056" s="62" t="s">
        <v>226</v>
      </c>
      <c r="H2056" s="50" t="s">
        <v>569</v>
      </c>
      <c r="I2056" s="157">
        <v>2.79</v>
      </c>
      <c r="J2056" s="50" t="s">
        <v>226</v>
      </c>
      <c r="K2056" s="64">
        <v>2.79</v>
      </c>
    </row>
    <row r="2057" spans="6:11" ht="15.75">
      <c r="H2057" s="50" t="s">
        <v>570</v>
      </c>
    </row>
    <row r="2058" spans="6:11" ht="15.75">
      <c r="H2058" s="50" t="s">
        <v>571</v>
      </c>
    </row>
    <row r="2059" spans="6:11" ht="15.75">
      <c r="H2059" s="50" t="s">
        <v>572</v>
      </c>
      <c r="J2059" s="50" t="s">
        <v>226</v>
      </c>
      <c r="K2059" s="64">
        <v>0.12</v>
      </c>
    </row>
    <row r="2060" spans="6:11" ht="15.75">
      <c r="K2060" s="59" t="s">
        <v>21</v>
      </c>
    </row>
    <row r="2061" spans="6:11" ht="15.75">
      <c r="H2061" s="50" t="s">
        <v>561</v>
      </c>
      <c r="K2061" s="64">
        <f>SUM(K2049:K2059)</f>
        <v>2208.7599999999998</v>
      </c>
    </row>
    <row r="2062" spans="6:11" ht="15.75">
      <c r="K2062" s="59" t="s">
        <v>21</v>
      </c>
    </row>
    <row r="2063" spans="6:11" ht="15.75">
      <c r="H2063" s="50" t="s">
        <v>562</v>
      </c>
      <c r="K2063" s="64">
        <f>(K2061/3)</f>
        <v>736.25333333333322</v>
      </c>
    </row>
    <row r="2064" spans="6:11" ht="15.75">
      <c r="K2064" s="59" t="s">
        <v>21</v>
      </c>
    </row>
    <row r="2065" spans="6:11" ht="15.75">
      <c r="F2065" s="51" t="s">
        <v>573</v>
      </c>
      <c r="G2065" s="62" t="s">
        <v>574</v>
      </c>
      <c r="H2065" s="50" t="s">
        <v>575</v>
      </c>
    </row>
    <row r="2066" spans="6:11" ht="15.75">
      <c r="H2066" s="50" t="s">
        <v>2252</v>
      </c>
    </row>
    <row r="2067" spans="6:11" ht="15.75">
      <c r="H2067" s="50" t="s">
        <v>592</v>
      </c>
    </row>
    <row r="2068" spans="6:11" ht="15.75">
      <c r="H2068" s="50" t="s">
        <v>596</v>
      </c>
    </row>
    <row r="2069" spans="6:11" ht="15.75">
      <c r="H2069" s="50" t="s">
        <v>597</v>
      </c>
    </row>
    <row r="2070" spans="6:11" ht="15.75">
      <c r="H2070" s="50" t="s">
        <v>595</v>
      </c>
    </row>
    <row r="2071" spans="6:11" ht="15.75">
      <c r="H2071" s="50" t="s">
        <v>563</v>
      </c>
    </row>
    <row r="2072" spans="6:11" ht="15.75">
      <c r="H2072" s="59" t="s">
        <v>21</v>
      </c>
    </row>
    <row r="2073" spans="6:11" ht="15.75">
      <c r="F2073" s="64">
        <v>3</v>
      </c>
      <c r="G2073" s="62" t="s">
        <v>552</v>
      </c>
      <c r="H2073" s="50" t="s">
        <v>577</v>
      </c>
      <c r="I2073" s="97">
        <f>C621</f>
        <v>115.85</v>
      </c>
      <c r="J2073" s="50" t="s">
        <v>552</v>
      </c>
      <c r="K2073" s="64">
        <f t="shared" ref="K2073:K2079" si="225">(F2073*I2073)</f>
        <v>347.54999999999995</v>
      </c>
    </row>
    <row r="2074" spans="6:11" ht="15.75">
      <c r="F2074" s="64">
        <v>1</v>
      </c>
      <c r="G2074" s="62" t="s">
        <v>4</v>
      </c>
      <c r="H2074" s="50" t="s">
        <v>578</v>
      </c>
      <c r="I2074" s="97">
        <f>C624</f>
        <v>45</v>
      </c>
      <c r="J2074" s="50" t="s">
        <v>566</v>
      </c>
      <c r="K2074" s="64">
        <f t="shared" si="225"/>
        <v>45</v>
      </c>
    </row>
    <row r="2075" spans="6:11" ht="15.75">
      <c r="F2075" s="64">
        <v>1</v>
      </c>
      <c r="G2075" s="62" t="s">
        <v>4</v>
      </c>
      <c r="H2075" s="50" t="s">
        <v>579</v>
      </c>
      <c r="I2075" s="64">
        <f>C649</f>
        <v>47.3</v>
      </c>
      <c r="J2075" s="50" t="s">
        <v>566</v>
      </c>
      <c r="K2075" s="64">
        <f t="shared" si="225"/>
        <v>47.3</v>
      </c>
    </row>
    <row r="2076" spans="6:11" ht="15.75">
      <c r="F2076" s="64">
        <v>1</v>
      </c>
      <c r="G2076" s="62" t="s">
        <v>4</v>
      </c>
      <c r="H2076" s="50" t="s">
        <v>580</v>
      </c>
      <c r="I2076" s="64">
        <f>C646</f>
        <v>106.6</v>
      </c>
      <c r="J2076" s="50" t="s">
        <v>566</v>
      </c>
      <c r="K2076" s="64">
        <f t="shared" si="225"/>
        <v>106.6</v>
      </c>
    </row>
    <row r="2077" spans="6:11" ht="15.75">
      <c r="F2077" s="64">
        <v>0.5</v>
      </c>
      <c r="G2077" s="62" t="s">
        <v>153</v>
      </c>
      <c r="H2077" s="50" t="s">
        <v>558</v>
      </c>
      <c r="I2077" s="64">
        <f>(C15)</f>
        <v>933.8</v>
      </c>
      <c r="J2077" s="50" t="s">
        <v>566</v>
      </c>
      <c r="K2077" s="64">
        <f t="shared" si="225"/>
        <v>466.9</v>
      </c>
    </row>
    <row r="2078" spans="6:11" ht="15.75">
      <c r="F2078" s="64">
        <v>0.5</v>
      </c>
      <c r="G2078" s="62" t="s">
        <v>153</v>
      </c>
      <c r="H2078" s="50" t="s">
        <v>234</v>
      </c>
      <c r="I2078" s="64">
        <f>(C11)</f>
        <v>1005.1999999999999</v>
      </c>
      <c r="J2078" s="50" t="s">
        <v>566</v>
      </c>
      <c r="K2078" s="64">
        <f t="shared" si="225"/>
        <v>502.59999999999997</v>
      </c>
    </row>
    <row r="2079" spans="6:11" ht="15.75">
      <c r="F2079" s="64">
        <v>0.5</v>
      </c>
      <c r="G2079" s="62" t="s">
        <v>153</v>
      </c>
      <c r="H2079" s="50" t="s">
        <v>235</v>
      </c>
      <c r="I2079" s="64">
        <f>(C12)</f>
        <v>702.8</v>
      </c>
      <c r="J2079" s="50" t="s">
        <v>566</v>
      </c>
      <c r="K2079" s="64">
        <f t="shared" si="225"/>
        <v>351.4</v>
      </c>
    </row>
    <row r="2080" spans="6:11" ht="15.75">
      <c r="G2080" s="62" t="s">
        <v>226</v>
      </c>
      <c r="H2080" s="50" t="s">
        <v>569</v>
      </c>
      <c r="I2080" s="50" t="s">
        <v>150</v>
      </c>
      <c r="J2080" s="50" t="s">
        <v>226</v>
      </c>
      <c r="K2080" s="64">
        <v>2.73</v>
      </c>
    </row>
    <row r="2081" spans="6:11" ht="15.75">
      <c r="H2081" s="50" t="s">
        <v>570</v>
      </c>
    </row>
    <row r="2082" spans="6:11" ht="15.75">
      <c r="H2082" s="50" t="s">
        <v>571</v>
      </c>
    </row>
    <row r="2083" spans="6:11" ht="15.75">
      <c r="H2083" s="50" t="s">
        <v>572</v>
      </c>
      <c r="J2083" s="50" t="s">
        <v>226</v>
      </c>
      <c r="K2083" s="64">
        <v>0.27</v>
      </c>
    </row>
    <row r="2084" spans="6:11" ht="15.75">
      <c r="K2084" s="59" t="s">
        <v>21</v>
      </c>
    </row>
    <row r="2085" spans="6:11" ht="15.75">
      <c r="H2085" s="50" t="s">
        <v>561</v>
      </c>
      <c r="K2085" s="64">
        <f>SUM(K2073:K2083)</f>
        <v>1870.35</v>
      </c>
    </row>
    <row r="2086" spans="6:11" ht="15.75">
      <c r="K2086" s="59" t="s">
        <v>21</v>
      </c>
    </row>
    <row r="2087" spans="6:11" ht="15.75">
      <c r="H2087" s="50" t="s">
        <v>562</v>
      </c>
      <c r="K2087" s="64">
        <f>(K2085/3)</f>
        <v>623.44999999999993</v>
      </c>
    </row>
    <row r="2088" spans="6:11" ht="15.75">
      <c r="K2088" s="59" t="s">
        <v>21</v>
      </c>
    </row>
    <row r="2089" spans="6:11" ht="15.75">
      <c r="F2089" s="51" t="s">
        <v>2253</v>
      </c>
      <c r="H2089" s="50" t="s">
        <v>2254</v>
      </c>
    </row>
    <row r="2090" spans="6:11" ht="15.75">
      <c r="H2090" s="50" t="s">
        <v>2255</v>
      </c>
    </row>
    <row r="2091" spans="6:11" ht="15.75">
      <c r="F2091" s="50" t="s">
        <v>150</v>
      </c>
      <c r="H2091" s="50" t="s">
        <v>2256</v>
      </c>
    </row>
    <row r="2092" spans="6:11" ht="15.75">
      <c r="H2092" s="59" t="s">
        <v>21</v>
      </c>
    </row>
    <row r="2093" spans="6:11" ht="15.75">
      <c r="F2093" s="64">
        <v>3</v>
      </c>
      <c r="G2093" s="62" t="s">
        <v>2143</v>
      </c>
      <c r="H2093" s="50" t="s">
        <v>2257</v>
      </c>
      <c r="I2093" s="97">
        <f>D620</f>
        <v>120.54</v>
      </c>
      <c r="J2093" s="50" t="s">
        <v>2143</v>
      </c>
      <c r="K2093" s="64">
        <f>(F2093*I2093)</f>
        <v>361.62</v>
      </c>
    </row>
    <row r="2094" spans="6:11" ht="15.75">
      <c r="F2094" s="64">
        <v>1</v>
      </c>
      <c r="G2094" s="62" t="s">
        <v>2094</v>
      </c>
      <c r="H2094" s="50" t="s">
        <v>2258</v>
      </c>
      <c r="I2094" s="64">
        <f>C648</f>
        <v>70</v>
      </c>
      <c r="J2094" s="50" t="s">
        <v>2094</v>
      </c>
      <c r="K2094" s="64">
        <f>(F2094*I2094)</f>
        <v>70</v>
      </c>
    </row>
    <row r="2095" spans="6:11" ht="15.75">
      <c r="F2095" s="64">
        <v>1</v>
      </c>
      <c r="G2095" s="62" t="s">
        <v>2094</v>
      </c>
      <c r="H2095" s="50" t="s">
        <v>2259</v>
      </c>
      <c r="I2095" s="64">
        <v>8</v>
      </c>
      <c r="J2095" s="50" t="s">
        <v>2094</v>
      </c>
      <c r="K2095" s="64">
        <f>(F2095*I2095)</f>
        <v>8</v>
      </c>
    </row>
    <row r="2096" spans="6:11" ht="15.75">
      <c r="F2096" s="51" t="s">
        <v>2146</v>
      </c>
      <c r="H2096" s="50" t="s">
        <v>2260</v>
      </c>
      <c r="I2096" s="51" t="s">
        <v>2146</v>
      </c>
      <c r="K2096" s="64">
        <f>1.21+0.47+0.4</f>
        <v>2.08</v>
      </c>
    </row>
    <row r="2097" spans="6:11" ht="15.75">
      <c r="K2097" s="59" t="s">
        <v>21</v>
      </c>
    </row>
    <row r="2098" spans="6:11" ht="15.75">
      <c r="H2098" s="50" t="s">
        <v>2261</v>
      </c>
      <c r="K2098" s="64">
        <f>SUM(K2093:K2096)</f>
        <v>441.7</v>
      </c>
    </row>
    <row r="2099" spans="6:11" ht="15.75">
      <c r="K2099" s="59" t="s">
        <v>21</v>
      </c>
    </row>
    <row r="2101" spans="6:11" ht="15.75">
      <c r="F2101" s="51" t="s">
        <v>2262</v>
      </c>
      <c r="G2101" s="62" t="s">
        <v>249</v>
      </c>
      <c r="H2101" s="50" t="s">
        <v>2263</v>
      </c>
    </row>
    <row r="2102" spans="6:11" ht="15.75">
      <c r="H2102" s="50" t="s">
        <v>2264</v>
      </c>
    </row>
    <row r="2103" spans="6:11" ht="15.75">
      <c r="H2103" s="59" t="s">
        <v>21</v>
      </c>
    </row>
    <row r="2104" spans="6:11" ht="15.75">
      <c r="F2104" s="64">
        <v>1</v>
      </c>
      <c r="G2104" s="62" t="s">
        <v>153</v>
      </c>
      <c r="H2104" s="50" t="s">
        <v>2264</v>
      </c>
      <c r="I2104" s="64">
        <f>(C266)</f>
        <v>167.1</v>
      </c>
      <c r="J2104" s="50" t="s">
        <v>153</v>
      </c>
      <c r="K2104" s="64">
        <f>(F2104*I2104)</f>
        <v>167.1</v>
      </c>
    </row>
    <row r="2105" spans="6:11" ht="15.75">
      <c r="F2105" s="64">
        <v>0.05</v>
      </c>
      <c r="G2105" s="62" t="s">
        <v>151</v>
      </c>
      <c r="H2105" s="50" t="s">
        <v>2265</v>
      </c>
      <c r="I2105" s="64">
        <f>(R60)</f>
        <v>4934.8500000000004</v>
      </c>
      <c r="J2105" s="50" t="s">
        <v>151</v>
      </c>
      <c r="K2105" s="64">
        <f>(F2105*I2105)</f>
        <v>246.74250000000004</v>
      </c>
    </row>
    <row r="2106" spans="6:11" ht="15.75">
      <c r="F2106" s="64">
        <v>0.5</v>
      </c>
      <c r="G2106" s="62" t="s">
        <v>153</v>
      </c>
      <c r="H2106" s="50" t="s">
        <v>558</v>
      </c>
      <c r="I2106" s="64">
        <f>(C15)</f>
        <v>933.8</v>
      </c>
      <c r="J2106" s="50" t="s">
        <v>153</v>
      </c>
      <c r="K2106" s="64">
        <f>(F2106*I2106)</f>
        <v>466.9</v>
      </c>
    </row>
    <row r="2107" spans="6:11" ht="15.75">
      <c r="F2107" s="64">
        <v>1</v>
      </c>
      <c r="G2107" s="62" t="s">
        <v>153</v>
      </c>
      <c r="H2107" s="50" t="s">
        <v>235</v>
      </c>
      <c r="I2107" s="64">
        <f>(C12)</f>
        <v>702.8</v>
      </c>
      <c r="J2107" s="50" t="s">
        <v>153</v>
      </c>
      <c r="K2107" s="64">
        <f>(F2107*I2107)</f>
        <v>702.8</v>
      </c>
    </row>
    <row r="2108" spans="6:11" ht="15.75">
      <c r="F2108" s="64">
        <v>1</v>
      </c>
      <c r="G2108" s="62" t="s">
        <v>153</v>
      </c>
      <c r="H2108" s="50" t="s">
        <v>236</v>
      </c>
      <c r="I2108" s="64">
        <f>(C13)</f>
        <v>576.79999999999995</v>
      </c>
      <c r="J2108" s="50" t="s">
        <v>153</v>
      </c>
      <c r="K2108" s="64">
        <f>(F2108*I2108)</f>
        <v>576.79999999999995</v>
      </c>
    </row>
    <row r="2109" spans="6:11" ht="15.75">
      <c r="G2109" s="62" t="s">
        <v>226</v>
      </c>
      <c r="H2109" s="50" t="s">
        <v>237</v>
      </c>
      <c r="I2109" s="50" t="s">
        <v>150</v>
      </c>
      <c r="J2109" s="50" t="s">
        <v>226</v>
      </c>
      <c r="K2109" s="64">
        <v>0.54</v>
      </c>
    </row>
    <row r="2110" spans="6:11" ht="15.75">
      <c r="H2110" s="50" t="s">
        <v>150</v>
      </c>
      <c r="K2110" s="59" t="s">
        <v>21</v>
      </c>
    </row>
    <row r="2111" spans="6:11" ht="15.75">
      <c r="H2111" s="50" t="s">
        <v>1233</v>
      </c>
      <c r="K2111" s="64">
        <f>SUM(K2104:K2109)</f>
        <v>2160.8824999999997</v>
      </c>
    </row>
    <row r="2112" spans="6:11" ht="15.75">
      <c r="K2112" s="59" t="s">
        <v>156</v>
      </c>
    </row>
    <row r="2113" spans="6:11" ht="15.75">
      <c r="F2113" s="51" t="s">
        <v>2266</v>
      </c>
      <c r="G2113" s="62" t="s">
        <v>249</v>
      </c>
      <c r="H2113" s="50" t="s">
        <v>2267</v>
      </c>
    </row>
    <row r="2114" spans="6:11" ht="15.75">
      <c r="H2114" s="50" t="s">
        <v>2268</v>
      </c>
    </row>
    <row r="2115" spans="6:11" ht="15.75">
      <c r="H2115" s="59" t="s">
        <v>21</v>
      </c>
    </row>
    <row r="2116" spans="6:11" ht="15.75">
      <c r="F2116" s="64">
        <v>1</v>
      </c>
      <c r="G2116" s="62" t="s">
        <v>153</v>
      </c>
      <c r="H2116" s="50" t="s">
        <v>2269</v>
      </c>
      <c r="I2116" s="64">
        <f>(D267)</f>
        <v>132.69999999999999</v>
      </c>
      <c r="J2116" s="50" t="s">
        <v>153</v>
      </c>
      <c r="K2116" s="64">
        <f>(F2116*I2116)</f>
        <v>132.69999999999999</v>
      </c>
    </row>
    <row r="2117" spans="6:11" ht="15.75">
      <c r="G2117" s="62" t="s">
        <v>226</v>
      </c>
      <c r="H2117" s="50" t="s">
        <v>2270</v>
      </c>
      <c r="J2117" s="50" t="s">
        <v>226</v>
      </c>
      <c r="K2117" s="64">
        <v>4</v>
      </c>
    </row>
    <row r="2118" spans="6:11" ht="15.75">
      <c r="J2118" s="50" t="s">
        <v>150</v>
      </c>
      <c r="K2118" s="59" t="s">
        <v>21</v>
      </c>
    </row>
    <row r="2119" spans="6:11" ht="15.75">
      <c r="H2119" s="50" t="s">
        <v>1233</v>
      </c>
      <c r="K2119" s="64">
        <f>SUM(K2116:K2118)</f>
        <v>136.69999999999999</v>
      </c>
    </row>
    <row r="2120" spans="6:11" ht="15.75">
      <c r="K2120" s="59" t="s">
        <v>21</v>
      </c>
    </row>
    <row r="2121" spans="6:11" ht="15.75">
      <c r="F2121" s="51" t="s">
        <v>2271</v>
      </c>
      <c r="G2121" s="62" t="s">
        <v>249</v>
      </c>
      <c r="H2121" s="50" t="s">
        <v>2272</v>
      </c>
    </row>
    <row r="2122" spans="6:11" ht="15.75">
      <c r="H2122" s="50" t="s">
        <v>2273</v>
      </c>
    </row>
    <row r="2123" spans="6:11" ht="15.75">
      <c r="H2123" s="59" t="s">
        <v>21</v>
      </c>
    </row>
    <row r="2124" spans="6:11" ht="15.75">
      <c r="F2124" s="64">
        <v>50</v>
      </c>
      <c r="G2124" s="62" t="s">
        <v>153</v>
      </c>
      <c r="H2124" s="50" t="s">
        <v>2274</v>
      </c>
      <c r="I2124" s="72">
        <f>C204</f>
        <v>62.2</v>
      </c>
      <c r="J2124" s="50" t="s">
        <v>153</v>
      </c>
      <c r="K2124" s="64">
        <f t="shared" ref="K2124:K2133" si="226">(F2124*I2124)</f>
        <v>3110</v>
      </c>
    </row>
    <row r="2125" spans="6:11" ht="15.75">
      <c r="F2125" s="64">
        <v>21.6</v>
      </c>
      <c r="G2125" s="62" t="s">
        <v>151</v>
      </c>
      <c r="H2125" s="50" t="s">
        <v>2275</v>
      </c>
      <c r="I2125" s="64">
        <f>(C61*2)</f>
        <v>235.2</v>
      </c>
      <c r="J2125" s="50" t="s">
        <v>151</v>
      </c>
      <c r="K2125" s="64">
        <f t="shared" si="226"/>
        <v>5080.32</v>
      </c>
    </row>
    <row r="2126" spans="6:11" ht="15.75">
      <c r="F2126" s="64">
        <v>21.6</v>
      </c>
      <c r="G2126" s="62" t="s">
        <v>151</v>
      </c>
      <c r="H2126" s="50" t="s">
        <v>2231</v>
      </c>
      <c r="I2126" s="64">
        <f>(C26)</f>
        <v>41.019999999999996</v>
      </c>
      <c r="J2126" s="50" t="s">
        <v>151</v>
      </c>
      <c r="K2126" s="64">
        <f t="shared" si="226"/>
        <v>886.03199999999993</v>
      </c>
    </row>
    <row r="2127" spans="6:11" ht="15.75">
      <c r="F2127" s="64">
        <v>45</v>
      </c>
      <c r="G2127" s="62" t="s">
        <v>13</v>
      </c>
      <c r="H2127" s="50" t="s">
        <v>252</v>
      </c>
      <c r="I2127" s="64">
        <f>(C67/1000)</f>
        <v>5.8</v>
      </c>
      <c r="J2127" s="50" t="s">
        <v>13</v>
      </c>
      <c r="K2127" s="64">
        <f t="shared" si="226"/>
        <v>261</v>
      </c>
    </row>
    <row r="2128" spans="6:11" ht="15.75">
      <c r="F2128" s="64">
        <v>0.04</v>
      </c>
      <c r="G2128" s="62" t="s">
        <v>151</v>
      </c>
      <c r="H2128" s="50" t="s">
        <v>253</v>
      </c>
      <c r="I2128" s="64">
        <f>(C78)</f>
        <v>2116.9</v>
      </c>
      <c r="J2128" s="50" t="s">
        <v>151</v>
      </c>
      <c r="K2128" s="64">
        <f t="shared" si="226"/>
        <v>84.676000000000002</v>
      </c>
    </row>
    <row r="2129" spans="6:11" ht="15.75">
      <c r="F2129" s="64">
        <v>3.63</v>
      </c>
      <c r="G2129" s="62" t="s">
        <v>13</v>
      </c>
      <c r="H2129" s="50" t="s">
        <v>2276</v>
      </c>
      <c r="I2129" s="64">
        <f>(C607)</f>
        <v>11.6</v>
      </c>
      <c r="J2129" s="50" t="s">
        <v>13</v>
      </c>
      <c r="K2129" s="64">
        <f t="shared" si="226"/>
        <v>42.107999999999997</v>
      </c>
    </row>
    <row r="2130" spans="6:11" ht="15.75">
      <c r="F2130" s="64">
        <v>2</v>
      </c>
      <c r="G2130" s="62" t="s">
        <v>153</v>
      </c>
      <c r="H2130" s="50" t="s">
        <v>269</v>
      </c>
      <c r="I2130" s="64">
        <f>(C10)</f>
        <v>1076.5999999999999</v>
      </c>
      <c r="J2130" s="50" t="s">
        <v>153</v>
      </c>
      <c r="K2130" s="64">
        <f t="shared" si="226"/>
        <v>2153.1999999999998</v>
      </c>
    </row>
    <row r="2131" spans="6:11" ht="15.75">
      <c r="F2131" s="64">
        <v>1</v>
      </c>
      <c r="G2131" s="62" t="s">
        <v>153</v>
      </c>
      <c r="H2131" s="50" t="s">
        <v>2277</v>
      </c>
      <c r="I2131" s="64">
        <f>AG37</f>
        <v>905.8</v>
      </c>
      <c r="J2131" s="50" t="s">
        <v>153</v>
      </c>
      <c r="K2131" s="64">
        <f t="shared" si="226"/>
        <v>905.8</v>
      </c>
    </row>
    <row r="2132" spans="6:11" ht="15.75">
      <c r="F2132" s="64">
        <v>5</v>
      </c>
      <c r="G2132" s="62" t="s">
        <v>153</v>
      </c>
      <c r="H2132" s="50" t="s">
        <v>235</v>
      </c>
      <c r="I2132" s="64">
        <f>(C12)</f>
        <v>702.8</v>
      </c>
      <c r="J2132" s="50" t="s">
        <v>153</v>
      </c>
      <c r="K2132" s="64">
        <f t="shared" si="226"/>
        <v>3514</v>
      </c>
    </row>
    <row r="2133" spans="6:11" ht="15.75">
      <c r="F2133" s="64">
        <v>2</v>
      </c>
      <c r="G2133" s="62" t="s">
        <v>153</v>
      </c>
      <c r="H2133" s="50" t="s">
        <v>236</v>
      </c>
      <c r="I2133" s="64">
        <f>(C13)</f>
        <v>576.79999999999995</v>
      </c>
      <c r="J2133" s="50" t="s">
        <v>153</v>
      </c>
      <c r="K2133" s="64">
        <f t="shared" si="226"/>
        <v>1153.5999999999999</v>
      </c>
    </row>
    <row r="2134" spans="6:11" ht="15.75">
      <c r="G2134" s="62" t="s">
        <v>226</v>
      </c>
      <c r="H2134" s="50" t="s">
        <v>2278</v>
      </c>
      <c r="J2134" s="50" t="s">
        <v>226</v>
      </c>
      <c r="K2134" s="64">
        <f>SUM(K2130:K2133)/10+7.5</f>
        <v>780.16000000000008</v>
      </c>
    </row>
    <row r="2135" spans="6:11" ht="15.75">
      <c r="K2135" s="59" t="s">
        <v>21</v>
      </c>
    </row>
    <row r="2136" spans="6:11" ht="15.75">
      <c r="H2136" s="50" t="s">
        <v>2279</v>
      </c>
      <c r="K2136" s="64">
        <f>SUM(K2124:K2134)</f>
        <v>17970.895999999997</v>
      </c>
    </row>
    <row r="2137" spans="6:11" ht="15.75">
      <c r="K2137" s="59" t="s">
        <v>21</v>
      </c>
    </row>
    <row r="2138" spans="6:11" ht="15.75">
      <c r="H2138" s="50" t="s">
        <v>2280</v>
      </c>
      <c r="K2138" s="64">
        <f>(K2136/30)</f>
        <v>599.02986666666652</v>
      </c>
    </row>
    <row r="2139" spans="6:11" ht="15.75">
      <c r="K2139" s="59" t="s">
        <v>156</v>
      </c>
    </row>
    <row r="2141" spans="6:11" ht="15.75">
      <c r="F2141" s="51" t="s">
        <v>2281</v>
      </c>
      <c r="G2141" s="62" t="s">
        <v>249</v>
      </c>
      <c r="H2141" s="50" t="s">
        <v>2282</v>
      </c>
    </row>
    <row r="2142" spans="6:11" ht="15.75">
      <c r="H2142" s="50" t="s">
        <v>2273</v>
      </c>
    </row>
    <row r="2143" spans="6:11" ht="15.75">
      <c r="H2143" s="59" t="s">
        <v>21</v>
      </c>
    </row>
    <row r="2144" spans="6:11" ht="15.75">
      <c r="F2144" s="64">
        <v>50</v>
      </c>
      <c r="G2144" s="62" t="s">
        <v>153</v>
      </c>
      <c r="H2144" s="50" t="s">
        <v>2283</v>
      </c>
      <c r="I2144" s="72">
        <f>C205</f>
        <v>100</v>
      </c>
      <c r="J2144" s="50" t="s">
        <v>153</v>
      </c>
      <c r="K2144" s="64">
        <f t="shared" ref="K2144:K2153" si="227">(F2144*I2144)</f>
        <v>5000</v>
      </c>
    </row>
    <row r="2145" spans="6:18" ht="15.75">
      <c r="F2145" s="64">
        <v>21.6</v>
      </c>
      <c r="G2145" s="62" t="s">
        <v>151</v>
      </c>
      <c r="H2145" s="50" t="s">
        <v>2275</v>
      </c>
      <c r="I2145" s="64">
        <f>(C61*2)</f>
        <v>235.2</v>
      </c>
      <c r="J2145" s="50" t="s">
        <v>151</v>
      </c>
      <c r="K2145" s="64">
        <f t="shared" si="227"/>
        <v>5080.32</v>
      </c>
    </row>
    <row r="2146" spans="6:18" ht="15.75">
      <c r="F2146" s="64">
        <v>21.6</v>
      </c>
      <c r="G2146" s="62" t="s">
        <v>151</v>
      </c>
      <c r="H2146" s="50" t="s">
        <v>2231</v>
      </c>
      <c r="I2146" s="64">
        <f>(C26)</f>
        <v>41.019999999999996</v>
      </c>
      <c r="J2146" s="50" t="s">
        <v>151</v>
      </c>
      <c r="K2146" s="64">
        <f t="shared" si="227"/>
        <v>886.03199999999993</v>
      </c>
    </row>
    <row r="2147" spans="6:18" ht="15.75">
      <c r="F2147" s="64">
        <v>68</v>
      </c>
      <c r="G2147" s="62" t="s">
        <v>13</v>
      </c>
      <c r="H2147" s="50" t="s">
        <v>252</v>
      </c>
      <c r="I2147" s="64">
        <f>(C67/1000)</f>
        <v>5.8</v>
      </c>
      <c r="J2147" s="50" t="s">
        <v>13</v>
      </c>
      <c r="K2147" s="64">
        <f t="shared" si="227"/>
        <v>394.4</v>
      </c>
    </row>
    <row r="2148" spans="6:18" ht="15.75">
      <c r="F2148" s="64">
        <v>7.0000000000000007E-2</v>
      </c>
      <c r="G2148" s="62" t="s">
        <v>151</v>
      </c>
      <c r="H2148" s="50" t="s">
        <v>253</v>
      </c>
      <c r="I2148" s="64">
        <f>(C78)</f>
        <v>2116.9</v>
      </c>
      <c r="J2148" s="50" t="s">
        <v>151</v>
      </c>
      <c r="K2148" s="64">
        <f t="shared" si="227"/>
        <v>148.18300000000002</v>
      </c>
      <c r="M2148" s="51" t="s">
        <v>2281</v>
      </c>
      <c r="N2148" s="62" t="s">
        <v>249</v>
      </c>
      <c r="O2148" s="50" t="s">
        <v>2284</v>
      </c>
      <c r="Q2148" s="55"/>
    </row>
    <row r="2149" spans="6:18" ht="15.75">
      <c r="F2149" s="64">
        <v>5.45</v>
      </c>
      <c r="G2149" s="62" t="s">
        <v>13</v>
      </c>
      <c r="H2149" s="50" t="s">
        <v>2276</v>
      </c>
      <c r="I2149" s="64">
        <f>(C607)</f>
        <v>11.6</v>
      </c>
      <c r="J2149" s="50" t="s">
        <v>13</v>
      </c>
      <c r="K2149" s="64">
        <f t="shared" si="227"/>
        <v>63.22</v>
      </c>
      <c r="N2149" s="53"/>
      <c r="O2149" s="50" t="s">
        <v>2273</v>
      </c>
      <c r="Q2149" s="55"/>
    </row>
    <row r="2150" spans="6:18" ht="15.75">
      <c r="F2150" s="64">
        <v>3</v>
      </c>
      <c r="G2150" s="62" t="s">
        <v>153</v>
      </c>
      <c r="H2150" s="50" t="s">
        <v>269</v>
      </c>
      <c r="I2150" s="64">
        <f>(C10)</f>
        <v>1076.5999999999999</v>
      </c>
      <c r="J2150" s="50" t="s">
        <v>153</v>
      </c>
      <c r="K2150" s="64">
        <f t="shared" si="227"/>
        <v>3229.7999999999997</v>
      </c>
      <c r="N2150" s="53"/>
      <c r="O2150" s="59" t="s">
        <v>21</v>
      </c>
      <c r="Q2150" s="55"/>
    </row>
    <row r="2151" spans="6:18" ht="47.25">
      <c r="F2151" s="64">
        <v>2</v>
      </c>
      <c r="G2151" s="62" t="s">
        <v>153</v>
      </c>
      <c r="H2151" s="50" t="s">
        <v>2277</v>
      </c>
      <c r="I2151" s="64">
        <f>AG37</f>
        <v>905.8</v>
      </c>
      <c r="J2151" s="50" t="s">
        <v>153</v>
      </c>
      <c r="K2151" s="64">
        <f t="shared" si="227"/>
        <v>1811.6</v>
      </c>
      <c r="M2151" s="64">
        <v>50</v>
      </c>
      <c r="N2151" s="62" t="s">
        <v>153</v>
      </c>
      <c r="O2151" s="112" t="s">
        <v>2285</v>
      </c>
      <c r="P2151" s="314">
        <v>412</v>
      </c>
      <c r="Q2151" s="50" t="s">
        <v>153</v>
      </c>
      <c r="R2151" s="64">
        <f t="shared" ref="R2151:R2160" si="228">(M2151*P2151)</f>
        <v>20600</v>
      </c>
    </row>
    <row r="2152" spans="6:18" ht="15.75">
      <c r="F2152" s="64">
        <v>6</v>
      </c>
      <c r="G2152" s="62" t="s">
        <v>153</v>
      </c>
      <c r="H2152" s="50" t="s">
        <v>235</v>
      </c>
      <c r="I2152" s="64">
        <f>(C12)</f>
        <v>702.8</v>
      </c>
      <c r="J2152" s="50" t="s">
        <v>153</v>
      </c>
      <c r="K2152" s="64">
        <f t="shared" si="227"/>
        <v>4216.7999999999993</v>
      </c>
      <c r="M2152" s="64">
        <v>21.6</v>
      </c>
      <c r="N2152" s="62" t="s">
        <v>151</v>
      </c>
      <c r="O2152" s="50" t="s">
        <v>2275</v>
      </c>
      <c r="P2152" s="64">
        <f>I2145</f>
        <v>235.2</v>
      </c>
      <c r="Q2152" s="50" t="s">
        <v>151</v>
      </c>
      <c r="R2152" s="64">
        <f t="shared" si="228"/>
        <v>5080.32</v>
      </c>
    </row>
    <row r="2153" spans="6:18" ht="15.75">
      <c r="F2153" s="64">
        <v>3</v>
      </c>
      <c r="G2153" s="62" t="s">
        <v>153</v>
      </c>
      <c r="H2153" s="50" t="s">
        <v>236</v>
      </c>
      <c r="I2153" s="64">
        <f>(C13)</f>
        <v>576.79999999999995</v>
      </c>
      <c r="J2153" s="50" t="s">
        <v>153</v>
      </c>
      <c r="K2153" s="64">
        <f t="shared" si="227"/>
        <v>1730.3999999999999</v>
      </c>
      <c r="M2153" s="64">
        <v>21.6</v>
      </c>
      <c r="N2153" s="62" t="s">
        <v>151</v>
      </c>
      <c r="O2153" s="50" t="s">
        <v>2231</v>
      </c>
      <c r="P2153" s="64">
        <f t="shared" ref="P2153:P2160" si="229">I2146</f>
        <v>41.019999999999996</v>
      </c>
      <c r="Q2153" s="50" t="s">
        <v>151</v>
      </c>
      <c r="R2153" s="64">
        <f t="shared" si="228"/>
        <v>886.03199999999993</v>
      </c>
    </row>
    <row r="2154" spans="6:18" ht="15.75">
      <c r="G2154" s="62" t="s">
        <v>226</v>
      </c>
      <c r="H2154" s="50" t="s">
        <v>2278</v>
      </c>
      <c r="J2154" s="50" t="s">
        <v>226</v>
      </c>
      <c r="K2154" s="64">
        <f>SUM(K2150:K2153)/10+4.8</f>
        <v>1103.6599999999999</v>
      </c>
      <c r="M2154" s="64">
        <v>115</v>
      </c>
      <c r="N2154" s="62" t="s">
        <v>13</v>
      </c>
      <c r="O2154" s="50" t="s">
        <v>252</v>
      </c>
      <c r="P2154" s="64">
        <f t="shared" si="229"/>
        <v>5.8</v>
      </c>
      <c r="Q2154" s="50" t="s">
        <v>13</v>
      </c>
      <c r="R2154" s="64">
        <f t="shared" si="228"/>
        <v>667</v>
      </c>
    </row>
    <row r="2155" spans="6:18" ht="15.75">
      <c r="K2155" s="59" t="s">
        <v>21</v>
      </c>
      <c r="M2155" s="64">
        <v>0.11</v>
      </c>
      <c r="N2155" s="62" t="s">
        <v>151</v>
      </c>
      <c r="O2155" s="50" t="s">
        <v>253</v>
      </c>
      <c r="P2155" s="64">
        <f t="shared" si="229"/>
        <v>2116.9</v>
      </c>
      <c r="Q2155" s="50" t="s">
        <v>151</v>
      </c>
      <c r="R2155" s="64">
        <f t="shared" si="228"/>
        <v>232.85900000000001</v>
      </c>
    </row>
    <row r="2156" spans="6:18" ht="15.75">
      <c r="H2156" s="50" t="s">
        <v>2279</v>
      </c>
      <c r="K2156" s="64">
        <f>SUM(K2144:K2154)</f>
        <v>23664.414999999997</v>
      </c>
      <c r="M2156" s="64">
        <v>8.35</v>
      </c>
      <c r="N2156" s="62" t="s">
        <v>13</v>
      </c>
      <c r="O2156" s="50" t="s">
        <v>2276</v>
      </c>
      <c r="P2156" s="64">
        <f t="shared" si="229"/>
        <v>11.6</v>
      </c>
      <c r="Q2156" s="50" t="s">
        <v>13</v>
      </c>
      <c r="R2156" s="64">
        <f t="shared" si="228"/>
        <v>96.86</v>
      </c>
    </row>
    <row r="2157" spans="6:18" ht="15.75">
      <c r="K2157" s="59" t="s">
        <v>21</v>
      </c>
      <c r="M2157" s="64">
        <v>5</v>
      </c>
      <c r="N2157" s="62" t="s">
        <v>153</v>
      </c>
      <c r="O2157" s="50" t="s">
        <v>269</v>
      </c>
      <c r="P2157" s="64">
        <f t="shared" si="229"/>
        <v>1076.5999999999999</v>
      </c>
      <c r="Q2157" s="50" t="s">
        <v>153</v>
      </c>
      <c r="R2157" s="64">
        <f t="shared" si="228"/>
        <v>5383</v>
      </c>
    </row>
    <row r="2158" spans="6:18" ht="15.75">
      <c r="H2158" s="50" t="s">
        <v>2280</v>
      </c>
      <c r="K2158" s="64">
        <f>(K2156/30)</f>
        <v>788.81383333333326</v>
      </c>
      <c r="M2158" s="64">
        <v>3</v>
      </c>
      <c r="N2158" s="62" t="s">
        <v>153</v>
      </c>
      <c r="O2158" s="50" t="s">
        <v>2277</v>
      </c>
      <c r="P2158" s="64">
        <f t="shared" si="229"/>
        <v>905.8</v>
      </c>
      <c r="Q2158" s="50" t="s">
        <v>153</v>
      </c>
      <c r="R2158" s="64">
        <f t="shared" si="228"/>
        <v>2717.3999999999996</v>
      </c>
    </row>
    <row r="2159" spans="6:18" ht="15.75">
      <c r="K2159" s="59" t="s">
        <v>156</v>
      </c>
      <c r="M2159" s="64">
        <v>7</v>
      </c>
      <c r="N2159" s="62" t="s">
        <v>153</v>
      </c>
      <c r="O2159" s="50" t="s">
        <v>235</v>
      </c>
      <c r="P2159" s="64">
        <f t="shared" si="229"/>
        <v>702.8</v>
      </c>
      <c r="Q2159" s="50" t="s">
        <v>153</v>
      </c>
      <c r="R2159" s="64">
        <f t="shared" si="228"/>
        <v>4919.5999999999995</v>
      </c>
    </row>
    <row r="2160" spans="6:18" ht="15.75">
      <c r="F2160" s="51" t="s">
        <v>2286</v>
      </c>
      <c r="G2160" s="62" t="s">
        <v>249</v>
      </c>
      <c r="H2160" s="50" t="s">
        <v>2272</v>
      </c>
      <c r="M2160" s="64">
        <v>5</v>
      </c>
      <c r="N2160" s="62" t="s">
        <v>153</v>
      </c>
      <c r="O2160" s="50" t="s">
        <v>236</v>
      </c>
      <c r="P2160" s="64">
        <f t="shared" si="229"/>
        <v>576.79999999999995</v>
      </c>
      <c r="Q2160" s="50" t="s">
        <v>153</v>
      </c>
      <c r="R2160" s="64">
        <f t="shared" si="228"/>
        <v>2884</v>
      </c>
    </row>
    <row r="2161" spans="6:18" ht="15.75">
      <c r="H2161" s="50" t="s">
        <v>2287</v>
      </c>
      <c r="N2161" s="62" t="s">
        <v>226</v>
      </c>
      <c r="O2161" s="50" t="s">
        <v>2278</v>
      </c>
      <c r="Q2161" s="50" t="s">
        <v>226</v>
      </c>
      <c r="R2161" s="64">
        <v>234</v>
      </c>
    </row>
    <row r="2162" spans="6:18" ht="15.75">
      <c r="H2162" s="59" t="s">
        <v>21</v>
      </c>
      <c r="N2162" s="53"/>
      <c r="Q2162" s="55"/>
      <c r="R2162" s="59" t="s">
        <v>21</v>
      </c>
    </row>
    <row r="2163" spans="6:18" ht="15.75">
      <c r="F2163" s="64">
        <v>50</v>
      </c>
      <c r="G2163" s="62" t="s">
        <v>153</v>
      </c>
      <c r="H2163" s="50" t="s">
        <v>2288</v>
      </c>
      <c r="I2163" s="64">
        <f>C204</f>
        <v>62.2</v>
      </c>
      <c r="J2163" s="50" t="s">
        <v>153</v>
      </c>
      <c r="K2163" s="64">
        <f>(F2163*I2163)</f>
        <v>3110</v>
      </c>
      <c r="N2163" s="53"/>
      <c r="O2163" s="50" t="s">
        <v>2279</v>
      </c>
      <c r="Q2163" s="55"/>
      <c r="R2163" s="64">
        <f>SUM(R2151:R2161)</f>
        <v>43701.070999999996</v>
      </c>
    </row>
    <row r="2164" spans="6:18" ht="15.75">
      <c r="F2164" s="64">
        <v>1</v>
      </c>
      <c r="G2164" s="62" t="s">
        <v>153</v>
      </c>
      <c r="H2164" s="50" t="s">
        <v>2277</v>
      </c>
      <c r="I2164" s="64">
        <f>AG37</f>
        <v>905.8</v>
      </c>
      <c r="J2164" s="50" t="s">
        <v>153</v>
      </c>
      <c r="K2164" s="64">
        <f>(F2164*I2164)</f>
        <v>905.8</v>
      </c>
      <c r="N2164" s="53"/>
      <c r="Q2164" s="55"/>
      <c r="R2164" s="59" t="s">
        <v>21</v>
      </c>
    </row>
    <row r="2165" spans="6:18" ht="15.75">
      <c r="F2165" s="64">
        <v>5</v>
      </c>
      <c r="G2165" s="62" t="s">
        <v>153</v>
      </c>
      <c r="H2165" s="50" t="s">
        <v>235</v>
      </c>
      <c r="I2165" s="64">
        <f>C12</f>
        <v>702.8</v>
      </c>
      <c r="J2165" s="50" t="s">
        <v>153</v>
      </c>
      <c r="K2165" s="64">
        <f>(F2165*I2165)</f>
        <v>3514</v>
      </c>
      <c r="N2165" s="53"/>
      <c r="O2165" s="50" t="s">
        <v>2280</v>
      </c>
      <c r="Q2165" s="55"/>
      <c r="R2165" s="64">
        <f>(R2163/30)</f>
        <v>1456.7023666666666</v>
      </c>
    </row>
    <row r="2166" spans="6:18" ht="15.75">
      <c r="H2166" s="50" t="s">
        <v>337</v>
      </c>
      <c r="K2166" s="162">
        <v>1.8</v>
      </c>
      <c r="N2166" s="53"/>
      <c r="Q2166" s="55"/>
      <c r="R2166" s="59" t="s">
        <v>156</v>
      </c>
    </row>
    <row r="2167" spans="6:18" ht="15.75">
      <c r="H2167" s="50" t="s">
        <v>2279</v>
      </c>
      <c r="K2167" s="64">
        <f>SUM(K2163:K2166)</f>
        <v>7531.6</v>
      </c>
    </row>
    <row r="2168" spans="6:18" ht="15.75">
      <c r="F2168" s="50" t="s">
        <v>150</v>
      </c>
      <c r="K2168" s="59" t="s">
        <v>21</v>
      </c>
    </row>
    <row r="2169" spans="6:18" ht="15.75">
      <c r="H2169" s="50" t="s">
        <v>2280</v>
      </c>
      <c r="K2169" s="64">
        <f>(K2167/30)</f>
        <v>251.05333333333334</v>
      </c>
    </row>
    <row r="2170" spans="6:18" ht="15.75">
      <c r="F2170" s="50" t="s">
        <v>150</v>
      </c>
    </row>
    <row r="2171" spans="6:18" ht="15.75">
      <c r="F2171" s="50" t="s">
        <v>150</v>
      </c>
    </row>
    <row r="2172" spans="6:18" ht="15.75">
      <c r="K2172" s="59" t="s">
        <v>156</v>
      </c>
    </row>
    <row r="2173" spans="6:18" ht="15.75">
      <c r="F2173" s="51" t="s">
        <v>2281</v>
      </c>
      <c r="G2173" s="62" t="s">
        <v>249</v>
      </c>
      <c r="H2173" s="50" t="s">
        <v>2282</v>
      </c>
    </row>
    <row r="2174" spans="6:18" ht="15.75">
      <c r="H2174" s="64" t="str">
        <f>H2161</f>
        <v>DIA S.W.PIPE(LOOSE JOINTING)</v>
      </c>
    </row>
    <row r="2175" spans="6:18" ht="15.75">
      <c r="H2175" s="59" t="s">
        <v>21</v>
      </c>
    </row>
    <row r="2176" spans="6:18" ht="15.75">
      <c r="F2176" s="64">
        <v>50</v>
      </c>
      <c r="G2176" s="62" t="s">
        <v>153</v>
      </c>
      <c r="H2176" s="50" t="s">
        <v>2289</v>
      </c>
      <c r="I2176" s="64">
        <f>C205</f>
        <v>100</v>
      </c>
      <c r="J2176" s="50" t="s">
        <v>153</v>
      </c>
      <c r="K2176" s="64">
        <f>(F2176*I2176)</f>
        <v>5000</v>
      </c>
    </row>
    <row r="2177" spans="6:11" ht="15.75">
      <c r="F2177" s="64">
        <v>2</v>
      </c>
      <c r="G2177" s="62" t="s">
        <v>153</v>
      </c>
      <c r="H2177" s="50" t="s">
        <v>2277</v>
      </c>
      <c r="I2177" s="64">
        <f>AG37</f>
        <v>905.8</v>
      </c>
      <c r="J2177" s="50" t="s">
        <v>153</v>
      </c>
      <c r="K2177" s="64">
        <f>(F2177*I2177)</f>
        <v>1811.6</v>
      </c>
    </row>
    <row r="2178" spans="6:11" ht="15.75">
      <c r="F2178" s="64">
        <v>6</v>
      </c>
      <c r="G2178" s="62" t="s">
        <v>153</v>
      </c>
      <c r="H2178" s="50" t="s">
        <v>235</v>
      </c>
      <c r="I2178" s="64">
        <f>C12</f>
        <v>702.8</v>
      </c>
      <c r="J2178" s="50" t="s">
        <v>153</v>
      </c>
      <c r="K2178" s="64">
        <f>(F2178*I2178)</f>
        <v>4216.7999999999993</v>
      </c>
    </row>
    <row r="2179" spans="6:11" ht="15.75">
      <c r="H2179" s="50" t="s">
        <v>337</v>
      </c>
      <c r="K2179" s="162">
        <v>0.6</v>
      </c>
    </row>
    <row r="2180" spans="6:11" ht="15.75">
      <c r="H2180" s="50" t="s">
        <v>2279</v>
      </c>
      <c r="K2180" s="64">
        <f>SUM(K2176:K2179)</f>
        <v>11029</v>
      </c>
    </row>
    <row r="2181" spans="6:11" ht="15.75">
      <c r="K2181" s="59" t="s">
        <v>21</v>
      </c>
    </row>
    <row r="2182" spans="6:11" ht="15.75">
      <c r="H2182" s="50" t="s">
        <v>2280</v>
      </c>
      <c r="K2182" s="64">
        <f>(K2180/30)</f>
        <v>367.63333333333333</v>
      </c>
    </row>
    <row r="2183" spans="6:11" ht="15.75">
      <c r="K2183" s="59" t="s">
        <v>156</v>
      </c>
    </row>
    <row r="2184" spans="6:11" ht="15.75">
      <c r="H2184" s="51" t="s">
        <v>2290</v>
      </c>
      <c r="K2184" s="64">
        <f>SUM(K2181:K2182)</f>
        <v>367.63333333333333</v>
      </c>
    </row>
    <row r="2185" spans="6:11" ht="15.75">
      <c r="K2185" s="59" t="s">
        <v>156</v>
      </c>
    </row>
    <row r="2186" spans="6:11" ht="15.75">
      <c r="F2186" s="51" t="s">
        <v>2291</v>
      </c>
      <c r="G2186" s="62" t="s">
        <v>249</v>
      </c>
      <c r="H2186" s="50" t="s">
        <v>2272</v>
      </c>
    </row>
    <row r="2187" spans="6:11" ht="15.75">
      <c r="H2187" s="50" t="s">
        <v>2292</v>
      </c>
    </row>
    <row r="2188" spans="6:11" ht="15.75">
      <c r="H2188" s="59" t="s">
        <v>21</v>
      </c>
    </row>
    <row r="2189" spans="6:11" ht="15.75">
      <c r="F2189" s="64">
        <v>1</v>
      </c>
      <c r="G2189" s="62" t="s">
        <v>153</v>
      </c>
      <c r="H2189" s="50" t="s">
        <v>2293</v>
      </c>
      <c r="I2189" s="64">
        <f>C206</f>
        <v>99.6</v>
      </c>
      <c r="J2189" s="50" t="s">
        <v>153</v>
      </c>
      <c r="K2189" s="64">
        <f>(F2189*I2189)</f>
        <v>99.6</v>
      </c>
    </row>
    <row r="2190" spans="6:11" ht="15.75">
      <c r="F2190" s="50" t="s">
        <v>150</v>
      </c>
      <c r="H2190" s="50" t="s">
        <v>2294</v>
      </c>
    </row>
    <row r="2191" spans="6:11" ht="15.75">
      <c r="F2191" s="50" t="s">
        <v>150</v>
      </c>
      <c r="H2191" s="50" t="s">
        <v>2295</v>
      </c>
      <c r="I2191" s="51" t="s">
        <v>226</v>
      </c>
      <c r="K2191" s="64">
        <v>2.5</v>
      </c>
    </row>
    <row r="2192" spans="6:11" ht="15.75">
      <c r="K2192" s="59" t="s">
        <v>21</v>
      </c>
    </row>
    <row r="2193" spans="6:11" ht="15.75">
      <c r="H2193" s="50" t="s">
        <v>2279</v>
      </c>
      <c r="K2193" s="64">
        <f>SUM(K2189:K2191)</f>
        <v>102.1</v>
      </c>
    </row>
    <row r="2194" spans="6:11" ht="15.75">
      <c r="F2194" s="51" t="s">
        <v>2291</v>
      </c>
      <c r="G2194" s="62" t="s">
        <v>249</v>
      </c>
      <c r="H2194" s="50" t="s">
        <v>2282</v>
      </c>
      <c r="K2194" s="59" t="s">
        <v>21</v>
      </c>
    </row>
    <row r="2195" spans="6:11" ht="15.75">
      <c r="H2195" s="50" t="s">
        <v>2292</v>
      </c>
      <c r="K2195" s="64"/>
    </row>
    <row r="2196" spans="6:11" ht="15.75">
      <c r="H2196" s="59" t="s">
        <v>21</v>
      </c>
      <c r="K2196" s="59" t="s">
        <v>21</v>
      </c>
    </row>
    <row r="2197" spans="6:11" ht="15.75">
      <c r="F2197" s="52">
        <v>1</v>
      </c>
      <c r="G2197" s="53" t="s">
        <v>4</v>
      </c>
      <c r="H2197" s="50" t="s">
        <v>2296</v>
      </c>
      <c r="J2197" s="55">
        <f>E206</f>
        <v>138</v>
      </c>
      <c r="K2197" s="64">
        <f>J2197</f>
        <v>138</v>
      </c>
    </row>
    <row r="2198" spans="6:11" ht="15.75">
      <c r="H2198" s="50" t="s">
        <v>2295</v>
      </c>
      <c r="I2198" s="51" t="s">
        <v>226</v>
      </c>
      <c r="K2198" s="64">
        <v>2.5</v>
      </c>
    </row>
    <row r="2199" spans="6:11" ht="15.75">
      <c r="F2199" s="51" t="s">
        <v>2297</v>
      </c>
      <c r="G2199" s="62" t="s">
        <v>249</v>
      </c>
      <c r="H2199" s="54" t="s">
        <v>2272</v>
      </c>
      <c r="K2199" s="59" t="s">
        <v>21</v>
      </c>
    </row>
    <row r="2200" spans="6:11" ht="15.75">
      <c r="H2200" s="54" t="s">
        <v>2298</v>
      </c>
      <c r="K2200" s="64">
        <f>SUM(K2196:K2198)</f>
        <v>140.5</v>
      </c>
    </row>
    <row r="2201" spans="6:11" ht="15.75">
      <c r="H2201" s="59" t="s">
        <v>21</v>
      </c>
      <c r="K2201" s="59" t="s">
        <v>21</v>
      </c>
    </row>
    <row r="2202" spans="6:11" ht="15.75">
      <c r="F2202" s="64">
        <v>1</v>
      </c>
      <c r="G2202" s="62" t="s">
        <v>153</v>
      </c>
      <c r="H2202" s="50" t="s">
        <v>2299</v>
      </c>
      <c r="I2202" s="64">
        <f>C203</f>
        <v>125.6</v>
      </c>
      <c r="J2202" s="50" t="s">
        <v>153</v>
      </c>
      <c r="K2202" s="64">
        <f>(F2202*I2202)</f>
        <v>125.6</v>
      </c>
    </row>
    <row r="2203" spans="6:11" ht="15.75">
      <c r="F2203" s="50" t="s">
        <v>150</v>
      </c>
      <c r="H2203" s="50" t="s">
        <v>2294</v>
      </c>
    </row>
    <row r="2204" spans="6:11" ht="15.75">
      <c r="F2204" s="50" t="s">
        <v>150</v>
      </c>
      <c r="H2204" s="50" t="s">
        <v>2295</v>
      </c>
      <c r="I2204" s="51" t="s">
        <v>226</v>
      </c>
      <c r="K2204" s="64">
        <v>3</v>
      </c>
    </row>
    <row r="2205" spans="6:11" ht="15.75">
      <c r="K2205" s="59" t="s">
        <v>21</v>
      </c>
    </row>
    <row r="2206" spans="6:11" ht="15.75">
      <c r="H2206" s="50" t="s">
        <v>2279</v>
      </c>
      <c r="K2206" s="64">
        <f>SUM(K2202:K2204)</f>
        <v>128.6</v>
      </c>
    </row>
    <row r="2207" spans="6:11" ht="15.75">
      <c r="K2207" s="59" t="s">
        <v>21</v>
      </c>
    </row>
    <row r="2209" spans="6:12" ht="15.75">
      <c r="F2209" s="51" t="s">
        <v>2300</v>
      </c>
      <c r="G2209" s="62" t="s">
        <v>249</v>
      </c>
      <c r="H2209" s="54" t="s">
        <v>2282</v>
      </c>
    </row>
    <row r="2210" spans="6:12" ht="15.75">
      <c r="H2210" s="54" t="s">
        <v>2298</v>
      </c>
    </row>
    <row r="2211" spans="6:12" ht="15.75">
      <c r="H2211" s="59" t="s">
        <v>21</v>
      </c>
    </row>
    <row r="2212" spans="6:12" ht="15.75">
      <c r="F2212" s="64">
        <v>1</v>
      </c>
      <c r="G2212" s="62" t="s">
        <v>153</v>
      </c>
      <c r="H2212" s="50" t="s">
        <v>2301</v>
      </c>
      <c r="I2212" s="64">
        <f>C208</f>
        <v>162.9</v>
      </c>
      <c r="J2212" s="50" t="s">
        <v>153</v>
      </c>
      <c r="K2212" s="64">
        <f>(F2212*I2212)</f>
        <v>162.9</v>
      </c>
    </row>
    <row r="2213" spans="6:12" ht="15.75">
      <c r="F2213" s="50" t="s">
        <v>150</v>
      </c>
      <c r="H2213" s="50" t="s">
        <v>2294</v>
      </c>
    </row>
    <row r="2214" spans="6:12" ht="15.75">
      <c r="F2214" s="50" t="s">
        <v>150</v>
      </c>
      <c r="H2214" s="50" t="s">
        <v>2295</v>
      </c>
      <c r="I2214" s="51" t="s">
        <v>226</v>
      </c>
      <c r="K2214" s="64">
        <v>3</v>
      </c>
    </row>
    <row r="2215" spans="6:12" ht="15.75">
      <c r="K2215" s="59" t="s">
        <v>21</v>
      </c>
    </row>
    <row r="2216" spans="6:12" ht="15.75">
      <c r="H2216" s="54" t="s">
        <v>2279</v>
      </c>
      <c r="K2216" s="64">
        <f>SUM(K2212:K2214)</f>
        <v>165.9</v>
      </c>
    </row>
    <row r="2217" spans="6:12" ht="15.75">
      <c r="K2217" s="59" t="s">
        <v>21</v>
      </c>
    </row>
    <row r="2218" spans="6:12" ht="15.75">
      <c r="F2218" s="51" t="s">
        <v>2302</v>
      </c>
      <c r="H2218" s="54" t="s">
        <v>2303</v>
      </c>
    </row>
    <row r="2219" spans="6:12" ht="15.75">
      <c r="H2219" s="54" t="s">
        <v>2304</v>
      </c>
    </row>
    <row r="2220" spans="6:12" ht="15.75">
      <c r="H2220" s="59" t="s">
        <v>21</v>
      </c>
    </row>
    <row r="2221" spans="6:12" ht="15.75">
      <c r="F2221" s="64">
        <v>2.5</v>
      </c>
      <c r="G2221" s="62" t="s">
        <v>2305</v>
      </c>
      <c r="H2221" s="50" t="s">
        <v>2303</v>
      </c>
      <c r="I2221" s="64">
        <f>C588</f>
        <v>30</v>
      </c>
      <c r="J2221" s="50">
        <v>2.5</v>
      </c>
      <c r="K2221" s="315">
        <f>(F2221*I2221)/F2221</f>
        <v>30</v>
      </c>
      <c r="L2221" s="52">
        <f>1394*1.62-K2252</f>
        <v>-1846.105</v>
      </c>
    </row>
    <row r="2222" spans="6:12" ht="15.75">
      <c r="H2222" s="50" t="s">
        <v>2306</v>
      </c>
      <c r="J2222" s="50" t="s">
        <v>2305</v>
      </c>
      <c r="K2222" s="316"/>
    </row>
    <row r="2223" spans="6:12" ht="15.75">
      <c r="G2223" s="62" t="s">
        <v>226</v>
      </c>
      <c r="H2223" s="50" t="s">
        <v>2307</v>
      </c>
      <c r="J2223" s="50" t="s">
        <v>226</v>
      </c>
      <c r="K2223" s="174">
        <v>1.87</v>
      </c>
    </row>
    <row r="2224" spans="6:12" ht="15.75">
      <c r="K2224" s="59" t="s">
        <v>21</v>
      </c>
    </row>
    <row r="2225" spans="6:11" ht="15.75">
      <c r="H2225" s="66" t="s">
        <v>2290</v>
      </c>
      <c r="K2225" s="63">
        <f>SUM(K2221:K2223)</f>
        <v>31.87</v>
      </c>
    </row>
    <row r="2226" spans="6:11" ht="15.75">
      <c r="K2226" s="59" t="s">
        <v>156</v>
      </c>
    </row>
    <row r="2228" spans="6:11" ht="15.75">
      <c r="F2228" s="51" t="s">
        <v>2308</v>
      </c>
      <c r="G2228" s="62" t="s">
        <v>249</v>
      </c>
      <c r="H2228" s="50" t="s">
        <v>2309</v>
      </c>
    </row>
    <row r="2229" spans="6:11" ht="15.75">
      <c r="H2229" s="50" t="s">
        <v>2310</v>
      </c>
    </row>
    <row r="2230" spans="6:11" ht="15.75">
      <c r="H2230" s="50" t="s">
        <v>2311</v>
      </c>
    </row>
    <row r="2231" spans="6:11" ht="15.75">
      <c r="H2231" s="50" t="s">
        <v>2312</v>
      </c>
    </row>
    <row r="2232" spans="6:11" ht="15.75">
      <c r="H2232" s="50" t="s">
        <v>2313</v>
      </c>
    </row>
    <row r="2233" spans="6:11" ht="15.75">
      <c r="H2233" s="50" t="s">
        <v>2314</v>
      </c>
    </row>
    <row r="2234" spans="6:11" ht="15.75">
      <c r="H2234" s="50" t="s">
        <v>2315</v>
      </c>
    </row>
    <row r="2235" spans="6:11" ht="15.75">
      <c r="H2235" s="50" t="s">
        <v>2316</v>
      </c>
    </row>
    <row r="2236" spans="6:11" ht="15.75">
      <c r="H2236" s="50" t="s">
        <v>2317</v>
      </c>
    </row>
    <row r="2237" spans="6:11" ht="15.75">
      <c r="H2237" s="50" t="s">
        <v>2318</v>
      </c>
    </row>
    <row r="2238" spans="6:11" ht="15.75">
      <c r="H2238" s="50" t="s">
        <v>2319</v>
      </c>
    </row>
    <row r="2239" spans="6:11" ht="15.75">
      <c r="H2239" s="50" t="s">
        <v>2320</v>
      </c>
    </row>
    <row r="2240" spans="6:11" ht="15.75">
      <c r="H2240" s="59" t="s">
        <v>21</v>
      </c>
      <c r="I2240" s="59" t="s">
        <v>21</v>
      </c>
    </row>
    <row r="2241" spans="6:13" ht="15.75">
      <c r="F2241" s="50" t="s">
        <v>150</v>
      </c>
    </row>
    <row r="2242" spans="6:13" ht="15.75">
      <c r="F2242" s="131">
        <v>1.7399999999999999E-2</v>
      </c>
      <c r="G2242" s="62" t="s">
        <v>313</v>
      </c>
      <c r="H2242" s="50" t="s">
        <v>2321</v>
      </c>
      <c r="I2242" s="64">
        <f>C86</f>
        <v>34300</v>
      </c>
      <c r="J2242" s="50" t="s">
        <v>313</v>
      </c>
      <c r="K2242" s="64">
        <f t="shared" ref="K2242:K2249" si="230">F2242*I2242</f>
        <v>596.81999999999994</v>
      </c>
    </row>
    <row r="2243" spans="6:13" ht="15.75">
      <c r="F2243" s="131">
        <v>2.93E-2</v>
      </c>
      <c r="G2243" s="62" t="s">
        <v>313</v>
      </c>
      <c r="H2243" s="50" t="s">
        <v>2322</v>
      </c>
      <c r="I2243" s="64">
        <f>C87</f>
        <v>39400</v>
      </c>
      <c r="J2243" s="50" t="s">
        <v>313</v>
      </c>
      <c r="K2243" s="64">
        <f t="shared" si="230"/>
        <v>1154.42</v>
      </c>
    </row>
    <row r="2244" spans="6:13" ht="15.75">
      <c r="F2244" s="131">
        <v>1.093</v>
      </c>
      <c r="G2244" s="62" t="s">
        <v>306</v>
      </c>
      <c r="H2244" s="50" t="s">
        <v>2323</v>
      </c>
      <c r="I2244" s="64">
        <f>C199</f>
        <v>295</v>
      </c>
      <c r="J2244" s="50" t="s">
        <v>306</v>
      </c>
      <c r="K2244" s="64">
        <f t="shared" si="230"/>
        <v>322.435</v>
      </c>
    </row>
    <row r="2245" spans="6:13" ht="15.75">
      <c r="F2245" s="64">
        <v>6</v>
      </c>
      <c r="G2245" s="62" t="s">
        <v>345</v>
      </c>
      <c r="H2245" s="50" t="s">
        <v>2324</v>
      </c>
      <c r="I2245" s="64">
        <f>C297</f>
        <v>7</v>
      </c>
      <c r="J2245" s="50" t="s">
        <v>340</v>
      </c>
      <c r="K2245" s="64">
        <f t="shared" si="230"/>
        <v>42</v>
      </c>
    </row>
    <row r="2246" spans="6:13" ht="15.75">
      <c r="F2246" s="64">
        <v>1</v>
      </c>
      <c r="G2246" s="62" t="s">
        <v>345</v>
      </c>
      <c r="H2246" s="50" t="s">
        <v>2325</v>
      </c>
      <c r="I2246" s="64">
        <f>C287</f>
        <v>89.7</v>
      </c>
      <c r="J2246" s="50" t="s">
        <v>340</v>
      </c>
      <c r="K2246" s="64">
        <f t="shared" si="230"/>
        <v>89.7</v>
      </c>
    </row>
    <row r="2247" spans="6:13" ht="15.75">
      <c r="F2247" s="64">
        <v>2</v>
      </c>
      <c r="G2247" s="62" t="s">
        <v>345</v>
      </c>
      <c r="H2247" s="50" t="s">
        <v>2326</v>
      </c>
      <c r="I2247" s="64">
        <f>C308</f>
        <v>3</v>
      </c>
      <c r="J2247" s="50" t="s">
        <v>340</v>
      </c>
      <c r="K2247" s="64">
        <f t="shared" si="230"/>
        <v>6</v>
      </c>
    </row>
    <row r="2248" spans="6:13" ht="15.75">
      <c r="F2248" s="64">
        <v>6</v>
      </c>
      <c r="G2248" s="62" t="s">
        <v>345</v>
      </c>
      <c r="H2248" s="50" t="s">
        <v>2327</v>
      </c>
      <c r="I2248" s="317">
        <v>10.5</v>
      </c>
      <c r="J2248" s="50" t="s">
        <v>340</v>
      </c>
      <c r="K2248" s="64">
        <f t="shared" si="230"/>
        <v>63</v>
      </c>
    </row>
    <row r="2249" spans="6:13" ht="15.75">
      <c r="F2249" s="100">
        <v>1.62</v>
      </c>
      <c r="G2249" s="62" t="s">
        <v>306</v>
      </c>
      <c r="H2249" s="50" t="s">
        <v>2328</v>
      </c>
      <c r="I2249" s="64">
        <f>D33</f>
        <v>1127</v>
      </c>
      <c r="J2249" s="50" t="s">
        <v>306</v>
      </c>
      <c r="K2249" s="64">
        <f t="shared" si="230"/>
        <v>1825.74</v>
      </c>
    </row>
    <row r="2250" spans="6:13" ht="15.75">
      <c r="G2250" s="62" t="s">
        <v>226</v>
      </c>
      <c r="H2250" s="50" t="s">
        <v>2329</v>
      </c>
      <c r="J2250" s="50" t="s">
        <v>226</v>
      </c>
      <c r="K2250" s="64">
        <v>4.2699999999999996</v>
      </c>
    </row>
    <row r="2251" spans="6:13" ht="15.75">
      <c r="K2251" s="59" t="s">
        <v>21</v>
      </c>
    </row>
    <row r="2252" spans="6:13" ht="15.75">
      <c r="H2252" s="66" t="s">
        <v>2330</v>
      </c>
      <c r="K2252" s="63">
        <f>SUM(K2242:K2250)</f>
        <v>4104.3850000000002</v>
      </c>
    </row>
    <row r="2253" spans="6:13" ht="15.75">
      <c r="K2253" s="67" t="s">
        <v>21</v>
      </c>
    </row>
    <row r="2254" spans="6:13" ht="15.75">
      <c r="K2254" s="65"/>
    </row>
    <row r="2255" spans="6:13" ht="15.75">
      <c r="H2255" s="66" t="s">
        <v>2331</v>
      </c>
      <c r="I2255" s="50" t="s">
        <v>150</v>
      </c>
      <c r="K2255" s="63">
        <f>K2252/1.62</f>
        <v>2533.570987654321</v>
      </c>
      <c r="M2255" s="52">
        <f>1921*1.62</f>
        <v>3112.02</v>
      </c>
    </row>
    <row r="2256" spans="6:13" ht="15.75">
      <c r="F2256" s="50" t="s">
        <v>150</v>
      </c>
      <c r="G2256" s="62" t="s">
        <v>150</v>
      </c>
      <c r="H2256" s="50" t="s">
        <v>150</v>
      </c>
      <c r="I2256" s="50" t="s">
        <v>150</v>
      </c>
      <c r="J2256" s="50" t="s">
        <v>150</v>
      </c>
      <c r="M2256" s="52">
        <f>M2255-K2252</f>
        <v>-992.36500000000024</v>
      </c>
    </row>
    <row r="2257" spans="6:12" ht="15.75"/>
    <row r="2258" spans="6:12" ht="15.75">
      <c r="G2258" s="62" t="s">
        <v>848</v>
      </c>
      <c r="H2258" s="54" t="s">
        <v>1497</v>
      </c>
    </row>
    <row r="2259" spans="6:12" ht="15.75">
      <c r="H2259" s="50" t="s">
        <v>2332</v>
      </c>
      <c r="L2259" s="52">
        <f>3.6*1.1</f>
        <v>3.9600000000000004</v>
      </c>
    </row>
    <row r="2260" spans="6:12" ht="15.75">
      <c r="F2260" s="50" t="s">
        <v>150</v>
      </c>
      <c r="H2260" s="50" t="s">
        <v>2333</v>
      </c>
      <c r="L2260" s="52">
        <f>3.6*1.6</f>
        <v>5.7600000000000007</v>
      </c>
    </row>
    <row r="2261" spans="6:12" ht="15.75">
      <c r="F2261" s="51" t="s">
        <v>2334</v>
      </c>
      <c r="H2261" s="50" t="s">
        <v>1501</v>
      </c>
      <c r="K2261" s="87">
        <f>[13]Elec.Data!K2860</f>
        <v>1340</v>
      </c>
    </row>
    <row r="2262" spans="6:12" ht="15.75">
      <c r="F2262" s="51" t="s">
        <v>2335</v>
      </c>
      <c r="H2262" s="51" t="s">
        <v>1505</v>
      </c>
      <c r="K2262" s="87">
        <f>[13]Elec.Data!K2884</f>
        <v>1344</v>
      </c>
    </row>
    <row r="2263" spans="6:12" ht="15.75">
      <c r="F2263" s="51" t="s">
        <v>2336</v>
      </c>
      <c r="H2263" s="50" t="s">
        <v>1568</v>
      </c>
      <c r="K2263" s="87">
        <f>[13]Elec.Data!K2899</f>
        <v>1372</v>
      </c>
    </row>
    <row r="2264" spans="6:12" ht="15.75">
      <c r="F2264" s="88">
        <v>65</v>
      </c>
      <c r="H2264" s="50" t="s">
        <v>1507</v>
      </c>
      <c r="K2264" s="87">
        <f>[13]Elec.Data!K2921</f>
        <v>1399</v>
      </c>
    </row>
    <row r="2265" spans="6:12" ht="15.75">
      <c r="F2265" s="88">
        <v>66</v>
      </c>
      <c r="H2265" s="50" t="s">
        <v>1514</v>
      </c>
      <c r="K2265" s="87">
        <f>[13]Elec.Data!K2945</f>
        <v>2507</v>
      </c>
    </row>
    <row r="2266" spans="6:12" ht="15.75">
      <c r="F2266" s="88">
        <v>67</v>
      </c>
      <c r="H2266" s="50" t="s">
        <v>1510</v>
      </c>
      <c r="K2266" s="87">
        <f>[13]Elec.Data!K2977</f>
        <v>688</v>
      </c>
    </row>
    <row r="2267" spans="6:12" ht="15.75">
      <c r="F2267" s="88">
        <v>68</v>
      </c>
      <c r="H2267" s="50" t="s">
        <v>1512</v>
      </c>
      <c r="K2267" s="87">
        <f>[13]Elec.Data!K2965</f>
        <v>934</v>
      </c>
    </row>
    <row r="2268" spans="6:12" ht="15.75">
      <c r="F2268" s="88">
        <v>69</v>
      </c>
      <c r="H2268" s="50" t="s">
        <v>2337</v>
      </c>
      <c r="K2268" s="87">
        <f>[13]Elec.Data!K2988</f>
        <v>129</v>
      </c>
    </row>
    <row r="2269" spans="6:12" ht="15.75">
      <c r="F2269" s="88" t="s">
        <v>2338</v>
      </c>
      <c r="H2269" s="50" t="s">
        <v>1577</v>
      </c>
      <c r="K2269" s="87">
        <f>[13]Elec.Data!K3135</f>
        <v>462</v>
      </c>
    </row>
    <row r="2270" spans="6:12" ht="15.75">
      <c r="F2270" s="88" t="s">
        <v>2339</v>
      </c>
      <c r="H2270" s="50" t="s">
        <v>2340</v>
      </c>
      <c r="J2270" s="57"/>
      <c r="K2270" s="87"/>
      <c r="L2270" s="52">
        <f>37.7*90</f>
        <v>3393.0000000000005</v>
      </c>
    </row>
    <row r="2271" spans="6:12" ht="15.75">
      <c r="F2271" s="88" t="s">
        <v>2341</v>
      </c>
      <c r="H2271" s="50" t="s">
        <v>2342</v>
      </c>
      <c r="K2271" s="72">
        <v>12</v>
      </c>
    </row>
    <row r="2272" spans="6:12" ht="15.75">
      <c r="F2272" s="88" t="s">
        <v>2343</v>
      </c>
      <c r="H2272" s="50" t="s">
        <v>2344</v>
      </c>
      <c r="K2272" s="157">
        <v>10</v>
      </c>
    </row>
    <row r="2273" spans="6:11" ht="15.75">
      <c r="F2273" s="88">
        <v>71</v>
      </c>
      <c r="H2273" s="50" t="s">
        <v>1578</v>
      </c>
      <c r="K2273" s="87">
        <f>[14]Elec.Data!K3154</f>
        <v>562</v>
      </c>
    </row>
    <row r="2274" spans="6:11" ht="15.75">
      <c r="F2274" s="88">
        <v>72</v>
      </c>
      <c r="H2274" s="50" t="s">
        <v>2345</v>
      </c>
      <c r="K2274" s="157">
        <v>33.9</v>
      </c>
    </row>
    <row r="2275" spans="6:11" ht="15.75">
      <c r="F2275" s="88" t="s">
        <v>2346</v>
      </c>
      <c r="H2275" s="50" t="s">
        <v>1581</v>
      </c>
      <c r="K2275" s="87">
        <f>[13]Elec.Data!K3233</f>
        <v>4020</v>
      </c>
    </row>
    <row r="2276" spans="6:11" ht="15.75">
      <c r="F2276" s="88" t="s">
        <v>2347</v>
      </c>
      <c r="H2276" s="50" t="s">
        <v>2348</v>
      </c>
      <c r="K2276" s="87">
        <f>[13]Elec.Data!K3221</f>
        <v>3250</v>
      </c>
    </row>
    <row r="2277" spans="6:11" ht="15.75">
      <c r="F2277" s="88">
        <v>74</v>
      </c>
      <c r="H2277" s="50" t="s">
        <v>1583</v>
      </c>
      <c r="K2277" s="87">
        <f>[13]Elec.Data!K3277</f>
        <v>467</v>
      </c>
    </row>
    <row r="2278" spans="6:11" ht="15.75">
      <c r="F2278" s="88" t="s">
        <v>2349</v>
      </c>
      <c r="H2278" s="50" t="s">
        <v>2350</v>
      </c>
      <c r="K2278" s="87">
        <v>1185</v>
      </c>
    </row>
    <row r="2279" spans="6:11" ht="15.75">
      <c r="F2279" s="88" t="s">
        <v>2351</v>
      </c>
      <c r="H2279" s="50" t="s">
        <v>1586</v>
      </c>
    </row>
    <row r="2280" spans="6:11" ht="15.75">
      <c r="F2280" s="88">
        <v>112</v>
      </c>
      <c r="H2280" s="50" t="s">
        <v>2352</v>
      </c>
      <c r="K2280" s="87">
        <f>[13]Elec.Data!K3744</f>
        <v>1920</v>
      </c>
    </row>
    <row r="2281" spans="6:11" ht="15.75">
      <c r="F2281" s="88">
        <v>76</v>
      </c>
      <c r="H2281" s="50" t="s">
        <v>1588</v>
      </c>
      <c r="K2281" s="87" t="e">
        <f>[13]Elec.Data!K3295</f>
        <v>#REF!</v>
      </c>
    </row>
    <row r="2282" spans="6:11" ht="15.75">
      <c r="F2282" s="88">
        <v>77</v>
      </c>
      <c r="H2282" s="50" t="s">
        <v>2353</v>
      </c>
      <c r="K2282" s="87">
        <f>[13]Elec.Data!K3080</f>
        <v>172</v>
      </c>
    </row>
    <row r="2283" spans="6:11" ht="31.5">
      <c r="F2283" s="318">
        <v>77.099999999999994</v>
      </c>
      <c r="H2283" s="112" t="s">
        <v>2354</v>
      </c>
      <c r="K2283" s="319">
        <f>[13]Elec.Data!K3105</f>
        <v>219</v>
      </c>
    </row>
    <row r="2284" spans="6:11" ht="15.75">
      <c r="F2284" s="101">
        <v>77.2</v>
      </c>
      <c r="H2284" s="50" t="s">
        <v>2355</v>
      </c>
      <c r="K2284" s="87">
        <v>500</v>
      </c>
    </row>
    <row r="2285" spans="6:11" ht="15.75">
      <c r="F2285" s="101">
        <v>77.3</v>
      </c>
      <c r="H2285" s="50" t="s">
        <v>2356</v>
      </c>
      <c r="K2285" s="97">
        <f>[13]Elec.Data!K3712</f>
        <v>80</v>
      </c>
    </row>
    <row r="2286" spans="6:11" ht="15.75">
      <c r="F2286" s="88">
        <v>78</v>
      </c>
      <c r="H2286" s="50" t="s">
        <v>1594</v>
      </c>
      <c r="K2286" s="87">
        <f>[13]Elec.Data!K3319</f>
        <v>2355</v>
      </c>
    </row>
    <row r="2287" spans="6:11" ht="15.75">
      <c r="F2287" s="88">
        <v>80</v>
      </c>
      <c r="H2287" s="50" t="s">
        <v>1601</v>
      </c>
      <c r="K2287" s="87">
        <f>[13]Elec.Data!K3441</f>
        <v>718</v>
      </c>
    </row>
    <row r="2288" spans="6:11" ht="15.75">
      <c r="F2288" s="88">
        <v>81</v>
      </c>
      <c r="H2288" s="50" t="s">
        <v>1604</v>
      </c>
      <c r="K2288" s="64">
        <f>K2255</f>
        <v>2533.570987654321</v>
      </c>
    </row>
    <row r="2289" spans="6:35" ht="15.75">
      <c r="F2289" s="88">
        <v>82</v>
      </c>
      <c r="H2289" s="50" t="s">
        <v>1606</v>
      </c>
      <c r="K2289" s="87">
        <f>[13]Elec.Data!K3638</f>
        <v>2579</v>
      </c>
    </row>
    <row r="2290" spans="6:35" ht="15.75">
      <c r="F2290" s="88">
        <v>87</v>
      </c>
      <c r="H2290" s="50" t="s">
        <v>1609</v>
      </c>
      <c r="K2290" s="87">
        <f>[13]Elec.Data!K3458</f>
        <v>2505</v>
      </c>
    </row>
    <row r="2291" spans="6:35" ht="16.5">
      <c r="H2291" s="320" t="s">
        <v>2357</v>
      </c>
      <c r="K2291" s="87">
        <f>[13]Elec.Data!K3762</f>
        <v>1770</v>
      </c>
    </row>
    <row r="2292" spans="6:35" ht="15.75">
      <c r="H2292" s="321" t="s">
        <v>2358</v>
      </c>
      <c r="K2292" s="87">
        <v>137</v>
      </c>
    </row>
    <row r="2293" spans="6:35" ht="31.5">
      <c r="F2293" s="322">
        <v>77.400000000000006</v>
      </c>
      <c r="H2293" s="323" t="s">
        <v>2359</v>
      </c>
    </row>
    <row r="2294" spans="6:35" ht="15.75">
      <c r="H2294" s="50" t="s">
        <v>2332</v>
      </c>
    </row>
    <row r="2295" spans="6:35" ht="31.5">
      <c r="F2295" s="52">
        <v>90</v>
      </c>
      <c r="G2295" s="53" t="s">
        <v>2360</v>
      </c>
      <c r="H2295" s="300" t="s">
        <v>2361</v>
      </c>
      <c r="I2295" s="324">
        <v>17.100000000000001</v>
      </c>
      <c r="J2295" s="55" t="s">
        <v>2360</v>
      </c>
      <c r="K2295" s="52">
        <f>I2295*F2295</f>
        <v>1539.0000000000002</v>
      </c>
    </row>
    <row r="2296" spans="6:35" ht="15.75">
      <c r="F2296" s="52">
        <v>0.15</v>
      </c>
      <c r="G2296" s="53" t="s">
        <v>277</v>
      </c>
      <c r="H2296" s="52" t="s">
        <v>252</v>
      </c>
      <c r="I2296" s="52">
        <f>AE31</f>
        <v>5800</v>
      </c>
      <c r="J2296" s="55" t="s">
        <v>277</v>
      </c>
      <c r="K2296" s="52">
        <f>I2296*F2296</f>
        <v>870</v>
      </c>
    </row>
    <row r="2297" spans="6:35" ht="15.75">
      <c r="F2297" s="52">
        <v>1</v>
      </c>
      <c r="G2297" s="53" t="s">
        <v>4</v>
      </c>
      <c r="H2297" s="52" t="s">
        <v>2362</v>
      </c>
      <c r="I2297" s="325">
        <f>C809</f>
        <v>636</v>
      </c>
      <c r="J2297" s="55" t="s">
        <v>4</v>
      </c>
      <c r="K2297" s="52">
        <f>I2297*F2297</f>
        <v>636</v>
      </c>
    </row>
    <row r="2298" spans="6:35" ht="15.75">
      <c r="F2298" s="52">
        <v>2</v>
      </c>
      <c r="G2298" s="53" t="s">
        <v>4</v>
      </c>
      <c r="H2298" s="52" t="s">
        <v>234</v>
      </c>
      <c r="I2298" s="52">
        <f>AG10</f>
        <v>1005.1999999999999</v>
      </c>
      <c r="J2298" s="55" t="s">
        <v>4</v>
      </c>
      <c r="K2298" s="52">
        <f>I2298*F2298</f>
        <v>2010.3999999999999</v>
      </c>
    </row>
    <row r="2299" spans="6:35" ht="15.75">
      <c r="F2299" s="52">
        <v>4</v>
      </c>
      <c r="G2299" s="53" t="s">
        <v>4</v>
      </c>
      <c r="H2299" s="52" t="str">
        <f>B810</f>
        <v>Electrical HELPERp-15 it-100</v>
      </c>
      <c r="I2299" s="325">
        <f>C810</f>
        <v>497</v>
      </c>
      <c r="J2299" s="55" t="s">
        <v>4</v>
      </c>
      <c r="K2299" s="52">
        <f>I2299*F2299</f>
        <v>1988</v>
      </c>
    </row>
    <row r="2300" spans="6:35" ht="15.75">
      <c r="H2300" s="52" t="s">
        <v>2363</v>
      </c>
      <c r="K2300" s="52">
        <v>11.5</v>
      </c>
    </row>
    <row r="2301" spans="6:35" ht="15.75">
      <c r="K2301" s="59" t="s">
        <v>21</v>
      </c>
    </row>
    <row r="2302" spans="6:35" ht="15.75">
      <c r="H2302" s="50" t="s">
        <v>2364</v>
      </c>
      <c r="K2302" s="64">
        <f>SUM(K2295:K2300)</f>
        <v>7054.9</v>
      </c>
    </row>
    <row r="2303" spans="6:35" ht="15.75">
      <c r="K2303" s="59" t="s">
        <v>21</v>
      </c>
    </row>
    <row r="2304" spans="6:35" ht="15.75">
      <c r="H2304" s="50" t="s">
        <v>2280</v>
      </c>
      <c r="K2304" s="64">
        <f>(K2302/90)</f>
        <v>78.387777777777771</v>
      </c>
      <c r="AI2304" s="52">
        <v>0</v>
      </c>
    </row>
    <row r="2305" spans="5:255" ht="15.75">
      <c r="K2305" s="59" t="s">
        <v>156</v>
      </c>
      <c r="IU2305" s="52">
        <v>0</v>
      </c>
    </row>
    <row r="2307" spans="5:255" ht="15.75">
      <c r="F2307" s="156">
        <v>78.099999999999994</v>
      </c>
      <c r="H2307" s="54" t="s">
        <v>2365</v>
      </c>
      <c r="L2307" s="52">
        <f>31.5+85</f>
        <v>116.5</v>
      </c>
    </row>
    <row r="2308" spans="5:255" ht="15.75">
      <c r="H2308" s="50" t="s">
        <v>2332</v>
      </c>
      <c r="L2308" s="52">
        <f>L2307*10%</f>
        <v>11.65</v>
      </c>
    </row>
    <row r="2309" spans="5:255" ht="15.75">
      <c r="F2309" s="52">
        <v>2.5</v>
      </c>
      <c r="G2309" s="53" t="s">
        <v>4</v>
      </c>
      <c r="H2309" s="52" t="s">
        <v>2366</v>
      </c>
      <c r="I2309" s="163">
        <f>C395</f>
        <v>163</v>
      </c>
      <c r="J2309" s="55" t="s">
        <v>4</v>
      </c>
      <c r="K2309" s="52">
        <f t="shared" ref="K2309:K2314" si="231">I2309*F2309</f>
        <v>407.5</v>
      </c>
    </row>
    <row r="2310" spans="5:255" ht="15.75">
      <c r="F2310" s="52">
        <v>20</v>
      </c>
      <c r="G2310" s="53" t="s">
        <v>2161</v>
      </c>
      <c r="H2310" s="326" t="s">
        <v>2367</v>
      </c>
      <c r="I2310" s="327">
        <f>[13]Elec.Data!I3313</f>
        <v>4.96</v>
      </c>
      <c r="J2310" s="55" t="s">
        <v>2161</v>
      </c>
      <c r="K2310" s="52">
        <f t="shared" si="231"/>
        <v>99.2</v>
      </c>
    </row>
    <row r="2311" spans="5:255" ht="15.75">
      <c r="F2311" s="52">
        <v>9</v>
      </c>
      <c r="G2311" s="53" t="s">
        <v>2161</v>
      </c>
      <c r="H2311" s="52" t="s">
        <v>2368</v>
      </c>
      <c r="I2311" s="163">
        <f>[13]Elec.Data!I3316</f>
        <v>3.7</v>
      </c>
      <c r="J2311" s="55" t="s">
        <v>2161</v>
      </c>
      <c r="K2311" s="52">
        <f t="shared" si="231"/>
        <v>33.300000000000004</v>
      </c>
    </row>
    <row r="2312" spans="5:255" ht="15.75">
      <c r="F2312" s="52">
        <v>0.5</v>
      </c>
      <c r="G2312" s="53" t="s">
        <v>2161</v>
      </c>
      <c r="H2312" s="52" t="s">
        <v>2369</v>
      </c>
      <c r="I2312" s="328">
        <f>[13]Elec.Data!I3289</f>
        <v>82.6</v>
      </c>
      <c r="J2312" s="55" t="s">
        <v>2161</v>
      </c>
      <c r="K2312" s="52">
        <f t="shared" si="231"/>
        <v>41.3</v>
      </c>
    </row>
    <row r="2313" spans="5:255" ht="15.75">
      <c r="E2313" s="56">
        <f>25.2/5</f>
        <v>5.04</v>
      </c>
      <c r="F2313" s="52">
        <v>0.5</v>
      </c>
      <c r="G2313" s="53" t="s">
        <v>4</v>
      </c>
      <c r="H2313" s="52" t="s">
        <v>2370</v>
      </c>
      <c r="I2313" s="52">
        <f>I2297</f>
        <v>636</v>
      </c>
      <c r="J2313" s="55" t="s">
        <v>4</v>
      </c>
      <c r="K2313" s="52">
        <f t="shared" si="231"/>
        <v>318</v>
      </c>
    </row>
    <row r="2314" spans="5:255" ht="15.75">
      <c r="F2314" s="52">
        <v>1</v>
      </c>
      <c r="G2314" s="53" t="s">
        <v>4</v>
      </c>
      <c r="H2314" s="52" t="s">
        <v>2371</v>
      </c>
      <c r="I2314" s="52">
        <f>I2299</f>
        <v>497</v>
      </c>
      <c r="J2314" s="55" t="s">
        <v>4</v>
      </c>
      <c r="K2314" s="52">
        <f t="shared" si="231"/>
        <v>497</v>
      </c>
    </row>
    <row r="2315" spans="5:255" ht="31.5">
      <c r="G2315" s="53" t="s">
        <v>287</v>
      </c>
      <c r="H2315" s="170" t="s">
        <v>2372</v>
      </c>
      <c r="J2315" s="55" t="s">
        <v>287</v>
      </c>
      <c r="K2315" s="52">
        <v>200</v>
      </c>
    </row>
    <row r="2316" spans="5:255" ht="15.75">
      <c r="G2316" s="53" t="s">
        <v>287</v>
      </c>
      <c r="H2316" s="52" t="s">
        <v>2373</v>
      </c>
      <c r="J2316" s="55" t="s">
        <v>287</v>
      </c>
      <c r="K2316" s="52">
        <v>8.32</v>
      </c>
    </row>
    <row r="2317" spans="5:255" ht="15.75">
      <c r="K2317" s="59" t="s">
        <v>21</v>
      </c>
    </row>
    <row r="2318" spans="5:255" ht="15.75">
      <c r="H2318" s="52" t="s">
        <v>1668</v>
      </c>
      <c r="K2318" s="64">
        <f>SUM(K2309:K2316)</f>
        <v>1604.62</v>
      </c>
      <c r="L2318" s="52">
        <f>K2352/3</f>
        <v>34.134</v>
      </c>
    </row>
    <row r="2319" spans="5:255" ht="15.75">
      <c r="K2319" s="59" t="s">
        <v>21</v>
      </c>
    </row>
    <row r="2320" spans="5:255" ht="15.75">
      <c r="H2320" s="65" t="s">
        <v>2374</v>
      </c>
    </row>
    <row r="2321" spans="6:19" ht="15.75">
      <c r="F2321" s="52">
        <v>0.7</v>
      </c>
      <c r="G2321" s="53" t="s">
        <v>4</v>
      </c>
      <c r="H2321" s="52" t="s">
        <v>536</v>
      </c>
      <c r="I2321" s="52">
        <f>C17</f>
        <v>950.59999999999991</v>
      </c>
      <c r="J2321" s="55" t="s">
        <v>340</v>
      </c>
      <c r="K2321" s="52">
        <f>I2321*F2321</f>
        <v>665.41999999999985</v>
      </c>
      <c r="S2321" s="56">
        <f>R2359+R2360</f>
        <v>954.09999999999991</v>
      </c>
    </row>
    <row r="2322" spans="6:19" ht="15.75">
      <c r="F2322" s="52">
        <v>0.5</v>
      </c>
      <c r="G2322" s="53" t="s">
        <v>4</v>
      </c>
      <c r="H2322" s="52" t="s">
        <v>537</v>
      </c>
      <c r="I2322" s="52">
        <f>C12</f>
        <v>702.8</v>
      </c>
      <c r="J2322" s="55" t="s">
        <v>340</v>
      </c>
      <c r="K2322" s="52">
        <f>I2322*F2322</f>
        <v>351.4</v>
      </c>
    </row>
    <row r="2323" spans="6:19" ht="15.75">
      <c r="H2323" s="52" t="s">
        <v>2375</v>
      </c>
      <c r="K2323" s="52">
        <f>SUM(K2321:K2322)</f>
        <v>1016.8199999999998</v>
      </c>
    </row>
    <row r="2324" spans="6:19" ht="15.75">
      <c r="H2324" s="52" t="s">
        <v>2376</v>
      </c>
      <c r="K2324" s="65">
        <f>K2323/8.16</f>
        <v>124.61029411764703</v>
      </c>
    </row>
    <row r="2326" spans="6:19" ht="15.75">
      <c r="H2326" s="65" t="s">
        <v>2377</v>
      </c>
    </row>
    <row r="2327" spans="6:19" ht="15.75">
      <c r="F2327" s="52">
        <v>2</v>
      </c>
      <c r="G2327" s="53" t="s">
        <v>534</v>
      </c>
      <c r="H2327" s="52" t="s">
        <v>2378</v>
      </c>
      <c r="I2327" s="329">
        <v>60.9</v>
      </c>
      <c r="J2327" s="55" t="s">
        <v>534</v>
      </c>
      <c r="K2327" s="52">
        <f>I2327*F2327</f>
        <v>121.8</v>
      </c>
    </row>
    <row r="2328" spans="6:19" ht="15.75">
      <c r="F2328" s="52">
        <v>0.2</v>
      </c>
      <c r="G2328" s="53" t="s">
        <v>534</v>
      </c>
      <c r="H2328" s="52" t="s">
        <v>535</v>
      </c>
      <c r="I2328" s="52">
        <f>C143/1000</f>
        <v>43.75</v>
      </c>
      <c r="J2328" s="55" t="s">
        <v>534</v>
      </c>
      <c r="K2328" s="52">
        <f>I2328*F2328</f>
        <v>8.75</v>
      </c>
    </row>
    <row r="2329" spans="6:19" ht="15.75">
      <c r="F2329" s="52">
        <v>2</v>
      </c>
      <c r="G2329" s="53" t="s">
        <v>534</v>
      </c>
      <c r="H2329" s="52" t="s">
        <v>2379</v>
      </c>
      <c r="I2329" s="52">
        <f>K2324</f>
        <v>124.61029411764703</v>
      </c>
      <c r="J2329" s="55" t="s">
        <v>534</v>
      </c>
      <c r="K2329" s="52">
        <f>I2329*F2329</f>
        <v>249.22058823529406</v>
      </c>
    </row>
    <row r="2330" spans="6:19" ht="15.75">
      <c r="H2330" s="52" t="s">
        <v>2380</v>
      </c>
      <c r="K2330" s="52">
        <f>SUM(K2327:K2329)</f>
        <v>379.7705882352941</v>
      </c>
    </row>
    <row r="2331" spans="6:19" ht="15.75">
      <c r="H2331" s="52" t="s">
        <v>2381</v>
      </c>
      <c r="K2331" s="65">
        <f>K2330/10</f>
        <v>37.977058823529411</v>
      </c>
    </row>
    <row r="2333" spans="6:19" ht="15.75">
      <c r="H2333" s="65" t="s">
        <v>2382</v>
      </c>
      <c r="N2333" s="53"/>
      <c r="O2333" s="65" t="s">
        <v>532</v>
      </c>
      <c r="Q2333" s="55"/>
    </row>
    <row r="2334" spans="6:19" ht="15.75">
      <c r="F2334" s="52">
        <v>0.25</v>
      </c>
      <c r="G2334" s="53" t="s">
        <v>345</v>
      </c>
      <c r="H2334" s="52" t="s">
        <v>2383</v>
      </c>
      <c r="I2334" s="52">
        <f>C11</f>
        <v>1005.1999999999999</v>
      </c>
      <c r="J2334" s="55" t="s">
        <v>340</v>
      </c>
      <c r="K2334" s="52">
        <f>I2334*F2334</f>
        <v>251.29999999999998</v>
      </c>
      <c r="M2334" s="52">
        <v>15</v>
      </c>
      <c r="N2334" s="53" t="s">
        <v>533</v>
      </c>
      <c r="O2334" s="241" t="s">
        <v>583</v>
      </c>
      <c r="P2334" s="129">
        <v>157.19999999999999</v>
      </c>
      <c r="Q2334" s="55" t="s">
        <v>533</v>
      </c>
      <c r="R2334" s="52">
        <f>P2334*M2334</f>
        <v>2358</v>
      </c>
    </row>
    <row r="2335" spans="6:19" ht="15.75">
      <c r="F2335" s="52">
        <v>1</v>
      </c>
      <c r="G2335" s="53" t="s">
        <v>345</v>
      </c>
      <c r="H2335" s="52" t="s">
        <v>537</v>
      </c>
      <c r="I2335" s="52">
        <f>C12</f>
        <v>702.8</v>
      </c>
      <c r="J2335" s="55" t="s">
        <v>340</v>
      </c>
      <c r="K2335" s="52">
        <f>I2335*F2335</f>
        <v>702.8</v>
      </c>
      <c r="M2335" s="52">
        <v>0.5</v>
      </c>
      <c r="N2335" s="53" t="s">
        <v>534</v>
      </c>
      <c r="O2335" s="52" t="s">
        <v>535</v>
      </c>
      <c r="P2335" s="52">
        <f>C143/1000</f>
        <v>43.75</v>
      </c>
      <c r="Q2335" s="55" t="s">
        <v>534</v>
      </c>
      <c r="R2335" s="52">
        <f>P2335*M2335</f>
        <v>21.875</v>
      </c>
    </row>
    <row r="2336" spans="6:19" ht="15.75">
      <c r="G2336" s="55" t="s">
        <v>226</v>
      </c>
      <c r="H2336" s="52" t="s">
        <v>2384</v>
      </c>
      <c r="I2336" s="52">
        <f>SUM(K2334:K2335)*10/100</f>
        <v>95.41</v>
      </c>
      <c r="J2336" s="55" t="s">
        <v>226</v>
      </c>
      <c r="K2336" s="52">
        <f>I2336</f>
        <v>95.41</v>
      </c>
      <c r="M2336" s="52">
        <v>0.5</v>
      </c>
      <c r="N2336" s="53" t="s">
        <v>345</v>
      </c>
      <c r="O2336" s="52" t="s">
        <v>536</v>
      </c>
      <c r="P2336" s="52">
        <f>C17</f>
        <v>950.59999999999991</v>
      </c>
      <c r="Q2336" s="55" t="s">
        <v>534</v>
      </c>
      <c r="R2336" s="52">
        <f>P2336*M2336</f>
        <v>475.29999999999995</v>
      </c>
    </row>
    <row r="2337" spans="4:18" ht="15.75">
      <c r="H2337" s="52" t="s">
        <v>2385</v>
      </c>
      <c r="K2337" s="52">
        <f>SUM(K2334:K2336)</f>
        <v>1049.51</v>
      </c>
      <c r="M2337" s="52">
        <v>0.5</v>
      </c>
      <c r="N2337" s="53" t="s">
        <v>345</v>
      </c>
      <c r="O2337" s="52" t="s">
        <v>537</v>
      </c>
      <c r="P2337" s="52">
        <f>C12</f>
        <v>702.8</v>
      </c>
      <c r="Q2337" s="55" t="s">
        <v>534</v>
      </c>
      <c r="R2337" s="52">
        <f>P2337*M2337</f>
        <v>351.4</v>
      </c>
    </row>
    <row r="2338" spans="4:18" ht="15.75">
      <c r="H2338" s="52" t="s">
        <v>2386</v>
      </c>
      <c r="K2338" s="65">
        <f>K2337/2.44</f>
        <v>430.1270491803279</v>
      </c>
      <c r="N2338" s="53"/>
      <c r="O2338" s="52" t="s">
        <v>538</v>
      </c>
      <c r="Q2338" s="55"/>
      <c r="R2338" s="52">
        <f>SUM(R2334:R2337)</f>
        <v>3206.5750000000003</v>
      </c>
    </row>
    <row r="2339" spans="4:18" ht="15.75">
      <c r="K2339" s="52">
        <v>0</v>
      </c>
      <c r="O2339" s="65" t="s">
        <v>339</v>
      </c>
      <c r="Q2339" s="55"/>
      <c r="R2339" s="65">
        <f>R2338/15</f>
        <v>213.77166666666668</v>
      </c>
    </row>
    <row r="2340" spans="4:18" ht="15.75">
      <c r="H2340" s="65" t="s">
        <v>2387</v>
      </c>
    </row>
    <row r="2341" spans="4:18" ht="15.75">
      <c r="F2341" s="56">
        <v>7.0999999999999994E-2</v>
      </c>
      <c r="G2341" s="53" t="s">
        <v>2388</v>
      </c>
      <c r="H2341" s="52" t="s">
        <v>2389</v>
      </c>
      <c r="I2341" s="52">
        <f>K280</f>
        <v>8764.3469999999979</v>
      </c>
      <c r="J2341" s="55" t="s">
        <v>2390</v>
      </c>
      <c r="K2341" s="52">
        <f>I2341*F2341</f>
        <v>622.26863699999979</v>
      </c>
    </row>
    <row r="2342" spans="4:18" ht="15.75">
      <c r="F2342" s="52">
        <v>1</v>
      </c>
      <c r="G2342" s="53" t="s">
        <v>2143</v>
      </c>
      <c r="H2342" s="52" t="s">
        <v>910</v>
      </c>
      <c r="I2342" s="52">
        <f>K2338</f>
        <v>430.1270491803279</v>
      </c>
      <c r="J2342" s="55" t="s">
        <v>2143</v>
      </c>
      <c r="K2342" s="52">
        <f>I2342*F2342</f>
        <v>430.1270491803279</v>
      </c>
    </row>
    <row r="2343" spans="4:18" ht="15.75">
      <c r="F2343" s="52" t="s">
        <v>150</v>
      </c>
      <c r="H2343" s="52" t="s">
        <v>2391</v>
      </c>
      <c r="K2343" s="65">
        <f>SUM(K2341:K2342)</f>
        <v>1052.3956861803276</v>
      </c>
      <c r="N2343" s="53"/>
      <c r="O2343" s="2120" t="s">
        <v>2392</v>
      </c>
      <c r="P2343" s="2121"/>
      <c r="Q2343" s="2121"/>
    </row>
    <row r="2344" spans="4:18" ht="15.75">
      <c r="M2344" s="52">
        <v>0.47</v>
      </c>
      <c r="N2344" s="53" t="s">
        <v>313</v>
      </c>
      <c r="O2344" s="52" t="s">
        <v>2137</v>
      </c>
      <c r="P2344" s="52">
        <f>K90</f>
        <v>235.2</v>
      </c>
      <c r="Q2344" s="55" t="s">
        <v>340</v>
      </c>
      <c r="R2344" s="52">
        <f>P2344*M2344</f>
        <v>110.54399999999998</v>
      </c>
    </row>
    <row r="2346" spans="4:18" ht="31.5">
      <c r="H2346" s="330" t="s">
        <v>2393</v>
      </c>
      <c r="K2346" s="56"/>
      <c r="M2346" s="52">
        <v>0.24</v>
      </c>
      <c r="N2346" s="53" t="s">
        <v>313</v>
      </c>
      <c r="O2346" s="52" t="s">
        <v>2394</v>
      </c>
      <c r="P2346" s="52">
        <f>AE15</f>
        <v>1894.78</v>
      </c>
      <c r="Q2346" s="55" t="s">
        <v>340</v>
      </c>
      <c r="R2346" s="52">
        <f>P2346*M2346</f>
        <v>454.74719999999996</v>
      </c>
    </row>
    <row r="2347" spans="4:18" ht="31.5">
      <c r="D2347" s="52">
        <f>24/5</f>
        <v>4.8</v>
      </c>
      <c r="F2347" s="52">
        <v>98.5</v>
      </c>
      <c r="G2347" s="195" t="s">
        <v>552</v>
      </c>
      <c r="H2347" s="331" t="s">
        <v>2395</v>
      </c>
      <c r="I2347" s="332">
        <f>E2313</f>
        <v>5.04</v>
      </c>
      <c r="J2347" s="55" t="s">
        <v>552</v>
      </c>
      <c r="K2347" s="52">
        <f>I2347*F2347</f>
        <v>496.44</v>
      </c>
      <c r="M2347" s="52">
        <v>0.79</v>
      </c>
      <c r="N2347" s="55" t="s">
        <v>306</v>
      </c>
      <c r="O2347" s="169" t="s">
        <v>2396</v>
      </c>
      <c r="P2347" s="52">
        <f>X559</f>
        <v>1766.7440925841183</v>
      </c>
      <c r="Q2347" s="55" t="s">
        <v>226</v>
      </c>
      <c r="R2347" s="52">
        <f>P2347*M2347</f>
        <v>1395.7278331414536</v>
      </c>
    </row>
    <row r="2348" spans="4:18" ht="15.75">
      <c r="F2348" s="52">
        <v>0.3</v>
      </c>
      <c r="G2348" s="53" t="s">
        <v>552</v>
      </c>
      <c r="H2348" s="52" t="s">
        <v>1580</v>
      </c>
      <c r="I2348" s="52">
        <f>C16</f>
        <v>1052.8</v>
      </c>
      <c r="J2348" s="55" t="s">
        <v>340</v>
      </c>
      <c r="K2348" s="52">
        <f>I2348*F2348</f>
        <v>315.83999999999997</v>
      </c>
      <c r="M2348" s="52">
        <v>0.24</v>
      </c>
      <c r="N2348" s="53" t="s">
        <v>313</v>
      </c>
      <c r="O2348" s="52" t="s">
        <v>908</v>
      </c>
      <c r="P2348" s="52">
        <f>I140</f>
        <v>2116.9</v>
      </c>
      <c r="Q2348" s="55"/>
      <c r="R2348" s="52">
        <f>P2348*M2348</f>
        <v>508.05599999999998</v>
      </c>
    </row>
    <row r="2349" spans="4:18" ht="15.75">
      <c r="F2349" s="52">
        <v>0.3</v>
      </c>
      <c r="G2349" s="52" t="s">
        <v>552</v>
      </c>
      <c r="H2349" s="52" t="s">
        <v>537</v>
      </c>
      <c r="I2349" s="52">
        <f>C12</f>
        <v>702.8</v>
      </c>
      <c r="J2349" s="55" t="s">
        <v>340</v>
      </c>
      <c r="K2349" s="52">
        <f>I2349*F2349</f>
        <v>210.83999999999997</v>
      </c>
      <c r="N2349" s="53"/>
      <c r="O2349" s="52" t="s">
        <v>337</v>
      </c>
      <c r="Q2349" s="55"/>
      <c r="R2349" s="52" t="s">
        <v>2397</v>
      </c>
    </row>
    <row r="2350" spans="4:18" ht="15.75">
      <c r="H2350" s="52" t="s">
        <v>2398</v>
      </c>
      <c r="K2350" s="52">
        <v>0.9</v>
      </c>
      <c r="R2350" s="65">
        <f>SUM(R2344:R2348)</f>
        <v>2469.0750331414533</v>
      </c>
    </row>
    <row r="2351" spans="4:18" ht="15.75">
      <c r="H2351" s="65" t="s">
        <v>2399</v>
      </c>
      <c r="K2351" s="65">
        <f>SUM(K2347:K2350)</f>
        <v>1024.02</v>
      </c>
      <c r="R2351" s="52" t="s">
        <v>2400</v>
      </c>
    </row>
    <row r="2352" spans="4:18" ht="15.75">
      <c r="H2352" s="65" t="s">
        <v>2401</v>
      </c>
      <c r="K2352" s="65">
        <f>K2351/10</f>
        <v>102.402</v>
      </c>
      <c r="R2352" s="52">
        <v>0</v>
      </c>
    </row>
    <row r="2353" spans="6:18" ht="15.75">
      <c r="H2353" s="65" t="s">
        <v>2402</v>
      </c>
      <c r="K2353" s="65">
        <f>K2352/3</f>
        <v>34.134</v>
      </c>
      <c r="N2353" s="53"/>
      <c r="O2353" s="2120" t="s">
        <v>2403</v>
      </c>
      <c r="P2353" s="2121"/>
      <c r="Q2353" s="2121"/>
    </row>
    <row r="2354" spans="6:18" ht="15.75">
      <c r="G2354" s="242" t="s">
        <v>599</v>
      </c>
      <c r="H2354" s="163" t="s">
        <v>600</v>
      </c>
      <c r="I2354" s="65">
        <f>I2356-K2352</f>
        <v>898.39421999999979</v>
      </c>
      <c r="K2354" s="65"/>
      <c r="M2354" s="52">
        <v>1</v>
      </c>
      <c r="N2354" s="53" t="s">
        <v>313</v>
      </c>
      <c r="O2354" s="52" t="s">
        <v>910</v>
      </c>
      <c r="P2354" s="52">
        <f>R2365</f>
        <v>430.1270491803279</v>
      </c>
      <c r="Q2354" s="55" t="s">
        <v>340</v>
      </c>
      <c r="R2354" s="52">
        <f>P2354*M2354</f>
        <v>430.1270491803279</v>
      </c>
    </row>
    <row r="2355" spans="6:18" ht="15.75">
      <c r="G2355" s="125"/>
      <c r="H2355" s="163"/>
      <c r="I2355" s="65"/>
      <c r="K2355" s="65"/>
      <c r="M2355" s="56">
        <v>7.0999999999999994E-2</v>
      </c>
      <c r="N2355" s="53" t="s">
        <v>313</v>
      </c>
      <c r="O2355" s="52" t="s">
        <v>2394</v>
      </c>
      <c r="P2355" s="52">
        <f>P2346</f>
        <v>1894.78</v>
      </c>
      <c r="Q2355" s="55" t="s">
        <v>340</v>
      </c>
      <c r="R2355" s="52">
        <f>P2355*M2355</f>
        <v>134.52937999999997</v>
      </c>
    </row>
    <row r="2356" spans="6:18" ht="15.75">
      <c r="G2356" s="242" t="s">
        <v>520</v>
      </c>
      <c r="H2356" s="163" t="s">
        <v>528</v>
      </c>
      <c r="I2356" s="65">
        <f>K770</f>
        <v>1000.7962199999998</v>
      </c>
      <c r="K2356" s="65"/>
      <c r="R2356" s="52" t="s">
        <v>2397</v>
      </c>
    </row>
    <row r="2357" spans="6:18" ht="15.75">
      <c r="G2357" s="125"/>
      <c r="H2357" s="163"/>
      <c r="I2357" s="65"/>
      <c r="K2357" s="65"/>
      <c r="N2357" s="55"/>
      <c r="Q2357" s="55"/>
      <c r="R2357" s="65">
        <f>SUM(R2354:R2355)</f>
        <v>564.6564291803279</v>
      </c>
    </row>
    <row r="2358" spans="6:18" ht="15.75">
      <c r="G2358" s="333" t="s">
        <v>514</v>
      </c>
      <c r="H2358" s="334" t="s">
        <v>529</v>
      </c>
      <c r="I2358" s="65">
        <f>I2356*1.2</f>
        <v>1200.9554639999997</v>
      </c>
      <c r="K2358" s="65"/>
      <c r="N2358" s="53"/>
      <c r="Q2358" s="55"/>
      <c r="R2358" s="52" t="s">
        <v>2397</v>
      </c>
    </row>
    <row r="2359" spans="6:18" ht="15.75">
      <c r="G2359" s="242"/>
      <c r="H2359" s="163"/>
      <c r="K2359" s="65"/>
      <c r="M2359" s="52">
        <v>0.25</v>
      </c>
      <c r="N2359" s="53" t="s">
        <v>68</v>
      </c>
      <c r="O2359" s="52" t="s">
        <v>2404</v>
      </c>
      <c r="P2359" s="52">
        <f>AG10</f>
        <v>1005.1999999999999</v>
      </c>
      <c r="Q2359" s="55"/>
      <c r="R2359" s="52">
        <f>P2359*M2359</f>
        <v>251.29999999999998</v>
      </c>
    </row>
    <row r="2360" spans="6:18" ht="15.75">
      <c r="G2360" s="242" t="s">
        <v>530</v>
      </c>
      <c r="H2360" s="163" t="s">
        <v>531</v>
      </c>
      <c r="I2360" s="65">
        <f>I2356*1.1</f>
        <v>1100.8758419999999</v>
      </c>
      <c r="K2360" s="65"/>
      <c r="M2360" s="52">
        <v>1</v>
      </c>
      <c r="N2360" s="53" t="s">
        <v>68</v>
      </c>
      <c r="O2360" s="52" t="s">
        <v>2405</v>
      </c>
      <c r="P2360" s="52">
        <f>AG11</f>
        <v>702.8</v>
      </c>
      <c r="R2360" s="52">
        <f>P2360*M2360</f>
        <v>702.8</v>
      </c>
    </row>
    <row r="2361" spans="6:18" ht="31.5">
      <c r="H2361" s="163"/>
      <c r="K2361" s="65"/>
      <c r="M2361" s="52">
        <v>1</v>
      </c>
      <c r="N2361" s="52" t="s">
        <v>68</v>
      </c>
      <c r="O2361" s="300" t="s">
        <v>2406</v>
      </c>
      <c r="P2361" s="52" t="s">
        <v>287</v>
      </c>
      <c r="R2361" s="52">
        <f>(R2359+R2360)*10%</f>
        <v>95.41</v>
      </c>
    </row>
    <row r="2362" spans="6:18" ht="15.75">
      <c r="R2362" s="52" t="s">
        <v>2397</v>
      </c>
    </row>
    <row r="2363" spans="6:18" ht="15.75">
      <c r="H2363" s="65" t="s">
        <v>2407</v>
      </c>
      <c r="R2363" s="65">
        <f>SUM(R2359:R2361)</f>
        <v>1049.51</v>
      </c>
    </row>
    <row r="2364" spans="6:18" ht="15.75">
      <c r="F2364" s="52">
        <v>11.5</v>
      </c>
      <c r="G2364" s="53" t="s">
        <v>306</v>
      </c>
      <c r="H2364" s="159" t="s">
        <v>2408</v>
      </c>
      <c r="I2364" s="95">
        <v>186</v>
      </c>
      <c r="J2364" s="55" t="s">
        <v>306</v>
      </c>
      <c r="K2364" s="52">
        <f t="shared" ref="K2364:K2369" si="232">F2364*I2364</f>
        <v>2139</v>
      </c>
      <c r="R2364" s="52" t="s">
        <v>2397</v>
      </c>
    </row>
    <row r="2365" spans="6:18" ht="15.75">
      <c r="F2365" s="52">
        <v>2</v>
      </c>
      <c r="G2365" s="53" t="s">
        <v>2409</v>
      </c>
      <c r="H2365" s="159" t="s">
        <v>2410</v>
      </c>
      <c r="I2365" s="95">
        <v>192.6</v>
      </c>
      <c r="J2365" s="55" t="s">
        <v>2411</v>
      </c>
      <c r="K2365" s="52">
        <f t="shared" si="232"/>
        <v>385.2</v>
      </c>
      <c r="R2365" s="52">
        <f>R2363/2.44</f>
        <v>430.1270491803279</v>
      </c>
    </row>
    <row r="2366" spans="6:18" ht="15.75">
      <c r="F2366" s="52">
        <v>20</v>
      </c>
      <c r="G2366" s="53" t="s">
        <v>2412</v>
      </c>
      <c r="H2366" s="335" t="s">
        <v>2413</v>
      </c>
      <c r="I2366" s="95">
        <v>3.84</v>
      </c>
      <c r="J2366" s="55" t="s">
        <v>2412</v>
      </c>
      <c r="K2366" s="52">
        <f t="shared" si="232"/>
        <v>76.8</v>
      </c>
    </row>
    <row r="2367" spans="6:18" ht="15.75">
      <c r="F2367" s="52">
        <v>2.2000000000000002</v>
      </c>
      <c r="G2367" s="53" t="s">
        <v>68</v>
      </c>
      <c r="H2367" s="52" t="s">
        <v>2414</v>
      </c>
      <c r="I2367" s="52">
        <f>AG18</f>
        <v>923.99999999999989</v>
      </c>
      <c r="J2367" s="55" t="s">
        <v>340</v>
      </c>
      <c r="K2367" s="52">
        <f t="shared" si="232"/>
        <v>2032.8</v>
      </c>
    </row>
    <row r="2368" spans="6:18" ht="15.75">
      <c r="F2368" s="52">
        <v>1.1000000000000001</v>
      </c>
      <c r="G2368" s="53" t="s">
        <v>68</v>
      </c>
      <c r="H2368" s="52" t="s">
        <v>2415</v>
      </c>
      <c r="I2368" s="52">
        <f>C16</f>
        <v>1052.8</v>
      </c>
      <c r="J2368" s="55" t="s">
        <v>340</v>
      </c>
      <c r="K2368" s="52">
        <f t="shared" si="232"/>
        <v>1158.0800000000002</v>
      </c>
    </row>
    <row r="2369" spans="6:18" ht="15.75">
      <c r="F2369" s="52">
        <v>3.2</v>
      </c>
      <c r="G2369" s="53" t="s">
        <v>68</v>
      </c>
      <c r="H2369" s="52" t="s">
        <v>2416</v>
      </c>
      <c r="I2369" s="52">
        <f>C12</f>
        <v>702.8</v>
      </c>
      <c r="J2369" s="55" t="s">
        <v>340</v>
      </c>
      <c r="K2369" s="52">
        <f t="shared" si="232"/>
        <v>2248.96</v>
      </c>
      <c r="O2369" s="57"/>
    </row>
    <row r="2370" spans="6:18" ht="15.75">
      <c r="H2370" s="52" t="s">
        <v>2417</v>
      </c>
      <c r="J2370" s="55" t="s">
        <v>226</v>
      </c>
      <c r="K2370" s="52">
        <v>0.5</v>
      </c>
      <c r="N2370" s="53"/>
      <c r="O2370" s="336" t="s">
        <v>2418</v>
      </c>
      <c r="Q2370" s="55"/>
    </row>
    <row r="2371" spans="6:18" ht="15.75">
      <c r="K2371" s="104" t="s">
        <v>1810</v>
      </c>
      <c r="M2371" s="52">
        <v>11</v>
      </c>
      <c r="N2371" s="53" t="s">
        <v>306</v>
      </c>
      <c r="O2371" s="163" t="s">
        <v>2419</v>
      </c>
      <c r="P2371" s="90">
        <f>I2364</f>
        <v>186</v>
      </c>
      <c r="Q2371" s="55" t="s">
        <v>306</v>
      </c>
      <c r="R2371" s="52">
        <f>M2371*P2371</f>
        <v>2046</v>
      </c>
    </row>
    <row r="2372" spans="6:18" ht="15.75">
      <c r="H2372" s="336" t="s">
        <v>2420</v>
      </c>
      <c r="K2372" s="65">
        <f>SUM(K2364:K2371)</f>
        <v>8041.34</v>
      </c>
      <c r="M2372" s="52">
        <v>20</v>
      </c>
      <c r="N2372" s="55" t="s">
        <v>2084</v>
      </c>
      <c r="O2372" s="163" t="s">
        <v>2421</v>
      </c>
      <c r="P2372" s="90">
        <f>I2366</f>
        <v>3.84</v>
      </c>
      <c r="Q2372" s="55" t="s">
        <v>2084</v>
      </c>
      <c r="R2372" s="52">
        <f>M2372*P2372</f>
        <v>76.8</v>
      </c>
    </row>
    <row r="2373" spans="6:18" ht="15.75">
      <c r="K2373" s="104" t="s">
        <v>1810</v>
      </c>
      <c r="M2373" s="52">
        <v>2.2000000000000002</v>
      </c>
      <c r="N2373" s="53" t="s">
        <v>68</v>
      </c>
      <c r="O2373" s="52" t="s">
        <v>2414</v>
      </c>
      <c r="P2373" s="52">
        <f>AG18</f>
        <v>923.99999999999989</v>
      </c>
      <c r="Q2373" s="55" t="s">
        <v>340</v>
      </c>
      <c r="R2373" s="52">
        <f>M2373*P2373</f>
        <v>2032.8</v>
      </c>
    </row>
    <row r="2374" spans="6:18" ht="15.75">
      <c r="H2374" s="336" t="s">
        <v>2125</v>
      </c>
      <c r="I2374" s="52" t="s">
        <v>150</v>
      </c>
      <c r="K2374" s="65">
        <f>K2372/10</f>
        <v>804.13400000000001</v>
      </c>
      <c r="M2374" s="52">
        <v>1.1000000000000001</v>
      </c>
      <c r="N2374" s="53" t="s">
        <v>68</v>
      </c>
      <c r="O2374" s="52" t="s">
        <v>2415</v>
      </c>
      <c r="P2374" s="52">
        <f>I2368</f>
        <v>1052.8</v>
      </c>
      <c r="Q2374" s="55" t="s">
        <v>340</v>
      </c>
      <c r="R2374" s="52">
        <f>M2374*P2374</f>
        <v>1158.0800000000002</v>
      </c>
    </row>
    <row r="2375" spans="6:18" ht="15.75">
      <c r="K2375" s="104" t="s">
        <v>1810</v>
      </c>
      <c r="M2375" s="52">
        <v>3.2</v>
      </c>
      <c r="N2375" s="53" t="s">
        <v>68</v>
      </c>
      <c r="O2375" s="52" t="s">
        <v>2416</v>
      </c>
      <c r="P2375" s="52">
        <f>I2369</f>
        <v>702.8</v>
      </c>
      <c r="Q2375" s="55" t="s">
        <v>340</v>
      </c>
      <c r="R2375" s="52">
        <f>M2375*P2375</f>
        <v>2248.96</v>
      </c>
    </row>
    <row r="2376" spans="6:18" ht="15.75">
      <c r="N2376" s="53"/>
      <c r="O2376" s="52" t="s">
        <v>2417</v>
      </c>
      <c r="Q2376" s="55" t="s">
        <v>287</v>
      </c>
      <c r="R2376" s="52">
        <v>0.74</v>
      </c>
    </row>
    <row r="2378" spans="6:18" ht="31.5">
      <c r="G2378" s="52"/>
      <c r="H2378" s="337" t="s">
        <v>326</v>
      </c>
      <c r="N2378" s="53"/>
      <c r="Q2378" s="55"/>
      <c r="R2378" s="104" t="s">
        <v>1810</v>
      </c>
    </row>
    <row r="2379" spans="6:18" ht="15.75">
      <c r="G2379" s="52"/>
      <c r="N2379" s="53"/>
      <c r="O2379" s="336" t="s">
        <v>2420</v>
      </c>
      <c r="Q2379" s="55"/>
      <c r="R2379" s="65">
        <f>SUM(R2371:R2378)</f>
        <v>7563.38</v>
      </c>
    </row>
    <row r="2380" spans="6:18" ht="15.75">
      <c r="F2380" s="52" t="s">
        <v>327</v>
      </c>
      <c r="G2380" s="52"/>
      <c r="H2380" s="52" t="s">
        <v>328</v>
      </c>
      <c r="N2380" s="53"/>
      <c r="Q2380" s="55"/>
      <c r="R2380" s="104" t="s">
        <v>1810</v>
      </c>
    </row>
    <row r="2381" spans="6:18" ht="15.75">
      <c r="G2381" s="52"/>
      <c r="H2381" s="52" t="s">
        <v>329</v>
      </c>
      <c r="N2381" s="53"/>
      <c r="O2381" s="336" t="s">
        <v>2422</v>
      </c>
      <c r="Q2381" s="55"/>
      <c r="R2381" s="65">
        <f>R2379/10</f>
        <v>756.33799999999997</v>
      </c>
    </row>
    <row r="2382" spans="6:18" ht="15.75">
      <c r="G2382" s="52"/>
      <c r="N2382" s="53"/>
      <c r="Q2382" s="55"/>
      <c r="R2382" s="104" t="s">
        <v>1810</v>
      </c>
    </row>
    <row r="2383" spans="6:18" ht="15.75">
      <c r="F2383" s="52">
        <v>1.96</v>
      </c>
      <c r="G2383" s="52" t="s">
        <v>313</v>
      </c>
      <c r="H2383" s="52" t="s">
        <v>330</v>
      </c>
      <c r="I2383" s="52">
        <f>K1713</f>
        <v>6558.2970000000005</v>
      </c>
      <c r="J2383" s="50" t="s">
        <v>151</v>
      </c>
      <c r="K2383" s="64">
        <f t="shared" ref="K2383:K2388" si="233">(F2383*I2383)</f>
        <v>12854.262120000001</v>
      </c>
    </row>
    <row r="2384" spans="6:18" ht="15.75">
      <c r="F2384" s="52">
        <v>2</v>
      </c>
      <c r="G2384" s="52" t="s">
        <v>68</v>
      </c>
      <c r="H2384" s="52" t="s">
        <v>331</v>
      </c>
      <c r="I2384" s="52">
        <f>C10</f>
        <v>1076.5999999999999</v>
      </c>
      <c r="J2384" s="50" t="s">
        <v>153</v>
      </c>
      <c r="K2384" s="64">
        <f t="shared" si="233"/>
        <v>2153.1999999999998</v>
      </c>
    </row>
    <row r="2385" spans="5:18" ht="15.75">
      <c r="F2385" s="52">
        <v>2</v>
      </c>
      <c r="G2385" s="52" t="s">
        <v>68</v>
      </c>
      <c r="H2385" s="52" t="s">
        <v>332</v>
      </c>
      <c r="I2385" s="52">
        <f>C13</f>
        <v>576.79999999999995</v>
      </c>
      <c r="J2385" s="50" t="s">
        <v>153</v>
      </c>
      <c r="K2385" s="64">
        <f t="shared" si="233"/>
        <v>1153.5999999999999</v>
      </c>
      <c r="N2385" s="62" t="s">
        <v>249</v>
      </c>
      <c r="Q2385" s="55"/>
    </row>
    <row r="2386" spans="5:18" ht="15.75">
      <c r="F2386" s="52">
        <v>0.28000000000000003</v>
      </c>
      <c r="G2386" s="52" t="s">
        <v>306</v>
      </c>
      <c r="H2386" s="52" t="s">
        <v>333</v>
      </c>
      <c r="I2386" s="52">
        <f>I2354</f>
        <v>898.39421999999979</v>
      </c>
      <c r="J2386" s="50" t="s">
        <v>153</v>
      </c>
      <c r="K2386" s="64">
        <f t="shared" si="233"/>
        <v>251.55038159999995</v>
      </c>
      <c r="N2386" s="53"/>
      <c r="O2386" s="50" t="s">
        <v>2423</v>
      </c>
      <c r="Q2386" s="57"/>
    </row>
    <row r="2387" spans="5:18" ht="15.75">
      <c r="F2387" s="52">
        <v>500</v>
      </c>
      <c r="G2387" s="52" t="s">
        <v>68</v>
      </c>
      <c r="H2387" s="338" t="s">
        <v>334</v>
      </c>
      <c r="I2387" s="52">
        <v>2</v>
      </c>
      <c r="J2387" s="50" t="s">
        <v>153</v>
      </c>
      <c r="K2387" s="64">
        <f t="shared" si="233"/>
        <v>1000</v>
      </c>
      <c r="N2387" s="53"/>
      <c r="O2387" s="50" t="s">
        <v>2424</v>
      </c>
      <c r="Q2387" s="57"/>
    </row>
    <row r="2388" spans="5:18" ht="15.75">
      <c r="F2388" s="52">
        <v>8.5</v>
      </c>
      <c r="G2388" s="52" t="s">
        <v>335</v>
      </c>
      <c r="H2388" s="339" t="s">
        <v>336</v>
      </c>
      <c r="I2388" s="160">
        <v>43.6</v>
      </c>
      <c r="J2388" s="55" t="s">
        <v>335</v>
      </c>
      <c r="K2388" s="64">
        <f t="shared" si="233"/>
        <v>370.6</v>
      </c>
      <c r="N2388" s="53"/>
      <c r="O2388" s="50" t="s">
        <v>2425</v>
      </c>
      <c r="Q2388" s="57"/>
    </row>
    <row r="2389" spans="5:18" ht="15.75">
      <c r="G2389" s="52"/>
      <c r="H2389" s="52" t="s">
        <v>337</v>
      </c>
      <c r="K2389" s="162">
        <v>1.96</v>
      </c>
      <c r="N2389" s="53"/>
      <c r="O2389" s="50" t="s">
        <v>2426</v>
      </c>
      <c r="Q2389" s="57"/>
    </row>
    <row r="2390" spans="5:18" ht="15.75">
      <c r="G2390" s="52"/>
      <c r="I2390" s="52" t="s">
        <v>338</v>
      </c>
      <c r="K2390" s="64">
        <f>SUM(K2383:K2389)</f>
        <v>17785.172501599998</v>
      </c>
      <c r="N2390" s="53"/>
      <c r="O2390" s="59" t="s">
        <v>21</v>
      </c>
      <c r="P2390" s="59" t="s">
        <v>21</v>
      </c>
      <c r="Q2390" s="57"/>
      <c r="R2390" s="64"/>
    </row>
    <row r="2391" spans="5:18" ht="15.75">
      <c r="G2391" s="52"/>
      <c r="K2391" s="59" t="s">
        <v>21</v>
      </c>
      <c r="M2391" s="52">
        <v>8</v>
      </c>
      <c r="N2391" s="62" t="s">
        <v>295</v>
      </c>
      <c r="O2391" s="50" t="s">
        <v>2427</v>
      </c>
      <c r="P2391" s="340">
        <v>4.0999999999999996</v>
      </c>
      <c r="Q2391" s="51" t="s">
        <v>340</v>
      </c>
      <c r="R2391" s="64">
        <f>P2391*M2391</f>
        <v>32.799999999999997</v>
      </c>
    </row>
    <row r="2392" spans="5:18" ht="15.75">
      <c r="E2392" s="52">
        <f>23+26.65</f>
        <v>49.65</v>
      </c>
      <c r="G2392" s="52"/>
      <c r="I2392" s="52" t="s">
        <v>339</v>
      </c>
      <c r="K2392" s="63">
        <f>K2390/39.2</f>
        <v>453.70338014285704</v>
      </c>
      <c r="M2392" s="52">
        <v>8</v>
      </c>
      <c r="N2392" s="62" t="s">
        <v>295</v>
      </c>
      <c r="O2392" s="50" t="s">
        <v>2428</v>
      </c>
      <c r="P2392" s="340">
        <v>3.69</v>
      </c>
      <c r="Q2392" s="51" t="s">
        <v>340</v>
      </c>
      <c r="R2392" s="64">
        <f>P2392*M2392</f>
        <v>29.52</v>
      </c>
    </row>
    <row r="2393" spans="5:18" ht="15.75">
      <c r="E2393" s="52">
        <f>E2392/2</f>
        <v>24.824999999999999</v>
      </c>
      <c r="G2393" s="52"/>
      <c r="K2393" s="59" t="s">
        <v>156</v>
      </c>
      <c r="M2393" s="52">
        <v>8</v>
      </c>
      <c r="N2393" s="62" t="s">
        <v>295</v>
      </c>
      <c r="O2393" s="50" t="s">
        <v>2429</v>
      </c>
      <c r="P2393" s="340">
        <v>4.0999999999999996</v>
      </c>
      <c r="Q2393" s="51" t="s">
        <v>340</v>
      </c>
      <c r="R2393" s="64">
        <f>P2393*M2393</f>
        <v>32.799999999999997</v>
      </c>
    </row>
    <row r="2394" spans="5:18" ht="15.75">
      <c r="G2394" s="52"/>
      <c r="M2394" s="52">
        <v>0.75</v>
      </c>
      <c r="N2394" s="62" t="s">
        <v>13</v>
      </c>
      <c r="O2394" s="50" t="s">
        <v>2430</v>
      </c>
      <c r="P2394" s="97">
        <v>176.4</v>
      </c>
      <c r="Q2394" s="51" t="s">
        <v>340</v>
      </c>
      <c r="R2394" s="64">
        <f t="shared" ref="R2394:R2399" si="234">(M2394*P2394)</f>
        <v>132.30000000000001</v>
      </c>
    </row>
    <row r="2395" spans="5:18" ht="15.75">
      <c r="G2395" s="52"/>
      <c r="M2395" s="52">
        <v>2.25</v>
      </c>
      <c r="N2395" s="62" t="s">
        <v>2431</v>
      </c>
      <c r="O2395" s="50" t="s">
        <v>2432</v>
      </c>
      <c r="P2395" s="97">
        <v>140.41</v>
      </c>
      <c r="Q2395" s="51" t="s">
        <v>2431</v>
      </c>
      <c r="R2395" s="64">
        <f t="shared" si="234"/>
        <v>315.92250000000001</v>
      </c>
    </row>
    <row r="2396" spans="5:18" ht="15.75">
      <c r="G2396" s="52"/>
      <c r="H2396" s="65" t="s">
        <v>150</v>
      </c>
      <c r="M2396" s="52">
        <v>4.5</v>
      </c>
      <c r="N2396" s="62" t="s">
        <v>2431</v>
      </c>
      <c r="O2396" s="50" t="s">
        <v>2433</v>
      </c>
      <c r="P2396" s="97">
        <v>65</v>
      </c>
      <c r="Q2396" s="51" t="s">
        <v>2431</v>
      </c>
      <c r="R2396" s="64">
        <f t="shared" si="234"/>
        <v>292.5</v>
      </c>
    </row>
    <row r="2397" spans="5:18" ht="15.75">
      <c r="F2397" s="52">
        <v>1</v>
      </c>
      <c r="G2397" s="52" t="s">
        <v>68</v>
      </c>
      <c r="H2397" s="341" t="s">
        <v>2434</v>
      </c>
      <c r="I2397" s="95">
        <v>446</v>
      </c>
      <c r="J2397" s="50" t="s">
        <v>153</v>
      </c>
      <c r="K2397" s="64">
        <f>(F2397*I2397)</f>
        <v>446</v>
      </c>
      <c r="M2397" s="52">
        <v>6</v>
      </c>
      <c r="N2397" s="62" t="s">
        <v>295</v>
      </c>
      <c r="O2397" s="50" t="s">
        <v>2435</v>
      </c>
      <c r="P2397" s="97">
        <v>8</v>
      </c>
      <c r="Q2397" s="51" t="s">
        <v>340</v>
      </c>
      <c r="R2397" s="64">
        <f t="shared" si="234"/>
        <v>48</v>
      </c>
    </row>
    <row r="2398" spans="5:18" ht="15.75">
      <c r="F2398" s="52">
        <v>0.25</v>
      </c>
      <c r="G2398" s="52" t="s">
        <v>68</v>
      </c>
      <c r="H2398" s="52" t="s">
        <v>331</v>
      </c>
      <c r="I2398" s="52">
        <f>I2384</f>
        <v>1076.5999999999999</v>
      </c>
      <c r="J2398" s="50" t="s">
        <v>153</v>
      </c>
      <c r="K2398" s="64">
        <f>(F2398*I2398)</f>
        <v>269.14999999999998</v>
      </c>
      <c r="M2398" s="52">
        <v>6</v>
      </c>
      <c r="N2398" s="62" t="s">
        <v>295</v>
      </c>
      <c r="O2398" s="50" t="s">
        <v>2436</v>
      </c>
      <c r="P2398" s="97">
        <v>8.61</v>
      </c>
      <c r="Q2398" s="51" t="s">
        <v>340</v>
      </c>
      <c r="R2398" s="64">
        <f t="shared" si="234"/>
        <v>51.66</v>
      </c>
    </row>
    <row r="2399" spans="5:18" ht="15.75">
      <c r="F2399" s="52">
        <v>0.28000000000000003</v>
      </c>
      <c r="G2399" s="52" t="s">
        <v>306</v>
      </c>
      <c r="H2399" s="52" t="s">
        <v>537</v>
      </c>
      <c r="I2399" s="52">
        <f>C12</f>
        <v>702.8</v>
      </c>
      <c r="J2399" s="50" t="s">
        <v>153</v>
      </c>
      <c r="K2399" s="64">
        <f>(F2399*I2399)</f>
        <v>196.78399999999999</v>
      </c>
      <c r="M2399" s="52">
        <v>4</v>
      </c>
      <c r="N2399" s="62" t="s">
        <v>295</v>
      </c>
      <c r="O2399" s="50" t="s">
        <v>2437</v>
      </c>
      <c r="P2399" s="97">
        <v>8.61</v>
      </c>
      <c r="Q2399" s="51" t="s">
        <v>340</v>
      </c>
      <c r="R2399" s="64">
        <f t="shared" si="234"/>
        <v>34.44</v>
      </c>
    </row>
    <row r="2400" spans="5:18" ht="15.75">
      <c r="G2400" s="52"/>
      <c r="H2400" s="338"/>
      <c r="J2400" s="50"/>
      <c r="K2400" s="64"/>
      <c r="M2400" s="52">
        <v>300</v>
      </c>
      <c r="N2400" s="62" t="s">
        <v>2438</v>
      </c>
      <c r="O2400" s="50" t="s">
        <v>2439</v>
      </c>
      <c r="P2400" s="97">
        <v>30</v>
      </c>
      <c r="Q2400" s="51" t="s">
        <v>2440</v>
      </c>
      <c r="R2400" s="64">
        <f>P2400*M2400/100</f>
        <v>90</v>
      </c>
    </row>
    <row r="2401" spans="6:18" ht="15.75">
      <c r="G2401" s="52"/>
      <c r="K2401" s="64"/>
      <c r="M2401" s="52">
        <v>300</v>
      </c>
      <c r="N2401" s="62" t="s">
        <v>2438</v>
      </c>
      <c r="O2401" s="50" t="s">
        <v>2441</v>
      </c>
      <c r="P2401" s="97">
        <v>44.99</v>
      </c>
      <c r="Q2401" s="51" t="s">
        <v>2442</v>
      </c>
      <c r="R2401" s="64">
        <f>P2401*M2401/500</f>
        <v>26.994</v>
      </c>
    </row>
    <row r="2402" spans="6:18" ht="15.75">
      <c r="G2402" s="52"/>
      <c r="K2402" s="342" t="s">
        <v>1810</v>
      </c>
      <c r="M2402" s="52">
        <v>1.5</v>
      </c>
      <c r="N2402" s="62" t="s">
        <v>13</v>
      </c>
      <c r="O2402" s="50" t="s">
        <v>2443</v>
      </c>
      <c r="P2402" s="97">
        <v>20.95</v>
      </c>
      <c r="Q2402" s="51" t="s">
        <v>13</v>
      </c>
      <c r="R2402" s="64">
        <f>P2402*M2402</f>
        <v>31.424999999999997</v>
      </c>
    </row>
    <row r="2403" spans="6:18" ht="15.75">
      <c r="G2403" s="52"/>
      <c r="K2403" s="63">
        <f>SUM(K2397:K2402)</f>
        <v>911.93399999999997</v>
      </c>
      <c r="M2403" s="52">
        <v>2.25</v>
      </c>
      <c r="N2403" s="62" t="s">
        <v>2431</v>
      </c>
      <c r="O2403" s="50" t="s">
        <v>2444</v>
      </c>
      <c r="P2403" s="97">
        <v>212.41</v>
      </c>
      <c r="Q2403" s="51" t="s">
        <v>2431</v>
      </c>
      <c r="R2403" s="64">
        <f>(M2403*P2403)</f>
        <v>477.92250000000001</v>
      </c>
    </row>
    <row r="2404" spans="6:18" ht="15.75">
      <c r="G2404" s="52"/>
      <c r="K2404" s="342" t="s">
        <v>1810</v>
      </c>
      <c r="M2404" s="52">
        <v>0.75</v>
      </c>
      <c r="N2404" s="62" t="s">
        <v>2431</v>
      </c>
      <c r="O2404" s="50" t="s">
        <v>2445</v>
      </c>
      <c r="P2404" s="97">
        <v>205.21</v>
      </c>
      <c r="Q2404" s="51" t="s">
        <v>2431</v>
      </c>
      <c r="R2404" s="64">
        <f>(M2404*P2404)</f>
        <v>153.9075</v>
      </c>
    </row>
    <row r="2405" spans="6:18" ht="15.75">
      <c r="G2405" s="52"/>
      <c r="K2405" s="64"/>
      <c r="M2405" s="52">
        <v>2.25</v>
      </c>
      <c r="N2405" s="62" t="s">
        <v>2431</v>
      </c>
      <c r="O2405" s="50" t="s">
        <v>2446</v>
      </c>
      <c r="P2405" s="97">
        <v>185.21</v>
      </c>
      <c r="Q2405" s="51" t="s">
        <v>2431</v>
      </c>
      <c r="R2405" s="64">
        <f>(M2405*P2405)</f>
        <v>416.72250000000003</v>
      </c>
    </row>
    <row r="2406" spans="6:18" ht="15.75">
      <c r="G2406" s="52"/>
      <c r="M2406" s="52">
        <v>500</v>
      </c>
      <c r="N2406" s="62" t="s">
        <v>2438</v>
      </c>
      <c r="O2406" s="50" t="s">
        <v>2447</v>
      </c>
      <c r="P2406" s="97">
        <v>52.25</v>
      </c>
      <c r="Q2406" s="51" t="s">
        <v>13</v>
      </c>
      <c r="R2406" s="64">
        <f>(M2406*P2406)/1000</f>
        <v>26.125</v>
      </c>
    </row>
    <row r="2407" spans="6:18" ht="15.75">
      <c r="G2407" s="52"/>
      <c r="H2407" s="65" t="s">
        <v>2448</v>
      </c>
      <c r="M2407" s="52">
        <v>1</v>
      </c>
      <c r="N2407" s="62" t="s">
        <v>295</v>
      </c>
      <c r="O2407" s="50" t="s">
        <v>2449</v>
      </c>
      <c r="P2407" s="97">
        <v>131.21</v>
      </c>
      <c r="Q2407" s="57" t="s">
        <v>2450</v>
      </c>
      <c r="R2407" s="72">
        <f>P2407/1</f>
        <v>131.21</v>
      </c>
    </row>
    <row r="2408" spans="6:18" ht="15.75">
      <c r="F2408" s="52">
        <v>1</v>
      </c>
      <c r="G2408" s="52" t="s">
        <v>68</v>
      </c>
      <c r="H2408" s="159" t="s">
        <v>2451</v>
      </c>
      <c r="I2408" s="52">
        <f>C619</f>
        <v>922</v>
      </c>
      <c r="J2408" s="50" t="s">
        <v>153</v>
      </c>
      <c r="K2408" s="64">
        <f>(F2408*I2408)</f>
        <v>922</v>
      </c>
      <c r="M2408" s="52">
        <v>1</v>
      </c>
      <c r="N2408" s="62" t="s">
        <v>295</v>
      </c>
      <c r="O2408" s="50" t="s">
        <v>2452</v>
      </c>
      <c r="P2408" s="97">
        <v>12.3</v>
      </c>
      <c r="Q2408" s="57" t="s">
        <v>2450</v>
      </c>
      <c r="R2408" s="72">
        <f>P2408/1</f>
        <v>12.3</v>
      </c>
    </row>
    <row r="2409" spans="6:18" ht="15.75">
      <c r="F2409" s="52">
        <v>0.5</v>
      </c>
      <c r="G2409" s="52" t="s">
        <v>68</v>
      </c>
      <c r="H2409" s="52" t="s">
        <v>2453</v>
      </c>
      <c r="I2409" s="52">
        <f>C15</f>
        <v>933.8</v>
      </c>
      <c r="J2409" s="50" t="s">
        <v>153</v>
      </c>
      <c r="K2409" s="64">
        <f>(F2409*I2409)</f>
        <v>466.9</v>
      </c>
      <c r="M2409" s="52">
        <v>4</v>
      </c>
      <c r="N2409" s="62" t="s">
        <v>295</v>
      </c>
      <c r="O2409" s="120" t="s">
        <v>2454</v>
      </c>
      <c r="P2409" s="64">
        <f>AG13</f>
        <v>861</v>
      </c>
      <c r="Q2409" s="51" t="s">
        <v>340</v>
      </c>
      <c r="R2409" s="64">
        <f>(M2409*P2409)</f>
        <v>3444</v>
      </c>
    </row>
    <row r="2410" spans="6:18" ht="15.75">
      <c r="F2410" s="52">
        <v>0.5</v>
      </c>
      <c r="G2410" s="52" t="s">
        <v>68</v>
      </c>
      <c r="H2410" s="52" t="s">
        <v>331</v>
      </c>
      <c r="I2410" s="52">
        <f>I2398</f>
        <v>1076.5999999999999</v>
      </c>
      <c r="J2410" s="50" t="s">
        <v>153</v>
      </c>
      <c r="K2410" s="64">
        <f>(F2410*I2410)</f>
        <v>538.29999999999995</v>
      </c>
      <c r="M2410" s="52">
        <v>2</v>
      </c>
      <c r="N2410" s="62" t="s">
        <v>295</v>
      </c>
      <c r="O2410" s="120" t="s">
        <v>2455</v>
      </c>
      <c r="P2410" s="64">
        <f>AG14</f>
        <v>833</v>
      </c>
      <c r="Q2410" s="51" t="s">
        <v>340</v>
      </c>
      <c r="R2410" s="64">
        <f>(M2410*P2410)</f>
        <v>1666</v>
      </c>
    </row>
    <row r="2411" spans="6:18" ht="15.75">
      <c r="F2411" s="52">
        <v>0.5</v>
      </c>
      <c r="G2411" s="52" t="s">
        <v>306</v>
      </c>
      <c r="H2411" s="52" t="s">
        <v>537</v>
      </c>
      <c r="I2411" s="52">
        <f>I2399</f>
        <v>702.8</v>
      </c>
      <c r="J2411" s="50" t="s">
        <v>153</v>
      </c>
      <c r="K2411" s="64">
        <f>(F2411*I2411)</f>
        <v>351.4</v>
      </c>
      <c r="M2411" s="52">
        <v>2</v>
      </c>
      <c r="N2411" s="62" t="s">
        <v>295</v>
      </c>
      <c r="O2411" s="120" t="s">
        <v>2456</v>
      </c>
      <c r="P2411" s="64">
        <f>AG12</f>
        <v>576.79999999999995</v>
      </c>
      <c r="Q2411" s="51" t="s">
        <v>340</v>
      </c>
      <c r="R2411" s="64">
        <f>(M2411*P2411)</f>
        <v>1153.5999999999999</v>
      </c>
    </row>
    <row r="2412" spans="6:18" ht="15.75">
      <c r="G2412" s="52"/>
      <c r="H2412" s="52" t="s">
        <v>2457</v>
      </c>
      <c r="J2412" s="51" t="s">
        <v>2458</v>
      </c>
      <c r="K2412" s="64">
        <v>0.25</v>
      </c>
      <c r="N2412" s="62"/>
      <c r="O2412" s="50" t="s">
        <v>2459</v>
      </c>
      <c r="P2412" s="64"/>
      <c r="Q2412" s="51"/>
      <c r="R2412" s="64">
        <v>20</v>
      </c>
    </row>
    <row r="2413" spans="6:18" ht="15.75">
      <c r="G2413" s="52"/>
      <c r="K2413" s="64"/>
      <c r="N2413" s="53"/>
      <c r="P2413" s="64"/>
      <c r="Q2413" s="55"/>
      <c r="R2413" s="104" t="s">
        <v>2460</v>
      </c>
    </row>
    <row r="2414" spans="6:18" ht="15.75">
      <c r="G2414" s="52"/>
      <c r="K2414" s="342" t="s">
        <v>1810</v>
      </c>
      <c r="N2414" s="53"/>
      <c r="O2414" s="50" t="s">
        <v>2461</v>
      </c>
      <c r="Q2414" s="55"/>
      <c r="R2414" s="52">
        <f>SUM(R2391:R2413)</f>
        <v>8620.1489999999994</v>
      </c>
    </row>
    <row r="2415" spans="6:18" ht="15.75">
      <c r="G2415" s="52"/>
      <c r="K2415" s="63">
        <f>SUM(K2408:K2414)</f>
        <v>2278.85</v>
      </c>
      <c r="N2415" s="53"/>
      <c r="O2415" s="65"/>
      <c r="P2415" s="65"/>
      <c r="Q2415" s="110"/>
      <c r="R2415" s="59" t="s">
        <v>156</v>
      </c>
    </row>
    <row r="2416" spans="6:18" ht="15.75">
      <c r="G2416" s="52"/>
      <c r="K2416" s="342" t="s">
        <v>1810</v>
      </c>
      <c r="N2416" s="53"/>
      <c r="O2416" s="65" t="s">
        <v>2462</v>
      </c>
      <c r="P2416" s="65"/>
      <c r="Q2416" s="110"/>
      <c r="R2416" s="61">
        <f>R2414/5.67</f>
        <v>1520.3084656084654</v>
      </c>
    </row>
    <row r="2417" spans="6:18" ht="15.75">
      <c r="G2417" s="52"/>
      <c r="K2417" s="51"/>
    </row>
    <row r="2418" spans="6:18" ht="15.75">
      <c r="G2418" s="52"/>
      <c r="K2418" s="51"/>
    </row>
    <row r="2419" spans="6:18" ht="15.75">
      <c r="G2419" s="52"/>
      <c r="K2419" s="51"/>
    </row>
    <row r="2420" spans="6:18" ht="15.75">
      <c r="F2420" s="127" t="s">
        <v>1857</v>
      </c>
      <c r="G2420" s="127"/>
      <c r="H2420" s="2112" t="s">
        <v>2463</v>
      </c>
      <c r="I2420" s="2112"/>
      <c r="J2420" s="2112"/>
      <c r="K2420" s="2112"/>
    </row>
    <row r="2421" spans="6:18" ht="15.75">
      <c r="F2421" s="127"/>
      <c r="G2421" s="127"/>
      <c r="H2421" s="127"/>
      <c r="I2421" s="127"/>
      <c r="J2421" s="196"/>
      <c r="K2421" s="163"/>
    </row>
    <row r="2422" spans="6:18" ht="15.75">
      <c r="F2422" s="72">
        <v>10.5</v>
      </c>
      <c r="G2422" s="297" t="s">
        <v>306</v>
      </c>
      <c r="H2422" s="2113" t="s">
        <v>2464</v>
      </c>
      <c r="I2422" s="71">
        <v>312</v>
      </c>
      <c r="J2422" s="102" t="s">
        <v>306</v>
      </c>
      <c r="K2422" s="72">
        <f>(F2422*I2422)</f>
        <v>3276</v>
      </c>
    </row>
    <row r="2423" spans="6:18" ht="15.75">
      <c r="F2423" s="163"/>
      <c r="G2423" s="195"/>
      <c r="H2423" s="2114"/>
      <c r="I2423" s="102" t="s">
        <v>150</v>
      </c>
      <c r="J2423" s="196"/>
      <c r="K2423" s="102" t="s">
        <v>150</v>
      </c>
    </row>
    <row r="2424" spans="6:18" ht="15.75">
      <c r="F2424" s="72">
        <v>0.22</v>
      </c>
      <c r="G2424" s="297" t="s">
        <v>151</v>
      </c>
      <c r="H2424" s="102" t="s">
        <v>298</v>
      </c>
      <c r="I2424" s="72">
        <f>K32</f>
        <v>5022.7</v>
      </c>
      <c r="J2424" s="102" t="s">
        <v>151</v>
      </c>
      <c r="K2424" s="72">
        <f>(F2424*I2424)</f>
        <v>1104.9939999999999</v>
      </c>
    </row>
    <row r="2425" spans="6:18" ht="15.75">
      <c r="F2425" s="72">
        <v>64</v>
      </c>
      <c r="G2425" s="297" t="s">
        <v>13</v>
      </c>
      <c r="H2425" s="102" t="s">
        <v>2465</v>
      </c>
      <c r="I2425" s="72">
        <f>C67</f>
        <v>5800</v>
      </c>
      <c r="J2425" s="102" t="s">
        <v>2466</v>
      </c>
      <c r="K2425" s="72">
        <f>I2425*F2425/1000</f>
        <v>371.2</v>
      </c>
    </row>
    <row r="2426" spans="6:18" ht="15.75">
      <c r="F2426" s="72">
        <v>4.5</v>
      </c>
      <c r="G2426" s="297" t="s">
        <v>13</v>
      </c>
      <c r="H2426" s="343" t="s">
        <v>2467</v>
      </c>
      <c r="I2426" s="72">
        <f>C608</f>
        <v>24.5</v>
      </c>
      <c r="J2426" s="102" t="s">
        <v>13</v>
      </c>
      <c r="K2426" s="72">
        <f>F2426*I2426</f>
        <v>110.25</v>
      </c>
    </row>
    <row r="2427" spans="6:18" ht="15.75">
      <c r="F2427" s="72">
        <v>5.4</v>
      </c>
      <c r="G2427" s="297" t="s">
        <v>4</v>
      </c>
      <c r="H2427" s="50" t="s">
        <v>2468</v>
      </c>
      <c r="I2427" s="72">
        <f>C11</f>
        <v>1005.1999999999999</v>
      </c>
      <c r="J2427" s="102" t="s">
        <v>4</v>
      </c>
      <c r="K2427" s="72">
        <f>(F2427*I2427)</f>
        <v>5428.08</v>
      </c>
      <c r="M2427" s="127" t="s">
        <v>1857</v>
      </c>
      <c r="N2427" s="127"/>
      <c r="O2427" s="2115" t="s">
        <v>2469</v>
      </c>
      <c r="P2427" s="2115"/>
      <c r="Q2427" s="2115"/>
      <c r="R2427" s="2115"/>
    </row>
    <row r="2428" spans="6:18" ht="15.75">
      <c r="F2428" s="72">
        <v>2.16</v>
      </c>
      <c r="G2428" s="297" t="s">
        <v>4</v>
      </c>
      <c r="H2428" s="102" t="s">
        <v>1830</v>
      </c>
      <c r="I2428" s="72">
        <f>C12</f>
        <v>702.8</v>
      </c>
      <c r="J2428" s="102" t="s">
        <v>4</v>
      </c>
      <c r="K2428" s="72">
        <f>(F2428*I2428)</f>
        <v>1518.048</v>
      </c>
      <c r="M2428" s="127"/>
      <c r="N2428" s="127"/>
      <c r="O2428" s="127"/>
      <c r="P2428" s="127"/>
      <c r="Q2428" s="196"/>
      <c r="R2428" s="163"/>
    </row>
    <row r="2429" spans="6:18" ht="15.75">
      <c r="F2429" s="72">
        <v>6.5</v>
      </c>
      <c r="G2429" s="297" t="s">
        <v>4</v>
      </c>
      <c r="H2429" s="102" t="s">
        <v>1831</v>
      </c>
      <c r="I2429" s="72">
        <f>C13</f>
        <v>576.79999999999995</v>
      </c>
      <c r="J2429" s="102" t="s">
        <v>4</v>
      </c>
      <c r="K2429" s="72">
        <f>(F2429*I2429)</f>
        <v>3749.2</v>
      </c>
      <c r="M2429" s="72">
        <v>10.5</v>
      </c>
      <c r="N2429" s="297" t="s">
        <v>306</v>
      </c>
      <c r="O2429" s="2116" t="s">
        <v>2470</v>
      </c>
      <c r="P2429" s="73">
        <v>476</v>
      </c>
      <c r="Q2429" s="102" t="s">
        <v>306</v>
      </c>
      <c r="R2429" s="72">
        <f>(M2429*P2429)</f>
        <v>4998</v>
      </c>
    </row>
    <row r="2430" spans="6:18" ht="15.75">
      <c r="F2430" s="72"/>
      <c r="G2430" s="297"/>
      <c r="H2430" s="102"/>
      <c r="I2430" s="72"/>
      <c r="J2430" s="102" t="s">
        <v>4</v>
      </c>
      <c r="K2430" s="72">
        <v>0</v>
      </c>
      <c r="M2430" s="163"/>
      <c r="N2430" s="195"/>
      <c r="O2430" s="2117"/>
      <c r="P2430" s="102" t="s">
        <v>150</v>
      </c>
      <c r="Q2430" s="196"/>
      <c r="R2430" s="102" t="s">
        <v>150</v>
      </c>
    </row>
    <row r="2431" spans="6:18" ht="15.75">
      <c r="F2431" s="344"/>
      <c r="G2431" s="297"/>
      <c r="H2431" s="163"/>
      <c r="I2431" s="72"/>
      <c r="J2431" s="102"/>
      <c r="K2431" s="72"/>
      <c r="M2431" s="72">
        <v>0.22</v>
      </c>
      <c r="N2431" s="297" t="s">
        <v>151</v>
      </c>
      <c r="O2431" s="102" t="s">
        <v>298</v>
      </c>
      <c r="P2431" s="72">
        <f t="shared" ref="P2431:P2436" si="235">I2424</f>
        <v>5022.7</v>
      </c>
      <c r="Q2431" s="102" t="s">
        <v>151</v>
      </c>
      <c r="R2431" s="72">
        <f>(M2431*P2431)</f>
        <v>1104.9939999999999</v>
      </c>
    </row>
    <row r="2432" spans="6:18" ht="15.75">
      <c r="F2432" s="72"/>
      <c r="G2432" s="297"/>
      <c r="H2432" s="54" t="s">
        <v>238</v>
      </c>
      <c r="I2432" s="163"/>
      <c r="J2432" s="196"/>
      <c r="K2432" s="345" t="s">
        <v>1810</v>
      </c>
      <c r="M2432" s="72">
        <v>64</v>
      </c>
      <c r="N2432" s="297" t="s">
        <v>13</v>
      </c>
      <c r="O2432" s="102" t="s">
        <v>2465</v>
      </c>
      <c r="P2432" s="72">
        <f t="shared" si="235"/>
        <v>5800</v>
      </c>
      <c r="Q2432" s="102" t="s">
        <v>2466</v>
      </c>
      <c r="R2432" s="72">
        <f>P2432*M2432/1000</f>
        <v>371.2</v>
      </c>
    </row>
    <row r="2433" spans="6:18" ht="15.75">
      <c r="F2433" s="72"/>
      <c r="G2433" s="297"/>
      <c r="H2433" s="54"/>
      <c r="I2433" s="163"/>
      <c r="J2433" s="196"/>
      <c r="K2433" s="63">
        <f>SUM(K2422:K2430)</f>
        <v>15557.772000000001</v>
      </c>
      <c r="M2433" s="72">
        <v>4.5</v>
      </c>
      <c r="N2433" s="297" t="s">
        <v>13</v>
      </c>
      <c r="O2433" s="102" t="s">
        <v>2471</v>
      </c>
      <c r="P2433" s="72">
        <f t="shared" si="235"/>
        <v>24.5</v>
      </c>
      <c r="Q2433" s="102" t="s">
        <v>13</v>
      </c>
      <c r="R2433" s="72">
        <f>M2433*P2433</f>
        <v>110.25</v>
      </c>
    </row>
    <row r="2434" spans="6:18" ht="15.75">
      <c r="F2434" s="72"/>
      <c r="G2434" s="297"/>
      <c r="H2434" s="54"/>
      <c r="I2434" s="72"/>
      <c r="J2434" s="102"/>
      <c r="K2434" s="346" t="s">
        <v>999</v>
      </c>
      <c r="M2434" s="72">
        <v>5.4</v>
      </c>
      <c r="N2434" s="297" t="s">
        <v>4</v>
      </c>
      <c r="O2434" s="102" t="s">
        <v>2468</v>
      </c>
      <c r="P2434" s="72">
        <f t="shared" si="235"/>
        <v>1005.1999999999999</v>
      </c>
      <c r="Q2434" s="102" t="s">
        <v>4</v>
      </c>
      <c r="R2434" s="72">
        <f>(M2434*P2434)</f>
        <v>5428.08</v>
      </c>
    </row>
    <row r="2435" spans="6:18" ht="15.75">
      <c r="F2435" s="102"/>
      <c r="G2435" s="195"/>
      <c r="H2435" s="54" t="s">
        <v>155</v>
      </c>
      <c r="I2435" s="102"/>
      <c r="J2435" s="196"/>
      <c r="K2435" s="61">
        <f>K2433/10</f>
        <v>1555.7772</v>
      </c>
      <c r="M2435" s="72">
        <v>2.16</v>
      </c>
      <c r="N2435" s="297" t="s">
        <v>4</v>
      </c>
      <c r="O2435" s="102" t="s">
        <v>1830</v>
      </c>
      <c r="P2435" s="72">
        <f t="shared" si="235"/>
        <v>702.8</v>
      </c>
      <c r="Q2435" s="102" t="s">
        <v>4</v>
      </c>
      <c r="R2435" s="72">
        <f>(M2435*P2435)</f>
        <v>1518.048</v>
      </c>
    </row>
    <row r="2436" spans="6:18" ht="15.75">
      <c r="K2436" s="104" t="s">
        <v>1810</v>
      </c>
      <c r="M2436" s="72">
        <v>6.5</v>
      </c>
      <c r="N2436" s="297" t="s">
        <v>4</v>
      </c>
      <c r="O2436" s="102" t="s">
        <v>1831</v>
      </c>
      <c r="P2436" s="72">
        <f t="shared" si="235"/>
        <v>576.79999999999995</v>
      </c>
      <c r="Q2436" s="102" t="s">
        <v>4</v>
      </c>
      <c r="R2436" s="72">
        <f>(M2436*P2436)</f>
        <v>3749.2</v>
      </c>
    </row>
    <row r="2437" spans="6:18" ht="15.75">
      <c r="M2437" s="72"/>
      <c r="N2437" s="297"/>
      <c r="O2437" s="102"/>
      <c r="P2437" s="72"/>
      <c r="Q2437" s="102" t="s">
        <v>4</v>
      </c>
      <c r="R2437" s="72">
        <f>(M2437*P2437)</f>
        <v>0</v>
      </c>
    </row>
    <row r="2438" spans="6:18" ht="15.75">
      <c r="M2438" s="344"/>
      <c r="N2438" s="297"/>
      <c r="O2438" s="163"/>
      <c r="P2438" s="72"/>
      <c r="Q2438" s="102"/>
      <c r="R2438" s="72"/>
    </row>
    <row r="2439" spans="6:18" ht="15.75">
      <c r="F2439" s="72"/>
      <c r="G2439" s="297"/>
      <c r="H2439" s="54" t="s">
        <v>2472</v>
      </c>
      <c r="I2439" s="72"/>
      <c r="J2439" s="102"/>
      <c r="K2439" s="72"/>
      <c r="M2439" s="72"/>
      <c r="N2439" s="297"/>
      <c r="O2439" s="54" t="s">
        <v>238</v>
      </c>
      <c r="P2439" s="163"/>
      <c r="Q2439" s="196"/>
      <c r="R2439" s="345" t="s">
        <v>1810</v>
      </c>
    </row>
    <row r="2440" spans="6:18" ht="15.75">
      <c r="F2440" s="72"/>
      <c r="G2440" s="297"/>
      <c r="H2440" s="163"/>
      <c r="I2440" s="72"/>
      <c r="J2440" s="102"/>
      <c r="K2440" s="163"/>
      <c r="M2440" s="72"/>
      <c r="N2440" s="297"/>
      <c r="O2440" s="54"/>
      <c r="P2440" s="163"/>
      <c r="Q2440" s="196"/>
      <c r="R2440" s="63">
        <f>SUM(R2429:R2437)</f>
        <v>17279.772000000001</v>
      </c>
    </row>
    <row r="2441" spans="6:18" ht="15.75">
      <c r="F2441" s="72">
        <v>10</v>
      </c>
      <c r="G2441" s="297" t="s">
        <v>306</v>
      </c>
      <c r="H2441" s="102" t="s">
        <v>2473</v>
      </c>
      <c r="I2441" s="72">
        <f>K1213</f>
        <v>552.25540000000001</v>
      </c>
      <c r="J2441" s="102" t="s">
        <v>306</v>
      </c>
      <c r="K2441" s="72">
        <f>F2441*I2441</f>
        <v>5522.5540000000001</v>
      </c>
      <c r="M2441" s="72"/>
      <c r="N2441" s="297"/>
      <c r="O2441" s="54"/>
      <c r="P2441" s="72"/>
      <c r="Q2441" s="102"/>
      <c r="R2441" s="346" t="s">
        <v>999</v>
      </c>
    </row>
    <row r="2442" spans="6:18" ht="15.75">
      <c r="F2442" s="163">
        <v>9.8000000000000007</v>
      </c>
      <c r="G2442" s="297" t="s">
        <v>13</v>
      </c>
      <c r="H2442" s="52" t="s">
        <v>2474</v>
      </c>
      <c r="I2442" s="72">
        <f>C148</f>
        <v>142.4</v>
      </c>
      <c r="J2442" s="102" t="s">
        <v>13</v>
      </c>
      <c r="K2442" s="72">
        <f>F2442*I2442</f>
        <v>1395.5200000000002</v>
      </c>
      <c r="M2442" s="102"/>
      <c r="N2442" s="195"/>
      <c r="O2442" s="54" t="s">
        <v>155</v>
      </c>
      <c r="P2442" s="102"/>
      <c r="Q2442" s="196"/>
      <c r="R2442" s="61">
        <f>R2440/10</f>
        <v>1727.9772</v>
      </c>
    </row>
    <row r="2443" spans="6:18" ht="15.75">
      <c r="F2443" s="163">
        <v>1.1000000000000001</v>
      </c>
      <c r="G2443" s="195" t="s">
        <v>295</v>
      </c>
      <c r="H2443" s="102" t="s">
        <v>269</v>
      </c>
      <c r="I2443" s="163">
        <f>I2410</f>
        <v>1076.5999999999999</v>
      </c>
      <c r="J2443" s="196" t="s">
        <v>340</v>
      </c>
      <c r="K2443" s="163">
        <f>F2443*I2443</f>
        <v>1184.26</v>
      </c>
      <c r="N2443" s="53"/>
      <c r="Q2443" s="55"/>
      <c r="R2443" s="104" t="s">
        <v>1810</v>
      </c>
    </row>
    <row r="2444" spans="6:18" ht="15.75">
      <c r="F2444" s="163"/>
      <c r="G2444" s="195"/>
      <c r="H2444" s="52" t="s">
        <v>337</v>
      </c>
      <c r="I2444" s="163"/>
      <c r="J2444" s="196"/>
      <c r="K2444" s="163">
        <v>0.2</v>
      </c>
    </row>
    <row r="2445" spans="6:18" ht="15.75">
      <c r="F2445" s="163"/>
      <c r="G2445" s="195"/>
      <c r="H2445" s="163"/>
      <c r="I2445" s="163"/>
      <c r="J2445" s="196"/>
      <c r="K2445" s="119" t="s">
        <v>156</v>
      </c>
    </row>
    <row r="2446" spans="6:18" ht="15.75">
      <c r="F2446" s="102" t="s">
        <v>150</v>
      </c>
      <c r="G2446" s="195"/>
      <c r="H2446" s="54" t="s">
        <v>238</v>
      </c>
      <c r="I2446" s="163"/>
      <c r="J2446" s="196"/>
      <c r="K2446" s="65">
        <f>SUM(K2441:K2444)</f>
        <v>8102.5340000000006</v>
      </c>
    </row>
    <row r="2447" spans="6:18" ht="15.75">
      <c r="F2447" s="163"/>
      <c r="G2447" s="195"/>
      <c r="H2447" s="163"/>
      <c r="I2447" s="163"/>
      <c r="J2447" s="196"/>
      <c r="K2447" s="347" t="s">
        <v>1810</v>
      </c>
    </row>
    <row r="2448" spans="6:18" ht="15.75">
      <c r="F2448" s="102" t="s">
        <v>150</v>
      </c>
      <c r="G2448" s="195"/>
      <c r="H2448" s="54" t="s">
        <v>155</v>
      </c>
      <c r="I2448" s="163"/>
      <c r="J2448" s="196"/>
      <c r="K2448" s="61">
        <f>K2446/10</f>
        <v>810.25340000000006</v>
      </c>
    </row>
    <row r="2449" spans="6:11" ht="15.75">
      <c r="F2449" s="163"/>
      <c r="G2449" s="195"/>
      <c r="I2449" s="163"/>
      <c r="J2449" s="196"/>
      <c r="K2449" s="104" t="s">
        <v>1810</v>
      </c>
    </row>
    <row r="2450" spans="6:11" ht="15.75">
      <c r="F2450" s="163"/>
      <c r="G2450" s="195"/>
      <c r="H2450" s="163"/>
      <c r="I2450" s="163"/>
      <c r="J2450" s="196"/>
      <c r="K2450" s="163"/>
    </row>
    <row r="2451" spans="6:11" ht="15.75">
      <c r="F2451" s="163"/>
      <c r="G2451" s="195"/>
      <c r="H2451" s="163"/>
      <c r="I2451" s="163"/>
      <c r="J2451" s="196"/>
      <c r="K2451" s="163"/>
    </row>
    <row r="2452" spans="6:11" ht="15.75">
      <c r="F2452" s="163"/>
      <c r="G2452" s="195"/>
      <c r="H2452" s="163"/>
      <c r="I2452" s="163"/>
      <c r="J2452" s="196"/>
      <c r="K2452" s="163"/>
    </row>
    <row r="2453" spans="6:11" ht="15.75">
      <c r="F2453" s="163"/>
      <c r="G2453" s="195"/>
      <c r="H2453" s="163"/>
      <c r="I2453" s="163"/>
      <c r="J2453" s="196"/>
      <c r="K2453" s="163"/>
    </row>
    <row r="2454" spans="6:11" ht="15.75">
      <c r="F2454" s="163"/>
      <c r="G2454" s="195"/>
      <c r="H2454" s="65" t="s">
        <v>2475</v>
      </c>
      <c r="I2454" s="163"/>
      <c r="J2454" s="196"/>
      <c r="K2454" s="163"/>
    </row>
    <row r="2455" spans="6:11" ht="15.75">
      <c r="F2455" s="163"/>
      <c r="G2455" s="195"/>
      <c r="H2455" s="163"/>
      <c r="I2455" s="163"/>
      <c r="J2455" s="196"/>
      <c r="K2455" s="163"/>
    </row>
    <row r="2456" spans="6:11" ht="15.75">
      <c r="F2456" s="196" t="s">
        <v>2476</v>
      </c>
      <c r="G2456" s="196"/>
      <c r="H2456" s="196"/>
      <c r="I2456" s="163">
        <v>15.21</v>
      </c>
      <c r="J2456" s="196" t="s">
        <v>2161</v>
      </c>
      <c r="K2456" s="163"/>
    </row>
    <row r="2457" spans="6:11" ht="15.75">
      <c r="F2457" s="163" t="s">
        <v>2477</v>
      </c>
      <c r="G2457" s="195"/>
      <c r="H2457" s="163"/>
      <c r="I2457" s="163">
        <v>22.61</v>
      </c>
      <c r="J2457" s="196" t="s">
        <v>2161</v>
      </c>
      <c r="K2457" s="163"/>
    </row>
    <row r="2458" spans="6:11" ht="15.75">
      <c r="F2458" s="163" t="s">
        <v>2478</v>
      </c>
      <c r="G2458" s="195"/>
      <c r="H2458" s="163"/>
      <c r="I2458" s="163">
        <v>3.24</v>
      </c>
      <c r="J2458" s="196" t="s">
        <v>2161</v>
      </c>
      <c r="K2458" s="163"/>
    </row>
    <row r="2459" spans="6:11" ht="15.75">
      <c r="F2459" s="163" t="s">
        <v>2479</v>
      </c>
      <c r="G2459" s="195"/>
      <c r="H2459" s="163"/>
      <c r="I2459" s="163">
        <v>2.16</v>
      </c>
      <c r="J2459" s="196" t="s">
        <v>2161</v>
      </c>
      <c r="K2459" s="163"/>
    </row>
    <row r="2460" spans="6:11" ht="15.75">
      <c r="F2460" s="163"/>
      <c r="G2460" s="195"/>
      <c r="H2460" s="163"/>
      <c r="I2460" s="163"/>
      <c r="J2460" s="196"/>
      <c r="K2460" s="163"/>
    </row>
    <row r="2461" spans="6:11" ht="15.75">
      <c r="F2461" s="163"/>
      <c r="G2461" s="195"/>
      <c r="H2461" s="163"/>
      <c r="I2461" s="199" t="s">
        <v>1810</v>
      </c>
      <c r="J2461" s="196"/>
      <c r="K2461" s="163"/>
    </row>
    <row r="2462" spans="6:11" ht="15.75">
      <c r="F2462" s="163"/>
      <c r="G2462" s="195"/>
      <c r="H2462" s="163"/>
      <c r="I2462" s="163">
        <f>SUM(I2456:I2460)</f>
        <v>43.22</v>
      </c>
      <c r="J2462" s="196"/>
      <c r="K2462" s="163"/>
    </row>
    <row r="2463" spans="6:11" ht="15.75">
      <c r="F2463" s="163"/>
      <c r="G2463" s="195"/>
      <c r="H2463" s="163"/>
      <c r="I2463" s="163" t="s">
        <v>2480</v>
      </c>
      <c r="J2463" s="196"/>
      <c r="K2463" s="163"/>
    </row>
    <row r="2464" spans="6:11" ht="15.75">
      <c r="F2464" s="163"/>
      <c r="G2464" s="195"/>
      <c r="H2464" s="163"/>
      <c r="I2464" s="163"/>
      <c r="J2464" s="196"/>
      <c r="K2464" s="163"/>
    </row>
    <row r="2465" spans="6:11" ht="15.75">
      <c r="F2465" s="163"/>
      <c r="G2465" s="195"/>
      <c r="H2465" s="163"/>
      <c r="I2465" s="163"/>
      <c r="J2465" s="196"/>
      <c r="K2465" s="163"/>
    </row>
    <row r="2466" spans="6:11" ht="15.75">
      <c r="F2466" s="163">
        <v>43.22</v>
      </c>
      <c r="G2466" s="195" t="s">
        <v>13</v>
      </c>
      <c r="H2466" s="328" t="s">
        <v>2481</v>
      </c>
      <c r="I2466" s="163">
        <f>C660</f>
        <v>54.5</v>
      </c>
      <c r="J2466" s="196" t="s">
        <v>13</v>
      </c>
      <c r="K2466" s="163">
        <f>I2466*F2466</f>
        <v>2355.4899999999998</v>
      </c>
    </row>
    <row r="2467" spans="6:11" ht="15.75">
      <c r="F2467" s="163">
        <v>0.81</v>
      </c>
      <c r="G2467" s="195" t="s">
        <v>306</v>
      </c>
      <c r="H2467" s="163" t="s">
        <v>2482</v>
      </c>
      <c r="I2467" s="163">
        <f>C199</f>
        <v>295</v>
      </c>
      <c r="J2467" s="196" t="s">
        <v>306</v>
      </c>
      <c r="K2467" s="163">
        <f>I2467*F2467</f>
        <v>238.95000000000002</v>
      </c>
    </row>
    <row r="2468" spans="6:11" ht="15.75">
      <c r="F2468" s="163">
        <v>0.81</v>
      </c>
      <c r="G2468" s="195" t="s">
        <v>306</v>
      </c>
      <c r="H2468" s="163" t="s">
        <v>2483</v>
      </c>
      <c r="I2468" s="163">
        <f>D199</f>
        <v>91</v>
      </c>
      <c r="J2468" s="196" t="s">
        <v>306</v>
      </c>
      <c r="K2468" s="163">
        <f>I2468*F2468</f>
        <v>73.710000000000008</v>
      </c>
    </row>
    <row r="2469" spans="6:11" ht="15.75">
      <c r="F2469" s="163"/>
      <c r="G2469" s="195"/>
      <c r="H2469" s="163" t="s">
        <v>2484</v>
      </c>
      <c r="I2469" s="348">
        <f>46.61</f>
        <v>46.61</v>
      </c>
      <c r="J2469" s="196" t="s">
        <v>226</v>
      </c>
      <c r="K2469" s="163">
        <f>I2469</f>
        <v>46.61</v>
      </c>
    </row>
    <row r="2470" spans="6:11" ht="15.75">
      <c r="F2470" s="163"/>
      <c r="G2470" s="195"/>
      <c r="H2470" s="163"/>
      <c r="I2470" s="163"/>
      <c r="J2470" s="196"/>
      <c r="K2470" s="199" t="s">
        <v>1810</v>
      </c>
    </row>
    <row r="2471" spans="6:11" ht="15.75">
      <c r="F2471" s="163"/>
      <c r="G2471" s="195"/>
      <c r="H2471" s="65" t="s">
        <v>2485</v>
      </c>
      <c r="I2471" s="163"/>
      <c r="J2471" s="196"/>
      <c r="K2471" s="65">
        <f>SUM(K2466:K2469)</f>
        <v>2714.7599999999998</v>
      </c>
    </row>
    <row r="2472" spans="6:11" ht="15.75">
      <c r="F2472" s="163"/>
      <c r="G2472" s="195"/>
      <c r="H2472" s="163">
        <f>0.6*1.35</f>
        <v>0.81</v>
      </c>
      <c r="I2472" s="163"/>
      <c r="J2472" s="196"/>
      <c r="K2472" s="199" t="s">
        <v>1810</v>
      </c>
    </row>
    <row r="2473" spans="6:11" ht="15.75">
      <c r="F2473" s="163"/>
      <c r="G2473" s="195"/>
      <c r="H2473" s="65" t="s">
        <v>2486</v>
      </c>
      <c r="I2473" s="163"/>
      <c r="J2473" s="196"/>
      <c r="K2473" s="65">
        <f>K2471/H2472</f>
        <v>3351.5555555555552</v>
      </c>
    </row>
    <row r="2474" spans="6:11" ht="15.75">
      <c r="F2474" s="163"/>
      <c r="G2474" s="195"/>
      <c r="H2474" s="163"/>
      <c r="I2474" s="163"/>
      <c r="J2474" s="196"/>
      <c r="K2474" s="163"/>
    </row>
    <row r="2475" spans="6:11" ht="15.75">
      <c r="F2475" s="196" t="s">
        <v>2487</v>
      </c>
      <c r="G2475" s="196"/>
      <c r="H2475" s="196"/>
      <c r="I2475" s="163">
        <v>11.78</v>
      </c>
      <c r="J2475" s="196" t="s">
        <v>2161</v>
      </c>
      <c r="K2475" s="163"/>
    </row>
    <row r="2476" spans="6:11" ht="15.75">
      <c r="F2476" s="163" t="s">
        <v>2488</v>
      </c>
      <c r="G2476" s="195"/>
      <c r="H2476" s="163"/>
      <c r="I2476" s="163">
        <v>15.07</v>
      </c>
      <c r="J2476" s="196" t="s">
        <v>2161</v>
      </c>
      <c r="K2476" s="163"/>
    </row>
    <row r="2477" spans="6:11" ht="15.75">
      <c r="F2477" s="163" t="s">
        <v>2489</v>
      </c>
      <c r="G2477" s="195"/>
      <c r="H2477" s="163"/>
      <c r="I2477" s="163">
        <v>2.16</v>
      </c>
      <c r="J2477" s="196" t="s">
        <v>2161</v>
      </c>
      <c r="K2477" s="163"/>
    </row>
    <row r="2478" spans="6:11" ht="15.75">
      <c r="F2478" s="163" t="s">
        <v>2479</v>
      </c>
      <c r="G2478" s="195"/>
      <c r="H2478" s="163"/>
      <c r="I2478" s="163">
        <v>2.16</v>
      </c>
      <c r="J2478" s="196" t="s">
        <v>2161</v>
      </c>
      <c r="K2478" s="163"/>
    </row>
    <row r="2479" spans="6:11" ht="15.75">
      <c r="F2479" s="163" t="s">
        <v>2490</v>
      </c>
      <c r="G2479" s="195"/>
      <c r="H2479" s="163"/>
      <c r="I2479" s="163">
        <f>1.91-0.08</f>
        <v>1.8299999999999998</v>
      </c>
      <c r="J2479" s="196"/>
      <c r="K2479" s="163"/>
    </row>
    <row r="2480" spans="6:11" ht="15.75">
      <c r="F2480" s="163"/>
      <c r="G2480" s="195"/>
      <c r="H2480" s="163"/>
      <c r="I2480" s="199" t="s">
        <v>2491</v>
      </c>
      <c r="J2480" s="196"/>
      <c r="K2480" s="163"/>
    </row>
    <row r="2481" spans="6:11" ht="15.75">
      <c r="F2481" s="163"/>
      <c r="G2481" s="195"/>
      <c r="H2481" s="163"/>
      <c r="I2481" s="65">
        <f>SUM(I2475:I2479)</f>
        <v>33</v>
      </c>
      <c r="J2481" s="196" t="s">
        <v>2161</v>
      </c>
      <c r="K2481" s="163"/>
    </row>
    <row r="2482" spans="6:11" ht="15.75">
      <c r="F2482" s="163"/>
      <c r="G2482" s="195"/>
      <c r="H2482" s="163"/>
      <c r="I2482" s="199" t="s">
        <v>2491</v>
      </c>
      <c r="J2482" s="196"/>
      <c r="K2482" s="163"/>
    </row>
    <row r="2483" spans="6:11" ht="15.75">
      <c r="F2483" s="163"/>
      <c r="G2483" s="195"/>
      <c r="H2483" s="163"/>
      <c r="I2483" s="163"/>
      <c r="J2483" s="196"/>
      <c r="K2483" s="163"/>
    </row>
    <row r="2484" spans="6:11" ht="15.75">
      <c r="F2484" s="163"/>
      <c r="G2484" s="195"/>
      <c r="H2484" s="163"/>
      <c r="I2484" s="163"/>
      <c r="J2484" s="196"/>
      <c r="K2484" s="163"/>
    </row>
    <row r="2485" spans="6:11" ht="15.75">
      <c r="F2485" s="163">
        <f>I2481</f>
        <v>33</v>
      </c>
      <c r="G2485" s="195" t="s">
        <v>13</v>
      </c>
      <c r="H2485" s="163" t="s">
        <v>2481</v>
      </c>
      <c r="I2485" s="163">
        <f>I2466</f>
        <v>54.5</v>
      </c>
      <c r="J2485" s="196" t="s">
        <v>13</v>
      </c>
      <c r="K2485" s="163">
        <f>I2485*F2485</f>
        <v>1798.5</v>
      </c>
    </row>
    <row r="2486" spans="6:11" ht="15.75">
      <c r="F2486" s="163">
        <v>0.54</v>
      </c>
      <c r="G2486" s="195" t="s">
        <v>306</v>
      </c>
      <c r="H2486" s="163" t="s">
        <v>2482</v>
      </c>
      <c r="I2486" s="163">
        <f>I2467</f>
        <v>295</v>
      </c>
      <c r="J2486" s="196" t="s">
        <v>306</v>
      </c>
      <c r="K2486" s="163">
        <f>I2486*F2486</f>
        <v>159.30000000000001</v>
      </c>
    </row>
    <row r="2487" spans="6:11" ht="15.75">
      <c r="F2487" s="163">
        <v>0.54</v>
      </c>
      <c r="G2487" s="195" t="s">
        <v>306</v>
      </c>
      <c r="H2487" s="163" t="str">
        <f>H2468</f>
        <v>Fly proof  Mesh</v>
      </c>
      <c r="I2487" s="163">
        <f>I2468</f>
        <v>91</v>
      </c>
      <c r="J2487" s="196" t="s">
        <v>306</v>
      </c>
      <c r="K2487" s="163">
        <f>I2487*F2487</f>
        <v>49.14</v>
      </c>
    </row>
    <row r="2488" spans="6:11" ht="15.75">
      <c r="F2488" s="163"/>
      <c r="G2488" s="195"/>
      <c r="H2488" s="163" t="s">
        <v>2484</v>
      </c>
      <c r="I2488" s="348">
        <v>53.5</v>
      </c>
      <c r="J2488" s="196" t="s">
        <v>226</v>
      </c>
      <c r="K2488" s="163">
        <v>52.8</v>
      </c>
    </row>
    <row r="2489" spans="6:11" ht="15.75">
      <c r="F2489" s="163"/>
      <c r="G2489" s="195"/>
      <c r="H2489" s="163"/>
      <c r="I2489" s="163"/>
      <c r="J2489" s="196"/>
      <c r="K2489" s="199" t="s">
        <v>1810</v>
      </c>
    </row>
    <row r="2490" spans="6:11" ht="15.75">
      <c r="F2490" s="163"/>
      <c r="G2490" s="195"/>
      <c r="H2490" s="65" t="s">
        <v>2485</v>
      </c>
      <c r="I2490" s="163"/>
      <c r="J2490" s="196"/>
      <c r="K2490" s="65">
        <f>SUM(K2485:K2488)</f>
        <v>2059.7400000000002</v>
      </c>
    </row>
    <row r="2491" spans="6:11" ht="15.75">
      <c r="F2491" s="163"/>
      <c r="G2491" s="195"/>
      <c r="H2491" s="163"/>
      <c r="I2491" s="163"/>
      <c r="J2491" s="196"/>
      <c r="K2491" s="199" t="s">
        <v>1810</v>
      </c>
    </row>
    <row r="2492" spans="6:11" ht="15.75">
      <c r="F2492" s="163"/>
      <c r="G2492" s="195"/>
      <c r="H2492" s="163"/>
      <c r="I2492" s="65" t="s">
        <v>2492</v>
      </c>
      <c r="J2492" s="196"/>
      <c r="K2492" s="65">
        <f>K2490/0.54</f>
        <v>3814.3333333333335</v>
      </c>
    </row>
    <row r="2493" spans="6:11" ht="15.75">
      <c r="F2493" s="163"/>
      <c r="G2493" s="195"/>
      <c r="H2493" s="163"/>
      <c r="I2493" s="163"/>
      <c r="J2493" s="196"/>
      <c r="K2493" s="163"/>
    </row>
    <row r="2494" spans="6:11" ht="15.75">
      <c r="F2494" s="163"/>
      <c r="G2494" s="195"/>
      <c r="H2494" s="163"/>
      <c r="I2494" s="163"/>
      <c r="J2494" s="196"/>
      <c r="K2494" s="163"/>
    </row>
    <row r="2495" spans="6:11" ht="15.75">
      <c r="F2495" s="163"/>
      <c r="G2495" s="195"/>
      <c r="H2495" s="65" t="s">
        <v>2493</v>
      </c>
      <c r="I2495" s="163"/>
      <c r="J2495" s="196"/>
      <c r="K2495" s="163"/>
    </row>
    <row r="2496" spans="6:11" ht="15.75">
      <c r="F2496" s="163"/>
      <c r="G2496" s="195"/>
      <c r="H2496" s="163"/>
      <c r="I2496" s="163"/>
      <c r="J2496" s="196"/>
      <c r="K2496" s="163"/>
    </row>
    <row r="2497" spans="6:18" ht="15.75">
      <c r="F2497" s="196" t="s">
        <v>2494</v>
      </c>
      <c r="G2497" s="196"/>
      <c r="H2497" s="196"/>
      <c r="I2497" s="163">
        <v>9.42</v>
      </c>
      <c r="J2497" s="196" t="s">
        <v>2161</v>
      </c>
      <c r="K2497" s="196"/>
    </row>
    <row r="2498" spans="6:18" ht="15.75">
      <c r="F2498" s="163" t="s">
        <v>2495</v>
      </c>
      <c r="G2498" s="195"/>
      <c r="H2498" s="163"/>
      <c r="I2498" s="163">
        <v>9.42</v>
      </c>
      <c r="J2498" s="196" t="s">
        <v>2161</v>
      </c>
      <c r="K2498" s="196"/>
    </row>
    <row r="2499" spans="6:18" ht="15.75">
      <c r="F2499" s="163" t="s">
        <v>2496</v>
      </c>
      <c r="G2499" s="195"/>
      <c r="H2499" s="163"/>
      <c r="I2499" s="163">
        <v>1.44</v>
      </c>
      <c r="J2499" s="196" t="s">
        <v>2161</v>
      </c>
      <c r="K2499" s="196"/>
    </row>
    <row r="2500" spans="6:18" ht="15.75">
      <c r="F2500" s="163" t="s">
        <v>2479</v>
      </c>
      <c r="G2500" s="195"/>
      <c r="H2500" s="163"/>
      <c r="I2500" s="163">
        <v>2.16</v>
      </c>
      <c r="J2500" s="196" t="s">
        <v>2161</v>
      </c>
      <c r="K2500" s="196"/>
    </row>
    <row r="2501" spans="6:18" ht="15.75">
      <c r="F2501" s="163" t="s">
        <v>2490</v>
      </c>
      <c r="G2501" s="195"/>
      <c r="H2501" s="163"/>
      <c r="I2501" s="163">
        <v>1.56</v>
      </c>
      <c r="J2501" s="196"/>
      <c r="K2501" s="196"/>
    </row>
    <row r="2502" spans="6:18" ht="15.75">
      <c r="F2502" s="163"/>
      <c r="G2502" s="195"/>
      <c r="H2502" s="163"/>
      <c r="I2502" s="199" t="s">
        <v>2491</v>
      </c>
      <c r="J2502" s="196"/>
      <c r="K2502" s="196"/>
      <c r="M2502" s="163"/>
      <c r="N2502" s="195"/>
      <c r="O2502" s="65" t="s">
        <v>2497</v>
      </c>
      <c r="P2502" s="163"/>
      <c r="Q2502" s="196"/>
      <c r="R2502" s="163"/>
    </row>
    <row r="2503" spans="6:18" ht="15.75">
      <c r="F2503" s="163"/>
      <c r="G2503" s="195"/>
      <c r="H2503" s="163"/>
      <c r="I2503" s="163">
        <f>SUM(I2497:I2501)</f>
        <v>24</v>
      </c>
      <c r="J2503" s="196" t="s">
        <v>2161</v>
      </c>
      <c r="K2503" s="196"/>
      <c r="M2503" s="163"/>
      <c r="N2503" s="195"/>
      <c r="O2503" s="163"/>
      <c r="P2503" s="163"/>
      <c r="Q2503" s="196"/>
      <c r="R2503" s="163"/>
    </row>
    <row r="2504" spans="6:18" ht="15.75">
      <c r="F2504" s="163"/>
      <c r="G2504" s="195"/>
      <c r="H2504" s="163"/>
      <c r="I2504" s="199" t="s">
        <v>2491</v>
      </c>
      <c r="J2504" s="196"/>
      <c r="K2504" s="163"/>
      <c r="M2504" s="196" t="s">
        <v>2498</v>
      </c>
      <c r="N2504" s="196"/>
      <c r="O2504" s="196"/>
      <c r="P2504" s="198">
        <f>3.77*3.9</f>
        <v>14.702999999999999</v>
      </c>
      <c r="Q2504" s="196" t="s">
        <v>2161</v>
      </c>
      <c r="R2504" s="196"/>
    </row>
    <row r="2505" spans="6:18" ht="15.75">
      <c r="F2505" s="163"/>
      <c r="G2505" s="195"/>
      <c r="H2505" s="163"/>
      <c r="I2505" s="163"/>
      <c r="J2505" s="196"/>
      <c r="K2505" s="163"/>
      <c r="M2505" s="163" t="s">
        <v>2499</v>
      </c>
      <c r="N2505" s="195"/>
      <c r="O2505" s="163"/>
      <c r="P2505" s="163">
        <f>12*0.6*3.14</f>
        <v>22.607999999999997</v>
      </c>
      <c r="Q2505" s="196" t="s">
        <v>2161</v>
      </c>
      <c r="R2505" s="196"/>
    </row>
    <row r="2506" spans="6:18" ht="15.75">
      <c r="F2506" s="163"/>
      <c r="G2506" s="195"/>
      <c r="H2506" s="163"/>
      <c r="I2506" s="163"/>
      <c r="J2506" s="196"/>
      <c r="K2506" s="163"/>
      <c r="M2506" s="163" t="s">
        <v>2500</v>
      </c>
      <c r="N2506" s="195"/>
      <c r="O2506" s="163"/>
      <c r="P2506" s="163">
        <f>2*1.285*1.2</f>
        <v>3.0839999999999996</v>
      </c>
      <c r="Q2506" s="196" t="s">
        <v>2161</v>
      </c>
      <c r="R2506" s="196"/>
    </row>
    <row r="2507" spans="6:18" ht="15.75">
      <c r="F2507" s="163">
        <v>24</v>
      </c>
      <c r="G2507" s="195" t="s">
        <v>13</v>
      </c>
      <c r="H2507" s="163" t="s">
        <v>2481</v>
      </c>
      <c r="I2507" s="163">
        <f>I2485</f>
        <v>54.5</v>
      </c>
      <c r="J2507" s="196" t="s">
        <v>13</v>
      </c>
      <c r="K2507" s="163">
        <f>I2507*F2507</f>
        <v>1308</v>
      </c>
      <c r="M2507" s="163" t="s">
        <v>2479</v>
      </c>
      <c r="N2507" s="195"/>
      <c r="O2507" s="163"/>
      <c r="P2507" s="163">
        <f>3*0.6*1.2</f>
        <v>2.1599999999999997</v>
      </c>
      <c r="Q2507" s="196" t="s">
        <v>2161</v>
      </c>
      <c r="R2507" s="196"/>
    </row>
    <row r="2508" spans="6:18" ht="15.75">
      <c r="F2508" s="163">
        <v>0.36</v>
      </c>
      <c r="G2508" s="195" t="s">
        <v>306</v>
      </c>
      <c r="H2508" s="163" t="s">
        <v>2482</v>
      </c>
      <c r="I2508" s="163">
        <f>I2486</f>
        <v>295</v>
      </c>
      <c r="J2508" s="196" t="s">
        <v>306</v>
      </c>
      <c r="K2508" s="163">
        <f>I2508*F2508</f>
        <v>106.2</v>
      </c>
      <c r="M2508" s="163" t="s">
        <v>2490</v>
      </c>
      <c r="N2508" s="195"/>
      <c r="O2508" s="163"/>
      <c r="P2508" s="163">
        <v>0.16</v>
      </c>
      <c r="Q2508" s="196"/>
      <c r="R2508" s="196"/>
    </row>
    <row r="2509" spans="6:18" ht="15.75">
      <c r="F2509" s="163">
        <v>0.36</v>
      </c>
      <c r="G2509" s="195" t="s">
        <v>306</v>
      </c>
      <c r="H2509" s="163" t="s">
        <v>2501</v>
      </c>
      <c r="I2509" s="163">
        <f>C198</f>
        <v>31.65</v>
      </c>
      <c r="J2509" s="196" t="s">
        <v>306</v>
      </c>
      <c r="K2509" s="163">
        <f>I2509*F2509</f>
        <v>11.393999999999998</v>
      </c>
      <c r="M2509" s="163"/>
      <c r="N2509" s="195"/>
      <c r="O2509" s="163"/>
      <c r="P2509" s="199" t="s">
        <v>2491</v>
      </c>
      <c r="Q2509" s="196"/>
      <c r="R2509" s="196"/>
    </row>
    <row r="2510" spans="6:18" ht="15.75">
      <c r="F2510" s="163"/>
      <c r="G2510" s="195"/>
      <c r="H2510" s="163" t="s">
        <v>2502</v>
      </c>
      <c r="I2510" s="348">
        <v>28.34</v>
      </c>
      <c r="J2510" s="196" t="s">
        <v>226</v>
      </c>
      <c r="K2510" s="163">
        <f>28.14</f>
        <v>28.14</v>
      </c>
      <c r="M2510" s="163"/>
      <c r="N2510" s="195"/>
      <c r="O2510" s="163"/>
      <c r="P2510" s="194">
        <f>SUM(P2504:P2508)</f>
        <v>42.714999999999989</v>
      </c>
      <c r="Q2510" s="196" t="s">
        <v>2161</v>
      </c>
      <c r="R2510" s="196">
        <f>42.55-42.713</f>
        <v>-0.16300000000000381</v>
      </c>
    </row>
    <row r="2511" spans="6:18" ht="15.75">
      <c r="F2511" s="163"/>
      <c r="G2511" s="195"/>
      <c r="H2511" s="163"/>
      <c r="I2511" s="163"/>
      <c r="J2511" s="196"/>
      <c r="K2511" s="199" t="s">
        <v>1810</v>
      </c>
      <c r="M2511" s="163"/>
      <c r="N2511" s="195"/>
      <c r="O2511" s="163"/>
      <c r="P2511" s="199" t="s">
        <v>2491</v>
      </c>
      <c r="Q2511" s="196"/>
      <c r="R2511" s="163"/>
    </row>
    <row r="2512" spans="6:18" ht="15.75">
      <c r="F2512" s="163"/>
      <c r="G2512" s="195"/>
      <c r="H2512" s="65" t="s">
        <v>2485</v>
      </c>
      <c r="I2512" s="163"/>
      <c r="J2512" s="196"/>
      <c r="K2512" s="65">
        <f>SUM(K2507:K2510)</f>
        <v>1453.7340000000002</v>
      </c>
      <c r="M2512" s="163"/>
      <c r="N2512" s="195"/>
      <c r="O2512" s="163"/>
      <c r="P2512" s="163"/>
      <c r="Q2512" s="196"/>
      <c r="R2512" s="163"/>
    </row>
    <row r="2513" spans="6:18" ht="15.75">
      <c r="F2513" s="163"/>
      <c r="G2513" s="195"/>
      <c r="H2513" s="163"/>
      <c r="I2513" s="163"/>
      <c r="J2513" s="196"/>
      <c r="K2513" s="199" t="s">
        <v>1810</v>
      </c>
      <c r="M2513" s="163"/>
      <c r="N2513" s="195"/>
      <c r="O2513" s="163"/>
      <c r="P2513" s="163"/>
      <c r="Q2513" s="196"/>
      <c r="R2513" s="163"/>
    </row>
    <row r="2514" spans="6:18" ht="15.75">
      <c r="F2514" s="163"/>
      <c r="G2514" s="195"/>
      <c r="H2514" s="163"/>
      <c r="I2514" s="163"/>
      <c r="J2514" s="196"/>
      <c r="K2514" s="163">
        <f>0.6*0.6</f>
        <v>0.36</v>
      </c>
      <c r="M2514" s="198">
        <f>P2510</f>
        <v>42.714999999999989</v>
      </c>
      <c r="N2514" s="195" t="s">
        <v>13</v>
      </c>
      <c r="O2514" s="163" t="s">
        <v>2481</v>
      </c>
      <c r="P2514" s="163">
        <f>I2507</f>
        <v>54.5</v>
      </c>
      <c r="Q2514" s="196" t="s">
        <v>13</v>
      </c>
      <c r="R2514" s="163">
        <f>P2514*M2514</f>
        <v>2327.9674999999993</v>
      </c>
    </row>
    <row r="2515" spans="6:18" ht="15.75">
      <c r="F2515" s="163"/>
      <c r="G2515" s="195"/>
      <c r="H2515" s="65" t="s">
        <v>2503</v>
      </c>
      <c r="I2515" s="163"/>
      <c r="J2515" s="196"/>
      <c r="K2515" s="163">
        <f>K2512/K2514</f>
        <v>4038.1500000000005</v>
      </c>
      <c r="M2515" s="163">
        <v>0.77</v>
      </c>
      <c r="N2515" s="195" t="s">
        <v>306</v>
      </c>
      <c r="O2515" s="163" t="s">
        <v>2482</v>
      </c>
      <c r="P2515" s="163">
        <f>I2508</f>
        <v>295</v>
      </c>
      <c r="Q2515" s="196" t="s">
        <v>306</v>
      </c>
      <c r="R2515" s="163">
        <f>P2515*M2515</f>
        <v>227.15</v>
      </c>
    </row>
    <row r="2516" spans="6:18" ht="15.75">
      <c r="F2516" s="163"/>
      <c r="G2516" s="195"/>
      <c r="H2516" s="163"/>
      <c r="I2516" s="163"/>
      <c r="J2516" s="196"/>
      <c r="K2516" s="163"/>
      <c r="M2516" s="163">
        <v>0.77</v>
      </c>
      <c r="N2516" s="195" t="s">
        <v>306</v>
      </c>
      <c r="O2516" s="163" t="s">
        <v>2501</v>
      </c>
      <c r="P2516" s="163">
        <f>I2509</f>
        <v>31.65</v>
      </c>
      <c r="Q2516" s="196" t="s">
        <v>306</v>
      </c>
      <c r="R2516" s="163">
        <f>P2516*M2516</f>
        <v>24.3705</v>
      </c>
    </row>
    <row r="2517" spans="6:18" ht="15.75">
      <c r="F2517" s="65" t="s">
        <v>2504</v>
      </c>
      <c r="G2517" s="125"/>
      <c r="H2517" s="163"/>
      <c r="I2517" s="163"/>
      <c r="J2517" s="196"/>
      <c r="K2517" s="163"/>
      <c r="M2517" s="163"/>
      <c r="N2517" s="195"/>
      <c r="O2517" s="163" t="s">
        <v>2502</v>
      </c>
      <c r="P2517" s="163">
        <f>I2510</f>
        <v>28.34</v>
      </c>
      <c r="Q2517" s="196" t="s">
        <v>226</v>
      </c>
      <c r="R2517" s="163">
        <f>28.34+0.11</f>
        <v>28.45</v>
      </c>
    </row>
    <row r="2518" spans="6:18" ht="15.75">
      <c r="F2518" s="163"/>
      <c r="G2518" s="195"/>
      <c r="H2518" s="163"/>
      <c r="I2518" s="163"/>
      <c r="J2518" s="196"/>
      <c r="K2518" s="163"/>
      <c r="M2518" s="163"/>
      <c r="N2518" s="195"/>
      <c r="O2518" s="163"/>
      <c r="P2518" s="163"/>
      <c r="Q2518" s="196"/>
      <c r="R2518" s="199" t="s">
        <v>1810</v>
      </c>
    </row>
    <row r="2519" spans="6:18" ht="15.75">
      <c r="F2519" s="163" t="s">
        <v>2505</v>
      </c>
      <c r="G2519" s="195"/>
      <c r="H2519" s="163"/>
      <c r="I2519" s="163">
        <v>3.93</v>
      </c>
      <c r="J2519" s="196" t="s">
        <v>13</v>
      </c>
      <c r="K2519" s="163"/>
      <c r="M2519" s="163"/>
      <c r="N2519" s="195"/>
      <c r="O2519" s="65" t="s">
        <v>2485</v>
      </c>
      <c r="P2519" s="163"/>
      <c r="Q2519" s="196"/>
      <c r="R2519" s="65">
        <f>SUM(R2514:R2517)</f>
        <v>2607.9379999999992</v>
      </c>
    </row>
    <row r="2520" spans="6:18" ht="15.75">
      <c r="F2520" s="163" t="s">
        <v>2506</v>
      </c>
      <c r="G2520" s="195"/>
      <c r="H2520" s="163"/>
      <c r="I2520" s="163">
        <v>3.14</v>
      </c>
      <c r="J2520" s="196" t="s">
        <v>13</v>
      </c>
      <c r="K2520" s="163"/>
      <c r="M2520" s="163"/>
      <c r="N2520" s="195"/>
      <c r="O2520" s="163"/>
      <c r="P2520" s="163"/>
      <c r="Q2520" s="196"/>
      <c r="R2520" s="199" t="s">
        <v>1810</v>
      </c>
    </row>
    <row r="2521" spans="6:18" ht="15.75">
      <c r="F2521" s="163" t="s">
        <v>2507</v>
      </c>
      <c r="G2521" s="195"/>
      <c r="H2521" s="163"/>
      <c r="I2521" s="163">
        <v>1.18</v>
      </c>
      <c r="J2521" s="196" t="s">
        <v>13</v>
      </c>
      <c r="K2521" s="163"/>
      <c r="M2521" s="163"/>
      <c r="N2521" s="195"/>
      <c r="O2521" s="242" t="s">
        <v>2492</v>
      </c>
      <c r="P2521" s="163"/>
      <c r="Q2521" s="196"/>
      <c r="R2521" s="65">
        <f>R2519/M2515</f>
        <v>3386.9324675324665</v>
      </c>
    </row>
    <row r="2522" spans="6:18" ht="15.75">
      <c r="F2522" s="163"/>
      <c r="G2522" s="195"/>
      <c r="H2522" s="163"/>
      <c r="I2522" s="163"/>
      <c r="J2522" s="196"/>
      <c r="K2522" s="163"/>
      <c r="N2522" s="52">
        <f>1.285*0.6</f>
        <v>0.77099999999999991</v>
      </c>
    </row>
    <row r="2523" spans="6:18" ht="15.75">
      <c r="F2523" s="163"/>
      <c r="G2523" s="195"/>
      <c r="H2523" s="163"/>
      <c r="I2523" s="163"/>
      <c r="J2523" s="196"/>
      <c r="K2523" s="163"/>
    </row>
    <row r="2524" spans="6:18" ht="15.75">
      <c r="F2524" s="163"/>
      <c r="G2524" s="195"/>
      <c r="H2524" s="65" t="s">
        <v>2503</v>
      </c>
      <c r="I2524" s="163"/>
      <c r="J2524" s="196"/>
      <c r="K2524" s="163"/>
    </row>
    <row r="2525" spans="6:18" ht="15.75">
      <c r="F2525" s="163"/>
      <c r="G2525" s="195"/>
      <c r="H2525" s="163"/>
      <c r="I2525" s="163"/>
      <c r="J2525" s="196"/>
      <c r="K2525" s="163"/>
    </row>
    <row r="2526" spans="6:18" ht="15.75">
      <c r="F2526" s="163"/>
      <c r="G2526" s="195"/>
      <c r="H2526" s="163"/>
      <c r="I2526" s="163"/>
      <c r="J2526" s="196"/>
      <c r="K2526" s="163"/>
    </row>
    <row r="2527" spans="6:18" ht="15.75">
      <c r="F2527" s="163" t="s">
        <v>2508</v>
      </c>
      <c r="G2527" s="195"/>
      <c r="H2527" s="163"/>
      <c r="I2527" s="163">
        <v>24.34</v>
      </c>
      <c r="J2527" s="196" t="s">
        <v>13</v>
      </c>
      <c r="K2527" s="163"/>
    </row>
    <row r="2528" spans="6:18" ht="15.75">
      <c r="F2528" s="163" t="s">
        <v>2509</v>
      </c>
      <c r="G2528" s="195"/>
      <c r="H2528" s="163"/>
      <c r="I2528" s="163">
        <v>11.78</v>
      </c>
      <c r="J2528" s="196" t="s">
        <v>13</v>
      </c>
      <c r="K2528" s="163"/>
    </row>
    <row r="2529" spans="6:12" ht="15.75">
      <c r="F2529" s="163" t="s">
        <v>2510</v>
      </c>
      <c r="G2529" s="195"/>
      <c r="H2529" s="163"/>
      <c r="I2529" s="163">
        <v>59.35</v>
      </c>
      <c r="J2529" s="196" t="s">
        <v>13</v>
      </c>
      <c r="K2529" s="163"/>
    </row>
    <row r="2530" spans="6:12" ht="15.75">
      <c r="F2530" s="163" t="s">
        <v>2511</v>
      </c>
      <c r="G2530" s="195"/>
      <c r="H2530" s="163"/>
      <c r="I2530" s="163">
        <v>5.04</v>
      </c>
      <c r="J2530" s="196" t="s">
        <v>13</v>
      </c>
      <c r="K2530" s="163"/>
    </row>
    <row r="2531" spans="6:12" ht="15.75">
      <c r="F2531" s="163" t="s">
        <v>2512</v>
      </c>
      <c r="G2531" s="195"/>
      <c r="H2531" s="163"/>
      <c r="I2531" s="163">
        <v>4.8</v>
      </c>
      <c r="J2531" s="196" t="s">
        <v>13</v>
      </c>
      <c r="K2531" s="163"/>
    </row>
    <row r="2532" spans="6:12" ht="15.75">
      <c r="F2532" s="163" t="s">
        <v>2513</v>
      </c>
      <c r="G2532" s="195"/>
      <c r="H2532" s="163"/>
      <c r="I2532" s="163">
        <v>2.69</v>
      </c>
      <c r="J2532" s="196"/>
      <c r="K2532" s="163"/>
    </row>
    <row r="2533" spans="6:12" ht="15.75">
      <c r="F2533" s="163"/>
      <c r="G2533" s="195"/>
      <c r="H2533" s="163"/>
      <c r="I2533" s="199" t="s">
        <v>2491</v>
      </c>
      <c r="J2533" s="196"/>
      <c r="K2533" s="163"/>
    </row>
    <row r="2534" spans="6:12" ht="15.75">
      <c r="F2534" s="163"/>
      <c r="G2534" s="195"/>
      <c r="H2534" s="163"/>
      <c r="I2534" s="65">
        <f>SUM(I2527:I2532)</f>
        <v>108</v>
      </c>
      <c r="J2534" s="196" t="s">
        <v>13</v>
      </c>
      <c r="K2534" s="163"/>
    </row>
    <row r="2535" spans="6:12" ht="15.75">
      <c r="F2535" s="163"/>
      <c r="G2535" s="195"/>
      <c r="H2535" s="163"/>
      <c r="I2535" s="199" t="s">
        <v>2491</v>
      </c>
      <c r="J2535" s="196"/>
      <c r="K2535" s="163"/>
    </row>
    <row r="2536" spans="6:12" ht="15.75">
      <c r="F2536" s="163"/>
      <c r="G2536" s="195"/>
      <c r="H2536" s="163"/>
      <c r="I2536" s="163"/>
      <c r="J2536" s="196"/>
      <c r="K2536" s="163"/>
      <c r="L2536" s="52" t="s">
        <v>2514</v>
      </c>
    </row>
    <row r="2537" spans="6:12" ht="15.75">
      <c r="F2537" s="163">
        <v>108</v>
      </c>
      <c r="G2537" s="195" t="s">
        <v>13</v>
      </c>
      <c r="H2537" s="163" t="s">
        <v>2515</v>
      </c>
      <c r="I2537" s="163">
        <f>I2466</f>
        <v>54.5</v>
      </c>
      <c r="J2537" s="196" t="s">
        <v>13</v>
      </c>
      <c r="K2537" s="163">
        <f>F2537*I2537</f>
        <v>5886</v>
      </c>
    </row>
    <row r="2538" spans="6:12" ht="15.75">
      <c r="F2538" s="163">
        <v>2.1</v>
      </c>
      <c r="G2538" s="195" t="s">
        <v>306</v>
      </c>
      <c r="H2538" s="163" t="s">
        <v>2482</v>
      </c>
      <c r="I2538" s="163">
        <f>I2467</f>
        <v>295</v>
      </c>
      <c r="J2538" s="196" t="s">
        <v>306</v>
      </c>
      <c r="K2538" s="163">
        <f>F2538*I2538</f>
        <v>619.5</v>
      </c>
      <c r="L2538" s="56">
        <v>42.713000000000001</v>
      </c>
    </row>
    <row r="2539" spans="6:12" ht="15.75">
      <c r="F2539" s="163">
        <v>2.1</v>
      </c>
      <c r="G2539" s="195" t="s">
        <v>306</v>
      </c>
      <c r="H2539" s="163" t="s">
        <v>2516</v>
      </c>
      <c r="I2539" s="163">
        <f>I2468</f>
        <v>91</v>
      </c>
      <c r="J2539" s="196" t="s">
        <v>306</v>
      </c>
      <c r="K2539" s="163">
        <f>F2539*I2539</f>
        <v>191.1</v>
      </c>
      <c r="L2539" s="52">
        <v>0.77</v>
      </c>
    </row>
    <row r="2540" spans="6:12" ht="15.75">
      <c r="F2540" s="163"/>
      <c r="G2540" s="195"/>
      <c r="H2540" s="163" t="s">
        <v>2517</v>
      </c>
      <c r="I2540" s="163">
        <v>267.10000000000002</v>
      </c>
      <c r="J2540" s="196" t="s">
        <v>226</v>
      </c>
      <c r="K2540" s="163">
        <f>I2540</f>
        <v>267.10000000000002</v>
      </c>
      <c r="L2540" s="52">
        <v>0.77</v>
      </c>
    </row>
    <row r="2541" spans="6:12" ht="15.75">
      <c r="F2541" s="163"/>
      <c r="G2541" s="195"/>
      <c r="H2541" s="163"/>
      <c r="I2541" s="163"/>
      <c r="J2541" s="196"/>
      <c r="K2541" s="199" t="s">
        <v>1810</v>
      </c>
    </row>
    <row r="2542" spans="6:12" ht="15.75">
      <c r="F2542" s="163"/>
      <c r="G2542" s="195"/>
      <c r="H2542" s="163"/>
      <c r="I2542" s="163"/>
      <c r="J2542" s="196"/>
      <c r="K2542" s="163">
        <f>SUM(K2537:K2540)</f>
        <v>6963.7000000000007</v>
      </c>
    </row>
    <row r="2543" spans="6:12" ht="15.75">
      <c r="F2543" s="163"/>
      <c r="G2543" s="195"/>
      <c r="H2543" s="163" t="s">
        <v>2518</v>
      </c>
      <c r="I2543" s="163">
        <v>500</v>
      </c>
      <c r="J2543" s="196" t="s">
        <v>226</v>
      </c>
      <c r="K2543" s="163">
        <f>I2543</f>
        <v>500</v>
      </c>
    </row>
    <row r="2544" spans="6:12" ht="15.75">
      <c r="F2544" s="163"/>
      <c r="G2544" s="195"/>
      <c r="H2544" s="163"/>
      <c r="I2544" s="163"/>
      <c r="J2544" s="196"/>
      <c r="K2544" s="199" t="s">
        <v>1810</v>
      </c>
    </row>
    <row r="2545" spans="6:11" ht="15.75">
      <c r="F2545" s="163"/>
      <c r="G2545" s="195"/>
      <c r="H2545" s="65" t="s">
        <v>2519</v>
      </c>
      <c r="I2545" s="163"/>
      <c r="J2545" s="196"/>
      <c r="K2545" s="65">
        <f>SUM(K2542:K2543)</f>
        <v>7463.7000000000007</v>
      </c>
    </row>
    <row r="2546" spans="6:11" ht="15.75">
      <c r="F2546" s="163"/>
      <c r="G2546" s="195"/>
      <c r="H2546" s="163"/>
      <c r="I2546" s="163"/>
      <c r="J2546" s="196"/>
      <c r="K2546" s="199" t="s">
        <v>1810</v>
      </c>
    </row>
    <row r="2547" spans="6:11" ht="15.75">
      <c r="F2547" s="163"/>
      <c r="G2547" s="195"/>
      <c r="H2547" s="163"/>
      <c r="I2547" s="163"/>
      <c r="J2547" s="196"/>
      <c r="K2547" s="163"/>
    </row>
    <row r="2548" spans="6:11" ht="15.75">
      <c r="F2548" s="163"/>
      <c r="G2548" s="195"/>
      <c r="H2548" s="163"/>
      <c r="I2548" s="163"/>
      <c r="J2548" s="196"/>
      <c r="K2548" s="163">
        <f>8054-K2545</f>
        <v>590.29999999999927</v>
      </c>
    </row>
    <row r="2549" spans="6:11" ht="15.75">
      <c r="F2549" s="163"/>
      <c r="G2549" s="195"/>
      <c r="H2549" s="163"/>
      <c r="I2549" s="163"/>
      <c r="J2549" s="196"/>
      <c r="K2549" s="163"/>
    </row>
    <row r="2550" spans="6:11" ht="15.75">
      <c r="F2550" s="163"/>
      <c r="G2550" s="195"/>
      <c r="H2550" s="65" t="s">
        <v>2520</v>
      </c>
      <c r="I2550" s="163"/>
      <c r="J2550" s="196"/>
      <c r="K2550" s="163"/>
    </row>
    <row r="2551" spans="6:11" ht="15.75">
      <c r="F2551" s="163"/>
      <c r="G2551" s="195"/>
      <c r="H2551" s="163"/>
      <c r="I2551" s="163"/>
      <c r="J2551" s="196"/>
      <c r="K2551" s="163"/>
    </row>
    <row r="2552" spans="6:11" ht="15.75">
      <c r="F2552" s="65" t="s">
        <v>2504</v>
      </c>
      <c r="G2552" s="125"/>
      <c r="H2552" s="163"/>
      <c r="I2552" s="163"/>
      <c r="J2552" s="196"/>
      <c r="K2552" s="163"/>
    </row>
    <row r="2553" spans="6:11" ht="15.75">
      <c r="F2553" s="163"/>
      <c r="G2553" s="195"/>
      <c r="H2553" s="163"/>
      <c r="I2553" s="163"/>
      <c r="J2553" s="196"/>
      <c r="K2553" s="163"/>
    </row>
    <row r="2554" spans="6:11" ht="15.75">
      <c r="F2554" s="163" t="s">
        <v>2521</v>
      </c>
      <c r="G2554" s="195"/>
      <c r="H2554" s="163"/>
      <c r="I2554" s="198">
        <v>2.944</v>
      </c>
      <c r="J2554" s="196" t="s">
        <v>13</v>
      </c>
      <c r="K2554" s="163"/>
    </row>
    <row r="2555" spans="6:11" ht="15.75">
      <c r="F2555" s="163" t="s">
        <v>2522</v>
      </c>
      <c r="G2555" s="195"/>
      <c r="H2555" s="163"/>
      <c r="I2555" s="198">
        <v>2.355</v>
      </c>
      <c r="J2555" s="196" t="s">
        <v>13</v>
      </c>
      <c r="K2555" s="163"/>
    </row>
    <row r="2556" spans="6:11" ht="15.75">
      <c r="F2556" s="163" t="s">
        <v>2523</v>
      </c>
      <c r="G2556" s="195"/>
      <c r="H2556" s="163"/>
      <c r="I2556" s="198">
        <v>0.88300000000000001</v>
      </c>
      <c r="J2556" s="196" t="s">
        <v>13</v>
      </c>
      <c r="K2556" s="163"/>
    </row>
    <row r="2557" spans="6:11" ht="15.75">
      <c r="F2557" s="163"/>
      <c r="G2557" s="195"/>
      <c r="H2557" s="163"/>
      <c r="I2557" s="163"/>
      <c r="J2557" s="196"/>
      <c r="K2557" s="163"/>
    </row>
    <row r="2558" spans="6:11" ht="15.75">
      <c r="F2558" s="163"/>
      <c r="G2558" s="195"/>
      <c r="H2558" s="163"/>
      <c r="I2558" s="163"/>
      <c r="J2558" s="196"/>
      <c r="K2558" s="163"/>
    </row>
    <row r="2559" spans="6:11" ht="15.75">
      <c r="F2559" s="163"/>
      <c r="G2559" s="195"/>
      <c r="H2559" s="65" t="s">
        <v>2520</v>
      </c>
      <c r="I2559" s="163"/>
      <c r="J2559" s="196"/>
      <c r="K2559" s="163"/>
    </row>
    <row r="2560" spans="6:11" ht="15.75">
      <c r="F2560" s="163"/>
      <c r="G2560" s="195"/>
      <c r="H2560" s="163"/>
      <c r="I2560" s="163"/>
      <c r="J2560" s="196"/>
      <c r="K2560" s="163"/>
    </row>
    <row r="2561" spans="6:18" ht="15.75">
      <c r="F2561" s="163"/>
      <c r="G2561" s="195"/>
      <c r="H2561" s="163"/>
      <c r="I2561" s="163"/>
      <c r="J2561" s="196"/>
      <c r="K2561" s="163"/>
      <c r="M2561" s="163"/>
      <c r="N2561" s="349">
        <v>24.1</v>
      </c>
      <c r="O2561" s="65" t="s">
        <v>2497</v>
      </c>
      <c r="P2561" s="163"/>
      <c r="Q2561" s="196"/>
      <c r="R2561" s="163"/>
    </row>
    <row r="2562" spans="6:18" ht="15.75">
      <c r="F2562" s="163" t="s">
        <v>2524</v>
      </c>
      <c r="G2562" s="195"/>
      <c r="H2562" s="163"/>
      <c r="I2562" s="163">
        <v>16.38</v>
      </c>
      <c r="J2562" s="196" t="s">
        <v>13</v>
      </c>
      <c r="K2562" s="163"/>
      <c r="M2562" s="163"/>
      <c r="N2562" s="350" t="s">
        <v>156</v>
      </c>
      <c r="O2562" s="351"/>
      <c r="P2562" s="163"/>
      <c r="Q2562" s="196"/>
      <c r="R2562" s="163"/>
    </row>
    <row r="2563" spans="6:18" ht="15.75">
      <c r="F2563" s="163" t="s">
        <v>2525</v>
      </c>
      <c r="G2563" s="195"/>
      <c r="H2563" s="163"/>
      <c r="I2563" s="163">
        <v>8.7799999999999994</v>
      </c>
      <c r="J2563" s="196" t="s">
        <v>13</v>
      </c>
      <c r="K2563" s="163"/>
      <c r="M2563" s="196" t="s">
        <v>2526</v>
      </c>
      <c r="N2563" s="196"/>
      <c r="O2563" s="196"/>
      <c r="P2563" s="163">
        <v>14.8</v>
      </c>
      <c r="Q2563" s="196" t="s">
        <v>2161</v>
      </c>
      <c r="R2563" s="163"/>
    </row>
    <row r="2564" spans="6:18" ht="15.75">
      <c r="F2564" s="163" t="s">
        <v>2527</v>
      </c>
      <c r="G2564" s="195"/>
      <c r="H2564" s="163"/>
      <c r="I2564" s="163">
        <v>37.67</v>
      </c>
      <c r="J2564" s="196" t="s">
        <v>13</v>
      </c>
      <c r="K2564" s="163"/>
      <c r="M2564" s="163" t="s">
        <v>2477</v>
      </c>
      <c r="N2564" s="195"/>
      <c r="O2564" s="163"/>
      <c r="P2564" s="163">
        <v>22.61</v>
      </c>
      <c r="Q2564" s="196" t="s">
        <v>2161</v>
      </c>
      <c r="R2564" s="163"/>
    </row>
    <row r="2565" spans="6:18" ht="15.75">
      <c r="F2565" s="163" t="s">
        <v>2528</v>
      </c>
      <c r="G2565" s="195"/>
      <c r="H2565" s="163"/>
      <c r="I2565" s="163">
        <v>3.24</v>
      </c>
      <c r="J2565" s="196" t="s">
        <v>13</v>
      </c>
      <c r="K2565" s="163"/>
      <c r="M2565" s="163" t="s">
        <v>2478</v>
      </c>
      <c r="N2565" s="195"/>
      <c r="O2565" s="163"/>
      <c r="P2565" s="163">
        <v>3.24</v>
      </c>
      <c r="Q2565" s="196" t="s">
        <v>2161</v>
      </c>
      <c r="R2565" s="163"/>
    </row>
    <row r="2566" spans="6:18" ht="15.75">
      <c r="F2566" s="163" t="s">
        <v>2529</v>
      </c>
      <c r="G2566" s="195"/>
      <c r="H2566" s="163"/>
      <c r="I2566" s="163">
        <v>3.6</v>
      </c>
      <c r="J2566" s="196" t="s">
        <v>13</v>
      </c>
      <c r="K2566" s="163"/>
      <c r="M2566" s="163" t="s">
        <v>2479</v>
      </c>
      <c r="N2566" s="195"/>
      <c r="O2566" s="163"/>
      <c r="P2566" s="163">
        <v>2.16</v>
      </c>
      <c r="Q2566" s="196" t="s">
        <v>2161</v>
      </c>
      <c r="R2566" s="163"/>
    </row>
    <row r="2567" spans="6:18" ht="15.75">
      <c r="F2567" s="163" t="s">
        <v>2513</v>
      </c>
      <c r="G2567" s="195"/>
      <c r="H2567" s="163"/>
      <c r="I2567" s="163">
        <v>2.88</v>
      </c>
      <c r="J2567" s="196"/>
      <c r="K2567" s="163"/>
      <c r="M2567" s="163"/>
      <c r="N2567" s="195"/>
      <c r="O2567" s="163"/>
      <c r="P2567" s="163"/>
      <c r="Q2567" s="196"/>
      <c r="R2567" s="163"/>
    </row>
    <row r="2568" spans="6:18" ht="15.75">
      <c r="F2568" s="163"/>
      <c r="G2568" s="195"/>
      <c r="H2568" s="163"/>
      <c r="I2568" s="199" t="s">
        <v>2491</v>
      </c>
      <c r="J2568" s="196"/>
      <c r="K2568" s="163"/>
      <c r="M2568" s="163"/>
      <c r="N2568" s="195"/>
      <c r="O2568" s="163"/>
      <c r="P2568" s="199" t="s">
        <v>1810</v>
      </c>
      <c r="Q2568" s="196"/>
      <c r="R2568" s="163"/>
    </row>
    <row r="2569" spans="6:18" ht="15.75">
      <c r="F2569" s="163"/>
      <c r="G2569" s="195"/>
      <c r="H2569" s="163"/>
      <c r="I2569" s="65">
        <f>SUM(I2562:I2567)</f>
        <v>72.549999999999983</v>
      </c>
      <c r="J2569" s="196" t="s">
        <v>13</v>
      </c>
      <c r="K2569" s="163"/>
      <c r="M2569" s="163"/>
      <c r="N2569" s="195"/>
      <c r="O2569" s="163"/>
      <c r="P2569" s="163">
        <f>SUM(P2563:P2567)</f>
        <v>42.81</v>
      </c>
      <c r="Q2569" s="196"/>
      <c r="R2569" s="163"/>
    </row>
    <row r="2570" spans="6:18" ht="15.75">
      <c r="F2570" s="163"/>
      <c r="G2570" s="195"/>
      <c r="H2570" s="163"/>
      <c r="I2570" s="199" t="s">
        <v>2491</v>
      </c>
      <c r="J2570" s="196"/>
      <c r="K2570" s="163"/>
      <c r="M2570" s="163"/>
      <c r="N2570" s="195"/>
      <c r="O2570" s="163"/>
      <c r="P2570" s="163" t="s">
        <v>2480</v>
      </c>
      <c r="Q2570" s="196"/>
      <c r="R2570" s="163"/>
    </row>
    <row r="2571" spans="6:18" ht="15.75">
      <c r="F2571" s="163"/>
      <c r="G2571" s="195"/>
      <c r="H2571" s="163"/>
      <c r="I2571" s="163"/>
      <c r="J2571" s="196"/>
      <c r="K2571" s="163"/>
      <c r="M2571" s="163"/>
      <c r="N2571" s="195"/>
      <c r="O2571" s="163"/>
      <c r="P2571" s="163"/>
      <c r="Q2571" s="196"/>
      <c r="R2571" s="163"/>
    </row>
    <row r="2572" spans="6:18" ht="15.75">
      <c r="F2572" s="163">
        <v>72.55</v>
      </c>
      <c r="G2572" s="195" t="s">
        <v>13</v>
      </c>
      <c r="H2572" s="163" t="s">
        <v>2515</v>
      </c>
      <c r="I2572" s="163">
        <f>I2537</f>
        <v>54.5</v>
      </c>
      <c r="J2572" s="196" t="s">
        <v>13</v>
      </c>
      <c r="K2572" s="163">
        <f>F2572*I2572</f>
        <v>3953.9749999999999</v>
      </c>
      <c r="M2572" s="163"/>
      <c r="N2572" s="195"/>
      <c r="O2572" s="163"/>
      <c r="P2572" s="163"/>
      <c r="Q2572" s="196"/>
      <c r="R2572" s="163"/>
    </row>
    <row r="2573" spans="6:18" ht="15.75">
      <c r="F2573" s="163">
        <v>1.01</v>
      </c>
      <c r="G2573" s="195" t="s">
        <v>306</v>
      </c>
      <c r="H2573" s="163" t="s">
        <v>2482</v>
      </c>
      <c r="I2573" s="163">
        <f>I2538</f>
        <v>295</v>
      </c>
      <c r="J2573" s="196" t="s">
        <v>306</v>
      </c>
      <c r="K2573" s="163">
        <f>F2573*I2573</f>
        <v>297.95</v>
      </c>
      <c r="M2573" s="163">
        <v>42.81</v>
      </c>
      <c r="N2573" s="195" t="s">
        <v>13</v>
      </c>
      <c r="O2573" s="52" t="s">
        <v>2530</v>
      </c>
      <c r="P2573" s="163">
        <f>I2572</f>
        <v>54.5</v>
      </c>
      <c r="Q2573" s="196" t="s">
        <v>13</v>
      </c>
      <c r="R2573" s="163">
        <f>P2573*M2573</f>
        <v>2333.145</v>
      </c>
    </row>
    <row r="2574" spans="6:18" ht="15.75">
      <c r="F2574" s="163">
        <v>1.01</v>
      </c>
      <c r="G2574" s="195" t="s">
        <v>306</v>
      </c>
      <c r="H2574" s="163" t="str">
        <f>H2539</f>
        <v>Fly proof mesh</v>
      </c>
      <c r="I2574" s="163">
        <f>I2539</f>
        <v>91</v>
      </c>
      <c r="J2574" s="196" t="s">
        <v>306</v>
      </c>
      <c r="K2574" s="163">
        <f>F2574*I2574</f>
        <v>91.91</v>
      </c>
      <c r="M2574" s="163">
        <v>0.77</v>
      </c>
      <c r="N2574" s="195" t="s">
        <v>306</v>
      </c>
      <c r="O2574" s="163" t="s">
        <v>2531</v>
      </c>
      <c r="P2574" s="163">
        <f>I2573</f>
        <v>295</v>
      </c>
      <c r="Q2574" s="196" t="s">
        <v>306</v>
      </c>
      <c r="R2574" s="163">
        <f>P2574*M2574</f>
        <v>227.15</v>
      </c>
    </row>
    <row r="2575" spans="6:18" ht="15.75">
      <c r="F2575" s="163"/>
      <c r="G2575" s="195"/>
      <c r="H2575" s="163" t="s">
        <v>2517</v>
      </c>
      <c r="I2575" s="163">
        <v>266.49</v>
      </c>
      <c r="J2575" s="196" t="s">
        <v>226</v>
      </c>
      <c r="K2575" s="163">
        <f>I2575</f>
        <v>266.49</v>
      </c>
      <c r="M2575" s="163">
        <v>0.77</v>
      </c>
      <c r="N2575" s="195" t="s">
        <v>306</v>
      </c>
      <c r="O2575" s="241" t="s">
        <v>2532</v>
      </c>
      <c r="P2575" s="163">
        <f>I2574</f>
        <v>91</v>
      </c>
      <c r="Q2575" s="196" t="s">
        <v>306</v>
      </c>
      <c r="R2575" s="163">
        <f>P2575*M2575</f>
        <v>70.070000000000007</v>
      </c>
    </row>
    <row r="2576" spans="6:18" ht="15.75">
      <c r="F2576" s="163"/>
      <c r="G2576" s="195"/>
      <c r="H2576" s="163"/>
      <c r="I2576" s="163"/>
      <c r="J2576" s="196"/>
      <c r="K2576" s="199" t="s">
        <v>1810</v>
      </c>
      <c r="M2576" s="163"/>
      <c r="N2576" s="195"/>
      <c r="O2576" s="163" t="s">
        <v>2484</v>
      </c>
      <c r="P2576" s="163">
        <f>46.62+0.48</f>
        <v>47.099999999999994</v>
      </c>
      <c r="Q2576" s="196" t="s">
        <v>226</v>
      </c>
      <c r="R2576" s="163">
        <f>P2576</f>
        <v>47.099999999999994</v>
      </c>
    </row>
    <row r="2577" spans="6:25" ht="15.75">
      <c r="F2577" s="163"/>
      <c r="G2577" s="195"/>
      <c r="H2577" s="163"/>
      <c r="I2577" s="163"/>
      <c r="J2577" s="196"/>
      <c r="K2577" s="163">
        <f>SUM(K2572:K2575)</f>
        <v>4610.3249999999998</v>
      </c>
      <c r="M2577" s="163"/>
      <c r="N2577" s="195"/>
      <c r="O2577" s="163"/>
      <c r="P2577" s="163"/>
      <c r="Q2577" s="196"/>
      <c r="R2577" s="199" t="s">
        <v>1810</v>
      </c>
    </row>
    <row r="2578" spans="6:25" ht="15.75">
      <c r="F2578" s="163"/>
      <c r="G2578" s="195"/>
      <c r="H2578" s="163" t="s">
        <v>2518</v>
      </c>
      <c r="I2578" s="163">
        <v>255</v>
      </c>
      <c r="J2578" s="196" t="s">
        <v>226</v>
      </c>
      <c r="K2578" s="52">
        <v>255</v>
      </c>
      <c r="M2578" s="163"/>
      <c r="N2578" s="195"/>
      <c r="O2578" s="65" t="s">
        <v>2485</v>
      </c>
      <c r="P2578" s="163"/>
      <c r="Q2578" s="196"/>
      <c r="R2578" s="65">
        <f>SUM(R2573:R2576)</f>
        <v>2677.4650000000001</v>
      </c>
    </row>
    <row r="2579" spans="6:25" ht="15.75">
      <c r="F2579" s="163"/>
      <c r="G2579" s="195"/>
      <c r="H2579" s="163"/>
      <c r="I2579" s="163"/>
      <c r="J2579" s="196"/>
      <c r="K2579" s="199" t="s">
        <v>1810</v>
      </c>
      <c r="M2579" s="163"/>
      <c r="N2579" s="195"/>
      <c r="O2579" s="163"/>
      <c r="P2579" s="163"/>
      <c r="Q2579" s="196"/>
      <c r="R2579" s="199" t="s">
        <v>1810</v>
      </c>
    </row>
    <row r="2580" spans="6:25" ht="15.75">
      <c r="F2580" s="163"/>
      <c r="G2580" s="195"/>
      <c r="H2580" s="65" t="s">
        <v>2519</v>
      </c>
      <c r="I2580" s="163"/>
      <c r="J2580" s="196"/>
      <c r="K2580" s="65">
        <f>SUM(K2577:K2578)</f>
        <v>4865.3249999999998</v>
      </c>
      <c r="N2580" s="53"/>
      <c r="O2580" s="52">
        <f>1.285*0.6</f>
        <v>0.77099999999999991</v>
      </c>
      <c r="Q2580" s="55"/>
      <c r="R2580" s="52">
        <f>R2578/O2580</f>
        <v>3472.717250324255</v>
      </c>
    </row>
    <row r="2581" spans="6:25" ht="15.75">
      <c r="F2581" s="163"/>
      <c r="G2581" s="195"/>
      <c r="H2581" s="163"/>
      <c r="I2581" s="163"/>
      <c r="J2581" s="196"/>
      <c r="K2581" s="199" t="s">
        <v>1810</v>
      </c>
      <c r="M2581" s="163">
        <f>I2574</f>
        <v>91</v>
      </c>
      <c r="O2581" s="55">
        <f>M2581*L2540</f>
        <v>70.070000000000007</v>
      </c>
    </row>
    <row r="2582" spans="6:25" ht="15.75">
      <c r="F2582" s="163"/>
      <c r="G2582" s="195"/>
      <c r="H2582" s="163"/>
      <c r="I2582" s="163"/>
      <c r="J2582" s="196"/>
      <c r="K2582" s="163"/>
      <c r="M2582" s="163"/>
      <c r="O2582" s="55">
        <v>0.8</v>
      </c>
    </row>
    <row r="2583" spans="6:25" ht="15.75">
      <c r="F2583" s="163"/>
      <c r="G2583" s="195"/>
      <c r="H2583" s="163"/>
      <c r="I2583" s="163"/>
      <c r="J2583" s="196"/>
      <c r="K2583" s="163">
        <f>5261-K2580</f>
        <v>395.67500000000018</v>
      </c>
      <c r="O2583" s="55">
        <f>SUM(O2579:O2582)</f>
        <v>71.641000000000005</v>
      </c>
    </row>
    <row r="2584" spans="6:25" ht="15.75">
      <c r="F2584" s="163"/>
      <c r="G2584" s="195"/>
      <c r="H2584" s="163"/>
      <c r="I2584" s="163"/>
      <c r="J2584" s="196"/>
      <c r="K2584" s="163"/>
      <c r="O2584" s="55">
        <f>O2583/0.77</f>
        <v>93.040259740259742</v>
      </c>
    </row>
    <row r="2585" spans="6:25" ht="15.75">
      <c r="F2585" s="163"/>
      <c r="G2585" s="195"/>
      <c r="H2585" s="65" t="s">
        <v>2520</v>
      </c>
      <c r="I2585" s="163"/>
      <c r="J2585" s="196"/>
      <c r="K2585" s="163"/>
    </row>
    <row r="2586" spans="6:25" ht="15.75">
      <c r="F2586" s="163"/>
      <c r="G2586" s="195"/>
      <c r="H2586" s="163"/>
      <c r="I2586" s="163"/>
      <c r="J2586" s="196"/>
      <c r="K2586" s="163"/>
    </row>
    <row r="2587" spans="6:25" ht="15.75">
      <c r="F2587" s="65" t="s">
        <v>2504</v>
      </c>
      <c r="G2587" s="125"/>
      <c r="H2587" s="163"/>
      <c r="I2587" s="163"/>
      <c r="J2587" s="196"/>
      <c r="K2587" s="163"/>
      <c r="S2587" s="198"/>
      <c r="T2587" s="195"/>
      <c r="U2587" s="52" t="s">
        <v>2533</v>
      </c>
      <c r="V2587" s="163"/>
      <c r="W2587" s="196"/>
      <c r="X2587" s="163"/>
      <c r="Y2587" s="163"/>
    </row>
    <row r="2588" spans="6:25" ht="15.75">
      <c r="F2588" s="163"/>
      <c r="G2588" s="195"/>
      <c r="H2588" s="163"/>
      <c r="I2588" s="163"/>
      <c r="J2588" s="196"/>
      <c r="K2588" s="163"/>
      <c r="S2588" s="198"/>
      <c r="T2588" s="195"/>
      <c r="U2588" s="163"/>
      <c r="V2588" s="163"/>
      <c r="W2588" s="196"/>
      <c r="X2588" s="163"/>
      <c r="Y2588" s="163"/>
    </row>
    <row r="2589" spans="6:25" ht="15.75">
      <c r="F2589" s="163" t="s">
        <v>2521</v>
      </c>
      <c r="G2589" s="195"/>
      <c r="H2589" s="163"/>
      <c r="I2589" s="198">
        <v>2.944</v>
      </c>
      <c r="J2589" s="196" t="s">
        <v>13</v>
      </c>
      <c r="K2589" s="163"/>
      <c r="S2589" s="198" t="s">
        <v>2534</v>
      </c>
      <c r="T2589" s="195"/>
      <c r="U2589" s="163"/>
      <c r="V2589" s="352">
        <f>2*0.85*2.025</f>
        <v>3.4424999999999999</v>
      </c>
      <c r="W2589" s="196"/>
      <c r="X2589" s="163"/>
      <c r="Y2589" s="163"/>
    </row>
    <row r="2590" spans="6:25" ht="15.75">
      <c r="F2590" s="163" t="s">
        <v>2522</v>
      </c>
      <c r="G2590" s="195"/>
      <c r="H2590" s="163"/>
      <c r="I2590" s="198">
        <v>2.355</v>
      </c>
      <c r="J2590" s="196" t="s">
        <v>13</v>
      </c>
      <c r="K2590" s="163"/>
      <c r="S2590" s="198" t="s">
        <v>2535</v>
      </c>
      <c r="T2590" s="195"/>
      <c r="U2590" s="163"/>
      <c r="V2590" s="352">
        <v>2.2800000000000001E-2</v>
      </c>
      <c r="W2590" s="196"/>
      <c r="X2590" s="163"/>
      <c r="Y2590" s="163"/>
    </row>
    <row r="2591" spans="6:25" ht="15.75">
      <c r="F2591" s="163" t="s">
        <v>2523</v>
      </c>
      <c r="G2591" s="195"/>
      <c r="H2591" s="163"/>
      <c r="I2591" s="198">
        <v>0.88300000000000001</v>
      </c>
      <c r="J2591" s="196" t="s">
        <v>13</v>
      </c>
      <c r="K2591" s="163"/>
      <c r="S2591" s="198" t="s">
        <v>2536</v>
      </c>
      <c r="T2591" s="195"/>
      <c r="U2591" s="163"/>
      <c r="V2591" s="194">
        <f>2*3*0.85*0.15*0.0375</f>
        <v>2.8687499999999994E-2</v>
      </c>
      <c r="W2591" s="196"/>
      <c r="X2591" s="163"/>
      <c r="Y2591" s="163"/>
    </row>
    <row r="2592" spans="6:25" ht="15.75">
      <c r="F2592" s="163"/>
      <c r="G2592" s="195"/>
      <c r="H2592" s="163"/>
      <c r="I2592" s="163"/>
      <c r="J2592" s="196"/>
      <c r="K2592" s="163"/>
      <c r="S2592" s="198"/>
      <c r="T2592" s="195" t="s">
        <v>2537</v>
      </c>
      <c r="U2592" s="163"/>
      <c r="V2592" s="194">
        <f>2*3*0.85*0.075*0.0375</f>
        <v>1.4343749999999997E-2</v>
      </c>
      <c r="W2592" s="196"/>
      <c r="X2592" s="163"/>
      <c r="Y2592" s="163"/>
    </row>
    <row r="2593" spans="6:35" ht="15.75">
      <c r="F2593" s="163"/>
      <c r="G2593" s="195"/>
      <c r="H2593" s="163"/>
      <c r="I2593" s="163"/>
      <c r="J2593" s="196"/>
      <c r="K2593" s="163"/>
      <c r="S2593" s="198"/>
      <c r="T2593" s="195"/>
      <c r="U2593" s="163"/>
      <c r="V2593" s="353">
        <f>SUM(V2591:V2592)</f>
        <v>4.3031249999999993E-2</v>
      </c>
      <c r="W2593" s="196"/>
      <c r="X2593" s="163"/>
      <c r="Y2593" s="163"/>
    </row>
    <row r="2594" spans="6:35" ht="15.75">
      <c r="F2594" s="163"/>
      <c r="G2594" s="195"/>
      <c r="H2594" s="65" t="s">
        <v>2520</v>
      </c>
      <c r="I2594" s="163"/>
      <c r="J2594" s="196"/>
      <c r="K2594" s="163"/>
      <c r="S2594" s="198"/>
      <c r="T2594" s="195"/>
      <c r="U2594" s="163"/>
      <c r="V2594" s="163"/>
      <c r="W2594" s="196"/>
      <c r="X2594" s="163"/>
      <c r="Y2594" s="163"/>
    </row>
    <row r="2595" spans="6:35" ht="15.75">
      <c r="F2595" s="163"/>
      <c r="G2595" s="195"/>
      <c r="H2595" s="163"/>
      <c r="I2595" s="163"/>
      <c r="J2595" s="196"/>
      <c r="K2595" s="163"/>
      <c r="S2595" s="198"/>
      <c r="T2595" s="195"/>
      <c r="U2595" s="163"/>
      <c r="V2595" s="163"/>
      <c r="W2595" s="196"/>
      <c r="X2595" s="163"/>
      <c r="Y2595" s="163"/>
    </row>
    <row r="2596" spans="6:35" ht="15.75">
      <c r="F2596" s="163"/>
      <c r="G2596" s="195"/>
      <c r="H2596" s="163"/>
      <c r="I2596" s="163"/>
      <c r="J2596" s="196"/>
      <c r="K2596" s="163"/>
      <c r="S2596" s="198" t="s">
        <v>2538</v>
      </c>
      <c r="T2596" s="195"/>
      <c r="U2596" s="163"/>
      <c r="V2596" s="194">
        <f>2*4*0.725*0.3*0.01875</f>
        <v>3.2625000000000001E-2</v>
      </c>
      <c r="W2596" s="196"/>
      <c r="X2596" s="163"/>
      <c r="Y2596" s="163"/>
    </row>
    <row r="2597" spans="6:35" ht="15.75">
      <c r="F2597" s="163" t="s">
        <v>2524</v>
      </c>
      <c r="G2597" s="195"/>
      <c r="H2597" s="163"/>
      <c r="I2597" s="163">
        <v>16.38</v>
      </c>
      <c r="J2597" s="196" t="s">
        <v>13</v>
      </c>
      <c r="K2597" s="163"/>
      <c r="S2597" s="198" t="s">
        <v>2539</v>
      </c>
      <c r="T2597" s="195"/>
      <c r="U2597" s="163"/>
      <c r="V2597" s="194">
        <f>2*0.725*0.3*0.01875</f>
        <v>8.1562500000000003E-3</v>
      </c>
      <c r="W2597" s="196"/>
      <c r="X2597" s="163"/>
      <c r="Y2597" s="163"/>
    </row>
    <row r="2598" spans="6:35" ht="15.75">
      <c r="F2598" s="163" t="s">
        <v>2525</v>
      </c>
      <c r="G2598" s="195"/>
      <c r="H2598" s="163"/>
      <c r="I2598" s="163">
        <v>8.7799999999999994</v>
      </c>
      <c r="J2598" s="196" t="s">
        <v>13</v>
      </c>
      <c r="K2598" s="163"/>
      <c r="S2598" s="198"/>
      <c r="T2598" s="195"/>
      <c r="U2598" s="163"/>
      <c r="V2598" s="353">
        <f>SUM(V2596:V2597)</f>
        <v>4.0781250000000005E-2</v>
      </c>
      <c r="W2598" s="196"/>
      <c r="X2598" s="163"/>
      <c r="Y2598" s="163"/>
    </row>
    <row r="2599" spans="6:35" ht="15.75">
      <c r="F2599" s="163" t="s">
        <v>2527</v>
      </c>
      <c r="G2599" s="195"/>
      <c r="H2599" s="163"/>
      <c r="I2599" s="163">
        <v>37.67</v>
      </c>
      <c r="J2599" s="196" t="s">
        <v>13</v>
      </c>
      <c r="K2599" s="163"/>
      <c r="S2599" s="198"/>
      <c r="T2599" s="195"/>
      <c r="U2599" s="65" t="s">
        <v>2540</v>
      </c>
      <c r="V2599" s="163"/>
      <c r="W2599" s="196"/>
      <c r="X2599" s="163"/>
      <c r="Y2599" s="163"/>
      <c r="Z2599" s="151">
        <v>2.3099999999999999E-2</v>
      </c>
      <c r="AA2599" s="52">
        <f>Z2599*V2601</f>
        <v>2577.96</v>
      </c>
    </row>
    <row r="2600" spans="6:35" ht="15.75">
      <c r="F2600" s="163" t="s">
        <v>2528</v>
      </c>
      <c r="G2600" s="195"/>
      <c r="H2600" s="163"/>
      <c r="I2600" s="163">
        <v>3.24</v>
      </c>
      <c r="J2600" s="196" t="s">
        <v>13</v>
      </c>
      <c r="K2600" s="163"/>
      <c r="S2600" s="198"/>
      <c r="T2600" s="195"/>
      <c r="U2600" s="163"/>
      <c r="V2600" s="163"/>
      <c r="W2600" s="196"/>
      <c r="X2600" s="163"/>
      <c r="Y2600" s="163"/>
      <c r="Z2600" s="151">
        <v>4.48E-2</v>
      </c>
      <c r="AA2600" s="52">
        <f>Z2600*V2602</f>
        <v>4453.12</v>
      </c>
    </row>
    <row r="2601" spans="6:35" ht="18">
      <c r="F2601" s="163" t="s">
        <v>2529</v>
      </c>
      <c r="G2601" s="195"/>
      <c r="H2601" s="163"/>
      <c r="I2601" s="163">
        <v>3.6</v>
      </c>
      <c r="J2601" s="196" t="s">
        <v>13</v>
      </c>
      <c r="K2601" s="163"/>
      <c r="S2601" s="194">
        <f>V2590</f>
        <v>2.2800000000000001E-2</v>
      </c>
      <c r="T2601" s="195" t="s">
        <v>151</v>
      </c>
      <c r="U2601" s="163" t="s">
        <v>2541</v>
      </c>
      <c r="V2601" s="163">
        <f>I2633</f>
        <v>111600</v>
      </c>
      <c r="W2601" s="196" t="s">
        <v>151</v>
      </c>
      <c r="X2601" s="163">
        <f>S2601*V2601</f>
        <v>2544.48</v>
      </c>
      <c r="Y2601" s="163"/>
      <c r="Z2601" s="151">
        <v>2.2690000000000001</v>
      </c>
      <c r="AA2601" s="52">
        <f>Z2601*336</f>
        <v>762.38400000000001</v>
      </c>
      <c r="AD2601" s="163"/>
      <c r="AE2601" s="195"/>
      <c r="AF2601" s="2118" t="s">
        <v>2542</v>
      </c>
      <c r="AG2601" s="2118"/>
      <c r="AH2601" s="2118"/>
      <c r="AI2601" s="2118"/>
    </row>
    <row r="2602" spans="6:35" ht="15.75">
      <c r="F2602" s="163" t="s">
        <v>2513</v>
      </c>
      <c r="G2602" s="195"/>
      <c r="H2602" s="163"/>
      <c r="I2602" s="163">
        <v>2.88</v>
      </c>
      <c r="J2602" s="196"/>
      <c r="K2602" s="163"/>
      <c r="S2602" s="194">
        <f>V2593</f>
        <v>4.3031249999999993E-2</v>
      </c>
      <c r="T2602" s="195" t="s">
        <v>151</v>
      </c>
      <c r="U2602" s="163" t="s">
        <v>1797</v>
      </c>
      <c r="V2602" s="163">
        <f t="shared" ref="V2602:V2610" si="236">I2634</f>
        <v>99400</v>
      </c>
      <c r="W2602" s="196" t="s">
        <v>151</v>
      </c>
      <c r="X2602" s="163">
        <f t="shared" ref="X2602:X2612" si="237">S2602*V2602</f>
        <v>4277.3062499999996</v>
      </c>
      <c r="Y2602" s="163"/>
      <c r="Z2602" s="151">
        <v>3.4849999999999999</v>
      </c>
      <c r="AA2602" s="52">
        <f>Z2602*V2604</f>
        <v>5635.2449999999999</v>
      </c>
      <c r="AD2602" s="163"/>
      <c r="AE2602" s="195"/>
      <c r="AF2602" s="163"/>
      <c r="AG2602" s="163"/>
      <c r="AH2602" s="196"/>
      <c r="AI2602" s="163"/>
    </row>
    <row r="2603" spans="6:35" ht="15.75">
      <c r="F2603" s="163"/>
      <c r="G2603" s="195"/>
      <c r="H2603" s="163"/>
      <c r="I2603" s="199" t="s">
        <v>2491</v>
      </c>
      <c r="J2603" s="196"/>
      <c r="K2603" s="163"/>
      <c r="S2603" s="194">
        <f>V2598</f>
        <v>4.0781250000000005E-2</v>
      </c>
      <c r="T2603" s="195" t="s">
        <v>151</v>
      </c>
      <c r="U2603" s="163" t="s">
        <v>1798</v>
      </c>
      <c r="V2603" s="163">
        <f t="shared" si="236"/>
        <v>101921.4</v>
      </c>
      <c r="W2603" s="196" t="s">
        <v>151</v>
      </c>
      <c r="X2603" s="163">
        <f t="shared" si="237"/>
        <v>4156.4820937499999</v>
      </c>
      <c r="Y2603" s="163"/>
      <c r="Z2603" s="151">
        <v>2</v>
      </c>
      <c r="AA2603" s="52">
        <f>Z2603*V2605</f>
        <v>900</v>
      </c>
      <c r="AD2603" s="163" t="s">
        <v>2543</v>
      </c>
      <c r="AE2603" s="195"/>
      <c r="AF2603" s="163"/>
      <c r="AG2603" s="352">
        <f>2*0.95*2.025</f>
        <v>3.8474999999999997</v>
      </c>
      <c r="AH2603" s="196"/>
      <c r="AI2603" s="163"/>
    </row>
    <row r="2604" spans="6:35" ht="15.75">
      <c r="F2604" s="163"/>
      <c r="G2604" s="195"/>
      <c r="H2604" s="163"/>
      <c r="I2604" s="65">
        <f>SUM(I2597:I2602)</f>
        <v>72.549999999999983</v>
      </c>
      <c r="J2604" s="196" t="s">
        <v>13</v>
      </c>
      <c r="K2604" s="163"/>
      <c r="S2604" s="194">
        <f>V2589</f>
        <v>3.4424999999999999</v>
      </c>
      <c r="T2604" s="195" t="s">
        <v>152</v>
      </c>
      <c r="U2604" s="163" t="s">
        <v>1799</v>
      </c>
      <c r="V2604" s="163">
        <f t="shared" si="236"/>
        <v>1617</v>
      </c>
      <c r="W2604" s="196" t="s">
        <v>152</v>
      </c>
      <c r="X2604" s="163">
        <f t="shared" si="237"/>
        <v>5566.5225</v>
      </c>
      <c r="Y2604" s="163"/>
      <c r="Z2604" s="151">
        <v>6</v>
      </c>
      <c r="AA2604" s="52">
        <f>Z2604*V2606</f>
        <v>474</v>
      </c>
      <c r="AD2604" s="163" t="s">
        <v>2535</v>
      </c>
      <c r="AE2604" s="195"/>
      <c r="AF2604" s="163"/>
      <c r="AG2604" s="352">
        <v>2.2800000000000001E-2</v>
      </c>
      <c r="AH2604" s="196"/>
      <c r="AI2604" s="163"/>
    </row>
    <row r="2605" spans="6:35" ht="15.75">
      <c r="F2605" s="163"/>
      <c r="G2605" s="195"/>
      <c r="H2605" s="163"/>
      <c r="I2605" s="199" t="s">
        <v>2491</v>
      </c>
      <c r="J2605" s="196"/>
      <c r="K2605" s="163"/>
      <c r="S2605" s="198">
        <v>2</v>
      </c>
      <c r="T2605" s="195" t="s">
        <v>295</v>
      </c>
      <c r="U2605" s="163" t="s">
        <v>1801</v>
      </c>
      <c r="V2605" s="163">
        <f t="shared" si="236"/>
        <v>450</v>
      </c>
      <c r="W2605" s="196" t="s">
        <v>340</v>
      </c>
      <c r="X2605" s="163">
        <f t="shared" si="237"/>
        <v>900</v>
      </c>
      <c r="Y2605" s="163"/>
      <c r="Z2605" s="151">
        <v>4</v>
      </c>
      <c r="AA2605" s="52">
        <f>Z2605*V2607</f>
        <v>520</v>
      </c>
      <c r="AD2605" s="163" t="s">
        <v>2544</v>
      </c>
      <c r="AE2605" s="195"/>
      <c r="AF2605" s="163"/>
      <c r="AG2605" s="194">
        <f>2*3*0.95*0.15*0.0375</f>
        <v>3.2062499999999994E-2</v>
      </c>
      <c r="AH2605" s="196"/>
      <c r="AI2605" s="163"/>
    </row>
    <row r="2606" spans="6:35" ht="15.75">
      <c r="F2606" s="163"/>
      <c r="G2606" s="195"/>
      <c r="H2606" s="163"/>
      <c r="I2606" s="163"/>
      <c r="J2606" s="196"/>
      <c r="K2606" s="163"/>
      <c r="S2606" s="198">
        <v>6</v>
      </c>
      <c r="T2606" s="195" t="s">
        <v>295</v>
      </c>
      <c r="U2606" s="163" t="s">
        <v>1802</v>
      </c>
      <c r="V2606" s="163">
        <f t="shared" si="236"/>
        <v>79</v>
      </c>
      <c r="W2606" s="196" t="s">
        <v>340</v>
      </c>
      <c r="X2606" s="163">
        <f t="shared" si="237"/>
        <v>474</v>
      </c>
      <c r="Y2606" s="163"/>
      <c r="Z2606" s="151">
        <v>1</v>
      </c>
      <c r="AA2606" s="52">
        <f>Z2606*X2608</f>
        <v>985</v>
      </c>
      <c r="AD2606" s="163"/>
      <c r="AE2606" s="195" t="s">
        <v>2545</v>
      </c>
      <c r="AF2606" s="163"/>
      <c r="AG2606" s="194">
        <f>2*3*0.95*0.075*0.0375</f>
        <v>1.6031249999999997E-2</v>
      </c>
      <c r="AH2606" s="196"/>
      <c r="AI2606" s="163"/>
    </row>
    <row r="2607" spans="6:35" ht="15.75">
      <c r="F2607" s="163">
        <v>73</v>
      </c>
      <c r="G2607" s="195" t="s">
        <v>13</v>
      </c>
      <c r="H2607" s="163" t="s">
        <v>2515</v>
      </c>
      <c r="I2607" s="163">
        <f>I2572</f>
        <v>54.5</v>
      </c>
      <c r="J2607" s="196" t="s">
        <v>13</v>
      </c>
      <c r="K2607" s="163">
        <f>F2607*I2607</f>
        <v>3978.5</v>
      </c>
      <c r="S2607" s="198">
        <v>4</v>
      </c>
      <c r="T2607" s="195" t="s">
        <v>295</v>
      </c>
      <c r="U2607" s="163" t="s">
        <v>1803</v>
      </c>
      <c r="V2607" s="163">
        <f t="shared" si="236"/>
        <v>130</v>
      </c>
      <c r="W2607" s="196" t="s">
        <v>340</v>
      </c>
      <c r="X2607" s="163">
        <f t="shared" si="237"/>
        <v>520</v>
      </c>
      <c r="Y2607" s="163"/>
      <c r="Z2607" s="151">
        <v>2</v>
      </c>
      <c r="AA2607" s="52">
        <f>Z2607*V2609</f>
        <v>15</v>
      </c>
      <c r="AD2607" s="163"/>
      <c r="AE2607" s="195"/>
      <c r="AF2607" s="163"/>
      <c r="AG2607" s="353">
        <f>SUM(AG2605:AG2606)</f>
        <v>4.8093749999999991E-2</v>
      </c>
      <c r="AH2607" s="196"/>
      <c r="AI2607" s="163"/>
    </row>
    <row r="2608" spans="6:35" ht="15.75">
      <c r="F2608" s="163">
        <v>1.01</v>
      </c>
      <c r="G2608" s="195" t="s">
        <v>306</v>
      </c>
      <c r="H2608" s="163" t="s">
        <v>2482</v>
      </c>
      <c r="I2608" s="163">
        <f>I2573</f>
        <v>295</v>
      </c>
      <c r="J2608" s="196" t="s">
        <v>306</v>
      </c>
      <c r="K2608" s="163">
        <f>F2608*I2608</f>
        <v>297.95</v>
      </c>
      <c r="S2608" s="198">
        <v>1</v>
      </c>
      <c r="T2608" s="195" t="s">
        <v>295</v>
      </c>
      <c r="U2608" s="163" t="s">
        <v>1805</v>
      </c>
      <c r="V2608" s="163">
        <f t="shared" si="236"/>
        <v>985</v>
      </c>
      <c r="W2608" s="196" t="s">
        <v>340</v>
      </c>
      <c r="X2608" s="163">
        <f t="shared" si="237"/>
        <v>985</v>
      </c>
      <c r="Y2608" s="163"/>
      <c r="Z2608" s="151">
        <v>2</v>
      </c>
      <c r="AA2608" s="52">
        <f>Z2608*V2610</f>
        <v>87.6</v>
      </c>
      <c r="AD2608" s="163"/>
      <c r="AE2608" s="195"/>
      <c r="AF2608" s="163"/>
      <c r="AG2608" s="163"/>
      <c r="AH2608" s="196"/>
      <c r="AI2608" s="163"/>
    </row>
    <row r="2609" spans="6:35" ht="15.75">
      <c r="F2609" s="163">
        <v>1.01</v>
      </c>
      <c r="G2609" s="195" t="s">
        <v>306</v>
      </c>
      <c r="H2609" s="163" t="s">
        <v>2546</v>
      </c>
      <c r="I2609" s="163">
        <f>C198</f>
        <v>31.65</v>
      </c>
      <c r="J2609" s="196" t="s">
        <v>306</v>
      </c>
      <c r="K2609" s="163">
        <f>F2609*I2609</f>
        <v>31.9665</v>
      </c>
      <c r="S2609" s="198">
        <v>2</v>
      </c>
      <c r="T2609" s="195" t="s">
        <v>295</v>
      </c>
      <c r="U2609" s="163" t="s">
        <v>884</v>
      </c>
      <c r="V2609" s="163">
        <v>7.5</v>
      </c>
      <c r="W2609" s="196" t="s">
        <v>340</v>
      </c>
      <c r="X2609" s="163">
        <f t="shared" si="237"/>
        <v>15</v>
      </c>
      <c r="Y2609" s="163"/>
      <c r="Z2609" s="151"/>
      <c r="AA2609" s="52">
        <v>20</v>
      </c>
      <c r="AD2609" s="163"/>
      <c r="AE2609" s="195"/>
      <c r="AF2609" s="163"/>
      <c r="AG2609" s="163"/>
      <c r="AH2609" s="196"/>
      <c r="AI2609" s="163"/>
    </row>
    <row r="2610" spans="6:35" ht="15.75">
      <c r="F2610" s="163"/>
      <c r="G2610" s="195"/>
      <c r="H2610" s="163" t="s">
        <v>2517</v>
      </c>
      <c r="I2610" s="348">
        <v>266.81</v>
      </c>
      <c r="J2610" s="196" t="s">
        <v>226</v>
      </c>
      <c r="K2610" s="163">
        <f>I2610</f>
        <v>266.81</v>
      </c>
      <c r="S2610" s="198">
        <v>2</v>
      </c>
      <c r="T2610" s="195" t="s">
        <v>295</v>
      </c>
      <c r="U2610" s="163" t="s">
        <v>886</v>
      </c>
      <c r="V2610" s="163">
        <f t="shared" si="236"/>
        <v>43.8</v>
      </c>
      <c r="W2610" s="196" t="s">
        <v>340</v>
      </c>
      <c r="X2610" s="163">
        <f t="shared" si="237"/>
        <v>87.6</v>
      </c>
      <c r="Y2610" s="163"/>
      <c r="AA2610" s="52">
        <f>SUM(AA2599:AA2609)</f>
        <v>16430.308999999997</v>
      </c>
      <c r="AD2610" s="163" t="s">
        <v>2547</v>
      </c>
      <c r="AE2610" s="195"/>
      <c r="AF2610" s="163"/>
      <c r="AG2610" s="194">
        <f>2*4*0.825*0.3*0.01875</f>
        <v>3.7124999999999991E-2</v>
      </c>
      <c r="AH2610" s="196"/>
      <c r="AI2610" s="163"/>
    </row>
    <row r="2611" spans="6:35" ht="15.75">
      <c r="F2611" s="163"/>
      <c r="G2611" s="195"/>
      <c r="H2611" s="163"/>
      <c r="I2611" s="163"/>
      <c r="J2611" s="196"/>
      <c r="K2611" s="199" t="s">
        <v>1810</v>
      </c>
      <c r="S2611" s="198"/>
      <c r="T2611" s="195"/>
      <c r="U2611" s="163"/>
      <c r="V2611" s="163"/>
      <c r="W2611" s="196"/>
      <c r="X2611" s="163"/>
      <c r="Y2611" s="163"/>
      <c r="AA2611" s="52">
        <f>AA2610/3.485</f>
        <v>4714.5793400286939</v>
      </c>
      <c r="AD2611" s="163" t="s">
        <v>2548</v>
      </c>
      <c r="AE2611" s="195"/>
      <c r="AF2611" s="163"/>
      <c r="AG2611" s="194">
        <f>2*0.825*0.3*0.01875</f>
        <v>9.2812499999999978E-3</v>
      </c>
      <c r="AH2611" s="196"/>
      <c r="AI2611" s="163"/>
    </row>
    <row r="2612" spans="6:35" ht="15.75">
      <c r="F2612" s="163"/>
      <c r="G2612" s="195"/>
      <c r="H2612" s="163"/>
      <c r="I2612" s="163"/>
      <c r="J2612" s="196"/>
      <c r="K2612" s="163">
        <f>SUM(K2607:K2610)</f>
        <v>4575.2265000000007</v>
      </c>
      <c r="S2612" s="198">
        <v>10</v>
      </c>
      <c r="T2612" s="195"/>
      <c r="U2612" s="163" t="s">
        <v>1733</v>
      </c>
      <c r="V2612" s="163">
        <f>I2643</f>
        <v>2.37</v>
      </c>
      <c r="W2612" s="196"/>
      <c r="X2612" s="163">
        <f t="shared" si="237"/>
        <v>23.700000000000003</v>
      </c>
      <c r="Y2612" s="163"/>
      <c r="AD2612" s="163"/>
      <c r="AE2612" s="195"/>
      <c r="AF2612" s="163"/>
      <c r="AG2612" s="353">
        <f>SUM(AG2610:AG2611)</f>
        <v>4.6406249999999989E-2</v>
      </c>
      <c r="AH2612" s="196"/>
      <c r="AI2612" s="163"/>
    </row>
    <row r="2613" spans="6:35" ht="15.75">
      <c r="F2613" s="163"/>
      <c r="G2613" s="195"/>
      <c r="H2613" s="163" t="s">
        <v>2518</v>
      </c>
      <c r="I2613" s="348">
        <v>255</v>
      </c>
      <c r="J2613" s="196" t="s">
        <v>226</v>
      </c>
      <c r="K2613" s="163">
        <v>255</v>
      </c>
      <c r="S2613" s="198"/>
      <c r="T2613" s="125"/>
      <c r="U2613" s="65" t="s">
        <v>155</v>
      </c>
      <c r="V2613" s="163"/>
      <c r="W2613" s="196"/>
      <c r="X2613" s="65">
        <f>SUM(X2601:X2612)</f>
        <v>19550.090843749997</v>
      </c>
      <c r="Y2613" s="65"/>
      <c r="AD2613" s="163"/>
      <c r="AE2613" s="195"/>
      <c r="AF2613" s="65" t="s">
        <v>2540</v>
      </c>
      <c r="AG2613" s="163"/>
      <c r="AH2613" s="196"/>
      <c r="AI2613" s="163"/>
    </row>
    <row r="2614" spans="6:35" ht="15.75">
      <c r="F2614" s="163"/>
      <c r="G2614" s="195"/>
      <c r="H2614" s="163"/>
      <c r="I2614" s="163"/>
      <c r="J2614" s="196"/>
      <c r="K2614" s="199" t="s">
        <v>1810</v>
      </c>
      <c r="S2614" s="198"/>
      <c r="T2614" s="125"/>
      <c r="U2614" s="65"/>
      <c r="V2614" s="163"/>
      <c r="W2614" s="196"/>
      <c r="X2614" s="199" t="s">
        <v>1810</v>
      </c>
      <c r="Y2614" s="199"/>
      <c r="AD2614" s="163"/>
      <c r="AE2614" s="195"/>
      <c r="AF2614" s="163"/>
      <c r="AG2614" s="163"/>
      <c r="AH2614" s="196"/>
      <c r="AI2614" s="163"/>
    </row>
    <row r="2615" spans="6:35" ht="15.75">
      <c r="F2615" s="163"/>
      <c r="G2615" s="195"/>
      <c r="H2615" s="65" t="s">
        <v>2519</v>
      </c>
      <c r="I2615" s="163"/>
      <c r="J2615" s="196"/>
      <c r="K2615" s="65">
        <f>SUM(K2612:K2613)</f>
        <v>4830.2265000000007</v>
      </c>
      <c r="M2615" s="52">
        <f>5227-K2615</f>
        <v>396.77349999999933</v>
      </c>
      <c r="S2615" s="198"/>
      <c r="T2615" s="125"/>
      <c r="U2615" s="65" t="s">
        <v>2549</v>
      </c>
      <c r="V2615" s="163"/>
      <c r="W2615" s="196"/>
      <c r="X2615" s="65">
        <f>X2613/3.4425</f>
        <v>5679.0387345679001</v>
      </c>
      <c r="Y2615" s="65"/>
      <c r="AD2615" s="194">
        <f>AG2604</f>
        <v>2.2800000000000001E-2</v>
      </c>
      <c r="AE2615" s="195" t="s">
        <v>151</v>
      </c>
      <c r="AF2615" s="163" t="s">
        <v>2541</v>
      </c>
      <c r="AG2615" s="163">
        <f>V2601</f>
        <v>111600</v>
      </c>
      <c r="AH2615" s="196" t="s">
        <v>151</v>
      </c>
      <c r="AI2615" s="163">
        <f>AD2615*AG2615</f>
        <v>2544.48</v>
      </c>
    </row>
    <row r="2616" spans="6:35" ht="15.75">
      <c r="F2616" s="163"/>
      <c r="G2616" s="195"/>
      <c r="H2616" s="163"/>
      <c r="I2616" s="163"/>
      <c r="J2616" s="196"/>
      <c r="K2616" s="199" t="s">
        <v>1810</v>
      </c>
      <c r="AD2616" s="194">
        <f>AG2607</f>
        <v>4.8093749999999991E-2</v>
      </c>
      <c r="AE2616" s="195" t="s">
        <v>151</v>
      </c>
      <c r="AF2616" s="163" t="s">
        <v>1797</v>
      </c>
      <c r="AG2616" s="163">
        <f t="shared" ref="AG2616:AG2624" si="238">V2602</f>
        <v>99400</v>
      </c>
      <c r="AH2616" s="196" t="s">
        <v>151</v>
      </c>
      <c r="AI2616" s="163">
        <f t="shared" ref="AI2616:AI2624" si="239">AD2616*AG2616</f>
        <v>4780.5187499999993</v>
      </c>
    </row>
    <row r="2617" spans="6:35" ht="15.75">
      <c r="F2617" s="163"/>
      <c r="G2617" s="195"/>
      <c r="H2617" s="163"/>
      <c r="I2617" s="163"/>
      <c r="J2617" s="196"/>
      <c r="K2617" s="163"/>
      <c r="AD2617" s="197">
        <f>AG2612</f>
        <v>4.6406249999999989E-2</v>
      </c>
      <c r="AE2617" s="195" t="s">
        <v>151</v>
      </c>
      <c r="AF2617" s="163" t="s">
        <v>1798</v>
      </c>
      <c r="AG2617" s="163">
        <f t="shared" si="238"/>
        <v>101921.4</v>
      </c>
      <c r="AH2617" s="196" t="s">
        <v>151</v>
      </c>
      <c r="AI2617" s="163">
        <f t="shared" si="239"/>
        <v>4729.7899687499985</v>
      </c>
    </row>
    <row r="2618" spans="6:35" ht="15.75">
      <c r="F2618" s="163"/>
      <c r="G2618" s="195"/>
      <c r="H2618" s="163"/>
      <c r="I2618" s="163"/>
      <c r="J2618" s="196"/>
      <c r="K2618" s="163"/>
      <c r="AD2618" s="194">
        <f>AG2603</f>
        <v>3.8474999999999997</v>
      </c>
      <c r="AE2618" s="195" t="s">
        <v>152</v>
      </c>
      <c r="AF2618" s="163" t="s">
        <v>1799</v>
      </c>
      <c r="AG2618" s="163">
        <f t="shared" si="238"/>
        <v>1617</v>
      </c>
      <c r="AH2618" s="196" t="s">
        <v>152</v>
      </c>
      <c r="AI2618" s="163">
        <f t="shared" si="239"/>
        <v>6221.4074999999993</v>
      </c>
    </row>
    <row r="2619" spans="6:35" ht="15.75">
      <c r="F2619" s="163"/>
      <c r="G2619" s="195"/>
      <c r="H2619" s="65" t="s">
        <v>2550</v>
      </c>
      <c r="I2619" s="65"/>
      <c r="J2619" s="196"/>
      <c r="K2619" s="163"/>
      <c r="AD2619" s="163">
        <v>2</v>
      </c>
      <c r="AE2619" s="195" t="s">
        <v>295</v>
      </c>
      <c r="AF2619" s="163" t="s">
        <v>1801</v>
      </c>
      <c r="AG2619" s="163">
        <f t="shared" si="238"/>
        <v>450</v>
      </c>
      <c r="AH2619" s="196" t="s">
        <v>340</v>
      </c>
      <c r="AI2619" s="163">
        <f t="shared" si="239"/>
        <v>900</v>
      </c>
    </row>
    <row r="2620" spans="6:35" ht="15.75">
      <c r="F2620" s="163"/>
      <c r="G2620" s="195"/>
      <c r="H2620" s="163"/>
      <c r="I2620" s="163"/>
      <c r="J2620" s="196"/>
      <c r="K2620" s="163"/>
      <c r="AD2620" s="163">
        <v>6</v>
      </c>
      <c r="AE2620" s="195" t="s">
        <v>295</v>
      </c>
      <c r="AF2620" s="163" t="s">
        <v>1802</v>
      </c>
      <c r="AG2620" s="163">
        <f t="shared" si="238"/>
        <v>79</v>
      </c>
      <c r="AH2620" s="196" t="s">
        <v>340</v>
      </c>
      <c r="AI2620" s="163">
        <f t="shared" si="239"/>
        <v>474</v>
      </c>
    </row>
    <row r="2621" spans="6:35" ht="15.75">
      <c r="F2621" s="163" t="s">
        <v>2551</v>
      </c>
      <c r="G2621" s="195"/>
      <c r="H2621" s="163"/>
      <c r="I2621" s="163"/>
      <c r="J2621" s="196"/>
      <c r="K2621" s="163"/>
      <c r="AD2621" s="163">
        <v>4</v>
      </c>
      <c r="AE2621" s="195" t="s">
        <v>295</v>
      </c>
      <c r="AF2621" s="163" t="s">
        <v>1803</v>
      </c>
      <c r="AG2621" s="163">
        <f t="shared" si="238"/>
        <v>130</v>
      </c>
      <c r="AH2621" s="196" t="s">
        <v>340</v>
      </c>
      <c r="AI2621" s="163">
        <f t="shared" si="239"/>
        <v>520</v>
      </c>
    </row>
    <row r="2622" spans="6:35" ht="15.75">
      <c r="F2622" s="163" t="s">
        <v>2535</v>
      </c>
      <c r="G2622" s="195"/>
      <c r="H2622" s="163"/>
      <c r="I2622" s="352">
        <v>2.2800000000000001E-2</v>
      </c>
      <c r="J2622" s="196"/>
      <c r="K2622" s="163"/>
      <c r="AD2622" s="163">
        <v>1</v>
      </c>
      <c r="AE2622" s="195" t="s">
        <v>295</v>
      </c>
      <c r="AF2622" s="163" t="s">
        <v>1805</v>
      </c>
      <c r="AG2622" s="163">
        <f t="shared" si="238"/>
        <v>985</v>
      </c>
      <c r="AH2622" s="196" t="s">
        <v>340</v>
      </c>
      <c r="AI2622" s="163">
        <f t="shared" si="239"/>
        <v>985</v>
      </c>
    </row>
    <row r="2623" spans="6:35" ht="15.75">
      <c r="F2623" s="163" t="s">
        <v>2552</v>
      </c>
      <c r="G2623" s="195"/>
      <c r="H2623" s="163"/>
      <c r="I2623" s="194">
        <v>2.3599999999999999E-2</v>
      </c>
      <c r="J2623" s="196"/>
      <c r="K2623" s="163"/>
      <c r="AD2623" s="163">
        <v>2</v>
      </c>
      <c r="AE2623" s="195" t="s">
        <v>295</v>
      </c>
      <c r="AF2623" s="163" t="s">
        <v>884</v>
      </c>
      <c r="AG2623" s="163">
        <f t="shared" si="238"/>
        <v>7.5</v>
      </c>
      <c r="AH2623" s="196" t="s">
        <v>340</v>
      </c>
      <c r="AI2623" s="163">
        <f t="shared" si="239"/>
        <v>15</v>
      </c>
    </row>
    <row r="2624" spans="6:35" ht="15.75">
      <c r="F2624" s="163"/>
      <c r="G2624" s="195" t="s">
        <v>2553</v>
      </c>
      <c r="H2624" s="163"/>
      <c r="I2624" s="194">
        <v>1.18E-2</v>
      </c>
      <c r="J2624" s="196"/>
      <c r="K2624" s="163"/>
      <c r="AD2624" s="163">
        <v>2</v>
      </c>
      <c r="AE2624" s="195" t="s">
        <v>295</v>
      </c>
      <c r="AF2624" s="163" t="s">
        <v>886</v>
      </c>
      <c r="AG2624" s="163">
        <f t="shared" si="238"/>
        <v>43.8</v>
      </c>
      <c r="AH2624" s="196" t="s">
        <v>340</v>
      </c>
      <c r="AI2624" s="163">
        <f t="shared" si="239"/>
        <v>87.6</v>
      </c>
    </row>
    <row r="2625" spans="6:35" ht="15.75">
      <c r="F2625" s="163"/>
      <c r="G2625" s="195"/>
      <c r="H2625" s="163"/>
      <c r="I2625" s="353">
        <f>SUM(I2623:I2624)</f>
        <v>3.5400000000000001E-2</v>
      </c>
      <c r="J2625" s="196"/>
      <c r="K2625" s="163"/>
      <c r="AD2625" s="163"/>
      <c r="AE2625" s="195"/>
      <c r="AF2625" s="163"/>
      <c r="AG2625" s="163"/>
      <c r="AH2625" s="196"/>
      <c r="AI2625" s="163"/>
    </row>
    <row r="2626" spans="6:35" ht="15.75">
      <c r="F2626" s="163"/>
      <c r="G2626" s="195"/>
      <c r="H2626" s="163"/>
      <c r="I2626" s="163"/>
      <c r="J2626" s="196"/>
      <c r="K2626" s="163"/>
      <c r="M2626" s="163"/>
      <c r="N2626" s="195"/>
      <c r="O2626" s="65" t="s">
        <v>2554</v>
      </c>
      <c r="P2626" s="163"/>
      <c r="Q2626" s="196"/>
      <c r="R2626" s="163"/>
      <c r="AD2626" s="163"/>
      <c r="AE2626" s="195"/>
      <c r="AF2626" s="163"/>
      <c r="AG2626" s="163"/>
      <c r="AH2626" s="196"/>
      <c r="AI2626" s="199">
        <v>10.54</v>
      </c>
    </row>
    <row r="2627" spans="6:35" ht="15.75">
      <c r="F2627" s="163"/>
      <c r="G2627" s="195"/>
      <c r="H2627" s="163"/>
      <c r="I2627" s="163"/>
      <c r="J2627" s="196"/>
      <c r="K2627" s="163"/>
      <c r="M2627" s="163"/>
      <c r="N2627" s="195"/>
      <c r="O2627" s="163"/>
      <c r="P2627" s="163"/>
      <c r="Q2627" s="196"/>
      <c r="R2627" s="163"/>
      <c r="AD2627" s="163"/>
      <c r="AE2627" s="125"/>
      <c r="AF2627" s="65" t="s">
        <v>155</v>
      </c>
      <c r="AG2627" s="163"/>
      <c r="AH2627" s="196"/>
      <c r="AI2627" s="65">
        <f>SUM(AI2615:AI2626)</f>
        <v>21268.336218749995</v>
      </c>
    </row>
    <row r="2628" spans="6:35" ht="15.75">
      <c r="F2628" s="163" t="s">
        <v>2555</v>
      </c>
      <c r="G2628" s="195"/>
      <c r="H2628" s="163"/>
      <c r="I2628" s="194">
        <v>2.5899999999999999E-2</v>
      </c>
      <c r="J2628" s="196"/>
      <c r="K2628" s="163"/>
      <c r="M2628" s="163" t="s">
        <v>2556</v>
      </c>
      <c r="N2628" s="195"/>
      <c r="O2628" s="163"/>
      <c r="P2628" s="163"/>
      <c r="Q2628" s="196"/>
      <c r="R2628" s="163"/>
      <c r="AD2628" s="163"/>
      <c r="AE2628" s="125"/>
      <c r="AF2628" s="65"/>
      <c r="AG2628" s="163"/>
      <c r="AH2628" s="196"/>
      <c r="AI2628" s="199" t="s">
        <v>1810</v>
      </c>
    </row>
    <row r="2629" spans="6:35" ht="15.75">
      <c r="F2629" s="163" t="s">
        <v>2557</v>
      </c>
      <c r="G2629" s="195"/>
      <c r="H2629" s="163"/>
      <c r="I2629" s="194">
        <f>2*0.575*0.3*0.01875</f>
        <v>6.4687499999999997E-3</v>
      </c>
      <c r="J2629" s="196"/>
      <c r="K2629" s="163">
        <f>3643035-3769622.98</f>
        <v>-126587.97999999998</v>
      </c>
      <c r="M2629" s="163" t="s">
        <v>2535</v>
      </c>
      <c r="N2629" s="195"/>
      <c r="O2629" s="163"/>
      <c r="P2629" s="352">
        <v>2.2800000000000001E-2</v>
      </c>
      <c r="Q2629" s="196"/>
      <c r="R2629" s="163"/>
      <c r="AD2629" s="163"/>
      <c r="AE2629" s="125"/>
      <c r="AF2629" s="65" t="s">
        <v>2558</v>
      </c>
      <c r="AG2629" s="163"/>
      <c r="AH2629" s="196"/>
      <c r="AI2629" s="65">
        <f>AI2627/3.8475</f>
        <v>5527.8326754385953</v>
      </c>
    </row>
    <row r="2630" spans="6:35" ht="15.75">
      <c r="F2630" s="163"/>
      <c r="G2630" s="195"/>
      <c r="H2630" s="163"/>
      <c r="I2630" s="353">
        <f>SUM(I2628:I2629)</f>
        <v>3.2368750000000002E-2</v>
      </c>
      <c r="J2630" s="196"/>
      <c r="K2630" s="163"/>
      <c r="M2630" s="163" t="s">
        <v>2559</v>
      </c>
      <c r="N2630" s="195"/>
      <c r="O2630" s="163"/>
      <c r="P2630" s="194">
        <v>1.8599999999999998E-2</v>
      </c>
      <c r="Q2630" s="196"/>
      <c r="R2630" s="163"/>
    </row>
    <row r="2631" spans="6:35" ht="15.75">
      <c r="F2631" s="163"/>
      <c r="G2631" s="195"/>
      <c r="H2631" s="65" t="s">
        <v>2540</v>
      </c>
      <c r="I2631" s="163"/>
      <c r="J2631" s="196"/>
      <c r="K2631" s="163"/>
      <c r="M2631" s="163"/>
      <c r="N2631" s="195" t="s">
        <v>2560</v>
      </c>
      <c r="O2631" s="163"/>
      <c r="P2631" s="194">
        <v>9.2999999999999992E-3</v>
      </c>
      <c r="Q2631" s="196"/>
      <c r="R2631" s="163"/>
    </row>
    <row r="2632" spans="6:35" ht="15.75">
      <c r="F2632" s="163"/>
      <c r="G2632" s="195"/>
      <c r="H2632" s="163"/>
      <c r="I2632" s="163"/>
      <c r="J2632" s="196"/>
      <c r="K2632" s="163"/>
      <c r="M2632" s="163"/>
      <c r="N2632" s="195"/>
      <c r="O2632" s="163"/>
      <c r="P2632" s="353">
        <f>SUM(P2630:P2631)</f>
        <v>2.7899999999999998E-2</v>
      </c>
      <c r="Q2632" s="196"/>
      <c r="R2632" s="163"/>
    </row>
    <row r="2633" spans="6:35" ht="15.75">
      <c r="F2633" s="194">
        <v>2.2800000000000001E-2</v>
      </c>
      <c r="G2633" s="195" t="s">
        <v>151</v>
      </c>
      <c r="H2633" s="163" t="s">
        <v>1796</v>
      </c>
      <c r="I2633" s="163">
        <f>AE26</f>
        <v>111600</v>
      </c>
      <c r="J2633" s="196" t="s">
        <v>151</v>
      </c>
      <c r="K2633" s="163">
        <f>F2633*I2633</f>
        <v>2544.48</v>
      </c>
      <c r="M2633" s="163"/>
      <c r="N2633" s="195"/>
      <c r="O2633" s="163"/>
      <c r="P2633" s="163"/>
      <c r="Q2633" s="196"/>
      <c r="R2633" s="163"/>
    </row>
    <row r="2634" spans="6:35" ht="15.75">
      <c r="F2634" s="194">
        <v>3.5400000000000001E-2</v>
      </c>
      <c r="G2634" s="195" t="s">
        <v>151</v>
      </c>
      <c r="H2634" s="163" t="s">
        <v>1797</v>
      </c>
      <c r="I2634" s="163">
        <f>AE27</f>
        <v>99400</v>
      </c>
      <c r="J2634" s="196" t="s">
        <v>151</v>
      </c>
      <c r="K2634" s="163">
        <f t="shared" ref="K2634:K2643" si="240">F2634*I2634</f>
        <v>3518.76</v>
      </c>
      <c r="M2634" s="163"/>
      <c r="N2634" s="195"/>
      <c r="O2634" s="163"/>
      <c r="P2634" s="163"/>
      <c r="Q2634" s="196"/>
      <c r="R2634" s="163"/>
    </row>
    <row r="2635" spans="6:35" ht="15.75">
      <c r="F2635" s="197">
        <v>3.2300000000000002E-2</v>
      </c>
      <c r="G2635" s="195" t="s">
        <v>151</v>
      </c>
      <c r="H2635" s="52" t="s">
        <v>2561</v>
      </c>
      <c r="I2635" s="163">
        <v>101921.4</v>
      </c>
      <c r="J2635" s="196" t="s">
        <v>151</v>
      </c>
      <c r="K2635" s="163">
        <f t="shared" si="240"/>
        <v>3292.06122</v>
      </c>
      <c r="M2635" s="163" t="s">
        <v>2562</v>
      </c>
      <c r="N2635" s="195"/>
      <c r="O2635" s="163"/>
      <c r="P2635" s="194">
        <v>1.9E-2</v>
      </c>
      <c r="Q2635" s="196"/>
      <c r="R2635" s="163"/>
      <c r="AD2635" s="198"/>
      <c r="AE2635" s="195"/>
      <c r="AF2635" s="65" t="s">
        <v>2533</v>
      </c>
      <c r="AG2635" s="163"/>
      <c r="AH2635" s="196"/>
      <c r="AI2635" s="163"/>
    </row>
    <row r="2636" spans="6:35" ht="15.75">
      <c r="F2636" s="198">
        <v>2.835</v>
      </c>
      <c r="G2636" s="195" t="s">
        <v>152</v>
      </c>
      <c r="H2636" s="163" t="s">
        <v>1799</v>
      </c>
      <c r="I2636" s="163">
        <f>AG30</f>
        <v>1617</v>
      </c>
      <c r="J2636" s="196" t="s">
        <v>152</v>
      </c>
      <c r="K2636" s="163">
        <f t="shared" si="240"/>
        <v>4584.1949999999997</v>
      </c>
      <c r="M2636" s="163" t="s">
        <v>2563</v>
      </c>
      <c r="N2636" s="195"/>
      <c r="O2636" s="163"/>
      <c r="P2636" s="194">
        <v>4.7999999999999996E-3</v>
      </c>
      <c r="Q2636" s="196"/>
      <c r="R2636" s="163"/>
      <c r="AD2636" s="198"/>
      <c r="AE2636" s="195"/>
      <c r="AF2636" s="65" t="s">
        <v>2564</v>
      </c>
      <c r="AG2636" s="163"/>
      <c r="AH2636" s="196"/>
      <c r="AI2636" s="163"/>
    </row>
    <row r="2637" spans="6:35" ht="15.75">
      <c r="F2637" s="163">
        <v>2</v>
      </c>
      <c r="G2637" s="195" t="s">
        <v>295</v>
      </c>
      <c r="H2637" s="52" t="s">
        <v>2565</v>
      </c>
      <c r="I2637" s="354">
        <v>450</v>
      </c>
      <c r="J2637" s="196" t="s">
        <v>340</v>
      </c>
      <c r="K2637" s="163">
        <f t="shared" si="240"/>
        <v>900</v>
      </c>
      <c r="M2637" s="163"/>
      <c r="N2637" s="195"/>
      <c r="O2637" s="163"/>
      <c r="P2637" s="353">
        <f>SUM(P2635:P2636)</f>
        <v>2.3799999999999998E-2</v>
      </c>
      <c r="Q2637" s="196"/>
      <c r="R2637" s="163"/>
      <c r="AD2637" s="198" t="s">
        <v>2534</v>
      </c>
      <c r="AE2637" s="195"/>
      <c r="AF2637" s="163"/>
      <c r="AG2637" s="352">
        <f>2*0.85*2.025</f>
        <v>3.4424999999999999</v>
      </c>
      <c r="AH2637" s="196"/>
      <c r="AI2637" s="163"/>
    </row>
    <row r="2638" spans="6:35" ht="15.75">
      <c r="F2638" s="163">
        <v>6</v>
      </c>
      <c r="G2638" s="195" t="s">
        <v>295</v>
      </c>
      <c r="H2638" s="52" t="s">
        <v>2566</v>
      </c>
      <c r="I2638" s="354">
        <v>79</v>
      </c>
      <c r="J2638" s="196" t="s">
        <v>340</v>
      </c>
      <c r="K2638" s="163">
        <f t="shared" si="240"/>
        <v>474</v>
      </c>
      <c r="M2638" s="163"/>
      <c r="N2638" s="195"/>
      <c r="O2638" s="65" t="s">
        <v>2540</v>
      </c>
      <c r="P2638" s="163"/>
      <c r="Q2638" s="196"/>
      <c r="R2638" s="163"/>
      <c r="AD2638" s="198" t="s">
        <v>2535</v>
      </c>
      <c r="AE2638" s="195"/>
      <c r="AF2638" s="163"/>
      <c r="AG2638" s="352">
        <v>2.2800000000000001E-2</v>
      </c>
      <c r="AH2638" s="196"/>
      <c r="AI2638" s="163"/>
    </row>
    <row r="2639" spans="6:35" ht="15.75">
      <c r="F2639" s="163">
        <v>4</v>
      </c>
      <c r="G2639" s="195" t="s">
        <v>295</v>
      </c>
      <c r="H2639" s="52" t="s">
        <v>2567</v>
      </c>
      <c r="I2639" s="354">
        <v>130</v>
      </c>
      <c r="J2639" s="196" t="s">
        <v>340</v>
      </c>
      <c r="K2639" s="163">
        <f t="shared" si="240"/>
        <v>520</v>
      </c>
      <c r="M2639" s="163"/>
      <c r="N2639" s="195"/>
      <c r="O2639" s="163"/>
      <c r="P2639" s="163"/>
      <c r="Q2639" s="196"/>
      <c r="R2639" s="163"/>
      <c r="AD2639" s="198" t="s">
        <v>2536</v>
      </c>
      <c r="AE2639" s="195"/>
      <c r="AF2639" s="163"/>
      <c r="AG2639" s="194">
        <f>2*3*0.85*0.15*0.0375</f>
        <v>2.8687499999999994E-2</v>
      </c>
      <c r="AH2639" s="196"/>
      <c r="AI2639" s="163"/>
    </row>
    <row r="2640" spans="6:35" ht="15.75">
      <c r="F2640" s="163">
        <v>1</v>
      </c>
      <c r="G2640" s="195" t="s">
        <v>295</v>
      </c>
      <c r="H2640" s="52" t="s">
        <v>2568</v>
      </c>
      <c r="I2640" s="354">
        <v>985</v>
      </c>
      <c r="J2640" s="196" t="s">
        <v>340</v>
      </c>
      <c r="K2640" s="163">
        <f t="shared" si="240"/>
        <v>985</v>
      </c>
      <c r="M2640" s="194">
        <f>P2629</f>
        <v>2.2800000000000001E-2</v>
      </c>
      <c r="N2640" s="195" t="s">
        <v>151</v>
      </c>
      <c r="O2640" s="163" t="s">
        <v>2541</v>
      </c>
      <c r="P2640" s="163">
        <f>I2633</f>
        <v>111600</v>
      </c>
      <c r="Q2640" s="196" t="s">
        <v>151</v>
      </c>
      <c r="R2640" s="163">
        <f>M2640*P2640</f>
        <v>2544.48</v>
      </c>
      <c r="AD2640" s="198"/>
      <c r="AE2640" s="195" t="s">
        <v>2537</v>
      </c>
      <c r="AF2640" s="163"/>
      <c r="AG2640" s="194">
        <f>2*3*0.85*0.075*0.0375</f>
        <v>1.4343749999999997E-2</v>
      </c>
      <c r="AH2640" s="196"/>
      <c r="AI2640" s="163"/>
    </row>
    <row r="2641" spans="6:36" ht="15.75">
      <c r="F2641" s="163">
        <v>2</v>
      </c>
      <c r="G2641" s="195" t="s">
        <v>295</v>
      </c>
      <c r="H2641" s="52" t="s">
        <v>2569</v>
      </c>
      <c r="I2641" s="354">
        <v>21.48</v>
      </c>
      <c r="J2641" s="196" t="s">
        <v>340</v>
      </c>
      <c r="K2641" s="163">
        <f t="shared" si="240"/>
        <v>42.96</v>
      </c>
      <c r="M2641" s="194">
        <f>P2632</f>
        <v>2.7899999999999998E-2</v>
      </c>
      <c r="N2641" s="195" t="s">
        <v>151</v>
      </c>
      <c r="O2641" s="163" t="s">
        <v>1797</v>
      </c>
      <c r="P2641" s="163">
        <f t="shared" ref="P2641:P2649" si="241">I2634</f>
        <v>99400</v>
      </c>
      <c r="Q2641" s="196" t="s">
        <v>151</v>
      </c>
      <c r="R2641" s="163">
        <f t="shared" ref="R2641:R2649" si="242">M2641*P2641</f>
        <v>2773.2599999999998</v>
      </c>
      <c r="AC2641" s="198"/>
      <c r="AD2641" s="198"/>
      <c r="AE2641" s="195"/>
      <c r="AF2641" s="163"/>
      <c r="AG2641" s="353">
        <f>SUM(AG2639:AG2640)</f>
        <v>4.3031249999999993E-2</v>
      </c>
      <c r="AH2641" s="196"/>
      <c r="AI2641" s="163"/>
    </row>
    <row r="2642" spans="6:36" ht="15.75">
      <c r="F2642" s="163">
        <v>2</v>
      </c>
      <c r="G2642" s="195" t="s">
        <v>295</v>
      </c>
      <c r="H2642" s="163" t="s">
        <v>886</v>
      </c>
      <c r="I2642" s="163">
        <f>I2823</f>
        <v>43.8</v>
      </c>
      <c r="J2642" s="196" t="s">
        <v>340</v>
      </c>
      <c r="K2642" s="163">
        <f t="shared" si="240"/>
        <v>87.6</v>
      </c>
      <c r="M2642" s="197">
        <f>P2637</f>
        <v>2.3799999999999998E-2</v>
      </c>
      <c r="N2642" s="195" t="s">
        <v>151</v>
      </c>
      <c r="O2642" s="52" t="s">
        <v>2570</v>
      </c>
      <c r="P2642" s="163">
        <f t="shared" si="241"/>
        <v>101921.4</v>
      </c>
      <c r="Q2642" s="196" t="s">
        <v>151</v>
      </c>
      <c r="R2642" s="163">
        <f t="shared" si="242"/>
        <v>2425.7293199999995</v>
      </c>
      <c r="AC2642" s="198"/>
      <c r="AD2642" s="198"/>
      <c r="AE2642" s="195"/>
      <c r="AF2642" s="163"/>
      <c r="AG2642" s="163"/>
      <c r="AH2642" s="196"/>
      <c r="AI2642" s="163"/>
    </row>
    <row r="2643" spans="6:36" ht="15.75">
      <c r="F2643" s="163">
        <v>118</v>
      </c>
      <c r="G2643" s="195"/>
      <c r="H2643" s="163" t="s">
        <v>1733</v>
      </c>
      <c r="I2643" s="129">
        <f>P2831</f>
        <v>2.37</v>
      </c>
      <c r="J2643" s="196"/>
      <c r="K2643" s="163">
        <f t="shared" si="240"/>
        <v>279.66000000000003</v>
      </c>
      <c r="M2643" s="198">
        <v>2.23</v>
      </c>
      <c r="N2643" s="195" t="s">
        <v>152</v>
      </c>
      <c r="O2643" s="163" t="s">
        <v>1799</v>
      </c>
      <c r="P2643" s="163">
        <f t="shared" si="241"/>
        <v>1617</v>
      </c>
      <c r="Q2643" s="196" t="s">
        <v>152</v>
      </c>
      <c r="R2643" s="163">
        <f t="shared" si="242"/>
        <v>3605.91</v>
      </c>
      <c r="AC2643" s="198"/>
      <c r="AD2643" s="198"/>
      <c r="AE2643" s="195"/>
      <c r="AF2643" s="163"/>
      <c r="AG2643" s="163"/>
      <c r="AH2643" s="196"/>
      <c r="AI2643" s="163"/>
    </row>
    <row r="2644" spans="6:36" ht="15.75">
      <c r="F2644" s="163"/>
      <c r="G2644" s="195"/>
      <c r="H2644" s="163"/>
      <c r="I2644" s="163"/>
      <c r="J2644" s="196"/>
      <c r="K2644" s="199"/>
      <c r="M2644" s="163">
        <v>2</v>
      </c>
      <c r="N2644" s="195" t="s">
        <v>295</v>
      </c>
      <c r="O2644" s="65" t="s">
        <v>2565</v>
      </c>
      <c r="P2644" s="163">
        <f t="shared" si="241"/>
        <v>450</v>
      </c>
      <c r="Q2644" s="196" t="s">
        <v>340</v>
      </c>
      <c r="R2644" s="163">
        <f t="shared" si="242"/>
        <v>900</v>
      </c>
      <c r="AC2644" s="198"/>
      <c r="AD2644" s="198" t="s">
        <v>2538</v>
      </c>
      <c r="AE2644" s="195"/>
      <c r="AF2644" s="163"/>
      <c r="AG2644" s="194">
        <f>2*4*0.725*0.3*0.01875</f>
        <v>3.2625000000000001E-2</v>
      </c>
      <c r="AH2644" s="196"/>
      <c r="AI2644" s="163"/>
    </row>
    <row r="2645" spans="6:36" ht="15.75">
      <c r="F2645" s="163"/>
      <c r="G2645" s="125"/>
      <c r="H2645" s="65" t="s">
        <v>155</v>
      </c>
      <c r="I2645" s="163"/>
      <c r="J2645" s="196"/>
      <c r="K2645" s="65">
        <f>SUM(K2633:K2644)</f>
        <v>17228.716219999998</v>
      </c>
      <c r="L2645" s="355"/>
      <c r="M2645" s="163">
        <v>6</v>
      </c>
      <c r="N2645" s="195" t="s">
        <v>295</v>
      </c>
      <c r="O2645" s="65" t="s">
        <v>2566</v>
      </c>
      <c r="P2645" s="163">
        <f t="shared" si="241"/>
        <v>79</v>
      </c>
      <c r="Q2645" s="196" t="s">
        <v>340</v>
      </c>
      <c r="R2645" s="163">
        <f t="shared" si="242"/>
        <v>474</v>
      </c>
      <c r="AC2645" s="198"/>
      <c r="AD2645" s="198" t="s">
        <v>2539</v>
      </c>
      <c r="AE2645" s="195"/>
      <c r="AF2645" s="163"/>
      <c r="AG2645" s="194">
        <f>2*0.725*0.3*0.01875</f>
        <v>8.1562500000000003E-3</v>
      </c>
      <c r="AH2645" s="196"/>
      <c r="AI2645" s="163"/>
    </row>
    <row r="2646" spans="6:36" ht="15.75">
      <c r="F2646" s="163"/>
      <c r="G2646" s="125"/>
      <c r="H2646" s="65"/>
      <c r="I2646" s="163"/>
      <c r="J2646" s="196"/>
      <c r="K2646" s="199" t="s">
        <v>1810</v>
      </c>
      <c r="M2646" s="163">
        <v>4</v>
      </c>
      <c r="N2646" s="195" t="s">
        <v>295</v>
      </c>
      <c r="O2646" s="65" t="s">
        <v>2567</v>
      </c>
      <c r="P2646" s="163">
        <f t="shared" si="241"/>
        <v>130</v>
      </c>
      <c r="Q2646" s="196" t="s">
        <v>340</v>
      </c>
      <c r="R2646" s="163">
        <f t="shared" si="242"/>
        <v>520</v>
      </c>
      <c r="AC2646" s="198"/>
      <c r="AD2646" s="198"/>
      <c r="AE2646" s="195"/>
      <c r="AF2646" s="163"/>
      <c r="AG2646" s="353">
        <f>SUM(AG2644:AG2645)</f>
        <v>4.0781250000000005E-2</v>
      </c>
      <c r="AH2646" s="196"/>
      <c r="AI2646" s="163"/>
    </row>
    <row r="2647" spans="6:36" ht="15.75">
      <c r="F2647" s="163"/>
      <c r="G2647" s="125"/>
      <c r="H2647" s="65" t="s">
        <v>1813</v>
      </c>
      <c r="I2647" s="163"/>
      <c r="J2647" s="196"/>
      <c r="K2647" s="65">
        <f>K2645/2.835</f>
        <v>6077.1485784832448</v>
      </c>
      <c r="M2647" s="163">
        <v>1</v>
      </c>
      <c r="N2647" s="195" t="s">
        <v>295</v>
      </c>
      <c r="O2647" s="65" t="s">
        <v>2568</v>
      </c>
      <c r="P2647" s="163">
        <f t="shared" si="241"/>
        <v>985</v>
      </c>
      <c r="Q2647" s="196" t="s">
        <v>340</v>
      </c>
      <c r="R2647" s="163">
        <f t="shared" si="242"/>
        <v>985</v>
      </c>
      <c r="AC2647" s="198"/>
      <c r="AD2647" s="198"/>
      <c r="AE2647" s="195"/>
      <c r="AF2647" s="65" t="s">
        <v>2540</v>
      </c>
      <c r="AG2647" s="163"/>
      <c r="AH2647" s="196"/>
      <c r="AI2647" s="163"/>
      <c r="AJ2647" s="151"/>
    </row>
    <row r="2648" spans="6:36" ht="15.75">
      <c r="F2648" s="163"/>
      <c r="G2648" s="125"/>
      <c r="K2648" s="104" t="s">
        <v>1810</v>
      </c>
      <c r="M2648" s="163">
        <v>2</v>
      </c>
      <c r="N2648" s="195" t="s">
        <v>295</v>
      </c>
      <c r="O2648" s="52" t="s">
        <v>884</v>
      </c>
      <c r="P2648" s="163">
        <f>C288</f>
        <v>7.3</v>
      </c>
      <c r="Q2648" s="196" t="s">
        <v>340</v>
      </c>
      <c r="R2648" s="163">
        <f t="shared" si="242"/>
        <v>14.6</v>
      </c>
      <c r="AC2648" s="198"/>
      <c r="AD2648" s="198"/>
      <c r="AE2648" s="195"/>
      <c r="AF2648" s="163"/>
      <c r="AG2648" s="163"/>
      <c r="AH2648" s="196"/>
      <c r="AI2648" s="163"/>
      <c r="AJ2648" s="151"/>
    </row>
    <row r="2649" spans="6:36" ht="15.75">
      <c r="F2649" s="356" t="s">
        <v>2571</v>
      </c>
      <c r="G2649" s="357"/>
      <c r="H2649" s="83" t="s">
        <v>1800</v>
      </c>
      <c r="I2649" s="358"/>
      <c r="J2649" s="359"/>
      <c r="K2649" s="358"/>
      <c r="M2649" s="163">
        <v>2</v>
      </c>
      <c r="N2649" s="195" t="s">
        <v>295</v>
      </c>
      <c r="O2649" s="163" t="s">
        <v>886</v>
      </c>
      <c r="P2649" s="163">
        <f t="shared" si="241"/>
        <v>43.8</v>
      </c>
      <c r="Q2649" s="196" t="s">
        <v>340</v>
      </c>
      <c r="R2649" s="163">
        <f t="shared" si="242"/>
        <v>87.6</v>
      </c>
      <c r="AC2649" s="198"/>
      <c r="AD2649" s="194">
        <f>AG2638</f>
        <v>2.2800000000000001E-2</v>
      </c>
      <c r="AE2649" s="195" t="s">
        <v>151</v>
      </c>
      <c r="AF2649" s="163" t="s">
        <v>2541</v>
      </c>
      <c r="AG2649" s="163">
        <f>V2601</f>
        <v>111600</v>
      </c>
      <c r="AH2649" s="196" t="s">
        <v>151</v>
      </c>
      <c r="AI2649" s="163">
        <f>AD2649*AG2649</f>
        <v>2544.48</v>
      </c>
      <c r="AJ2649" s="151"/>
    </row>
    <row r="2650" spans="6:36" ht="15.75">
      <c r="F2650" s="358"/>
      <c r="G2650" s="357"/>
      <c r="H2650" s="360" t="s">
        <v>21</v>
      </c>
      <c r="I2650" s="360" t="s">
        <v>21</v>
      </c>
      <c r="J2650" s="83" t="s">
        <v>21</v>
      </c>
      <c r="K2650" s="358"/>
      <c r="M2650" s="163"/>
      <c r="N2650" s="195"/>
      <c r="O2650" s="163"/>
      <c r="P2650" s="163"/>
      <c r="Q2650" s="196"/>
      <c r="R2650" s="163">
        <v>21</v>
      </c>
      <c r="AC2650" s="198"/>
      <c r="AD2650" s="194">
        <f>AG2641</f>
        <v>4.3031249999999993E-2</v>
      </c>
      <c r="AE2650" s="195" t="s">
        <v>151</v>
      </c>
      <c r="AF2650" s="163" t="s">
        <v>1797</v>
      </c>
      <c r="AG2650" s="163">
        <f t="shared" ref="AG2650:AG2660" si="243">V2602</f>
        <v>99400</v>
      </c>
      <c r="AH2650" s="196" t="s">
        <v>151</v>
      </c>
      <c r="AI2650" s="163">
        <f t="shared" ref="AI2650:AI2660" si="244">AD2650*AG2650</f>
        <v>4277.3062499999996</v>
      </c>
      <c r="AJ2650" s="151"/>
    </row>
    <row r="2651" spans="6:36" ht="31.5">
      <c r="F2651" s="358"/>
      <c r="G2651" s="357"/>
      <c r="H2651" s="358"/>
      <c r="I2651" s="358"/>
      <c r="J2651" s="359"/>
      <c r="K2651" s="358"/>
      <c r="M2651" s="163"/>
      <c r="N2651" s="195"/>
      <c r="O2651" s="163"/>
      <c r="P2651" s="163"/>
      <c r="Q2651" s="196"/>
      <c r="R2651" s="199" t="s">
        <v>1810</v>
      </c>
      <c r="AC2651" s="198"/>
      <c r="AD2651" s="194">
        <f>AG2646</f>
        <v>4.0781250000000005E-2</v>
      </c>
      <c r="AE2651" s="195" t="s">
        <v>151</v>
      </c>
      <c r="AF2651" s="300" t="s">
        <v>2570</v>
      </c>
      <c r="AG2651" s="163">
        <f t="shared" si="243"/>
        <v>101921.4</v>
      </c>
      <c r="AH2651" s="196" t="s">
        <v>151</v>
      </c>
      <c r="AI2651" s="163">
        <f t="shared" si="244"/>
        <v>4156.4820937499999</v>
      </c>
      <c r="AJ2651" s="151"/>
    </row>
    <row r="2652" spans="6:36" ht="31.5">
      <c r="F2652" s="358"/>
      <c r="G2652" s="357"/>
      <c r="H2652" s="83" t="s">
        <v>1804</v>
      </c>
      <c r="I2652" s="358"/>
      <c r="J2652" s="359"/>
      <c r="K2652" s="358"/>
      <c r="M2652" s="163"/>
      <c r="N2652" s="125"/>
      <c r="O2652" s="65" t="s">
        <v>155</v>
      </c>
      <c r="P2652" s="163"/>
      <c r="Q2652" s="196"/>
      <c r="R2652" s="65">
        <f>SUM(R2640:R2650)</f>
        <v>14351.579320000001</v>
      </c>
      <c r="AC2652" s="198"/>
      <c r="AD2652" s="194">
        <f>AG2637</f>
        <v>3.4424999999999999</v>
      </c>
      <c r="AE2652" s="195" t="s">
        <v>152</v>
      </c>
      <c r="AF2652" s="361" t="s">
        <v>1799</v>
      </c>
      <c r="AG2652" s="163">
        <f t="shared" si="243"/>
        <v>1617</v>
      </c>
      <c r="AH2652" s="196" t="s">
        <v>152</v>
      </c>
      <c r="AI2652" s="163">
        <f t="shared" si="244"/>
        <v>5566.5225</v>
      </c>
      <c r="AJ2652" s="151"/>
    </row>
    <row r="2653" spans="6:36" ht="15.75">
      <c r="F2653" s="358"/>
      <c r="G2653" s="357"/>
      <c r="H2653" s="83"/>
      <c r="I2653" s="358"/>
      <c r="J2653" s="359"/>
      <c r="K2653" s="358"/>
      <c r="M2653" s="163"/>
      <c r="N2653" s="125"/>
      <c r="O2653" s="65"/>
      <c r="P2653" s="163"/>
      <c r="Q2653" s="196"/>
      <c r="R2653" s="199" t="s">
        <v>1810</v>
      </c>
      <c r="AC2653" s="198"/>
      <c r="AD2653" s="198">
        <v>2</v>
      </c>
      <c r="AE2653" s="195" t="s">
        <v>295</v>
      </c>
      <c r="AF2653" s="52" t="s">
        <v>2565</v>
      </c>
      <c r="AG2653" s="362">
        <v>450</v>
      </c>
      <c r="AH2653" s="196" t="s">
        <v>340</v>
      </c>
      <c r="AI2653" s="163">
        <f t="shared" si="244"/>
        <v>900</v>
      </c>
      <c r="AJ2653" s="151"/>
    </row>
    <row r="2654" spans="6:36" ht="15.75">
      <c r="F2654" s="358"/>
      <c r="G2654" s="357"/>
      <c r="H2654" s="83" t="s">
        <v>1806</v>
      </c>
      <c r="I2654" s="358"/>
      <c r="J2654" s="359"/>
      <c r="K2654" s="358"/>
      <c r="M2654" s="163"/>
      <c r="N2654" s="125"/>
      <c r="O2654" s="65" t="s">
        <v>2572</v>
      </c>
      <c r="P2654" s="163"/>
      <c r="Q2654" s="196"/>
      <c r="R2654" s="65">
        <f>R2652/M2643</f>
        <v>6435.6857937219738</v>
      </c>
      <c r="AC2654" s="198"/>
      <c r="AD2654" s="198">
        <v>6</v>
      </c>
      <c r="AE2654" s="195" t="s">
        <v>295</v>
      </c>
      <c r="AF2654" s="52" t="s">
        <v>2566</v>
      </c>
      <c r="AG2654" s="362">
        <v>79</v>
      </c>
      <c r="AH2654" s="196" t="s">
        <v>340</v>
      </c>
      <c r="AI2654" s="163">
        <f t="shared" si="244"/>
        <v>474</v>
      </c>
      <c r="AJ2654" s="151"/>
    </row>
    <row r="2655" spans="6:36" ht="15.75">
      <c r="F2655" s="358"/>
      <c r="G2655" s="357"/>
      <c r="H2655" s="83" t="s">
        <v>1807</v>
      </c>
      <c r="I2655" s="358"/>
      <c r="J2655" s="359"/>
      <c r="K2655" s="358"/>
      <c r="M2655" s="163"/>
      <c r="N2655" s="125"/>
      <c r="Q2655" s="55"/>
      <c r="R2655" s="104" t="s">
        <v>1810</v>
      </c>
      <c r="AC2655" s="194"/>
      <c r="AD2655" s="198">
        <v>4</v>
      </c>
      <c r="AE2655" s="195" t="s">
        <v>295</v>
      </c>
      <c r="AF2655" s="52" t="s">
        <v>2567</v>
      </c>
      <c r="AG2655" s="362">
        <v>130</v>
      </c>
      <c r="AH2655" s="196" t="s">
        <v>340</v>
      </c>
      <c r="AI2655" s="163">
        <f t="shared" si="244"/>
        <v>520</v>
      </c>
      <c r="AJ2655" s="151"/>
    </row>
    <row r="2656" spans="6:36" ht="15.75">
      <c r="F2656" s="358"/>
      <c r="G2656" s="357"/>
      <c r="H2656" s="83" t="s">
        <v>1808</v>
      </c>
      <c r="I2656" s="358"/>
      <c r="J2656" s="359"/>
      <c r="K2656" s="358"/>
      <c r="M2656" s="52" t="s">
        <v>2571</v>
      </c>
      <c r="O2656" s="52" t="s">
        <v>1800</v>
      </c>
      <c r="AC2656" s="194"/>
      <c r="AD2656" s="198">
        <v>1</v>
      </c>
      <c r="AE2656" s="195" t="s">
        <v>295</v>
      </c>
      <c r="AF2656" s="52" t="s">
        <v>2568</v>
      </c>
      <c r="AG2656" s="362">
        <v>985</v>
      </c>
      <c r="AH2656" s="196" t="s">
        <v>340</v>
      </c>
      <c r="AI2656" s="163">
        <f t="shared" si="244"/>
        <v>985</v>
      </c>
      <c r="AJ2656" s="151"/>
    </row>
    <row r="2657" spans="6:36" ht="15.75">
      <c r="F2657" s="358"/>
      <c r="G2657" s="357"/>
      <c r="H2657" s="83" t="s">
        <v>1809</v>
      </c>
      <c r="I2657" s="358"/>
      <c r="J2657" s="359"/>
      <c r="K2657" s="358"/>
      <c r="O2657" s="52" t="s">
        <v>21</v>
      </c>
      <c r="P2657" s="52" t="s">
        <v>21</v>
      </c>
      <c r="Q2657" s="52" t="s">
        <v>21</v>
      </c>
      <c r="AC2657" s="194"/>
      <c r="AD2657" s="198">
        <v>2</v>
      </c>
      <c r="AE2657" s="195" t="s">
        <v>295</v>
      </c>
      <c r="AF2657" s="52" t="s">
        <v>2569</v>
      </c>
      <c r="AG2657" s="129">
        <v>24.6</v>
      </c>
      <c r="AH2657" s="196" t="s">
        <v>340</v>
      </c>
      <c r="AI2657" s="163">
        <f t="shared" si="244"/>
        <v>49.2</v>
      </c>
      <c r="AJ2657" s="151"/>
    </row>
    <row r="2658" spans="6:36" ht="15.75">
      <c r="F2658" s="358"/>
      <c r="G2658" s="357"/>
      <c r="H2658" s="83" t="s">
        <v>2573</v>
      </c>
      <c r="I2658" s="358"/>
      <c r="J2658" s="83" t="s">
        <v>150</v>
      </c>
      <c r="K2658" s="363">
        <v>3.7699999999999997E-2</v>
      </c>
      <c r="AC2658" s="194"/>
      <c r="AD2658" s="198">
        <v>2</v>
      </c>
      <c r="AE2658" s="195" t="s">
        <v>295</v>
      </c>
      <c r="AF2658" s="163" t="s">
        <v>886</v>
      </c>
      <c r="AG2658" s="163">
        <f t="shared" si="243"/>
        <v>43.8</v>
      </c>
      <c r="AH2658" s="196" t="s">
        <v>340</v>
      </c>
      <c r="AI2658" s="163">
        <f t="shared" si="244"/>
        <v>87.6</v>
      </c>
    </row>
    <row r="2659" spans="6:36" ht="15.75">
      <c r="F2659" s="358"/>
      <c r="G2659" s="357"/>
      <c r="H2659" s="83" t="s">
        <v>2574</v>
      </c>
      <c r="I2659" s="358"/>
      <c r="J2659" s="364" t="s">
        <v>150</v>
      </c>
      <c r="K2659" s="364" t="s">
        <v>150</v>
      </c>
      <c r="O2659" s="52" t="s">
        <v>1804</v>
      </c>
      <c r="AC2659" s="198"/>
      <c r="AD2659" s="198"/>
      <c r="AE2659" s="195"/>
      <c r="AF2659" s="163"/>
      <c r="AG2659" s="163">
        <f t="shared" si="243"/>
        <v>0</v>
      </c>
      <c r="AH2659" s="196"/>
      <c r="AI2659" s="163">
        <f t="shared" si="244"/>
        <v>0</v>
      </c>
    </row>
    <row r="2660" spans="6:36" ht="15.75">
      <c r="F2660" s="358"/>
      <c r="G2660" s="357"/>
      <c r="H2660" s="83" t="s">
        <v>1814</v>
      </c>
      <c r="I2660" s="358"/>
      <c r="J2660" s="359"/>
      <c r="K2660" s="364" t="s">
        <v>150</v>
      </c>
      <c r="AC2660" s="198"/>
      <c r="AD2660" s="198">
        <v>118</v>
      </c>
      <c r="AE2660" s="195"/>
      <c r="AF2660" s="163" t="s">
        <v>1733</v>
      </c>
      <c r="AG2660" s="163">
        <f t="shared" si="243"/>
        <v>2.37</v>
      </c>
      <c r="AH2660" s="196"/>
      <c r="AI2660" s="163">
        <f t="shared" si="244"/>
        <v>279.66000000000003</v>
      </c>
    </row>
    <row r="2661" spans="6:36" ht="15.75">
      <c r="F2661" s="358"/>
      <c r="G2661" s="357"/>
      <c r="H2661" s="358"/>
      <c r="I2661" s="358"/>
      <c r="J2661" s="359"/>
      <c r="K2661" s="358"/>
      <c r="O2661" s="52" t="s">
        <v>1806</v>
      </c>
      <c r="AC2661" s="198"/>
      <c r="AD2661" s="198"/>
      <c r="AE2661" s="125"/>
      <c r="AF2661" s="65" t="s">
        <v>155</v>
      </c>
      <c r="AG2661" s="163"/>
      <c r="AH2661" s="196"/>
      <c r="AI2661" s="65">
        <f>SUM(AI2649:AI2660)</f>
        <v>19840.250843749996</v>
      </c>
    </row>
    <row r="2662" spans="6:36" ht="15.75">
      <c r="F2662" s="365">
        <v>1.18E-2</v>
      </c>
      <c r="G2662" s="366" t="s">
        <v>151</v>
      </c>
      <c r="H2662" s="83" t="s">
        <v>877</v>
      </c>
      <c r="I2662" s="367">
        <f>AE26</f>
        <v>111600</v>
      </c>
      <c r="J2662" s="83" t="s">
        <v>151</v>
      </c>
      <c r="K2662" s="367">
        <f t="shared" ref="K2662:K2671" si="245">(F2662*I2662)</f>
        <v>1316.8799999999999</v>
      </c>
      <c r="O2662" s="52" t="s">
        <v>1807</v>
      </c>
      <c r="AC2662" s="198"/>
      <c r="AD2662" s="198"/>
      <c r="AE2662" s="125"/>
      <c r="AF2662" s="65"/>
      <c r="AG2662" s="163"/>
      <c r="AH2662" s="196"/>
      <c r="AI2662" s="199" t="s">
        <v>1810</v>
      </c>
    </row>
    <row r="2663" spans="6:36" ht="15.75">
      <c r="F2663" s="365">
        <v>3.7699999999999997E-2</v>
      </c>
      <c r="G2663" s="366" t="s">
        <v>151</v>
      </c>
      <c r="H2663" s="83" t="s">
        <v>878</v>
      </c>
      <c r="I2663" s="367">
        <f>AE27</f>
        <v>99400</v>
      </c>
      <c r="J2663" s="83" t="s">
        <v>151</v>
      </c>
      <c r="K2663" s="367">
        <f t="shared" si="245"/>
        <v>3747.3799999999997</v>
      </c>
      <c r="O2663" s="52" t="s">
        <v>1808</v>
      </c>
      <c r="AC2663" s="198"/>
      <c r="AD2663" s="198"/>
      <c r="AE2663" s="125"/>
      <c r="AF2663" s="65" t="s">
        <v>2549</v>
      </c>
      <c r="AG2663" s="163"/>
      <c r="AH2663" s="196"/>
      <c r="AI2663" s="65">
        <f>AI2661/3.4425</f>
        <v>5763.3263162672465</v>
      </c>
    </row>
    <row r="2664" spans="6:36" ht="15.75">
      <c r="F2664" s="365">
        <v>1.8550000000000001E-2</v>
      </c>
      <c r="G2664" s="366" t="s">
        <v>151</v>
      </c>
      <c r="H2664" s="83" t="s">
        <v>1815</v>
      </c>
      <c r="I2664" s="367">
        <f>AG33</f>
        <v>14384.999999999998</v>
      </c>
      <c r="J2664" s="83" t="s">
        <v>151</v>
      </c>
      <c r="K2664" s="367">
        <f t="shared" si="245"/>
        <v>266.84174999999999</v>
      </c>
      <c r="O2664" s="52" t="s">
        <v>1809</v>
      </c>
      <c r="AC2664" s="198"/>
      <c r="AD2664" s="195"/>
      <c r="AE2664" s="163"/>
      <c r="AF2664" s="163"/>
      <c r="AG2664" s="196"/>
      <c r="AH2664" s="163"/>
    </row>
    <row r="2665" spans="6:36" ht="15.75">
      <c r="F2665" s="365">
        <v>1.36</v>
      </c>
      <c r="G2665" s="366" t="s">
        <v>152</v>
      </c>
      <c r="H2665" s="83" t="s">
        <v>1816</v>
      </c>
      <c r="I2665" s="368">
        <v>269.10000000000002</v>
      </c>
      <c r="J2665" s="83" t="s">
        <v>152</v>
      </c>
      <c r="K2665" s="367">
        <f t="shared" si="245"/>
        <v>365.97600000000006</v>
      </c>
      <c r="O2665" s="52" t="s">
        <v>2573</v>
      </c>
      <c r="Q2665" s="52" t="s">
        <v>150</v>
      </c>
      <c r="R2665" s="52">
        <v>0.04</v>
      </c>
      <c r="AC2665" s="198"/>
      <c r="AD2665" s="195"/>
      <c r="AE2665" s="163"/>
      <c r="AF2665" s="163"/>
      <c r="AG2665" s="196"/>
      <c r="AH2665" s="163"/>
    </row>
    <row r="2666" spans="6:36" ht="15.75">
      <c r="F2666" s="365">
        <v>2.0499999999999998</v>
      </c>
      <c r="G2666" s="366" t="s">
        <v>152</v>
      </c>
      <c r="H2666" s="83" t="s">
        <v>1817</v>
      </c>
      <c r="I2666" s="367">
        <f>D30</f>
        <v>1348.1999999999998</v>
      </c>
      <c r="J2666" s="83" t="s">
        <v>152</v>
      </c>
      <c r="K2666" s="367">
        <f t="shared" si="245"/>
        <v>2763.8099999999995</v>
      </c>
      <c r="O2666" s="52" t="s">
        <v>2574</v>
      </c>
      <c r="Q2666" s="52" t="s">
        <v>150</v>
      </c>
      <c r="R2666" s="52" t="s">
        <v>150</v>
      </c>
      <c r="AC2666" s="198"/>
      <c r="AD2666" s="195"/>
      <c r="AE2666" s="163"/>
      <c r="AF2666" s="163"/>
      <c r="AG2666" s="196"/>
      <c r="AH2666" s="163"/>
    </row>
    <row r="2667" spans="6:36" ht="15.75">
      <c r="F2667" s="367">
        <v>2</v>
      </c>
      <c r="G2667" s="366" t="s">
        <v>153</v>
      </c>
      <c r="H2667" s="83" t="s">
        <v>2575</v>
      </c>
      <c r="I2667" s="367">
        <f>E285</f>
        <v>50.3</v>
      </c>
      <c r="J2667" s="83" t="s">
        <v>153</v>
      </c>
      <c r="K2667" s="367">
        <f t="shared" si="245"/>
        <v>100.6</v>
      </c>
      <c r="O2667" s="52" t="s">
        <v>1814</v>
      </c>
      <c r="R2667" s="52" t="s">
        <v>150</v>
      </c>
      <c r="AC2667" s="198"/>
      <c r="AD2667" s="125"/>
      <c r="AE2667" s="65"/>
      <c r="AF2667" s="163"/>
      <c r="AG2667" s="196"/>
      <c r="AH2667" s="65"/>
    </row>
    <row r="2668" spans="6:36" ht="15.75">
      <c r="F2668" s="367">
        <v>6</v>
      </c>
      <c r="G2668" s="366" t="s">
        <v>153</v>
      </c>
      <c r="H2668" s="83" t="s">
        <v>1776</v>
      </c>
      <c r="I2668" s="367">
        <f>C282</f>
        <v>43.6</v>
      </c>
      <c r="J2668" s="83" t="s">
        <v>153</v>
      </c>
      <c r="K2668" s="367">
        <f t="shared" si="245"/>
        <v>261.60000000000002</v>
      </c>
      <c r="AC2668" s="198"/>
      <c r="AD2668" s="125"/>
      <c r="AE2668" s="65"/>
      <c r="AF2668" s="163"/>
      <c r="AG2668" s="196"/>
      <c r="AH2668" s="199"/>
    </row>
    <row r="2669" spans="6:36" ht="15.75">
      <c r="F2669" s="367">
        <v>2</v>
      </c>
      <c r="G2669" s="366" t="s">
        <v>153</v>
      </c>
      <c r="H2669" s="369" t="s">
        <v>2576</v>
      </c>
      <c r="I2669" s="367">
        <f>I1134</f>
        <v>53.8</v>
      </c>
      <c r="J2669" s="83" t="s">
        <v>153</v>
      </c>
      <c r="K2669" s="367">
        <f t="shared" si="245"/>
        <v>107.6</v>
      </c>
      <c r="M2669" s="52">
        <v>0.01</v>
      </c>
      <c r="N2669" s="52" t="s">
        <v>151</v>
      </c>
      <c r="O2669" s="52" t="s">
        <v>877</v>
      </c>
      <c r="P2669" s="52">
        <f>I2662</f>
        <v>111600</v>
      </c>
      <c r="Q2669" s="52" t="s">
        <v>151</v>
      </c>
      <c r="R2669" s="52">
        <v>764.29</v>
      </c>
      <c r="AC2669" s="198"/>
      <c r="AD2669" s="125"/>
      <c r="AE2669" s="65"/>
      <c r="AF2669" s="163"/>
      <c r="AG2669" s="196"/>
      <c r="AH2669" s="65"/>
    </row>
    <row r="2670" spans="6:36" ht="15.75">
      <c r="F2670" s="367">
        <v>1</v>
      </c>
      <c r="G2670" s="366" t="s">
        <v>153</v>
      </c>
      <c r="H2670" s="83" t="s">
        <v>2577</v>
      </c>
      <c r="I2670" s="368">
        <f>I1135</f>
        <v>63.2</v>
      </c>
      <c r="J2670" s="83" t="s">
        <v>153</v>
      </c>
      <c r="K2670" s="367">
        <f t="shared" si="245"/>
        <v>63.2</v>
      </c>
      <c r="M2670" s="52">
        <v>0.04</v>
      </c>
      <c r="N2670" s="52" t="s">
        <v>151</v>
      </c>
      <c r="O2670" s="52" t="s">
        <v>878</v>
      </c>
      <c r="P2670" s="52">
        <f>I2663</f>
        <v>99400</v>
      </c>
      <c r="Q2670" s="52" t="s">
        <v>151</v>
      </c>
      <c r="R2670" s="52">
        <v>2172.65</v>
      </c>
      <c r="AC2670" s="56"/>
    </row>
    <row r="2671" spans="6:36" ht="15.75">
      <c r="F2671" s="367">
        <v>2.52</v>
      </c>
      <c r="G2671" s="366" t="s">
        <v>152</v>
      </c>
      <c r="H2671" s="83" t="s">
        <v>1821</v>
      </c>
      <c r="I2671" s="367">
        <f>K1167</f>
        <v>206.33800000000002</v>
      </c>
      <c r="J2671" s="83" t="s">
        <v>152</v>
      </c>
      <c r="K2671" s="367">
        <f t="shared" si="245"/>
        <v>519.97176000000002</v>
      </c>
      <c r="M2671" s="52">
        <v>0.02</v>
      </c>
      <c r="N2671" s="52" t="s">
        <v>151</v>
      </c>
      <c r="O2671" s="52" t="s">
        <v>1815</v>
      </c>
      <c r="P2671" s="52">
        <f>I2664</f>
        <v>14384.999999999998</v>
      </c>
      <c r="Q2671" s="52" t="s">
        <v>151</v>
      </c>
      <c r="R2671" s="52">
        <v>56.02</v>
      </c>
    </row>
    <row r="2672" spans="6:36" ht="15.75">
      <c r="F2672" s="358"/>
      <c r="G2672" s="357"/>
      <c r="H2672" s="83" t="s">
        <v>1822</v>
      </c>
      <c r="I2672" s="370" t="s">
        <v>226</v>
      </c>
      <c r="J2672" s="359"/>
      <c r="K2672" s="367">
        <v>2.13</v>
      </c>
      <c r="M2672" s="52">
        <v>1.36</v>
      </c>
      <c r="N2672" s="52" t="s">
        <v>152</v>
      </c>
      <c r="O2672" s="52" t="s">
        <v>1816</v>
      </c>
      <c r="P2672" s="371">
        <v>385.89</v>
      </c>
      <c r="Q2672" s="52" t="s">
        <v>152</v>
      </c>
      <c r="R2672" s="52">
        <v>524.80999999999995</v>
      </c>
    </row>
    <row r="2673" spans="6:18" ht="15.75">
      <c r="F2673" s="358"/>
      <c r="G2673" s="357"/>
      <c r="H2673" s="372"/>
      <c r="I2673" s="372"/>
      <c r="J2673" s="373"/>
      <c r="K2673" s="374" t="s">
        <v>21</v>
      </c>
      <c r="M2673" s="52">
        <v>2.0499999999999998</v>
      </c>
      <c r="N2673" s="52" t="s">
        <v>152</v>
      </c>
      <c r="O2673" s="52" t="s">
        <v>1817</v>
      </c>
      <c r="P2673" s="52">
        <f t="shared" ref="P2673:P2678" si="246">I2666</f>
        <v>1348.1999999999998</v>
      </c>
      <c r="Q2673" s="52" t="s">
        <v>152</v>
      </c>
      <c r="R2673" s="52">
        <v>586.29999999999995</v>
      </c>
    </row>
    <row r="2674" spans="6:18" ht="15.75">
      <c r="F2674" s="358"/>
      <c r="G2674" s="357"/>
      <c r="H2674" s="375" t="s">
        <v>1823</v>
      </c>
      <c r="I2674" s="372"/>
      <c r="J2674" s="373"/>
      <c r="K2674" s="376">
        <f>SUM(K2662:K2672)</f>
        <v>9515.9895099999994</v>
      </c>
      <c r="M2674" s="52">
        <v>2</v>
      </c>
      <c r="N2674" s="52" t="s">
        <v>153</v>
      </c>
      <c r="O2674" s="52" t="s">
        <v>2575</v>
      </c>
      <c r="P2674" s="52">
        <f t="shared" si="246"/>
        <v>50.3</v>
      </c>
      <c r="Q2674" s="52" t="s">
        <v>153</v>
      </c>
      <c r="R2674" s="52">
        <v>50</v>
      </c>
    </row>
    <row r="2675" spans="6:18" ht="15.75">
      <c r="F2675" s="358"/>
      <c r="G2675" s="366" t="s">
        <v>150</v>
      </c>
      <c r="H2675" s="372"/>
      <c r="I2675" s="372"/>
      <c r="J2675" s="373"/>
      <c r="K2675" s="374" t="s">
        <v>21</v>
      </c>
      <c r="M2675" s="52">
        <v>6</v>
      </c>
      <c r="N2675" s="52" t="s">
        <v>153</v>
      </c>
      <c r="O2675" s="52" t="s">
        <v>1776</v>
      </c>
      <c r="P2675" s="52">
        <f t="shared" si="246"/>
        <v>43.6</v>
      </c>
      <c r="Q2675" s="52" t="s">
        <v>153</v>
      </c>
      <c r="R2675" s="52">
        <v>150</v>
      </c>
    </row>
    <row r="2676" spans="6:18" ht="15.75">
      <c r="F2676" s="358"/>
      <c r="G2676" s="357"/>
      <c r="H2676" s="375" t="s">
        <v>155</v>
      </c>
      <c r="I2676" s="372"/>
      <c r="J2676" s="373"/>
      <c r="K2676" s="376">
        <f>K2674/2.52</f>
        <v>3776.1863134920632</v>
      </c>
      <c r="M2676" s="52">
        <v>2</v>
      </c>
      <c r="N2676" s="52" t="s">
        <v>153</v>
      </c>
      <c r="O2676" s="52" t="s">
        <v>2578</v>
      </c>
      <c r="P2676" s="52">
        <f t="shared" si="246"/>
        <v>53.8</v>
      </c>
      <c r="Q2676" s="52" t="s">
        <v>153</v>
      </c>
      <c r="R2676" s="52">
        <v>70</v>
      </c>
    </row>
    <row r="2677" spans="6:18" ht="15.75">
      <c r="F2677" s="358"/>
      <c r="G2677" s="357"/>
      <c r="H2677" s="372"/>
      <c r="I2677" s="372"/>
      <c r="J2677" s="373"/>
      <c r="K2677" s="374" t="s">
        <v>156</v>
      </c>
      <c r="M2677" s="52">
        <v>1</v>
      </c>
      <c r="N2677" s="52" t="s">
        <v>153</v>
      </c>
      <c r="O2677" s="52" t="s">
        <v>2577</v>
      </c>
      <c r="P2677" s="52">
        <f t="shared" si="246"/>
        <v>63.2</v>
      </c>
      <c r="Q2677" s="52" t="s">
        <v>153</v>
      </c>
      <c r="R2677" s="52">
        <v>60</v>
      </c>
    </row>
    <row r="2678" spans="6:18" ht="15.75">
      <c r="F2678" s="358"/>
      <c r="G2678" s="357"/>
      <c r="H2678" s="372"/>
      <c r="I2678" s="372"/>
      <c r="J2678" s="373"/>
      <c r="K2678" s="372"/>
      <c r="M2678" s="52">
        <v>2.52</v>
      </c>
      <c r="N2678" s="52" t="s">
        <v>152</v>
      </c>
      <c r="O2678" s="52" t="s">
        <v>1821</v>
      </c>
      <c r="P2678" s="52">
        <f t="shared" si="246"/>
        <v>206.33800000000002</v>
      </c>
      <c r="Q2678" s="52" t="s">
        <v>152</v>
      </c>
      <c r="R2678" s="52">
        <v>124.71</v>
      </c>
    </row>
    <row r="2679" spans="6:18" ht="15.75">
      <c r="F2679" s="355" t="s">
        <v>2579</v>
      </c>
      <c r="G2679" s="355"/>
      <c r="H2679" s="355"/>
      <c r="I2679" s="355"/>
      <c r="J2679" s="355"/>
      <c r="K2679" s="355"/>
      <c r="O2679" s="52" t="s">
        <v>1822</v>
      </c>
      <c r="P2679" s="52" t="s">
        <v>226</v>
      </c>
      <c r="R2679" s="52">
        <v>0.28000000000000003</v>
      </c>
    </row>
    <row r="2680" spans="6:18" ht="15.75">
      <c r="F2680" s="377">
        <v>4</v>
      </c>
      <c r="G2680" s="53" t="s">
        <v>1717</v>
      </c>
      <c r="H2680" s="52" t="s">
        <v>2580</v>
      </c>
      <c r="I2680" s="163">
        <f>C394</f>
        <v>151.4</v>
      </c>
      <c r="J2680" s="55" t="s">
        <v>2581</v>
      </c>
      <c r="K2680" s="377">
        <f>I2680*F2680</f>
        <v>605.6</v>
      </c>
      <c r="R2680" s="52" t="s">
        <v>21</v>
      </c>
    </row>
    <row r="2681" spans="6:18" ht="15.75">
      <c r="F2681" s="377">
        <v>2.52</v>
      </c>
      <c r="G2681" s="53" t="s">
        <v>2581</v>
      </c>
      <c r="H2681" s="52" t="s">
        <v>2582</v>
      </c>
      <c r="I2681" s="52">
        <f>C34/1000</f>
        <v>41.2</v>
      </c>
      <c r="J2681" s="55" t="s">
        <v>13</v>
      </c>
      <c r="K2681" s="377">
        <f t="shared" ref="K2681:K2687" si="247">I2681*F2681</f>
        <v>103.82400000000001</v>
      </c>
      <c r="O2681" s="52" t="s">
        <v>1823</v>
      </c>
      <c r="R2681" s="52">
        <v>4559.0600000000004</v>
      </c>
    </row>
    <row r="2682" spans="6:18" ht="15.75">
      <c r="F2682" s="377">
        <v>1.1299999999999999</v>
      </c>
      <c r="G2682" s="53" t="s">
        <v>2581</v>
      </c>
      <c r="H2682" s="52" t="s">
        <v>2583</v>
      </c>
      <c r="I2682" s="52">
        <f>I2681</f>
        <v>41.2</v>
      </c>
      <c r="J2682" s="55" t="s">
        <v>13</v>
      </c>
      <c r="K2682" s="377">
        <f t="shared" si="247"/>
        <v>46.555999999999997</v>
      </c>
      <c r="N2682" s="52" t="s">
        <v>150</v>
      </c>
      <c r="R2682" s="52" t="s">
        <v>21</v>
      </c>
    </row>
    <row r="2683" spans="6:18" ht="15.75">
      <c r="F2683" s="377">
        <v>0.35</v>
      </c>
      <c r="G2683" s="53" t="s">
        <v>13</v>
      </c>
      <c r="H2683" s="52" t="s">
        <v>2584</v>
      </c>
      <c r="I2683" s="52">
        <f>I2682</f>
        <v>41.2</v>
      </c>
      <c r="J2683" s="55" t="s">
        <v>13</v>
      </c>
      <c r="K2683" s="377">
        <f t="shared" si="247"/>
        <v>14.42</v>
      </c>
      <c r="O2683" s="52" t="s">
        <v>155</v>
      </c>
      <c r="R2683" s="52">
        <v>1809.15</v>
      </c>
    </row>
    <row r="2684" spans="6:18" ht="15.75">
      <c r="F2684" s="377">
        <v>4</v>
      </c>
      <c r="G2684" s="53" t="s">
        <v>13</v>
      </c>
      <c r="H2684" s="52" t="s">
        <v>2585</v>
      </c>
      <c r="I2684" s="52">
        <f>C37</f>
        <v>41.6</v>
      </c>
      <c r="J2684" s="55" t="s">
        <v>13</v>
      </c>
      <c r="K2684" s="377">
        <f t="shared" si="247"/>
        <v>166.4</v>
      </c>
      <c r="R2684" s="52" t="s">
        <v>156</v>
      </c>
    </row>
    <row r="2685" spans="6:18" ht="15.75">
      <c r="F2685" s="377">
        <v>6</v>
      </c>
      <c r="G2685" s="53" t="s">
        <v>1717</v>
      </c>
      <c r="H2685" s="52" t="s">
        <v>2586</v>
      </c>
      <c r="I2685" s="52">
        <v>1</v>
      </c>
      <c r="J2685" s="55" t="s">
        <v>340</v>
      </c>
      <c r="K2685" s="377">
        <f t="shared" si="247"/>
        <v>6</v>
      </c>
    </row>
    <row r="2686" spans="6:18" ht="15.75">
      <c r="F2686" s="377">
        <v>0.5</v>
      </c>
      <c r="G2686" s="53" t="s">
        <v>1717</v>
      </c>
      <c r="H2686" s="52" t="s">
        <v>537</v>
      </c>
      <c r="I2686" s="52">
        <f>C12</f>
        <v>702.8</v>
      </c>
      <c r="J2686" s="55" t="s">
        <v>340</v>
      </c>
      <c r="K2686" s="377">
        <f t="shared" si="247"/>
        <v>351.4</v>
      </c>
    </row>
    <row r="2687" spans="6:18" ht="15.75">
      <c r="F2687" s="377">
        <v>0.5</v>
      </c>
      <c r="G2687" s="53" t="s">
        <v>1717</v>
      </c>
      <c r="H2687" s="52" t="s">
        <v>332</v>
      </c>
      <c r="I2687" s="52">
        <f>C13</f>
        <v>576.79999999999995</v>
      </c>
      <c r="J2687" s="55" t="s">
        <v>340</v>
      </c>
      <c r="K2687" s="377">
        <f t="shared" si="247"/>
        <v>288.39999999999998</v>
      </c>
    </row>
    <row r="2688" spans="6:18" ht="15.75">
      <c r="G2688" s="53" t="s">
        <v>226</v>
      </c>
      <c r="H2688" s="52" t="s">
        <v>2587</v>
      </c>
      <c r="I2688" s="141" t="s">
        <v>226</v>
      </c>
      <c r="K2688" s="52">
        <v>21.69</v>
      </c>
      <c r="L2688" s="52">
        <f>24*176</f>
        <v>4224</v>
      </c>
    </row>
    <row r="2689" spans="6:12" ht="15.75">
      <c r="G2689" s="52"/>
      <c r="H2689" s="378" t="s">
        <v>2588</v>
      </c>
      <c r="K2689" s="379">
        <f>SUM(K2680:K2688)</f>
        <v>1604.29</v>
      </c>
    </row>
    <row r="2690" spans="6:12" ht="15.75">
      <c r="G2690" s="52"/>
      <c r="H2690" s="378" t="s">
        <v>2485</v>
      </c>
      <c r="K2690" s="379">
        <f>K2689/2</f>
        <v>802.14499999999998</v>
      </c>
    </row>
    <row r="2691" spans="6:12" ht="15.75">
      <c r="G2691" s="52"/>
      <c r="L2691" s="52">
        <f>K2725+K2716</f>
        <v>205.37200000000001</v>
      </c>
    </row>
    <row r="2692" spans="6:12" ht="15.75">
      <c r="H2692" s="52" t="s">
        <v>2589</v>
      </c>
    </row>
    <row r="2694" spans="6:12" ht="15.75">
      <c r="F2694" s="380"/>
      <c r="G2694" s="381"/>
      <c r="H2694" s="382" t="s">
        <v>2590</v>
      </c>
      <c r="I2694" s="380"/>
      <c r="J2694" s="383"/>
      <c r="K2694" s="380"/>
    </row>
    <row r="2695" spans="6:12" ht="15.75">
      <c r="F2695" s="380"/>
      <c r="G2695" s="381"/>
      <c r="H2695" s="380" t="s">
        <v>2591</v>
      </c>
      <c r="I2695" s="380"/>
      <c r="J2695" s="383"/>
      <c r="K2695" s="380"/>
    </row>
    <row r="2696" spans="6:12" ht="15.75">
      <c r="F2696" s="380">
        <v>41.6</v>
      </c>
      <c r="G2696" s="381" t="s">
        <v>13</v>
      </c>
      <c r="H2696" s="380" t="s">
        <v>2592</v>
      </c>
      <c r="I2696" s="380">
        <f>I2681</f>
        <v>41.2</v>
      </c>
      <c r="J2696" s="383" t="s">
        <v>13</v>
      </c>
      <c r="K2696" s="380">
        <f>F2696*I2696</f>
        <v>1713.92</v>
      </c>
    </row>
    <row r="2697" spans="6:12" ht="15.75">
      <c r="F2697" s="380">
        <v>0.5</v>
      </c>
      <c r="G2697" s="381" t="s">
        <v>68</v>
      </c>
      <c r="H2697" s="380" t="s">
        <v>2593</v>
      </c>
      <c r="I2697" s="380">
        <f>AG21</f>
        <v>827.4</v>
      </c>
      <c r="J2697" s="383" t="s">
        <v>340</v>
      </c>
      <c r="K2697" s="380">
        <f>F2697*I2697</f>
        <v>413.7</v>
      </c>
    </row>
    <row r="2698" spans="6:12" ht="15.75">
      <c r="F2698" s="380">
        <v>1</v>
      </c>
      <c r="G2698" s="381" t="s">
        <v>345</v>
      </c>
      <c r="H2698" s="380" t="s">
        <v>2594</v>
      </c>
      <c r="I2698" s="380">
        <f>C10</f>
        <v>1076.5999999999999</v>
      </c>
      <c r="J2698" s="383" t="s">
        <v>340</v>
      </c>
      <c r="K2698" s="380">
        <f>F2698*I2698</f>
        <v>1076.5999999999999</v>
      </c>
    </row>
    <row r="2699" spans="6:12" ht="15.75">
      <c r="F2699" s="380">
        <v>1</v>
      </c>
      <c r="G2699" s="381" t="s">
        <v>345</v>
      </c>
      <c r="H2699" s="380" t="s">
        <v>1831</v>
      </c>
      <c r="I2699" s="380">
        <f>C13</f>
        <v>576.79999999999995</v>
      </c>
      <c r="J2699" s="383" t="s">
        <v>340</v>
      </c>
      <c r="K2699" s="380">
        <f>F2699*I2699</f>
        <v>576.79999999999995</v>
      </c>
    </row>
    <row r="2700" spans="6:12" ht="15.75">
      <c r="F2700" s="380"/>
      <c r="G2700" s="381" t="s">
        <v>226</v>
      </c>
      <c r="H2700" s="380" t="s">
        <v>2595</v>
      </c>
      <c r="I2700" s="380"/>
      <c r="J2700" s="383" t="s">
        <v>226</v>
      </c>
      <c r="K2700" s="380">
        <v>27.7</v>
      </c>
    </row>
    <row r="2701" spans="6:12" ht="15.75">
      <c r="F2701" s="380"/>
      <c r="G2701" s="381"/>
      <c r="H2701" s="384" t="s">
        <v>2596</v>
      </c>
      <c r="I2701" s="380"/>
      <c r="J2701" s="384" t="s">
        <v>2597</v>
      </c>
      <c r="K2701" s="380">
        <f>SUM(K2696:K2700)</f>
        <v>3808.7199999999993</v>
      </c>
    </row>
    <row r="2702" spans="6:12" ht="15.75">
      <c r="F2702" s="380"/>
      <c r="G2702" s="381"/>
      <c r="H2702" s="384" t="s">
        <v>2598</v>
      </c>
      <c r="I2702" s="380"/>
      <c r="J2702" s="384" t="s">
        <v>2597</v>
      </c>
      <c r="K2702" s="380">
        <f>K2701/16</f>
        <v>238.04499999999996</v>
      </c>
    </row>
    <row r="2703" spans="6:12" ht="15.75">
      <c r="F2703" s="380"/>
      <c r="G2703" s="381"/>
      <c r="H2703" s="385" t="s">
        <v>2599</v>
      </c>
      <c r="I2703" s="386"/>
      <c r="J2703" s="385" t="s">
        <v>2597</v>
      </c>
      <c r="K2703" s="386">
        <f>K2702/0.95</f>
        <v>250.5736842105263</v>
      </c>
    </row>
    <row r="2704" spans="6:12" ht="15.75">
      <c r="F2704" s="380"/>
      <c r="G2704" s="381"/>
      <c r="H2704" s="380"/>
      <c r="I2704" s="380"/>
      <c r="J2704" s="383"/>
      <c r="K2704" s="380"/>
    </row>
    <row r="2705" spans="6:11" ht="15.75">
      <c r="F2705" s="380"/>
      <c r="G2705" s="381"/>
      <c r="H2705" s="380"/>
      <c r="I2705" s="380"/>
      <c r="J2705" s="383"/>
      <c r="K2705" s="380"/>
    </row>
    <row r="2706" spans="6:11" ht="15.75">
      <c r="F2706" s="239" t="s">
        <v>2013</v>
      </c>
      <c r="G2706" s="387" t="s">
        <v>249</v>
      </c>
      <c r="H2706" s="238" t="s">
        <v>2014</v>
      </c>
      <c r="I2706" s="380"/>
      <c r="J2706" s="383"/>
      <c r="K2706" s="380"/>
    </row>
    <row r="2707" spans="6:11" ht="15.75">
      <c r="F2707" s="380"/>
      <c r="G2707" s="381"/>
      <c r="H2707" s="238" t="s">
        <v>2015</v>
      </c>
      <c r="I2707" s="380"/>
      <c r="J2707" s="383"/>
      <c r="K2707" s="380"/>
    </row>
    <row r="2708" spans="6:11" ht="15.75">
      <c r="F2708" s="380"/>
      <c r="G2708" s="381"/>
      <c r="H2708" s="238" t="s">
        <v>2016</v>
      </c>
      <c r="I2708" s="380"/>
      <c r="J2708" s="383"/>
      <c r="K2708" s="380"/>
    </row>
    <row r="2709" spans="6:11" ht="15.75">
      <c r="F2709" s="380"/>
      <c r="G2709" s="381"/>
      <c r="H2709" s="238" t="s">
        <v>2017</v>
      </c>
      <c r="I2709" s="380"/>
      <c r="J2709" s="383"/>
      <c r="K2709" s="380"/>
    </row>
    <row r="2710" spans="6:11" ht="15.75">
      <c r="F2710" s="380"/>
      <c r="G2710" s="381"/>
      <c r="H2710" s="388" t="s">
        <v>21</v>
      </c>
      <c r="I2710" s="380"/>
      <c r="J2710" s="383"/>
      <c r="K2710" s="380"/>
    </row>
    <row r="2711" spans="6:11" ht="15.75">
      <c r="F2711" s="236">
        <v>1.8</v>
      </c>
      <c r="G2711" s="387" t="s">
        <v>13</v>
      </c>
      <c r="H2711" s="389" t="s">
        <v>2600</v>
      </c>
      <c r="I2711" s="236">
        <f>C609</f>
        <v>22.2</v>
      </c>
      <c r="J2711" s="239" t="s">
        <v>13</v>
      </c>
      <c r="K2711" s="236">
        <f>(F2711*I2711)</f>
        <v>39.96</v>
      </c>
    </row>
    <row r="2712" spans="6:11" ht="15.75">
      <c r="F2712" s="236">
        <v>0.25</v>
      </c>
      <c r="G2712" s="387" t="s">
        <v>153</v>
      </c>
      <c r="H2712" s="238" t="s">
        <v>2019</v>
      </c>
      <c r="I2712" s="236">
        <f>C14</f>
        <v>861</v>
      </c>
      <c r="J2712" s="239" t="s">
        <v>153</v>
      </c>
      <c r="K2712" s="236">
        <f>(F2712*I2712)</f>
        <v>215.25</v>
      </c>
    </row>
    <row r="2713" spans="6:11" ht="15.75">
      <c r="F2713" s="236">
        <v>0.25</v>
      </c>
      <c r="G2713" s="387" t="s">
        <v>153</v>
      </c>
      <c r="H2713" s="238" t="s">
        <v>1851</v>
      </c>
      <c r="I2713" s="236">
        <f>C12</f>
        <v>702.8</v>
      </c>
      <c r="J2713" s="239" t="s">
        <v>153</v>
      </c>
      <c r="K2713" s="236">
        <f>(F2713*I2713)</f>
        <v>175.7</v>
      </c>
    </row>
    <row r="2714" spans="6:11" ht="15.75">
      <c r="F2714" s="236">
        <v>0.4</v>
      </c>
      <c r="G2714" s="387" t="s">
        <v>153</v>
      </c>
      <c r="H2714" s="238" t="s">
        <v>236</v>
      </c>
      <c r="I2714" s="236">
        <f>C13</f>
        <v>576.79999999999995</v>
      </c>
      <c r="J2714" s="239" t="s">
        <v>153</v>
      </c>
      <c r="K2714" s="236">
        <f>(F2714*I2714)</f>
        <v>230.72</v>
      </c>
    </row>
    <row r="2715" spans="6:11" ht="15.75">
      <c r="F2715" s="380"/>
      <c r="G2715" s="387"/>
      <c r="H2715" s="238"/>
      <c r="I2715" s="238" t="s">
        <v>150</v>
      </c>
      <c r="J2715" s="239"/>
      <c r="K2715" s="236">
        <f>SUM(K2711:K2714)</f>
        <v>661.63</v>
      </c>
    </row>
    <row r="2716" spans="6:11" ht="15.75">
      <c r="F2716" s="380"/>
      <c r="G2716" s="381"/>
      <c r="H2716" s="386"/>
      <c r="I2716" s="386"/>
      <c r="J2716" s="390"/>
      <c r="K2716" s="391">
        <f>K2715/10</f>
        <v>66.162999999999997</v>
      </c>
    </row>
    <row r="2717" spans="6:11" ht="15.75">
      <c r="F2717" s="236">
        <v>3</v>
      </c>
      <c r="G2717" s="387" t="s">
        <v>13</v>
      </c>
      <c r="H2717" s="238" t="s">
        <v>2018</v>
      </c>
      <c r="I2717" s="392">
        <f>C271</f>
        <v>48.95</v>
      </c>
      <c r="J2717" s="239" t="s">
        <v>13</v>
      </c>
      <c r="K2717" s="392">
        <f>(F2717*I2717)</f>
        <v>146.85000000000002</v>
      </c>
    </row>
    <row r="2718" spans="6:11" ht="15.75">
      <c r="F2718" s="236">
        <v>0.5</v>
      </c>
      <c r="G2718" s="387" t="s">
        <v>153</v>
      </c>
      <c r="H2718" s="238" t="s">
        <v>2019</v>
      </c>
      <c r="I2718" s="392">
        <f>C14</f>
        <v>861</v>
      </c>
      <c r="J2718" s="239" t="s">
        <v>153</v>
      </c>
      <c r="K2718" s="392">
        <f>(F2718*I2718)</f>
        <v>430.5</v>
      </c>
    </row>
    <row r="2719" spans="6:11" ht="15.75">
      <c r="F2719" s="236">
        <v>0.5</v>
      </c>
      <c r="G2719" s="387" t="s">
        <v>153</v>
      </c>
      <c r="H2719" s="238" t="s">
        <v>1851</v>
      </c>
      <c r="I2719" s="392">
        <f>I2713</f>
        <v>702.8</v>
      </c>
      <c r="J2719" s="239" t="s">
        <v>153</v>
      </c>
      <c r="K2719" s="392">
        <f>(F2719*I2719)</f>
        <v>351.4</v>
      </c>
    </row>
    <row r="2720" spans="6:11" ht="15.75">
      <c r="F2720" s="236">
        <v>0.8</v>
      </c>
      <c r="G2720" s="387" t="s">
        <v>153</v>
      </c>
      <c r="H2720" s="238" t="s">
        <v>236</v>
      </c>
      <c r="I2720" s="392">
        <f>I2714</f>
        <v>576.79999999999995</v>
      </c>
      <c r="J2720" s="239" t="s">
        <v>153</v>
      </c>
      <c r="K2720" s="392">
        <f>(F2720*I2720)</f>
        <v>461.44</v>
      </c>
    </row>
    <row r="2721" spans="6:12" ht="15.75">
      <c r="F2721" s="380"/>
      <c r="G2721" s="387" t="s">
        <v>226</v>
      </c>
      <c r="H2721" s="238" t="s">
        <v>316</v>
      </c>
      <c r="I2721" s="238" t="s">
        <v>150</v>
      </c>
      <c r="J2721" s="239" t="s">
        <v>226</v>
      </c>
      <c r="K2721" s="236">
        <v>1.9</v>
      </c>
    </row>
    <row r="2722" spans="6:12" ht="15.75">
      <c r="F2722" s="380"/>
      <c r="G2722" s="381"/>
      <c r="H2722" s="386"/>
      <c r="I2722" s="386"/>
      <c r="J2722" s="390"/>
      <c r="K2722" s="393" t="s">
        <v>21</v>
      </c>
    </row>
    <row r="2723" spans="6:12" ht="15.75">
      <c r="F2723" s="380"/>
      <c r="G2723" s="381"/>
      <c r="H2723" s="394" t="s">
        <v>238</v>
      </c>
      <c r="I2723" s="386"/>
      <c r="J2723" s="390"/>
      <c r="K2723" s="395">
        <f>SUM(K2717:K2721)</f>
        <v>1392.0900000000001</v>
      </c>
    </row>
    <row r="2724" spans="6:12" ht="15.75">
      <c r="F2724" s="380"/>
      <c r="G2724" s="381"/>
      <c r="H2724" s="386"/>
      <c r="I2724" s="386"/>
      <c r="J2724" s="390"/>
      <c r="K2724" s="393" t="s">
        <v>21</v>
      </c>
    </row>
    <row r="2725" spans="6:12" ht="15.75">
      <c r="F2725" s="380"/>
      <c r="G2725" s="381"/>
      <c r="H2725" s="394" t="s">
        <v>155</v>
      </c>
      <c r="I2725" s="386"/>
      <c r="J2725" s="390"/>
      <c r="K2725" s="395">
        <f>(K2723/10)</f>
        <v>139.209</v>
      </c>
    </row>
    <row r="2726" spans="6:12" ht="15.75">
      <c r="F2726" s="380"/>
      <c r="G2726" s="380"/>
      <c r="H2726" s="380"/>
      <c r="I2726" s="380"/>
      <c r="J2726" s="380"/>
      <c r="K2726" s="380"/>
    </row>
    <row r="2727" spans="6:12" ht="15.75">
      <c r="F2727" s="396"/>
      <c r="G2727" s="387" t="s">
        <v>249</v>
      </c>
      <c r="H2727" s="238" t="s">
        <v>1053</v>
      </c>
      <c r="I2727" s="380"/>
      <c r="J2727" s="383"/>
      <c r="K2727" s="380"/>
    </row>
    <row r="2728" spans="6:12" ht="15.75">
      <c r="F2728" s="380"/>
      <c r="G2728" s="381"/>
      <c r="H2728" s="238" t="s">
        <v>2174</v>
      </c>
      <c r="I2728" s="380"/>
      <c r="J2728" s="383"/>
      <c r="K2728" s="380"/>
    </row>
    <row r="2729" spans="6:12" ht="15.75">
      <c r="F2729" s="380"/>
      <c r="G2729" s="381"/>
      <c r="H2729" s="238" t="s">
        <v>2601</v>
      </c>
      <c r="I2729" s="380"/>
      <c r="J2729" s="383"/>
      <c r="K2729" s="380"/>
    </row>
    <row r="2730" spans="6:12" ht="15.75">
      <c r="F2730" s="380"/>
      <c r="G2730" s="381"/>
      <c r="H2730" s="388" t="s">
        <v>21</v>
      </c>
      <c r="I2730" s="380"/>
      <c r="J2730" s="383"/>
      <c r="K2730" s="380"/>
    </row>
    <row r="2731" spans="6:12" ht="15.75">
      <c r="F2731" s="380"/>
      <c r="G2731" s="387" t="s">
        <v>2175</v>
      </c>
      <c r="H2731" s="238" t="s">
        <v>1119</v>
      </c>
      <c r="I2731" s="380"/>
      <c r="J2731" s="383"/>
      <c r="K2731" s="238" t="s">
        <v>2176</v>
      </c>
    </row>
    <row r="2732" spans="6:12" ht="15.75">
      <c r="F2732" s="380"/>
      <c r="G2732" s="381"/>
      <c r="H2732" s="388" t="s">
        <v>21</v>
      </c>
      <c r="I2732" s="380"/>
      <c r="J2732" s="383"/>
      <c r="K2732" s="388" t="s">
        <v>156</v>
      </c>
    </row>
    <row r="2733" spans="6:12" ht="15.75">
      <c r="F2733" s="236">
        <v>30</v>
      </c>
      <c r="G2733" s="387" t="s">
        <v>552</v>
      </c>
      <c r="H2733" s="238" t="s">
        <v>1125</v>
      </c>
      <c r="I2733" s="236">
        <f>C661</f>
        <v>8.1</v>
      </c>
      <c r="J2733" s="239" t="s">
        <v>552</v>
      </c>
      <c r="K2733" s="236">
        <f>(F2733*I2733)</f>
        <v>243</v>
      </c>
    </row>
    <row r="2734" spans="6:12" ht="15.75">
      <c r="F2734" s="238" t="s">
        <v>150</v>
      </c>
      <c r="G2734" s="381"/>
      <c r="H2734" s="238" t="s">
        <v>1128</v>
      </c>
      <c r="I2734" s="238" t="s">
        <v>150</v>
      </c>
      <c r="J2734" s="383"/>
      <c r="K2734" s="238" t="s">
        <v>150</v>
      </c>
    </row>
    <row r="2735" spans="6:12" ht="15.75">
      <c r="F2735" s="236">
        <v>8</v>
      </c>
      <c r="G2735" s="387" t="s">
        <v>153</v>
      </c>
      <c r="H2735" s="238" t="s">
        <v>1069</v>
      </c>
      <c r="I2735" s="236">
        <f>I1806</f>
        <v>7.1</v>
      </c>
      <c r="J2735" s="239" t="s">
        <v>153</v>
      </c>
      <c r="K2735" s="236">
        <f t="shared" ref="K2735:K2740" si="248">(F2735*I2735)</f>
        <v>56.8</v>
      </c>
    </row>
    <row r="2736" spans="6:12" ht="15.75">
      <c r="F2736" s="236">
        <v>8</v>
      </c>
      <c r="G2736" s="387" t="s">
        <v>153</v>
      </c>
      <c r="H2736" s="238" t="s">
        <v>1072</v>
      </c>
      <c r="I2736" s="236">
        <f>I1807</f>
        <v>10.199999999999999</v>
      </c>
      <c r="J2736" s="239" t="s">
        <v>153</v>
      </c>
      <c r="K2736" s="236">
        <f t="shared" si="248"/>
        <v>81.599999999999994</v>
      </c>
      <c r="L2736" s="246"/>
    </row>
    <row r="2737" spans="6:12" ht="15.75">
      <c r="F2737" s="236">
        <v>3</v>
      </c>
      <c r="G2737" s="387" t="s">
        <v>153</v>
      </c>
      <c r="H2737" s="238" t="s">
        <v>1133</v>
      </c>
      <c r="I2737" s="236">
        <f>C41</f>
        <v>796.59999999999991</v>
      </c>
      <c r="J2737" s="239" t="s">
        <v>153</v>
      </c>
      <c r="K2737" s="236">
        <f t="shared" si="248"/>
        <v>2389.7999999999997</v>
      </c>
      <c r="L2737" s="248"/>
    </row>
    <row r="2738" spans="6:12" ht="15.75">
      <c r="F2738" s="236">
        <v>1</v>
      </c>
      <c r="G2738" s="387" t="s">
        <v>153</v>
      </c>
      <c r="H2738" s="238" t="s">
        <v>2177</v>
      </c>
      <c r="I2738" s="236">
        <f>C10</f>
        <v>1076.5999999999999</v>
      </c>
      <c r="J2738" s="239" t="s">
        <v>153</v>
      </c>
      <c r="K2738" s="236">
        <f t="shared" si="248"/>
        <v>1076.5999999999999</v>
      </c>
      <c r="L2738" s="248"/>
    </row>
    <row r="2739" spans="6:12" ht="15.75">
      <c r="F2739" s="236">
        <v>2</v>
      </c>
      <c r="G2739" s="387" t="s">
        <v>153</v>
      </c>
      <c r="H2739" s="238" t="s">
        <v>235</v>
      </c>
      <c r="I2739" s="236">
        <f>C12</f>
        <v>702.8</v>
      </c>
      <c r="J2739" s="239" t="s">
        <v>153</v>
      </c>
      <c r="K2739" s="236">
        <f t="shared" si="248"/>
        <v>1405.6</v>
      </c>
      <c r="L2739" s="248"/>
    </row>
    <row r="2740" spans="6:12" ht="15.75">
      <c r="F2740" s="236">
        <v>1</v>
      </c>
      <c r="G2740" s="387" t="s">
        <v>153</v>
      </c>
      <c r="H2740" s="238" t="s">
        <v>236</v>
      </c>
      <c r="I2740" s="236">
        <f>C13</f>
        <v>576.79999999999995</v>
      </c>
      <c r="J2740" s="239" t="s">
        <v>153</v>
      </c>
      <c r="K2740" s="236">
        <f t="shared" si="248"/>
        <v>576.79999999999995</v>
      </c>
      <c r="L2740" s="248"/>
    </row>
    <row r="2741" spans="6:12" ht="30.75">
      <c r="F2741" s="380"/>
      <c r="G2741" s="387" t="s">
        <v>226</v>
      </c>
      <c r="H2741" s="397" t="s">
        <v>2602</v>
      </c>
      <c r="I2741" s="236" t="s">
        <v>2458</v>
      </c>
      <c r="J2741" s="239" t="s">
        <v>226</v>
      </c>
      <c r="K2741" s="236">
        <v>64.849999999999994</v>
      </c>
      <c r="L2741" s="248"/>
    </row>
    <row r="2742" spans="6:12" ht="15.75">
      <c r="F2742" s="380"/>
      <c r="G2742" s="381"/>
      <c r="H2742" s="238"/>
      <c r="I2742" s="236"/>
      <c r="J2742" s="383"/>
      <c r="K2742" s="392"/>
      <c r="L2742" s="248"/>
    </row>
    <row r="2743" spans="6:12" ht="15.75">
      <c r="F2743" s="380"/>
      <c r="G2743" s="380"/>
      <c r="H2743" s="380"/>
      <c r="I2743" s="380"/>
      <c r="J2743" s="380"/>
      <c r="K2743" s="380"/>
      <c r="L2743" s="248"/>
    </row>
    <row r="2744" spans="6:12" ht="15.75">
      <c r="F2744" s="380"/>
      <c r="G2744" s="381"/>
      <c r="H2744" s="380"/>
      <c r="I2744" s="380"/>
      <c r="J2744" s="383"/>
      <c r="K2744" s="388" t="s">
        <v>21</v>
      </c>
      <c r="L2744" s="248"/>
    </row>
    <row r="2745" spans="6:12" ht="15.75">
      <c r="F2745" s="380"/>
      <c r="G2745" s="381"/>
      <c r="H2745" s="394" t="s">
        <v>1139</v>
      </c>
      <c r="I2745" s="386"/>
      <c r="J2745" s="390"/>
      <c r="K2745" s="395">
        <f>SUM(K2733:K2744)</f>
        <v>5895.05</v>
      </c>
      <c r="L2745" s="257"/>
    </row>
    <row r="2746" spans="6:12" ht="15.75">
      <c r="F2746" s="380"/>
      <c r="G2746" s="381"/>
      <c r="H2746" s="386"/>
      <c r="I2746" s="386"/>
      <c r="J2746" s="390"/>
      <c r="K2746" s="393" t="s">
        <v>21</v>
      </c>
    </row>
    <row r="2747" spans="6:12" ht="15.75">
      <c r="F2747" s="380"/>
      <c r="G2747" s="381"/>
      <c r="H2747" s="394" t="s">
        <v>562</v>
      </c>
      <c r="I2747" s="386"/>
      <c r="J2747" s="390"/>
      <c r="K2747" s="395">
        <f>(K2745/30)</f>
        <v>196.50166666666667</v>
      </c>
    </row>
    <row r="2748" spans="6:12" ht="15.75">
      <c r="F2748" s="380"/>
      <c r="G2748" s="380"/>
      <c r="H2748" s="380"/>
      <c r="I2748" s="380"/>
      <c r="J2748" s="380"/>
      <c r="K2748" s="380"/>
    </row>
    <row r="2749" spans="6:12" ht="15.75">
      <c r="F2749" s="380"/>
      <c r="G2749" s="380"/>
      <c r="H2749" s="380"/>
      <c r="I2749" s="380"/>
      <c r="J2749" s="380"/>
      <c r="K2749" s="380"/>
    </row>
    <row r="2750" spans="6:12" ht="15.75">
      <c r="F2750" s="398">
        <v>52</v>
      </c>
      <c r="G2750" s="387" t="s">
        <v>249</v>
      </c>
      <c r="H2750" s="238" t="s">
        <v>2183</v>
      </c>
      <c r="I2750" s="380"/>
      <c r="J2750" s="383"/>
      <c r="K2750" s="380"/>
    </row>
    <row r="2751" spans="6:12" ht="15.75">
      <c r="F2751" s="380"/>
      <c r="G2751" s="381"/>
      <c r="H2751" s="238" t="s">
        <v>2184</v>
      </c>
      <c r="I2751" s="380"/>
      <c r="J2751" s="383"/>
      <c r="K2751" s="380"/>
    </row>
    <row r="2752" spans="6:12" ht="15.75">
      <c r="F2752" s="380"/>
      <c r="G2752" s="381"/>
      <c r="H2752" s="238" t="s">
        <v>2186</v>
      </c>
      <c r="I2752" s="380"/>
      <c r="J2752" s="383"/>
      <c r="K2752" s="380"/>
    </row>
    <row r="2753" spans="5:25" ht="15.75">
      <c r="F2753" s="380"/>
      <c r="G2753" s="381"/>
      <c r="H2753" s="238" t="s">
        <v>2188</v>
      </c>
      <c r="I2753" s="380"/>
      <c r="J2753" s="383"/>
      <c r="K2753" s="380"/>
    </row>
    <row r="2754" spans="5:25" ht="15.75">
      <c r="F2754" s="380"/>
      <c r="G2754" s="381"/>
      <c r="H2754" s="238" t="s">
        <v>2189</v>
      </c>
      <c r="I2754" s="380"/>
      <c r="J2754" s="383"/>
      <c r="K2754" s="380"/>
    </row>
    <row r="2755" spans="5:25" ht="15.75">
      <c r="E2755" s="52">
        <f>6*0.3</f>
        <v>1.7999999999999998</v>
      </c>
      <c r="F2755" s="380"/>
      <c r="G2755" s="381"/>
      <c r="H2755" s="238" t="s">
        <v>2603</v>
      </c>
      <c r="I2755" s="380"/>
      <c r="J2755" s="383"/>
      <c r="K2755" s="380"/>
    </row>
    <row r="2756" spans="5:25" ht="15.75">
      <c r="E2756" s="52">
        <f>3.5+E2755</f>
        <v>5.3</v>
      </c>
      <c r="F2756" s="380"/>
      <c r="G2756" s="381"/>
      <c r="H2756" s="238" t="s">
        <v>2191</v>
      </c>
      <c r="I2756" s="380"/>
      <c r="J2756" s="383"/>
      <c r="K2756" s="380"/>
      <c r="L2756" s="52">
        <f>K2790</f>
        <v>251.29999999999998</v>
      </c>
    </row>
    <row r="2757" spans="5:25" ht="15.75">
      <c r="E2757" s="52">
        <f>3.14*0.3*0.3</f>
        <v>0.28259999999999996</v>
      </c>
      <c r="F2757" s="380"/>
      <c r="G2757" s="381"/>
      <c r="H2757" s="238" t="s">
        <v>2192</v>
      </c>
      <c r="I2757" s="380"/>
      <c r="J2757" s="383"/>
      <c r="K2757" s="380"/>
      <c r="L2757" s="52">
        <f>K2791</f>
        <v>2459.7999999999997</v>
      </c>
    </row>
    <row r="2758" spans="5:25" ht="15.75">
      <c r="F2758" s="380"/>
      <c r="G2758" s="381"/>
      <c r="H2758" s="388" t="s">
        <v>156</v>
      </c>
      <c r="I2758" s="388" t="s">
        <v>156</v>
      </c>
      <c r="J2758" s="383"/>
      <c r="K2758" s="380"/>
    </row>
    <row r="2759" spans="5:25" ht="15.75">
      <c r="E2759" s="52">
        <f>E2757/4</f>
        <v>7.0649999999999991E-2</v>
      </c>
      <c r="F2759" s="380"/>
      <c r="G2759" s="387" t="s">
        <v>249</v>
      </c>
      <c r="H2759" s="238" t="s">
        <v>513</v>
      </c>
      <c r="I2759" s="380"/>
      <c r="J2759" s="383"/>
      <c r="K2759" s="380"/>
      <c r="L2759" s="52">
        <f>SUM(L2756:L2757)</f>
        <v>2711.1</v>
      </c>
    </row>
    <row r="2760" spans="5:25" ht="15.75">
      <c r="E2760" s="151">
        <f>E2759*E2756</f>
        <v>0.37444499999999992</v>
      </c>
      <c r="F2760" s="380"/>
      <c r="G2760" s="381"/>
      <c r="H2760" s="238" t="s">
        <v>591</v>
      </c>
      <c r="I2760" s="380"/>
      <c r="J2760" s="383"/>
      <c r="K2760" s="380"/>
    </row>
    <row r="2761" spans="5:25" ht="15.75">
      <c r="F2761" s="380"/>
      <c r="G2761" s="387" t="s">
        <v>514</v>
      </c>
      <c r="H2761" s="238" t="s">
        <v>515</v>
      </c>
      <c r="I2761" s="380"/>
      <c r="J2761" s="383"/>
      <c r="K2761" s="380"/>
    </row>
    <row r="2762" spans="5:25" ht="15.75">
      <c r="F2762" s="380"/>
      <c r="G2762" s="381"/>
      <c r="H2762" s="388" t="s">
        <v>21</v>
      </c>
      <c r="I2762" s="380"/>
      <c r="J2762" s="383"/>
      <c r="K2762" s="380"/>
    </row>
    <row r="2763" spans="5:25" ht="15.75">
      <c r="F2763" s="236">
        <v>1</v>
      </c>
      <c r="G2763" s="387" t="s">
        <v>303</v>
      </c>
      <c r="H2763" s="238" t="s">
        <v>516</v>
      </c>
      <c r="I2763" s="236">
        <f>I1870</f>
        <v>26</v>
      </c>
      <c r="J2763" s="239" t="s">
        <v>303</v>
      </c>
      <c r="K2763" s="236">
        <f>(F2763*I2763)</f>
        <v>26</v>
      </c>
    </row>
    <row r="2764" spans="5:25" ht="15.75">
      <c r="F2764" s="236">
        <v>1</v>
      </c>
      <c r="G2764" s="387" t="s">
        <v>226</v>
      </c>
      <c r="H2764" s="238" t="s">
        <v>517</v>
      </c>
      <c r="I2764" s="236">
        <f>I2763*0.7</f>
        <v>18.2</v>
      </c>
      <c r="J2764" s="239" t="s">
        <v>226</v>
      </c>
      <c r="K2764" s="236">
        <f>(F2764*I2764)</f>
        <v>18.2</v>
      </c>
    </row>
    <row r="2765" spans="5:25" ht="15.75">
      <c r="F2765" s="236">
        <v>1</v>
      </c>
      <c r="G2765" s="387" t="s">
        <v>303</v>
      </c>
      <c r="H2765" s="238" t="s">
        <v>518</v>
      </c>
      <c r="I2765" s="236">
        <f>K2747</f>
        <v>196.50166666666667</v>
      </c>
      <c r="J2765" s="239" t="s">
        <v>303</v>
      </c>
      <c r="K2765" s="236">
        <f>(F2765*I2765)</f>
        <v>196.50166666666667</v>
      </c>
    </row>
    <row r="2766" spans="5:25" ht="15.75">
      <c r="F2766" s="380"/>
      <c r="G2766" s="381"/>
      <c r="H2766" s="380"/>
      <c r="I2766" s="238" t="s">
        <v>150</v>
      </c>
      <c r="J2766" s="383"/>
      <c r="K2766" s="388"/>
    </row>
    <row r="2767" spans="5:25" ht="15.75">
      <c r="F2767" s="380"/>
      <c r="G2767" s="381"/>
      <c r="H2767" s="394" t="s">
        <v>519</v>
      </c>
      <c r="I2767" s="386"/>
      <c r="J2767" s="390"/>
      <c r="K2767" s="395">
        <f>SUM(K2763:K2765)</f>
        <v>240.70166666666665</v>
      </c>
      <c r="S2767" s="399"/>
      <c r="T2767" s="381"/>
      <c r="U2767" s="380"/>
      <c r="V2767" s="380"/>
      <c r="W2767" s="383"/>
      <c r="X2767" s="380"/>
      <c r="Y2767" s="380"/>
    </row>
    <row r="2768" spans="5:25" ht="15.75">
      <c r="F2768" s="380"/>
      <c r="G2768" s="381"/>
      <c r="H2768" s="238" t="s">
        <v>150</v>
      </c>
      <c r="I2768" s="238" t="s">
        <v>150</v>
      </c>
      <c r="J2768" s="383"/>
      <c r="K2768" s="388" t="s">
        <v>156</v>
      </c>
      <c r="S2768" s="400" t="s">
        <v>1693</v>
      </c>
      <c r="T2768" s="387" t="s">
        <v>249</v>
      </c>
      <c r="U2768" s="238" t="s">
        <v>2604</v>
      </c>
      <c r="V2768" s="380"/>
      <c r="W2768" s="383"/>
      <c r="X2768" s="380"/>
      <c r="Y2768" s="380"/>
    </row>
    <row r="2769" spans="6:31" ht="15.75">
      <c r="F2769" s="380"/>
      <c r="G2769" s="380"/>
      <c r="H2769" s="380"/>
      <c r="I2769" s="380"/>
      <c r="J2769" s="380"/>
      <c r="K2769" s="380"/>
      <c r="S2769" s="399"/>
      <c r="T2769" s="381"/>
      <c r="U2769" s="238" t="s">
        <v>1695</v>
      </c>
      <c r="V2769" s="380"/>
      <c r="W2769" s="383"/>
      <c r="X2769" s="380"/>
      <c r="Y2769" s="380"/>
    </row>
    <row r="2770" spans="6:31" ht="15.75">
      <c r="F2770" s="401"/>
      <c r="G2770" s="402"/>
      <c r="H2770" s="402"/>
      <c r="I2770" s="402"/>
      <c r="J2770" s="402"/>
      <c r="K2770" s="402"/>
      <c r="S2770" s="399"/>
      <c r="T2770" s="381"/>
      <c r="U2770" s="238" t="s">
        <v>1696</v>
      </c>
      <c r="V2770" s="380"/>
      <c r="W2770" s="383"/>
      <c r="X2770" s="380"/>
      <c r="Y2770" s="380"/>
    </row>
    <row r="2771" spans="6:31" ht="15.75">
      <c r="F2771" s="403"/>
      <c r="G2771" s="404" t="s">
        <v>2605</v>
      </c>
      <c r="H2771" s="405"/>
      <c r="I2771" s="405"/>
      <c r="J2771" s="406"/>
      <c r="K2771" s="405"/>
      <c r="S2771" s="399"/>
      <c r="T2771" s="381"/>
      <c r="U2771" s="388" t="s">
        <v>21</v>
      </c>
      <c r="V2771" s="380"/>
      <c r="W2771" s="383"/>
      <c r="X2771" s="380"/>
      <c r="Y2771" s="380"/>
    </row>
    <row r="2772" spans="6:31" ht="15.75">
      <c r="F2772" s="407"/>
      <c r="G2772" s="408"/>
      <c r="H2772" s="405"/>
      <c r="I2772" s="405"/>
      <c r="J2772" s="406"/>
      <c r="K2772" s="405"/>
      <c r="S2772" s="399"/>
      <c r="T2772" s="381"/>
      <c r="U2772" s="238" t="s">
        <v>2606</v>
      </c>
      <c r="V2772" s="380"/>
      <c r="W2772" s="383"/>
      <c r="X2772" s="380"/>
      <c r="Y2772" s="380"/>
    </row>
    <row r="2773" spans="6:31" ht="15.75">
      <c r="F2773" s="407">
        <v>5</v>
      </c>
      <c r="G2773" s="408" t="s">
        <v>2607</v>
      </c>
      <c r="H2773" s="409" t="s">
        <v>2608</v>
      </c>
      <c r="I2773" s="410">
        <v>160</v>
      </c>
      <c r="J2773" s="406" t="s">
        <v>2609</v>
      </c>
      <c r="K2773" s="405">
        <f>I2773*F2773</f>
        <v>800</v>
      </c>
      <c r="S2773" s="399"/>
      <c r="T2773" s="381"/>
      <c r="U2773" s="238" t="s">
        <v>2610</v>
      </c>
      <c r="V2773" s="380"/>
      <c r="W2773" s="383"/>
      <c r="X2773" s="380"/>
      <c r="Y2773" s="380"/>
    </row>
    <row r="2774" spans="6:31" ht="15.75">
      <c r="F2774" s="407">
        <v>1</v>
      </c>
      <c r="G2774" s="408" t="s">
        <v>68</v>
      </c>
      <c r="H2774" s="405" t="s">
        <v>2611</v>
      </c>
      <c r="I2774" s="405">
        <v>75</v>
      </c>
      <c r="J2774" s="406" t="s">
        <v>340</v>
      </c>
      <c r="K2774" s="405">
        <f>I2774*F2774</f>
        <v>75</v>
      </c>
      <c r="S2774" s="399"/>
      <c r="T2774" s="381"/>
      <c r="U2774" s="380"/>
      <c r="V2774" s="380"/>
      <c r="W2774" s="239" t="s">
        <v>21</v>
      </c>
      <c r="X2774" s="380"/>
      <c r="Y2774" s="380"/>
    </row>
    <row r="2775" spans="6:31" ht="15.75">
      <c r="F2775" s="407">
        <v>2.5</v>
      </c>
      <c r="G2775" s="408" t="s">
        <v>68</v>
      </c>
      <c r="H2775" s="405" t="s">
        <v>2612</v>
      </c>
      <c r="I2775" s="405">
        <f>C14</f>
        <v>861</v>
      </c>
      <c r="J2775" s="406" t="s">
        <v>68</v>
      </c>
      <c r="K2775" s="405">
        <f>I2775*F2775</f>
        <v>2152.5</v>
      </c>
      <c r="S2775" s="399"/>
      <c r="T2775" s="381"/>
      <c r="U2775" s="238" t="s">
        <v>2613</v>
      </c>
      <c r="V2775" s="380"/>
      <c r="W2775" s="383"/>
      <c r="X2775" s="380"/>
      <c r="Y2775" s="380"/>
    </row>
    <row r="2776" spans="6:31" ht="15.75">
      <c r="F2776" s="407"/>
      <c r="G2776" s="408"/>
      <c r="H2776" s="405" t="s">
        <v>337</v>
      </c>
      <c r="I2776" s="411" t="s">
        <v>226</v>
      </c>
      <c r="J2776" s="406"/>
      <c r="K2776" s="405">
        <v>0.25</v>
      </c>
      <c r="S2776" s="399"/>
      <c r="T2776" s="381"/>
      <c r="U2776" s="238" t="s">
        <v>2614</v>
      </c>
      <c r="V2776" s="380"/>
      <c r="W2776" s="383"/>
      <c r="X2776" s="412">
        <v>2.7099999999999999E-2</v>
      </c>
      <c r="Y2776" s="412"/>
    </row>
    <row r="2777" spans="6:31" ht="18">
      <c r="F2777" s="407"/>
      <c r="G2777" s="408"/>
      <c r="H2777" s="405"/>
      <c r="I2777" s="405"/>
      <c r="J2777" s="406"/>
      <c r="K2777" s="413" t="s">
        <v>156</v>
      </c>
      <c r="S2777" s="399"/>
      <c r="T2777" s="381"/>
      <c r="U2777" s="380"/>
      <c r="V2777" s="380"/>
      <c r="W2777" s="239" t="s">
        <v>150</v>
      </c>
      <c r="X2777" s="388" t="s">
        <v>21</v>
      </c>
      <c r="Y2777" s="388"/>
      <c r="Z2777" s="414">
        <f>SUM(X2778:X2779)</f>
        <v>1.6420000000000001E-2</v>
      </c>
    </row>
    <row r="2778" spans="6:31" ht="15.75">
      <c r="F2778" s="407"/>
      <c r="G2778" s="408"/>
      <c r="H2778" s="405"/>
      <c r="I2778" s="405" t="s">
        <v>2615</v>
      </c>
      <c r="J2778" s="406" t="s">
        <v>156</v>
      </c>
      <c r="K2778" s="415">
        <f>SUM(K2773:K2777)</f>
        <v>3027.75</v>
      </c>
      <c r="L2778" s="414">
        <f>K2811+K2810</f>
        <v>1.6420000000000001E-2</v>
      </c>
      <c r="S2778" s="399"/>
      <c r="T2778" s="381"/>
      <c r="U2778" s="238" t="s">
        <v>2616</v>
      </c>
      <c r="V2778" s="380"/>
      <c r="W2778" s="416" t="s">
        <v>150</v>
      </c>
      <c r="X2778" s="412">
        <v>1.2840000000000001E-2</v>
      </c>
      <c r="Y2778" s="412"/>
    </row>
    <row r="2779" spans="6:31" ht="18">
      <c r="F2779" s="417"/>
      <c r="G2779" s="418"/>
      <c r="H2779" s="419"/>
      <c r="I2779" s="419"/>
      <c r="J2779" s="420"/>
      <c r="K2779" s="421" t="s">
        <v>156</v>
      </c>
      <c r="S2779" s="399"/>
      <c r="T2779" s="381"/>
      <c r="U2779" s="238" t="s">
        <v>2617</v>
      </c>
      <c r="V2779" s="380"/>
      <c r="W2779" s="239" t="s">
        <v>150</v>
      </c>
      <c r="X2779" s="412">
        <v>3.5799999999999998E-3</v>
      </c>
      <c r="Y2779" s="412"/>
    </row>
    <row r="2780" spans="6:31" ht="15.75">
      <c r="F2780" s="380"/>
      <c r="G2780" s="381"/>
      <c r="H2780" s="380"/>
      <c r="I2780" s="380"/>
      <c r="J2780" s="383"/>
      <c r="K2780" s="380"/>
      <c r="S2780" s="399"/>
      <c r="T2780" s="381"/>
      <c r="U2780" s="380"/>
      <c r="V2780" s="380"/>
      <c r="W2780" s="383"/>
      <c r="X2780" s="388" t="s">
        <v>21</v>
      </c>
      <c r="Y2780" s="388"/>
    </row>
    <row r="2781" spans="6:31" ht="15.75">
      <c r="F2781" s="380" t="s">
        <v>2618</v>
      </c>
      <c r="G2781" s="381"/>
      <c r="H2781" s="380"/>
      <c r="I2781" s="380"/>
      <c r="J2781" s="383"/>
      <c r="K2781" s="380"/>
      <c r="S2781" s="422">
        <f>F2813</f>
        <v>1.898E-2</v>
      </c>
      <c r="T2781" s="387" t="s">
        <v>151</v>
      </c>
      <c r="U2781" s="238" t="s">
        <v>2619</v>
      </c>
      <c r="V2781" s="236">
        <f>C86</f>
        <v>34300</v>
      </c>
      <c r="W2781" s="239" t="s">
        <v>151</v>
      </c>
      <c r="X2781" s="236">
        <f>(S2781*V2781)</f>
        <v>651.01400000000001</v>
      </c>
      <c r="Y2781" s="236"/>
    </row>
    <row r="2782" spans="6:31" ht="15.75">
      <c r="F2782" s="380"/>
      <c r="G2782" s="381"/>
      <c r="H2782" s="380"/>
      <c r="I2782" s="380"/>
      <c r="J2782" s="383"/>
      <c r="K2782" s="380"/>
      <c r="S2782" s="422">
        <f t="shared" ref="S2782:S2792" si="249">F2814</f>
        <v>2.7099999999999999E-2</v>
      </c>
      <c r="T2782" s="387" t="s">
        <v>151</v>
      </c>
      <c r="U2782" s="238" t="s">
        <v>2619</v>
      </c>
      <c r="V2782" s="236">
        <f>V2781</f>
        <v>34300</v>
      </c>
      <c r="W2782" s="239" t="s">
        <v>151</v>
      </c>
      <c r="X2782" s="236">
        <f t="shared" ref="X2782:X2792" si="250">(S2782*V2782)</f>
        <v>929.53</v>
      </c>
      <c r="Y2782" s="236"/>
    </row>
    <row r="2783" spans="6:31" ht="15.75">
      <c r="F2783" s="380" t="s">
        <v>2620</v>
      </c>
      <c r="G2783" s="381"/>
      <c r="H2783" s="380"/>
      <c r="I2783" s="380"/>
      <c r="J2783" s="383"/>
      <c r="K2783" s="380"/>
      <c r="S2783" s="422">
        <f t="shared" si="249"/>
        <v>1.6420000000000001E-2</v>
      </c>
      <c r="T2783" s="387" t="s">
        <v>151</v>
      </c>
      <c r="U2783" s="238" t="s">
        <v>2621</v>
      </c>
      <c r="V2783" s="236">
        <f>C87</f>
        <v>39400</v>
      </c>
      <c r="W2783" s="239" t="s">
        <v>151</v>
      </c>
      <c r="X2783" s="236">
        <f t="shared" si="250"/>
        <v>646.94799999999998</v>
      </c>
      <c r="Y2783" s="236"/>
      <c r="AE2783" s="65" t="s">
        <v>2622</v>
      </c>
    </row>
    <row r="2784" spans="6:31" ht="15.75">
      <c r="F2784" s="380"/>
      <c r="G2784" s="381"/>
      <c r="H2784" s="380"/>
      <c r="I2784" s="380"/>
      <c r="J2784" s="383"/>
      <c r="K2784" s="380"/>
      <c r="S2784" s="422"/>
      <c r="T2784" s="381"/>
      <c r="U2784" s="238"/>
      <c r="V2784" s="236">
        <f>V958</f>
        <v>0</v>
      </c>
      <c r="W2784" s="383"/>
      <c r="X2784" s="236">
        <f t="shared" si="250"/>
        <v>0</v>
      </c>
      <c r="Y2784" s="236"/>
      <c r="AE2784" s="65" t="s">
        <v>2623</v>
      </c>
    </row>
    <row r="2785" spans="6:35" ht="15.75">
      <c r="F2785" s="380"/>
      <c r="G2785" s="423">
        <v>0.745</v>
      </c>
      <c r="H2785" s="380" t="s">
        <v>313</v>
      </c>
      <c r="I2785" s="380"/>
      <c r="J2785" s="383"/>
      <c r="K2785" s="380"/>
      <c r="S2785" s="422">
        <f t="shared" si="249"/>
        <v>1.8225</v>
      </c>
      <c r="T2785" s="387" t="s">
        <v>152</v>
      </c>
      <c r="U2785" s="238" t="s">
        <v>1708</v>
      </c>
      <c r="V2785" s="236">
        <f>I2817</f>
        <v>1617</v>
      </c>
      <c r="W2785" s="239" t="s">
        <v>152</v>
      </c>
      <c r="X2785" s="236">
        <f t="shared" si="250"/>
        <v>2946.9825000000001</v>
      </c>
      <c r="Y2785" s="236"/>
    </row>
    <row r="2786" spans="6:35" ht="15.75">
      <c r="F2786" s="380"/>
      <c r="G2786" s="381"/>
      <c r="H2786" s="380"/>
      <c r="I2786" s="380"/>
      <c r="J2786" s="383"/>
      <c r="K2786" s="380"/>
      <c r="S2786" s="422">
        <f t="shared" si="249"/>
        <v>2</v>
      </c>
      <c r="T2786" s="387" t="s">
        <v>4</v>
      </c>
      <c r="U2786" s="238" t="s">
        <v>1709</v>
      </c>
      <c r="V2786" s="236">
        <f t="shared" ref="V2786:V2791" si="251">I2818</f>
        <v>120</v>
      </c>
      <c r="W2786" s="239" t="s">
        <v>153</v>
      </c>
      <c r="X2786" s="236">
        <f t="shared" si="250"/>
        <v>240</v>
      </c>
      <c r="Y2786" s="236"/>
      <c r="AD2786" s="424">
        <v>2.6159999999999999E-2</v>
      </c>
      <c r="AE2786" s="125" t="s">
        <v>151</v>
      </c>
      <c r="AF2786" s="65" t="s">
        <v>1796</v>
      </c>
      <c r="AG2786" s="65">
        <f>I2813</f>
        <v>111600</v>
      </c>
      <c r="AH2786" s="110" t="s">
        <v>151</v>
      </c>
      <c r="AI2786" s="65">
        <f>AG2786*AD2786</f>
        <v>2919.4560000000001</v>
      </c>
    </row>
    <row r="2787" spans="6:35" ht="15.75">
      <c r="F2787" s="386" t="s">
        <v>2624</v>
      </c>
      <c r="G2787" s="381"/>
      <c r="H2787" s="380"/>
      <c r="I2787" s="380"/>
      <c r="J2787" s="383"/>
      <c r="K2787" s="380"/>
      <c r="S2787" s="422">
        <f t="shared" si="249"/>
        <v>3</v>
      </c>
      <c r="T2787" s="387" t="s">
        <v>153</v>
      </c>
      <c r="U2787" s="238" t="s">
        <v>391</v>
      </c>
      <c r="V2787" s="236">
        <f t="shared" si="251"/>
        <v>110.17</v>
      </c>
      <c r="W2787" s="239" t="s">
        <v>153</v>
      </c>
      <c r="X2787" s="236">
        <f t="shared" si="250"/>
        <v>330.51</v>
      </c>
      <c r="Y2787" s="236"/>
      <c r="AD2787" s="424">
        <v>4.7809999999999998E-2</v>
      </c>
      <c r="AE2787" s="125" t="s">
        <v>151</v>
      </c>
      <c r="AF2787" s="65" t="s">
        <v>1797</v>
      </c>
      <c r="AG2787" s="65">
        <f>I2814</f>
        <v>99400</v>
      </c>
      <c r="AH2787" s="110" t="s">
        <v>151</v>
      </c>
      <c r="AI2787" s="65">
        <f t="shared" ref="AI2787:AI2796" si="252">AG2787*AD2787</f>
        <v>4752.3139999999994</v>
      </c>
    </row>
    <row r="2788" spans="6:35" ht="15.75">
      <c r="F2788" s="380"/>
      <c r="G2788" s="381"/>
      <c r="H2788" s="380"/>
      <c r="I2788" s="380"/>
      <c r="J2788" s="383"/>
      <c r="K2788" s="380"/>
      <c r="S2788" s="422">
        <f t="shared" si="249"/>
        <v>2</v>
      </c>
      <c r="T2788" s="387" t="s">
        <v>153</v>
      </c>
      <c r="U2788" s="238" t="s">
        <v>392</v>
      </c>
      <c r="V2788" s="236">
        <f t="shared" si="251"/>
        <v>160</v>
      </c>
      <c r="W2788" s="239" t="s">
        <v>153</v>
      </c>
      <c r="X2788" s="236">
        <f t="shared" si="250"/>
        <v>320</v>
      </c>
      <c r="Y2788" s="236"/>
      <c r="AD2788" s="425">
        <v>4.5879999999999997E-2</v>
      </c>
      <c r="AE2788" s="125" t="s">
        <v>151</v>
      </c>
      <c r="AF2788" s="65" t="s">
        <v>2625</v>
      </c>
      <c r="AG2788" s="65">
        <v>116700</v>
      </c>
      <c r="AH2788" s="110" t="s">
        <v>151</v>
      </c>
      <c r="AI2788" s="65">
        <f t="shared" si="252"/>
        <v>5354.1959999999999</v>
      </c>
    </row>
    <row r="2789" spans="6:35" ht="15.75">
      <c r="F2789" s="399">
        <v>0.37</v>
      </c>
      <c r="G2789" s="381" t="s">
        <v>313</v>
      </c>
      <c r="H2789" s="380" t="s">
        <v>2626</v>
      </c>
      <c r="I2789" s="380">
        <f>I2992</f>
        <v>9389.0069999999996</v>
      </c>
      <c r="J2789" s="384" t="s">
        <v>313</v>
      </c>
      <c r="K2789" s="380">
        <f>F2789*I2789</f>
        <v>3473.9325899999999</v>
      </c>
      <c r="S2789" s="422">
        <f t="shared" si="249"/>
        <v>1</v>
      </c>
      <c r="T2789" s="387" t="s">
        <v>153</v>
      </c>
      <c r="U2789" s="238" t="s">
        <v>393</v>
      </c>
      <c r="V2789" s="236">
        <f t="shared" si="251"/>
        <v>550</v>
      </c>
      <c r="W2789" s="239" t="s">
        <v>153</v>
      </c>
      <c r="X2789" s="236">
        <f t="shared" si="250"/>
        <v>550</v>
      </c>
      <c r="Y2789" s="236"/>
      <c r="AD2789" s="425">
        <v>3.95</v>
      </c>
      <c r="AE2789" s="125" t="s">
        <v>152</v>
      </c>
      <c r="AF2789" s="65" t="s">
        <v>1799</v>
      </c>
      <c r="AG2789" s="65">
        <f>I2817</f>
        <v>1617</v>
      </c>
      <c r="AH2789" s="110" t="s">
        <v>152</v>
      </c>
      <c r="AI2789" s="65">
        <f t="shared" si="252"/>
        <v>6387.1500000000005</v>
      </c>
    </row>
    <row r="2790" spans="6:35" ht="15.75">
      <c r="F2790" s="380">
        <v>0.25</v>
      </c>
      <c r="G2790" s="381" t="s">
        <v>68</v>
      </c>
      <c r="H2790" s="380" t="s">
        <v>280</v>
      </c>
      <c r="I2790" s="380">
        <f>C11</f>
        <v>1005.1999999999999</v>
      </c>
      <c r="J2790" s="384" t="s">
        <v>340</v>
      </c>
      <c r="K2790" s="380">
        <f>F2790*I2790</f>
        <v>251.29999999999998</v>
      </c>
      <c r="S2790" s="422">
        <f t="shared" si="249"/>
        <v>1</v>
      </c>
      <c r="T2790" s="387" t="s">
        <v>153</v>
      </c>
      <c r="U2790" s="238" t="s">
        <v>1713</v>
      </c>
      <c r="V2790" s="236">
        <f t="shared" si="251"/>
        <v>7.3</v>
      </c>
      <c r="W2790" s="239" t="s">
        <v>153</v>
      </c>
      <c r="X2790" s="236">
        <f t="shared" si="250"/>
        <v>7.3</v>
      </c>
      <c r="Y2790" s="236"/>
      <c r="AD2790" s="65">
        <v>2</v>
      </c>
      <c r="AE2790" s="125" t="s">
        <v>295</v>
      </c>
      <c r="AF2790" s="65" t="s">
        <v>1801</v>
      </c>
      <c r="AG2790" s="65">
        <f t="shared" ref="AG2790:AG2795" si="253">I2818</f>
        <v>120</v>
      </c>
      <c r="AH2790" s="110" t="s">
        <v>340</v>
      </c>
      <c r="AI2790" s="65">
        <f t="shared" si="252"/>
        <v>240</v>
      </c>
    </row>
    <row r="2791" spans="6:35" ht="15.75">
      <c r="F2791" s="380">
        <v>3.5</v>
      </c>
      <c r="G2791" s="381" t="s">
        <v>154</v>
      </c>
      <c r="H2791" s="380" t="s">
        <v>1830</v>
      </c>
      <c r="I2791" s="380">
        <f>C12</f>
        <v>702.8</v>
      </c>
      <c r="J2791" s="384" t="s">
        <v>340</v>
      </c>
      <c r="K2791" s="380">
        <f>F2791*I2791</f>
        <v>2459.7999999999997</v>
      </c>
      <c r="S2791" s="422">
        <f t="shared" si="249"/>
        <v>1</v>
      </c>
      <c r="T2791" s="387" t="s">
        <v>153</v>
      </c>
      <c r="U2791" s="238" t="s">
        <v>886</v>
      </c>
      <c r="V2791" s="236">
        <f t="shared" si="251"/>
        <v>43.8</v>
      </c>
      <c r="W2791" s="239" t="s">
        <v>153</v>
      </c>
      <c r="X2791" s="236">
        <f t="shared" si="250"/>
        <v>43.8</v>
      </c>
      <c r="Y2791" s="236"/>
      <c r="AD2791" s="65">
        <v>6</v>
      </c>
      <c r="AE2791" s="125" t="s">
        <v>295</v>
      </c>
      <c r="AF2791" s="65" t="s">
        <v>1802</v>
      </c>
      <c r="AG2791" s="65">
        <f t="shared" si="253"/>
        <v>110.17</v>
      </c>
      <c r="AH2791" s="110" t="s">
        <v>340</v>
      </c>
      <c r="AI2791" s="65">
        <f t="shared" si="252"/>
        <v>661.02</v>
      </c>
    </row>
    <row r="2792" spans="6:35" ht="15.75">
      <c r="F2792" s="380">
        <v>12</v>
      </c>
      <c r="G2792" s="381" t="s">
        <v>534</v>
      </c>
      <c r="H2792" s="380" t="s">
        <v>2627</v>
      </c>
      <c r="I2792" s="380"/>
      <c r="J2792" s="384" t="s">
        <v>534</v>
      </c>
      <c r="K2792" s="380">
        <f>I2792*F2792</f>
        <v>0</v>
      </c>
      <c r="S2792" s="399">
        <f t="shared" si="249"/>
        <v>64</v>
      </c>
      <c r="T2792" s="381"/>
      <c r="U2792" s="380" t="s">
        <v>2628</v>
      </c>
      <c r="V2792" s="380">
        <f>P2831</f>
        <v>2.37</v>
      </c>
      <c r="W2792" s="383"/>
      <c r="X2792" s="236">
        <f t="shared" si="250"/>
        <v>151.68</v>
      </c>
      <c r="Y2792" s="236"/>
      <c r="AD2792" s="65">
        <v>4</v>
      </c>
      <c r="AE2792" s="125" t="s">
        <v>295</v>
      </c>
      <c r="AF2792" s="65" t="s">
        <v>1803</v>
      </c>
      <c r="AG2792" s="65">
        <f t="shared" si="253"/>
        <v>160</v>
      </c>
      <c r="AH2792" s="110" t="s">
        <v>340</v>
      </c>
      <c r="AI2792" s="65">
        <f t="shared" si="252"/>
        <v>640</v>
      </c>
    </row>
    <row r="2793" spans="6:35" ht="15.75">
      <c r="F2793" s="380"/>
      <c r="G2793" s="380" t="s">
        <v>2629</v>
      </c>
      <c r="H2793" s="380" t="s">
        <v>2630</v>
      </c>
      <c r="I2793" s="380"/>
      <c r="J2793" s="384" t="s">
        <v>2458</v>
      </c>
      <c r="K2793" s="380">
        <f>L2759*10%</f>
        <v>271.11</v>
      </c>
      <c r="S2793" s="399"/>
      <c r="T2793" s="381"/>
      <c r="U2793" s="238" t="s">
        <v>2631</v>
      </c>
      <c r="V2793" s="380"/>
      <c r="W2793" s="383"/>
      <c r="X2793" s="236">
        <f>SUM(X2781:X2792)</f>
        <v>6817.7645000000011</v>
      </c>
      <c r="Y2793" s="236"/>
      <c r="AD2793" s="65">
        <v>1</v>
      </c>
      <c r="AE2793" s="125" t="s">
        <v>295</v>
      </c>
      <c r="AF2793" s="65" t="s">
        <v>1805</v>
      </c>
      <c r="AG2793" s="65">
        <f t="shared" si="253"/>
        <v>550</v>
      </c>
      <c r="AH2793" s="110" t="s">
        <v>340</v>
      </c>
      <c r="AI2793" s="65">
        <f t="shared" si="252"/>
        <v>550</v>
      </c>
    </row>
    <row r="2794" spans="6:35" ht="15.75">
      <c r="F2794" s="380"/>
      <c r="G2794" s="381"/>
      <c r="H2794" s="380"/>
      <c r="I2794" s="380"/>
      <c r="J2794" s="383"/>
      <c r="K2794" s="380" t="s">
        <v>2632</v>
      </c>
      <c r="S2794" s="399"/>
      <c r="T2794" s="381"/>
      <c r="U2794" s="380"/>
      <c r="V2794" s="380"/>
      <c r="W2794" s="383"/>
      <c r="X2794" s="388" t="s">
        <v>21</v>
      </c>
      <c r="Y2794" s="388"/>
      <c r="AD2794" s="65">
        <v>2</v>
      </c>
      <c r="AE2794" s="125" t="s">
        <v>295</v>
      </c>
      <c r="AF2794" s="65" t="s">
        <v>884</v>
      </c>
      <c r="AG2794" s="65">
        <f t="shared" si="253"/>
        <v>7.3</v>
      </c>
      <c r="AH2794" s="110" t="s">
        <v>340</v>
      </c>
      <c r="AI2794" s="65">
        <f t="shared" si="252"/>
        <v>14.6</v>
      </c>
    </row>
    <row r="2795" spans="6:35" ht="15.75">
      <c r="F2795" s="380"/>
      <c r="G2795" s="381"/>
      <c r="H2795" s="380"/>
      <c r="I2795" s="380"/>
      <c r="J2795" s="383"/>
      <c r="K2795" s="380"/>
      <c r="S2795" s="399"/>
      <c r="T2795" s="381"/>
      <c r="U2795" s="238" t="s">
        <v>155</v>
      </c>
      <c r="V2795" s="380"/>
      <c r="W2795" s="383"/>
      <c r="X2795" s="236">
        <f>X2793/1.8225</f>
        <v>3740.8858710562422</v>
      </c>
      <c r="Y2795" s="236"/>
      <c r="AD2795" s="65">
        <v>2</v>
      </c>
      <c r="AE2795" s="125" t="s">
        <v>295</v>
      </c>
      <c r="AF2795" s="65" t="s">
        <v>886</v>
      </c>
      <c r="AG2795" s="65">
        <f t="shared" si="253"/>
        <v>43.8</v>
      </c>
      <c r="AH2795" s="110" t="s">
        <v>340</v>
      </c>
      <c r="AI2795" s="65">
        <f t="shared" si="252"/>
        <v>87.6</v>
      </c>
    </row>
    <row r="2796" spans="6:35" ht="15.75">
      <c r="F2796" s="380"/>
      <c r="G2796" s="381"/>
      <c r="H2796" s="380"/>
      <c r="I2796" s="380" t="s">
        <v>2633</v>
      </c>
      <c r="J2796" s="383"/>
      <c r="K2796" s="380">
        <f>SUM(K2789:K2793)</f>
        <v>6456.1425899999995</v>
      </c>
      <c r="S2796" s="399"/>
      <c r="T2796" s="381"/>
      <c r="U2796" s="380"/>
      <c r="V2796" s="380"/>
      <c r="W2796" s="383"/>
      <c r="X2796" s="380"/>
      <c r="Y2796" s="380"/>
      <c r="AD2796" s="65">
        <v>10</v>
      </c>
      <c r="AE2796" s="125"/>
      <c r="AF2796" s="65" t="s">
        <v>1734</v>
      </c>
      <c r="AG2796" s="65">
        <f>V2792</f>
        <v>2.37</v>
      </c>
      <c r="AH2796" s="110"/>
      <c r="AI2796" s="65">
        <f t="shared" si="252"/>
        <v>23.700000000000003</v>
      </c>
    </row>
    <row r="2797" spans="6:35" ht="15.75">
      <c r="F2797" s="380"/>
      <c r="G2797" s="381"/>
      <c r="H2797" s="380"/>
      <c r="I2797" s="380"/>
      <c r="J2797" s="383"/>
      <c r="K2797" s="380"/>
      <c r="AD2797" s="65"/>
      <c r="AE2797" s="125"/>
      <c r="AF2797" s="65" t="s">
        <v>155</v>
      </c>
      <c r="AG2797" s="65"/>
      <c r="AH2797" s="110"/>
      <c r="AI2797" s="65">
        <f>SUM(AI2786:AI2796)</f>
        <v>21630.036</v>
      </c>
    </row>
    <row r="2798" spans="6:35" ht="15.75">
      <c r="F2798" s="380"/>
      <c r="G2798" s="381"/>
      <c r="H2798" s="380"/>
      <c r="I2798" s="380" t="s">
        <v>2634</v>
      </c>
      <c r="J2798" s="383"/>
      <c r="K2798" s="380">
        <f>K2796/3.5</f>
        <v>1844.6121685714284</v>
      </c>
      <c r="AD2798" s="65"/>
      <c r="AE2798" s="125"/>
      <c r="AF2798" s="65"/>
      <c r="AG2798" s="65"/>
      <c r="AH2798" s="110"/>
      <c r="AI2798" s="426" t="s">
        <v>1810</v>
      </c>
    </row>
    <row r="2799" spans="6:35" ht="15.75">
      <c r="F2799" s="380"/>
      <c r="G2799" s="381"/>
      <c r="H2799" s="380"/>
      <c r="I2799" s="380"/>
      <c r="J2799" s="383"/>
      <c r="K2799" s="380"/>
      <c r="AD2799" s="65"/>
      <c r="AE2799" s="125"/>
      <c r="AF2799" s="65" t="s">
        <v>155</v>
      </c>
      <c r="AG2799" s="65"/>
      <c r="AH2799" s="110"/>
      <c r="AI2799" s="65">
        <f>AI2797/AD2789</f>
        <v>5475.958481012658</v>
      </c>
    </row>
    <row r="2800" spans="6:35" ht="15.75">
      <c r="F2800" s="239" t="s">
        <v>1693</v>
      </c>
      <c r="G2800" s="387" t="s">
        <v>249</v>
      </c>
      <c r="H2800" s="238" t="s">
        <v>1700</v>
      </c>
      <c r="I2800" s="380"/>
      <c r="J2800" s="383"/>
      <c r="K2800" s="380"/>
      <c r="AD2800" s="65"/>
      <c r="AE2800" s="125"/>
      <c r="AF2800" s="65"/>
      <c r="AG2800" s="65"/>
      <c r="AH2800" s="110"/>
      <c r="AI2800" s="426" t="s">
        <v>1810</v>
      </c>
    </row>
    <row r="2801" spans="6:18" ht="15.75">
      <c r="F2801" s="380"/>
      <c r="G2801" s="381"/>
      <c r="H2801" s="238" t="s">
        <v>1695</v>
      </c>
      <c r="I2801" s="380"/>
      <c r="J2801" s="383"/>
      <c r="K2801" s="380"/>
    </row>
    <row r="2802" spans="6:18" ht="15.75">
      <c r="F2802" s="380"/>
      <c r="G2802" s="381"/>
      <c r="H2802" s="238" t="s">
        <v>1696</v>
      </c>
      <c r="I2802" s="386" t="s">
        <v>2635</v>
      </c>
      <c r="J2802" s="383"/>
      <c r="K2802" s="380"/>
    </row>
    <row r="2803" spans="6:18" ht="15.75">
      <c r="F2803" s="380"/>
      <c r="G2803" s="381"/>
      <c r="H2803" s="388" t="s">
        <v>21</v>
      </c>
      <c r="I2803" s="380"/>
      <c r="J2803" s="383"/>
      <c r="K2803" s="380"/>
    </row>
    <row r="2804" spans="6:18" ht="15.75">
      <c r="F2804" s="380"/>
      <c r="G2804" s="381"/>
      <c r="H2804" s="238" t="s">
        <v>2606</v>
      </c>
      <c r="I2804" s="380"/>
      <c r="J2804" s="383"/>
      <c r="K2804" s="380"/>
    </row>
    <row r="2805" spans="6:18" ht="15.75">
      <c r="F2805" s="380"/>
      <c r="G2805" s="381"/>
      <c r="H2805" s="238" t="s">
        <v>2610</v>
      </c>
      <c r="I2805" s="380"/>
      <c r="J2805" s="383"/>
      <c r="K2805" s="380"/>
    </row>
    <row r="2806" spans="6:18" ht="15.75">
      <c r="F2806" s="380"/>
      <c r="G2806" s="381"/>
      <c r="H2806" s="380"/>
      <c r="I2806" s="380"/>
      <c r="J2806" s="239" t="s">
        <v>21</v>
      </c>
      <c r="K2806" s="380"/>
    </row>
    <row r="2807" spans="6:18" ht="15.75">
      <c r="F2807" s="380"/>
      <c r="G2807" s="381"/>
      <c r="H2807" s="238" t="s">
        <v>2613</v>
      </c>
      <c r="I2807" s="380"/>
      <c r="J2807" s="383"/>
      <c r="K2807" s="380"/>
      <c r="M2807" s="239" t="s">
        <v>1693</v>
      </c>
      <c r="N2807" s="387" t="s">
        <v>249</v>
      </c>
      <c r="O2807" s="238" t="s">
        <v>1700</v>
      </c>
      <c r="P2807" s="380"/>
      <c r="Q2807" s="383"/>
      <c r="R2807" s="380"/>
    </row>
    <row r="2808" spans="6:18" ht="15.75">
      <c r="F2808" s="380"/>
      <c r="G2808" s="381"/>
      <c r="H2808" s="238" t="s">
        <v>2614</v>
      </c>
      <c r="I2808" s="380"/>
      <c r="J2808" s="383"/>
      <c r="K2808" s="412">
        <v>2.7099999999999999E-2</v>
      </c>
      <c r="M2808" s="380"/>
      <c r="N2808" s="381"/>
      <c r="O2808" s="238" t="s">
        <v>1695</v>
      </c>
      <c r="P2808" s="380"/>
      <c r="Q2808" s="383"/>
      <c r="R2808" s="380"/>
    </row>
    <row r="2809" spans="6:18" ht="15.75">
      <c r="F2809" s="380"/>
      <c r="G2809" s="381"/>
      <c r="H2809" s="380"/>
      <c r="I2809" s="380"/>
      <c r="J2809" s="239" t="s">
        <v>150</v>
      </c>
      <c r="K2809" s="388" t="s">
        <v>21</v>
      </c>
      <c r="M2809" s="380"/>
      <c r="N2809" s="381"/>
      <c r="O2809" s="238" t="s">
        <v>2636</v>
      </c>
      <c r="P2809" s="386" t="s">
        <v>2637</v>
      </c>
      <c r="Q2809" s="383"/>
      <c r="R2809" s="380"/>
    </row>
    <row r="2810" spans="6:18" ht="15.75">
      <c r="F2810" s="380"/>
      <c r="G2810" s="381"/>
      <c r="H2810" s="238" t="s">
        <v>2616</v>
      </c>
      <c r="I2810" s="380"/>
      <c r="J2810" s="416" t="s">
        <v>150</v>
      </c>
      <c r="K2810" s="412">
        <v>1.2840000000000001E-2</v>
      </c>
      <c r="M2810" s="380"/>
      <c r="N2810" s="381"/>
      <c r="O2810" s="388" t="s">
        <v>21</v>
      </c>
      <c r="P2810" s="380"/>
      <c r="Q2810" s="383"/>
      <c r="R2810" s="380"/>
    </row>
    <row r="2811" spans="6:18" ht="15.75">
      <c r="F2811" s="380"/>
      <c r="G2811" s="381"/>
      <c r="H2811" s="238" t="s">
        <v>2638</v>
      </c>
      <c r="I2811" s="380"/>
      <c r="J2811" s="239" t="s">
        <v>150</v>
      </c>
      <c r="K2811" s="412">
        <v>3.5799999999999998E-3</v>
      </c>
      <c r="M2811" s="380"/>
      <c r="N2811" s="381"/>
      <c r="O2811" s="238" t="s">
        <v>2639</v>
      </c>
      <c r="P2811" s="380"/>
      <c r="Q2811" s="383"/>
      <c r="R2811" s="380"/>
    </row>
    <row r="2812" spans="6:18" ht="15.75">
      <c r="F2812" s="427"/>
      <c r="G2812" s="381"/>
      <c r="H2812" s="380"/>
      <c r="I2812" s="380"/>
      <c r="J2812" s="383"/>
      <c r="K2812" s="388" t="s">
        <v>21</v>
      </c>
      <c r="M2812" s="380"/>
      <c r="N2812" s="381"/>
      <c r="O2812" s="238" t="s">
        <v>2610</v>
      </c>
      <c r="P2812" s="380"/>
      <c r="Q2812" s="383"/>
      <c r="R2812" s="380"/>
    </row>
    <row r="2813" spans="6:18" ht="15.75">
      <c r="F2813" s="412">
        <v>1.898E-2</v>
      </c>
      <c r="G2813" s="387" t="s">
        <v>151</v>
      </c>
      <c r="H2813" s="238" t="s">
        <v>1710</v>
      </c>
      <c r="I2813" s="236">
        <f>AE26</f>
        <v>111600</v>
      </c>
      <c r="J2813" s="239" t="s">
        <v>151</v>
      </c>
      <c r="K2813" s="236">
        <f>(F2813*I2813)</f>
        <v>2118.1680000000001</v>
      </c>
      <c r="M2813" s="380"/>
      <c r="N2813" s="381"/>
      <c r="O2813" s="380"/>
      <c r="P2813" s="380"/>
      <c r="Q2813" s="239" t="s">
        <v>21</v>
      </c>
      <c r="R2813" s="380"/>
    </row>
    <row r="2814" spans="6:18" ht="15.75">
      <c r="F2814" s="412">
        <f>K2808</f>
        <v>2.7099999999999999E-2</v>
      </c>
      <c r="G2814" s="387" t="s">
        <v>151</v>
      </c>
      <c r="H2814" s="238" t="s">
        <v>1711</v>
      </c>
      <c r="I2814" s="236">
        <f>AE27</f>
        <v>99400</v>
      </c>
      <c r="J2814" s="239" t="s">
        <v>151</v>
      </c>
      <c r="K2814" s="236">
        <f t="shared" ref="K2814:K2824" si="254">(F2814*I2814)</f>
        <v>2693.74</v>
      </c>
      <c r="M2814" s="380"/>
      <c r="N2814" s="381"/>
      <c r="O2814" s="238" t="s">
        <v>2640</v>
      </c>
      <c r="P2814" s="380"/>
      <c r="Q2814" s="383"/>
      <c r="R2814" s="380"/>
    </row>
    <row r="2815" spans="6:18" ht="15.75">
      <c r="F2815" s="412">
        <f>L2778</f>
        <v>1.6420000000000001E-2</v>
      </c>
      <c r="G2815" s="387" t="s">
        <v>151</v>
      </c>
      <c r="H2815" s="238" t="s">
        <v>1712</v>
      </c>
      <c r="I2815" s="236">
        <f>AE28</f>
        <v>95000</v>
      </c>
      <c r="J2815" s="239" t="s">
        <v>151</v>
      </c>
      <c r="K2815" s="236">
        <f t="shared" si="254"/>
        <v>1559.9</v>
      </c>
      <c r="M2815" s="380"/>
      <c r="N2815" s="381"/>
      <c r="O2815" s="238" t="s">
        <v>2641</v>
      </c>
      <c r="P2815" s="380"/>
      <c r="Q2815" s="383"/>
      <c r="R2815" s="412">
        <v>2.784E-2</v>
      </c>
    </row>
    <row r="2816" spans="6:18" ht="15.75">
      <c r="F2816" s="428"/>
      <c r="G2816" s="381"/>
      <c r="H2816" s="238" t="s">
        <v>1785</v>
      </c>
      <c r="I2816" s="236"/>
      <c r="J2816" s="383"/>
      <c r="K2816" s="236"/>
      <c r="M2816" s="380"/>
      <c r="N2816" s="381"/>
      <c r="O2816" s="380"/>
      <c r="P2816" s="380"/>
      <c r="Q2816" s="239" t="s">
        <v>150</v>
      </c>
      <c r="R2816" s="388" t="s">
        <v>21</v>
      </c>
    </row>
    <row r="2817" spans="6:18" ht="15.75">
      <c r="F2817" s="428">
        <v>1.8225</v>
      </c>
      <c r="G2817" s="387" t="s">
        <v>152</v>
      </c>
      <c r="H2817" s="238" t="s">
        <v>1708</v>
      </c>
      <c r="I2817" s="236">
        <f>I954</f>
        <v>1617</v>
      </c>
      <c r="J2817" s="239" t="s">
        <v>152</v>
      </c>
      <c r="K2817" s="236">
        <f t="shared" si="254"/>
        <v>2946.9825000000001</v>
      </c>
      <c r="M2817" s="380"/>
      <c r="N2817" s="381"/>
      <c r="O2817" s="238" t="s">
        <v>2642</v>
      </c>
      <c r="P2817" s="380"/>
      <c r="Q2817" s="416" t="s">
        <v>150</v>
      </c>
      <c r="R2817" s="412">
        <v>2.5499999999999998E-2</v>
      </c>
    </row>
    <row r="2818" spans="6:18" ht="15.75">
      <c r="F2818" s="236">
        <v>2</v>
      </c>
      <c r="G2818" s="387" t="s">
        <v>4</v>
      </c>
      <c r="H2818" s="238" t="s">
        <v>2643</v>
      </c>
      <c r="I2818" s="236">
        <v>120</v>
      </c>
      <c r="J2818" s="239" t="s">
        <v>153</v>
      </c>
      <c r="K2818" s="236">
        <f t="shared" si="254"/>
        <v>240</v>
      </c>
      <c r="M2818" s="380"/>
      <c r="N2818" s="381"/>
      <c r="O2818" s="238"/>
      <c r="P2818" s="380"/>
      <c r="Q2818" s="239" t="s">
        <v>150</v>
      </c>
      <c r="R2818" s="412"/>
    </row>
    <row r="2819" spans="6:18" ht="15.75">
      <c r="F2819" s="236">
        <v>3</v>
      </c>
      <c r="G2819" s="387" t="s">
        <v>153</v>
      </c>
      <c r="H2819" s="238" t="s">
        <v>2644</v>
      </c>
      <c r="I2819" s="236">
        <v>110.17</v>
      </c>
      <c r="J2819" s="239" t="s">
        <v>153</v>
      </c>
      <c r="K2819" s="236">
        <f t="shared" si="254"/>
        <v>330.51</v>
      </c>
      <c r="M2819" s="380"/>
      <c r="N2819" s="381"/>
      <c r="O2819" s="380"/>
      <c r="P2819" s="380"/>
      <c r="Q2819" s="383"/>
      <c r="R2819" s="388" t="s">
        <v>21</v>
      </c>
    </row>
    <row r="2820" spans="6:18" ht="15.75">
      <c r="F2820" s="236">
        <v>2</v>
      </c>
      <c r="G2820" s="387" t="s">
        <v>153</v>
      </c>
      <c r="H2820" s="238" t="s">
        <v>2645</v>
      </c>
      <c r="I2820" s="236">
        <v>160</v>
      </c>
      <c r="J2820" s="239" t="s">
        <v>153</v>
      </c>
      <c r="K2820" s="236">
        <f t="shared" si="254"/>
        <v>320</v>
      </c>
      <c r="M2820" s="412">
        <v>1.898E-2</v>
      </c>
      <c r="N2820" s="387" t="s">
        <v>151</v>
      </c>
      <c r="O2820" s="238" t="s">
        <v>1710</v>
      </c>
      <c r="P2820" s="236">
        <f>I2813</f>
        <v>111600</v>
      </c>
      <c r="Q2820" s="239" t="s">
        <v>151</v>
      </c>
      <c r="R2820" s="236">
        <f>(M2820*P2820)</f>
        <v>2118.1680000000001</v>
      </c>
    </row>
    <row r="2821" spans="6:18" ht="15.75">
      <c r="F2821" s="236">
        <v>1</v>
      </c>
      <c r="G2821" s="387" t="s">
        <v>153</v>
      </c>
      <c r="H2821" s="238" t="s">
        <v>2646</v>
      </c>
      <c r="I2821" s="236">
        <v>550</v>
      </c>
      <c r="J2821" s="239" t="s">
        <v>153</v>
      </c>
      <c r="K2821" s="236">
        <f t="shared" si="254"/>
        <v>550</v>
      </c>
      <c r="M2821" s="412">
        <f>R2815</f>
        <v>2.784E-2</v>
      </c>
      <c r="N2821" s="387" t="s">
        <v>151</v>
      </c>
      <c r="O2821" s="238" t="s">
        <v>1711</v>
      </c>
      <c r="P2821" s="236">
        <f t="shared" ref="P2821:P2830" si="255">I2814</f>
        <v>99400</v>
      </c>
      <c r="Q2821" s="239" t="s">
        <v>151</v>
      </c>
      <c r="R2821" s="236">
        <f t="shared" ref="R2821:R2830" si="256">(M2821*P2821)</f>
        <v>2767.2959999999998</v>
      </c>
    </row>
    <row r="2822" spans="6:18" ht="15.75">
      <c r="F2822" s="236">
        <v>1</v>
      </c>
      <c r="G2822" s="387" t="s">
        <v>153</v>
      </c>
      <c r="H2822" s="238" t="s">
        <v>1713</v>
      </c>
      <c r="I2822" s="236">
        <f>C288</f>
        <v>7.3</v>
      </c>
      <c r="J2822" s="239" t="s">
        <v>153</v>
      </c>
      <c r="K2822" s="236">
        <f t="shared" si="254"/>
        <v>7.3</v>
      </c>
      <c r="M2822" s="412">
        <f>R2817</f>
        <v>2.5499999999999998E-2</v>
      </c>
      <c r="N2822" s="387" t="s">
        <v>151</v>
      </c>
      <c r="O2822" s="238" t="s">
        <v>1712</v>
      </c>
      <c r="P2822" s="236">
        <f t="shared" si="255"/>
        <v>95000</v>
      </c>
      <c r="Q2822" s="239" t="s">
        <v>151</v>
      </c>
      <c r="R2822" s="236">
        <f t="shared" si="256"/>
        <v>2422.5</v>
      </c>
    </row>
    <row r="2823" spans="6:18" ht="15.75">
      <c r="F2823" s="236">
        <v>1</v>
      </c>
      <c r="G2823" s="387" t="s">
        <v>153</v>
      </c>
      <c r="H2823" s="238" t="s">
        <v>886</v>
      </c>
      <c r="I2823" s="429">
        <f>I2841</f>
        <v>43.8</v>
      </c>
      <c r="J2823" s="239" t="s">
        <v>153</v>
      </c>
      <c r="K2823" s="236">
        <f t="shared" si="254"/>
        <v>43.8</v>
      </c>
      <c r="M2823" s="428"/>
      <c r="N2823" s="381"/>
      <c r="O2823" s="238" t="s">
        <v>2647</v>
      </c>
      <c r="P2823" s="236"/>
      <c r="Q2823" s="383"/>
      <c r="R2823" s="236"/>
    </row>
    <row r="2824" spans="6:18" ht="15.75">
      <c r="F2824" s="380">
        <v>64</v>
      </c>
      <c r="G2824" s="381"/>
      <c r="H2824" s="380" t="s">
        <v>2648</v>
      </c>
      <c r="I2824" s="430">
        <f>P1121</f>
        <v>2.37</v>
      </c>
      <c r="J2824" s="383"/>
      <c r="K2824" s="236">
        <f t="shared" si="254"/>
        <v>151.68</v>
      </c>
      <c r="M2824" s="428">
        <v>2.2275</v>
      </c>
      <c r="N2824" s="387" t="s">
        <v>152</v>
      </c>
      <c r="O2824" s="238" t="s">
        <v>1708</v>
      </c>
      <c r="P2824" s="236">
        <f t="shared" si="255"/>
        <v>1617</v>
      </c>
      <c r="Q2824" s="239" t="s">
        <v>152</v>
      </c>
      <c r="R2824" s="236">
        <f t="shared" si="256"/>
        <v>3601.8674999999998</v>
      </c>
    </row>
    <row r="2825" spans="6:18" ht="15.75">
      <c r="F2825" s="380"/>
      <c r="G2825" s="381"/>
      <c r="H2825" s="238" t="s">
        <v>2631</v>
      </c>
      <c r="I2825" s="380"/>
      <c r="J2825" s="383"/>
      <c r="K2825" s="236">
        <f>SUM(K2813:K2824)</f>
        <v>10962.080499999998</v>
      </c>
      <c r="M2825" s="236">
        <v>1</v>
      </c>
      <c r="N2825" s="387" t="s">
        <v>4</v>
      </c>
      <c r="O2825" s="238" t="s">
        <v>1709</v>
      </c>
      <c r="P2825" s="236">
        <f t="shared" si="255"/>
        <v>120</v>
      </c>
      <c r="Q2825" s="239" t="s">
        <v>153</v>
      </c>
      <c r="R2825" s="236">
        <f t="shared" si="256"/>
        <v>120</v>
      </c>
    </row>
    <row r="2826" spans="6:18" ht="15.75">
      <c r="F2826" s="380"/>
      <c r="G2826" s="381"/>
      <c r="H2826" s="380"/>
      <c r="I2826" s="380"/>
      <c r="J2826" s="383"/>
      <c r="K2826" s="388" t="s">
        <v>21</v>
      </c>
      <c r="M2826" s="236">
        <v>3</v>
      </c>
      <c r="N2826" s="387" t="s">
        <v>153</v>
      </c>
      <c r="O2826" s="238" t="s">
        <v>391</v>
      </c>
      <c r="P2826" s="236">
        <f t="shared" si="255"/>
        <v>110.17</v>
      </c>
      <c r="Q2826" s="239" t="s">
        <v>153</v>
      </c>
      <c r="R2826" s="236">
        <f t="shared" si="256"/>
        <v>330.51</v>
      </c>
    </row>
    <row r="2827" spans="6:18" ht="15.75">
      <c r="F2827" s="380"/>
      <c r="G2827" s="381"/>
      <c r="H2827" s="238" t="s">
        <v>155</v>
      </c>
      <c r="I2827" s="380"/>
      <c r="J2827" s="383"/>
      <c r="K2827" s="395">
        <f>K2825/F2817</f>
        <v>6014.8589849108357</v>
      </c>
      <c r="M2827" s="236">
        <v>2</v>
      </c>
      <c r="N2827" s="387" t="s">
        <v>153</v>
      </c>
      <c r="O2827" s="238" t="s">
        <v>392</v>
      </c>
      <c r="P2827" s="236">
        <f t="shared" si="255"/>
        <v>160</v>
      </c>
      <c r="Q2827" s="239" t="s">
        <v>153</v>
      </c>
      <c r="R2827" s="236">
        <f t="shared" si="256"/>
        <v>320</v>
      </c>
    </row>
    <row r="2828" spans="6:18" ht="15.75">
      <c r="F2828" s="380"/>
      <c r="G2828" s="381"/>
      <c r="H2828" s="380"/>
      <c r="I2828" s="380"/>
      <c r="J2828" s="383"/>
      <c r="K2828" s="380"/>
      <c r="M2828" s="236">
        <v>1</v>
      </c>
      <c r="N2828" s="387" t="s">
        <v>153</v>
      </c>
      <c r="O2828" s="238" t="s">
        <v>393</v>
      </c>
      <c r="P2828" s="236">
        <f t="shared" si="255"/>
        <v>550</v>
      </c>
      <c r="Q2828" s="239" t="s">
        <v>153</v>
      </c>
      <c r="R2828" s="236">
        <f t="shared" si="256"/>
        <v>550</v>
      </c>
    </row>
    <row r="2829" spans="6:18" ht="15.75">
      <c r="F2829" s="239" t="s">
        <v>1693</v>
      </c>
      <c r="G2829" s="387" t="s">
        <v>249</v>
      </c>
      <c r="H2829" s="238" t="s">
        <v>2649</v>
      </c>
      <c r="I2829" s="380"/>
      <c r="J2829" s="383"/>
      <c r="K2829" s="380"/>
      <c r="M2829" s="236">
        <v>1</v>
      </c>
      <c r="N2829" s="387" t="s">
        <v>153</v>
      </c>
      <c r="O2829" s="238" t="s">
        <v>1713</v>
      </c>
      <c r="P2829" s="236">
        <f t="shared" si="255"/>
        <v>7.3</v>
      </c>
      <c r="Q2829" s="239" t="s">
        <v>153</v>
      </c>
      <c r="R2829" s="236">
        <f t="shared" si="256"/>
        <v>7.3</v>
      </c>
    </row>
    <row r="2830" spans="6:18" ht="15.75">
      <c r="F2830" s="380"/>
      <c r="G2830" s="381"/>
      <c r="H2830" s="238" t="s">
        <v>1695</v>
      </c>
      <c r="I2830" s="380"/>
      <c r="J2830" s="383"/>
      <c r="K2830" s="380"/>
      <c r="M2830" s="236">
        <v>1</v>
      </c>
      <c r="N2830" s="387" t="s">
        <v>153</v>
      </c>
      <c r="O2830" s="238" t="s">
        <v>886</v>
      </c>
      <c r="P2830" s="236">
        <f t="shared" si="255"/>
        <v>43.8</v>
      </c>
      <c r="Q2830" s="239" t="s">
        <v>153</v>
      </c>
      <c r="R2830" s="236">
        <f t="shared" si="256"/>
        <v>43.8</v>
      </c>
    </row>
    <row r="2831" spans="6:18" ht="15.75">
      <c r="F2831" s="380"/>
      <c r="G2831" s="381"/>
      <c r="H2831" s="238" t="s">
        <v>1696</v>
      </c>
      <c r="I2831" s="380"/>
      <c r="J2831" s="383">
        <f>1.1*2.025</f>
        <v>2.2275</v>
      </c>
      <c r="K2831" s="380"/>
      <c r="M2831" s="380">
        <v>58</v>
      </c>
      <c r="N2831" s="387" t="s">
        <v>153</v>
      </c>
      <c r="O2831" s="380" t="s">
        <v>1734</v>
      </c>
      <c r="P2831" s="380">
        <f>P1121</f>
        <v>2.37</v>
      </c>
      <c r="Q2831" s="383" t="s">
        <v>153</v>
      </c>
      <c r="R2831" s="236">
        <f>(M2831*P2831)</f>
        <v>137.46</v>
      </c>
    </row>
    <row r="2832" spans="6:18" ht="15.75">
      <c r="F2832" s="380"/>
      <c r="G2832" s="381"/>
      <c r="H2832" s="388" t="s">
        <v>21</v>
      </c>
      <c r="I2832" s="380"/>
      <c r="J2832" s="383"/>
      <c r="K2832" s="380"/>
      <c r="M2832" s="380"/>
      <c r="N2832" s="381"/>
      <c r="O2832" s="238" t="s">
        <v>2650</v>
      </c>
      <c r="P2832" s="380"/>
      <c r="Q2832" s="383"/>
      <c r="R2832" s="236">
        <f>SUM(R2820:R2831)</f>
        <v>12418.901499999998</v>
      </c>
    </row>
    <row r="2833" spans="6:18" ht="15.75">
      <c r="F2833" s="380"/>
      <c r="G2833" s="381"/>
      <c r="H2833" s="238" t="s">
        <v>1698</v>
      </c>
      <c r="I2833" s="380"/>
      <c r="J2833" s="383"/>
      <c r="K2833" s="380"/>
      <c r="M2833" s="380"/>
      <c r="N2833" s="381"/>
      <c r="O2833" s="380"/>
      <c r="P2833" s="380"/>
      <c r="Q2833" s="383"/>
      <c r="R2833" s="388" t="s">
        <v>21</v>
      </c>
    </row>
    <row r="2834" spans="6:18" ht="30.75">
      <c r="F2834" s="399">
        <v>1.823</v>
      </c>
      <c r="G2834" s="387" t="s">
        <v>152</v>
      </c>
      <c r="H2834" s="397" t="s">
        <v>2651</v>
      </c>
      <c r="I2834" s="431">
        <v>2370</v>
      </c>
      <c r="J2834" s="239" t="s">
        <v>152</v>
      </c>
      <c r="K2834" s="380">
        <f>F2835*I2834</f>
        <v>4320.51</v>
      </c>
      <c r="M2834" s="380"/>
      <c r="N2834" s="381"/>
      <c r="O2834" s="238" t="s">
        <v>155</v>
      </c>
      <c r="P2834" s="380"/>
      <c r="Q2834" s="383"/>
      <c r="R2834" s="236">
        <f>R2832/M2824</f>
        <v>5575.2644219977547</v>
      </c>
    </row>
    <row r="2835" spans="6:18" ht="15.75">
      <c r="F2835" s="422">
        <v>1.823</v>
      </c>
      <c r="G2835" s="387" t="s">
        <v>152</v>
      </c>
      <c r="H2835" s="389" t="s">
        <v>2652</v>
      </c>
      <c r="I2835" s="432">
        <v>161</v>
      </c>
      <c r="J2835" s="239" t="s">
        <v>152</v>
      </c>
      <c r="K2835" s="236">
        <f t="shared" ref="K2835:K2841" si="257">(F2835*I2835)</f>
        <v>293.50299999999999</v>
      </c>
    </row>
    <row r="2836" spans="6:18" ht="15.75">
      <c r="F2836" s="236">
        <v>2</v>
      </c>
      <c r="G2836" s="387" t="s">
        <v>4</v>
      </c>
      <c r="H2836" s="238" t="s">
        <v>1709</v>
      </c>
      <c r="I2836" s="236">
        <f t="shared" ref="I2836:I2841" si="258">I990</f>
        <v>50.9</v>
      </c>
      <c r="J2836" s="239" t="s">
        <v>153</v>
      </c>
      <c r="K2836" s="236">
        <f t="shared" si="257"/>
        <v>101.8</v>
      </c>
    </row>
    <row r="2837" spans="6:18" ht="15.75">
      <c r="F2837" s="236">
        <v>3</v>
      </c>
      <c r="G2837" s="387" t="s">
        <v>153</v>
      </c>
      <c r="H2837" s="238" t="s">
        <v>391</v>
      </c>
      <c r="I2837" s="236">
        <f t="shared" si="258"/>
        <v>79.099999999999994</v>
      </c>
      <c r="J2837" s="239" t="s">
        <v>153</v>
      </c>
      <c r="K2837" s="236">
        <f t="shared" si="257"/>
        <v>237.29999999999998</v>
      </c>
    </row>
    <row r="2838" spans="6:18" ht="15.75">
      <c r="F2838" s="236">
        <v>2</v>
      </c>
      <c r="G2838" s="387" t="s">
        <v>153</v>
      </c>
      <c r="H2838" s="238" t="s">
        <v>392</v>
      </c>
      <c r="I2838" s="236">
        <f t="shared" si="258"/>
        <v>57.2</v>
      </c>
      <c r="J2838" s="239" t="s">
        <v>153</v>
      </c>
      <c r="K2838" s="236">
        <f t="shared" si="257"/>
        <v>114.4</v>
      </c>
    </row>
    <row r="2839" spans="6:18" ht="15.75">
      <c r="F2839" s="236">
        <v>1</v>
      </c>
      <c r="G2839" s="387" t="s">
        <v>153</v>
      </c>
      <c r="H2839" s="238" t="s">
        <v>393</v>
      </c>
      <c r="I2839" s="236">
        <f t="shared" si="258"/>
        <v>159.69999999999999</v>
      </c>
      <c r="J2839" s="239" t="s">
        <v>153</v>
      </c>
      <c r="K2839" s="236">
        <f t="shared" si="257"/>
        <v>159.69999999999999</v>
      </c>
    </row>
    <row r="2840" spans="6:18" ht="15.75">
      <c r="F2840" s="236">
        <v>1</v>
      </c>
      <c r="G2840" s="387" t="s">
        <v>153</v>
      </c>
      <c r="H2840" s="238" t="s">
        <v>1713</v>
      </c>
      <c r="I2840" s="236">
        <f t="shared" si="258"/>
        <v>7.3</v>
      </c>
      <c r="J2840" s="239" t="s">
        <v>153</v>
      </c>
      <c r="K2840" s="236">
        <f t="shared" si="257"/>
        <v>7.3</v>
      </c>
      <c r="M2840" s="239" t="s">
        <v>1693</v>
      </c>
      <c r="N2840" s="387" t="s">
        <v>249</v>
      </c>
      <c r="O2840" s="238" t="s">
        <v>1700</v>
      </c>
      <c r="P2840" s="380"/>
      <c r="Q2840" s="383"/>
      <c r="R2840" s="380"/>
    </row>
    <row r="2841" spans="6:18" ht="15.75">
      <c r="F2841" s="236">
        <v>1</v>
      </c>
      <c r="G2841" s="387" t="s">
        <v>153</v>
      </c>
      <c r="H2841" s="238" t="s">
        <v>886</v>
      </c>
      <c r="I2841" s="236">
        <f t="shared" si="258"/>
        <v>43.8</v>
      </c>
      <c r="J2841" s="239" t="s">
        <v>153</v>
      </c>
      <c r="K2841" s="236">
        <f t="shared" si="257"/>
        <v>43.8</v>
      </c>
      <c r="M2841" s="380"/>
      <c r="N2841" s="381"/>
      <c r="O2841" s="238" t="s">
        <v>1695</v>
      </c>
      <c r="P2841" s="386" t="s">
        <v>2653</v>
      </c>
      <c r="Q2841" s="383"/>
      <c r="R2841" s="380"/>
    </row>
    <row r="2842" spans="6:18" ht="15.75">
      <c r="F2842" s="380"/>
      <c r="G2842" s="381"/>
      <c r="H2842" s="380"/>
      <c r="I2842" s="380"/>
      <c r="J2842" s="383"/>
      <c r="K2842" s="392">
        <v>0.85</v>
      </c>
      <c r="M2842" s="380"/>
      <c r="N2842" s="381"/>
      <c r="O2842" s="238" t="s">
        <v>2636</v>
      </c>
      <c r="P2842" s="386" t="s">
        <v>2654</v>
      </c>
      <c r="Q2842" s="383"/>
      <c r="R2842" s="380"/>
    </row>
    <row r="2843" spans="6:18" ht="15.75">
      <c r="F2843" s="380"/>
      <c r="G2843" s="381"/>
      <c r="H2843" s="238" t="s">
        <v>2655</v>
      </c>
      <c r="I2843" s="380"/>
      <c r="J2843" s="383"/>
      <c r="K2843" s="236">
        <f>SUM(K2834:K2842)</f>
        <v>5279.1630000000005</v>
      </c>
      <c r="M2843" s="380"/>
      <c r="N2843" s="381"/>
      <c r="O2843" s="388" t="s">
        <v>21</v>
      </c>
      <c r="Q2843" s="383"/>
      <c r="R2843" s="380"/>
    </row>
    <row r="2844" spans="6:18" ht="15.75">
      <c r="F2844" s="380"/>
      <c r="G2844" s="381"/>
      <c r="H2844" s="380"/>
      <c r="I2844" s="380"/>
      <c r="J2844" s="383"/>
      <c r="K2844" s="388" t="s">
        <v>21</v>
      </c>
      <c r="M2844" s="380"/>
      <c r="N2844" s="381"/>
      <c r="O2844" s="238" t="s">
        <v>2656</v>
      </c>
      <c r="P2844" s="380"/>
      <c r="Q2844" s="383"/>
      <c r="R2844" s="380"/>
    </row>
    <row r="2845" spans="6:18" ht="15.75">
      <c r="F2845" s="380"/>
      <c r="G2845" s="381"/>
      <c r="H2845" s="238" t="s">
        <v>155</v>
      </c>
      <c r="I2845" s="380"/>
      <c r="J2845" s="383"/>
      <c r="K2845" s="236">
        <f>K2843/F2835</f>
        <v>2895.8656061437196</v>
      </c>
      <c r="M2845" s="380"/>
      <c r="N2845" s="381"/>
      <c r="O2845" s="238" t="s">
        <v>2657</v>
      </c>
      <c r="P2845" s="380"/>
      <c r="Q2845" s="383"/>
      <c r="R2845" s="380"/>
    </row>
    <row r="2846" spans="6:18" ht="15.75">
      <c r="F2846" s="238" t="s">
        <v>150</v>
      </c>
      <c r="G2846" s="381"/>
      <c r="H2846" s="380"/>
      <c r="I2846" s="380"/>
      <c r="J2846" s="383"/>
      <c r="K2846" s="380"/>
      <c r="M2846" s="380"/>
      <c r="N2846" s="381"/>
      <c r="O2846" s="380"/>
      <c r="P2846" s="380"/>
      <c r="Q2846" s="239" t="s">
        <v>21</v>
      </c>
      <c r="R2846" s="380"/>
    </row>
    <row r="2847" spans="6:18" ht="15.75">
      <c r="F2847" s="380"/>
      <c r="G2847" s="381"/>
      <c r="H2847" s="380"/>
      <c r="I2847" s="380"/>
      <c r="J2847" s="383"/>
      <c r="K2847" s="380"/>
      <c r="M2847" s="380"/>
      <c r="N2847" s="381"/>
      <c r="O2847" s="238" t="s">
        <v>2658</v>
      </c>
      <c r="P2847" s="380"/>
      <c r="Q2847" s="383"/>
      <c r="R2847" s="380"/>
    </row>
    <row r="2848" spans="6:18" ht="15.75">
      <c r="F2848" s="396" t="s">
        <v>2571</v>
      </c>
      <c r="G2848" s="381"/>
      <c r="H2848" s="238" t="s">
        <v>2659</v>
      </c>
      <c r="I2848" s="380"/>
      <c r="J2848" s="433"/>
      <c r="K2848" s="380"/>
      <c r="M2848" s="380"/>
      <c r="N2848" s="381"/>
      <c r="O2848" s="238" t="s">
        <v>2660</v>
      </c>
      <c r="P2848" s="380"/>
      <c r="Q2848" s="383"/>
      <c r="R2848" s="412">
        <v>2.8910000000000002E-2</v>
      </c>
    </row>
    <row r="2849" spans="6:18" ht="15.75">
      <c r="F2849" s="380"/>
      <c r="G2849" s="381"/>
      <c r="H2849" s="388" t="s">
        <v>21</v>
      </c>
      <c r="I2849" s="388" t="s">
        <v>21</v>
      </c>
      <c r="J2849" s="238" t="s">
        <v>21</v>
      </c>
      <c r="K2849" s="380"/>
      <c r="M2849" s="380"/>
      <c r="N2849" s="381"/>
      <c r="O2849" s="380"/>
      <c r="P2849" s="380"/>
      <c r="Q2849" s="239" t="s">
        <v>150</v>
      </c>
      <c r="R2849" s="388" t="s">
        <v>21</v>
      </c>
    </row>
    <row r="2850" spans="6:18" ht="15.75">
      <c r="F2850" s="380"/>
      <c r="G2850" s="381"/>
      <c r="H2850" s="380"/>
      <c r="I2850" s="380"/>
      <c r="J2850" s="433"/>
      <c r="K2850" s="380"/>
      <c r="M2850" s="380"/>
      <c r="N2850" s="381"/>
      <c r="O2850" s="238" t="s">
        <v>2661</v>
      </c>
      <c r="P2850" s="380"/>
      <c r="Q2850" s="416" t="s">
        <v>150</v>
      </c>
      <c r="R2850" s="412"/>
    </row>
    <row r="2851" spans="6:18" ht="15.75">
      <c r="F2851" s="380"/>
      <c r="G2851" s="381"/>
      <c r="H2851" s="238" t="s">
        <v>1804</v>
      </c>
      <c r="I2851" s="380"/>
      <c r="J2851" s="433"/>
      <c r="K2851" s="380"/>
      <c r="M2851" s="380"/>
      <c r="N2851" s="381"/>
      <c r="O2851" s="238" t="s">
        <v>2662</v>
      </c>
      <c r="P2851" s="380"/>
      <c r="Q2851" s="239" t="s">
        <v>150</v>
      </c>
      <c r="R2851" s="412">
        <v>1.7999999999999999E-2</v>
      </c>
    </row>
    <row r="2852" spans="6:18" ht="15.75">
      <c r="F2852" s="380"/>
      <c r="G2852" s="381"/>
      <c r="H2852" s="238"/>
      <c r="I2852" s="380"/>
      <c r="J2852" s="433"/>
      <c r="K2852" s="380"/>
      <c r="M2852" s="380"/>
      <c r="N2852" s="381"/>
      <c r="O2852" s="380"/>
      <c r="P2852" s="380"/>
      <c r="Q2852" s="383"/>
      <c r="R2852" s="388" t="s">
        <v>21</v>
      </c>
    </row>
    <row r="2853" spans="6:18" ht="15.75">
      <c r="F2853" s="380"/>
      <c r="G2853" s="381"/>
      <c r="H2853" s="434" t="s">
        <v>1806</v>
      </c>
      <c r="I2853" s="380"/>
      <c r="J2853" s="433"/>
      <c r="K2853" s="435"/>
      <c r="M2853" s="412">
        <v>1.9220000000000001E-2</v>
      </c>
      <c r="N2853" s="387" t="s">
        <v>151</v>
      </c>
      <c r="O2853" s="238" t="s">
        <v>1710</v>
      </c>
      <c r="P2853" s="236">
        <f>P2820</f>
        <v>111600</v>
      </c>
      <c r="Q2853" s="239" t="s">
        <v>151</v>
      </c>
      <c r="R2853" s="236">
        <f>(M2853*P2853)</f>
        <v>2144.9520000000002</v>
      </c>
    </row>
    <row r="2854" spans="6:18" ht="15.75">
      <c r="F2854" s="380"/>
      <c r="G2854" s="381"/>
      <c r="H2854" s="238" t="s">
        <v>1807</v>
      </c>
      <c r="I2854" s="436">
        <f>0.0118+0.00675</f>
        <v>1.8550000000000001E-2</v>
      </c>
      <c r="J2854" s="433"/>
      <c r="K2854" s="380"/>
      <c r="M2854" s="412">
        <f>R2848</f>
        <v>2.8910000000000002E-2</v>
      </c>
      <c r="N2854" s="387" t="s">
        <v>151</v>
      </c>
      <c r="O2854" s="238" t="s">
        <v>1711</v>
      </c>
      <c r="P2854" s="236">
        <f t="shared" ref="P2854:P2863" si="259">P2821</f>
        <v>99400</v>
      </c>
      <c r="Q2854" s="239" t="s">
        <v>151</v>
      </c>
      <c r="R2854" s="236">
        <f>(M2854*P2854)</f>
        <v>2873.654</v>
      </c>
    </row>
    <row r="2855" spans="6:18" ht="15.75">
      <c r="F2855" s="380"/>
      <c r="G2855" s="381"/>
      <c r="H2855" s="238" t="s">
        <v>1808</v>
      </c>
      <c r="I2855" s="380"/>
      <c r="J2855" s="433"/>
      <c r="K2855" s="380"/>
      <c r="M2855" s="412">
        <f>R2851</f>
        <v>1.7999999999999999E-2</v>
      </c>
      <c r="N2855" s="387" t="s">
        <v>151</v>
      </c>
      <c r="O2855" s="238" t="s">
        <v>1712</v>
      </c>
      <c r="P2855" s="236">
        <f t="shared" si="259"/>
        <v>95000</v>
      </c>
      <c r="Q2855" s="239" t="s">
        <v>151</v>
      </c>
      <c r="R2855" s="236">
        <f>(M2855*P2855)</f>
        <v>1709.9999999999998</v>
      </c>
    </row>
    <row r="2856" spans="6:18" ht="15.75">
      <c r="F2856" s="380"/>
      <c r="G2856" s="381"/>
      <c r="H2856" s="238" t="s">
        <v>1809</v>
      </c>
      <c r="I2856" s="380"/>
      <c r="J2856" s="433"/>
      <c r="K2856" s="380"/>
      <c r="M2856" s="428"/>
      <c r="N2856" s="381"/>
      <c r="O2856" s="238" t="s">
        <v>2647</v>
      </c>
      <c r="P2856" s="236"/>
      <c r="Q2856" s="383"/>
      <c r="R2856" s="236"/>
    </row>
    <row r="2857" spans="6:18" ht="15.75">
      <c r="F2857" s="380"/>
      <c r="G2857" s="381"/>
      <c r="H2857" s="238" t="s">
        <v>2573</v>
      </c>
      <c r="I2857" s="380"/>
      <c r="J2857" s="238" t="s">
        <v>150</v>
      </c>
      <c r="K2857" s="412">
        <v>3.7699999999999997E-2</v>
      </c>
      <c r="M2857" s="428">
        <v>2.2549999999999999</v>
      </c>
      <c r="N2857" s="387" t="s">
        <v>152</v>
      </c>
      <c r="O2857" s="238" t="s">
        <v>1708</v>
      </c>
      <c r="P2857" s="236">
        <f t="shared" si="259"/>
        <v>1617</v>
      </c>
      <c r="Q2857" s="239" t="s">
        <v>152</v>
      </c>
      <c r="R2857" s="236">
        <f t="shared" ref="R2857:R2863" si="260">(M2857*P2857)</f>
        <v>3646.335</v>
      </c>
    </row>
    <row r="2858" spans="6:18" ht="15.75">
      <c r="F2858" s="380"/>
      <c r="G2858" s="381"/>
      <c r="H2858" s="238" t="s">
        <v>2663</v>
      </c>
      <c r="I2858" s="380"/>
      <c r="J2858" s="434" t="s">
        <v>150</v>
      </c>
      <c r="K2858" s="434" t="s">
        <v>150</v>
      </c>
      <c r="M2858" s="236">
        <v>1</v>
      </c>
      <c r="N2858" s="387" t="s">
        <v>4</v>
      </c>
      <c r="O2858" s="238" t="s">
        <v>1709</v>
      </c>
      <c r="P2858" s="236">
        <f t="shared" si="259"/>
        <v>120</v>
      </c>
      <c r="Q2858" s="239" t="s">
        <v>153</v>
      </c>
      <c r="R2858" s="236">
        <f t="shared" si="260"/>
        <v>120</v>
      </c>
    </row>
    <row r="2859" spans="6:18" ht="15.75">
      <c r="F2859" s="380"/>
      <c r="G2859" s="381"/>
      <c r="H2859" s="238" t="s">
        <v>1814</v>
      </c>
      <c r="I2859" s="380"/>
      <c r="J2859" s="433"/>
      <c r="K2859" s="434" t="s">
        <v>150</v>
      </c>
      <c r="M2859" s="236">
        <v>3</v>
      </c>
      <c r="N2859" s="387" t="s">
        <v>153</v>
      </c>
      <c r="O2859" s="238" t="s">
        <v>391</v>
      </c>
      <c r="P2859" s="236">
        <f t="shared" si="259"/>
        <v>110.17</v>
      </c>
      <c r="Q2859" s="239" t="s">
        <v>153</v>
      </c>
      <c r="R2859" s="236">
        <f t="shared" si="260"/>
        <v>330.51</v>
      </c>
    </row>
    <row r="2860" spans="6:18" ht="15.75">
      <c r="F2860" s="380"/>
      <c r="G2860" s="381"/>
      <c r="H2860" s="238"/>
      <c r="I2860" s="380"/>
      <c r="J2860" s="433"/>
      <c r="K2860" s="434"/>
      <c r="M2860" s="236">
        <v>2</v>
      </c>
      <c r="N2860" s="387" t="s">
        <v>153</v>
      </c>
      <c r="O2860" s="238" t="s">
        <v>392</v>
      </c>
      <c r="P2860" s="236">
        <f t="shared" si="259"/>
        <v>160</v>
      </c>
      <c r="Q2860" s="239" t="s">
        <v>153</v>
      </c>
      <c r="R2860" s="236">
        <f t="shared" si="260"/>
        <v>320</v>
      </c>
    </row>
    <row r="2861" spans="6:18" ht="15.75">
      <c r="F2861" s="380"/>
      <c r="G2861" s="381"/>
      <c r="H2861" s="238"/>
      <c r="I2861" s="380"/>
      <c r="J2861" s="433"/>
      <c r="K2861" s="434"/>
      <c r="M2861" s="236">
        <v>1</v>
      </c>
      <c r="N2861" s="387" t="s">
        <v>153</v>
      </c>
      <c r="O2861" s="238" t="s">
        <v>393</v>
      </c>
      <c r="P2861" s="236">
        <f t="shared" si="259"/>
        <v>550</v>
      </c>
      <c r="Q2861" s="239" t="s">
        <v>153</v>
      </c>
      <c r="R2861" s="236">
        <f t="shared" si="260"/>
        <v>550</v>
      </c>
    </row>
    <row r="2862" spans="6:18" ht="15.75">
      <c r="F2862" s="380"/>
      <c r="G2862" s="381"/>
      <c r="H2862" s="380"/>
      <c r="I2862" s="380"/>
      <c r="J2862" s="433"/>
      <c r="K2862" s="380"/>
      <c r="M2862" s="236">
        <v>1</v>
      </c>
      <c r="N2862" s="387" t="s">
        <v>153</v>
      </c>
      <c r="O2862" s="238" t="s">
        <v>1713</v>
      </c>
      <c r="P2862" s="236">
        <f t="shared" si="259"/>
        <v>7.3</v>
      </c>
      <c r="Q2862" s="239" t="s">
        <v>153</v>
      </c>
      <c r="R2862" s="236">
        <f t="shared" si="260"/>
        <v>7.3</v>
      </c>
    </row>
    <row r="2863" spans="6:18" ht="15.75">
      <c r="F2863" s="437">
        <v>1.18E-2</v>
      </c>
      <c r="G2863" s="387" t="s">
        <v>151</v>
      </c>
      <c r="H2863" s="238" t="s">
        <v>877</v>
      </c>
      <c r="I2863" s="236">
        <f>I2813</f>
        <v>111600</v>
      </c>
      <c r="J2863" s="238" t="s">
        <v>151</v>
      </c>
      <c r="K2863" s="236">
        <f t="shared" ref="K2863:K2872" si="261">(F2863*I2863)</f>
        <v>1316.8799999999999</v>
      </c>
      <c r="M2863" s="236">
        <v>1</v>
      </c>
      <c r="N2863" s="387" t="s">
        <v>153</v>
      </c>
      <c r="O2863" s="238" t="s">
        <v>886</v>
      </c>
      <c r="P2863" s="236">
        <f t="shared" si="259"/>
        <v>43.8</v>
      </c>
      <c r="Q2863" s="239" t="s">
        <v>153</v>
      </c>
      <c r="R2863" s="236">
        <f t="shared" si="260"/>
        <v>43.8</v>
      </c>
    </row>
    <row r="2864" spans="6:18" ht="15.75">
      <c r="F2864" s="412">
        <v>6.7499999999999999E-3</v>
      </c>
      <c r="G2864" s="387" t="s">
        <v>151</v>
      </c>
      <c r="H2864" s="238" t="s">
        <v>878</v>
      </c>
      <c r="I2864" s="236">
        <f>I2814</f>
        <v>99400</v>
      </c>
      <c r="J2864" s="238" t="s">
        <v>151</v>
      </c>
      <c r="K2864" s="236">
        <f t="shared" si="261"/>
        <v>670.95</v>
      </c>
      <c r="M2864" s="380">
        <v>58</v>
      </c>
      <c r="N2864" s="387" t="s">
        <v>153</v>
      </c>
      <c r="O2864" s="380" t="s">
        <v>1734</v>
      </c>
      <c r="P2864" s="380">
        <f>P2831</f>
        <v>2.37</v>
      </c>
      <c r="Q2864" s="383" t="s">
        <v>153</v>
      </c>
      <c r="R2864" s="236">
        <f>(M2864*P2864)</f>
        <v>137.46</v>
      </c>
    </row>
    <row r="2865" spans="6:18" ht="15.75">
      <c r="F2865" s="412">
        <v>1.8550000000000001E-2</v>
      </c>
      <c r="G2865" s="387" t="s">
        <v>151</v>
      </c>
      <c r="H2865" s="238" t="s">
        <v>1815</v>
      </c>
      <c r="I2865" s="236">
        <f>C30</f>
        <v>14384.999999999998</v>
      </c>
      <c r="J2865" s="238" t="s">
        <v>151</v>
      </c>
      <c r="K2865" s="236">
        <f t="shared" si="261"/>
        <v>266.84174999999999</v>
      </c>
      <c r="M2865" s="380"/>
      <c r="N2865" s="381"/>
      <c r="O2865" s="238" t="s">
        <v>2664</v>
      </c>
      <c r="P2865" s="380"/>
      <c r="Q2865" s="383"/>
      <c r="R2865" s="236">
        <f>SUM(R2853:R2864)+21.502</f>
        <v>11905.512999999997</v>
      </c>
    </row>
    <row r="2866" spans="6:18" ht="15.75">
      <c r="F2866" s="412">
        <v>2.0499999999999998</v>
      </c>
      <c r="G2866" s="387" t="s">
        <v>152</v>
      </c>
      <c r="H2866" s="238" t="s">
        <v>2665</v>
      </c>
      <c r="I2866" s="236">
        <v>840</v>
      </c>
      <c r="J2866" s="238" t="s">
        <v>152</v>
      </c>
      <c r="K2866" s="236">
        <f t="shared" si="261"/>
        <v>1721.9999999999998</v>
      </c>
      <c r="M2866" s="380"/>
      <c r="N2866" s="381"/>
      <c r="O2866" s="380"/>
      <c r="P2866" s="380"/>
      <c r="Q2866" s="383"/>
      <c r="R2866" s="388" t="s">
        <v>21</v>
      </c>
    </row>
    <row r="2867" spans="6:18" ht="15.75">
      <c r="F2867" s="412">
        <v>2.0499999999999998</v>
      </c>
      <c r="G2867" s="387" t="s">
        <v>152</v>
      </c>
      <c r="H2867" s="438" t="s">
        <v>2666</v>
      </c>
      <c r="I2867" s="432">
        <v>248</v>
      </c>
      <c r="J2867" s="238" t="s">
        <v>152</v>
      </c>
      <c r="K2867" s="236">
        <f t="shared" si="261"/>
        <v>508.4</v>
      </c>
      <c r="M2867" s="380"/>
      <c r="N2867" s="381"/>
      <c r="O2867" s="238" t="s">
        <v>155</v>
      </c>
      <c r="P2867" s="380"/>
      <c r="Q2867" s="383"/>
      <c r="R2867" s="236">
        <f>R2865/M2857</f>
        <v>5279.6066518847001</v>
      </c>
    </row>
    <row r="2868" spans="6:18" ht="15.75">
      <c r="F2868" s="236">
        <v>2</v>
      </c>
      <c r="G2868" s="387" t="s">
        <v>153</v>
      </c>
      <c r="H2868" s="238" t="s">
        <v>2575</v>
      </c>
      <c r="I2868" s="236">
        <f>E285</f>
        <v>50.3</v>
      </c>
      <c r="J2868" s="238" t="s">
        <v>153</v>
      </c>
      <c r="K2868" s="236">
        <f t="shared" si="261"/>
        <v>100.6</v>
      </c>
    </row>
    <row r="2869" spans="6:18" ht="15.75">
      <c r="F2869" s="236">
        <v>8</v>
      </c>
      <c r="G2869" s="387" t="s">
        <v>153</v>
      </c>
      <c r="H2869" s="238" t="s">
        <v>1776</v>
      </c>
      <c r="I2869" s="236">
        <f>C282</f>
        <v>43.6</v>
      </c>
      <c r="J2869" s="238" t="s">
        <v>153</v>
      </c>
      <c r="K2869" s="236">
        <f t="shared" si="261"/>
        <v>348.8</v>
      </c>
    </row>
    <row r="2870" spans="6:18" ht="15.75">
      <c r="F2870" s="236">
        <v>2</v>
      </c>
      <c r="G2870" s="387" t="s">
        <v>153</v>
      </c>
      <c r="H2870" s="238" t="s">
        <v>2578</v>
      </c>
      <c r="I2870" s="236">
        <f>I1134</f>
        <v>53.8</v>
      </c>
      <c r="J2870" s="238" t="s">
        <v>153</v>
      </c>
      <c r="K2870" s="236">
        <f t="shared" si="261"/>
        <v>107.6</v>
      </c>
    </row>
    <row r="2871" spans="6:18" ht="15.75">
      <c r="F2871" s="236">
        <v>1</v>
      </c>
      <c r="G2871" s="387" t="s">
        <v>153</v>
      </c>
      <c r="H2871" s="238" t="s">
        <v>2667</v>
      </c>
      <c r="I2871" s="439">
        <f>I1135</f>
        <v>63.2</v>
      </c>
      <c r="J2871" s="238" t="s">
        <v>153</v>
      </c>
      <c r="K2871" s="236">
        <f t="shared" si="261"/>
        <v>63.2</v>
      </c>
    </row>
    <row r="2872" spans="6:18" ht="15.75">
      <c r="F2872" s="422">
        <v>0.94499999999999995</v>
      </c>
      <c r="G2872" s="387" t="s">
        <v>152</v>
      </c>
      <c r="H2872" s="238" t="s">
        <v>1821</v>
      </c>
      <c r="I2872" s="236">
        <f>K1167</f>
        <v>206.33800000000002</v>
      </c>
      <c r="J2872" s="238" t="s">
        <v>152</v>
      </c>
      <c r="K2872" s="236">
        <f t="shared" si="261"/>
        <v>194.98941000000002</v>
      </c>
    </row>
    <row r="2873" spans="6:18" ht="15.75">
      <c r="F2873" s="380"/>
      <c r="G2873" s="381"/>
      <c r="H2873" s="238" t="s">
        <v>1822</v>
      </c>
      <c r="I2873" s="239" t="s">
        <v>226</v>
      </c>
      <c r="J2873" s="433"/>
      <c r="K2873" s="236">
        <v>0.6</v>
      </c>
    </row>
    <row r="2874" spans="6:18" ht="15.75">
      <c r="F2874" s="380"/>
      <c r="G2874" s="381"/>
      <c r="H2874" s="386"/>
      <c r="I2874" s="386"/>
      <c r="J2874" s="440"/>
      <c r="K2874" s="393" t="s">
        <v>21</v>
      </c>
    </row>
    <row r="2875" spans="6:18" ht="15.75">
      <c r="F2875" s="380"/>
      <c r="G2875" s="381"/>
      <c r="H2875" s="441" t="s">
        <v>1823</v>
      </c>
      <c r="I2875" s="386"/>
      <c r="J2875" s="440"/>
      <c r="K2875" s="395">
        <f>SUM(K2863:K2873)</f>
        <v>5300.8611600000004</v>
      </c>
    </row>
    <row r="2876" spans="6:18" ht="15.75">
      <c r="F2876" s="380"/>
      <c r="G2876" s="387" t="s">
        <v>150</v>
      </c>
      <c r="H2876" s="386"/>
      <c r="I2876" s="386"/>
      <c r="J2876" s="440"/>
      <c r="K2876" s="393" t="s">
        <v>21</v>
      </c>
    </row>
    <row r="2877" spans="6:18" ht="15.75">
      <c r="F2877" s="380"/>
      <c r="G2877" s="381"/>
      <c r="H2877" s="441" t="s">
        <v>155</v>
      </c>
      <c r="I2877" s="386"/>
      <c r="J2877" s="440"/>
      <c r="K2877" s="395">
        <f>K2875/2.52</f>
        <v>2103.5163333333335</v>
      </c>
    </row>
    <row r="2878" spans="6:18" ht="15.75">
      <c r="F2878" s="380"/>
      <c r="G2878" s="381"/>
      <c r="H2878" s="386"/>
      <c r="I2878" s="386"/>
      <c r="J2878" s="440"/>
      <c r="K2878" s="393" t="s">
        <v>156</v>
      </c>
    </row>
    <row r="2879" spans="6:18" ht="15.75">
      <c r="F2879" s="380"/>
      <c r="G2879" s="381"/>
      <c r="H2879" s="380"/>
      <c r="I2879" s="380"/>
      <c r="J2879" s="383"/>
      <c r="K2879" s="380"/>
    </row>
    <row r="2880" spans="6:18" ht="15.75">
      <c r="F2880" s="380"/>
      <c r="G2880" s="381"/>
      <c r="H2880" s="380" t="s">
        <v>2668</v>
      </c>
      <c r="I2880" s="380"/>
      <c r="J2880" s="383"/>
      <c r="K2880" s="380"/>
    </row>
    <row r="2881" spans="6:11" ht="15.75">
      <c r="F2881" s="380"/>
      <c r="G2881" s="381"/>
      <c r="H2881" s="380" t="s">
        <v>2669</v>
      </c>
      <c r="I2881" s="380"/>
      <c r="J2881" s="383"/>
      <c r="K2881" s="380"/>
    </row>
    <row r="2882" spans="6:11" ht="15.75">
      <c r="F2882" s="380"/>
      <c r="G2882" s="381"/>
      <c r="H2882" s="380"/>
      <c r="I2882" s="380"/>
      <c r="J2882" s="383"/>
      <c r="K2882" s="380"/>
    </row>
    <row r="2883" spans="6:11" ht="15.75">
      <c r="F2883" s="380">
        <v>2</v>
      </c>
      <c r="G2883" s="381" t="s">
        <v>303</v>
      </c>
      <c r="H2883" s="380" t="s">
        <v>2670</v>
      </c>
      <c r="I2883" s="442">
        <v>64</v>
      </c>
      <c r="J2883" s="383" t="s">
        <v>303</v>
      </c>
      <c r="K2883" s="380">
        <f>F2883*I2883</f>
        <v>128</v>
      </c>
    </row>
    <row r="2884" spans="6:11" ht="15.75">
      <c r="F2884" s="380">
        <v>1</v>
      </c>
      <c r="G2884" s="381" t="s">
        <v>345</v>
      </c>
      <c r="H2884" s="380" t="s">
        <v>2671</v>
      </c>
      <c r="I2884" s="442">
        <f>C625</f>
        <v>33</v>
      </c>
      <c r="J2884" s="383" t="s">
        <v>340</v>
      </c>
      <c r="K2884" s="380">
        <f>F2884*I2884</f>
        <v>33</v>
      </c>
    </row>
    <row r="2885" spans="6:11" ht="15.75">
      <c r="F2885" s="380"/>
      <c r="G2885" s="381"/>
      <c r="H2885" s="380" t="s">
        <v>2672</v>
      </c>
      <c r="I2885" s="380"/>
      <c r="J2885" s="383" t="s">
        <v>226</v>
      </c>
      <c r="K2885" s="380">
        <v>1.4</v>
      </c>
    </row>
    <row r="2886" spans="6:11" ht="15.75">
      <c r="F2886" s="380"/>
      <c r="G2886" s="381"/>
      <c r="H2886" s="384" t="s">
        <v>2673</v>
      </c>
      <c r="I2886" s="380"/>
      <c r="J2886" s="383"/>
      <c r="K2886" s="380">
        <f>SUM(K2883:K2885)</f>
        <v>162.4</v>
      </c>
    </row>
    <row r="2887" spans="6:11" ht="15.75">
      <c r="F2887" s="380"/>
      <c r="G2887" s="381"/>
      <c r="H2887" s="380"/>
      <c r="I2887" s="380"/>
      <c r="J2887" s="383"/>
      <c r="K2887" s="380"/>
    </row>
    <row r="2888" spans="6:11" ht="15.75">
      <c r="F2888" s="380"/>
      <c r="G2888" s="381"/>
      <c r="H2888" s="385" t="s">
        <v>2674</v>
      </c>
      <c r="I2888" s="386"/>
      <c r="J2888" s="390"/>
      <c r="K2888" s="386">
        <f>K2886/2</f>
        <v>81.2</v>
      </c>
    </row>
    <row r="2889" spans="6:11" ht="15.75">
      <c r="F2889" s="380"/>
      <c r="G2889" s="381"/>
      <c r="H2889" s="380"/>
      <c r="I2889" s="380"/>
      <c r="J2889" s="383"/>
      <c r="K2889" s="380"/>
    </row>
    <row r="2890" spans="6:11" ht="15.75">
      <c r="F2890" s="380"/>
      <c r="G2890" s="381"/>
      <c r="H2890" s="380"/>
      <c r="I2890" s="380"/>
      <c r="J2890" s="383"/>
      <c r="K2890" s="380"/>
    </row>
    <row r="2891" spans="6:11" ht="15.75">
      <c r="F2891" s="380"/>
      <c r="G2891" s="381"/>
      <c r="H2891" s="380"/>
      <c r="I2891" s="380"/>
      <c r="J2891" s="383"/>
      <c r="K2891" s="380"/>
    </row>
    <row r="2892" spans="6:11" ht="15.75">
      <c r="F2892" s="380"/>
      <c r="G2892" s="381"/>
      <c r="H2892" s="380"/>
      <c r="I2892" s="380"/>
      <c r="J2892" s="383"/>
      <c r="K2892" s="380"/>
    </row>
    <row r="2893" spans="6:11" ht="47.25">
      <c r="F2893" s="380"/>
      <c r="G2893" s="381"/>
      <c r="H2893" s="443" t="s">
        <v>2675</v>
      </c>
      <c r="I2893" s="380"/>
      <c r="J2893" s="383"/>
      <c r="K2893" s="380"/>
    </row>
    <row r="2894" spans="6:11" ht="15.75">
      <c r="F2894" s="239"/>
      <c r="G2894" s="387" t="s">
        <v>249</v>
      </c>
      <c r="H2894" s="238" t="s">
        <v>1127</v>
      </c>
      <c r="I2894" s="380"/>
      <c r="J2894" s="383"/>
      <c r="K2894" s="380"/>
    </row>
    <row r="2895" spans="6:11" ht="15.75">
      <c r="F2895" s="380"/>
      <c r="G2895" s="381"/>
      <c r="H2895" s="238" t="s">
        <v>920</v>
      </c>
      <c r="I2895" s="380"/>
      <c r="J2895" s="383"/>
      <c r="K2895" s="380"/>
    </row>
    <row r="2896" spans="6:11" ht="15.75">
      <c r="F2896" s="380"/>
      <c r="G2896" s="381"/>
      <c r="H2896" s="388" t="s">
        <v>21</v>
      </c>
      <c r="I2896" s="380"/>
      <c r="J2896" s="383"/>
      <c r="K2896" s="380"/>
    </row>
    <row r="2897" spans="6:11" ht="15.75">
      <c r="F2897" s="236">
        <v>9</v>
      </c>
      <c r="G2897" s="387" t="s">
        <v>151</v>
      </c>
      <c r="H2897" s="238" t="s">
        <v>1132</v>
      </c>
      <c r="I2897" s="236">
        <f t="shared" ref="I2897:I2902" si="262">I503</f>
        <v>1617.4499999999998</v>
      </c>
      <c r="J2897" s="239" t="s">
        <v>151</v>
      </c>
      <c r="K2897" s="236">
        <f t="shared" ref="K2897:K2902" si="263">(F2897*I2897)</f>
        <v>14557.05</v>
      </c>
    </row>
    <row r="2898" spans="6:11" ht="15.75">
      <c r="F2898" s="422">
        <v>3.2309999999999999</v>
      </c>
      <c r="G2898" s="387" t="s">
        <v>251</v>
      </c>
      <c r="H2898" s="238" t="s">
        <v>252</v>
      </c>
      <c r="I2898" s="236">
        <f t="shared" si="262"/>
        <v>5800</v>
      </c>
      <c r="J2898" s="239" t="s">
        <v>251</v>
      </c>
      <c r="K2898" s="236">
        <f t="shared" si="263"/>
        <v>18739.8</v>
      </c>
    </row>
    <row r="2899" spans="6:11" ht="15.75">
      <c r="F2899" s="236">
        <v>4.5</v>
      </c>
      <c r="G2899" s="387" t="s">
        <v>151</v>
      </c>
      <c r="H2899" s="238" t="s">
        <v>253</v>
      </c>
      <c r="I2899" s="236">
        <f t="shared" si="262"/>
        <v>2116.9</v>
      </c>
      <c r="J2899" s="239" t="s">
        <v>151</v>
      </c>
      <c r="K2899" s="236">
        <f t="shared" si="263"/>
        <v>9526.0500000000011</v>
      </c>
    </row>
    <row r="2900" spans="6:11" ht="15.75">
      <c r="F2900" s="236">
        <v>3.5</v>
      </c>
      <c r="G2900" s="387" t="s">
        <v>153</v>
      </c>
      <c r="H2900" s="238" t="s">
        <v>234</v>
      </c>
      <c r="I2900" s="236">
        <f t="shared" si="262"/>
        <v>1005.1999999999999</v>
      </c>
      <c r="J2900" s="239" t="s">
        <v>153</v>
      </c>
      <c r="K2900" s="236">
        <f t="shared" si="263"/>
        <v>3518.2</v>
      </c>
    </row>
    <row r="2901" spans="6:11" ht="15.75">
      <c r="F2901" s="236">
        <v>21.2</v>
      </c>
      <c r="G2901" s="387" t="s">
        <v>153</v>
      </c>
      <c r="H2901" s="238" t="s">
        <v>235</v>
      </c>
      <c r="I2901" s="236">
        <f t="shared" si="262"/>
        <v>702.8</v>
      </c>
      <c r="J2901" s="239" t="s">
        <v>153</v>
      </c>
      <c r="K2901" s="236">
        <f t="shared" si="263"/>
        <v>14899.359999999999</v>
      </c>
    </row>
    <row r="2902" spans="6:11" ht="15.75">
      <c r="F2902" s="236">
        <v>35.299999999999997</v>
      </c>
      <c r="G2902" s="387" t="s">
        <v>153</v>
      </c>
      <c r="H2902" s="238" t="s">
        <v>236</v>
      </c>
      <c r="I2902" s="236">
        <f t="shared" si="262"/>
        <v>576.79999999999995</v>
      </c>
      <c r="J2902" s="239" t="s">
        <v>153</v>
      </c>
      <c r="K2902" s="236">
        <f t="shared" si="263"/>
        <v>20361.039999999997</v>
      </c>
    </row>
    <row r="2903" spans="6:11" ht="15.75">
      <c r="F2903" s="380"/>
      <c r="G2903" s="387" t="s">
        <v>226</v>
      </c>
      <c r="H2903" s="238" t="s">
        <v>237</v>
      </c>
      <c r="I2903" s="238" t="s">
        <v>150</v>
      </c>
      <c r="J2903" s="239" t="s">
        <v>226</v>
      </c>
      <c r="K2903" s="236">
        <v>0</v>
      </c>
    </row>
    <row r="2904" spans="6:11" ht="15.75">
      <c r="F2904" s="380"/>
      <c r="G2904" s="381"/>
      <c r="H2904" s="380"/>
      <c r="I2904" s="380"/>
      <c r="J2904" s="383"/>
      <c r="K2904" s="388" t="s">
        <v>21</v>
      </c>
    </row>
    <row r="2905" spans="6:11" ht="15.75">
      <c r="F2905" s="380"/>
      <c r="G2905" s="381"/>
      <c r="H2905" s="238" t="s">
        <v>935</v>
      </c>
      <c r="I2905" s="380"/>
      <c r="J2905" s="383"/>
      <c r="K2905" s="236">
        <f>SUM(K2897:K2903)</f>
        <v>81601.5</v>
      </c>
    </row>
    <row r="2906" spans="6:11" ht="15.75">
      <c r="F2906" s="380"/>
      <c r="G2906" s="381"/>
      <c r="H2906" s="380"/>
      <c r="I2906" s="380"/>
      <c r="J2906" s="383"/>
      <c r="K2906" s="388" t="s">
        <v>21</v>
      </c>
    </row>
    <row r="2907" spans="6:11" ht="15.75">
      <c r="F2907" s="380"/>
      <c r="G2907" s="381"/>
      <c r="H2907" s="238" t="s">
        <v>270</v>
      </c>
      <c r="I2907" s="380"/>
      <c r="J2907" s="383"/>
      <c r="K2907" s="236">
        <f>(K2905/10)</f>
        <v>8160.15</v>
      </c>
    </row>
    <row r="2908" spans="6:11" ht="15.75">
      <c r="F2908" s="380"/>
      <c r="G2908" s="381"/>
      <c r="H2908" s="380"/>
      <c r="I2908" s="380"/>
      <c r="J2908" s="383"/>
      <c r="K2908" s="380"/>
    </row>
    <row r="2909" spans="6:11" ht="15.75">
      <c r="F2909" s="236">
        <v>1</v>
      </c>
      <c r="G2909" s="387" t="s">
        <v>151</v>
      </c>
      <c r="H2909" s="238" t="s">
        <v>943</v>
      </c>
      <c r="I2909" s="380"/>
      <c r="J2909" s="383"/>
      <c r="K2909" s="236"/>
    </row>
    <row r="2910" spans="6:11" ht="15.75">
      <c r="F2910" s="380"/>
      <c r="G2910" s="381"/>
      <c r="H2910" s="380"/>
      <c r="I2910" s="380"/>
      <c r="J2910" s="383"/>
      <c r="K2910" s="388" t="s">
        <v>21</v>
      </c>
    </row>
    <row r="2911" spans="6:11" ht="15.75">
      <c r="F2911" s="380"/>
      <c r="G2911" s="381"/>
      <c r="H2911" s="238" t="s">
        <v>2676</v>
      </c>
      <c r="I2911" s="380"/>
      <c r="J2911" s="383"/>
      <c r="K2911" s="236">
        <f>SUM(K2907:K2909)</f>
        <v>8160.15</v>
      </c>
    </row>
    <row r="2912" spans="6:11" ht="15.75">
      <c r="F2912" s="380"/>
      <c r="G2912" s="381"/>
      <c r="H2912" s="380"/>
      <c r="I2912" s="380"/>
      <c r="J2912" s="383"/>
      <c r="K2912" s="388" t="s">
        <v>21</v>
      </c>
    </row>
    <row r="2913" spans="6:16" ht="15.75">
      <c r="F2913" s="380"/>
      <c r="G2913" s="387" t="s">
        <v>1149</v>
      </c>
      <c r="H2913" s="238" t="s">
        <v>271</v>
      </c>
      <c r="I2913" s="380"/>
      <c r="J2913" s="383"/>
      <c r="K2913" s="236">
        <f>K2911+C22</f>
        <v>8286.01</v>
      </c>
    </row>
    <row r="2914" spans="6:16" ht="15.75">
      <c r="F2914" s="380"/>
      <c r="G2914" s="387" t="s">
        <v>1151</v>
      </c>
      <c r="H2914" s="238" t="s">
        <v>272</v>
      </c>
      <c r="I2914" s="380"/>
      <c r="J2914" s="383"/>
      <c r="K2914" s="236">
        <f>K2913+C23</f>
        <v>8533.81</v>
      </c>
    </row>
    <row r="2915" spans="6:16" ht="15.75">
      <c r="F2915" s="380"/>
      <c r="G2915" s="387" t="s">
        <v>1153</v>
      </c>
      <c r="H2915" s="238" t="s">
        <v>767</v>
      </c>
      <c r="I2915" s="380"/>
      <c r="J2915" s="383"/>
      <c r="K2915" s="236">
        <f>K2914+C23</f>
        <v>8781.6099999999988</v>
      </c>
    </row>
    <row r="2916" spans="6:16" ht="15.75">
      <c r="F2916" s="380"/>
      <c r="G2916" s="387" t="s">
        <v>1155</v>
      </c>
      <c r="H2916" s="238" t="s">
        <v>769</v>
      </c>
      <c r="I2916" s="380"/>
      <c r="J2916" s="383"/>
      <c r="K2916" s="236">
        <f>K2915+C23</f>
        <v>9029.409999999998</v>
      </c>
    </row>
    <row r="2917" spans="6:16" ht="15.75">
      <c r="F2917" s="380"/>
      <c r="G2917" s="381"/>
      <c r="H2917" s="380"/>
      <c r="I2917" s="380"/>
      <c r="J2917" s="383"/>
      <c r="K2917" s="380"/>
    </row>
    <row r="2918" spans="6:16" ht="15.75">
      <c r="F2918" s="380"/>
      <c r="G2918" s="385"/>
      <c r="H2918" s="443"/>
      <c r="I2918" s="380"/>
      <c r="J2918" s="433"/>
      <c r="K2918" s="380"/>
    </row>
    <row r="2919" spans="6:16" ht="15.75">
      <c r="F2919" s="380"/>
      <c r="G2919" s="381"/>
      <c r="H2919" s="386" t="s">
        <v>2677</v>
      </c>
      <c r="I2919" s="380"/>
      <c r="J2919" s="433"/>
      <c r="K2919" s="380"/>
    </row>
    <row r="2920" spans="6:16" ht="15.75">
      <c r="F2920" s="380"/>
      <c r="G2920" s="381"/>
      <c r="H2920" s="380"/>
      <c r="I2920" s="380"/>
      <c r="J2920" s="433"/>
      <c r="K2920" s="380"/>
    </row>
    <row r="2921" spans="6:16" ht="15.75">
      <c r="F2921" s="435"/>
      <c r="G2921" s="381"/>
      <c r="H2921" s="380" t="s">
        <v>2678</v>
      </c>
      <c r="I2921" s="380"/>
      <c r="J2921" s="381"/>
      <c r="K2921" s="380"/>
    </row>
    <row r="2922" spans="6:16" ht="15.75">
      <c r="F2922" s="399"/>
      <c r="G2922" s="381"/>
      <c r="H2922" s="380" t="s">
        <v>2679</v>
      </c>
      <c r="I2922" s="380"/>
      <c r="J2922" s="381"/>
      <c r="K2922" s="380"/>
    </row>
    <row r="2923" spans="6:16" ht="15.75">
      <c r="F2923" s="380"/>
      <c r="G2923" s="381"/>
      <c r="H2923" s="433" t="s">
        <v>2680</v>
      </c>
      <c r="I2923" s="380"/>
      <c r="J2923" s="384"/>
      <c r="K2923" s="380"/>
      <c r="P2923" s="52">
        <f>0.35*4</f>
        <v>1.4</v>
      </c>
    </row>
    <row r="2924" spans="6:16" ht="15.75">
      <c r="F2924" s="380"/>
      <c r="G2924" s="381"/>
      <c r="H2924" s="390" t="s">
        <v>2681</v>
      </c>
      <c r="I2924" s="386"/>
      <c r="J2924" s="385"/>
      <c r="K2924" s="386"/>
      <c r="P2924" s="52">
        <f>0.3*4</f>
        <v>1.2</v>
      </c>
    </row>
    <row r="2925" spans="6:16" ht="15.75">
      <c r="F2925" s="380"/>
      <c r="G2925" s="381"/>
      <c r="H2925" s="380" t="s">
        <v>2682</v>
      </c>
      <c r="I2925" s="380"/>
      <c r="J2925" s="433"/>
      <c r="K2925" s="380"/>
      <c r="P2925" s="52">
        <f>1.28*2</f>
        <v>2.56</v>
      </c>
    </row>
    <row r="2926" spans="6:16" ht="15.75">
      <c r="F2926" s="380"/>
      <c r="G2926" s="381"/>
      <c r="H2926" s="386" t="s">
        <v>2683</v>
      </c>
      <c r="I2926" s="380"/>
      <c r="J2926" s="433"/>
      <c r="K2926" s="380"/>
      <c r="P2926" s="52" t="s">
        <v>2684</v>
      </c>
    </row>
    <row r="2927" spans="6:16" ht="15.75">
      <c r="F2927" s="435">
        <v>3.5999999999999997E-2</v>
      </c>
      <c r="G2927" s="381" t="s">
        <v>313</v>
      </c>
      <c r="H2927" s="380" t="s">
        <v>2685</v>
      </c>
      <c r="I2927" s="380">
        <f>K2913</f>
        <v>8286.01</v>
      </c>
      <c r="J2927" s="381" t="s">
        <v>313</v>
      </c>
      <c r="K2927" s="380">
        <f>F2927*I2927</f>
        <v>298.29635999999999</v>
      </c>
    </row>
    <row r="2928" spans="6:16" ht="15.75">
      <c r="F2928" s="399">
        <v>3.0649999999999999</v>
      </c>
      <c r="G2928" s="381" t="s">
        <v>534</v>
      </c>
      <c r="H2928" s="444" t="s">
        <v>2686</v>
      </c>
      <c r="I2928" s="380">
        <f>K1582/1000</f>
        <v>80.278399999999991</v>
      </c>
      <c r="J2928" s="381" t="s">
        <v>534</v>
      </c>
      <c r="K2928" s="380">
        <f>F2928*I2928</f>
        <v>246.05329599999996</v>
      </c>
    </row>
    <row r="2929" spans="6:11" ht="15.75">
      <c r="F2929" s="399">
        <v>0.79800000000000004</v>
      </c>
      <c r="G2929" s="381" t="s">
        <v>533</v>
      </c>
      <c r="H2929" s="380" t="s">
        <v>2687</v>
      </c>
      <c r="I2929" s="380">
        <f>I2358</f>
        <v>1200.9554639999997</v>
      </c>
      <c r="J2929" s="381" t="s">
        <v>533</v>
      </c>
      <c r="K2929" s="380">
        <f>F2929*I2929</f>
        <v>958.36246027199979</v>
      </c>
    </row>
    <row r="2930" spans="6:11" ht="15.75">
      <c r="F2930" s="380"/>
      <c r="G2930" s="381"/>
      <c r="H2930" s="385" t="s">
        <v>2688</v>
      </c>
      <c r="I2930" s="386"/>
      <c r="J2930" s="385" t="s">
        <v>2597</v>
      </c>
      <c r="K2930" s="386">
        <f>SUM(K2927:K2929)</f>
        <v>1502.7121162719998</v>
      </c>
    </row>
    <row r="2931" spans="6:11" ht="15.75">
      <c r="F2931" s="435"/>
      <c r="G2931" s="381"/>
      <c r="H2931" s="385" t="s">
        <v>2381</v>
      </c>
      <c r="I2931" s="380"/>
      <c r="J2931" s="385" t="s">
        <v>2597</v>
      </c>
      <c r="K2931" s="386">
        <f>K2930/2.1</f>
        <v>715.57719822476179</v>
      </c>
    </row>
    <row r="2932" spans="6:11" ht="15.75">
      <c r="F2932" s="399"/>
      <c r="G2932" s="381"/>
      <c r="H2932" s="380"/>
      <c r="I2932" s="380"/>
      <c r="J2932" s="381"/>
      <c r="K2932" s="380"/>
    </row>
    <row r="2933" spans="6:11" ht="15.75">
      <c r="F2933" s="380"/>
      <c r="G2933" s="381"/>
      <c r="H2933" s="384"/>
      <c r="I2933" s="380"/>
      <c r="J2933" s="384"/>
      <c r="K2933" s="380"/>
    </row>
    <row r="2934" spans="6:11" ht="15.75">
      <c r="F2934" s="380"/>
      <c r="G2934" s="381"/>
      <c r="H2934" s="385"/>
      <c r="I2934" s="386"/>
      <c r="J2934" s="385"/>
      <c r="K2934" s="386"/>
    </row>
    <row r="2935" spans="6:11" ht="15.75">
      <c r="F2935" s="380"/>
      <c r="G2935" s="381"/>
      <c r="H2935" s="386" t="s">
        <v>2689</v>
      </c>
      <c r="I2935" s="380"/>
      <c r="J2935" s="433"/>
      <c r="K2935" s="380"/>
    </row>
    <row r="2936" spans="6:11" ht="15.75">
      <c r="F2936" s="435">
        <v>3.5999999999999997E-2</v>
      </c>
      <c r="G2936" s="381" t="s">
        <v>313</v>
      </c>
      <c r="H2936" s="380" t="s">
        <v>2685</v>
      </c>
      <c r="I2936" s="380">
        <f>K2914</f>
        <v>8533.81</v>
      </c>
      <c r="J2936" s="381" t="s">
        <v>313</v>
      </c>
      <c r="K2936" s="380">
        <f>F2936*I2936</f>
        <v>307.21715999999998</v>
      </c>
    </row>
    <row r="2937" spans="6:11" ht="15.75">
      <c r="F2937" s="399">
        <v>3.0649999999999999</v>
      </c>
      <c r="G2937" s="381" t="s">
        <v>534</v>
      </c>
      <c r="H2937" s="444" t="s">
        <v>2686</v>
      </c>
      <c r="I2937" s="380">
        <f>K1582/1000</f>
        <v>80.278399999999991</v>
      </c>
      <c r="J2937" s="381" t="s">
        <v>534</v>
      </c>
      <c r="K2937" s="380">
        <f>F2937*I2937</f>
        <v>246.05329599999996</v>
      </c>
    </row>
    <row r="2938" spans="6:11" ht="15.75">
      <c r="F2938" s="399">
        <v>0.79800000000000004</v>
      </c>
      <c r="G2938" s="381" t="s">
        <v>533</v>
      </c>
      <c r="H2938" s="380" t="s">
        <v>2687</v>
      </c>
      <c r="I2938" s="380">
        <f>I2358</f>
        <v>1200.9554639999997</v>
      </c>
      <c r="J2938" s="381" t="s">
        <v>533</v>
      </c>
      <c r="K2938" s="380">
        <f>F2938*I2938</f>
        <v>958.36246027199979</v>
      </c>
    </row>
    <row r="2939" spans="6:11" ht="15.75">
      <c r="F2939" s="380"/>
      <c r="G2939" s="381"/>
      <c r="H2939" s="385" t="s">
        <v>2688</v>
      </c>
      <c r="I2939" s="386"/>
      <c r="J2939" s="385" t="s">
        <v>2597</v>
      </c>
      <c r="K2939" s="386">
        <f>SUM(K2936:K2938)</f>
        <v>1511.6329162719999</v>
      </c>
    </row>
    <row r="2940" spans="6:11" ht="15.75">
      <c r="F2940" s="435"/>
      <c r="G2940" s="381"/>
      <c r="H2940" s="385" t="s">
        <v>2381</v>
      </c>
      <c r="I2940" s="380"/>
      <c r="J2940" s="385" t="s">
        <v>2597</v>
      </c>
      <c r="K2940" s="386">
        <f>K2939/2.1</f>
        <v>719.82519822476183</v>
      </c>
    </row>
    <row r="2941" spans="6:11" ht="15.75">
      <c r="F2941" s="399"/>
      <c r="G2941" s="381"/>
      <c r="H2941" s="380"/>
      <c r="I2941" s="380"/>
      <c r="J2941" s="381"/>
      <c r="K2941" s="380"/>
    </row>
    <row r="2942" spans="6:11" ht="15.75">
      <c r="F2942" s="380"/>
      <c r="G2942" s="381"/>
      <c r="H2942" s="380"/>
      <c r="I2942" s="380"/>
      <c r="J2942" s="433"/>
      <c r="K2942" s="380"/>
    </row>
    <row r="2943" spans="6:11" ht="15.75">
      <c r="F2943" s="380"/>
      <c r="G2943" s="381"/>
      <c r="H2943" s="380"/>
      <c r="I2943" s="380"/>
      <c r="J2943" s="433"/>
      <c r="K2943" s="380"/>
    </row>
    <row r="2944" spans="6:11" ht="15.75">
      <c r="F2944" s="380"/>
      <c r="G2944" s="381"/>
      <c r="H2944" s="380"/>
      <c r="I2944" s="380"/>
      <c r="J2944" s="433"/>
      <c r="K2944" s="380"/>
    </row>
    <row r="2945" spans="6:11" ht="15.75">
      <c r="F2945" s="380"/>
      <c r="G2945" s="381"/>
      <c r="H2945" s="386" t="s">
        <v>2690</v>
      </c>
      <c r="I2945" s="380"/>
      <c r="J2945" s="433"/>
      <c r="K2945" s="380"/>
    </row>
    <row r="2946" spans="6:11" ht="15.75">
      <c r="F2946" s="435">
        <v>3.5999999999999997E-2</v>
      </c>
      <c r="G2946" s="381" t="s">
        <v>313</v>
      </c>
      <c r="H2946" s="380" t="s">
        <v>2685</v>
      </c>
      <c r="I2946" s="380">
        <f>K2915</f>
        <v>8781.6099999999988</v>
      </c>
      <c r="J2946" s="381" t="s">
        <v>313</v>
      </c>
      <c r="K2946" s="380">
        <f>F2946*I2946</f>
        <v>316.13795999999991</v>
      </c>
    </row>
    <row r="2947" spans="6:11" ht="15.75">
      <c r="F2947" s="399">
        <v>3.0649999999999999</v>
      </c>
      <c r="G2947" s="381" t="s">
        <v>534</v>
      </c>
      <c r="H2947" s="444" t="s">
        <v>2686</v>
      </c>
      <c r="I2947" s="380">
        <f>I2928</f>
        <v>80.278399999999991</v>
      </c>
      <c r="J2947" s="381" t="s">
        <v>534</v>
      </c>
      <c r="K2947" s="380">
        <f>F2947*I2947</f>
        <v>246.05329599999996</v>
      </c>
    </row>
    <row r="2948" spans="6:11" ht="15.75">
      <c r="F2948" s="399">
        <v>0.79800000000000004</v>
      </c>
      <c r="G2948" s="381" t="s">
        <v>533</v>
      </c>
      <c r="H2948" s="380" t="s">
        <v>2687</v>
      </c>
      <c r="I2948" s="380">
        <f>I2929</f>
        <v>1200.9554639999997</v>
      </c>
      <c r="J2948" s="381" t="s">
        <v>533</v>
      </c>
      <c r="K2948" s="380">
        <f>F2948*I2948</f>
        <v>958.36246027199979</v>
      </c>
    </row>
    <row r="2949" spans="6:11" ht="15.75">
      <c r="F2949" s="380"/>
      <c r="G2949" s="381"/>
      <c r="H2949" s="385" t="s">
        <v>2688</v>
      </c>
      <c r="I2949" s="386"/>
      <c r="J2949" s="385" t="s">
        <v>2597</v>
      </c>
      <c r="K2949" s="386">
        <f>SUM(K2946:K2948)</f>
        <v>1520.5537162719997</v>
      </c>
    </row>
    <row r="2950" spans="6:11" ht="15.75">
      <c r="F2950" s="435"/>
      <c r="G2950" s="381"/>
      <c r="H2950" s="385" t="s">
        <v>2381</v>
      </c>
      <c r="I2950" s="380"/>
      <c r="J2950" s="385" t="s">
        <v>2597</v>
      </c>
      <c r="K2950" s="386">
        <f>K2949/2.1</f>
        <v>724.07319822476177</v>
      </c>
    </row>
    <row r="2951" spans="6:11" ht="15.75">
      <c r="F2951" s="399"/>
      <c r="G2951" s="381"/>
      <c r="H2951" s="380"/>
      <c r="I2951" s="380"/>
      <c r="J2951" s="381"/>
      <c r="K2951" s="380"/>
    </row>
    <row r="2952" spans="6:11" ht="15.75">
      <c r="F2952" s="380"/>
      <c r="G2952" s="381"/>
      <c r="H2952" s="380"/>
      <c r="I2952" s="380"/>
      <c r="J2952" s="433"/>
      <c r="K2952" s="380"/>
    </row>
    <row r="2953" spans="6:11" ht="15.75">
      <c r="F2953" s="380"/>
      <c r="G2953" s="381"/>
      <c r="H2953" s="380"/>
      <c r="I2953" s="380"/>
      <c r="J2953" s="433"/>
      <c r="K2953" s="380"/>
    </row>
    <row r="2954" spans="6:11" ht="15.75">
      <c r="F2954" s="380"/>
      <c r="G2954" s="381"/>
      <c r="H2954" s="386" t="s">
        <v>2691</v>
      </c>
      <c r="I2954" s="380"/>
      <c r="J2954" s="433"/>
      <c r="K2954" s="380"/>
    </row>
    <row r="2955" spans="6:11" ht="15.75">
      <c r="F2955" s="435">
        <v>3.5999999999999997E-2</v>
      </c>
      <c r="G2955" s="381" t="s">
        <v>313</v>
      </c>
      <c r="H2955" s="380" t="s">
        <v>2685</v>
      </c>
      <c r="I2955" s="380">
        <f>K2916</f>
        <v>9029.409999999998</v>
      </c>
      <c r="J2955" s="381" t="s">
        <v>313</v>
      </c>
      <c r="K2955" s="380">
        <f>F2955*I2955</f>
        <v>325.05875999999989</v>
      </c>
    </row>
    <row r="2956" spans="6:11" ht="15.75">
      <c r="F2956" s="399">
        <v>3.0649999999999999</v>
      </c>
      <c r="G2956" s="381" t="s">
        <v>534</v>
      </c>
      <c r="H2956" s="444" t="s">
        <v>2686</v>
      </c>
      <c r="I2956" s="380">
        <f>I2947</f>
        <v>80.278399999999991</v>
      </c>
      <c r="J2956" s="381" t="s">
        <v>534</v>
      </c>
      <c r="K2956" s="380">
        <f>F2956*I2956</f>
        <v>246.05329599999996</v>
      </c>
    </row>
    <row r="2957" spans="6:11" ht="15.75">
      <c r="F2957" s="399">
        <v>0.79800000000000004</v>
      </c>
      <c r="G2957" s="381" t="s">
        <v>533</v>
      </c>
      <c r="H2957" s="380" t="s">
        <v>2687</v>
      </c>
      <c r="I2957" s="380">
        <f>I2948</f>
        <v>1200.9554639999997</v>
      </c>
      <c r="J2957" s="381" t="s">
        <v>533</v>
      </c>
      <c r="K2957" s="380">
        <f>F2957*I2957</f>
        <v>958.36246027199979</v>
      </c>
    </row>
    <row r="2958" spans="6:11" ht="15.75">
      <c r="F2958" s="380"/>
      <c r="G2958" s="381"/>
      <c r="H2958" s="385" t="s">
        <v>2688</v>
      </c>
      <c r="I2958" s="386"/>
      <c r="J2958" s="385" t="s">
        <v>2597</v>
      </c>
      <c r="K2958" s="386">
        <f>SUM(K2955:K2957)</f>
        <v>1529.4745162719996</v>
      </c>
    </row>
    <row r="2959" spans="6:11" ht="15.75">
      <c r="F2959" s="435"/>
      <c r="G2959" s="381"/>
      <c r="H2959" s="385" t="s">
        <v>2381</v>
      </c>
      <c r="I2959" s="380"/>
      <c r="J2959" s="385" t="s">
        <v>2597</v>
      </c>
      <c r="K2959" s="386">
        <f>K2958/2.1</f>
        <v>728.3211982247617</v>
      </c>
    </row>
    <row r="2960" spans="6:11" ht="15.75">
      <c r="F2960" s="399"/>
      <c r="G2960" s="381"/>
      <c r="H2960" s="380"/>
      <c r="I2960" s="380"/>
      <c r="J2960" s="381"/>
      <c r="K2960" s="380"/>
    </row>
    <row r="2961" spans="6:15" ht="15.75">
      <c r="F2961" s="380"/>
      <c r="G2961" s="381"/>
      <c r="H2961" s="380"/>
      <c r="I2961" s="380"/>
      <c r="J2961" s="383"/>
      <c r="K2961" s="380"/>
    </row>
    <row r="2962" spans="6:15" ht="15.75">
      <c r="F2962" s="380"/>
      <c r="G2962" s="381"/>
      <c r="H2962" s="380"/>
      <c r="I2962" s="380"/>
      <c r="J2962" s="383"/>
      <c r="K2962" s="380"/>
    </row>
    <row r="2963" spans="6:15" ht="15.75">
      <c r="F2963" s="380"/>
      <c r="G2963" s="381"/>
      <c r="H2963" s="380"/>
      <c r="I2963" s="380">
        <f>160*10.76</f>
        <v>1721.6</v>
      </c>
      <c r="J2963" s="383"/>
      <c r="K2963" s="380"/>
    </row>
    <row r="2964" spans="6:15" ht="15.75">
      <c r="F2964" s="239" t="s">
        <v>1693</v>
      </c>
      <c r="G2964" s="387" t="s">
        <v>249</v>
      </c>
      <c r="H2964" s="238" t="s">
        <v>2649</v>
      </c>
      <c r="I2964" s="380">
        <f>148*10.76</f>
        <v>1592.48</v>
      </c>
      <c r="J2964" s="383"/>
      <c r="K2964" s="380"/>
    </row>
    <row r="2965" spans="6:15" ht="15.75">
      <c r="F2965" s="380"/>
      <c r="G2965" s="381"/>
      <c r="H2965" s="238" t="s">
        <v>1695</v>
      </c>
      <c r="I2965" s="380"/>
      <c r="J2965" s="383"/>
      <c r="K2965" s="380"/>
    </row>
    <row r="2966" spans="6:15" ht="15.75">
      <c r="F2966" s="380"/>
      <c r="G2966" s="381"/>
      <c r="H2966" s="238" t="s">
        <v>1721</v>
      </c>
      <c r="I2966" s="380"/>
      <c r="J2966" s="383"/>
      <c r="K2966" s="380"/>
    </row>
    <row r="2967" spans="6:15" ht="15.75">
      <c r="F2967" s="380"/>
      <c r="G2967" s="381"/>
      <c r="H2967" s="388" t="s">
        <v>21</v>
      </c>
      <c r="I2967" s="435">
        <f>1.4*2.025</f>
        <v>2.8349999999999995</v>
      </c>
      <c r="J2967" s="383"/>
      <c r="K2967" s="380"/>
    </row>
    <row r="2968" spans="6:15" ht="15.75">
      <c r="F2968" s="380"/>
      <c r="G2968" s="381"/>
      <c r="H2968" s="238" t="s">
        <v>2692</v>
      </c>
      <c r="I2968" s="380"/>
      <c r="J2968" s="383"/>
      <c r="K2968" s="380"/>
    </row>
    <row r="2969" spans="6:15" ht="15.75">
      <c r="F2969" s="380"/>
      <c r="G2969" s="381"/>
      <c r="H2969" s="380"/>
      <c r="I2969" s="380"/>
      <c r="J2969" s="383"/>
      <c r="K2969" s="380"/>
    </row>
    <row r="2970" spans="6:15" ht="30.75">
      <c r="F2970" s="399">
        <v>1.64</v>
      </c>
      <c r="G2970" s="387" t="s">
        <v>152</v>
      </c>
      <c r="H2970" s="397" t="s">
        <v>2651</v>
      </c>
      <c r="I2970" s="445">
        <f>I2834</f>
        <v>2370</v>
      </c>
      <c r="J2970" s="239" t="s">
        <v>152</v>
      </c>
      <c r="K2970" s="380">
        <f>F2971*I2970</f>
        <v>3886.7999999999997</v>
      </c>
    </row>
    <row r="2971" spans="6:15" ht="15.75">
      <c r="F2971" s="422">
        <v>1.64</v>
      </c>
      <c r="G2971" s="387" t="s">
        <v>152</v>
      </c>
      <c r="H2971" s="238" t="s">
        <v>1708</v>
      </c>
      <c r="I2971" s="380">
        <f t="shared" ref="I2971:I2977" si="264">I2835</f>
        <v>161</v>
      </c>
      <c r="J2971" s="239" t="s">
        <v>152</v>
      </c>
      <c r="K2971" s="236">
        <f t="shared" ref="K2971:K2977" si="265">(F2971*I2971)</f>
        <v>264.03999999999996</v>
      </c>
      <c r="O2971" s="238" t="s">
        <v>2649</v>
      </c>
    </row>
    <row r="2972" spans="6:15" ht="15.75">
      <c r="F2972" s="236">
        <v>2</v>
      </c>
      <c r="G2972" s="387" t="s">
        <v>4</v>
      </c>
      <c r="H2972" s="238" t="s">
        <v>1709</v>
      </c>
      <c r="I2972" s="380">
        <f t="shared" si="264"/>
        <v>50.9</v>
      </c>
      <c r="J2972" s="239" t="s">
        <v>153</v>
      </c>
      <c r="K2972" s="236">
        <f t="shared" si="265"/>
        <v>101.8</v>
      </c>
      <c r="O2972" s="238" t="s">
        <v>1695</v>
      </c>
    </row>
    <row r="2973" spans="6:15" ht="15.75">
      <c r="F2973" s="236">
        <v>3</v>
      </c>
      <c r="G2973" s="387" t="s">
        <v>153</v>
      </c>
      <c r="H2973" s="238" t="s">
        <v>391</v>
      </c>
      <c r="I2973" s="380">
        <f t="shared" si="264"/>
        <v>79.099999999999994</v>
      </c>
      <c r="J2973" s="239" t="s">
        <v>153</v>
      </c>
      <c r="K2973" s="236">
        <f t="shared" si="265"/>
        <v>237.29999999999998</v>
      </c>
      <c r="O2973" s="238" t="s">
        <v>2693</v>
      </c>
    </row>
    <row r="2974" spans="6:15" ht="15.75">
      <c r="F2974" s="236">
        <v>2</v>
      </c>
      <c r="G2974" s="387" t="s">
        <v>153</v>
      </c>
      <c r="H2974" s="238" t="s">
        <v>392</v>
      </c>
      <c r="I2974" s="380">
        <f t="shared" si="264"/>
        <v>57.2</v>
      </c>
      <c r="J2974" s="239" t="s">
        <v>153</v>
      </c>
      <c r="K2974" s="236">
        <f t="shared" si="265"/>
        <v>114.4</v>
      </c>
      <c r="O2974" s="388" t="s">
        <v>21</v>
      </c>
    </row>
    <row r="2975" spans="6:15" ht="15.75">
      <c r="F2975" s="236">
        <v>1</v>
      </c>
      <c r="G2975" s="387" t="s">
        <v>153</v>
      </c>
      <c r="H2975" s="238" t="s">
        <v>393</v>
      </c>
      <c r="I2975" s="380">
        <f t="shared" si="264"/>
        <v>159.69999999999999</v>
      </c>
      <c r="J2975" s="239" t="s">
        <v>153</v>
      </c>
      <c r="K2975" s="236">
        <f t="shared" si="265"/>
        <v>159.69999999999999</v>
      </c>
      <c r="L2975" s="52" t="s">
        <v>150</v>
      </c>
      <c r="O2975" s="238" t="s">
        <v>2694</v>
      </c>
    </row>
    <row r="2976" spans="6:15" ht="15.75">
      <c r="F2976" s="236">
        <v>1</v>
      </c>
      <c r="G2976" s="387" t="s">
        <v>153</v>
      </c>
      <c r="H2976" s="238" t="s">
        <v>1713</v>
      </c>
      <c r="I2976" s="380">
        <f t="shared" si="264"/>
        <v>7.3</v>
      </c>
      <c r="J2976" s="239" t="s">
        <v>153</v>
      </c>
      <c r="K2976" s="236">
        <f t="shared" si="265"/>
        <v>7.3</v>
      </c>
    </row>
    <row r="2977" spans="6:18" ht="60.75">
      <c r="F2977" s="236">
        <v>1</v>
      </c>
      <c r="G2977" s="387" t="s">
        <v>153</v>
      </c>
      <c r="H2977" s="238" t="s">
        <v>886</v>
      </c>
      <c r="I2977" s="380">
        <f t="shared" si="264"/>
        <v>43.8</v>
      </c>
      <c r="J2977" s="239" t="s">
        <v>153</v>
      </c>
      <c r="K2977" s="236">
        <f t="shared" si="265"/>
        <v>43.8</v>
      </c>
      <c r="M2977" s="399">
        <v>2.2549999999999999</v>
      </c>
      <c r="N2977" s="387" t="s">
        <v>152</v>
      </c>
      <c r="O2977" s="397" t="s">
        <v>2651</v>
      </c>
      <c r="P2977" s="446">
        <f>I2970</f>
        <v>2370</v>
      </c>
      <c r="Q2977" s="239" t="s">
        <v>152</v>
      </c>
      <c r="R2977" s="380">
        <f>M2978*P2977</f>
        <v>5344.3499999999995</v>
      </c>
    </row>
    <row r="2978" spans="6:18" ht="15.75">
      <c r="F2978" s="380"/>
      <c r="G2978" s="381"/>
      <c r="H2978" s="380"/>
      <c r="I2978" s="380"/>
      <c r="J2978" s="383"/>
      <c r="K2978" s="392">
        <v>0.63</v>
      </c>
      <c r="M2978" s="422">
        <v>2.2549999999999999</v>
      </c>
      <c r="N2978" s="387" t="s">
        <v>152</v>
      </c>
      <c r="O2978" s="238" t="s">
        <v>1708</v>
      </c>
      <c r="P2978" s="446">
        <f t="shared" ref="P2978:P2984" si="266">I2971</f>
        <v>161</v>
      </c>
      <c r="Q2978" s="239" t="s">
        <v>152</v>
      </c>
      <c r="R2978" s="236">
        <f t="shared" ref="R2978:R2984" si="267">(M2978*P2978)</f>
        <v>363.05500000000001</v>
      </c>
    </row>
    <row r="2979" spans="6:18" ht="15.75">
      <c r="F2979" s="380"/>
      <c r="G2979" s="381"/>
      <c r="H2979" s="238" t="s">
        <v>2695</v>
      </c>
      <c r="I2979" s="380"/>
      <c r="J2979" s="383"/>
      <c r="K2979" s="236">
        <f>SUM(K2970:K2978)</f>
        <v>4815.7700000000004</v>
      </c>
      <c r="M2979" s="236">
        <v>2</v>
      </c>
      <c r="N2979" s="387" t="s">
        <v>4</v>
      </c>
      <c r="O2979" s="238" t="s">
        <v>1709</v>
      </c>
      <c r="P2979" s="446">
        <f t="shared" si="266"/>
        <v>50.9</v>
      </c>
      <c r="Q2979" s="239" t="s">
        <v>153</v>
      </c>
      <c r="R2979" s="236">
        <f t="shared" si="267"/>
        <v>101.8</v>
      </c>
    </row>
    <row r="2980" spans="6:18" ht="15.75">
      <c r="F2980" s="380"/>
      <c r="G2980" s="381"/>
      <c r="H2980" s="380"/>
      <c r="I2980" s="380"/>
      <c r="J2980" s="383"/>
      <c r="K2980" s="388" t="s">
        <v>21</v>
      </c>
      <c r="M2980" s="236">
        <v>3</v>
      </c>
      <c r="N2980" s="387" t="s">
        <v>153</v>
      </c>
      <c r="O2980" s="238" t="s">
        <v>391</v>
      </c>
      <c r="P2980" s="446">
        <f t="shared" si="266"/>
        <v>79.099999999999994</v>
      </c>
      <c r="Q2980" s="239" t="s">
        <v>153</v>
      </c>
      <c r="R2980" s="236">
        <f t="shared" si="267"/>
        <v>237.29999999999998</v>
      </c>
    </row>
    <row r="2981" spans="6:18" ht="15.75">
      <c r="F2981" s="380"/>
      <c r="G2981" s="381"/>
      <c r="H2981" s="238" t="s">
        <v>155</v>
      </c>
      <c r="I2981" s="380"/>
      <c r="J2981" s="383"/>
      <c r="K2981" s="236">
        <f>K2979/F2971</f>
        <v>2936.4451219512198</v>
      </c>
      <c r="M2981" s="236">
        <v>2</v>
      </c>
      <c r="N2981" s="387" t="s">
        <v>153</v>
      </c>
      <c r="O2981" s="238" t="s">
        <v>392</v>
      </c>
      <c r="P2981" s="446">
        <f t="shared" si="266"/>
        <v>57.2</v>
      </c>
      <c r="Q2981" s="239" t="s">
        <v>153</v>
      </c>
      <c r="R2981" s="236">
        <f t="shared" si="267"/>
        <v>114.4</v>
      </c>
    </row>
    <row r="2982" spans="6:18" ht="15.75">
      <c r="F2982" s="238" t="s">
        <v>150</v>
      </c>
      <c r="G2982" s="381"/>
      <c r="H2982" s="380"/>
      <c r="I2982" s="380"/>
      <c r="J2982" s="383"/>
      <c r="K2982" s="380"/>
      <c r="M2982" s="236">
        <v>1</v>
      </c>
      <c r="N2982" s="387" t="s">
        <v>153</v>
      </c>
      <c r="O2982" s="238" t="s">
        <v>393</v>
      </c>
      <c r="P2982" s="446">
        <f t="shared" si="266"/>
        <v>159.69999999999999</v>
      </c>
      <c r="Q2982" s="239" t="s">
        <v>153</v>
      </c>
      <c r="R2982" s="236">
        <f t="shared" si="267"/>
        <v>159.69999999999999</v>
      </c>
    </row>
    <row r="2983" spans="6:18" ht="15.75">
      <c r="F2983" s="380"/>
      <c r="G2983" s="381"/>
      <c r="H2983" s="380"/>
      <c r="I2983" s="380"/>
      <c r="J2983" s="383"/>
      <c r="K2983" s="380"/>
      <c r="M2983" s="236">
        <v>1</v>
      </c>
      <c r="N2983" s="387" t="s">
        <v>153</v>
      </c>
      <c r="O2983" s="238" t="s">
        <v>1713</v>
      </c>
      <c r="P2983" s="446">
        <f t="shared" si="266"/>
        <v>7.3</v>
      </c>
      <c r="Q2983" s="239" t="s">
        <v>153</v>
      </c>
      <c r="R2983" s="236">
        <f t="shared" si="267"/>
        <v>7.3</v>
      </c>
    </row>
    <row r="2984" spans="6:18" ht="15.75">
      <c r="F2984" s="405" t="s">
        <v>2696</v>
      </c>
      <c r="G2984" s="408"/>
      <c r="H2984" s="405"/>
      <c r="I2984" s="405"/>
      <c r="J2984" s="406"/>
      <c r="K2984" s="405"/>
      <c r="M2984" s="236">
        <v>1</v>
      </c>
      <c r="N2984" s="387" t="s">
        <v>153</v>
      </c>
      <c r="O2984" s="238" t="s">
        <v>886</v>
      </c>
      <c r="P2984" s="446">
        <f t="shared" si="266"/>
        <v>43.8</v>
      </c>
      <c r="Q2984" s="239" t="s">
        <v>153</v>
      </c>
      <c r="R2984" s="236">
        <f t="shared" si="267"/>
        <v>43.8</v>
      </c>
    </row>
    <row r="2985" spans="6:18" ht="15.75">
      <c r="F2985" s="405"/>
      <c r="G2985" s="408"/>
      <c r="H2985" s="405"/>
      <c r="I2985" s="405"/>
      <c r="J2985" s="406"/>
      <c r="K2985" s="405"/>
      <c r="M2985" s="380"/>
      <c r="N2985" s="381"/>
      <c r="O2985" s="380"/>
      <c r="P2985" s="380"/>
      <c r="Q2985" s="383"/>
      <c r="R2985" s="388" t="s">
        <v>21</v>
      </c>
    </row>
    <row r="2986" spans="6:18" ht="15.75">
      <c r="F2986" s="405" t="s">
        <v>2697</v>
      </c>
      <c r="G2986" s="408"/>
      <c r="H2986" s="405"/>
      <c r="I2986" s="405"/>
      <c r="J2986" s="406"/>
      <c r="K2986" s="405"/>
      <c r="M2986" s="380"/>
      <c r="N2986" s="381"/>
      <c r="O2986" s="238" t="s">
        <v>2698</v>
      </c>
      <c r="P2986" s="380"/>
      <c r="Q2986" s="383"/>
      <c r="R2986" s="236">
        <f>SUM(R2977:R2984)+0.17</f>
        <v>6371.875</v>
      </c>
    </row>
    <row r="2987" spans="6:18" ht="15.75">
      <c r="F2987" s="405"/>
      <c r="G2987" s="408"/>
      <c r="H2987" s="405"/>
      <c r="I2987" s="405"/>
      <c r="J2987" s="406"/>
      <c r="K2987" s="405"/>
      <c r="M2987" s="380"/>
      <c r="N2987" s="381"/>
      <c r="O2987" s="380"/>
      <c r="P2987" s="380"/>
      <c r="Q2987" s="383"/>
      <c r="R2987" s="388" t="s">
        <v>21</v>
      </c>
    </row>
    <row r="2988" spans="6:18" ht="15.75">
      <c r="F2988" s="405"/>
      <c r="G2988" s="447">
        <v>0.99350000000000005</v>
      </c>
      <c r="H2988" s="405" t="s">
        <v>313</v>
      </c>
      <c r="I2988" s="405"/>
      <c r="J2988" s="406"/>
      <c r="K2988" s="405"/>
      <c r="M2988" s="380"/>
      <c r="N2988" s="381"/>
      <c r="O2988" s="238" t="s">
        <v>155</v>
      </c>
      <c r="P2988" s="380"/>
      <c r="Q2988" s="383"/>
      <c r="R2988" s="236">
        <f>R2986/M2978</f>
        <v>2825.6651884700668</v>
      </c>
    </row>
    <row r="2989" spans="6:18" ht="15.75">
      <c r="F2989" s="405"/>
      <c r="G2989" s="408"/>
      <c r="H2989" s="405"/>
      <c r="I2989" s="405"/>
      <c r="J2989" s="406"/>
      <c r="K2989" s="405"/>
    </row>
    <row r="2990" spans="6:18" ht="15.75">
      <c r="F2990" s="415" t="s">
        <v>2624</v>
      </c>
      <c r="G2990" s="408"/>
      <c r="H2990" s="405"/>
      <c r="I2990" s="405"/>
      <c r="J2990" s="406"/>
      <c r="K2990" s="405"/>
    </row>
    <row r="2991" spans="6:18" ht="15.75">
      <c r="F2991" s="405"/>
      <c r="G2991" s="408"/>
      <c r="H2991" s="405"/>
      <c r="I2991" s="405"/>
      <c r="J2991" s="406"/>
      <c r="K2991" s="405"/>
    </row>
    <row r="2992" spans="6:18" ht="15.75">
      <c r="F2992" s="448">
        <v>0.42</v>
      </c>
      <c r="G2992" s="408" t="s">
        <v>313</v>
      </c>
      <c r="H2992" s="405" t="s">
        <v>2699</v>
      </c>
      <c r="I2992" s="405">
        <f>K817</f>
        <v>9389.0069999999996</v>
      </c>
      <c r="J2992" s="411" t="s">
        <v>313</v>
      </c>
      <c r="K2992" s="405">
        <f>F2992*I2992</f>
        <v>3943.3829399999995</v>
      </c>
    </row>
    <row r="2993" spans="6:11" ht="15.75">
      <c r="F2993" s="405">
        <v>0.25</v>
      </c>
      <c r="G2993" s="408" t="s">
        <v>68</v>
      </c>
      <c r="H2993" s="405" t="s">
        <v>280</v>
      </c>
      <c r="I2993" s="405">
        <f>C11</f>
        <v>1005.1999999999999</v>
      </c>
      <c r="J2993" s="411" t="s">
        <v>340</v>
      </c>
      <c r="K2993" s="405">
        <f>F2993*I2993</f>
        <v>251.29999999999998</v>
      </c>
    </row>
    <row r="2994" spans="6:11" ht="15.75">
      <c r="F2994" s="405">
        <v>3.5</v>
      </c>
      <c r="G2994" s="408" t="s">
        <v>154</v>
      </c>
      <c r="H2994" s="405" t="s">
        <v>1830</v>
      </c>
      <c r="I2994" s="405">
        <f>C12</f>
        <v>702.8</v>
      </c>
      <c r="J2994" s="411" t="s">
        <v>340</v>
      </c>
      <c r="K2994" s="405">
        <f>F2994*I2994</f>
        <v>2459.7999999999997</v>
      </c>
    </row>
    <row r="2995" spans="6:11" ht="15.75">
      <c r="F2995" s="449">
        <v>32.1</v>
      </c>
      <c r="G2995" s="450" t="s">
        <v>13</v>
      </c>
      <c r="H2995" s="449" t="s">
        <v>2700</v>
      </c>
      <c r="I2995" s="405"/>
      <c r="J2995" s="411"/>
      <c r="K2995" s="405">
        <f>(F2995*I2995)/1000</f>
        <v>0</v>
      </c>
    </row>
    <row r="2996" spans="6:11" ht="15.75">
      <c r="F2996" s="405"/>
      <c r="G2996" s="405" t="s">
        <v>2629</v>
      </c>
      <c r="H2996" s="405" t="s">
        <v>2630</v>
      </c>
      <c r="I2996" s="405"/>
      <c r="J2996" s="411" t="s">
        <v>2458</v>
      </c>
      <c r="K2996" s="405">
        <f>(K2993+K2994)*10%</f>
        <v>271.11</v>
      </c>
    </row>
    <row r="2997" spans="6:11" ht="15.75">
      <c r="F2997" s="405"/>
      <c r="G2997" s="408"/>
      <c r="H2997" s="405"/>
      <c r="I2997" s="405"/>
      <c r="J2997" s="406"/>
      <c r="K2997" s="405" t="s">
        <v>2632</v>
      </c>
    </row>
    <row r="2998" spans="6:11" ht="15.75">
      <c r="F2998" s="405"/>
      <c r="G2998" s="408"/>
      <c r="H2998" s="405"/>
      <c r="I2998" s="405"/>
      <c r="J2998" s="406"/>
      <c r="K2998" s="405"/>
    </row>
    <row r="2999" spans="6:11" ht="15.75">
      <c r="F2999" s="405"/>
      <c r="G2999" s="408"/>
      <c r="H2999" s="405"/>
      <c r="I2999" s="405" t="s">
        <v>2701</v>
      </c>
      <c r="J2999" s="406"/>
      <c r="K2999" s="405">
        <f>SUM(K2992:K2996)</f>
        <v>6925.5929399999995</v>
      </c>
    </row>
    <row r="3000" spans="6:11" ht="15.75">
      <c r="F3000" s="405"/>
      <c r="G3000" s="408"/>
      <c r="H3000" s="405"/>
      <c r="I3000" s="405"/>
      <c r="J3000" s="406"/>
      <c r="K3000" s="405"/>
    </row>
    <row r="3001" spans="6:11" ht="15.75">
      <c r="F3001" s="405"/>
      <c r="G3001" s="408"/>
      <c r="H3001" s="405"/>
      <c r="I3001" s="405" t="s">
        <v>2634</v>
      </c>
      <c r="J3001" s="406"/>
      <c r="K3001" s="405">
        <f>K2999/3.5</f>
        <v>1978.7408399999999</v>
      </c>
    </row>
    <row r="3002" spans="6:11" ht="15.75">
      <c r="F3002" s="405"/>
      <c r="G3002" s="404" t="s">
        <v>2702</v>
      </c>
      <c r="H3002" s="405"/>
      <c r="I3002" s="405"/>
      <c r="J3002" s="406"/>
      <c r="K3002" s="405"/>
    </row>
    <row r="3003" spans="6:11" ht="15.75">
      <c r="F3003" s="380"/>
      <c r="G3003" s="381"/>
      <c r="H3003" s="380"/>
      <c r="I3003" s="380"/>
      <c r="J3003" s="383"/>
      <c r="K3003" s="380"/>
    </row>
    <row r="3004" spans="6:11" ht="15.75">
      <c r="F3004" s="380">
        <v>1</v>
      </c>
      <c r="G3004" s="408" t="s">
        <v>313</v>
      </c>
      <c r="H3004" s="380" t="s">
        <v>710</v>
      </c>
      <c r="I3004" s="380">
        <f>AE38</f>
        <v>210</v>
      </c>
      <c r="J3004" s="411" t="s">
        <v>313</v>
      </c>
      <c r="K3004" s="405">
        <f>F3004*I3004</f>
        <v>210</v>
      </c>
    </row>
    <row r="3005" spans="6:11" ht="15.75">
      <c r="F3005" s="380">
        <v>1</v>
      </c>
      <c r="G3005" s="408" t="s">
        <v>313</v>
      </c>
      <c r="H3005" s="380" t="s">
        <v>2703</v>
      </c>
      <c r="I3005" s="380">
        <f>AG28</f>
        <v>41.019999999999996</v>
      </c>
      <c r="J3005" s="411" t="s">
        <v>313</v>
      </c>
      <c r="K3005" s="405">
        <f>F3005*I3005</f>
        <v>41.019999999999996</v>
      </c>
    </row>
    <row r="3006" spans="6:11" ht="15.75">
      <c r="F3006" s="380"/>
      <c r="G3006" s="381"/>
      <c r="H3006" s="380"/>
      <c r="I3006" s="380"/>
      <c r="J3006" s="383"/>
      <c r="K3006" s="386">
        <f>SUM(K3004:K3005)</f>
        <v>251.01999999999998</v>
      </c>
    </row>
    <row r="3008" spans="6:11" ht="15.75">
      <c r="H3008" s="53" t="s">
        <v>2704</v>
      </c>
      <c r="I3008" s="300"/>
      <c r="J3008" s="57"/>
    </row>
    <row r="3009" spans="8:11" ht="15.75">
      <c r="H3009" s="300" t="s">
        <v>2705</v>
      </c>
      <c r="I3009" s="380">
        <f>C764</f>
        <v>1000</v>
      </c>
      <c r="J3009" s="57" t="s">
        <v>1950</v>
      </c>
      <c r="K3009" s="129">
        <f>I3009</f>
        <v>1000</v>
      </c>
    </row>
    <row r="3010" spans="8:11" ht="15.75">
      <c r="J3010" s="57"/>
      <c r="K3010" s="161"/>
    </row>
    <row r="3011" spans="8:11" ht="15.75">
      <c r="J3011" s="57"/>
      <c r="K3011" s="161"/>
    </row>
    <row r="3012" spans="8:11" ht="15.75">
      <c r="H3012" s="52" t="s">
        <v>2706</v>
      </c>
      <c r="I3012" s="329">
        <v>466.6</v>
      </c>
      <c r="J3012" s="57" t="s">
        <v>1950</v>
      </c>
      <c r="K3012" s="129">
        <f>I3012</f>
        <v>466.6</v>
      </c>
    </row>
    <row r="3013" spans="8:11" ht="15.75">
      <c r="I3013" s="129"/>
      <c r="J3013" s="57"/>
      <c r="K3013" s="129"/>
    </row>
    <row r="3014" spans="8:11" ht="15.75">
      <c r="H3014" s="52" t="s">
        <v>2707</v>
      </c>
      <c r="I3014" s="329">
        <v>375.7</v>
      </c>
      <c r="J3014" s="57" t="s">
        <v>1950</v>
      </c>
      <c r="K3014" s="129">
        <f>I3014</f>
        <v>375.7</v>
      </c>
    </row>
    <row r="3015" spans="8:11" ht="15.75">
      <c r="J3015" s="57"/>
      <c r="K3015" s="129"/>
    </row>
    <row r="3016" spans="8:11" ht="15.75">
      <c r="H3016" s="52" t="s">
        <v>2708</v>
      </c>
      <c r="J3016" s="57"/>
      <c r="K3016" s="161"/>
    </row>
    <row r="3017" spans="8:11" ht="15.75">
      <c r="H3017" s="52" t="s">
        <v>2709</v>
      </c>
      <c r="I3017" s="329">
        <v>847</v>
      </c>
      <c r="J3017" s="57" t="s">
        <v>1950</v>
      </c>
      <c r="K3017" s="129">
        <f>I3017</f>
        <v>847</v>
      </c>
    </row>
    <row r="3018" spans="8:11" ht="15.75">
      <c r="H3018" s="50" t="s">
        <v>2710</v>
      </c>
      <c r="I3018" s="325">
        <f>K2291</f>
        <v>1770</v>
      </c>
      <c r="J3018" s="57"/>
      <c r="K3018" s="325">
        <f>I3018</f>
        <v>1770</v>
      </c>
    </row>
    <row r="3019" spans="8:11" ht="15.75">
      <c r="J3019" s="57"/>
    </row>
    <row r="3020" spans="8:11" ht="15.75">
      <c r="J3020" s="57"/>
    </row>
    <row r="3021" spans="8:11" ht="15.75">
      <c r="J3021" s="57"/>
    </row>
    <row r="3022" spans="8:11" ht="15.75">
      <c r="J3022" s="57"/>
    </row>
    <row r="3023" spans="8:11" ht="15.75">
      <c r="I3023" s="161"/>
      <c r="J3023" s="57"/>
    </row>
    <row r="3024" spans="8:11" ht="15.75">
      <c r="J3024" s="57"/>
    </row>
    <row r="3025" spans="8:11" ht="15.75">
      <c r="H3025" s="141"/>
      <c r="J3025" s="57"/>
    </row>
    <row r="3026" spans="8:11" ht="15.75">
      <c r="J3026" s="57"/>
    </row>
    <row r="3027" spans="8:11" ht="15.75">
      <c r="H3027" s="242"/>
      <c r="I3027" s="65"/>
      <c r="J3027" s="336"/>
      <c r="K3027" s="65"/>
    </row>
    <row r="3030" spans="8:11" ht="15.75">
      <c r="H3030" s="52" t="s">
        <v>2711</v>
      </c>
    </row>
    <row r="3031" spans="8:11" ht="15.75">
      <c r="H3031" s="52" t="s">
        <v>2712</v>
      </c>
      <c r="J3031" s="55" t="s">
        <v>340</v>
      </c>
      <c r="K3031" s="328">
        <v>130</v>
      </c>
    </row>
    <row r="3032" spans="8:11" ht="15.75">
      <c r="K3032" s="163"/>
    </row>
    <row r="3033" spans="8:11" ht="15.75">
      <c r="H3033" s="52" t="s">
        <v>2713</v>
      </c>
      <c r="J3033" s="55" t="s">
        <v>340</v>
      </c>
      <c r="K3033" s="328">
        <v>170</v>
      </c>
    </row>
    <row r="3034" spans="8:11" ht="15.75">
      <c r="K3034" s="163"/>
    </row>
    <row r="3035" spans="8:11" ht="15.75">
      <c r="K3035" s="163"/>
    </row>
    <row r="3036" spans="8:11" ht="15.75">
      <c r="H3036" s="50" t="s">
        <v>2714</v>
      </c>
      <c r="J3036" s="55" t="s">
        <v>340</v>
      </c>
      <c r="K3036" s="232">
        <v>443</v>
      </c>
    </row>
    <row r="3037" spans="8:11" ht="15.75">
      <c r="K3037" s="163"/>
    </row>
    <row r="3038" spans="8:11" ht="31.5">
      <c r="H3038" s="112" t="s">
        <v>2715</v>
      </c>
      <c r="J3038" s="55" t="s">
        <v>340</v>
      </c>
      <c r="K3038" s="72">
        <f>[13]Elec.Data!K3767</f>
        <v>1300</v>
      </c>
    </row>
    <row r="3040" spans="8:11" ht="15.75"/>
    <row r="3041" spans="6:18" ht="15.75">
      <c r="H3041" s="52" t="s">
        <v>2708</v>
      </c>
      <c r="J3041" s="55" t="s">
        <v>340</v>
      </c>
      <c r="K3041" s="161">
        <f>K3017</f>
        <v>847</v>
      </c>
    </row>
    <row r="3042" spans="6:18" ht="15.75">
      <c r="H3042" s="52" t="s">
        <v>2716</v>
      </c>
    </row>
    <row r="3044" spans="6:18" ht="15.75">
      <c r="F3044" s="52">
        <v>0.5</v>
      </c>
      <c r="H3044" s="52" t="s">
        <v>2717</v>
      </c>
      <c r="J3044" s="55">
        <f>C15</f>
        <v>933.8</v>
      </c>
      <c r="K3044" s="52">
        <f>J3044*F3044</f>
        <v>466.9</v>
      </c>
    </row>
    <row r="3045" spans="6:18" ht="15.75">
      <c r="F3045" s="52">
        <v>0.5</v>
      </c>
      <c r="H3045" s="52" t="s">
        <v>1830</v>
      </c>
      <c r="J3045" s="55">
        <f>C12</f>
        <v>702.8</v>
      </c>
      <c r="K3045" s="52">
        <f>J3045*F3045</f>
        <v>351.4</v>
      </c>
    </row>
    <row r="3046" spans="6:18" ht="15.75">
      <c r="I3046" s="2107" t="s">
        <v>2718</v>
      </c>
      <c r="J3046" s="2107"/>
      <c r="K3046" s="65">
        <f>SUM(K3041:K3045)</f>
        <v>1665.3000000000002</v>
      </c>
    </row>
    <row r="3049" spans="6:18" ht="15.75">
      <c r="F3049" s="239" t="s">
        <v>1693</v>
      </c>
      <c r="G3049" s="387" t="s">
        <v>249</v>
      </c>
      <c r="H3049" s="238" t="s">
        <v>2649</v>
      </c>
      <c r="I3049" s="380"/>
      <c r="J3049" s="383"/>
      <c r="K3049" s="380"/>
    </row>
    <row r="3050" spans="6:18" ht="15.75">
      <c r="F3050" s="380"/>
      <c r="G3050" s="381"/>
      <c r="H3050" s="238" t="s">
        <v>1695</v>
      </c>
      <c r="I3050" s="380"/>
      <c r="J3050" s="383"/>
      <c r="K3050" s="380"/>
    </row>
    <row r="3051" spans="6:18" ht="15.75">
      <c r="F3051" s="380"/>
      <c r="G3051" s="381"/>
      <c r="H3051" s="238" t="s">
        <v>2719</v>
      </c>
      <c r="I3051" s="380"/>
      <c r="J3051" s="383"/>
      <c r="K3051" s="380"/>
    </row>
    <row r="3052" spans="6:18" ht="15.75">
      <c r="F3052" s="380"/>
      <c r="G3052" s="381"/>
      <c r="H3052" s="388" t="s">
        <v>21</v>
      </c>
      <c r="I3052" s="380"/>
      <c r="J3052" s="383"/>
      <c r="K3052" s="380"/>
    </row>
    <row r="3053" spans="6:18" ht="15.75">
      <c r="F3053" s="380"/>
      <c r="G3053" s="381"/>
      <c r="H3053" s="238" t="s">
        <v>2720</v>
      </c>
      <c r="I3053" s="380"/>
      <c r="J3053" s="383"/>
      <c r="K3053" s="380"/>
    </row>
    <row r="3054" spans="6:18" ht="15.75">
      <c r="F3054" s="380"/>
      <c r="G3054" s="381"/>
      <c r="H3054" s="380"/>
      <c r="I3054" s="380"/>
      <c r="J3054" s="383"/>
      <c r="K3054" s="380"/>
    </row>
    <row r="3055" spans="6:18" ht="30.75">
      <c r="F3055" s="435">
        <v>2.2275</v>
      </c>
      <c r="G3055" s="387" t="s">
        <v>152</v>
      </c>
      <c r="H3055" s="397" t="s">
        <v>2651</v>
      </c>
      <c r="I3055" s="446">
        <f>I2834</f>
        <v>2370</v>
      </c>
      <c r="J3055" s="239" t="s">
        <v>152</v>
      </c>
      <c r="K3055" s="380">
        <f>F3056*I3055</f>
        <v>5279.1750000000002</v>
      </c>
    </row>
    <row r="3056" spans="6:18" ht="15.75">
      <c r="F3056" s="428">
        <f>F3055</f>
        <v>2.2275</v>
      </c>
      <c r="G3056" s="387" t="s">
        <v>152</v>
      </c>
      <c r="H3056" s="389" t="s">
        <v>1708</v>
      </c>
      <c r="I3056" s="392">
        <f>I2867</f>
        <v>248</v>
      </c>
      <c r="J3056" s="239" t="s">
        <v>152</v>
      </c>
      <c r="K3056" s="236">
        <f t="shared" ref="K3056:K3062" si="268">(F3056*I3056)</f>
        <v>552.41999999999996</v>
      </c>
      <c r="M3056" s="239" t="s">
        <v>1693</v>
      </c>
      <c r="N3056" s="387" t="s">
        <v>249</v>
      </c>
      <c r="O3056" s="238" t="s">
        <v>2649</v>
      </c>
      <c r="P3056" s="380"/>
      <c r="Q3056" s="383"/>
      <c r="R3056" s="380"/>
    </row>
    <row r="3057" spans="6:18" ht="15.75">
      <c r="F3057" s="236">
        <v>4</v>
      </c>
      <c r="G3057" s="387" t="s">
        <v>4</v>
      </c>
      <c r="H3057" s="238" t="s">
        <v>1709</v>
      </c>
      <c r="I3057" s="446">
        <f t="shared" ref="I3057:I3062" si="269">I2972</f>
        <v>50.9</v>
      </c>
      <c r="J3057" s="239" t="s">
        <v>153</v>
      </c>
      <c r="K3057" s="236">
        <f t="shared" si="268"/>
        <v>203.6</v>
      </c>
      <c r="M3057" s="380"/>
      <c r="N3057" s="381"/>
      <c r="O3057" s="238" t="s">
        <v>1695</v>
      </c>
      <c r="P3057" s="380"/>
      <c r="Q3057" s="383"/>
      <c r="R3057" s="380"/>
    </row>
    <row r="3058" spans="6:18" ht="15.75">
      <c r="F3058" s="236">
        <v>6</v>
      </c>
      <c r="G3058" s="387" t="s">
        <v>153</v>
      </c>
      <c r="H3058" s="238" t="s">
        <v>391</v>
      </c>
      <c r="I3058" s="446">
        <f t="shared" si="269"/>
        <v>79.099999999999994</v>
      </c>
      <c r="J3058" s="239" t="s">
        <v>153</v>
      </c>
      <c r="K3058" s="236">
        <f t="shared" si="268"/>
        <v>474.59999999999997</v>
      </c>
      <c r="M3058" s="380"/>
      <c r="N3058" s="381"/>
      <c r="O3058" s="238" t="s">
        <v>2721</v>
      </c>
      <c r="P3058" s="380"/>
      <c r="Q3058" s="383"/>
      <c r="R3058" s="380"/>
    </row>
    <row r="3059" spans="6:18" ht="15.75">
      <c r="F3059" s="236">
        <v>4</v>
      </c>
      <c r="G3059" s="387" t="s">
        <v>153</v>
      </c>
      <c r="H3059" s="238" t="s">
        <v>392</v>
      </c>
      <c r="I3059" s="446">
        <f t="shared" si="269"/>
        <v>57.2</v>
      </c>
      <c r="J3059" s="239" t="s">
        <v>153</v>
      </c>
      <c r="K3059" s="236">
        <f t="shared" si="268"/>
        <v>228.8</v>
      </c>
      <c r="M3059" s="380"/>
      <c r="N3059" s="381"/>
      <c r="O3059" s="388" t="s">
        <v>21</v>
      </c>
      <c r="P3059" s="380"/>
      <c r="Q3059" s="383"/>
      <c r="R3059" s="380"/>
    </row>
    <row r="3060" spans="6:18" ht="15.75">
      <c r="F3060" s="236">
        <v>1</v>
      </c>
      <c r="G3060" s="387" t="s">
        <v>153</v>
      </c>
      <c r="H3060" s="238" t="s">
        <v>393</v>
      </c>
      <c r="I3060" s="446">
        <f t="shared" si="269"/>
        <v>159.69999999999999</v>
      </c>
      <c r="J3060" s="239" t="s">
        <v>153</v>
      </c>
      <c r="K3060" s="236">
        <f t="shared" si="268"/>
        <v>159.69999999999999</v>
      </c>
      <c r="M3060" s="380"/>
      <c r="N3060" s="381"/>
      <c r="O3060" s="238" t="s">
        <v>2722</v>
      </c>
      <c r="P3060" s="380"/>
      <c r="Q3060" s="383"/>
      <c r="R3060" s="380"/>
    </row>
    <row r="3061" spans="6:18" ht="15.75">
      <c r="F3061" s="236">
        <v>2</v>
      </c>
      <c r="G3061" s="387" t="s">
        <v>153</v>
      </c>
      <c r="H3061" s="238" t="s">
        <v>1713</v>
      </c>
      <c r="I3061" s="446">
        <f t="shared" si="269"/>
        <v>7.3</v>
      </c>
      <c r="J3061" s="239" t="s">
        <v>153</v>
      </c>
      <c r="K3061" s="236">
        <f t="shared" si="268"/>
        <v>14.6</v>
      </c>
      <c r="M3061" s="380"/>
      <c r="N3061" s="381"/>
      <c r="O3061" s="380"/>
      <c r="P3061" s="380"/>
      <c r="Q3061" s="383"/>
      <c r="R3061" s="380"/>
    </row>
    <row r="3062" spans="6:18" ht="60.75">
      <c r="F3062" s="236">
        <v>2</v>
      </c>
      <c r="G3062" s="387" t="s">
        <v>153</v>
      </c>
      <c r="H3062" s="238" t="s">
        <v>886</v>
      </c>
      <c r="I3062" s="446">
        <f t="shared" si="269"/>
        <v>43.8</v>
      </c>
      <c r="J3062" s="239" t="s">
        <v>153</v>
      </c>
      <c r="K3062" s="236">
        <f t="shared" si="268"/>
        <v>87.6</v>
      </c>
      <c r="M3062" s="399">
        <v>3.29</v>
      </c>
      <c r="N3062" s="387" t="s">
        <v>152</v>
      </c>
      <c r="O3062" s="397" t="s">
        <v>2651</v>
      </c>
      <c r="P3062" s="446">
        <f>I3055</f>
        <v>2370</v>
      </c>
      <c r="Q3062" s="239" t="s">
        <v>152</v>
      </c>
      <c r="R3062" s="380">
        <f>M3063*P3062</f>
        <v>7797.3</v>
      </c>
    </row>
    <row r="3063" spans="6:18" ht="15.75">
      <c r="F3063" s="380"/>
      <c r="G3063" s="381"/>
      <c r="H3063" s="380"/>
      <c r="I3063" s="380"/>
      <c r="J3063" s="383"/>
      <c r="K3063" s="392">
        <v>0.2</v>
      </c>
      <c r="M3063" s="422">
        <v>3.29</v>
      </c>
      <c r="N3063" s="387" t="s">
        <v>152</v>
      </c>
      <c r="O3063" s="238" t="s">
        <v>1708</v>
      </c>
      <c r="P3063" s="446">
        <f t="shared" ref="P3063:P3069" si="270">I3056</f>
        <v>248</v>
      </c>
      <c r="Q3063" s="239" t="s">
        <v>152</v>
      </c>
      <c r="R3063" s="236">
        <f t="shared" ref="R3063:R3069" si="271">(M3063*P3063)</f>
        <v>815.92</v>
      </c>
    </row>
    <row r="3064" spans="6:18" ht="15.75">
      <c r="F3064" s="380"/>
      <c r="G3064" s="381"/>
      <c r="H3064" s="238" t="s">
        <v>2723</v>
      </c>
      <c r="I3064" s="380"/>
      <c r="J3064" s="383"/>
      <c r="K3064" s="236">
        <f>SUM(K3055:K3063)</f>
        <v>7000.6950000000015</v>
      </c>
      <c r="M3064" s="236">
        <v>4</v>
      </c>
      <c r="N3064" s="387" t="s">
        <v>4</v>
      </c>
      <c r="O3064" s="238" t="s">
        <v>1709</v>
      </c>
      <c r="P3064" s="446">
        <f t="shared" si="270"/>
        <v>50.9</v>
      </c>
      <c r="Q3064" s="239" t="s">
        <v>153</v>
      </c>
      <c r="R3064" s="236">
        <f t="shared" si="271"/>
        <v>203.6</v>
      </c>
    </row>
    <row r="3065" spans="6:18" ht="15.75">
      <c r="F3065" s="380"/>
      <c r="G3065" s="381"/>
      <c r="H3065" s="380"/>
      <c r="I3065" s="380"/>
      <c r="J3065" s="383"/>
      <c r="K3065" s="388" t="s">
        <v>21</v>
      </c>
      <c r="M3065" s="236">
        <v>6</v>
      </c>
      <c r="N3065" s="387" t="s">
        <v>153</v>
      </c>
      <c r="O3065" s="238" t="s">
        <v>391</v>
      </c>
      <c r="P3065" s="446">
        <f t="shared" si="270"/>
        <v>79.099999999999994</v>
      </c>
      <c r="Q3065" s="239" t="s">
        <v>153</v>
      </c>
      <c r="R3065" s="236">
        <f t="shared" si="271"/>
        <v>474.59999999999997</v>
      </c>
    </row>
    <row r="3066" spans="6:18" ht="15.75">
      <c r="F3066" s="380"/>
      <c r="G3066" s="381"/>
      <c r="H3066" s="238" t="s">
        <v>155</v>
      </c>
      <c r="I3066" s="380"/>
      <c r="J3066" s="383"/>
      <c r="K3066" s="236">
        <f>K3064/F3056</f>
        <v>3142.8484848484854</v>
      </c>
      <c r="M3066" s="236">
        <v>4</v>
      </c>
      <c r="N3066" s="387" t="s">
        <v>153</v>
      </c>
      <c r="O3066" s="238" t="s">
        <v>392</v>
      </c>
      <c r="P3066" s="446">
        <f t="shared" si="270"/>
        <v>57.2</v>
      </c>
      <c r="Q3066" s="239" t="s">
        <v>153</v>
      </c>
      <c r="R3066" s="236">
        <f t="shared" si="271"/>
        <v>228.8</v>
      </c>
    </row>
    <row r="3067" spans="6:18" ht="15.75">
      <c r="M3067" s="236">
        <v>1</v>
      </c>
      <c r="N3067" s="387" t="s">
        <v>153</v>
      </c>
      <c r="O3067" s="238" t="s">
        <v>393</v>
      </c>
      <c r="P3067" s="446">
        <f t="shared" si="270"/>
        <v>159.69999999999999</v>
      </c>
      <c r="Q3067" s="239" t="s">
        <v>153</v>
      </c>
      <c r="R3067" s="236">
        <f t="shared" si="271"/>
        <v>159.69999999999999</v>
      </c>
    </row>
    <row r="3068" spans="6:18" ht="15.75">
      <c r="F3068" s="239" t="s">
        <v>1693</v>
      </c>
      <c r="G3068" s="387" t="s">
        <v>249</v>
      </c>
      <c r="H3068" s="238" t="s">
        <v>2649</v>
      </c>
      <c r="I3068" s="380"/>
      <c r="J3068" s="383"/>
      <c r="K3068" s="380"/>
      <c r="M3068" s="236">
        <v>2</v>
      </c>
      <c r="N3068" s="387" t="s">
        <v>153</v>
      </c>
      <c r="O3068" s="238" t="s">
        <v>1713</v>
      </c>
      <c r="P3068" s="446">
        <f t="shared" si="270"/>
        <v>7.3</v>
      </c>
      <c r="Q3068" s="239" t="s">
        <v>153</v>
      </c>
      <c r="R3068" s="236">
        <f t="shared" si="271"/>
        <v>14.6</v>
      </c>
    </row>
    <row r="3069" spans="6:18" ht="15.75">
      <c r="F3069" s="380"/>
      <c r="G3069" s="381"/>
      <c r="H3069" s="238" t="s">
        <v>1695</v>
      </c>
      <c r="I3069" s="380"/>
      <c r="J3069" s="383"/>
      <c r="K3069" s="380"/>
      <c r="M3069" s="236">
        <v>2</v>
      </c>
      <c r="N3069" s="387" t="s">
        <v>153</v>
      </c>
      <c r="O3069" s="238" t="s">
        <v>886</v>
      </c>
      <c r="P3069" s="446">
        <f t="shared" si="270"/>
        <v>43.8</v>
      </c>
      <c r="Q3069" s="239" t="s">
        <v>153</v>
      </c>
      <c r="R3069" s="236">
        <f t="shared" si="271"/>
        <v>87.6</v>
      </c>
    </row>
    <row r="3070" spans="6:18" ht="15.75">
      <c r="F3070" s="380"/>
      <c r="G3070" s="381"/>
      <c r="H3070" s="238" t="s">
        <v>2724</v>
      </c>
      <c r="I3070" s="380"/>
      <c r="J3070" s="383"/>
      <c r="K3070" s="380"/>
      <c r="M3070" s="380"/>
      <c r="N3070" s="381"/>
      <c r="O3070" s="380"/>
      <c r="P3070" s="380"/>
      <c r="Q3070" s="383"/>
      <c r="R3070" s="388" t="s">
        <v>21</v>
      </c>
    </row>
    <row r="3071" spans="6:18" ht="15.75">
      <c r="F3071" s="380"/>
      <c r="G3071" s="381"/>
      <c r="H3071" s="388" t="s">
        <v>21</v>
      </c>
      <c r="I3071" s="380"/>
      <c r="J3071" s="383"/>
      <c r="K3071" s="380"/>
      <c r="M3071" s="380"/>
      <c r="N3071" s="381"/>
      <c r="O3071" s="238" t="s">
        <v>2725</v>
      </c>
      <c r="P3071" s="380"/>
      <c r="Q3071" s="383"/>
      <c r="R3071" s="236">
        <f>SUM(R3062:R3070)+0.5</f>
        <v>9782.6200000000008</v>
      </c>
    </row>
    <row r="3072" spans="6:18" ht="15.75">
      <c r="F3072" s="380"/>
      <c r="G3072" s="381"/>
      <c r="H3072" s="238" t="s">
        <v>2726</v>
      </c>
      <c r="I3072" s="380"/>
      <c r="J3072" s="383"/>
      <c r="K3072" s="380"/>
      <c r="M3072" s="380"/>
      <c r="N3072" s="381"/>
      <c r="O3072" s="380"/>
      <c r="P3072" s="380"/>
      <c r="Q3072" s="383"/>
      <c r="R3072" s="388" t="s">
        <v>21</v>
      </c>
    </row>
    <row r="3073" spans="6:18" ht="15.75">
      <c r="F3073" s="380"/>
      <c r="G3073" s="381"/>
      <c r="H3073" s="380"/>
      <c r="I3073" s="380"/>
      <c r="J3073" s="383"/>
      <c r="K3073" s="380"/>
      <c r="M3073" s="380"/>
      <c r="N3073" s="381"/>
      <c r="O3073" s="238" t="s">
        <v>155</v>
      </c>
      <c r="P3073" s="380"/>
      <c r="Q3073" s="383"/>
      <c r="R3073" s="236">
        <f>R3071/M3062</f>
        <v>2973.4407294832827</v>
      </c>
    </row>
    <row r="3074" spans="6:18" ht="30.75">
      <c r="F3074" s="399">
        <v>2.87</v>
      </c>
      <c r="G3074" s="387" t="s">
        <v>152</v>
      </c>
      <c r="H3074" s="397" t="s">
        <v>2651</v>
      </c>
      <c r="I3074" s="446">
        <f>I3055</f>
        <v>2370</v>
      </c>
      <c r="J3074" s="239" t="s">
        <v>152</v>
      </c>
      <c r="K3074" s="380">
        <f>F3075*I3074</f>
        <v>6801.9000000000005</v>
      </c>
      <c r="N3074" s="53"/>
      <c r="Q3074" s="55"/>
    </row>
    <row r="3075" spans="6:18" ht="15.75">
      <c r="F3075" s="422">
        <f>F3074</f>
        <v>2.87</v>
      </c>
      <c r="G3075" s="387" t="s">
        <v>152</v>
      </c>
      <c r="H3075" s="389" t="s">
        <v>1708</v>
      </c>
      <c r="I3075" s="392">
        <f t="shared" ref="I3075:I3081" si="272">I3056</f>
        <v>248</v>
      </c>
      <c r="J3075" s="239" t="s">
        <v>152</v>
      </c>
      <c r="K3075" s="236">
        <f t="shared" ref="K3075:K3081" si="273">(F3075*I3075)</f>
        <v>711.76</v>
      </c>
    </row>
    <row r="3076" spans="6:18" ht="15.75">
      <c r="F3076" s="236">
        <v>4</v>
      </c>
      <c r="G3076" s="387" t="s">
        <v>4</v>
      </c>
      <c r="H3076" s="238" t="s">
        <v>1709</v>
      </c>
      <c r="I3076" s="446">
        <f t="shared" si="272"/>
        <v>50.9</v>
      </c>
      <c r="J3076" s="239" t="s">
        <v>153</v>
      </c>
      <c r="K3076" s="236">
        <f t="shared" si="273"/>
        <v>203.6</v>
      </c>
    </row>
    <row r="3077" spans="6:18" ht="15.75">
      <c r="F3077" s="236">
        <v>6</v>
      </c>
      <c r="G3077" s="387" t="s">
        <v>153</v>
      </c>
      <c r="H3077" s="238" t="s">
        <v>391</v>
      </c>
      <c r="I3077" s="446">
        <f t="shared" si="272"/>
        <v>79.099999999999994</v>
      </c>
      <c r="J3077" s="239" t="s">
        <v>153</v>
      </c>
      <c r="K3077" s="236">
        <f t="shared" si="273"/>
        <v>474.59999999999997</v>
      </c>
    </row>
    <row r="3078" spans="6:18" ht="15.75">
      <c r="F3078" s="236">
        <v>4</v>
      </c>
      <c r="G3078" s="387" t="s">
        <v>153</v>
      </c>
      <c r="H3078" s="238" t="s">
        <v>392</v>
      </c>
      <c r="I3078" s="446">
        <f t="shared" si="272"/>
        <v>57.2</v>
      </c>
      <c r="J3078" s="239" t="s">
        <v>153</v>
      </c>
      <c r="K3078" s="236">
        <f t="shared" si="273"/>
        <v>228.8</v>
      </c>
    </row>
    <row r="3079" spans="6:18" ht="15.75">
      <c r="F3079" s="236">
        <v>1</v>
      </c>
      <c r="G3079" s="387" t="s">
        <v>153</v>
      </c>
      <c r="H3079" s="238" t="s">
        <v>393</v>
      </c>
      <c r="I3079" s="446">
        <f t="shared" si="272"/>
        <v>159.69999999999999</v>
      </c>
      <c r="J3079" s="239" t="s">
        <v>153</v>
      </c>
      <c r="K3079" s="236">
        <f t="shared" si="273"/>
        <v>159.69999999999999</v>
      </c>
    </row>
    <row r="3080" spans="6:18" ht="15.75">
      <c r="F3080" s="236">
        <v>2</v>
      </c>
      <c r="G3080" s="387" t="s">
        <v>153</v>
      </c>
      <c r="H3080" s="238" t="s">
        <v>1713</v>
      </c>
      <c r="I3080" s="446">
        <f t="shared" si="272"/>
        <v>7.3</v>
      </c>
      <c r="J3080" s="239" t="s">
        <v>153</v>
      </c>
      <c r="K3080" s="236">
        <f t="shared" si="273"/>
        <v>14.6</v>
      </c>
    </row>
    <row r="3081" spans="6:18" ht="15.75">
      <c r="F3081" s="236">
        <v>2</v>
      </c>
      <c r="G3081" s="387" t="s">
        <v>153</v>
      </c>
      <c r="H3081" s="238" t="s">
        <v>886</v>
      </c>
      <c r="I3081" s="446">
        <f t="shared" si="272"/>
        <v>43.8</v>
      </c>
      <c r="J3081" s="239" t="s">
        <v>153</v>
      </c>
      <c r="K3081" s="236">
        <f t="shared" si="273"/>
        <v>87.6</v>
      </c>
    </row>
    <row r="3082" spans="6:18" ht="15.75">
      <c r="F3082" s="380"/>
      <c r="G3082" s="381"/>
      <c r="H3082" s="380"/>
      <c r="I3082" s="380"/>
      <c r="J3082" s="383"/>
      <c r="K3082" s="392">
        <f>1.19+0.16</f>
        <v>1.3499999999999999</v>
      </c>
    </row>
    <row r="3083" spans="6:18" ht="15.75">
      <c r="F3083" s="380"/>
      <c r="G3083" s="381"/>
      <c r="H3083" s="238" t="s">
        <v>2727</v>
      </c>
      <c r="I3083" s="380"/>
      <c r="J3083" s="383"/>
      <c r="K3083" s="236">
        <f>SUM(K3074:K3082)</f>
        <v>8683.9100000000035</v>
      </c>
    </row>
    <row r="3084" spans="6:18" ht="15.75">
      <c r="F3084" s="380"/>
      <c r="G3084" s="381"/>
      <c r="H3084" s="380"/>
      <c r="I3084" s="380"/>
      <c r="J3084" s="383"/>
      <c r="K3084" s="388" t="s">
        <v>21</v>
      </c>
    </row>
    <row r="3085" spans="6:18" ht="15.75">
      <c r="F3085" s="380"/>
      <c r="G3085" s="381"/>
      <c r="H3085" s="238" t="s">
        <v>155</v>
      </c>
      <c r="I3085" s="380"/>
      <c r="J3085" s="383"/>
      <c r="K3085" s="236">
        <f>K3083/F3075</f>
        <v>3025.7526132404191</v>
      </c>
    </row>
    <row r="3087" spans="6:18" ht="15.75">
      <c r="F3087" s="356" t="s">
        <v>2571</v>
      </c>
      <c r="G3087" s="357"/>
      <c r="H3087" s="83" t="s">
        <v>2728</v>
      </c>
      <c r="I3087" s="358"/>
      <c r="J3087" s="359"/>
      <c r="K3087" s="358"/>
    </row>
    <row r="3088" spans="6:18" ht="15.75">
      <c r="F3088" s="358"/>
      <c r="G3088" s="357"/>
      <c r="H3088" s="360" t="s">
        <v>21</v>
      </c>
      <c r="I3088" s="360" t="s">
        <v>21</v>
      </c>
      <c r="J3088" s="83" t="s">
        <v>21</v>
      </c>
      <c r="K3088" s="358"/>
    </row>
    <row r="3089" spans="6:44" ht="15.75">
      <c r="F3089" s="358"/>
      <c r="G3089" s="357"/>
      <c r="H3089" s="358"/>
      <c r="I3089" s="358"/>
      <c r="J3089" s="359"/>
      <c r="K3089" s="358"/>
    </row>
    <row r="3090" spans="6:44" ht="15.75">
      <c r="F3090" s="358"/>
      <c r="G3090" s="357"/>
      <c r="H3090" s="83" t="s">
        <v>1804</v>
      </c>
      <c r="I3090" s="358"/>
      <c r="J3090" s="359"/>
      <c r="K3090" s="358"/>
    </row>
    <row r="3091" spans="6:44" ht="15.75">
      <c r="F3091" s="358"/>
      <c r="G3091" s="357"/>
      <c r="H3091" s="83"/>
      <c r="I3091" s="358"/>
      <c r="J3091" s="359"/>
      <c r="K3091" s="358"/>
    </row>
    <row r="3092" spans="6:44" ht="15.75">
      <c r="F3092" s="358"/>
      <c r="G3092" s="357"/>
      <c r="H3092" s="83" t="s">
        <v>1806</v>
      </c>
      <c r="I3092" s="358"/>
      <c r="J3092" s="359"/>
      <c r="K3092" s="358"/>
    </row>
    <row r="3093" spans="6:44" ht="15.75">
      <c r="F3093" s="358"/>
      <c r="G3093" s="357"/>
      <c r="H3093" s="83" t="s">
        <v>1807</v>
      </c>
      <c r="I3093" s="358"/>
      <c r="J3093" s="359"/>
      <c r="K3093" s="358"/>
    </row>
    <row r="3094" spans="6:44" ht="15.75">
      <c r="F3094" s="358"/>
      <c r="G3094" s="357"/>
      <c r="H3094" s="83" t="s">
        <v>1808</v>
      </c>
      <c r="I3094" s="358"/>
      <c r="J3094" s="359"/>
      <c r="K3094" s="358"/>
      <c r="S3094" s="51"/>
      <c r="T3094" s="62"/>
      <c r="U3094" s="50"/>
      <c r="W3094" s="55"/>
    </row>
    <row r="3095" spans="6:44" ht="15.75">
      <c r="F3095" s="358"/>
      <c r="G3095" s="357"/>
      <c r="H3095" s="83" t="s">
        <v>1809</v>
      </c>
      <c r="I3095" s="358"/>
      <c r="J3095" s="359"/>
      <c r="K3095" s="358"/>
      <c r="S3095" s="52"/>
      <c r="U3095" s="50"/>
      <c r="W3095" s="55"/>
    </row>
    <row r="3096" spans="6:44" ht="15.75">
      <c r="F3096" s="358"/>
      <c r="G3096" s="357"/>
      <c r="H3096" s="83" t="s">
        <v>2573</v>
      </c>
      <c r="I3096" s="358"/>
      <c r="J3096" s="83" t="s">
        <v>150</v>
      </c>
      <c r="K3096" s="363">
        <v>3.7699999999999997E-2</v>
      </c>
      <c r="S3096" s="52"/>
      <c r="T3096" s="53"/>
      <c r="U3096" s="50"/>
      <c r="W3096" s="55"/>
    </row>
    <row r="3097" spans="6:44" ht="15.75">
      <c r="F3097" s="358"/>
      <c r="G3097" s="357"/>
      <c r="H3097" s="451" t="s">
        <v>2729</v>
      </c>
      <c r="I3097" s="358"/>
      <c r="J3097" s="364" t="s">
        <v>150</v>
      </c>
      <c r="K3097" s="364" t="s">
        <v>150</v>
      </c>
      <c r="S3097" s="52"/>
      <c r="T3097" s="53"/>
      <c r="U3097" s="50"/>
      <c r="W3097" s="55"/>
    </row>
    <row r="3098" spans="6:44" ht="15.75">
      <c r="F3098" s="358"/>
      <c r="G3098" s="357"/>
      <c r="H3098" s="83" t="s">
        <v>1814</v>
      </c>
      <c r="I3098" s="358"/>
      <c r="J3098" s="359"/>
      <c r="K3098" s="364" t="s">
        <v>150</v>
      </c>
      <c r="S3098" s="52"/>
      <c r="T3098" s="53"/>
      <c r="U3098" s="50"/>
      <c r="W3098" s="55"/>
    </row>
    <row r="3099" spans="6:44" ht="15.75">
      <c r="F3099" s="358"/>
      <c r="G3099" s="357"/>
      <c r="H3099" s="358"/>
      <c r="I3099" s="358"/>
      <c r="J3099" s="359"/>
      <c r="K3099" s="358"/>
      <c r="S3099" s="52"/>
      <c r="T3099" s="53"/>
      <c r="U3099" s="53" t="s">
        <v>2730</v>
      </c>
      <c r="W3099" s="55"/>
    </row>
    <row r="3100" spans="6:44" ht="15.75">
      <c r="F3100" s="365">
        <v>1.18E-2</v>
      </c>
      <c r="G3100" s="366" t="s">
        <v>151</v>
      </c>
      <c r="H3100" s="83" t="s">
        <v>877</v>
      </c>
      <c r="I3100" s="367">
        <f>I2662</f>
        <v>111600</v>
      </c>
      <c r="J3100" s="83" t="s">
        <v>151</v>
      </c>
      <c r="K3100" s="367">
        <f t="shared" ref="K3100:K3108" si="274">(F3100*I3100)</f>
        <v>1316.8799999999999</v>
      </c>
      <c r="S3100" s="52"/>
      <c r="T3100" s="53"/>
      <c r="U3100" s="61"/>
      <c r="W3100" s="55"/>
    </row>
    <row r="3101" spans="6:44" ht="15.75">
      <c r="F3101" s="365">
        <v>3.7699999999999997E-2</v>
      </c>
      <c r="G3101" s="366" t="s">
        <v>151</v>
      </c>
      <c r="H3101" s="83" t="s">
        <v>878</v>
      </c>
      <c r="I3101" s="367">
        <f t="shared" ref="I3101:I3108" si="275">I2663</f>
        <v>99400</v>
      </c>
      <c r="J3101" s="83" t="s">
        <v>151</v>
      </c>
      <c r="K3101" s="367">
        <f t="shared" si="274"/>
        <v>3747.3799999999997</v>
      </c>
      <c r="S3101" s="52"/>
      <c r="T3101" s="53"/>
      <c r="U3101" s="50" t="s">
        <v>2731</v>
      </c>
      <c r="V3101" s="151">
        <f xml:space="preserve"> 3.08*2.1</f>
        <v>6.4680000000000009</v>
      </c>
      <c r="W3101" s="55" t="s">
        <v>533</v>
      </c>
      <c r="X3101" s="52" t="s">
        <v>533</v>
      </c>
    </row>
    <row r="3102" spans="6:44" ht="15.75">
      <c r="F3102" s="365">
        <v>1.8550000000000001E-2</v>
      </c>
      <c r="G3102" s="366" t="s">
        <v>151</v>
      </c>
      <c r="H3102" s="83" t="s">
        <v>1815</v>
      </c>
      <c r="I3102" s="367">
        <f t="shared" si="275"/>
        <v>14384.999999999998</v>
      </c>
      <c r="J3102" s="83" t="s">
        <v>151</v>
      </c>
      <c r="K3102" s="367">
        <f t="shared" si="274"/>
        <v>266.84174999999999</v>
      </c>
      <c r="S3102" s="52"/>
      <c r="T3102" s="452"/>
      <c r="U3102" s="453" t="s">
        <v>2732</v>
      </c>
      <c r="V3102" s="454">
        <f>4*2.05*0.075*0.0375</f>
        <v>2.3062499999999996E-2</v>
      </c>
      <c r="W3102" s="455" t="s">
        <v>276</v>
      </c>
      <c r="X3102" s="456"/>
      <c r="Y3102" s="456"/>
      <c r="AE3102" s="52" t="s">
        <v>2175</v>
      </c>
      <c r="AG3102" s="65" t="s">
        <v>1582</v>
      </c>
      <c r="AR3102" s="65" t="s">
        <v>2733</v>
      </c>
    </row>
    <row r="3103" spans="6:44" ht="15.75">
      <c r="F3103" s="365">
        <v>1.36</v>
      </c>
      <c r="G3103" s="366" t="s">
        <v>152</v>
      </c>
      <c r="H3103" s="83" t="s">
        <v>2734</v>
      </c>
      <c r="I3103" s="367">
        <f>I1055</f>
        <v>387.4</v>
      </c>
      <c r="J3103" s="83" t="s">
        <v>152</v>
      </c>
      <c r="K3103" s="367">
        <f t="shared" si="274"/>
        <v>526.86400000000003</v>
      </c>
      <c r="S3103" s="52"/>
      <c r="T3103" s="452"/>
      <c r="U3103" s="456"/>
      <c r="V3103" s="456"/>
      <c r="W3103" s="453" t="s">
        <v>21</v>
      </c>
      <c r="X3103" s="456"/>
      <c r="Y3103" s="456"/>
      <c r="AG3103" s="52" t="s">
        <v>2735</v>
      </c>
      <c r="AR3103" s="52" t="s">
        <v>2735</v>
      </c>
    </row>
    <row r="3104" spans="6:44" ht="15.75">
      <c r="F3104" s="365">
        <v>2.0499999999999998</v>
      </c>
      <c r="G3104" s="366" t="s">
        <v>152</v>
      </c>
      <c r="H3104" s="83" t="s">
        <v>1817</v>
      </c>
      <c r="I3104" s="367">
        <f t="shared" si="275"/>
        <v>1348.1999999999998</v>
      </c>
      <c r="J3104" s="83" t="s">
        <v>152</v>
      </c>
      <c r="K3104" s="367">
        <f t="shared" si="274"/>
        <v>2763.8099999999995</v>
      </c>
      <c r="S3104" s="52"/>
      <c r="T3104" s="452"/>
      <c r="U3104" s="453" t="s">
        <v>2736</v>
      </c>
      <c r="V3104" s="454">
        <f>2*3*0.55*0.15*0.0375</f>
        <v>1.8562499999999999E-2</v>
      </c>
      <c r="W3104" s="455" t="s">
        <v>276</v>
      </c>
      <c r="X3104" s="456"/>
      <c r="Y3104" s="456"/>
      <c r="AG3104" s="52" t="s">
        <v>2737</v>
      </c>
      <c r="AR3104" s="52" t="s">
        <v>2737</v>
      </c>
    </row>
    <row r="3105" spans="6:49" ht="15.75">
      <c r="F3105" s="367">
        <v>2</v>
      </c>
      <c r="G3105" s="366" t="s">
        <v>153</v>
      </c>
      <c r="H3105" s="83" t="s">
        <v>2738</v>
      </c>
      <c r="I3105" s="457">
        <v>50.3</v>
      </c>
      <c r="J3105" s="83" t="s">
        <v>153</v>
      </c>
      <c r="K3105" s="367">
        <f t="shared" si="274"/>
        <v>100.6</v>
      </c>
      <c r="S3105" s="52"/>
      <c r="T3105" s="452"/>
      <c r="U3105" s="453" t="s">
        <v>150</v>
      </c>
      <c r="V3105" s="453" t="s">
        <v>150</v>
      </c>
      <c r="W3105" s="455"/>
      <c r="X3105" s="458" t="s">
        <v>150</v>
      </c>
      <c r="Y3105" s="458"/>
      <c r="AE3105" s="52">
        <v>0.1</v>
      </c>
      <c r="AF3105" s="52" t="s">
        <v>154</v>
      </c>
      <c r="AG3105" s="52" t="s">
        <v>536</v>
      </c>
      <c r="AH3105" s="52">
        <f>AG17</f>
        <v>950.59999999999991</v>
      </c>
      <c r="AI3105" s="52" t="s">
        <v>340</v>
      </c>
      <c r="AJ3105" s="52">
        <f>AE3105*AH3105</f>
        <v>95.06</v>
      </c>
      <c r="AO3105" s="52">
        <v>0.1</v>
      </c>
      <c r="AP3105" s="52" t="s">
        <v>154</v>
      </c>
      <c r="AR3105" s="52" t="s">
        <v>536</v>
      </c>
      <c r="AS3105" s="52">
        <f>AH3105</f>
        <v>950.59999999999991</v>
      </c>
      <c r="AT3105" s="52" t="s">
        <v>340</v>
      </c>
      <c r="AU3105" s="52">
        <f>AS3105*AO3105</f>
        <v>95.06</v>
      </c>
    </row>
    <row r="3106" spans="6:49" ht="15.75">
      <c r="F3106" s="367">
        <v>6</v>
      </c>
      <c r="G3106" s="366" t="s">
        <v>153</v>
      </c>
      <c r="H3106" s="83" t="s">
        <v>1776</v>
      </c>
      <c r="I3106" s="367">
        <f t="shared" si="275"/>
        <v>43.6</v>
      </c>
      <c r="J3106" s="83" t="s">
        <v>153</v>
      </c>
      <c r="K3106" s="367">
        <f t="shared" si="274"/>
        <v>261.60000000000002</v>
      </c>
      <c r="S3106" s="52"/>
      <c r="T3106" s="452"/>
      <c r="U3106" s="456"/>
      <c r="V3106" s="456"/>
      <c r="W3106" s="453" t="s">
        <v>150</v>
      </c>
      <c r="X3106" s="453" t="s">
        <v>150</v>
      </c>
      <c r="Y3106" s="453"/>
      <c r="AE3106" s="52">
        <v>0.1</v>
      </c>
      <c r="AF3106" s="52" t="s">
        <v>2739</v>
      </c>
      <c r="AG3106" s="52" t="s">
        <v>1830</v>
      </c>
      <c r="AH3106" s="52">
        <f>AG11</f>
        <v>702.8</v>
      </c>
      <c r="AI3106" s="52" t="s">
        <v>340</v>
      </c>
      <c r="AJ3106" s="52">
        <f>AE3106*AH3106</f>
        <v>70.28</v>
      </c>
      <c r="AO3106" s="52">
        <v>0.1</v>
      </c>
      <c r="AP3106" s="52" t="s">
        <v>2739</v>
      </c>
      <c r="AR3106" s="52" t="s">
        <v>1830</v>
      </c>
      <c r="AS3106" s="52">
        <f>AH3106</f>
        <v>702.8</v>
      </c>
      <c r="AT3106" s="52" t="s">
        <v>340</v>
      </c>
      <c r="AU3106" s="52">
        <f>AS3106*AO3106</f>
        <v>70.28</v>
      </c>
    </row>
    <row r="3107" spans="6:49" ht="15.75">
      <c r="F3107" s="367">
        <v>2</v>
      </c>
      <c r="G3107" s="366" t="s">
        <v>153</v>
      </c>
      <c r="H3107" s="83" t="s">
        <v>2578</v>
      </c>
      <c r="I3107" s="367">
        <f t="shared" si="275"/>
        <v>53.8</v>
      </c>
      <c r="J3107" s="83" t="s">
        <v>153</v>
      </c>
      <c r="K3107" s="367">
        <f t="shared" si="274"/>
        <v>107.6</v>
      </c>
      <c r="S3107" s="52"/>
      <c r="T3107" s="452"/>
      <c r="U3107" s="453" t="s">
        <v>2740</v>
      </c>
      <c r="V3107" s="456">
        <f>2*0.625*0.425</f>
        <v>0.53125</v>
      </c>
      <c r="W3107" s="458" t="s">
        <v>150</v>
      </c>
      <c r="X3107" s="458" t="s">
        <v>150</v>
      </c>
      <c r="Y3107" s="458"/>
      <c r="AE3107" s="52">
        <v>10</v>
      </c>
      <c r="AF3107" s="52" t="s">
        <v>2741</v>
      </c>
      <c r="AG3107" s="52" t="s">
        <v>2742</v>
      </c>
      <c r="AH3107" s="129">
        <v>18</v>
      </c>
      <c r="AI3107" s="52" t="s">
        <v>2743</v>
      </c>
      <c r="AJ3107" s="52">
        <f>(AE3107*AH3107)/100</f>
        <v>1.8</v>
      </c>
      <c r="AO3107" s="52">
        <v>10</v>
      </c>
      <c r="AP3107" s="52" t="s">
        <v>2741</v>
      </c>
      <c r="AR3107" s="52" t="s">
        <v>2744</v>
      </c>
      <c r="AS3107" s="163">
        <f>AH3107</f>
        <v>18</v>
      </c>
      <c r="AT3107" s="52" t="s">
        <v>2743</v>
      </c>
      <c r="AU3107" s="52">
        <f>(AS3107*AO3107)/100</f>
        <v>1.8</v>
      </c>
    </row>
    <row r="3108" spans="6:49" ht="15.75">
      <c r="F3108" s="367">
        <v>1</v>
      </c>
      <c r="G3108" s="366" t="s">
        <v>153</v>
      </c>
      <c r="H3108" s="83" t="s">
        <v>2577</v>
      </c>
      <c r="I3108" s="459">
        <f t="shared" si="275"/>
        <v>63.2</v>
      </c>
      <c r="J3108" s="83" t="s">
        <v>153</v>
      </c>
      <c r="K3108" s="367">
        <f t="shared" si="274"/>
        <v>63.2</v>
      </c>
      <c r="S3108" s="52"/>
      <c r="T3108" s="452"/>
      <c r="U3108" s="453" t="s">
        <v>2745</v>
      </c>
      <c r="V3108" s="456">
        <f>2*0.425*1.025</f>
        <v>0.87124999999999986</v>
      </c>
      <c r="W3108" s="455"/>
      <c r="X3108" s="458">
        <v>1.26</v>
      </c>
      <c r="Y3108" s="458"/>
      <c r="AE3108" s="52">
        <v>0.25</v>
      </c>
      <c r="AF3108" s="52" t="s">
        <v>154</v>
      </c>
      <c r="AG3108" s="52" t="s">
        <v>2746</v>
      </c>
      <c r="AH3108" s="129">
        <v>3.5</v>
      </c>
      <c r="AI3108" s="52" t="s">
        <v>340</v>
      </c>
      <c r="AJ3108" s="52">
        <v>1</v>
      </c>
      <c r="AO3108" s="52">
        <v>0.25</v>
      </c>
      <c r="AP3108" s="52" t="s">
        <v>154</v>
      </c>
      <c r="AR3108" s="52" t="s">
        <v>2747</v>
      </c>
      <c r="AS3108" s="163">
        <f>AH3108</f>
        <v>3.5</v>
      </c>
      <c r="AT3108" s="52" t="s">
        <v>340</v>
      </c>
      <c r="AU3108" s="52">
        <f>AS3108*AO3108</f>
        <v>0.875</v>
      </c>
      <c r="AW3108" s="52">
        <f>3.09/0.25</f>
        <v>12.36</v>
      </c>
    </row>
    <row r="3109" spans="6:49" ht="15.75">
      <c r="F3109" s="367">
        <v>6.55</v>
      </c>
      <c r="G3109" s="366" t="s">
        <v>152</v>
      </c>
      <c r="H3109" s="83" t="s">
        <v>2748</v>
      </c>
      <c r="I3109" s="367">
        <f>K1540</f>
        <v>244.32330000000002</v>
      </c>
      <c r="J3109" s="83" t="s">
        <v>152</v>
      </c>
      <c r="K3109" s="367">
        <f>(F3109*I3109)</f>
        <v>1600.3176150000002</v>
      </c>
      <c r="S3109" s="52"/>
      <c r="T3109" s="452"/>
      <c r="U3109" s="456"/>
      <c r="V3109" s="460">
        <f>SUM(V3107:V3108)</f>
        <v>1.4024999999999999</v>
      </c>
      <c r="W3109" s="455" t="s">
        <v>533</v>
      </c>
      <c r="X3109" s="453" t="s">
        <v>150</v>
      </c>
      <c r="Y3109" s="453"/>
      <c r="AH3109" s="52" t="s">
        <v>2749</v>
      </c>
      <c r="AJ3109" s="52">
        <f>SUM(AJ3105:AJ3108)</f>
        <v>168.14000000000001</v>
      </c>
      <c r="AS3109" s="52" t="s">
        <v>2749</v>
      </c>
      <c r="AU3109" s="52">
        <f>SUM(AU3105:AU3108)</f>
        <v>168.01500000000001</v>
      </c>
    </row>
    <row r="3110" spans="6:49" ht="15.75">
      <c r="F3110" s="358">
        <v>50</v>
      </c>
      <c r="G3110" s="357" t="s">
        <v>154</v>
      </c>
      <c r="H3110" s="83" t="s">
        <v>2750</v>
      </c>
      <c r="I3110" s="461">
        <f>I961</f>
        <v>2.37</v>
      </c>
      <c r="J3110" s="359"/>
      <c r="K3110" s="367">
        <f>(F3110*I3110)</f>
        <v>118.5</v>
      </c>
      <c r="S3110" s="52"/>
      <c r="T3110" s="53"/>
      <c r="W3110" s="55"/>
      <c r="X3110" s="181" t="s">
        <v>150</v>
      </c>
      <c r="Y3110" s="181"/>
    </row>
    <row r="3111" spans="6:49" ht="15.75">
      <c r="F3111" s="358"/>
      <c r="G3111" s="357"/>
      <c r="H3111" s="372"/>
      <c r="I3111" s="372"/>
      <c r="J3111" s="373"/>
      <c r="K3111" s="374" t="s">
        <v>21</v>
      </c>
      <c r="S3111" s="52"/>
      <c r="T3111" s="53"/>
      <c r="W3111" s="55"/>
      <c r="X3111" s="50" t="s">
        <v>150</v>
      </c>
      <c r="Y3111" s="50"/>
      <c r="AG3111" s="462" t="s">
        <v>2624</v>
      </c>
      <c r="AH3111" s="52" t="s">
        <v>2751</v>
      </c>
      <c r="AI3111" s="462" t="s">
        <v>2751</v>
      </c>
      <c r="AJ3111" s="462" t="s">
        <v>2752</v>
      </c>
      <c r="AR3111" s="462" t="s">
        <v>2624</v>
      </c>
      <c r="AS3111" s="65" t="s">
        <v>2751</v>
      </c>
      <c r="AT3111" s="463" t="s">
        <v>2752</v>
      </c>
    </row>
    <row r="3112" spans="6:49" ht="15.75">
      <c r="F3112" s="358"/>
      <c r="G3112" s="357"/>
      <c r="H3112" s="375" t="s">
        <v>1823</v>
      </c>
      <c r="I3112" s="372"/>
      <c r="J3112" s="373"/>
      <c r="K3112" s="376">
        <f>SUM(K3100:K3110)</f>
        <v>10873.593365000001</v>
      </c>
      <c r="S3112" s="51" t="s">
        <v>1729</v>
      </c>
      <c r="T3112" s="62"/>
      <c r="U3112" s="54" t="s">
        <v>2753</v>
      </c>
      <c r="W3112" s="55"/>
      <c r="X3112" s="50" t="s">
        <v>150</v>
      </c>
      <c r="Y3112" s="50"/>
      <c r="AG3112" s="462"/>
      <c r="AH3112" s="52">
        <v>331</v>
      </c>
      <c r="AI3112" s="462">
        <v>331</v>
      </c>
      <c r="AJ3112" s="462">
        <v>283</v>
      </c>
      <c r="AR3112" s="462"/>
      <c r="AT3112" s="462"/>
      <c r="AU3112" s="462"/>
    </row>
    <row r="3113" spans="6:49" ht="15.75">
      <c r="F3113" s="358"/>
      <c r="G3113" s="366" t="s">
        <v>150</v>
      </c>
      <c r="H3113" s="372"/>
      <c r="I3113" s="372"/>
      <c r="J3113" s="373"/>
      <c r="K3113" s="374" t="s">
        <v>21</v>
      </c>
      <c r="S3113" s="52"/>
      <c r="T3113" s="53"/>
      <c r="U3113" s="59" t="s">
        <v>21</v>
      </c>
      <c r="W3113" s="55"/>
      <c r="AG3113" s="462" t="s">
        <v>2754</v>
      </c>
      <c r="AH3113" s="52">
        <f>AJ3109</f>
        <v>168.14000000000001</v>
      </c>
      <c r="AI3113" s="462">
        <f>AJ3109</f>
        <v>168.14000000000001</v>
      </c>
      <c r="AJ3113" s="462">
        <f>AJ3109</f>
        <v>168.14000000000001</v>
      </c>
      <c r="AR3113" s="462" t="s">
        <v>2754</v>
      </c>
      <c r="AS3113" s="65">
        <v>96</v>
      </c>
      <c r="AT3113" s="65">
        <v>85</v>
      </c>
      <c r="AU3113" s="65">
        <v>85</v>
      </c>
    </row>
    <row r="3114" spans="6:49" ht="15.75">
      <c r="F3114" s="358"/>
      <c r="G3114" s="357"/>
      <c r="H3114" s="375" t="s">
        <v>155</v>
      </c>
      <c r="I3114" s="372"/>
      <c r="J3114" s="373"/>
      <c r="K3114" s="376">
        <f>K3112/2.52</f>
        <v>4314.9180019841269</v>
      </c>
      <c r="S3114" s="130">
        <v>7.0699999999999999E-2</v>
      </c>
      <c r="T3114" s="62" t="s">
        <v>151</v>
      </c>
      <c r="U3114" s="50" t="s">
        <v>2755</v>
      </c>
      <c r="V3114" s="64">
        <f>P3154</f>
        <v>99400</v>
      </c>
      <c r="W3114" s="50" t="s">
        <v>151</v>
      </c>
      <c r="X3114" s="64">
        <f>V3114*S3114</f>
        <v>7027.58</v>
      </c>
      <c r="Y3114" s="64"/>
      <c r="AG3114" s="462" t="s">
        <v>2379</v>
      </c>
      <c r="AH3114" s="52">
        <f>SUM(AH3112:AH3113)</f>
        <v>499.14</v>
      </c>
      <c r="AI3114" s="462">
        <f>SUM(AI3112:AI3113)</f>
        <v>499.14</v>
      </c>
      <c r="AJ3114" s="462">
        <f>SUM(AJ3112:AJ3113)</f>
        <v>451.14</v>
      </c>
      <c r="AR3114" s="462" t="s">
        <v>2379</v>
      </c>
      <c r="AS3114" s="52">
        <f>AU3109</f>
        <v>168.01500000000001</v>
      </c>
      <c r="AT3114" s="462">
        <f>AU3109</f>
        <v>168.01500000000001</v>
      </c>
      <c r="AU3114" s="462"/>
    </row>
    <row r="3115" spans="6:49" ht="15.75">
      <c r="F3115" s="358"/>
      <c r="G3115" s="357"/>
      <c r="H3115" s="372"/>
      <c r="I3115" s="372"/>
      <c r="J3115" s="373"/>
      <c r="K3115" s="374" t="s">
        <v>156</v>
      </c>
      <c r="S3115" s="130">
        <v>3.6659999999999999</v>
      </c>
      <c r="T3115" s="62" t="s">
        <v>152</v>
      </c>
      <c r="U3115" s="50" t="s">
        <v>2756</v>
      </c>
      <c r="V3115" s="64">
        <f>I1176</f>
        <v>208.8</v>
      </c>
      <c r="W3115" s="50" t="s">
        <v>151</v>
      </c>
      <c r="X3115" s="64">
        <f t="shared" ref="X3115:X3122" si="276">V3115*S3115</f>
        <v>765.46080000000006</v>
      </c>
      <c r="Y3115" s="64"/>
      <c r="AG3115" s="462"/>
      <c r="AH3115" s="52">
        <f>ROUNDUP(AH3114,0)</f>
        <v>500</v>
      </c>
      <c r="AI3115" s="52">
        <f>ROUNDUP(AI3114,0)</f>
        <v>500</v>
      </c>
      <c r="AJ3115" s="52">
        <f>ROUNDUP(AJ3114,0)</f>
        <v>452</v>
      </c>
      <c r="AR3115" s="462"/>
      <c r="AS3115" s="65">
        <f>SUM(AS3112:AS3114)</f>
        <v>264.01499999999999</v>
      </c>
      <c r="AT3115" s="65">
        <f>SUM(AT3112:AT3114)</f>
        <v>253.01500000000001</v>
      </c>
    </row>
    <row r="3116" spans="6:49" ht="15.75">
      <c r="S3116" s="131">
        <v>5.16</v>
      </c>
      <c r="T3116" s="62" t="s">
        <v>152</v>
      </c>
      <c r="U3116" s="50" t="s">
        <v>880</v>
      </c>
      <c r="V3116" s="64">
        <f>AG32</f>
        <v>1509.1999999999998</v>
      </c>
      <c r="W3116" s="50" t="s">
        <v>152</v>
      </c>
      <c r="X3116" s="64">
        <f t="shared" si="276"/>
        <v>7787.4719999999988</v>
      </c>
      <c r="Y3116" s="64"/>
      <c r="AG3116" s="462"/>
      <c r="AH3116" s="462"/>
      <c r="AI3116" s="462"/>
      <c r="AJ3116" s="462"/>
      <c r="AS3116" s="52">
        <f>ROUNDUP(AS3115,0)</f>
        <v>265</v>
      </c>
      <c r="AT3116" s="52">
        <f>ROUNDUP(AT3115,0)</f>
        <v>254</v>
      </c>
    </row>
    <row r="3117" spans="6:49" ht="15.75">
      <c r="S3117" s="131">
        <v>22.66</v>
      </c>
      <c r="T3117" s="62" t="s">
        <v>2757</v>
      </c>
      <c r="U3117" s="50" t="s">
        <v>2758</v>
      </c>
      <c r="V3117" s="64">
        <v>45.7</v>
      </c>
      <c r="W3117" s="50" t="s">
        <v>152</v>
      </c>
      <c r="X3117" s="64">
        <f t="shared" si="276"/>
        <v>1035.5620000000001</v>
      </c>
      <c r="Y3117" s="64"/>
    </row>
    <row r="3118" spans="6:49" ht="15.75">
      <c r="H3118" s="65" t="s">
        <v>2759</v>
      </c>
      <c r="N3118" s="53"/>
      <c r="O3118" s="65" t="s">
        <v>2760</v>
      </c>
      <c r="Q3118" s="55"/>
      <c r="S3118" s="64">
        <v>15</v>
      </c>
      <c r="T3118" s="62" t="s">
        <v>153</v>
      </c>
      <c r="U3118" s="50" t="s">
        <v>1731</v>
      </c>
      <c r="V3118" s="64">
        <f>C279</f>
        <v>79.099999999999994</v>
      </c>
      <c r="W3118" s="50" t="s">
        <v>153</v>
      </c>
      <c r="X3118" s="64">
        <f t="shared" si="276"/>
        <v>1186.5</v>
      </c>
      <c r="Y3118" s="64"/>
    </row>
    <row r="3119" spans="6:49" ht="15.75">
      <c r="F3119" s="52">
        <v>1</v>
      </c>
      <c r="H3119" s="52" t="s">
        <v>2761</v>
      </c>
      <c r="I3119" s="464">
        <v>143.97999999999999</v>
      </c>
      <c r="J3119" s="55" t="s">
        <v>340</v>
      </c>
      <c r="K3119" s="52">
        <f>I3119</f>
        <v>143.97999999999999</v>
      </c>
      <c r="M3119" s="52">
        <v>1</v>
      </c>
      <c r="N3119" s="53"/>
      <c r="O3119" s="52" t="s">
        <v>2762</v>
      </c>
      <c r="P3119" s="129">
        <v>14.7</v>
      </c>
      <c r="Q3119" s="55" t="s">
        <v>340</v>
      </c>
      <c r="R3119" s="52">
        <f>P3119</f>
        <v>14.7</v>
      </c>
      <c r="S3119" s="64">
        <v>10</v>
      </c>
      <c r="T3119" s="62" t="s">
        <v>153</v>
      </c>
      <c r="U3119" s="50" t="s">
        <v>2763</v>
      </c>
      <c r="V3119" s="73">
        <v>68.5</v>
      </c>
      <c r="W3119" s="50" t="s">
        <v>153</v>
      </c>
      <c r="X3119" s="64">
        <f t="shared" si="276"/>
        <v>685</v>
      </c>
      <c r="Y3119" s="64"/>
    </row>
    <row r="3120" spans="6:49" ht="15.75">
      <c r="F3120" s="52">
        <v>1</v>
      </c>
      <c r="H3120" s="163" t="s">
        <v>2764</v>
      </c>
      <c r="I3120" s="464">
        <v>41.65</v>
      </c>
      <c r="J3120" s="55" t="s">
        <v>340</v>
      </c>
      <c r="K3120" s="52">
        <f>I3120</f>
        <v>41.65</v>
      </c>
      <c r="M3120" s="52">
        <v>1</v>
      </c>
      <c r="N3120" s="53"/>
      <c r="O3120" s="52" t="s">
        <v>2765</v>
      </c>
      <c r="P3120" s="129">
        <v>7.3</v>
      </c>
      <c r="Q3120" s="55" t="s">
        <v>340</v>
      </c>
      <c r="R3120" s="52">
        <f>P3120</f>
        <v>7.3</v>
      </c>
      <c r="S3120" s="64">
        <v>5</v>
      </c>
      <c r="T3120" s="62" t="s">
        <v>153</v>
      </c>
      <c r="U3120" s="50" t="s">
        <v>2766</v>
      </c>
      <c r="V3120" s="64">
        <f>P3161</f>
        <v>50.9</v>
      </c>
      <c r="W3120" s="50" t="s">
        <v>153</v>
      </c>
      <c r="X3120" s="64">
        <f t="shared" si="276"/>
        <v>254.5</v>
      </c>
      <c r="Y3120" s="64"/>
    </row>
    <row r="3121" spans="6:25" ht="15.75">
      <c r="F3121" s="56">
        <v>0.125</v>
      </c>
      <c r="H3121" s="163" t="s">
        <v>2767</v>
      </c>
      <c r="I3121" s="52">
        <f>C15</f>
        <v>933.8</v>
      </c>
      <c r="J3121" s="55" t="s">
        <v>340</v>
      </c>
      <c r="K3121" s="52">
        <f>F3121*I3121</f>
        <v>116.72499999999999</v>
      </c>
      <c r="M3121" s="56">
        <v>0.125</v>
      </c>
      <c r="N3121" s="53"/>
      <c r="O3121" s="163" t="s">
        <v>2767</v>
      </c>
      <c r="P3121" s="163">
        <f>I3121</f>
        <v>933.8</v>
      </c>
      <c r="Q3121" s="55" t="s">
        <v>340</v>
      </c>
      <c r="R3121" s="52">
        <f>M3121*P3121</f>
        <v>116.72499999999999</v>
      </c>
      <c r="S3121" s="64">
        <v>5</v>
      </c>
      <c r="T3121" s="62" t="s">
        <v>153</v>
      </c>
      <c r="U3121" s="50" t="s">
        <v>884</v>
      </c>
      <c r="V3121" s="64">
        <f>P3160</f>
        <v>7.3</v>
      </c>
      <c r="W3121" s="50" t="s">
        <v>153</v>
      </c>
      <c r="X3121" s="64">
        <f t="shared" si="276"/>
        <v>36.5</v>
      </c>
      <c r="Y3121" s="64"/>
    </row>
    <row r="3122" spans="6:25" ht="15.75">
      <c r="F3122" s="56"/>
      <c r="H3122" s="163" t="s">
        <v>337</v>
      </c>
      <c r="K3122" s="52">
        <v>2.11</v>
      </c>
      <c r="M3122" s="56"/>
      <c r="N3122" s="53"/>
      <c r="O3122" s="163" t="s">
        <v>337</v>
      </c>
      <c r="Q3122" s="55"/>
      <c r="R3122" s="52">
        <v>4.37</v>
      </c>
      <c r="S3122" s="64">
        <v>10</v>
      </c>
      <c r="T3122" s="62" t="s">
        <v>153</v>
      </c>
      <c r="U3122" s="50" t="s">
        <v>2768</v>
      </c>
      <c r="V3122" s="64">
        <f>I3110</f>
        <v>2.37</v>
      </c>
      <c r="W3122" s="50" t="s">
        <v>153</v>
      </c>
      <c r="X3122" s="64">
        <f t="shared" si="276"/>
        <v>23.700000000000003</v>
      </c>
      <c r="Y3122" s="64"/>
    </row>
    <row r="3123" spans="6:25" ht="15.75">
      <c r="H3123" s="242" t="s">
        <v>2485</v>
      </c>
      <c r="I3123" s="65"/>
      <c r="J3123" s="110"/>
      <c r="K3123" s="65">
        <f>SUM(K3119:K3122)</f>
        <v>304.46500000000003</v>
      </c>
      <c r="N3123" s="53"/>
      <c r="O3123" s="242" t="s">
        <v>2485</v>
      </c>
      <c r="P3123" s="65"/>
      <c r="Q3123" s="110"/>
      <c r="R3123" s="65">
        <f>SUM(R3119:R3122)</f>
        <v>143.095</v>
      </c>
      <c r="S3123" s="64"/>
      <c r="T3123" s="62">
        <f>R3123-90</f>
        <v>53.094999999999999</v>
      </c>
      <c r="U3123" s="50"/>
      <c r="V3123" s="64"/>
      <c r="W3123" s="50" t="s">
        <v>153</v>
      </c>
      <c r="X3123" s="59" t="s">
        <v>21</v>
      </c>
      <c r="Y3123" s="59"/>
    </row>
    <row r="3124" spans="6:25" ht="15.75">
      <c r="R3124" s="52">
        <f>R3123-87</f>
        <v>56.094999999999999</v>
      </c>
      <c r="S3124" s="64"/>
      <c r="T3124" s="53"/>
      <c r="U3124" s="51" t="s">
        <v>2769</v>
      </c>
      <c r="W3124" s="55"/>
      <c r="X3124" s="64">
        <f>SUM(X3114:X3122)</f>
        <v>18802.274799999999</v>
      </c>
      <c r="Y3124" s="64"/>
    </row>
    <row r="3125" spans="6:25" ht="15.75">
      <c r="S3125" s="52"/>
      <c r="T3125" s="53"/>
      <c r="W3125" s="55"/>
      <c r="X3125" s="59" t="s">
        <v>21</v>
      </c>
      <c r="Y3125" s="59"/>
    </row>
    <row r="3126" spans="6:25" ht="15.75">
      <c r="F3126" s="51" t="s">
        <v>1742</v>
      </c>
      <c r="G3126" s="62" t="s">
        <v>249</v>
      </c>
      <c r="H3126" s="50" t="s">
        <v>1743</v>
      </c>
      <c r="S3126" s="52"/>
      <c r="T3126" s="62" t="s">
        <v>150</v>
      </c>
      <c r="U3126" s="66" t="s">
        <v>155</v>
      </c>
      <c r="W3126" s="55"/>
      <c r="X3126" s="63">
        <f>X3124/S3116</f>
        <v>3643.8517054263561</v>
      </c>
      <c r="Y3126" s="63"/>
    </row>
    <row r="3127" spans="6:25" ht="15.75">
      <c r="H3127" s="50" t="s">
        <v>1744</v>
      </c>
      <c r="S3127" s="52"/>
      <c r="T3127" s="53"/>
      <c r="W3127" s="55"/>
      <c r="X3127" s="59" t="s">
        <v>156</v>
      </c>
      <c r="Y3127" s="59"/>
    </row>
    <row r="3128" spans="6:25" ht="15.75">
      <c r="H3128" s="50" t="s">
        <v>1746</v>
      </c>
      <c r="S3128" s="52"/>
      <c r="T3128" s="53"/>
    </row>
    <row r="3129" spans="6:25" ht="15.75">
      <c r="H3129" s="50" t="s">
        <v>1747</v>
      </c>
      <c r="S3129" s="51"/>
      <c r="T3129" s="62"/>
      <c r="U3129" s="50" t="s">
        <v>2770</v>
      </c>
      <c r="W3129" s="55"/>
      <c r="X3129" s="50" t="s">
        <v>150</v>
      </c>
      <c r="Y3129" s="50"/>
    </row>
    <row r="3130" spans="6:25" ht="15.75">
      <c r="H3130" s="50" t="s">
        <v>1748</v>
      </c>
      <c r="S3130" s="52"/>
      <c r="T3130" s="53"/>
      <c r="U3130" s="59" t="s">
        <v>21</v>
      </c>
      <c r="W3130" s="55"/>
    </row>
    <row r="3131" spans="6:25" ht="15.75">
      <c r="H3131" s="50" t="s">
        <v>1749</v>
      </c>
      <c r="S3131" s="130">
        <v>2.7400000000000001E-2</v>
      </c>
      <c r="T3131" s="62" t="s">
        <v>151</v>
      </c>
      <c r="U3131" s="50" t="s">
        <v>2755</v>
      </c>
      <c r="V3131" s="64">
        <f>V3114</f>
        <v>99400</v>
      </c>
      <c r="W3131" s="50" t="s">
        <v>151</v>
      </c>
      <c r="X3131" s="64">
        <f>V3131*S3131</f>
        <v>2723.56</v>
      </c>
      <c r="Y3131" s="64"/>
    </row>
    <row r="3132" spans="6:25" ht="15.75">
      <c r="H3132" s="59" t="s">
        <v>21</v>
      </c>
      <c r="S3132" s="130">
        <v>1.1599999999999999</v>
      </c>
      <c r="T3132" s="62" t="s">
        <v>152</v>
      </c>
      <c r="U3132" s="50" t="s">
        <v>2756</v>
      </c>
      <c r="V3132" s="64">
        <f t="shared" ref="V3132:V3139" si="277">V3115</f>
        <v>208.8</v>
      </c>
      <c r="W3132" s="50" t="s">
        <v>151</v>
      </c>
      <c r="X3132" s="64">
        <f t="shared" ref="X3132:X3139" si="278">V3132*S3132</f>
        <v>242.208</v>
      </c>
      <c r="Y3132" s="64"/>
    </row>
    <row r="3133" spans="6:25" ht="15.75">
      <c r="H3133" s="50" t="s">
        <v>2771</v>
      </c>
      <c r="M3133" s="51" t="s">
        <v>1742</v>
      </c>
      <c r="N3133" s="62" t="s">
        <v>249</v>
      </c>
      <c r="O3133" s="50" t="s">
        <v>1743</v>
      </c>
      <c r="Q3133" s="55"/>
      <c r="S3133" s="131">
        <v>1.74</v>
      </c>
      <c r="T3133" s="62" t="s">
        <v>152</v>
      </c>
      <c r="U3133" s="50" t="s">
        <v>880</v>
      </c>
      <c r="V3133" s="64">
        <f t="shared" si="277"/>
        <v>1509.1999999999998</v>
      </c>
      <c r="W3133" s="50" t="s">
        <v>152</v>
      </c>
      <c r="X3133" s="64">
        <f t="shared" si="278"/>
        <v>2626.0079999999998</v>
      </c>
      <c r="Y3133" s="64"/>
    </row>
    <row r="3134" spans="6:25" ht="15.75">
      <c r="H3134" s="50" t="s">
        <v>1751</v>
      </c>
      <c r="N3134" s="53"/>
      <c r="O3134" s="50" t="s">
        <v>1744</v>
      </c>
      <c r="Q3134" s="55"/>
      <c r="S3134" s="131">
        <v>8.74</v>
      </c>
      <c r="T3134" s="62" t="s">
        <v>2757</v>
      </c>
      <c r="U3134" s="50" t="s">
        <v>2758</v>
      </c>
      <c r="V3134" s="64">
        <f t="shared" si="277"/>
        <v>45.7</v>
      </c>
      <c r="W3134" s="50" t="s">
        <v>152</v>
      </c>
      <c r="X3134" s="64">
        <f t="shared" si="278"/>
        <v>399.41800000000001</v>
      </c>
      <c r="Y3134" s="64"/>
    </row>
    <row r="3135" spans="6:25" ht="15.75">
      <c r="J3135" s="50" t="s">
        <v>21</v>
      </c>
      <c r="N3135" s="53"/>
      <c r="O3135" s="50" t="s">
        <v>1746</v>
      </c>
      <c r="Q3135" s="55"/>
      <c r="S3135" s="64">
        <v>6</v>
      </c>
      <c r="T3135" s="62" t="s">
        <v>153</v>
      </c>
      <c r="U3135" s="50" t="s">
        <v>1731</v>
      </c>
      <c r="V3135" s="64">
        <f t="shared" si="277"/>
        <v>79.099999999999994</v>
      </c>
      <c r="W3135" s="50" t="s">
        <v>153</v>
      </c>
      <c r="X3135" s="64">
        <f t="shared" si="278"/>
        <v>474.59999999999997</v>
      </c>
      <c r="Y3135" s="64"/>
    </row>
    <row r="3136" spans="6:25" ht="15.75">
      <c r="H3136" s="50" t="s">
        <v>2772</v>
      </c>
      <c r="N3136" s="53"/>
      <c r="O3136" s="50" t="s">
        <v>1747</v>
      </c>
      <c r="Q3136" s="55"/>
      <c r="S3136" s="64">
        <v>4</v>
      </c>
      <c r="T3136" s="62" t="s">
        <v>153</v>
      </c>
      <c r="U3136" s="50" t="s">
        <v>2763</v>
      </c>
      <c r="V3136" s="64">
        <f t="shared" si="277"/>
        <v>68.5</v>
      </c>
      <c r="W3136" s="50" t="s">
        <v>153</v>
      </c>
      <c r="X3136" s="64">
        <f t="shared" si="278"/>
        <v>274</v>
      </c>
      <c r="Y3136" s="64"/>
    </row>
    <row r="3137" spans="6:25" ht="15.75">
      <c r="H3137" s="50" t="s">
        <v>150</v>
      </c>
      <c r="I3137" s="50" t="s">
        <v>150</v>
      </c>
      <c r="K3137" s="181" t="s">
        <v>150</v>
      </c>
      <c r="N3137" s="53"/>
      <c r="O3137" s="50" t="s">
        <v>1748</v>
      </c>
      <c r="Q3137" s="55"/>
      <c r="S3137" s="64">
        <v>2</v>
      </c>
      <c r="T3137" s="62" t="s">
        <v>153</v>
      </c>
      <c r="U3137" s="50" t="s">
        <v>2766</v>
      </c>
      <c r="V3137" s="64">
        <f t="shared" si="277"/>
        <v>50.9</v>
      </c>
      <c r="W3137" s="50" t="s">
        <v>153</v>
      </c>
      <c r="X3137" s="64">
        <f t="shared" si="278"/>
        <v>101.8</v>
      </c>
      <c r="Y3137" s="64"/>
    </row>
    <row r="3138" spans="6:25" ht="15.75">
      <c r="J3138" s="50" t="s">
        <v>150</v>
      </c>
      <c r="K3138" s="50" t="s">
        <v>150</v>
      </c>
      <c r="N3138" s="53"/>
      <c r="O3138" s="50" t="s">
        <v>1749</v>
      </c>
      <c r="Q3138" s="55"/>
      <c r="S3138" s="64">
        <v>2</v>
      </c>
      <c r="T3138" s="62" t="s">
        <v>153</v>
      </c>
      <c r="U3138" s="50" t="s">
        <v>884</v>
      </c>
      <c r="V3138" s="64">
        <f t="shared" si="277"/>
        <v>7.3</v>
      </c>
      <c r="W3138" s="50" t="s">
        <v>153</v>
      </c>
      <c r="X3138" s="64">
        <f t="shared" si="278"/>
        <v>14.6</v>
      </c>
      <c r="Y3138" s="64"/>
    </row>
    <row r="3139" spans="6:25" ht="15.75">
      <c r="H3139" s="50" t="s">
        <v>2773</v>
      </c>
      <c r="J3139" s="181" t="s">
        <v>150</v>
      </c>
      <c r="K3139" s="181" t="s">
        <v>150</v>
      </c>
      <c r="N3139" s="53"/>
      <c r="O3139" s="61" t="s">
        <v>2774</v>
      </c>
      <c r="Q3139" s="55"/>
      <c r="S3139" s="64">
        <v>10</v>
      </c>
      <c r="T3139" s="62" t="s">
        <v>153</v>
      </c>
      <c r="U3139" s="50" t="s">
        <v>2768</v>
      </c>
      <c r="V3139" s="64">
        <f t="shared" si="277"/>
        <v>2.37</v>
      </c>
      <c r="W3139" s="50" t="s">
        <v>153</v>
      </c>
      <c r="X3139" s="64">
        <f t="shared" si="278"/>
        <v>23.700000000000003</v>
      </c>
      <c r="Y3139" s="64"/>
    </row>
    <row r="3140" spans="6:25" ht="15.75">
      <c r="H3140" s="50" t="s">
        <v>2775</v>
      </c>
      <c r="K3140" s="181">
        <v>1.26</v>
      </c>
      <c r="N3140" s="53"/>
      <c r="O3140" s="50" t="s">
        <v>2776</v>
      </c>
      <c r="P3140" s="151">
        <f>1.1*2.05</f>
        <v>2.2549999999999999</v>
      </c>
      <c r="Q3140" s="55" t="s">
        <v>533</v>
      </c>
      <c r="S3140" s="64"/>
      <c r="T3140" s="62"/>
      <c r="U3140" s="50"/>
      <c r="V3140" s="64"/>
      <c r="W3140" s="50" t="s">
        <v>153</v>
      </c>
      <c r="X3140" s="59" t="s">
        <v>21</v>
      </c>
      <c r="Y3140" s="59"/>
    </row>
    <row r="3141" spans="6:25" ht="15.75">
      <c r="K3141" s="50" t="s">
        <v>150</v>
      </c>
      <c r="N3141" s="53"/>
      <c r="O3141" s="50" t="s">
        <v>2777</v>
      </c>
      <c r="P3141" s="414">
        <f>2*2.05*0.075*0.0375</f>
        <v>1.1531249999999998E-2</v>
      </c>
      <c r="Q3141" s="55" t="s">
        <v>276</v>
      </c>
      <c r="S3141" s="64"/>
      <c r="T3141" s="53"/>
      <c r="U3141" s="51" t="s">
        <v>2778</v>
      </c>
      <c r="W3141" s="55"/>
      <c r="X3141" s="64">
        <f>SUM(X3131:X3139)</f>
        <v>6879.8940000000002</v>
      </c>
      <c r="Y3141" s="64"/>
    </row>
    <row r="3142" spans="6:25" ht="15.75">
      <c r="K3142" s="181" t="s">
        <v>150</v>
      </c>
      <c r="N3142" s="53"/>
      <c r="Q3142" s="50" t="s">
        <v>21</v>
      </c>
      <c r="S3142" s="52"/>
      <c r="T3142" s="53"/>
      <c r="W3142" s="55"/>
      <c r="X3142" s="59" t="s">
        <v>21</v>
      </c>
      <c r="Y3142" s="59"/>
    </row>
    <row r="3143" spans="6:25" ht="15.75">
      <c r="K3143" s="50" t="s">
        <v>150</v>
      </c>
      <c r="N3143" s="53"/>
      <c r="O3143" s="50" t="s">
        <v>2779</v>
      </c>
      <c r="P3143" s="414">
        <f>1*3*1.1*0.15*0.0375</f>
        <v>1.8562499999999999E-2</v>
      </c>
      <c r="Q3143" s="55" t="s">
        <v>276</v>
      </c>
      <c r="S3143" s="52"/>
      <c r="T3143" s="62" t="s">
        <v>150</v>
      </c>
      <c r="U3143" s="66" t="s">
        <v>155</v>
      </c>
      <c r="W3143" s="55"/>
      <c r="X3143" s="63">
        <f>X3141/S3133</f>
        <v>3953.9620689655176</v>
      </c>
      <c r="Y3143" s="63"/>
    </row>
    <row r="3144" spans="6:25" ht="15.75">
      <c r="F3144" s="51" t="s">
        <v>1729</v>
      </c>
      <c r="G3144" s="62"/>
      <c r="H3144" s="50" t="s">
        <v>1769</v>
      </c>
      <c r="K3144" s="50" t="s">
        <v>150</v>
      </c>
      <c r="N3144" s="53"/>
      <c r="O3144" s="50" t="s">
        <v>150</v>
      </c>
      <c r="P3144" s="50" t="s">
        <v>150</v>
      </c>
      <c r="Q3144" s="55"/>
      <c r="R3144" s="181" t="s">
        <v>150</v>
      </c>
      <c r="S3144" s="52"/>
      <c r="T3144" s="53"/>
      <c r="W3144" s="55"/>
      <c r="X3144" s="59" t="s">
        <v>156</v>
      </c>
      <c r="Y3144" s="59"/>
    </row>
    <row r="3145" spans="6:25" ht="15.75">
      <c r="H3145" s="59" t="s">
        <v>21</v>
      </c>
      <c r="N3145" s="53"/>
      <c r="Q3145" s="50" t="s">
        <v>150</v>
      </c>
      <c r="R3145" s="50" t="s">
        <v>150</v>
      </c>
    </row>
    <row r="3146" spans="6:25" ht="15.75">
      <c r="F3146" s="130">
        <v>1.153E-2</v>
      </c>
      <c r="G3146" s="62" t="s">
        <v>151</v>
      </c>
      <c r="H3146" s="50" t="s">
        <v>877</v>
      </c>
      <c r="I3146" s="64">
        <f>AE26</f>
        <v>111600</v>
      </c>
      <c r="J3146" s="50" t="s">
        <v>151</v>
      </c>
      <c r="K3146" s="64">
        <f>I3146*F3146</f>
        <v>1286.748</v>
      </c>
      <c r="N3146" s="53"/>
      <c r="O3146" s="50" t="s">
        <v>2780</v>
      </c>
      <c r="P3146" s="52">
        <f>1*0.625*0.975</f>
        <v>0.609375</v>
      </c>
      <c r="Q3146" s="181" t="s">
        <v>150</v>
      </c>
      <c r="R3146" s="181" t="s">
        <v>150</v>
      </c>
    </row>
    <row r="3147" spans="6:25" ht="15.75">
      <c r="F3147" s="131">
        <v>1.52E-2</v>
      </c>
      <c r="G3147" s="62" t="s">
        <v>151</v>
      </c>
      <c r="H3147" s="50" t="s">
        <v>878</v>
      </c>
      <c r="I3147" s="64">
        <f>AE27</f>
        <v>99400</v>
      </c>
      <c r="J3147" s="50" t="s">
        <v>151</v>
      </c>
      <c r="K3147" s="64">
        <f t="shared" ref="K3147:K3155" si="279">I3147*F3147</f>
        <v>1510.88</v>
      </c>
      <c r="N3147" s="53"/>
      <c r="O3147" s="50" t="s">
        <v>2745</v>
      </c>
      <c r="P3147" s="52">
        <f>1*0.975*1.025</f>
        <v>0.9993749999999999</v>
      </c>
      <c r="Q3147" s="55"/>
      <c r="R3147" s="181">
        <v>1.26</v>
      </c>
      <c r="U3147" s="54" t="s">
        <v>2781</v>
      </c>
    </row>
    <row r="3148" spans="6:25" ht="15.75">
      <c r="F3148" s="131">
        <f>K3140</f>
        <v>1.26</v>
      </c>
      <c r="G3148" s="62" t="s">
        <v>152</v>
      </c>
      <c r="H3148" s="50" t="s">
        <v>879</v>
      </c>
      <c r="I3148" s="64">
        <f>C783</f>
        <v>387.4</v>
      </c>
      <c r="J3148" s="50" t="s">
        <v>152</v>
      </c>
      <c r="K3148" s="64">
        <f t="shared" si="279"/>
        <v>488.12399999999997</v>
      </c>
      <c r="N3148" s="53"/>
      <c r="P3148" s="65">
        <f>SUM(P3146:P3147)</f>
        <v>1.6087499999999999</v>
      </c>
      <c r="Q3148" s="55" t="s">
        <v>533</v>
      </c>
      <c r="R3148" s="50" t="s">
        <v>150</v>
      </c>
      <c r="S3148" s="2108" t="s">
        <v>2782</v>
      </c>
      <c r="T3148" s="2108"/>
      <c r="U3148" s="56">
        <f>2*2*0.075*0.0375*1.95</f>
        <v>2.1937499999999999E-2</v>
      </c>
    </row>
    <row r="3149" spans="6:25" ht="15.75">
      <c r="F3149" s="131">
        <v>1.845</v>
      </c>
      <c r="G3149" s="62" t="s">
        <v>152</v>
      </c>
      <c r="H3149" s="50" t="s">
        <v>880</v>
      </c>
      <c r="I3149" s="64">
        <f>D30</f>
        <v>1348.1999999999998</v>
      </c>
      <c r="J3149" s="50" t="s">
        <v>152</v>
      </c>
      <c r="K3149" s="64">
        <f t="shared" si="279"/>
        <v>2487.4289999999996</v>
      </c>
      <c r="N3149" s="53"/>
      <c r="Q3149" s="55"/>
      <c r="R3149" s="181" t="s">
        <v>150</v>
      </c>
      <c r="S3149" s="465" t="s">
        <v>2783</v>
      </c>
      <c r="T3149" s="53"/>
      <c r="U3149" s="414">
        <f>2*2*0.065*0.075*0.375</f>
        <v>7.3124999999999996E-3</v>
      </c>
    </row>
    <row r="3150" spans="6:25" ht="15.75">
      <c r="F3150" s="64">
        <v>2</v>
      </c>
      <c r="G3150" s="62" t="s">
        <v>153</v>
      </c>
      <c r="H3150" s="50" t="s">
        <v>881</v>
      </c>
      <c r="I3150" s="64">
        <f>C284</f>
        <v>57.2</v>
      </c>
      <c r="J3150" s="50" t="s">
        <v>153</v>
      </c>
      <c r="K3150" s="64">
        <f t="shared" si="279"/>
        <v>114.4</v>
      </c>
      <c r="N3150" s="53"/>
      <c r="Q3150" s="55"/>
      <c r="R3150" s="50" t="s">
        <v>150</v>
      </c>
      <c r="S3150" s="465"/>
      <c r="T3150" s="53"/>
      <c r="U3150" s="352">
        <f>SUM(U3148:U3149)</f>
        <v>2.9249999999999998E-2</v>
      </c>
      <c r="V3150" s="52" t="s">
        <v>2784</v>
      </c>
    </row>
    <row r="3151" spans="6:25" ht="15.75">
      <c r="F3151" s="64">
        <v>3</v>
      </c>
      <c r="G3151" s="62" t="s">
        <v>153</v>
      </c>
      <c r="H3151" s="50" t="s">
        <v>1731</v>
      </c>
      <c r="I3151" s="64">
        <f>C279</f>
        <v>79.099999999999994</v>
      </c>
      <c r="J3151" s="50" t="s">
        <v>153</v>
      </c>
      <c r="K3151" s="64">
        <f t="shared" si="279"/>
        <v>237.29999999999998</v>
      </c>
      <c r="M3151" s="51" t="s">
        <v>1729</v>
      </c>
      <c r="N3151" s="62"/>
      <c r="O3151" s="50" t="s">
        <v>2785</v>
      </c>
      <c r="Q3151" s="55"/>
      <c r="R3151" s="50" t="s">
        <v>150</v>
      </c>
      <c r="S3151" s="465" t="s">
        <v>2786</v>
      </c>
      <c r="T3151" s="53"/>
      <c r="U3151" s="56">
        <f>2*0.65*1.95</f>
        <v>2.5350000000000001</v>
      </c>
      <c r="V3151" s="52" t="s">
        <v>910</v>
      </c>
    </row>
    <row r="3152" spans="6:25" ht="15.75">
      <c r="F3152" s="64">
        <v>1</v>
      </c>
      <c r="G3152" s="62" t="s">
        <v>153</v>
      </c>
      <c r="H3152" s="50" t="s">
        <v>883</v>
      </c>
      <c r="I3152" s="64">
        <f>C286</f>
        <v>159.69999999999999</v>
      </c>
      <c r="J3152" s="50" t="s">
        <v>153</v>
      </c>
      <c r="K3152" s="64">
        <f t="shared" si="279"/>
        <v>159.69999999999999</v>
      </c>
      <c r="N3152" s="53"/>
      <c r="O3152" s="59" t="s">
        <v>21</v>
      </c>
      <c r="Q3152" s="55"/>
      <c r="S3152" s="465" t="s">
        <v>2787</v>
      </c>
      <c r="T3152" s="53"/>
      <c r="U3152" s="56">
        <f>1*2*0.525*1.825</f>
        <v>1.91625</v>
      </c>
      <c r="V3152" s="52" t="s">
        <v>2788</v>
      </c>
    </row>
    <row r="3153" spans="6:25" ht="15.75">
      <c r="F3153" s="64">
        <v>1</v>
      </c>
      <c r="G3153" s="62" t="s">
        <v>153</v>
      </c>
      <c r="H3153" s="50" t="s">
        <v>884</v>
      </c>
      <c r="I3153" s="64">
        <f>C288</f>
        <v>7.3</v>
      </c>
      <c r="J3153" s="50" t="s">
        <v>153</v>
      </c>
      <c r="K3153" s="64">
        <f t="shared" si="279"/>
        <v>7.3</v>
      </c>
      <c r="M3153" s="130">
        <f>P3141</f>
        <v>1.1531249999999998E-2</v>
      </c>
      <c r="N3153" s="62" t="s">
        <v>151</v>
      </c>
      <c r="O3153" s="50" t="s">
        <v>877</v>
      </c>
      <c r="P3153" s="64">
        <f>I3146</f>
        <v>111600</v>
      </c>
      <c r="Q3153" s="50" t="s">
        <v>151</v>
      </c>
      <c r="R3153" s="64">
        <f>P3153*M3153</f>
        <v>1286.8874999999998</v>
      </c>
      <c r="S3153" s="465" t="s">
        <v>2789</v>
      </c>
      <c r="T3153" s="53"/>
      <c r="U3153" s="56">
        <f>2*2*(0.525+1.825)</f>
        <v>9.4</v>
      </c>
      <c r="V3153" s="52" t="s">
        <v>2790</v>
      </c>
    </row>
    <row r="3154" spans="6:25" ht="15.75">
      <c r="F3154" s="64">
        <v>1</v>
      </c>
      <c r="G3154" s="62" t="s">
        <v>153</v>
      </c>
      <c r="H3154" s="50" t="s">
        <v>1763</v>
      </c>
      <c r="I3154" s="64">
        <f>C598</f>
        <v>50.9</v>
      </c>
      <c r="J3154" s="50" t="s">
        <v>153</v>
      </c>
      <c r="K3154" s="64">
        <f t="shared" si="279"/>
        <v>50.9</v>
      </c>
      <c r="M3154" s="130">
        <f>P3143</f>
        <v>1.8562499999999999E-2</v>
      </c>
      <c r="N3154" s="62" t="s">
        <v>151</v>
      </c>
      <c r="O3154" s="50" t="s">
        <v>878</v>
      </c>
      <c r="P3154" s="64">
        <f t="shared" ref="P3154:P3162" si="280">I3147</f>
        <v>99400</v>
      </c>
      <c r="Q3154" s="50" t="s">
        <v>151</v>
      </c>
      <c r="R3154" s="64">
        <f t="shared" ref="R3154:R3163" si="281">P3154*M3154</f>
        <v>1845.1125</v>
      </c>
      <c r="S3154" s="51"/>
      <c r="T3154" s="62"/>
      <c r="W3154" s="55"/>
      <c r="X3154" s="50" t="s">
        <v>150</v>
      </c>
      <c r="Y3154" s="50"/>
    </row>
    <row r="3155" spans="6:25" ht="15.75">
      <c r="F3155" s="64">
        <v>1</v>
      </c>
      <c r="G3155" s="62" t="s">
        <v>153</v>
      </c>
      <c r="H3155" s="50" t="s">
        <v>886</v>
      </c>
      <c r="I3155" s="64">
        <f>D598</f>
        <v>43.8</v>
      </c>
      <c r="J3155" s="50" t="s">
        <v>153</v>
      </c>
      <c r="K3155" s="64">
        <f t="shared" si="279"/>
        <v>43.8</v>
      </c>
      <c r="M3155" s="131">
        <f>P3148</f>
        <v>1.6087499999999999</v>
      </c>
      <c r="N3155" s="62" t="s">
        <v>152</v>
      </c>
      <c r="O3155" s="50" t="s">
        <v>879</v>
      </c>
      <c r="P3155" s="64">
        <f t="shared" si="280"/>
        <v>387.4</v>
      </c>
      <c r="Q3155" s="50" t="s">
        <v>152</v>
      </c>
      <c r="R3155" s="64">
        <f t="shared" si="281"/>
        <v>623.22974999999997</v>
      </c>
      <c r="S3155" s="52"/>
      <c r="T3155" s="53"/>
      <c r="U3155" s="59" t="s">
        <v>21</v>
      </c>
      <c r="W3155" s="55"/>
    </row>
    <row r="3156" spans="6:25" ht="15.75">
      <c r="H3156" s="380" t="s">
        <v>2768</v>
      </c>
      <c r="K3156" s="162">
        <f>10*2.18</f>
        <v>21.8</v>
      </c>
      <c r="M3156" s="131">
        <f>P3140</f>
        <v>2.2549999999999999</v>
      </c>
      <c r="N3156" s="62" t="s">
        <v>152</v>
      </c>
      <c r="O3156" s="50" t="s">
        <v>880</v>
      </c>
      <c r="P3156" s="64">
        <f t="shared" si="280"/>
        <v>1348.1999999999998</v>
      </c>
      <c r="Q3156" s="50" t="s">
        <v>152</v>
      </c>
      <c r="R3156" s="64">
        <f t="shared" si="281"/>
        <v>3040.1909999999993</v>
      </c>
      <c r="S3156" s="130">
        <v>9.2099999999999994E-3</v>
      </c>
      <c r="T3156" s="62" t="s">
        <v>151</v>
      </c>
      <c r="U3156" s="50" t="s">
        <v>2755</v>
      </c>
      <c r="V3156" s="64">
        <f>V3131</f>
        <v>99400</v>
      </c>
      <c r="W3156" s="50" t="s">
        <v>151</v>
      </c>
      <c r="X3156" s="64">
        <f>V3156*S3156</f>
        <v>915.47399999999993</v>
      </c>
      <c r="Y3156" s="64"/>
    </row>
    <row r="3157" spans="6:25" ht="15.75">
      <c r="H3157" s="51" t="s">
        <v>2791</v>
      </c>
      <c r="K3157" s="64">
        <f>SUM(K3146:K3156)</f>
        <v>6408.3809999999994</v>
      </c>
      <c r="M3157" s="64">
        <v>2</v>
      </c>
      <c r="N3157" s="62" t="s">
        <v>153</v>
      </c>
      <c r="O3157" s="50" t="s">
        <v>881</v>
      </c>
      <c r="P3157" s="64">
        <f t="shared" si="280"/>
        <v>57.2</v>
      </c>
      <c r="Q3157" s="50" t="s">
        <v>153</v>
      </c>
      <c r="R3157" s="64">
        <f t="shared" si="281"/>
        <v>114.4</v>
      </c>
      <c r="S3157" s="130">
        <v>0.65249999999999997</v>
      </c>
      <c r="T3157" s="62" t="s">
        <v>152</v>
      </c>
      <c r="U3157" s="50" t="s">
        <v>2756</v>
      </c>
      <c r="V3157" s="64">
        <f>V3132</f>
        <v>208.8</v>
      </c>
      <c r="W3157" s="50" t="s">
        <v>151</v>
      </c>
      <c r="X3157" s="64">
        <f t="shared" ref="X3157:X3164" si="282">V3157*S3157</f>
        <v>136.24199999999999</v>
      </c>
      <c r="Y3157" s="64"/>
    </row>
    <row r="3158" spans="6:25" ht="15.75">
      <c r="G3158" s="62" t="s">
        <v>150</v>
      </c>
      <c r="K3158" s="59" t="s">
        <v>21</v>
      </c>
      <c r="M3158" s="64">
        <v>3</v>
      </c>
      <c r="N3158" s="62" t="s">
        <v>153</v>
      </c>
      <c r="O3158" s="50" t="s">
        <v>1731</v>
      </c>
      <c r="P3158" s="64">
        <f t="shared" si="280"/>
        <v>79.099999999999994</v>
      </c>
      <c r="Q3158" s="50" t="s">
        <v>153</v>
      </c>
      <c r="R3158" s="64">
        <f t="shared" si="281"/>
        <v>237.29999999999998</v>
      </c>
      <c r="S3158" s="131">
        <v>0.879</v>
      </c>
      <c r="T3158" s="62" t="s">
        <v>152</v>
      </c>
      <c r="U3158" s="50" t="s">
        <v>880</v>
      </c>
      <c r="V3158" s="64">
        <f t="shared" ref="V3158:V3163" si="283">V3133</f>
        <v>1509.1999999999998</v>
      </c>
      <c r="W3158" s="50" t="s">
        <v>152</v>
      </c>
      <c r="X3158" s="64">
        <f t="shared" si="282"/>
        <v>1326.5867999999998</v>
      </c>
      <c r="Y3158" s="64"/>
    </row>
    <row r="3159" spans="6:25" ht="15.75">
      <c r="H3159" s="66" t="s">
        <v>155</v>
      </c>
      <c r="K3159" s="63">
        <f>K3157/F3149</f>
        <v>3473.3772357723574</v>
      </c>
      <c r="M3159" s="64">
        <v>1</v>
      </c>
      <c r="N3159" s="62" t="s">
        <v>153</v>
      </c>
      <c r="O3159" s="50" t="s">
        <v>883</v>
      </c>
      <c r="P3159" s="64">
        <f t="shared" si="280"/>
        <v>159.69999999999999</v>
      </c>
      <c r="Q3159" s="50" t="s">
        <v>153</v>
      </c>
      <c r="R3159" s="64">
        <f t="shared" si="281"/>
        <v>159.69999999999999</v>
      </c>
      <c r="S3159" s="131">
        <v>4.3250000000000002</v>
      </c>
      <c r="T3159" s="62" t="s">
        <v>2757</v>
      </c>
      <c r="U3159" s="50" t="s">
        <v>2758</v>
      </c>
      <c r="V3159" s="64">
        <f t="shared" si="283"/>
        <v>45.7</v>
      </c>
      <c r="W3159" s="50" t="s">
        <v>152</v>
      </c>
      <c r="X3159" s="64">
        <f t="shared" si="282"/>
        <v>197.65250000000003</v>
      </c>
      <c r="Y3159" s="64"/>
    </row>
    <row r="3160" spans="6:25" ht="15.75">
      <c r="K3160" s="59" t="s">
        <v>156</v>
      </c>
      <c r="M3160" s="64">
        <v>1</v>
      </c>
      <c r="N3160" s="62" t="s">
        <v>153</v>
      </c>
      <c r="O3160" s="50" t="s">
        <v>884</v>
      </c>
      <c r="P3160" s="64">
        <f t="shared" si="280"/>
        <v>7.3</v>
      </c>
      <c r="Q3160" s="50" t="s">
        <v>153</v>
      </c>
      <c r="R3160" s="64">
        <f t="shared" si="281"/>
        <v>7.3</v>
      </c>
      <c r="S3160" s="64">
        <v>3</v>
      </c>
      <c r="T3160" s="62" t="s">
        <v>153</v>
      </c>
      <c r="U3160" s="50" t="s">
        <v>1731</v>
      </c>
      <c r="V3160" s="64">
        <f t="shared" si="283"/>
        <v>79.099999999999994</v>
      </c>
      <c r="W3160" s="50" t="s">
        <v>153</v>
      </c>
      <c r="X3160" s="64">
        <f t="shared" si="282"/>
        <v>237.29999999999998</v>
      </c>
      <c r="Y3160" s="64"/>
    </row>
    <row r="3161" spans="6:25" ht="15.75">
      <c r="M3161" s="64">
        <v>1</v>
      </c>
      <c r="N3161" s="62" t="s">
        <v>153</v>
      </c>
      <c r="O3161" s="50" t="s">
        <v>1763</v>
      </c>
      <c r="P3161" s="64">
        <f t="shared" si="280"/>
        <v>50.9</v>
      </c>
      <c r="Q3161" s="50" t="s">
        <v>153</v>
      </c>
      <c r="R3161" s="64">
        <f t="shared" si="281"/>
        <v>50.9</v>
      </c>
      <c r="S3161" s="64">
        <v>2</v>
      </c>
      <c r="T3161" s="62" t="s">
        <v>153</v>
      </c>
      <c r="U3161" s="50" t="s">
        <v>2763</v>
      </c>
      <c r="V3161" s="64">
        <f t="shared" si="283"/>
        <v>68.5</v>
      </c>
      <c r="W3161" s="50" t="s">
        <v>153</v>
      </c>
      <c r="X3161" s="64">
        <f t="shared" si="282"/>
        <v>137</v>
      </c>
      <c r="Y3161" s="64"/>
    </row>
    <row r="3162" spans="6:25" ht="15.75">
      <c r="M3162" s="64">
        <v>1</v>
      </c>
      <c r="N3162" s="62" t="s">
        <v>153</v>
      </c>
      <c r="O3162" s="50" t="s">
        <v>886</v>
      </c>
      <c r="P3162" s="64">
        <f t="shared" si="280"/>
        <v>43.8</v>
      </c>
      <c r="Q3162" s="50" t="s">
        <v>153</v>
      </c>
      <c r="R3162" s="64">
        <f t="shared" si="281"/>
        <v>43.8</v>
      </c>
      <c r="S3162" s="64">
        <v>1</v>
      </c>
      <c r="T3162" s="62" t="s">
        <v>153</v>
      </c>
      <c r="U3162" s="50" t="s">
        <v>2766</v>
      </c>
      <c r="V3162" s="64">
        <f t="shared" si="283"/>
        <v>50.9</v>
      </c>
      <c r="W3162" s="50" t="s">
        <v>153</v>
      </c>
      <c r="X3162" s="64">
        <f t="shared" si="282"/>
        <v>50.9</v>
      </c>
      <c r="Y3162" s="64"/>
    </row>
    <row r="3163" spans="6:25" ht="15.75">
      <c r="M3163" s="64">
        <v>58</v>
      </c>
      <c r="N3163" s="53"/>
      <c r="O3163" s="380" t="s">
        <v>2768</v>
      </c>
      <c r="P3163" s="52">
        <f>P2864</f>
        <v>2.37</v>
      </c>
      <c r="Q3163" s="55"/>
      <c r="R3163" s="64">
        <f t="shared" si="281"/>
        <v>137.46</v>
      </c>
      <c r="S3163" s="64">
        <v>1</v>
      </c>
      <c r="T3163" s="62" t="s">
        <v>153</v>
      </c>
      <c r="U3163" s="50" t="s">
        <v>884</v>
      </c>
      <c r="V3163" s="64">
        <f t="shared" si="283"/>
        <v>7.3</v>
      </c>
      <c r="W3163" s="50" t="s">
        <v>153</v>
      </c>
      <c r="X3163" s="64">
        <f t="shared" si="282"/>
        <v>7.3</v>
      </c>
      <c r="Y3163" s="64"/>
    </row>
    <row r="3164" spans="6:25" ht="15.75">
      <c r="N3164" s="53"/>
      <c r="O3164" s="51" t="s">
        <v>2664</v>
      </c>
      <c r="Q3164" s="55"/>
      <c r="R3164" s="64">
        <f>SUM(R3153:R3163)</f>
        <v>7546.280749999999</v>
      </c>
      <c r="S3164" s="64">
        <v>36</v>
      </c>
      <c r="T3164" s="62" t="s">
        <v>153</v>
      </c>
      <c r="U3164" s="50" t="s">
        <v>2768</v>
      </c>
      <c r="V3164" s="64">
        <f>V3139</f>
        <v>2.37</v>
      </c>
      <c r="W3164" s="50" t="s">
        <v>153</v>
      </c>
      <c r="X3164" s="64">
        <f t="shared" si="282"/>
        <v>85.320000000000007</v>
      </c>
      <c r="Y3164" s="64"/>
    </row>
    <row r="3165" spans="6:25" ht="15.75">
      <c r="N3165" s="62" t="s">
        <v>150</v>
      </c>
      <c r="Q3165" s="55"/>
      <c r="R3165" s="59" t="s">
        <v>21</v>
      </c>
      <c r="S3165" s="64"/>
      <c r="T3165" s="62"/>
      <c r="U3165" s="50"/>
      <c r="V3165" s="64"/>
      <c r="W3165" s="50" t="s">
        <v>153</v>
      </c>
      <c r="X3165" s="59" t="s">
        <v>21</v>
      </c>
      <c r="Y3165" s="59"/>
    </row>
    <row r="3166" spans="6:25" ht="15.75">
      <c r="H3166" s="52" t="s">
        <v>2792</v>
      </c>
      <c r="J3166" s="52"/>
      <c r="N3166" s="53"/>
      <c r="O3166" s="66" t="s">
        <v>155</v>
      </c>
      <c r="Q3166" s="55"/>
      <c r="R3166" s="63">
        <f>R3164/M3156</f>
        <v>3346.4659645232814</v>
      </c>
      <c r="S3166" s="64"/>
      <c r="T3166" s="53"/>
      <c r="U3166" s="66" t="s">
        <v>2793</v>
      </c>
      <c r="W3166" s="55"/>
      <c r="X3166" s="64">
        <f>SUM(X3156:X3164)</f>
        <v>3093.7753000000002</v>
      </c>
      <c r="Y3166" s="64"/>
    </row>
    <row r="3167" spans="6:25" ht="15.75">
      <c r="J3167" s="52"/>
      <c r="N3167" s="53"/>
      <c r="Q3167" s="55"/>
      <c r="R3167" s="59" t="s">
        <v>156</v>
      </c>
      <c r="S3167" s="52"/>
      <c r="T3167" s="53"/>
      <c r="W3167" s="55"/>
      <c r="X3167" s="59" t="s">
        <v>21</v>
      </c>
      <c r="Y3167" s="59"/>
    </row>
    <row r="3168" spans="6:25" ht="15.75">
      <c r="F3168" s="52">
        <v>3.23</v>
      </c>
      <c r="G3168" s="53" t="s">
        <v>534</v>
      </c>
      <c r="H3168" s="52" t="s">
        <v>2794</v>
      </c>
      <c r="I3168" s="52">
        <f>I1505</f>
        <v>48.95</v>
      </c>
      <c r="J3168" s="53" t="s">
        <v>534</v>
      </c>
      <c r="K3168" s="52">
        <f>I3168*F3168</f>
        <v>158.10850000000002</v>
      </c>
      <c r="S3168" s="52"/>
      <c r="T3168" s="62" t="s">
        <v>150</v>
      </c>
      <c r="U3168" s="66" t="s">
        <v>155</v>
      </c>
      <c r="W3168" s="55"/>
      <c r="X3168" s="63">
        <f>X3166/S3158</f>
        <v>3519.6533560864623</v>
      </c>
      <c r="Y3168" s="63"/>
    </row>
    <row r="3169" spans="6:25" ht="15.75">
      <c r="F3169" s="52">
        <v>0.5</v>
      </c>
      <c r="G3169" s="53" t="s">
        <v>305</v>
      </c>
      <c r="H3169" s="52" t="s">
        <v>2795</v>
      </c>
      <c r="I3169" s="52">
        <f>I1506</f>
        <v>861</v>
      </c>
      <c r="J3169" s="53" t="s">
        <v>305</v>
      </c>
      <c r="K3169" s="52">
        <f>I3169*F3169</f>
        <v>430.5</v>
      </c>
      <c r="S3169" s="52"/>
      <c r="T3169" s="53"/>
      <c r="W3169" s="55"/>
      <c r="X3169" s="59" t="s">
        <v>156</v>
      </c>
      <c r="Y3169" s="59"/>
    </row>
    <row r="3170" spans="6:25" ht="15.75">
      <c r="F3170" s="52">
        <v>0.5</v>
      </c>
      <c r="G3170" s="53" t="s">
        <v>305</v>
      </c>
      <c r="H3170" s="50" t="s">
        <v>235</v>
      </c>
      <c r="I3170" s="52">
        <f>I1507</f>
        <v>702.8</v>
      </c>
      <c r="J3170" s="53" t="s">
        <v>305</v>
      </c>
      <c r="K3170" s="52">
        <f>I3170*F3170</f>
        <v>351.4</v>
      </c>
      <c r="M3170" s="239"/>
      <c r="N3170" s="387" t="s">
        <v>249</v>
      </c>
      <c r="O3170" s="238" t="s">
        <v>2796</v>
      </c>
      <c r="P3170" s="380"/>
      <c r="Q3170" s="383"/>
      <c r="R3170" s="380"/>
    </row>
    <row r="3171" spans="6:25" ht="15.75">
      <c r="F3171" s="52">
        <v>0.8</v>
      </c>
      <c r="G3171" s="53" t="s">
        <v>305</v>
      </c>
      <c r="H3171" s="50" t="s">
        <v>236</v>
      </c>
      <c r="I3171" s="52">
        <f>I1508</f>
        <v>576.79999999999995</v>
      </c>
      <c r="J3171" s="53" t="s">
        <v>305</v>
      </c>
      <c r="K3171" s="52">
        <f>I3171*F3171</f>
        <v>461.44</v>
      </c>
      <c r="M3171" s="380"/>
      <c r="N3171" s="381"/>
      <c r="O3171" s="238" t="s">
        <v>1695</v>
      </c>
      <c r="P3171" s="380"/>
      <c r="Q3171" s="383"/>
      <c r="R3171" s="380"/>
    </row>
    <row r="3172" spans="6:25" ht="18">
      <c r="F3172" s="52">
        <v>10</v>
      </c>
      <c r="G3172" s="53" t="s">
        <v>306</v>
      </c>
      <c r="H3172" s="50" t="s">
        <v>2797</v>
      </c>
      <c r="I3172" s="52">
        <f>C460</f>
        <v>3.2</v>
      </c>
      <c r="J3172" s="53" t="s">
        <v>306</v>
      </c>
      <c r="K3172" s="52">
        <f>I3172*F3172</f>
        <v>32</v>
      </c>
      <c r="M3172" s="380"/>
      <c r="N3172" s="381"/>
      <c r="O3172" s="466" t="s">
        <v>2798</v>
      </c>
      <c r="P3172" s="380"/>
      <c r="Q3172" s="383"/>
      <c r="R3172" s="380"/>
    </row>
    <row r="3173" spans="6:25" ht="15.75">
      <c r="H3173" s="50" t="s">
        <v>307</v>
      </c>
      <c r="I3173" s="141" t="s">
        <v>287</v>
      </c>
      <c r="J3173" s="57"/>
      <c r="K3173" s="52">
        <v>1.75</v>
      </c>
      <c r="M3173" s="380"/>
      <c r="N3173" s="381"/>
      <c r="O3173" s="388" t="s">
        <v>21</v>
      </c>
      <c r="P3173" s="380"/>
      <c r="Q3173" s="383"/>
      <c r="R3173" s="380"/>
    </row>
    <row r="3174" spans="6:25" ht="15.75">
      <c r="J3174" s="57"/>
      <c r="K3174" s="52">
        <f>SUM(K3168:K3173)</f>
        <v>1435.1985</v>
      </c>
      <c r="M3174" s="380"/>
      <c r="N3174" s="381"/>
      <c r="O3174" s="238" t="s">
        <v>2799</v>
      </c>
      <c r="P3174" s="384" t="s">
        <v>156</v>
      </c>
      <c r="Q3174" s="467">
        <v>3.1219999999999999</v>
      </c>
      <c r="R3174" s="380" t="s">
        <v>306</v>
      </c>
    </row>
    <row r="3175" spans="6:25" ht="15.75">
      <c r="J3175" s="57"/>
      <c r="K3175" s="52">
        <f>K3174/10</f>
        <v>143.51984999999999</v>
      </c>
      <c r="M3175" s="380"/>
      <c r="N3175" s="381"/>
      <c r="O3175" s="238"/>
      <c r="P3175" s="384"/>
      <c r="Q3175" s="467"/>
      <c r="R3175" s="380"/>
    </row>
    <row r="3176" spans="6:25" ht="15.75">
      <c r="G3176" s="52"/>
      <c r="J3176" s="52"/>
      <c r="L3176" s="52">
        <f>K3210</f>
        <v>311.61900000000003</v>
      </c>
      <c r="M3176" s="380"/>
      <c r="N3176" s="381"/>
      <c r="O3176" s="238" t="s">
        <v>2800</v>
      </c>
      <c r="P3176" s="384" t="s">
        <v>156</v>
      </c>
      <c r="Q3176" s="468">
        <v>5.1999999999999998E-2</v>
      </c>
      <c r="R3176" s="380" t="s">
        <v>313</v>
      </c>
    </row>
    <row r="3177" spans="6:25" ht="15.75">
      <c r="G3177" s="52"/>
      <c r="J3177" s="52"/>
      <c r="L3177" s="52">
        <f>K3211</f>
        <v>602.69999999999993</v>
      </c>
      <c r="M3177" s="380"/>
      <c r="N3177" s="381"/>
      <c r="O3177" s="238" t="s">
        <v>2801</v>
      </c>
      <c r="Q3177" s="469"/>
      <c r="R3177" s="380"/>
    </row>
    <row r="3178" spans="6:25" ht="15.75">
      <c r="G3178" s="52"/>
      <c r="J3178" s="52"/>
      <c r="M3178" s="380"/>
      <c r="N3178" s="381"/>
      <c r="O3178" s="238" t="s">
        <v>2802</v>
      </c>
      <c r="P3178" s="384" t="s">
        <v>156</v>
      </c>
      <c r="Q3178" s="470">
        <v>2.2780000000000002E-2</v>
      </c>
      <c r="R3178" s="380"/>
    </row>
    <row r="3179" spans="6:25" ht="15.75">
      <c r="H3179" s="52" t="s">
        <v>2803</v>
      </c>
      <c r="J3179" s="52"/>
      <c r="L3179" s="52">
        <v>1.5</v>
      </c>
      <c r="M3179" s="380"/>
      <c r="N3179" s="381"/>
      <c r="O3179" s="238" t="s">
        <v>2804</v>
      </c>
      <c r="P3179" s="384" t="s">
        <v>156</v>
      </c>
      <c r="Q3179" s="470">
        <v>1.013E-2</v>
      </c>
      <c r="R3179" s="412"/>
    </row>
    <row r="3180" spans="6:25" ht="15.75">
      <c r="J3180" s="52"/>
      <c r="L3180" s="52">
        <f>SUM(L3176:L3179)</f>
        <v>915.81899999999996</v>
      </c>
      <c r="M3180" s="380"/>
      <c r="N3180" s="381"/>
      <c r="O3180" s="380"/>
      <c r="P3180" s="380"/>
      <c r="Q3180" s="388" t="s">
        <v>21</v>
      </c>
    </row>
    <row r="3181" spans="6:25" ht="15.75">
      <c r="F3181" s="52">
        <v>1.8</v>
      </c>
      <c r="G3181" s="53" t="s">
        <v>534</v>
      </c>
      <c r="H3181" s="52" t="s">
        <v>2794</v>
      </c>
      <c r="I3181" s="52">
        <f>I3168</f>
        <v>48.95</v>
      </c>
      <c r="J3181" s="53" t="s">
        <v>534</v>
      </c>
      <c r="K3181" s="52">
        <f>I3181*F3181</f>
        <v>88.110000000000014</v>
      </c>
      <c r="M3181" s="380"/>
      <c r="N3181" s="381"/>
      <c r="O3181" s="380"/>
      <c r="P3181" s="380"/>
      <c r="Q3181" s="471">
        <v>3.2910000000000002E-2</v>
      </c>
      <c r="R3181" s="52" t="s">
        <v>313</v>
      </c>
    </row>
    <row r="3182" spans="6:25" ht="15.75">
      <c r="F3182" s="52">
        <v>0.25</v>
      </c>
      <c r="G3182" s="53" t="s">
        <v>305</v>
      </c>
      <c r="H3182" s="52" t="s">
        <v>2795</v>
      </c>
      <c r="I3182" s="52">
        <f>I3169</f>
        <v>861</v>
      </c>
      <c r="J3182" s="53" t="s">
        <v>305</v>
      </c>
      <c r="K3182" s="52">
        <f>I3182*F3182</f>
        <v>215.25</v>
      </c>
      <c r="L3182" s="52">
        <f>L3180/10</f>
        <v>91.58189999999999</v>
      </c>
      <c r="M3182" s="380"/>
      <c r="N3182" s="381"/>
      <c r="O3182" s="380"/>
      <c r="P3182" s="380"/>
      <c r="Q3182" s="388" t="s">
        <v>21</v>
      </c>
    </row>
    <row r="3183" spans="6:25" ht="15.75">
      <c r="F3183" s="52">
        <v>0.25</v>
      </c>
      <c r="G3183" s="53" t="s">
        <v>305</v>
      </c>
      <c r="H3183" s="50" t="s">
        <v>235</v>
      </c>
      <c r="I3183" s="52">
        <f>I3170</f>
        <v>702.8</v>
      </c>
      <c r="J3183" s="53" t="s">
        <v>305</v>
      </c>
      <c r="K3183" s="52">
        <f>I3183*F3183</f>
        <v>175.7</v>
      </c>
      <c r="M3183" s="380"/>
      <c r="N3183" s="381"/>
      <c r="O3183" s="238" t="s">
        <v>2805</v>
      </c>
      <c r="P3183" s="380"/>
      <c r="Q3183" s="472">
        <v>1.7600000000000001E-2</v>
      </c>
      <c r="R3183" s="412"/>
    </row>
    <row r="3184" spans="6:25" ht="15.75">
      <c r="F3184" s="52">
        <v>0.4</v>
      </c>
      <c r="G3184" s="53" t="s">
        <v>305</v>
      </c>
      <c r="H3184" s="50" t="s">
        <v>236</v>
      </c>
      <c r="I3184" s="52">
        <f>I3171</f>
        <v>576.79999999999995</v>
      </c>
      <c r="J3184" s="53" t="s">
        <v>305</v>
      </c>
      <c r="K3184" s="52">
        <f>I3184*F3184</f>
        <v>230.72</v>
      </c>
      <c r="M3184" s="380"/>
      <c r="N3184" s="381"/>
      <c r="O3184" s="238" t="s">
        <v>2806</v>
      </c>
      <c r="P3184" s="380"/>
      <c r="Q3184" s="473">
        <v>8.3999999999999995E-3</v>
      </c>
      <c r="R3184" s="412"/>
    </row>
    <row r="3185" spans="6:20" ht="15.75">
      <c r="F3185" s="52">
        <v>10</v>
      </c>
      <c r="G3185" s="53" t="s">
        <v>306</v>
      </c>
      <c r="H3185" s="50" t="s">
        <v>401</v>
      </c>
      <c r="I3185" s="52">
        <f>I3172</f>
        <v>3.2</v>
      </c>
      <c r="J3185" s="53" t="s">
        <v>306</v>
      </c>
      <c r="K3185" s="52">
        <f>I3185*F3185</f>
        <v>32</v>
      </c>
      <c r="M3185" s="380"/>
      <c r="N3185" s="381"/>
      <c r="O3185" s="238"/>
      <c r="P3185" s="380"/>
      <c r="Q3185" s="388" t="s">
        <v>21</v>
      </c>
      <c r="R3185" s="412"/>
    </row>
    <row r="3186" spans="6:20" ht="15.75">
      <c r="H3186" s="50" t="s">
        <v>307</v>
      </c>
      <c r="I3186" s="141" t="s">
        <v>2807</v>
      </c>
      <c r="J3186" s="57"/>
      <c r="K3186" s="52">
        <v>1.6</v>
      </c>
      <c r="M3186" s="380"/>
      <c r="N3186" s="381"/>
      <c r="O3186" s="238"/>
      <c r="P3186" s="380"/>
      <c r="Q3186" s="474">
        <v>2.5999999999999999E-2</v>
      </c>
      <c r="R3186" s="412" t="s">
        <v>313</v>
      </c>
    </row>
    <row r="3187" spans="6:20" ht="15.75">
      <c r="J3187" s="57"/>
      <c r="K3187" s="52">
        <f>SUM(K3181:K3186)</f>
        <v>743.38</v>
      </c>
      <c r="M3187" s="380"/>
      <c r="N3187" s="381"/>
      <c r="O3187" s="380"/>
      <c r="P3187" s="380"/>
      <c r="Q3187" s="388" t="s">
        <v>21</v>
      </c>
      <c r="R3187" s="388"/>
    </row>
    <row r="3188" spans="6:20" ht="15.75">
      <c r="J3188" s="57"/>
      <c r="K3188" s="52">
        <f>K3187/10</f>
        <v>74.337999999999994</v>
      </c>
      <c r="M3188" s="412">
        <v>5.1999999999999998E-2</v>
      </c>
      <c r="N3188" s="387" t="s">
        <v>151</v>
      </c>
      <c r="O3188" s="238" t="s">
        <v>1710</v>
      </c>
      <c r="P3188" s="236">
        <f>AE26</f>
        <v>111600</v>
      </c>
      <c r="Q3188" s="239" t="s">
        <v>151</v>
      </c>
      <c r="R3188" s="236">
        <f>P3188*M3188</f>
        <v>5803.2</v>
      </c>
    </row>
    <row r="3189" spans="6:20" ht="15.75">
      <c r="G3189" s="52"/>
      <c r="J3189" s="52"/>
      <c r="M3189" s="412">
        <v>3.2910000000000002E-2</v>
      </c>
      <c r="N3189" s="387" t="s">
        <v>151</v>
      </c>
      <c r="O3189" s="238" t="s">
        <v>1711</v>
      </c>
      <c r="P3189" s="236">
        <f>AE27</f>
        <v>99400</v>
      </c>
      <c r="Q3189" s="239" t="s">
        <v>151</v>
      </c>
      <c r="R3189" s="236">
        <f t="shared" ref="R3189:R3199" si="284">P3189*M3189</f>
        <v>3271.2540000000004</v>
      </c>
    </row>
    <row r="3190" spans="6:20" ht="15.75">
      <c r="G3190" s="52"/>
      <c r="J3190" s="52"/>
      <c r="M3190" s="412">
        <v>2.5999999999999999E-2</v>
      </c>
      <c r="N3190" s="387" t="s">
        <v>151</v>
      </c>
      <c r="O3190" s="238" t="s">
        <v>2808</v>
      </c>
      <c r="P3190" s="236">
        <v>101921.4</v>
      </c>
      <c r="Q3190" s="239" t="s">
        <v>151</v>
      </c>
      <c r="R3190" s="236">
        <f t="shared" si="284"/>
        <v>2649.9563999999996</v>
      </c>
    </row>
    <row r="3191" spans="6:20" ht="15.75">
      <c r="G3191" s="52"/>
      <c r="J3191" s="52"/>
      <c r="L3191" s="52">
        <f>K3225</f>
        <v>520.14600000000007</v>
      </c>
      <c r="M3191" s="428"/>
      <c r="N3191" s="381"/>
      <c r="O3191" s="238" t="s">
        <v>2809</v>
      </c>
      <c r="P3191" s="236"/>
      <c r="Q3191" s="383"/>
      <c r="R3191" s="236">
        <f t="shared" si="284"/>
        <v>0</v>
      </c>
    </row>
    <row r="3192" spans="6:20" ht="15.75">
      <c r="H3192" s="52" t="s">
        <v>2810</v>
      </c>
      <c r="J3192" s="52"/>
      <c r="L3192" s="52">
        <f>K3226</f>
        <v>1033.2</v>
      </c>
      <c r="M3192" s="428">
        <v>3.1219999999999999</v>
      </c>
      <c r="N3192" s="387" t="s">
        <v>152</v>
      </c>
      <c r="O3192" s="238" t="s">
        <v>1708</v>
      </c>
      <c r="P3192" s="236">
        <f>I954</f>
        <v>1617</v>
      </c>
      <c r="Q3192" s="239" t="s">
        <v>152</v>
      </c>
      <c r="R3192" s="236">
        <f t="shared" si="284"/>
        <v>5048.2739999999994</v>
      </c>
    </row>
    <row r="3193" spans="6:20" ht="15.75">
      <c r="H3193" s="52" t="s">
        <v>318</v>
      </c>
      <c r="J3193" s="52"/>
      <c r="M3193" s="236">
        <v>4</v>
      </c>
      <c r="N3193" s="387" t="s">
        <v>4</v>
      </c>
      <c r="O3193" s="238" t="s">
        <v>2811</v>
      </c>
      <c r="P3193" s="236">
        <f>I2637</f>
        <v>450</v>
      </c>
      <c r="Q3193" s="239" t="s">
        <v>153</v>
      </c>
      <c r="R3193" s="236">
        <f t="shared" si="284"/>
        <v>1800</v>
      </c>
    </row>
    <row r="3194" spans="6:20" ht="15.75">
      <c r="H3194" s="52" t="s">
        <v>319</v>
      </c>
      <c r="J3194" s="52"/>
      <c r="L3194" s="52">
        <f>K3228</f>
        <v>1.5</v>
      </c>
      <c r="M3194" s="236">
        <v>8</v>
      </c>
      <c r="N3194" s="387" t="s">
        <v>153</v>
      </c>
      <c r="O3194" s="238" t="s">
        <v>391</v>
      </c>
      <c r="P3194" s="236">
        <f>P3158</f>
        <v>79.099999999999994</v>
      </c>
      <c r="Q3194" s="239" t="s">
        <v>153</v>
      </c>
      <c r="R3194" s="236">
        <f t="shared" si="284"/>
        <v>632.79999999999995</v>
      </c>
    </row>
    <row r="3195" spans="6:20" ht="15.75">
      <c r="J3195" s="52"/>
      <c r="L3195" s="52">
        <f>SUM(L3191:L3194)</f>
        <v>1554.846</v>
      </c>
      <c r="M3195" s="236">
        <v>4</v>
      </c>
      <c r="N3195" s="387" t="s">
        <v>153</v>
      </c>
      <c r="O3195" s="475" t="s">
        <v>2812</v>
      </c>
      <c r="P3195" s="476">
        <v>86.3</v>
      </c>
      <c r="Q3195" s="239" t="s">
        <v>153</v>
      </c>
      <c r="R3195" s="236">
        <f t="shared" si="284"/>
        <v>345.2</v>
      </c>
    </row>
    <row r="3196" spans="6:20" ht="15.75">
      <c r="F3196" s="52">
        <v>1.1100000000000001</v>
      </c>
      <c r="G3196" s="53" t="s">
        <v>325</v>
      </c>
      <c r="H3196" s="52" t="s">
        <v>321</v>
      </c>
      <c r="I3196" s="52">
        <f>I1547</f>
        <v>223.2</v>
      </c>
      <c r="J3196" s="53" t="s">
        <v>325</v>
      </c>
      <c r="K3196" s="52">
        <f>I3196*F3196</f>
        <v>247.75200000000001</v>
      </c>
      <c r="M3196" s="236">
        <v>1</v>
      </c>
      <c r="N3196" s="387" t="s">
        <v>153</v>
      </c>
      <c r="O3196" s="475" t="s">
        <v>2813</v>
      </c>
      <c r="P3196" s="476">
        <v>185.2</v>
      </c>
      <c r="Q3196" s="239" t="s">
        <v>153</v>
      </c>
      <c r="R3196" s="236">
        <f t="shared" si="284"/>
        <v>185.2</v>
      </c>
    </row>
    <row r="3197" spans="6:20" ht="15.75">
      <c r="F3197" s="52">
        <v>0.7</v>
      </c>
      <c r="G3197" s="53" t="s">
        <v>305</v>
      </c>
      <c r="H3197" s="52" t="s">
        <v>322</v>
      </c>
      <c r="I3197" s="52">
        <f>I3182</f>
        <v>861</v>
      </c>
      <c r="J3197" s="53" t="s">
        <v>305</v>
      </c>
      <c r="K3197" s="52">
        <f>I3197*F3197</f>
        <v>602.69999999999993</v>
      </c>
      <c r="L3197" s="52">
        <f>L3195/10</f>
        <v>155.4846</v>
      </c>
      <c r="M3197" s="236">
        <v>2</v>
      </c>
      <c r="N3197" s="387" t="s">
        <v>153</v>
      </c>
      <c r="O3197" s="475" t="s">
        <v>2814</v>
      </c>
      <c r="P3197" s="476">
        <v>22.7</v>
      </c>
      <c r="Q3197" s="239" t="s">
        <v>153</v>
      </c>
      <c r="R3197" s="236">
        <f t="shared" si="284"/>
        <v>45.4</v>
      </c>
    </row>
    <row r="3198" spans="6:20" ht="15.75">
      <c r="F3198" s="52">
        <v>10</v>
      </c>
      <c r="G3198" s="53" t="s">
        <v>306</v>
      </c>
      <c r="H3198" s="343" t="s">
        <v>2815</v>
      </c>
      <c r="I3198" s="95">
        <v>6.9</v>
      </c>
      <c r="J3198" s="53" t="s">
        <v>306</v>
      </c>
      <c r="K3198" s="52">
        <f>I3198*F3198</f>
        <v>69</v>
      </c>
      <c r="M3198" s="236">
        <v>2</v>
      </c>
      <c r="N3198" s="387" t="s">
        <v>153</v>
      </c>
      <c r="O3198" s="475" t="s">
        <v>2816</v>
      </c>
      <c r="P3198" s="476">
        <v>43.8</v>
      </c>
      <c r="Q3198" s="239" t="s">
        <v>153</v>
      </c>
      <c r="R3198" s="236">
        <f t="shared" si="284"/>
        <v>87.6</v>
      </c>
      <c r="S3198" s="56">
        <f>0.42*3.122</f>
        <v>1.31124</v>
      </c>
      <c r="T3198" s="52">
        <f>S3198+19.79</f>
        <v>21.101240000000001</v>
      </c>
    </row>
    <row r="3199" spans="6:20" ht="15.75">
      <c r="H3199" s="50" t="s">
        <v>307</v>
      </c>
      <c r="I3199" s="52" t="s">
        <v>287</v>
      </c>
      <c r="J3199" s="57"/>
      <c r="K3199" s="52">
        <v>1.9</v>
      </c>
      <c r="M3199" s="236">
        <v>118</v>
      </c>
      <c r="N3199" s="387" t="s">
        <v>153</v>
      </c>
      <c r="O3199" s="380" t="s">
        <v>2768</v>
      </c>
      <c r="P3199" s="380">
        <f>I961</f>
        <v>2.37</v>
      </c>
      <c r="Q3199" s="239" t="s">
        <v>153</v>
      </c>
      <c r="R3199" s="236">
        <f t="shared" si="284"/>
        <v>279.66000000000003</v>
      </c>
    </row>
    <row r="3200" spans="6:20" ht="15.75">
      <c r="H3200" s="52" t="s">
        <v>238</v>
      </c>
      <c r="J3200" s="57"/>
      <c r="K3200" s="52">
        <f>SUM(K3196:K3199)</f>
        <v>921.35199999999998</v>
      </c>
      <c r="M3200" s="380"/>
      <c r="N3200" s="381"/>
      <c r="O3200" s="380"/>
      <c r="P3200" s="380"/>
      <c r="Q3200" s="383"/>
      <c r="R3200" s="388" t="s">
        <v>21</v>
      </c>
    </row>
    <row r="3201" spans="6:18" ht="15.75">
      <c r="J3201" s="57"/>
      <c r="M3201" s="380"/>
      <c r="N3201" s="381"/>
      <c r="O3201" s="238" t="s">
        <v>2817</v>
      </c>
      <c r="P3201" s="380"/>
      <c r="Q3201" s="383"/>
      <c r="R3201" s="236">
        <f>SUM(R3188:R3199)</f>
        <v>20148.544399999999</v>
      </c>
    </row>
    <row r="3202" spans="6:18" ht="15.75">
      <c r="H3202" s="52" t="s">
        <v>155</v>
      </c>
      <c r="J3202" s="57"/>
      <c r="K3202" s="52">
        <f>K3200/10</f>
        <v>92.135199999999998</v>
      </c>
      <c r="M3202" s="380"/>
      <c r="N3202" s="381"/>
      <c r="O3202" s="380"/>
      <c r="P3202" s="380"/>
      <c r="Q3202" s="383"/>
      <c r="R3202" s="388" t="s">
        <v>21</v>
      </c>
    </row>
    <row r="3203" spans="6:18" ht="15.75">
      <c r="J3203" s="57"/>
      <c r="M3203" s="380"/>
      <c r="N3203" s="381"/>
      <c r="O3203" s="394" t="s">
        <v>155</v>
      </c>
      <c r="P3203" s="380"/>
      <c r="Q3203" s="385" t="s">
        <v>2597</v>
      </c>
      <c r="R3203" s="395">
        <f>R3201/M3192</f>
        <v>6453.7297885970529</v>
      </c>
    </row>
    <row r="3204" spans="6:18" ht="15.75">
      <c r="J3204" s="57"/>
      <c r="M3204" s="239"/>
      <c r="N3204" s="387" t="s">
        <v>249</v>
      </c>
      <c r="O3204" s="238" t="s">
        <v>2818</v>
      </c>
      <c r="P3204" s="380"/>
      <c r="Q3204" s="383"/>
      <c r="R3204" s="380"/>
    </row>
    <row r="3205" spans="6:18" ht="15.75">
      <c r="J3205" s="57"/>
      <c r="M3205" s="380"/>
      <c r="N3205" s="381"/>
      <c r="O3205" s="238" t="s">
        <v>1695</v>
      </c>
      <c r="P3205" s="380"/>
      <c r="Q3205" s="383"/>
      <c r="R3205" s="380"/>
    </row>
    <row r="3206" spans="6:18" ht="18">
      <c r="H3206" s="52" t="s">
        <v>2810</v>
      </c>
      <c r="J3206" s="57"/>
      <c r="M3206" s="380"/>
      <c r="N3206" s="381"/>
      <c r="O3206" s="466" t="s">
        <v>2798</v>
      </c>
      <c r="P3206" s="380"/>
      <c r="Q3206" s="383"/>
      <c r="R3206" s="380"/>
    </row>
    <row r="3207" spans="6:18" ht="15.75">
      <c r="H3207" s="52" t="s">
        <v>324</v>
      </c>
      <c r="J3207" s="57"/>
      <c r="L3207" s="52">
        <f>K3241</f>
        <v>421.84799999999996</v>
      </c>
      <c r="M3207" s="380"/>
      <c r="N3207" s="381"/>
      <c r="O3207" s="388" t="s">
        <v>21</v>
      </c>
      <c r="P3207" s="380"/>
      <c r="Q3207" s="383"/>
      <c r="R3207" s="380"/>
    </row>
    <row r="3208" spans="6:18" ht="15.75">
      <c r="H3208" s="52" t="s">
        <v>319</v>
      </c>
      <c r="J3208" s="57"/>
      <c r="L3208" s="52">
        <f>K3242</f>
        <v>947.1</v>
      </c>
      <c r="M3208" s="380"/>
      <c r="N3208" s="381"/>
      <c r="O3208" s="238" t="s">
        <v>2799</v>
      </c>
      <c r="P3208" s="384" t="s">
        <v>156</v>
      </c>
      <c r="Q3208" s="467">
        <v>3.1219999999999999</v>
      </c>
      <c r="R3208" s="433" t="s">
        <v>306</v>
      </c>
    </row>
    <row r="3209" spans="6:18" ht="15.75">
      <c r="J3209" s="57"/>
      <c r="M3209" s="380"/>
      <c r="N3209" s="381"/>
      <c r="O3209" s="238"/>
      <c r="P3209" s="384"/>
      <c r="Q3209" s="467"/>
      <c r="R3209" s="433"/>
    </row>
    <row r="3210" spans="6:18" ht="15.75">
      <c r="F3210" s="52">
        <v>1.33</v>
      </c>
      <c r="G3210" s="53" t="s">
        <v>325</v>
      </c>
      <c r="H3210" s="52" t="s">
        <v>321</v>
      </c>
      <c r="I3210" s="52">
        <f>I1534</f>
        <v>234.3</v>
      </c>
      <c r="J3210" s="53" t="s">
        <v>325</v>
      </c>
      <c r="K3210" s="52">
        <f>I3210*F3210</f>
        <v>311.61900000000003</v>
      </c>
      <c r="L3210" s="52">
        <f>K3244</f>
        <v>1.9</v>
      </c>
      <c r="M3210" s="380"/>
      <c r="N3210" s="381"/>
      <c r="O3210" s="238" t="s">
        <v>2800</v>
      </c>
      <c r="P3210" s="384" t="s">
        <v>156</v>
      </c>
      <c r="Q3210" s="468">
        <v>5.1999999999999998E-2</v>
      </c>
      <c r="R3210" s="433" t="s">
        <v>313</v>
      </c>
    </row>
    <row r="3211" spans="6:18" ht="15.75">
      <c r="F3211" s="52">
        <v>0.7</v>
      </c>
      <c r="G3211" s="53" t="s">
        <v>305</v>
      </c>
      <c r="H3211" s="52" t="s">
        <v>322</v>
      </c>
      <c r="I3211" s="52">
        <f>I3197</f>
        <v>861</v>
      </c>
      <c r="J3211" s="53" t="s">
        <v>305</v>
      </c>
      <c r="K3211" s="52">
        <f>I3211*F3211</f>
        <v>602.69999999999993</v>
      </c>
      <c r="L3211" s="52">
        <f>SUM(L3207:L3210)</f>
        <v>1370.848</v>
      </c>
      <c r="M3211" s="380"/>
      <c r="N3211" s="381"/>
      <c r="O3211" s="238" t="s">
        <v>2801</v>
      </c>
      <c r="Q3211" s="469"/>
      <c r="R3211" s="433"/>
    </row>
    <row r="3212" spans="6:18" ht="15.75">
      <c r="F3212" s="52">
        <v>10</v>
      </c>
      <c r="G3212" s="53" t="s">
        <v>306</v>
      </c>
      <c r="H3212" s="159" t="s">
        <v>2819</v>
      </c>
      <c r="I3212" s="95">
        <v>7.4</v>
      </c>
      <c r="J3212" s="53" t="s">
        <v>306</v>
      </c>
      <c r="K3212" s="52">
        <f>I3212*F3212</f>
        <v>74</v>
      </c>
      <c r="M3212" s="380"/>
      <c r="N3212" s="381"/>
      <c r="O3212" s="238" t="s">
        <v>2820</v>
      </c>
      <c r="P3212" s="384" t="s">
        <v>156</v>
      </c>
      <c r="Q3212" s="470">
        <v>2.2780000000000002E-2</v>
      </c>
      <c r="R3212" s="433"/>
    </row>
    <row r="3213" spans="6:18" ht="15.75">
      <c r="H3213" s="52" t="s">
        <v>307</v>
      </c>
      <c r="I3213" s="52" t="s">
        <v>287</v>
      </c>
      <c r="J3213" s="57"/>
      <c r="K3213" s="52">
        <v>1.5</v>
      </c>
      <c r="M3213" s="380"/>
      <c r="N3213" s="381"/>
      <c r="O3213" s="238" t="s">
        <v>2804</v>
      </c>
      <c r="P3213" s="384" t="s">
        <v>156</v>
      </c>
      <c r="Q3213" s="470">
        <v>1.013E-2</v>
      </c>
      <c r="R3213" s="434"/>
    </row>
    <row r="3214" spans="6:18" ht="15.75">
      <c r="H3214" s="52" t="s">
        <v>238</v>
      </c>
      <c r="J3214" s="57"/>
      <c r="K3214" s="52">
        <f>SUM(K3210:K3213)</f>
        <v>989.81899999999996</v>
      </c>
      <c r="M3214" s="380"/>
      <c r="N3214" s="381"/>
      <c r="O3214" s="380"/>
      <c r="P3214" s="380"/>
      <c r="Q3214" s="477" t="s">
        <v>2821</v>
      </c>
      <c r="R3214" s="55"/>
    </row>
    <row r="3215" spans="6:18" ht="15.75">
      <c r="J3215" s="57"/>
      <c r="M3215" s="380"/>
      <c r="N3215" s="381"/>
      <c r="O3215" s="380"/>
      <c r="P3215" s="380"/>
      <c r="Q3215" s="471">
        <v>3.2910000000000002E-2</v>
      </c>
      <c r="R3215" s="55" t="s">
        <v>313</v>
      </c>
    </row>
    <row r="3216" spans="6:18" ht="15.75">
      <c r="H3216" s="52" t="s">
        <v>155</v>
      </c>
      <c r="J3216" s="57"/>
      <c r="K3216" s="52">
        <f>K3214/10</f>
        <v>98.981899999999996</v>
      </c>
      <c r="M3216" s="380"/>
      <c r="N3216" s="381"/>
      <c r="O3216" s="380"/>
      <c r="P3216" s="380"/>
      <c r="Q3216" s="477" t="s">
        <v>2821</v>
      </c>
      <c r="R3216" s="55"/>
    </row>
    <row r="3217" spans="6:18" ht="15.75">
      <c r="J3217" s="57"/>
      <c r="M3217" s="380"/>
      <c r="N3217" s="381"/>
      <c r="O3217" s="238" t="s">
        <v>2822</v>
      </c>
      <c r="P3217" s="380"/>
      <c r="Q3217" s="353">
        <v>0.94</v>
      </c>
      <c r="R3217" s="434" t="s">
        <v>306</v>
      </c>
    </row>
    <row r="3218" spans="6:18" ht="15.75">
      <c r="J3218" s="57"/>
      <c r="M3218" s="380"/>
      <c r="N3218" s="381"/>
      <c r="O3218" s="238" t="s">
        <v>2823</v>
      </c>
      <c r="P3218" s="380"/>
      <c r="Q3218" s="474">
        <v>8.3999999999999995E-3</v>
      </c>
      <c r="R3218" s="434" t="s">
        <v>313</v>
      </c>
    </row>
    <row r="3219" spans="6:18" ht="15.75">
      <c r="J3219" s="57"/>
      <c r="M3219" s="380"/>
      <c r="N3219" s="381"/>
      <c r="O3219" s="238" t="s">
        <v>2824</v>
      </c>
      <c r="P3219" s="380"/>
      <c r="Q3219" s="474">
        <v>7.9</v>
      </c>
      <c r="R3219" s="434" t="s">
        <v>303</v>
      </c>
    </row>
    <row r="3220" spans="6:18" ht="15.75">
      <c r="J3220" s="57"/>
      <c r="M3220" s="380"/>
      <c r="N3220" s="381"/>
      <c r="O3220" s="380"/>
      <c r="P3220" s="380"/>
      <c r="Q3220" s="388"/>
      <c r="R3220" s="388"/>
    </row>
    <row r="3221" spans="6:18" ht="15.75">
      <c r="H3221" s="52" t="s">
        <v>400</v>
      </c>
      <c r="J3221" s="57"/>
      <c r="M3221" s="412">
        <v>5.1999999999999998E-2</v>
      </c>
      <c r="N3221" s="387" t="s">
        <v>151</v>
      </c>
      <c r="O3221" s="238" t="s">
        <v>1710</v>
      </c>
      <c r="P3221" s="236">
        <f>P3188</f>
        <v>111600</v>
      </c>
      <c r="Q3221" s="239" t="s">
        <v>151</v>
      </c>
      <c r="R3221" s="236">
        <f>P3221*M3221</f>
        <v>5803.2</v>
      </c>
    </row>
    <row r="3222" spans="6:18" ht="15.75">
      <c r="H3222" s="52" t="s">
        <v>324</v>
      </c>
      <c r="J3222" s="57"/>
      <c r="M3222" s="412">
        <v>3.2910000000000002E-2</v>
      </c>
      <c r="N3222" s="387" t="s">
        <v>151</v>
      </c>
      <c r="O3222" s="238" t="s">
        <v>1711</v>
      </c>
      <c r="P3222" s="236">
        <f>P3189</f>
        <v>99400</v>
      </c>
      <c r="Q3222" s="239" t="s">
        <v>151</v>
      </c>
      <c r="R3222" s="236">
        <f t="shared" ref="R3222:R3234" si="285">P3222*M3222</f>
        <v>3271.2540000000004</v>
      </c>
    </row>
    <row r="3223" spans="6:18" ht="15.75">
      <c r="H3223" s="52" t="s">
        <v>319</v>
      </c>
      <c r="J3223" s="57"/>
      <c r="M3223" s="412">
        <v>8.3999999999999995E-3</v>
      </c>
      <c r="N3223" s="387" t="s">
        <v>151</v>
      </c>
      <c r="O3223" s="478" t="s">
        <v>2808</v>
      </c>
      <c r="P3223" s="236">
        <f>P3190</f>
        <v>101921.4</v>
      </c>
      <c r="Q3223" s="239" t="s">
        <v>151</v>
      </c>
      <c r="R3223" s="236">
        <f t="shared" si="285"/>
        <v>856.13975999999991</v>
      </c>
    </row>
    <row r="3224" spans="6:18" ht="15.75">
      <c r="J3224" s="57"/>
      <c r="M3224" s="428"/>
      <c r="N3224" s="381"/>
      <c r="O3224" s="238" t="s">
        <v>2825</v>
      </c>
      <c r="P3224" s="236"/>
      <c r="Q3224" s="383"/>
      <c r="R3224" s="236">
        <f t="shared" si="285"/>
        <v>0</v>
      </c>
    </row>
    <row r="3225" spans="6:18" ht="15.75">
      <c r="F3225" s="52">
        <v>2.2200000000000002</v>
      </c>
      <c r="G3225" s="53" t="s">
        <v>325</v>
      </c>
      <c r="H3225" s="52" t="s">
        <v>321</v>
      </c>
      <c r="I3225" s="52">
        <f>I3210</f>
        <v>234.3</v>
      </c>
      <c r="J3225" s="53" t="s">
        <v>325</v>
      </c>
      <c r="K3225" s="52">
        <f>I3225*F3225</f>
        <v>520.14600000000007</v>
      </c>
      <c r="M3225" s="428">
        <v>0.94</v>
      </c>
      <c r="N3225" s="387" t="s">
        <v>152</v>
      </c>
      <c r="O3225" s="478" t="s">
        <v>2826</v>
      </c>
      <c r="P3225" s="476">
        <v>355.5</v>
      </c>
      <c r="Q3225" s="383" t="s">
        <v>152</v>
      </c>
      <c r="R3225" s="236">
        <f t="shared" si="285"/>
        <v>334.16999999999996</v>
      </c>
    </row>
    <row r="3226" spans="6:18" ht="15.75">
      <c r="F3226" s="52">
        <v>1.2</v>
      </c>
      <c r="G3226" s="53" t="s">
        <v>305</v>
      </c>
      <c r="H3226" s="52" t="s">
        <v>322</v>
      </c>
      <c r="I3226" s="52">
        <f>I3211</f>
        <v>861</v>
      </c>
      <c r="J3226" s="53" t="s">
        <v>305</v>
      </c>
      <c r="K3226" s="52">
        <f>I3226*F3226</f>
        <v>1033.2</v>
      </c>
      <c r="M3226" s="428">
        <v>7.9</v>
      </c>
      <c r="N3226" s="387" t="s">
        <v>552</v>
      </c>
      <c r="O3226" s="478" t="s">
        <v>2827</v>
      </c>
      <c r="P3226" s="476">
        <v>15.15</v>
      </c>
      <c r="Q3226" s="383" t="s">
        <v>303</v>
      </c>
      <c r="R3226" s="236">
        <f t="shared" si="285"/>
        <v>119.685</v>
      </c>
    </row>
    <row r="3227" spans="6:18" ht="15.75">
      <c r="F3227" s="52">
        <v>10</v>
      </c>
      <c r="G3227" s="53" t="s">
        <v>306</v>
      </c>
      <c r="H3227" s="52" t="s">
        <v>401</v>
      </c>
      <c r="I3227" s="52">
        <f>I3212</f>
        <v>7.4</v>
      </c>
      <c r="J3227" s="53" t="s">
        <v>306</v>
      </c>
      <c r="K3227" s="52">
        <f>I3227*F3227</f>
        <v>74</v>
      </c>
      <c r="M3227" s="428">
        <v>3.1219999999999999</v>
      </c>
      <c r="N3227" s="387" t="s">
        <v>152</v>
      </c>
      <c r="O3227" s="478" t="s">
        <v>2828</v>
      </c>
      <c r="P3227" s="476">
        <v>1078</v>
      </c>
      <c r="Q3227" s="239" t="s">
        <v>152</v>
      </c>
      <c r="R3227" s="236">
        <f t="shared" si="285"/>
        <v>3365.5160000000001</v>
      </c>
    </row>
    <row r="3228" spans="6:18" ht="15.75">
      <c r="H3228" s="52" t="s">
        <v>307</v>
      </c>
      <c r="I3228" s="52" t="s">
        <v>287</v>
      </c>
      <c r="J3228" s="57"/>
      <c r="K3228" s="52">
        <v>1.5</v>
      </c>
      <c r="M3228" s="236">
        <v>4</v>
      </c>
      <c r="N3228" s="387" t="s">
        <v>4</v>
      </c>
      <c r="O3228" s="238" t="s">
        <v>2829</v>
      </c>
      <c r="P3228" s="236">
        <f>C598</f>
        <v>50.9</v>
      </c>
      <c r="Q3228" s="239" t="s">
        <v>153</v>
      </c>
      <c r="R3228" s="236">
        <f t="shared" si="285"/>
        <v>203.6</v>
      </c>
    </row>
    <row r="3229" spans="6:18" ht="15.75">
      <c r="H3229" s="52" t="s">
        <v>238</v>
      </c>
      <c r="J3229" s="57"/>
      <c r="K3229" s="52">
        <f>SUM(K3225:K3228)</f>
        <v>1628.846</v>
      </c>
      <c r="M3229" s="236">
        <v>8</v>
      </c>
      <c r="N3229" s="387" t="s">
        <v>153</v>
      </c>
      <c r="O3229" s="238" t="s">
        <v>2830</v>
      </c>
      <c r="P3229" s="236">
        <f>C279</f>
        <v>79.099999999999994</v>
      </c>
      <c r="Q3229" s="239" t="s">
        <v>153</v>
      </c>
      <c r="R3229" s="236">
        <f t="shared" si="285"/>
        <v>632.79999999999995</v>
      </c>
    </row>
    <row r="3230" spans="6:18" ht="15.75">
      <c r="J3230" s="57"/>
      <c r="M3230" s="236">
        <v>4</v>
      </c>
      <c r="N3230" s="387" t="s">
        <v>153</v>
      </c>
      <c r="O3230" s="238" t="s">
        <v>2831</v>
      </c>
      <c r="P3230" s="236">
        <f>P3195</f>
        <v>86.3</v>
      </c>
      <c r="Q3230" s="239" t="s">
        <v>153</v>
      </c>
      <c r="R3230" s="236">
        <f t="shared" si="285"/>
        <v>345.2</v>
      </c>
    </row>
    <row r="3231" spans="6:18" ht="15.75">
      <c r="H3231" s="52" t="s">
        <v>155</v>
      </c>
      <c r="J3231" s="57"/>
      <c r="K3231" s="52">
        <f>K3229/10</f>
        <v>162.88460000000001</v>
      </c>
      <c r="M3231" s="236">
        <v>1</v>
      </c>
      <c r="N3231" s="387" t="s">
        <v>153</v>
      </c>
      <c r="O3231" s="238" t="s">
        <v>2832</v>
      </c>
      <c r="P3231" s="236">
        <f>P3196</f>
        <v>185.2</v>
      </c>
      <c r="Q3231" s="239" t="s">
        <v>153</v>
      </c>
      <c r="R3231" s="236">
        <f t="shared" si="285"/>
        <v>185.2</v>
      </c>
    </row>
    <row r="3232" spans="6:18" ht="15.75">
      <c r="J3232" s="57"/>
      <c r="L3232" s="52">
        <f>K3266</f>
        <v>279</v>
      </c>
      <c r="M3232" s="236">
        <v>2</v>
      </c>
      <c r="N3232" s="387" t="s">
        <v>153</v>
      </c>
      <c r="O3232" s="238" t="s">
        <v>2833</v>
      </c>
      <c r="P3232" s="236">
        <f>P3197</f>
        <v>22.7</v>
      </c>
      <c r="Q3232" s="239" t="s">
        <v>153</v>
      </c>
      <c r="R3232" s="236">
        <f t="shared" si="285"/>
        <v>45.4</v>
      </c>
    </row>
    <row r="3233" spans="6:25" ht="15.75">
      <c r="J3233" s="57"/>
      <c r="L3233" s="52">
        <f>K3267</f>
        <v>215.25</v>
      </c>
      <c r="M3233" s="236">
        <v>2</v>
      </c>
      <c r="N3233" s="387" t="s">
        <v>153</v>
      </c>
      <c r="O3233" s="238" t="s">
        <v>2834</v>
      </c>
      <c r="P3233" s="236">
        <f>P3198</f>
        <v>43.8</v>
      </c>
      <c r="Q3233" s="239" t="s">
        <v>153</v>
      </c>
      <c r="R3233" s="236">
        <f t="shared" si="285"/>
        <v>87.6</v>
      </c>
    </row>
    <row r="3234" spans="6:25" ht="15.75">
      <c r="J3234" s="57"/>
      <c r="L3234" s="52">
        <f>K3268</f>
        <v>175.7</v>
      </c>
      <c r="M3234" s="236">
        <v>118</v>
      </c>
      <c r="N3234" s="387" t="s">
        <v>153</v>
      </c>
      <c r="O3234" s="380" t="s">
        <v>2768</v>
      </c>
      <c r="P3234" s="380">
        <f>P3199</f>
        <v>2.37</v>
      </c>
      <c r="Q3234" s="239" t="s">
        <v>153</v>
      </c>
      <c r="R3234" s="236">
        <f t="shared" si="285"/>
        <v>279.66000000000003</v>
      </c>
    </row>
    <row r="3235" spans="6:25" ht="15.75">
      <c r="J3235" s="57"/>
      <c r="L3235" s="52">
        <f>K3269</f>
        <v>230.72</v>
      </c>
      <c r="M3235" s="380"/>
      <c r="N3235" s="381"/>
      <c r="O3235" s="380"/>
      <c r="P3235" s="380"/>
      <c r="Q3235" s="383"/>
      <c r="R3235" s="388" t="s">
        <v>21</v>
      </c>
    </row>
    <row r="3236" spans="6:25" ht="15.75">
      <c r="J3236" s="57"/>
      <c r="L3236" s="52">
        <f>K3270</f>
        <v>1.65</v>
      </c>
      <c r="M3236" s="380"/>
      <c r="N3236" s="381"/>
      <c r="O3236" s="238" t="s">
        <v>2817</v>
      </c>
      <c r="P3236" s="380"/>
      <c r="Q3236" s="383"/>
      <c r="R3236" s="236">
        <f>SUM(R3221:R3234)</f>
        <v>15529.42476</v>
      </c>
    </row>
    <row r="3237" spans="6:25" ht="15.75">
      <c r="H3237" s="52" t="s">
        <v>400</v>
      </c>
      <c r="J3237" s="57"/>
      <c r="M3237" s="380"/>
      <c r="N3237" s="381"/>
      <c r="O3237" s="380"/>
      <c r="P3237" s="380"/>
      <c r="Q3237" s="383"/>
      <c r="R3237" s="388" t="s">
        <v>21</v>
      </c>
    </row>
    <row r="3238" spans="6:25" ht="15.75">
      <c r="H3238" s="52" t="s">
        <v>318</v>
      </c>
      <c r="J3238" s="57"/>
      <c r="M3238" s="380"/>
      <c r="N3238" s="381"/>
      <c r="O3238" s="394" t="s">
        <v>155</v>
      </c>
      <c r="P3238" s="380"/>
      <c r="Q3238" s="385" t="s">
        <v>2597</v>
      </c>
      <c r="R3238" s="395">
        <f>R3236/M3227</f>
        <v>4974.1911467008331</v>
      </c>
    </row>
    <row r="3239" spans="6:25" ht="15.75">
      <c r="H3239" s="52" t="s">
        <v>319</v>
      </c>
      <c r="J3239" s="57"/>
      <c r="L3239" s="52">
        <f>SUM(L3232:L3238)</f>
        <v>902.32</v>
      </c>
      <c r="M3239" s="239"/>
      <c r="N3239" s="387" t="s">
        <v>249</v>
      </c>
      <c r="O3239" s="238" t="s">
        <v>2796</v>
      </c>
      <c r="P3239" s="380"/>
      <c r="Q3239" s="383"/>
      <c r="R3239" s="380"/>
    </row>
    <row r="3240" spans="6:25" ht="15.75">
      <c r="J3240" s="57"/>
      <c r="M3240" s="380"/>
      <c r="N3240" s="381"/>
      <c r="O3240" s="238" t="s">
        <v>1695</v>
      </c>
      <c r="P3240" s="380"/>
      <c r="Q3240" s="383"/>
      <c r="R3240" s="380"/>
    </row>
    <row r="3241" spans="6:25" ht="18">
      <c r="F3241" s="52">
        <v>1.89</v>
      </c>
      <c r="G3241" s="53" t="s">
        <v>325</v>
      </c>
      <c r="H3241" s="52" t="s">
        <v>321</v>
      </c>
      <c r="I3241" s="52">
        <f>I3196</f>
        <v>223.2</v>
      </c>
      <c r="J3241" s="53" t="s">
        <v>325</v>
      </c>
      <c r="K3241" s="52">
        <f>I3241*F3241</f>
        <v>421.84799999999996</v>
      </c>
      <c r="L3241" s="52">
        <f>L3239/10</f>
        <v>90.231999999999999</v>
      </c>
      <c r="M3241" s="380"/>
      <c r="N3241" s="381"/>
      <c r="O3241" s="466" t="s">
        <v>2835</v>
      </c>
      <c r="P3241" s="380"/>
      <c r="Q3241" s="383"/>
      <c r="R3241" s="380"/>
    </row>
    <row r="3242" spans="6:25" ht="15.75">
      <c r="F3242" s="52">
        <v>1.1000000000000001</v>
      </c>
      <c r="G3242" s="53" t="s">
        <v>305</v>
      </c>
      <c r="H3242" s="52" t="s">
        <v>322</v>
      </c>
      <c r="I3242" s="52">
        <f>I3197</f>
        <v>861</v>
      </c>
      <c r="J3242" s="53" t="s">
        <v>305</v>
      </c>
      <c r="K3242" s="52">
        <f>I3242*F3242</f>
        <v>947.1</v>
      </c>
      <c r="M3242" s="380"/>
      <c r="N3242" s="381"/>
      <c r="O3242" s="388" t="s">
        <v>21</v>
      </c>
      <c r="P3242" s="380"/>
      <c r="Q3242" s="383"/>
      <c r="R3242" s="380"/>
    </row>
    <row r="3243" spans="6:25" ht="15.75">
      <c r="F3243" s="52">
        <v>10</v>
      </c>
      <c r="G3243" s="53" t="s">
        <v>306</v>
      </c>
      <c r="H3243" s="50" t="s">
        <v>401</v>
      </c>
      <c r="I3243" s="95">
        <v>6.5</v>
      </c>
      <c r="J3243" s="53" t="s">
        <v>306</v>
      </c>
      <c r="K3243" s="52">
        <f>I3243*F3243</f>
        <v>65</v>
      </c>
      <c r="M3243" s="380"/>
      <c r="N3243" s="381"/>
      <c r="O3243" s="238" t="s">
        <v>2836</v>
      </c>
      <c r="P3243" s="384" t="s">
        <v>156</v>
      </c>
      <c r="Q3243" s="467">
        <v>2.4279999999999999</v>
      </c>
      <c r="R3243" s="380" t="s">
        <v>306</v>
      </c>
    </row>
    <row r="3244" spans="6:25" ht="15.75">
      <c r="H3244" s="50" t="s">
        <v>307</v>
      </c>
      <c r="I3244" s="52" t="s">
        <v>287</v>
      </c>
      <c r="J3244" s="57"/>
      <c r="K3244" s="52">
        <v>1.9</v>
      </c>
      <c r="M3244" s="380"/>
      <c r="N3244" s="381"/>
      <c r="O3244" s="238"/>
      <c r="P3244" s="384"/>
      <c r="Q3244" s="467"/>
      <c r="R3244" s="380"/>
    </row>
    <row r="3245" spans="6:25" ht="15.75">
      <c r="H3245" s="52" t="s">
        <v>238</v>
      </c>
      <c r="J3245" s="57"/>
      <c r="K3245" s="52">
        <f>SUM(K3241:K3244)</f>
        <v>1435.848</v>
      </c>
      <c r="M3245" s="380"/>
      <c r="N3245" s="381"/>
      <c r="O3245" s="238" t="s">
        <v>2800</v>
      </c>
      <c r="P3245" s="384" t="s">
        <v>156</v>
      </c>
      <c r="Q3245" s="468">
        <v>5.1999999999999998E-2</v>
      </c>
      <c r="R3245" s="380" t="s">
        <v>313</v>
      </c>
      <c r="T3245" s="65" t="s">
        <v>2837</v>
      </c>
    </row>
    <row r="3246" spans="6:25" ht="15.75">
      <c r="J3246" s="57"/>
      <c r="M3246" s="380"/>
      <c r="N3246" s="381"/>
      <c r="O3246" s="238" t="s">
        <v>2801</v>
      </c>
      <c r="Q3246" s="469"/>
      <c r="R3246" s="380"/>
      <c r="T3246" s="65" t="s">
        <v>2838</v>
      </c>
    </row>
    <row r="3247" spans="6:25" ht="15.75">
      <c r="H3247" s="52" t="s">
        <v>155</v>
      </c>
      <c r="J3247" s="57"/>
      <c r="K3247" s="52">
        <f>K3245/10</f>
        <v>143.5848</v>
      </c>
      <c r="M3247" s="380"/>
      <c r="N3247" s="381"/>
      <c r="O3247" s="238" t="s">
        <v>2839</v>
      </c>
      <c r="P3247" s="384" t="s">
        <v>156</v>
      </c>
      <c r="Q3247" s="479">
        <v>1.7718999999999999E-2</v>
      </c>
      <c r="R3247" s="380"/>
      <c r="S3247" s="480">
        <v>6.3E-2</v>
      </c>
      <c r="T3247" s="125" t="s">
        <v>151</v>
      </c>
      <c r="U3247" s="65" t="s">
        <v>1796</v>
      </c>
      <c r="V3247" s="65">
        <f>P3291</f>
        <v>111600</v>
      </c>
      <c r="W3247" s="110" t="s">
        <v>151</v>
      </c>
      <c r="X3247" s="65">
        <f>V3247*S3247</f>
        <v>7030.8</v>
      </c>
      <c r="Y3247" s="65"/>
    </row>
    <row r="3248" spans="6:25" ht="15.75">
      <c r="G3248" s="52"/>
      <c r="J3248" s="52"/>
      <c r="M3248" s="380"/>
      <c r="N3248" s="381"/>
      <c r="O3248" s="238" t="s">
        <v>2840</v>
      </c>
      <c r="P3248" s="384" t="s">
        <v>156</v>
      </c>
      <c r="Q3248" s="479">
        <v>7.8750000000000001E-3</v>
      </c>
      <c r="R3248" s="412"/>
      <c r="S3248" s="480">
        <v>4.8000000000000001E-2</v>
      </c>
      <c r="T3248" s="125" t="s">
        <v>151</v>
      </c>
      <c r="U3248" s="65" t="s">
        <v>2841</v>
      </c>
      <c r="V3248" s="65">
        <f>I3280</f>
        <v>99400</v>
      </c>
      <c r="W3248" s="110" t="s">
        <v>151</v>
      </c>
      <c r="X3248" s="65">
        <f>V3248*S3248</f>
        <v>4771.2</v>
      </c>
      <c r="Y3248" s="65"/>
    </row>
    <row r="3249" spans="6:25" ht="15.75">
      <c r="G3249" s="52"/>
      <c r="H3249" s="50" t="s">
        <v>1849</v>
      </c>
      <c r="J3249" s="52"/>
      <c r="M3249" s="380"/>
      <c r="N3249" s="381"/>
      <c r="O3249" s="380"/>
      <c r="P3249" s="380"/>
      <c r="Q3249" s="388" t="s">
        <v>21</v>
      </c>
      <c r="S3249" s="480">
        <v>1.54</v>
      </c>
      <c r="T3249" s="125" t="s">
        <v>152</v>
      </c>
      <c r="U3249" s="65" t="s">
        <v>2842</v>
      </c>
      <c r="V3249" s="65">
        <f t="shared" ref="V3249:V3258" si="286">I3281</f>
        <v>2152</v>
      </c>
      <c r="W3249" s="110" t="s">
        <v>306</v>
      </c>
      <c r="X3249" s="65">
        <f t="shared" ref="X3249:X3258" si="287">V3249*S3249</f>
        <v>3314.08</v>
      </c>
      <c r="Y3249" s="65"/>
    </row>
    <row r="3250" spans="6:25" ht="15.75">
      <c r="G3250" s="52"/>
      <c r="H3250" s="50" t="s">
        <v>2843</v>
      </c>
      <c r="J3250" s="52"/>
      <c r="M3250" s="380"/>
      <c r="N3250" s="381"/>
      <c r="O3250" s="380"/>
      <c r="P3250" s="380"/>
      <c r="Q3250" s="471">
        <v>2.5590000000000002E-2</v>
      </c>
      <c r="R3250" s="52" t="s">
        <v>313</v>
      </c>
      <c r="S3250" s="480">
        <v>3.9E-2</v>
      </c>
      <c r="T3250" s="125" t="s">
        <v>151</v>
      </c>
      <c r="U3250" s="169" t="s">
        <v>1798</v>
      </c>
      <c r="V3250" s="65">
        <f t="shared" si="286"/>
        <v>95000</v>
      </c>
      <c r="W3250" s="110" t="s">
        <v>151</v>
      </c>
      <c r="X3250" s="65">
        <f t="shared" si="287"/>
        <v>3705</v>
      </c>
      <c r="Y3250" s="65"/>
    </row>
    <row r="3251" spans="6:25" ht="31.5">
      <c r="G3251" s="52"/>
      <c r="J3251" s="52"/>
      <c r="M3251" s="380"/>
      <c r="N3251" s="381"/>
      <c r="O3251" s="380"/>
      <c r="P3251" s="380"/>
      <c r="Q3251" s="388" t="s">
        <v>21</v>
      </c>
      <c r="S3251" s="480">
        <v>3.488</v>
      </c>
      <c r="T3251" s="125" t="s">
        <v>152</v>
      </c>
      <c r="U3251" s="169" t="s">
        <v>1799</v>
      </c>
      <c r="V3251" s="65">
        <f t="shared" si="286"/>
        <v>1617</v>
      </c>
      <c r="W3251" s="110" t="s">
        <v>152</v>
      </c>
      <c r="X3251" s="65">
        <f t="shared" si="287"/>
        <v>5640.0959999999995</v>
      </c>
      <c r="Y3251" s="65"/>
    </row>
    <row r="3252" spans="6:25" ht="15.75">
      <c r="F3252" s="64">
        <v>0.22</v>
      </c>
      <c r="G3252" s="62" t="s">
        <v>151</v>
      </c>
      <c r="H3252" s="50" t="s">
        <v>259</v>
      </c>
      <c r="I3252" s="64">
        <f>K49</f>
        <v>3909.1000000000004</v>
      </c>
      <c r="J3252" s="51" t="s">
        <v>151</v>
      </c>
      <c r="K3252" s="64">
        <f>(F3252*I3252)</f>
        <v>860.00200000000007</v>
      </c>
      <c r="M3252" s="380"/>
      <c r="N3252" s="381"/>
      <c r="O3252" s="238" t="s">
        <v>2844</v>
      </c>
      <c r="P3252" s="380"/>
      <c r="Q3252" s="472">
        <v>1.0999999999999999E-2</v>
      </c>
      <c r="R3252" s="412"/>
      <c r="S3252" s="480">
        <v>6</v>
      </c>
      <c r="T3252" s="125" t="s">
        <v>295</v>
      </c>
      <c r="U3252" s="65" t="s">
        <v>2845</v>
      </c>
      <c r="V3252" s="65">
        <f t="shared" si="286"/>
        <v>79</v>
      </c>
      <c r="W3252" s="110" t="s">
        <v>340</v>
      </c>
      <c r="X3252" s="65">
        <f t="shared" si="287"/>
        <v>474</v>
      </c>
      <c r="Y3252" s="65"/>
    </row>
    <row r="3253" spans="6:25" ht="15.75">
      <c r="F3253" s="64">
        <v>2.2000000000000002</v>
      </c>
      <c r="G3253" s="62" t="s">
        <v>4</v>
      </c>
      <c r="H3253" s="50" t="s">
        <v>269</v>
      </c>
      <c r="I3253" s="64">
        <f>AG9</f>
        <v>1076.5999999999999</v>
      </c>
      <c r="J3253" s="51" t="s">
        <v>4</v>
      </c>
      <c r="K3253" s="64">
        <f>(F3253*I3253)</f>
        <v>2368.52</v>
      </c>
      <c r="M3253" s="380"/>
      <c r="N3253" s="381"/>
      <c r="O3253" s="238" t="s">
        <v>2846</v>
      </c>
      <c r="P3253" s="380"/>
      <c r="Q3253" s="473">
        <v>5.3E-3</v>
      </c>
      <c r="R3253" s="412"/>
      <c r="S3253" s="480">
        <v>1</v>
      </c>
      <c r="T3253" s="125" t="s">
        <v>295</v>
      </c>
      <c r="U3253" s="65" t="s">
        <v>2847</v>
      </c>
      <c r="V3253" s="65">
        <f t="shared" si="286"/>
        <v>260</v>
      </c>
      <c r="W3253" s="110" t="s">
        <v>340</v>
      </c>
      <c r="X3253" s="65">
        <f t="shared" si="287"/>
        <v>260</v>
      </c>
      <c r="Y3253" s="65"/>
    </row>
    <row r="3254" spans="6:25" ht="15.75">
      <c r="F3254" s="64">
        <v>0.5</v>
      </c>
      <c r="G3254" s="62" t="s">
        <v>4</v>
      </c>
      <c r="H3254" s="50" t="s">
        <v>1851</v>
      </c>
      <c r="I3254" s="64">
        <f>I3183</f>
        <v>702.8</v>
      </c>
      <c r="J3254" s="51" t="s">
        <v>4</v>
      </c>
      <c r="K3254" s="64">
        <f>(F3254*I3254)</f>
        <v>351.4</v>
      </c>
      <c r="M3254" s="380"/>
      <c r="N3254" s="381"/>
      <c r="O3254" s="238"/>
      <c r="P3254" s="380"/>
      <c r="Q3254" s="388" t="s">
        <v>21</v>
      </c>
      <c r="R3254" s="412"/>
      <c r="S3254" s="480">
        <v>2</v>
      </c>
      <c r="T3254" s="125" t="s">
        <v>295</v>
      </c>
      <c r="U3254" s="65" t="s">
        <v>2848</v>
      </c>
      <c r="V3254" s="65">
        <f t="shared" si="286"/>
        <v>130</v>
      </c>
      <c r="W3254" s="110" t="s">
        <v>340</v>
      </c>
      <c r="X3254" s="65">
        <f t="shared" si="287"/>
        <v>260</v>
      </c>
      <c r="Y3254" s="65"/>
    </row>
    <row r="3255" spans="6:25" ht="15.75">
      <c r="F3255" s="64">
        <v>3.2</v>
      </c>
      <c r="G3255" s="62" t="s">
        <v>4</v>
      </c>
      <c r="H3255" s="50" t="s">
        <v>236</v>
      </c>
      <c r="I3255" s="64">
        <f>I3184</f>
        <v>576.79999999999995</v>
      </c>
      <c r="J3255" s="51" t="s">
        <v>4</v>
      </c>
      <c r="K3255" s="64">
        <f>(F3255*I3255)</f>
        <v>1845.76</v>
      </c>
      <c r="M3255" s="380"/>
      <c r="N3255" s="381"/>
      <c r="O3255" s="238"/>
      <c r="P3255" s="380"/>
      <c r="Q3255" s="474">
        <v>1.6299999999999999E-2</v>
      </c>
      <c r="R3255" s="412" t="s">
        <v>313</v>
      </c>
      <c r="S3255" s="480">
        <v>2</v>
      </c>
      <c r="T3255" s="125" t="s">
        <v>295</v>
      </c>
      <c r="U3255" s="65" t="s">
        <v>2849</v>
      </c>
      <c r="V3255" s="65">
        <f t="shared" si="286"/>
        <v>165</v>
      </c>
      <c r="W3255" s="110" t="s">
        <v>340</v>
      </c>
      <c r="X3255" s="65">
        <f t="shared" si="287"/>
        <v>330</v>
      </c>
      <c r="Y3255" s="65"/>
    </row>
    <row r="3256" spans="6:25" ht="31.5">
      <c r="F3256" s="64">
        <v>10</v>
      </c>
      <c r="G3256" s="62" t="s">
        <v>533</v>
      </c>
      <c r="H3256" s="481" t="s">
        <v>2850</v>
      </c>
      <c r="I3256" s="154">
        <v>7.7</v>
      </c>
      <c r="J3256" s="51" t="s">
        <v>533</v>
      </c>
      <c r="K3256" s="64">
        <f>(F3256*I3256)</f>
        <v>77</v>
      </c>
      <c r="M3256" s="380"/>
      <c r="N3256" s="381"/>
      <c r="O3256" s="380"/>
      <c r="P3256" s="380"/>
      <c r="Q3256" s="388" t="s">
        <v>21</v>
      </c>
      <c r="R3256" s="388"/>
      <c r="S3256" s="480">
        <v>1</v>
      </c>
      <c r="T3256" s="125" t="s">
        <v>295</v>
      </c>
      <c r="U3256" s="65" t="s">
        <v>2851</v>
      </c>
      <c r="V3256" s="65">
        <f t="shared" si="286"/>
        <v>985</v>
      </c>
      <c r="W3256" s="110" t="s">
        <v>340</v>
      </c>
      <c r="X3256" s="65">
        <f t="shared" si="287"/>
        <v>985</v>
      </c>
      <c r="Y3256" s="65"/>
    </row>
    <row r="3257" spans="6:25" ht="15.75">
      <c r="J3257" s="57"/>
      <c r="K3257" s="59" t="s">
        <v>21</v>
      </c>
      <c r="M3257" s="412">
        <v>5.1999999999999998E-2</v>
      </c>
      <c r="N3257" s="387" t="s">
        <v>151</v>
      </c>
      <c r="O3257" s="238" t="s">
        <v>1710</v>
      </c>
      <c r="P3257" s="236">
        <f>P3188</f>
        <v>111600</v>
      </c>
      <c r="Q3257" s="239" t="s">
        <v>151</v>
      </c>
      <c r="R3257" s="236">
        <f>P3257*M3257</f>
        <v>5803.2</v>
      </c>
      <c r="S3257" s="480">
        <v>2</v>
      </c>
      <c r="T3257" s="125" t="s">
        <v>295</v>
      </c>
      <c r="U3257" s="65" t="s">
        <v>2852</v>
      </c>
      <c r="V3257" s="65">
        <f t="shared" si="286"/>
        <v>450</v>
      </c>
      <c r="W3257" s="110" t="s">
        <v>340</v>
      </c>
      <c r="X3257" s="65">
        <f t="shared" si="287"/>
        <v>900</v>
      </c>
      <c r="Y3257" s="65"/>
    </row>
    <row r="3258" spans="6:25" ht="15.75">
      <c r="H3258" s="50" t="s">
        <v>238</v>
      </c>
      <c r="J3258" s="57"/>
      <c r="K3258" s="64">
        <f>SUM(K3252:K3257)</f>
        <v>5502.6819999999998</v>
      </c>
      <c r="M3258" s="412">
        <v>2.5590000000000002E-2</v>
      </c>
      <c r="N3258" s="387" t="s">
        <v>151</v>
      </c>
      <c r="O3258" s="238" t="s">
        <v>1711</v>
      </c>
      <c r="P3258" s="236">
        <f>P3189</f>
        <v>99400</v>
      </c>
      <c r="Q3258" s="239" t="s">
        <v>151</v>
      </c>
      <c r="R3258" s="236">
        <f t="shared" ref="R3258:R3268" si="288">P3258*M3258</f>
        <v>2543.6460000000002</v>
      </c>
      <c r="S3258" s="480">
        <v>0</v>
      </c>
      <c r="T3258" s="125" t="s">
        <v>154</v>
      </c>
      <c r="U3258" s="65" t="s">
        <v>2853</v>
      </c>
      <c r="V3258" s="65">
        <f t="shared" si="286"/>
        <v>2.37</v>
      </c>
      <c r="W3258" s="110" t="s">
        <v>340</v>
      </c>
      <c r="X3258" s="426">
        <f t="shared" si="287"/>
        <v>0</v>
      </c>
      <c r="Y3258" s="426"/>
    </row>
    <row r="3259" spans="6:25" ht="15.75">
      <c r="J3259" s="57"/>
      <c r="K3259" s="59" t="s">
        <v>21</v>
      </c>
      <c r="M3259" s="412">
        <v>1.6299999999999999E-2</v>
      </c>
      <c r="N3259" s="387" t="s">
        <v>151</v>
      </c>
      <c r="O3259" s="478" t="s">
        <v>2854</v>
      </c>
      <c r="P3259" s="482">
        <f>AE28</f>
        <v>95000</v>
      </c>
      <c r="Q3259" s="239" t="s">
        <v>151</v>
      </c>
      <c r="R3259" s="236">
        <f t="shared" si="288"/>
        <v>1548.4999999999998</v>
      </c>
      <c r="S3259" s="480"/>
      <c r="T3259" s="125"/>
      <c r="U3259" s="65" t="s">
        <v>2855</v>
      </c>
      <c r="V3259" s="65"/>
      <c r="W3259" s="110"/>
      <c r="X3259" s="65">
        <f>SUM(X3247:X3258)</f>
        <v>27670.175999999999</v>
      </c>
      <c r="Y3259" s="65"/>
    </row>
    <row r="3260" spans="6:25" ht="15.75">
      <c r="H3260" s="50" t="s">
        <v>155</v>
      </c>
      <c r="J3260" s="57"/>
      <c r="K3260" s="64">
        <f>(K3258/10)</f>
        <v>550.26819999999998</v>
      </c>
      <c r="M3260" s="428"/>
      <c r="N3260" s="381"/>
      <c r="O3260" s="238" t="s">
        <v>1785</v>
      </c>
      <c r="P3260" s="236"/>
      <c r="Q3260" s="383"/>
      <c r="R3260" s="236">
        <f t="shared" si="288"/>
        <v>0</v>
      </c>
      <c r="S3260" s="480"/>
      <c r="T3260" s="125"/>
      <c r="U3260" s="65"/>
      <c r="V3260" s="65"/>
      <c r="W3260" s="110"/>
      <c r="X3260" s="426" t="s">
        <v>1810</v>
      </c>
      <c r="Y3260" s="426"/>
    </row>
    <row r="3261" spans="6:25" ht="15.75">
      <c r="J3261" s="57"/>
      <c r="K3261" s="59" t="s">
        <v>156</v>
      </c>
      <c r="M3261" s="428">
        <v>2.4279999999999999</v>
      </c>
      <c r="N3261" s="387" t="s">
        <v>152</v>
      </c>
      <c r="O3261" s="238" t="s">
        <v>1708</v>
      </c>
      <c r="P3261" s="236">
        <f t="shared" ref="P3261:P3267" si="289">P3192</f>
        <v>1617</v>
      </c>
      <c r="Q3261" s="239" t="s">
        <v>152</v>
      </c>
      <c r="R3261" s="236">
        <f t="shared" si="288"/>
        <v>3926.076</v>
      </c>
      <c r="S3261" s="480"/>
      <c r="T3261" s="125"/>
      <c r="U3261" s="65" t="s">
        <v>2856</v>
      </c>
      <c r="V3261" s="65"/>
      <c r="W3261" s="110"/>
      <c r="X3261" s="65">
        <f>X3259/S3251</f>
        <v>7932.9633027522932</v>
      </c>
      <c r="Y3261" s="65"/>
    </row>
    <row r="3262" spans="6:25" ht="15.75">
      <c r="G3262" s="52"/>
      <c r="J3262" s="52"/>
      <c r="K3262" s="52">
        <f>54000+7000</f>
        <v>61000</v>
      </c>
      <c r="M3262" s="236">
        <v>4</v>
      </c>
      <c r="N3262" s="387" t="s">
        <v>4</v>
      </c>
      <c r="O3262" s="238" t="s">
        <v>2811</v>
      </c>
      <c r="P3262" s="236">
        <f>P3228</f>
        <v>50.9</v>
      </c>
      <c r="Q3262" s="239" t="s">
        <v>153</v>
      </c>
      <c r="R3262" s="236">
        <f t="shared" si="288"/>
        <v>203.6</v>
      </c>
      <c r="S3262" s="480"/>
      <c r="T3262" s="125"/>
      <c r="U3262" s="65"/>
      <c r="V3262" s="65"/>
      <c r="W3262" s="110"/>
      <c r="X3262" s="426" t="s">
        <v>1810</v>
      </c>
      <c r="Y3262" s="426"/>
    </row>
    <row r="3263" spans="6:25" ht="15.75">
      <c r="G3263" s="52"/>
      <c r="J3263" s="52"/>
      <c r="M3263" s="236">
        <v>8</v>
      </c>
      <c r="N3263" s="387" t="s">
        <v>153</v>
      </c>
      <c r="O3263" s="238" t="s">
        <v>391</v>
      </c>
      <c r="P3263" s="236">
        <f>P3229</f>
        <v>79.099999999999994</v>
      </c>
      <c r="Q3263" s="239" t="s">
        <v>153</v>
      </c>
      <c r="R3263" s="236">
        <f t="shared" si="288"/>
        <v>632.79999999999995</v>
      </c>
    </row>
    <row r="3264" spans="6:25" ht="15.75">
      <c r="F3264" s="51" t="s">
        <v>2020</v>
      </c>
      <c r="G3264" s="62" t="s">
        <v>249</v>
      </c>
      <c r="H3264" s="51" t="s">
        <v>2857</v>
      </c>
      <c r="J3264" s="57"/>
      <c r="M3264" s="236">
        <v>4</v>
      </c>
      <c r="N3264" s="387" t="s">
        <v>153</v>
      </c>
      <c r="O3264" s="238" t="s">
        <v>2831</v>
      </c>
      <c r="P3264" s="236">
        <f t="shared" si="289"/>
        <v>86.3</v>
      </c>
      <c r="Q3264" s="239" t="s">
        <v>153</v>
      </c>
      <c r="R3264" s="236">
        <f t="shared" si="288"/>
        <v>345.2</v>
      </c>
    </row>
    <row r="3265" spans="6:18" ht="15.75">
      <c r="H3265" s="51" t="s">
        <v>1024</v>
      </c>
      <c r="J3265" s="57"/>
      <c r="M3265" s="236">
        <v>1</v>
      </c>
      <c r="N3265" s="387" t="s">
        <v>153</v>
      </c>
      <c r="O3265" s="238" t="s">
        <v>2832</v>
      </c>
      <c r="P3265" s="236">
        <f t="shared" si="289"/>
        <v>185.2</v>
      </c>
      <c r="Q3265" s="239" t="s">
        <v>153</v>
      </c>
      <c r="R3265" s="236">
        <f t="shared" si="288"/>
        <v>185.2</v>
      </c>
    </row>
    <row r="3266" spans="6:18" ht="15.75">
      <c r="F3266" s="64">
        <v>1.8</v>
      </c>
      <c r="G3266" s="62" t="s">
        <v>2023</v>
      </c>
      <c r="H3266" s="50" t="s">
        <v>2024</v>
      </c>
      <c r="I3266" s="64">
        <f>E271</f>
        <v>155</v>
      </c>
      <c r="J3266" s="51" t="s">
        <v>2023</v>
      </c>
      <c r="K3266" s="64">
        <f>(F3266*I3266)</f>
        <v>279</v>
      </c>
      <c r="M3266" s="236">
        <v>2</v>
      </c>
      <c r="N3266" s="387" t="s">
        <v>153</v>
      </c>
      <c r="O3266" s="238" t="s">
        <v>2833</v>
      </c>
      <c r="P3266" s="236">
        <f t="shared" si="289"/>
        <v>22.7</v>
      </c>
      <c r="Q3266" s="239" t="s">
        <v>153</v>
      </c>
      <c r="R3266" s="236">
        <f t="shared" si="288"/>
        <v>45.4</v>
      </c>
    </row>
    <row r="3267" spans="6:18" ht="15.75">
      <c r="F3267" s="64">
        <v>0.25</v>
      </c>
      <c r="G3267" s="62" t="s">
        <v>345</v>
      </c>
      <c r="H3267" s="50" t="s">
        <v>2025</v>
      </c>
      <c r="I3267" s="64">
        <f>I3242</f>
        <v>861</v>
      </c>
      <c r="J3267" s="51" t="s">
        <v>345</v>
      </c>
      <c r="K3267" s="64">
        <f>(F3267*I3267)</f>
        <v>215.25</v>
      </c>
      <c r="M3267" s="236">
        <v>2</v>
      </c>
      <c r="N3267" s="387" t="s">
        <v>153</v>
      </c>
      <c r="O3267" s="238" t="s">
        <v>2834</v>
      </c>
      <c r="P3267" s="236">
        <f t="shared" si="289"/>
        <v>43.8</v>
      </c>
      <c r="Q3267" s="239" t="s">
        <v>153</v>
      </c>
      <c r="R3267" s="236">
        <f t="shared" si="288"/>
        <v>87.6</v>
      </c>
    </row>
    <row r="3268" spans="6:18" ht="15.75">
      <c r="F3268" s="64">
        <v>0.25</v>
      </c>
      <c r="G3268" s="62" t="s">
        <v>345</v>
      </c>
      <c r="H3268" s="50" t="s">
        <v>1198</v>
      </c>
      <c r="I3268" s="64">
        <f>I3183</f>
        <v>702.8</v>
      </c>
      <c r="J3268" s="51" t="s">
        <v>345</v>
      </c>
      <c r="K3268" s="64">
        <f>(F3268*I3268)</f>
        <v>175.7</v>
      </c>
      <c r="M3268" s="380">
        <v>118</v>
      </c>
      <c r="N3268" s="387" t="s">
        <v>153</v>
      </c>
      <c r="O3268" s="380" t="s">
        <v>2768</v>
      </c>
      <c r="P3268" s="380">
        <f>P3234</f>
        <v>2.37</v>
      </c>
      <c r="Q3268" s="383"/>
      <c r="R3268" s="236">
        <f t="shared" si="288"/>
        <v>279.66000000000003</v>
      </c>
    </row>
    <row r="3269" spans="6:18" ht="15.75">
      <c r="F3269" s="64">
        <v>0.4</v>
      </c>
      <c r="G3269" s="62" t="s">
        <v>345</v>
      </c>
      <c r="H3269" s="50" t="s">
        <v>2026</v>
      </c>
      <c r="I3269" s="64">
        <f>I3184</f>
        <v>576.79999999999995</v>
      </c>
      <c r="J3269" s="51" t="s">
        <v>345</v>
      </c>
      <c r="K3269" s="64">
        <f>(F3269*I3269)</f>
        <v>230.72</v>
      </c>
      <c r="M3269" s="380"/>
      <c r="N3269" s="381"/>
      <c r="O3269" s="380"/>
      <c r="P3269" s="380"/>
      <c r="Q3269" s="383"/>
      <c r="R3269" s="388" t="s">
        <v>21</v>
      </c>
    </row>
    <row r="3270" spans="6:18" ht="15.75">
      <c r="G3270" s="62" t="s">
        <v>226</v>
      </c>
      <c r="H3270" s="50" t="s">
        <v>316</v>
      </c>
      <c r="J3270" s="51" t="s">
        <v>226</v>
      </c>
      <c r="K3270" s="64">
        <v>1.65</v>
      </c>
      <c r="M3270" s="380"/>
      <c r="N3270" s="381"/>
      <c r="O3270" s="238" t="s">
        <v>2858</v>
      </c>
      <c r="P3270" s="380"/>
      <c r="Q3270" s="383"/>
      <c r="R3270" s="236">
        <f>SUM(R3257:R3268)</f>
        <v>15600.882</v>
      </c>
    </row>
    <row r="3271" spans="6:18" ht="15.75">
      <c r="F3271" s="52">
        <v>10</v>
      </c>
      <c r="H3271" s="50" t="s">
        <v>2859</v>
      </c>
      <c r="I3271" s="52">
        <f>I3172</f>
        <v>3.2</v>
      </c>
      <c r="J3271" s="57" t="s">
        <v>533</v>
      </c>
      <c r="K3271" s="64">
        <f>I3271*F3271</f>
        <v>32</v>
      </c>
      <c r="M3271" s="380"/>
      <c r="N3271" s="381"/>
      <c r="O3271" s="380"/>
      <c r="P3271" s="380"/>
      <c r="Q3271" s="383"/>
      <c r="R3271" s="388" t="s">
        <v>21</v>
      </c>
    </row>
    <row r="3272" spans="6:18" ht="15.75">
      <c r="J3272" s="57"/>
      <c r="K3272" s="59" t="s">
        <v>21</v>
      </c>
      <c r="M3272" s="380"/>
      <c r="N3272" s="381"/>
      <c r="O3272" s="394" t="s">
        <v>155</v>
      </c>
      <c r="P3272" s="380"/>
      <c r="Q3272" s="385" t="s">
        <v>2597</v>
      </c>
      <c r="R3272" s="395">
        <f>R3270/M3261</f>
        <v>6425.4044481054361</v>
      </c>
    </row>
    <row r="3273" spans="6:18" ht="15.75">
      <c r="H3273" s="51" t="s">
        <v>2028</v>
      </c>
      <c r="J3273" s="57"/>
      <c r="K3273" s="64">
        <f>SUM(K3266:K3272)</f>
        <v>934.32</v>
      </c>
      <c r="M3273" s="239"/>
      <c r="N3273" s="387" t="s">
        <v>249</v>
      </c>
      <c r="O3273" s="238" t="s">
        <v>2860</v>
      </c>
      <c r="P3273" s="380"/>
      <c r="Q3273" s="383"/>
      <c r="R3273" s="380"/>
    </row>
    <row r="3274" spans="6:18" ht="15.75">
      <c r="J3274" s="57"/>
      <c r="K3274" s="59" t="s">
        <v>21</v>
      </c>
      <c r="M3274" s="380"/>
      <c r="N3274" s="381"/>
      <c r="O3274" s="238" t="s">
        <v>1695</v>
      </c>
      <c r="P3274" s="380"/>
      <c r="Q3274" s="383"/>
      <c r="R3274" s="380"/>
    </row>
    <row r="3275" spans="6:18" ht="18">
      <c r="F3275" s="50" t="s">
        <v>150</v>
      </c>
      <c r="G3275" s="62" t="s">
        <v>150</v>
      </c>
      <c r="H3275" s="51" t="s">
        <v>350</v>
      </c>
      <c r="I3275" s="50" t="s">
        <v>150</v>
      </c>
      <c r="J3275" s="51" t="s">
        <v>150</v>
      </c>
      <c r="K3275" s="64">
        <f>K3273/10</f>
        <v>93.432000000000002</v>
      </c>
      <c r="M3275" s="380"/>
      <c r="N3275" s="381"/>
      <c r="O3275" s="466" t="s">
        <v>2835</v>
      </c>
      <c r="P3275" s="380"/>
      <c r="Q3275" s="383"/>
      <c r="R3275" s="380"/>
    </row>
    <row r="3276" spans="6:18" ht="15.75">
      <c r="J3276" s="57"/>
      <c r="K3276" s="59" t="s">
        <v>156</v>
      </c>
      <c r="M3276" s="380"/>
      <c r="N3276" s="381"/>
      <c r="O3276" s="388" t="s">
        <v>21</v>
      </c>
      <c r="P3276" s="380"/>
      <c r="Q3276" s="383"/>
      <c r="R3276" s="380"/>
    </row>
    <row r="3277" spans="6:18" ht="15.75">
      <c r="G3277" s="65" t="s">
        <v>2861</v>
      </c>
      <c r="J3277" s="52"/>
      <c r="M3277" s="380"/>
      <c r="N3277" s="381"/>
      <c r="O3277" s="238" t="s">
        <v>2836</v>
      </c>
      <c r="P3277" s="384" t="s">
        <v>156</v>
      </c>
      <c r="Q3277" s="467">
        <v>2.4279999999999999</v>
      </c>
      <c r="R3277" s="380" t="s">
        <v>306</v>
      </c>
    </row>
    <row r="3278" spans="6:18" ht="15.75">
      <c r="G3278" s="65" t="s">
        <v>2838</v>
      </c>
      <c r="J3278" s="52"/>
      <c r="M3278" s="380"/>
      <c r="N3278" s="381"/>
      <c r="O3278" s="238"/>
      <c r="P3278" s="384"/>
      <c r="Q3278" s="467"/>
      <c r="R3278" s="380"/>
    </row>
    <row r="3279" spans="6:18" ht="15.75">
      <c r="G3279" s="52"/>
      <c r="J3279" s="52"/>
      <c r="M3279" s="380"/>
      <c r="N3279" s="381"/>
      <c r="O3279" s="238" t="s">
        <v>2800</v>
      </c>
      <c r="P3279" s="384" t="s">
        <v>156</v>
      </c>
      <c r="Q3279" s="468">
        <v>5.1999999999999998E-2</v>
      </c>
      <c r="R3279" s="380" t="s">
        <v>313</v>
      </c>
    </row>
    <row r="3280" spans="6:18" ht="15.75">
      <c r="F3280" s="424">
        <v>0.10299999999999999</v>
      </c>
      <c r="G3280" s="125" t="s">
        <v>151</v>
      </c>
      <c r="H3280" s="65" t="s">
        <v>2841</v>
      </c>
      <c r="I3280" s="65">
        <f>I1102</f>
        <v>99400</v>
      </c>
      <c r="J3280" s="110" t="s">
        <v>151</v>
      </c>
      <c r="K3280" s="65">
        <f>I3280*F3280</f>
        <v>10238.199999999999</v>
      </c>
      <c r="M3280" s="380"/>
      <c r="N3280" s="381"/>
      <c r="O3280" s="238" t="s">
        <v>2801</v>
      </c>
      <c r="Q3280" s="469"/>
      <c r="R3280" s="380"/>
    </row>
    <row r="3281" spans="6:18" ht="15.75">
      <c r="F3281" s="424">
        <v>1.32</v>
      </c>
      <c r="G3281" s="125" t="s">
        <v>152</v>
      </c>
      <c r="H3281" s="65" t="s">
        <v>2842</v>
      </c>
      <c r="I3281" s="483">
        <v>2152</v>
      </c>
      <c r="J3281" s="110" t="s">
        <v>306</v>
      </c>
      <c r="K3281" s="65">
        <f t="shared" ref="K3281:K3290" si="290">I3281*F3281</f>
        <v>2840.6400000000003</v>
      </c>
      <c r="M3281" s="380"/>
      <c r="N3281" s="381"/>
      <c r="O3281" s="238" t="s">
        <v>2839</v>
      </c>
      <c r="P3281" s="384" t="s">
        <v>156</v>
      </c>
      <c r="Q3281" s="479">
        <v>1.7718999999999999E-2</v>
      </c>
      <c r="R3281" s="380"/>
    </row>
    <row r="3282" spans="6:18" ht="15.75">
      <c r="F3282" s="425">
        <v>3.3000000000000002E-2</v>
      </c>
      <c r="G3282" s="125" t="s">
        <v>151</v>
      </c>
      <c r="H3282" s="169" t="s">
        <v>1798</v>
      </c>
      <c r="I3282" s="65">
        <f>AE28</f>
        <v>95000</v>
      </c>
      <c r="J3282" s="110" t="s">
        <v>151</v>
      </c>
      <c r="K3282" s="65">
        <f t="shared" si="290"/>
        <v>3135</v>
      </c>
      <c r="M3282" s="380"/>
      <c r="N3282" s="381"/>
      <c r="O3282" s="238" t="s">
        <v>2840</v>
      </c>
      <c r="P3282" s="384" t="s">
        <v>156</v>
      </c>
      <c r="Q3282" s="479">
        <v>7.8750000000000001E-3</v>
      </c>
      <c r="R3282" s="412"/>
    </row>
    <row r="3283" spans="6:18" ht="15.75">
      <c r="F3283" s="425">
        <v>3.0225</v>
      </c>
      <c r="G3283" s="125" t="s">
        <v>152</v>
      </c>
      <c r="H3283" s="169" t="s">
        <v>1799</v>
      </c>
      <c r="I3283" s="65">
        <f>AG30</f>
        <v>1617</v>
      </c>
      <c r="J3283" s="110" t="s">
        <v>152</v>
      </c>
      <c r="K3283" s="65">
        <f t="shared" si="290"/>
        <v>4887.3824999999997</v>
      </c>
      <c r="M3283" s="380"/>
      <c r="N3283" s="381"/>
      <c r="O3283" s="380"/>
      <c r="P3283" s="380"/>
      <c r="Q3283" s="388" t="s">
        <v>21</v>
      </c>
    </row>
    <row r="3284" spans="6:18" ht="15.75">
      <c r="F3284" s="65">
        <v>6</v>
      </c>
      <c r="G3284" s="125" t="s">
        <v>295</v>
      </c>
      <c r="H3284" s="65" t="s">
        <v>2845</v>
      </c>
      <c r="I3284" s="483">
        <v>79</v>
      </c>
      <c r="J3284" s="110" t="s">
        <v>340</v>
      </c>
      <c r="K3284" s="65">
        <f t="shared" si="290"/>
        <v>474</v>
      </c>
      <c r="M3284" s="380"/>
      <c r="N3284" s="381"/>
      <c r="O3284" s="380"/>
      <c r="P3284" s="380"/>
      <c r="Q3284" s="471">
        <v>2.5590000000000002E-2</v>
      </c>
      <c r="R3284" s="52" t="s">
        <v>313</v>
      </c>
    </row>
    <row r="3285" spans="6:18" ht="15.75">
      <c r="F3285" s="65">
        <v>1</v>
      </c>
      <c r="G3285" s="125" t="s">
        <v>295</v>
      </c>
      <c r="H3285" s="65" t="s">
        <v>2847</v>
      </c>
      <c r="I3285" s="65">
        <v>260</v>
      </c>
      <c r="J3285" s="110" t="s">
        <v>340</v>
      </c>
      <c r="K3285" s="65">
        <f t="shared" si="290"/>
        <v>260</v>
      </c>
      <c r="M3285" s="380"/>
      <c r="N3285" s="381"/>
      <c r="O3285" s="380"/>
      <c r="P3285" s="380"/>
      <c r="Q3285" s="388" t="s">
        <v>21</v>
      </c>
    </row>
    <row r="3286" spans="6:18" ht="15.75">
      <c r="F3286" s="65">
        <v>2</v>
      </c>
      <c r="G3286" s="125" t="s">
        <v>295</v>
      </c>
      <c r="H3286" s="65" t="s">
        <v>2848</v>
      </c>
      <c r="I3286" s="65">
        <v>130</v>
      </c>
      <c r="J3286" s="110" t="s">
        <v>340</v>
      </c>
      <c r="K3286" s="65">
        <f t="shared" si="290"/>
        <v>260</v>
      </c>
      <c r="M3286" s="380"/>
      <c r="N3286" s="381"/>
      <c r="O3286" s="238" t="s">
        <v>2862</v>
      </c>
      <c r="P3286" s="380"/>
      <c r="Q3286" s="472">
        <v>0.58750000000000002</v>
      </c>
      <c r="R3286" s="412"/>
    </row>
    <row r="3287" spans="6:18" ht="15.75">
      <c r="F3287" s="65">
        <v>2</v>
      </c>
      <c r="G3287" s="125" t="s">
        <v>295</v>
      </c>
      <c r="H3287" s="65" t="s">
        <v>2849</v>
      </c>
      <c r="I3287" s="65">
        <v>165</v>
      </c>
      <c r="J3287" s="110" t="s">
        <v>340</v>
      </c>
      <c r="K3287" s="65">
        <f t="shared" si="290"/>
        <v>330</v>
      </c>
      <c r="M3287" s="380"/>
      <c r="N3287" s="381"/>
      <c r="O3287" s="238" t="s">
        <v>2863</v>
      </c>
      <c r="P3287" s="380"/>
      <c r="Q3287" s="473">
        <v>0.28129999999999999</v>
      </c>
      <c r="R3287" s="412"/>
    </row>
    <row r="3288" spans="6:18" ht="15.75">
      <c r="F3288" s="65">
        <v>1</v>
      </c>
      <c r="G3288" s="125" t="s">
        <v>295</v>
      </c>
      <c r="H3288" s="65" t="s">
        <v>2851</v>
      </c>
      <c r="I3288" s="65">
        <v>985</v>
      </c>
      <c r="J3288" s="110" t="s">
        <v>340</v>
      </c>
      <c r="K3288" s="65">
        <f t="shared" si="290"/>
        <v>985</v>
      </c>
      <c r="M3288" s="380"/>
      <c r="N3288" s="381"/>
      <c r="O3288" s="238"/>
      <c r="P3288" s="380"/>
      <c r="Q3288" s="388" t="s">
        <v>21</v>
      </c>
      <c r="R3288" s="412"/>
    </row>
    <row r="3289" spans="6:18" ht="15.75">
      <c r="F3289" s="65">
        <v>2</v>
      </c>
      <c r="G3289" s="125" t="s">
        <v>295</v>
      </c>
      <c r="H3289" s="65" t="s">
        <v>2852</v>
      </c>
      <c r="I3289" s="65">
        <v>450</v>
      </c>
      <c r="J3289" s="110" t="s">
        <v>340</v>
      </c>
      <c r="K3289" s="65">
        <f t="shared" si="290"/>
        <v>900</v>
      </c>
      <c r="M3289" s="380"/>
      <c r="N3289" s="381"/>
      <c r="O3289" s="238"/>
      <c r="P3289" s="380"/>
      <c r="Q3289" s="473">
        <v>0.86880000000000002</v>
      </c>
      <c r="R3289" s="386" t="s">
        <v>306</v>
      </c>
    </row>
    <row r="3290" spans="6:18" ht="15.75">
      <c r="F3290" s="65">
        <v>0</v>
      </c>
      <c r="G3290" s="125" t="s">
        <v>154</v>
      </c>
      <c r="H3290" s="65" t="s">
        <v>2853</v>
      </c>
      <c r="I3290" s="65">
        <f>I961</f>
        <v>2.37</v>
      </c>
      <c r="J3290" s="110" t="s">
        <v>340</v>
      </c>
      <c r="K3290" s="426">
        <f t="shared" si="290"/>
        <v>0</v>
      </c>
      <c r="M3290" s="380"/>
      <c r="N3290" s="381"/>
      <c r="O3290" s="380"/>
      <c r="P3290" s="380"/>
      <c r="Q3290" s="388" t="s">
        <v>21</v>
      </c>
      <c r="R3290" s="388"/>
    </row>
    <row r="3291" spans="6:18" ht="15.75">
      <c r="F3291" s="65"/>
      <c r="G3291" s="125"/>
      <c r="H3291" s="65" t="s">
        <v>2855</v>
      </c>
      <c r="I3291" s="65"/>
      <c r="J3291" s="110"/>
      <c r="K3291" s="65">
        <f>SUM(K3280:K3290)</f>
        <v>24310.2225</v>
      </c>
      <c r="M3291" s="412">
        <v>5.1999999999999998E-2</v>
      </c>
      <c r="N3291" s="387" t="s">
        <v>151</v>
      </c>
      <c r="O3291" s="238" t="s">
        <v>1710</v>
      </c>
      <c r="P3291" s="236">
        <f>P3188</f>
        <v>111600</v>
      </c>
      <c r="Q3291" s="239" t="s">
        <v>151</v>
      </c>
      <c r="R3291" s="236">
        <f>P3291*M3291</f>
        <v>5803.2</v>
      </c>
    </row>
    <row r="3292" spans="6:18" ht="15.75">
      <c r="F3292" s="65"/>
      <c r="G3292" s="125"/>
      <c r="H3292" s="65"/>
      <c r="I3292" s="65"/>
      <c r="J3292" s="110"/>
      <c r="K3292" s="426" t="s">
        <v>1810</v>
      </c>
      <c r="M3292" s="412">
        <v>2.5590000000000002E-2</v>
      </c>
      <c r="N3292" s="387" t="s">
        <v>151</v>
      </c>
      <c r="O3292" s="238" t="s">
        <v>1711</v>
      </c>
      <c r="P3292" s="236">
        <f>P3189</f>
        <v>99400</v>
      </c>
      <c r="Q3292" s="239" t="s">
        <v>151</v>
      </c>
      <c r="R3292" s="236">
        <f t="shared" ref="R3292:R3300" si="291">P3292*M3292</f>
        <v>2543.6460000000002</v>
      </c>
    </row>
    <row r="3293" spans="6:18" ht="15.75">
      <c r="F3293" s="65"/>
      <c r="G3293" s="125"/>
      <c r="H3293" s="65" t="s">
        <v>2856</v>
      </c>
      <c r="I3293" s="65"/>
      <c r="J3293" s="110"/>
      <c r="K3293" s="65">
        <f>K3291/F3283</f>
        <v>8043.0843672456576</v>
      </c>
      <c r="M3293" s="236">
        <v>0.87</v>
      </c>
      <c r="N3293" s="387" t="s">
        <v>152</v>
      </c>
      <c r="O3293" s="50" t="s">
        <v>879</v>
      </c>
      <c r="P3293" s="236">
        <f>C783</f>
        <v>387.4</v>
      </c>
      <c r="Q3293" s="239" t="s">
        <v>151</v>
      </c>
      <c r="R3293" s="236">
        <f t="shared" si="291"/>
        <v>337.03799999999995</v>
      </c>
    </row>
    <row r="3294" spans="6:18" ht="15.75">
      <c r="F3294" s="65"/>
      <c r="G3294" s="125"/>
      <c r="H3294" s="65"/>
      <c r="I3294" s="65"/>
      <c r="J3294" s="110"/>
      <c r="K3294" s="426" t="s">
        <v>1810</v>
      </c>
      <c r="M3294" s="428">
        <v>2.4279999999999999</v>
      </c>
      <c r="N3294" s="387" t="s">
        <v>152</v>
      </c>
      <c r="O3294" s="238" t="s">
        <v>1708</v>
      </c>
      <c r="P3294" s="236">
        <f>D30</f>
        <v>1348.1999999999998</v>
      </c>
      <c r="Q3294" s="239" t="s">
        <v>152</v>
      </c>
      <c r="R3294" s="236">
        <f t="shared" si="291"/>
        <v>3273.4295999999995</v>
      </c>
    </row>
    <row r="3295" spans="6:18" ht="15.75">
      <c r="G3295" s="52"/>
      <c r="J3295" s="52"/>
      <c r="M3295" s="236">
        <v>4</v>
      </c>
      <c r="N3295" s="387" t="s">
        <v>4</v>
      </c>
      <c r="O3295" s="238" t="s">
        <v>2811</v>
      </c>
      <c r="P3295" s="236">
        <f t="shared" ref="P3295:P3300" si="292">P3228</f>
        <v>50.9</v>
      </c>
      <c r="Q3295" s="239" t="s">
        <v>153</v>
      </c>
      <c r="R3295" s="236">
        <f t="shared" si="291"/>
        <v>203.6</v>
      </c>
    </row>
    <row r="3296" spans="6:18" ht="15.75">
      <c r="G3296" s="52"/>
      <c r="J3296" s="52"/>
      <c r="M3296" s="236">
        <v>8</v>
      </c>
      <c r="N3296" s="387" t="s">
        <v>153</v>
      </c>
      <c r="O3296" s="238" t="s">
        <v>391</v>
      </c>
      <c r="P3296" s="236">
        <f t="shared" si="292"/>
        <v>79.099999999999994</v>
      </c>
      <c r="Q3296" s="239" t="s">
        <v>153</v>
      </c>
      <c r="R3296" s="236">
        <f t="shared" si="291"/>
        <v>632.79999999999995</v>
      </c>
    </row>
    <row r="3297" spans="6:18" ht="15.75">
      <c r="G3297" s="62" t="s">
        <v>514</v>
      </c>
      <c r="H3297" s="51" t="s">
        <v>1649</v>
      </c>
      <c r="M3297" s="236">
        <v>4</v>
      </c>
      <c r="N3297" s="387" t="s">
        <v>153</v>
      </c>
      <c r="O3297" s="238" t="s">
        <v>2831</v>
      </c>
      <c r="P3297" s="236">
        <f t="shared" si="292"/>
        <v>86.3</v>
      </c>
      <c r="Q3297" s="239" t="s">
        <v>153</v>
      </c>
      <c r="R3297" s="236">
        <f t="shared" si="291"/>
        <v>345.2</v>
      </c>
    </row>
    <row r="3298" spans="6:18" ht="15.75">
      <c r="H3298" s="51" t="s">
        <v>1662</v>
      </c>
      <c r="M3298" s="236">
        <v>1</v>
      </c>
      <c r="N3298" s="387" t="s">
        <v>153</v>
      </c>
      <c r="O3298" s="238" t="s">
        <v>2832</v>
      </c>
      <c r="P3298" s="236">
        <f t="shared" si="292"/>
        <v>185.2</v>
      </c>
      <c r="Q3298" s="239" t="s">
        <v>153</v>
      </c>
      <c r="R3298" s="236">
        <f t="shared" si="291"/>
        <v>185.2</v>
      </c>
    </row>
    <row r="3299" spans="6:18" ht="15.75">
      <c r="F3299" s="130">
        <v>6.5000000000000002E-2</v>
      </c>
      <c r="G3299" s="62" t="s">
        <v>151</v>
      </c>
      <c r="H3299" s="50" t="s">
        <v>1652</v>
      </c>
      <c r="I3299" s="64">
        <f>I859</f>
        <v>8712.6439874999996</v>
      </c>
      <c r="J3299" s="50" t="s">
        <v>151</v>
      </c>
      <c r="K3299" s="64">
        <f>I3299*F3299</f>
        <v>566.32185918749997</v>
      </c>
      <c r="M3299" s="236">
        <v>2</v>
      </c>
      <c r="N3299" s="387" t="s">
        <v>153</v>
      </c>
      <c r="O3299" s="238" t="s">
        <v>2833</v>
      </c>
      <c r="P3299" s="236">
        <f t="shared" si="292"/>
        <v>22.7</v>
      </c>
      <c r="Q3299" s="239" t="s">
        <v>153</v>
      </c>
      <c r="R3299" s="236">
        <f t="shared" si="291"/>
        <v>45.4</v>
      </c>
    </row>
    <row r="3300" spans="6:18" ht="15.75">
      <c r="F3300" s="176">
        <v>8.4499999999999993</v>
      </c>
      <c r="G3300" s="62" t="s">
        <v>13</v>
      </c>
      <c r="H3300" s="50" t="s">
        <v>1654</v>
      </c>
      <c r="I3300" s="64">
        <f t="shared" ref="I3300:I3310" si="293">I860</f>
        <v>78120.5</v>
      </c>
      <c r="J3300" s="50" t="s">
        <v>251</v>
      </c>
      <c r="K3300" s="64">
        <f>I3300*F3300/1000</f>
        <v>660.11822499999994</v>
      </c>
      <c r="M3300" s="236">
        <v>2</v>
      </c>
      <c r="N3300" s="387" t="s">
        <v>153</v>
      </c>
      <c r="O3300" s="238" t="s">
        <v>2834</v>
      </c>
      <c r="P3300" s="236">
        <f t="shared" si="292"/>
        <v>43.8</v>
      </c>
      <c r="Q3300" s="239" t="s">
        <v>153</v>
      </c>
      <c r="R3300" s="236">
        <f t="shared" si="291"/>
        <v>87.6</v>
      </c>
    </row>
    <row r="3301" spans="6:18" ht="15.75">
      <c r="F3301" s="64">
        <v>3</v>
      </c>
      <c r="G3301" s="62" t="s">
        <v>153</v>
      </c>
      <c r="H3301" s="50" t="s">
        <v>1656</v>
      </c>
      <c r="I3301" s="64">
        <f t="shared" si="293"/>
        <v>14.8</v>
      </c>
      <c r="J3301" s="50" t="s">
        <v>153</v>
      </c>
      <c r="K3301" s="64">
        <f t="shared" ref="K3301:K3308" si="294">I3301*F3301</f>
        <v>44.400000000000006</v>
      </c>
      <c r="M3301" s="380"/>
      <c r="N3301" s="381"/>
      <c r="O3301" s="380" t="s">
        <v>2768</v>
      </c>
      <c r="P3301" s="380"/>
      <c r="Q3301" s="383"/>
      <c r="R3301" s="392">
        <f>R3199</f>
        <v>279.66000000000003</v>
      </c>
    </row>
    <row r="3302" spans="6:18" ht="15.75">
      <c r="F3302" s="64">
        <v>12</v>
      </c>
      <c r="G3302" s="62" t="s">
        <v>153</v>
      </c>
      <c r="H3302" s="50" t="s">
        <v>1657</v>
      </c>
      <c r="I3302" s="64">
        <f t="shared" si="293"/>
        <v>2</v>
      </c>
      <c r="J3302" s="50" t="s">
        <v>153</v>
      </c>
      <c r="K3302" s="64">
        <f t="shared" si="294"/>
        <v>24</v>
      </c>
      <c r="M3302" s="380"/>
      <c r="N3302" s="381"/>
      <c r="O3302" s="380"/>
      <c r="P3302" s="380"/>
      <c r="Q3302" s="383"/>
      <c r="R3302" s="388" t="s">
        <v>21</v>
      </c>
    </row>
    <row r="3303" spans="6:18" ht="15.75">
      <c r="F3303" s="64">
        <v>2</v>
      </c>
      <c r="G3303" s="62" t="s">
        <v>153</v>
      </c>
      <c r="H3303" s="50" t="s">
        <v>1658</v>
      </c>
      <c r="I3303" s="64">
        <f t="shared" si="293"/>
        <v>4.9000000000000004</v>
      </c>
      <c r="J3303" s="50" t="s">
        <v>153</v>
      </c>
      <c r="K3303" s="64">
        <f t="shared" si="294"/>
        <v>9.8000000000000007</v>
      </c>
      <c r="M3303" s="380"/>
      <c r="N3303" s="381"/>
      <c r="O3303" s="238" t="s">
        <v>2858</v>
      </c>
      <c r="P3303" s="380"/>
      <c r="Q3303" s="383"/>
      <c r="R3303" s="236">
        <f>SUM(R3291:R3301)</f>
        <v>13736.7736</v>
      </c>
    </row>
    <row r="3304" spans="6:18" ht="15.75">
      <c r="F3304" s="64">
        <v>6</v>
      </c>
      <c r="G3304" s="62" t="s">
        <v>153</v>
      </c>
      <c r="H3304" s="50" t="s">
        <v>1660</v>
      </c>
      <c r="I3304" s="64">
        <f t="shared" si="293"/>
        <v>4.45</v>
      </c>
      <c r="J3304" s="50" t="s">
        <v>153</v>
      </c>
      <c r="K3304" s="64">
        <f t="shared" si="294"/>
        <v>26.700000000000003</v>
      </c>
      <c r="M3304" s="380"/>
      <c r="N3304" s="381"/>
      <c r="O3304" s="380"/>
      <c r="P3304" s="380"/>
      <c r="Q3304" s="383"/>
      <c r="R3304" s="388" t="s">
        <v>21</v>
      </c>
    </row>
    <row r="3305" spans="6:18" ht="15.75">
      <c r="F3305" s="64">
        <v>1</v>
      </c>
      <c r="G3305" s="62" t="s">
        <v>153</v>
      </c>
      <c r="H3305" s="50" t="s">
        <v>1663</v>
      </c>
      <c r="I3305" s="64">
        <f t="shared" si="293"/>
        <v>1076.5999999999999</v>
      </c>
      <c r="J3305" s="50" t="s">
        <v>153</v>
      </c>
      <c r="K3305" s="64">
        <f t="shared" si="294"/>
        <v>1076.5999999999999</v>
      </c>
      <c r="M3305" s="380"/>
      <c r="N3305" s="381"/>
      <c r="O3305" s="394" t="s">
        <v>155</v>
      </c>
      <c r="P3305" s="380"/>
      <c r="Q3305" s="385" t="s">
        <v>2597</v>
      </c>
      <c r="R3305" s="395">
        <f>R3303/M3294</f>
        <v>5657.6497528830314</v>
      </c>
    </row>
    <row r="3306" spans="6:18" ht="15.75">
      <c r="F3306" s="64">
        <v>1</v>
      </c>
      <c r="G3306" s="62" t="s">
        <v>153</v>
      </c>
      <c r="H3306" s="50" t="s">
        <v>1664</v>
      </c>
      <c r="I3306" s="64">
        <f t="shared" si="293"/>
        <v>702.8</v>
      </c>
      <c r="J3306" s="50" t="s">
        <v>153</v>
      </c>
      <c r="K3306" s="64">
        <f t="shared" si="294"/>
        <v>702.8</v>
      </c>
      <c r="M3306" s="239"/>
      <c r="N3306" s="387" t="s">
        <v>249</v>
      </c>
      <c r="O3306" s="238" t="s">
        <v>2864</v>
      </c>
      <c r="P3306" s="380"/>
      <c r="Q3306" s="383"/>
      <c r="R3306" s="380"/>
    </row>
    <row r="3307" spans="6:18" ht="15.75">
      <c r="F3307" s="64">
        <v>1</v>
      </c>
      <c r="G3307" s="62" t="s">
        <v>153</v>
      </c>
      <c r="H3307" s="50" t="s">
        <v>1665</v>
      </c>
      <c r="I3307" s="64">
        <f t="shared" si="293"/>
        <v>25</v>
      </c>
      <c r="J3307" s="50" t="s">
        <v>153</v>
      </c>
      <c r="K3307" s="64">
        <f t="shared" si="294"/>
        <v>25</v>
      </c>
      <c r="M3307" s="380"/>
      <c r="N3307" s="381"/>
      <c r="O3307" s="238" t="s">
        <v>1695</v>
      </c>
      <c r="P3307" s="380"/>
      <c r="Q3307" s="383"/>
      <c r="R3307" s="380"/>
    </row>
    <row r="3308" spans="6:18" ht="18">
      <c r="F3308" s="64">
        <v>0.5</v>
      </c>
      <c r="G3308" s="62" t="s">
        <v>153</v>
      </c>
      <c r="H3308" s="50" t="s">
        <v>1666</v>
      </c>
      <c r="I3308" s="64">
        <f t="shared" si="293"/>
        <v>576.79999999999995</v>
      </c>
      <c r="J3308" s="50" t="s">
        <v>153</v>
      </c>
      <c r="K3308" s="64">
        <f t="shared" si="294"/>
        <v>288.39999999999998</v>
      </c>
      <c r="M3308" s="380"/>
      <c r="N3308" s="381"/>
      <c r="O3308" s="466" t="s">
        <v>2798</v>
      </c>
      <c r="P3308" s="380"/>
      <c r="Q3308" s="383"/>
      <c r="R3308" s="380"/>
    </row>
    <row r="3309" spans="6:18" ht="15.75">
      <c r="G3309" s="62" t="s">
        <v>226</v>
      </c>
      <c r="H3309" s="50" t="s">
        <v>1667</v>
      </c>
      <c r="I3309" s="64">
        <f t="shared" si="293"/>
        <v>0</v>
      </c>
      <c r="J3309" s="50" t="s">
        <v>226</v>
      </c>
      <c r="K3309" s="64">
        <v>2.1</v>
      </c>
      <c r="M3309" s="380"/>
      <c r="N3309" s="381"/>
      <c r="O3309" s="388" t="s">
        <v>21</v>
      </c>
      <c r="P3309" s="380"/>
      <c r="Q3309" s="383"/>
      <c r="R3309" s="380"/>
    </row>
    <row r="3310" spans="6:18" ht="15.75">
      <c r="I3310" s="64">
        <f t="shared" si="293"/>
        <v>0</v>
      </c>
      <c r="K3310" s="59" t="s">
        <v>21</v>
      </c>
      <c r="M3310" s="380"/>
      <c r="N3310" s="381"/>
      <c r="O3310" s="238" t="s">
        <v>2799</v>
      </c>
      <c r="P3310" s="384" t="s">
        <v>156</v>
      </c>
      <c r="Q3310" s="467">
        <v>3.1219999999999999</v>
      </c>
      <c r="R3310" s="433" t="s">
        <v>306</v>
      </c>
    </row>
    <row r="3311" spans="6:18" ht="15.75">
      <c r="H3311" s="66" t="s">
        <v>1668</v>
      </c>
      <c r="K3311" s="124">
        <f>SUM(K3299:K3310)</f>
        <v>3426.2400841874996</v>
      </c>
      <c r="M3311" s="380"/>
      <c r="N3311" s="381"/>
      <c r="O3311" s="238"/>
      <c r="P3311" s="384"/>
      <c r="Q3311" s="467"/>
      <c r="R3311" s="433"/>
    </row>
    <row r="3312" spans="6:18" ht="15.75">
      <c r="K3312" s="59" t="s">
        <v>21</v>
      </c>
      <c r="M3312" s="380"/>
      <c r="N3312" s="381"/>
      <c r="O3312" s="238" t="s">
        <v>2800</v>
      </c>
      <c r="P3312" s="384" t="s">
        <v>156</v>
      </c>
      <c r="Q3312" s="468">
        <v>5.1999999999999998E-2</v>
      </c>
      <c r="R3312" s="433" t="s">
        <v>313</v>
      </c>
    </row>
    <row r="3313" spans="6:18" ht="15.75">
      <c r="G3313" s="52"/>
      <c r="J3313" s="52"/>
      <c r="M3313" s="380"/>
      <c r="N3313" s="381"/>
      <c r="O3313" s="238" t="s">
        <v>2801</v>
      </c>
      <c r="Q3313" s="469"/>
      <c r="R3313" s="433"/>
    </row>
    <row r="3314" spans="6:18" ht="15.75">
      <c r="G3314" s="52"/>
      <c r="J3314" s="52"/>
      <c r="M3314" s="380"/>
      <c r="N3314" s="381"/>
      <c r="O3314" s="238" t="s">
        <v>2802</v>
      </c>
      <c r="P3314" s="384" t="s">
        <v>156</v>
      </c>
      <c r="Q3314" s="470">
        <v>2.2780000000000002E-2</v>
      </c>
      <c r="R3314" s="433"/>
    </row>
    <row r="3315" spans="6:18" ht="15.75">
      <c r="G3315" s="65" t="s">
        <v>2622</v>
      </c>
      <c r="J3315" s="52"/>
      <c r="M3315" s="380"/>
      <c r="N3315" s="381"/>
      <c r="O3315" s="238" t="s">
        <v>2804</v>
      </c>
      <c r="P3315" s="384" t="s">
        <v>156</v>
      </c>
      <c r="Q3315" s="479">
        <v>1.0125E-2</v>
      </c>
      <c r="R3315" s="434"/>
    </row>
    <row r="3316" spans="6:18" ht="15.75">
      <c r="G3316" s="65" t="s">
        <v>2623</v>
      </c>
      <c r="J3316" s="52"/>
      <c r="M3316" s="380"/>
      <c r="N3316" s="381"/>
      <c r="O3316" s="380"/>
      <c r="P3316" s="380"/>
      <c r="Q3316" s="477" t="s">
        <v>2821</v>
      </c>
      <c r="R3316" s="55"/>
    </row>
    <row r="3317" spans="6:18" ht="15.75">
      <c r="G3317" s="52"/>
      <c r="J3317" s="52"/>
      <c r="M3317" s="380"/>
      <c r="N3317" s="381"/>
      <c r="O3317" s="380"/>
      <c r="P3317" s="380"/>
      <c r="Q3317" s="471">
        <v>3.2910000000000002E-2</v>
      </c>
      <c r="R3317" s="55" t="s">
        <v>313</v>
      </c>
    </row>
    <row r="3318" spans="6:18" ht="15.75">
      <c r="F3318" s="425">
        <v>2.6159999999999999E-2</v>
      </c>
      <c r="G3318" s="125" t="s">
        <v>151</v>
      </c>
      <c r="H3318" s="65" t="s">
        <v>1796</v>
      </c>
      <c r="I3318" s="65">
        <f>AE26</f>
        <v>111600</v>
      </c>
      <c r="J3318" s="110" t="s">
        <v>151</v>
      </c>
      <c r="K3318" s="65">
        <f>I3318*F3318</f>
        <v>2919.4560000000001</v>
      </c>
      <c r="M3318" s="380"/>
      <c r="N3318" s="381"/>
      <c r="O3318" s="380"/>
      <c r="P3318" s="380"/>
      <c r="Q3318" s="477" t="s">
        <v>2821</v>
      </c>
      <c r="R3318" s="55"/>
    </row>
    <row r="3319" spans="6:18" ht="15.75">
      <c r="F3319" s="425">
        <v>4.7809999999999998E-2</v>
      </c>
      <c r="G3319" s="125" t="s">
        <v>151</v>
      </c>
      <c r="H3319" s="65" t="s">
        <v>1797</v>
      </c>
      <c r="I3319" s="65">
        <f>AE27</f>
        <v>99400</v>
      </c>
      <c r="J3319" s="110" t="s">
        <v>151</v>
      </c>
      <c r="K3319" s="65">
        <f t="shared" ref="K3319:K3327" si="295">I3319*F3319</f>
        <v>4752.3139999999994</v>
      </c>
      <c r="M3319" s="380"/>
      <c r="N3319" s="381"/>
      <c r="O3319" s="238" t="s">
        <v>2822</v>
      </c>
      <c r="P3319" s="380"/>
      <c r="Q3319" s="353">
        <v>0.94</v>
      </c>
      <c r="R3319" s="434" t="s">
        <v>306</v>
      </c>
    </row>
    <row r="3320" spans="6:18" ht="15.75">
      <c r="F3320" s="425">
        <v>4.5879999999999997E-2</v>
      </c>
      <c r="G3320" s="125" t="s">
        <v>151</v>
      </c>
      <c r="H3320" s="484" t="s">
        <v>2865</v>
      </c>
      <c r="I3320" s="485">
        <v>107000</v>
      </c>
      <c r="J3320" s="110" t="s">
        <v>151</v>
      </c>
      <c r="K3320" s="65">
        <f t="shared" si="295"/>
        <v>4909.16</v>
      </c>
      <c r="M3320" s="380"/>
      <c r="N3320" s="381"/>
      <c r="O3320" s="238" t="s">
        <v>2866</v>
      </c>
      <c r="P3320" s="380"/>
      <c r="Q3320" s="474">
        <v>0.45</v>
      </c>
      <c r="R3320" s="434" t="s">
        <v>313</v>
      </c>
    </row>
    <row r="3321" spans="6:18" ht="15.75">
      <c r="F3321" s="425">
        <v>3.95</v>
      </c>
      <c r="G3321" s="125" t="s">
        <v>152</v>
      </c>
      <c r="H3321" s="65" t="s">
        <v>1799</v>
      </c>
      <c r="I3321" s="65">
        <f>P3261</f>
        <v>1617</v>
      </c>
      <c r="J3321" s="110" t="s">
        <v>152</v>
      </c>
      <c r="K3321" s="65">
        <f t="shared" si="295"/>
        <v>6387.1500000000005</v>
      </c>
      <c r="M3321" s="380"/>
      <c r="N3321" s="381"/>
      <c r="O3321" s="238" t="s">
        <v>2824</v>
      </c>
      <c r="P3321" s="380"/>
      <c r="Q3321" s="474">
        <v>7.9</v>
      </c>
      <c r="R3321" s="434" t="s">
        <v>303</v>
      </c>
    </row>
    <row r="3322" spans="6:18" ht="15.75">
      <c r="F3322" s="65">
        <v>2</v>
      </c>
      <c r="G3322" s="125" t="s">
        <v>295</v>
      </c>
      <c r="H3322" s="65" t="s">
        <v>1801</v>
      </c>
      <c r="I3322" s="65">
        <f t="shared" ref="I3322:I3327" si="296">P3262</f>
        <v>50.9</v>
      </c>
      <c r="J3322" s="110" t="s">
        <v>340</v>
      </c>
      <c r="K3322" s="65">
        <f t="shared" si="295"/>
        <v>101.8</v>
      </c>
      <c r="M3322" s="380"/>
      <c r="N3322" s="381"/>
      <c r="O3322" s="380"/>
      <c r="P3322" s="380"/>
      <c r="Q3322" s="388"/>
      <c r="R3322" s="388"/>
    </row>
    <row r="3323" spans="6:18" ht="15.75">
      <c r="F3323" s="65">
        <v>6</v>
      </c>
      <c r="G3323" s="125" t="s">
        <v>295</v>
      </c>
      <c r="H3323" s="65" t="s">
        <v>1802</v>
      </c>
      <c r="I3323" s="65">
        <f t="shared" si="296"/>
        <v>79.099999999999994</v>
      </c>
      <c r="J3323" s="110" t="s">
        <v>340</v>
      </c>
      <c r="K3323" s="65">
        <f t="shared" si="295"/>
        <v>474.59999999999997</v>
      </c>
      <c r="M3323" s="412">
        <v>5.1999999999999998E-2</v>
      </c>
      <c r="N3323" s="387" t="s">
        <v>151</v>
      </c>
      <c r="O3323" s="238" t="s">
        <v>1710</v>
      </c>
      <c r="P3323" s="236">
        <f>P3221</f>
        <v>111600</v>
      </c>
      <c r="Q3323" s="239" t="s">
        <v>151</v>
      </c>
      <c r="R3323" s="236">
        <f>P3323*M3323</f>
        <v>5803.2</v>
      </c>
    </row>
    <row r="3324" spans="6:18" ht="15.75">
      <c r="F3324" s="65">
        <v>4</v>
      </c>
      <c r="G3324" s="125" t="s">
        <v>295</v>
      </c>
      <c r="H3324" s="65" t="s">
        <v>1803</v>
      </c>
      <c r="I3324" s="65">
        <f t="shared" si="296"/>
        <v>86.3</v>
      </c>
      <c r="J3324" s="110" t="s">
        <v>340</v>
      </c>
      <c r="K3324" s="65">
        <f t="shared" si="295"/>
        <v>345.2</v>
      </c>
      <c r="M3324" s="412">
        <v>3.2910000000000002E-2</v>
      </c>
      <c r="N3324" s="387" t="s">
        <v>151</v>
      </c>
      <c r="O3324" s="238" t="s">
        <v>1711</v>
      </c>
      <c r="P3324" s="236">
        <f>P3222</f>
        <v>99400</v>
      </c>
      <c r="Q3324" s="239" t="s">
        <v>151</v>
      </c>
      <c r="R3324" s="236">
        <f t="shared" ref="R3324:R3335" si="297">P3324*M3324</f>
        <v>3271.2540000000004</v>
      </c>
    </row>
    <row r="3325" spans="6:18" ht="15.75">
      <c r="F3325" s="65">
        <v>1</v>
      </c>
      <c r="G3325" s="125" t="s">
        <v>295</v>
      </c>
      <c r="H3325" s="65" t="s">
        <v>1805</v>
      </c>
      <c r="I3325" s="65">
        <f t="shared" si="296"/>
        <v>185.2</v>
      </c>
      <c r="J3325" s="110" t="s">
        <v>340</v>
      </c>
      <c r="K3325" s="65">
        <f t="shared" si="295"/>
        <v>185.2</v>
      </c>
      <c r="M3325" s="412">
        <v>0.45</v>
      </c>
      <c r="N3325" s="387" t="s">
        <v>152</v>
      </c>
      <c r="O3325" s="50" t="s">
        <v>879</v>
      </c>
      <c r="P3325" s="236">
        <f>P3293</f>
        <v>387.4</v>
      </c>
      <c r="Q3325" s="239" t="s">
        <v>151</v>
      </c>
      <c r="R3325" s="236">
        <f t="shared" si="297"/>
        <v>174.32999999999998</v>
      </c>
    </row>
    <row r="3326" spans="6:18" ht="15.75">
      <c r="F3326" s="65">
        <v>2</v>
      </c>
      <c r="G3326" s="125" t="s">
        <v>295</v>
      </c>
      <c r="H3326" s="65" t="s">
        <v>2867</v>
      </c>
      <c r="I3326" s="65">
        <f t="shared" si="296"/>
        <v>22.7</v>
      </c>
      <c r="J3326" s="110" t="s">
        <v>340</v>
      </c>
      <c r="K3326" s="65">
        <f t="shared" si="295"/>
        <v>45.4</v>
      </c>
      <c r="M3326" s="428">
        <v>0.94</v>
      </c>
      <c r="N3326" s="387" t="s">
        <v>152</v>
      </c>
      <c r="O3326" s="238" t="s">
        <v>2868</v>
      </c>
      <c r="P3326" s="236">
        <f t="shared" ref="P3326:P3334" si="298">P3225</f>
        <v>355.5</v>
      </c>
      <c r="Q3326" s="383" t="s">
        <v>152</v>
      </c>
      <c r="R3326" s="236">
        <f t="shared" si="297"/>
        <v>334.16999999999996</v>
      </c>
    </row>
    <row r="3327" spans="6:18" ht="15.75">
      <c r="F3327" s="65">
        <v>2</v>
      </c>
      <c r="G3327" s="125" t="s">
        <v>295</v>
      </c>
      <c r="H3327" s="65" t="s">
        <v>886</v>
      </c>
      <c r="I3327" s="65">
        <f t="shared" si="296"/>
        <v>43.8</v>
      </c>
      <c r="J3327" s="110" t="s">
        <v>340</v>
      </c>
      <c r="K3327" s="65">
        <f t="shared" si="295"/>
        <v>87.6</v>
      </c>
      <c r="M3327" s="428">
        <v>7.9</v>
      </c>
      <c r="N3327" s="387" t="s">
        <v>552</v>
      </c>
      <c r="O3327" s="238" t="s">
        <v>2869</v>
      </c>
      <c r="P3327" s="236">
        <f t="shared" si="298"/>
        <v>15.15</v>
      </c>
      <c r="Q3327" s="383"/>
      <c r="R3327" s="236">
        <f t="shared" si="297"/>
        <v>119.685</v>
      </c>
    </row>
    <row r="3328" spans="6:18" ht="15.75">
      <c r="F3328" s="65">
        <v>10</v>
      </c>
      <c r="G3328" s="125"/>
      <c r="H3328" s="484" t="s">
        <v>2870</v>
      </c>
      <c r="I3328" s="65">
        <f>I3290</f>
        <v>2.37</v>
      </c>
      <c r="J3328" s="110"/>
      <c r="K3328" s="65">
        <v>24.3</v>
      </c>
      <c r="M3328" s="428">
        <v>3.1219999999999999</v>
      </c>
      <c r="N3328" s="387" t="s">
        <v>152</v>
      </c>
      <c r="O3328" s="238" t="s">
        <v>1708</v>
      </c>
      <c r="P3328" s="236">
        <f t="shared" si="298"/>
        <v>1078</v>
      </c>
      <c r="Q3328" s="239" t="s">
        <v>152</v>
      </c>
      <c r="R3328" s="236">
        <f t="shared" si="297"/>
        <v>3365.5160000000001</v>
      </c>
    </row>
    <row r="3329" spans="6:18" ht="15.75">
      <c r="F3329" s="65"/>
      <c r="G3329" s="125"/>
      <c r="H3329" s="65" t="s">
        <v>155</v>
      </c>
      <c r="I3329" s="65"/>
      <c r="J3329" s="110"/>
      <c r="K3329" s="65">
        <f>SUM(K3318:K3328)</f>
        <v>20232.18</v>
      </c>
      <c r="M3329" s="236">
        <v>4</v>
      </c>
      <c r="N3329" s="387" t="s">
        <v>4</v>
      </c>
      <c r="O3329" s="238" t="s">
        <v>2811</v>
      </c>
      <c r="P3329" s="236">
        <f t="shared" si="298"/>
        <v>50.9</v>
      </c>
      <c r="Q3329" s="239" t="s">
        <v>153</v>
      </c>
      <c r="R3329" s="236">
        <f t="shared" si="297"/>
        <v>203.6</v>
      </c>
    </row>
    <row r="3330" spans="6:18" ht="15.75">
      <c r="F3330" s="65"/>
      <c r="G3330" s="125"/>
      <c r="H3330" s="65"/>
      <c r="I3330" s="65"/>
      <c r="J3330" s="110"/>
      <c r="K3330" s="426" t="s">
        <v>1810</v>
      </c>
      <c r="M3330" s="236">
        <v>8</v>
      </c>
      <c r="N3330" s="387" t="s">
        <v>153</v>
      </c>
      <c r="O3330" s="238" t="s">
        <v>391</v>
      </c>
      <c r="P3330" s="236">
        <f t="shared" si="298"/>
        <v>79.099999999999994</v>
      </c>
      <c r="Q3330" s="239" t="s">
        <v>153</v>
      </c>
      <c r="R3330" s="236">
        <f t="shared" si="297"/>
        <v>632.79999999999995</v>
      </c>
    </row>
    <row r="3331" spans="6:18" ht="15.75">
      <c r="F3331" s="65"/>
      <c r="G3331" s="125"/>
      <c r="H3331" s="65" t="s">
        <v>155</v>
      </c>
      <c r="I3331" s="65"/>
      <c r="J3331" s="110"/>
      <c r="K3331" s="65">
        <f>K3329/F3321</f>
        <v>5122.0708860759496</v>
      </c>
      <c r="M3331" s="236">
        <v>4</v>
      </c>
      <c r="N3331" s="387" t="s">
        <v>153</v>
      </c>
      <c r="O3331" s="238" t="s">
        <v>2831</v>
      </c>
      <c r="P3331" s="236">
        <f t="shared" si="298"/>
        <v>86.3</v>
      </c>
      <c r="Q3331" s="239" t="s">
        <v>153</v>
      </c>
      <c r="R3331" s="236">
        <f t="shared" si="297"/>
        <v>345.2</v>
      </c>
    </row>
    <row r="3332" spans="6:18" ht="15.75">
      <c r="F3332" s="65"/>
      <c r="G3332" s="125"/>
      <c r="H3332" s="65"/>
      <c r="I3332" s="65"/>
      <c r="J3332" s="110"/>
      <c r="K3332" s="426" t="s">
        <v>1810</v>
      </c>
      <c r="M3332" s="236">
        <v>1</v>
      </c>
      <c r="N3332" s="387" t="s">
        <v>153</v>
      </c>
      <c r="O3332" s="238" t="s">
        <v>2832</v>
      </c>
      <c r="P3332" s="236">
        <f t="shared" si="298"/>
        <v>185.2</v>
      </c>
      <c r="Q3332" s="239" t="s">
        <v>153</v>
      </c>
      <c r="R3332" s="236">
        <f t="shared" si="297"/>
        <v>185.2</v>
      </c>
    </row>
    <row r="3333" spans="6:18" ht="15.75">
      <c r="G3333" s="52"/>
      <c r="J3333" s="52"/>
      <c r="M3333" s="236">
        <v>2</v>
      </c>
      <c r="N3333" s="387" t="s">
        <v>153</v>
      </c>
      <c r="O3333" s="238" t="s">
        <v>2833</v>
      </c>
      <c r="P3333" s="236">
        <f t="shared" si="298"/>
        <v>22.7</v>
      </c>
      <c r="Q3333" s="239" t="s">
        <v>153</v>
      </c>
      <c r="R3333" s="236">
        <f t="shared" si="297"/>
        <v>45.4</v>
      </c>
    </row>
    <row r="3334" spans="6:18" ht="15.75">
      <c r="G3334" s="52"/>
      <c r="J3334" s="52"/>
      <c r="M3334" s="236">
        <v>2</v>
      </c>
      <c r="N3334" s="387" t="s">
        <v>153</v>
      </c>
      <c r="O3334" s="238" t="s">
        <v>2834</v>
      </c>
      <c r="P3334" s="236">
        <f t="shared" si="298"/>
        <v>43.8</v>
      </c>
      <c r="Q3334" s="239" t="s">
        <v>153</v>
      </c>
      <c r="R3334" s="236">
        <f t="shared" si="297"/>
        <v>87.6</v>
      </c>
    </row>
    <row r="3335" spans="6:18" ht="15.75">
      <c r="G3335" s="52"/>
      <c r="J3335" s="52"/>
      <c r="M3335" s="380">
        <v>118</v>
      </c>
      <c r="N3335" s="387" t="s">
        <v>153</v>
      </c>
      <c r="O3335" s="380" t="s">
        <v>2768</v>
      </c>
      <c r="P3335" s="380">
        <f>P3268</f>
        <v>2.37</v>
      </c>
      <c r="Q3335" s="239" t="s">
        <v>153</v>
      </c>
      <c r="R3335" s="236">
        <f t="shared" si="297"/>
        <v>279.66000000000003</v>
      </c>
    </row>
    <row r="3336" spans="6:18" ht="15.75">
      <c r="F3336" s="51"/>
      <c r="G3336" s="62" t="s">
        <v>249</v>
      </c>
      <c r="H3336" s="50" t="s">
        <v>2871</v>
      </c>
      <c r="J3336" s="57"/>
      <c r="M3336" s="380"/>
      <c r="N3336" s="381"/>
      <c r="O3336" s="380"/>
      <c r="P3336" s="380"/>
      <c r="Q3336" s="383"/>
      <c r="R3336" s="388" t="s">
        <v>21</v>
      </c>
    </row>
    <row r="3337" spans="6:18" ht="15.75">
      <c r="H3337" s="50" t="s">
        <v>394</v>
      </c>
      <c r="J3337" s="57"/>
      <c r="M3337" s="380"/>
      <c r="N3337" s="381"/>
      <c r="O3337" s="238" t="s">
        <v>2817</v>
      </c>
      <c r="P3337" s="380"/>
      <c r="Q3337" s="383"/>
      <c r="R3337" s="236">
        <f>SUM(R3323:R3335)</f>
        <v>14847.615</v>
      </c>
    </row>
    <row r="3338" spans="6:18" ht="15.75">
      <c r="H3338" s="54" t="s">
        <v>395</v>
      </c>
      <c r="J3338" s="57"/>
      <c r="M3338" s="380"/>
      <c r="N3338" s="381"/>
      <c r="O3338" s="380"/>
      <c r="P3338" s="380"/>
      <c r="Q3338" s="383"/>
      <c r="R3338" s="388" t="s">
        <v>21</v>
      </c>
    </row>
    <row r="3339" spans="6:18" ht="15.75">
      <c r="H3339" s="59" t="s">
        <v>21</v>
      </c>
      <c r="J3339" s="57"/>
      <c r="M3339" s="380"/>
      <c r="N3339" s="381"/>
      <c r="O3339" s="394" t="s">
        <v>155</v>
      </c>
      <c r="P3339" s="380"/>
      <c r="Q3339" s="385" t="s">
        <v>2597</v>
      </c>
      <c r="R3339" s="395">
        <f>R3337/M3328</f>
        <v>4755.8023702754645</v>
      </c>
    </row>
    <row r="3340" spans="6:18" ht="15.75">
      <c r="F3340" s="64">
        <v>1.34</v>
      </c>
      <c r="G3340" s="62" t="s">
        <v>13</v>
      </c>
      <c r="H3340" s="343" t="s">
        <v>581</v>
      </c>
      <c r="I3340" s="73">
        <v>72.400000000000006</v>
      </c>
      <c r="J3340" s="50" t="s">
        <v>13</v>
      </c>
      <c r="K3340" s="64">
        <f>(F3340*I3340)</f>
        <v>97.01600000000002</v>
      </c>
    </row>
    <row r="3341" spans="6:18" ht="15.75">
      <c r="F3341" s="64">
        <v>0.5</v>
      </c>
      <c r="G3341" s="62" t="s">
        <v>4</v>
      </c>
      <c r="H3341" s="50" t="s">
        <v>322</v>
      </c>
      <c r="I3341" s="64">
        <f>AG13</f>
        <v>861</v>
      </c>
      <c r="J3341" s="62" t="s">
        <v>4</v>
      </c>
      <c r="K3341" s="64">
        <f>(F3341*I3341)</f>
        <v>430.5</v>
      </c>
    </row>
    <row r="3342" spans="6:18" ht="15.75">
      <c r="F3342" s="64">
        <v>0.5</v>
      </c>
      <c r="G3342" s="62" t="s">
        <v>4</v>
      </c>
      <c r="H3342" s="50" t="s">
        <v>235</v>
      </c>
      <c r="I3342" s="64">
        <f>AG11</f>
        <v>702.8</v>
      </c>
      <c r="J3342" s="62" t="s">
        <v>4</v>
      </c>
      <c r="K3342" s="64">
        <f>(F3342*I3342)</f>
        <v>351.4</v>
      </c>
      <c r="M3342" s="239"/>
      <c r="N3342" s="387" t="s">
        <v>249</v>
      </c>
      <c r="O3342" s="238" t="s">
        <v>2872</v>
      </c>
      <c r="P3342" s="380"/>
      <c r="Q3342" s="383"/>
      <c r="R3342" s="380"/>
    </row>
    <row r="3343" spans="6:18" ht="15.75">
      <c r="F3343" s="64">
        <v>0.8</v>
      </c>
      <c r="G3343" s="62" t="s">
        <v>4</v>
      </c>
      <c r="H3343" s="50" t="s">
        <v>236</v>
      </c>
      <c r="I3343" s="64">
        <f>AG12</f>
        <v>576.79999999999995</v>
      </c>
      <c r="J3343" s="62" t="s">
        <v>4</v>
      </c>
      <c r="K3343" s="64">
        <f>(F3343*I3343)</f>
        <v>461.44</v>
      </c>
      <c r="M3343" s="380"/>
      <c r="N3343" s="381"/>
      <c r="O3343" s="238" t="s">
        <v>1695</v>
      </c>
      <c r="P3343" s="380"/>
      <c r="Q3343" s="383"/>
      <c r="R3343" s="380"/>
    </row>
    <row r="3344" spans="6:18" ht="18">
      <c r="G3344" s="62" t="s">
        <v>226</v>
      </c>
      <c r="H3344" s="50" t="s">
        <v>323</v>
      </c>
      <c r="I3344" s="50" t="s">
        <v>150</v>
      </c>
      <c r="J3344" s="51" t="s">
        <v>226</v>
      </c>
      <c r="K3344" s="64">
        <v>2.6</v>
      </c>
      <c r="M3344" s="380"/>
      <c r="N3344" s="381"/>
      <c r="O3344" s="466" t="s">
        <v>2873</v>
      </c>
      <c r="P3344" s="380"/>
      <c r="Q3344" s="383"/>
      <c r="R3344" s="380"/>
    </row>
    <row r="3345" spans="6:18" ht="15.75">
      <c r="J3345" s="57"/>
      <c r="K3345" s="59" t="s">
        <v>21</v>
      </c>
      <c r="M3345" s="380"/>
      <c r="N3345" s="381"/>
      <c r="O3345" s="388" t="s">
        <v>21</v>
      </c>
      <c r="P3345" s="380"/>
      <c r="Q3345" s="383"/>
      <c r="R3345" s="380"/>
    </row>
    <row r="3346" spans="6:18" ht="15.75">
      <c r="H3346" s="50" t="s">
        <v>238</v>
      </c>
      <c r="J3346" s="57"/>
      <c r="K3346" s="64">
        <f>SUM(K3340:K3345)</f>
        <v>1342.9559999999999</v>
      </c>
      <c r="M3346" s="380"/>
      <c r="N3346" s="381"/>
      <c r="O3346" s="238" t="s">
        <v>2874</v>
      </c>
      <c r="P3346" s="384" t="s">
        <v>156</v>
      </c>
      <c r="Q3346" s="467">
        <v>1.734</v>
      </c>
      <c r="R3346" s="380" t="s">
        <v>306</v>
      </c>
    </row>
    <row r="3347" spans="6:18" ht="15.75">
      <c r="J3347" s="57"/>
      <c r="K3347" s="59" t="s">
        <v>21</v>
      </c>
      <c r="M3347" s="380"/>
      <c r="N3347" s="381"/>
      <c r="O3347" s="238"/>
      <c r="P3347" s="384"/>
      <c r="Q3347" s="467"/>
      <c r="R3347" s="380"/>
    </row>
    <row r="3348" spans="6:18" ht="15.75">
      <c r="H3348" s="54" t="s">
        <v>155</v>
      </c>
      <c r="J3348" s="57"/>
      <c r="K3348" s="63">
        <f>(K3346/10)</f>
        <v>134.29559999999998</v>
      </c>
      <c r="M3348" s="380"/>
      <c r="N3348" s="381"/>
      <c r="O3348" s="238" t="s">
        <v>2875</v>
      </c>
      <c r="P3348" s="384" t="s">
        <v>156</v>
      </c>
      <c r="Q3348" s="468">
        <v>3.9E-2</v>
      </c>
      <c r="R3348" s="380" t="s">
        <v>313</v>
      </c>
    </row>
    <row r="3349" spans="6:18" ht="15.75">
      <c r="F3349" s="50" t="s">
        <v>150</v>
      </c>
      <c r="J3349" s="57"/>
      <c r="M3349" s="380"/>
      <c r="N3349" s="381"/>
      <c r="O3349" s="238" t="s">
        <v>2801</v>
      </c>
      <c r="Q3349" s="469"/>
      <c r="R3349" s="380"/>
    </row>
    <row r="3350" spans="6:18" ht="15.75">
      <c r="G3350" s="52"/>
      <c r="J3350" s="52"/>
      <c r="M3350" s="380"/>
      <c r="N3350" s="381"/>
      <c r="O3350" s="238" t="s">
        <v>2876</v>
      </c>
      <c r="P3350" s="384" t="s">
        <v>156</v>
      </c>
      <c r="Q3350" s="470">
        <v>1.2659999999999999E-2</v>
      </c>
      <c r="R3350" s="380"/>
    </row>
    <row r="3351" spans="6:18" ht="15.75">
      <c r="H3351" s="65" t="s">
        <v>2877</v>
      </c>
      <c r="J3351" s="52"/>
      <c r="M3351" s="380"/>
      <c r="N3351" s="381"/>
      <c r="O3351" s="238" t="s">
        <v>2878</v>
      </c>
      <c r="P3351" s="384" t="s">
        <v>156</v>
      </c>
      <c r="Q3351" s="479">
        <v>5.6249999999999998E-3</v>
      </c>
      <c r="R3351" s="412"/>
    </row>
    <row r="3352" spans="6:18" ht="15.75">
      <c r="J3352" s="52"/>
      <c r="M3352" s="380"/>
      <c r="N3352" s="381"/>
      <c r="O3352" s="380"/>
      <c r="P3352" s="380"/>
      <c r="Q3352" s="388" t="s">
        <v>21</v>
      </c>
    </row>
    <row r="3353" spans="6:18" ht="15.75">
      <c r="F3353" s="52">
        <v>1.4</v>
      </c>
      <c r="G3353" s="62" t="s">
        <v>320</v>
      </c>
      <c r="H3353" s="52" t="s">
        <v>304</v>
      </c>
      <c r="I3353" s="141">
        <f>I3366</f>
        <v>289.8</v>
      </c>
      <c r="J3353" s="62" t="s">
        <v>320</v>
      </c>
      <c r="K3353" s="52">
        <f>I3353*F3353</f>
        <v>405.71999999999997</v>
      </c>
      <c r="M3353" s="380"/>
      <c r="N3353" s="381"/>
      <c r="O3353" s="380"/>
      <c r="P3353" s="380"/>
      <c r="Q3353" s="471">
        <v>1.8290000000000001E-2</v>
      </c>
      <c r="R3353" s="52" t="s">
        <v>313</v>
      </c>
    </row>
    <row r="3354" spans="6:18" ht="15.75">
      <c r="F3354" s="52">
        <v>1.5</v>
      </c>
      <c r="G3354" s="62" t="s">
        <v>4</v>
      </c>
      <c r="H3354" s="52" t="s">
        <v>2879</v>
      </c>
      <c r="I3354" s="141">
        <f>I3367</f>
        <v>861</v>
      </c>
      <c r="J3354" s="62" t="s">
        <v>4</v>
      </c>
      <c r="K3354" s="52">
        <f>I3354*F3354</f>
        <v>1291.5</v>
      </c>
      <c r="M3354" s="380"/>
      <c r="N3354" s="381"/>
      <c r="O3354" s="380"/>
      <c r="P3354" s="380"/>
      <c r="Q3354" s="388" t="s">
        <v>21</v>
      </c>
    </row>
    <row r="3355" spans="6:18" ht="15.75">
      <c r="F3355" s="52">
        <v>10</v>
      </c>
      <c r="G3355" s="53" t="s">
        <v>306</v>
      </c>
      <c r="H3355" s="50" t="s">
        <v>2797</v>
      </c>
      <c r="I3355" s="141">
        <f>I3368</f>
        <v>3.2</v>
      </c>
      <c r="J3355" s="53" t="s">
        <v>306</v>
      </c>
      <c r="K3355" s="52">
        <f>I3355*F3355</f>
        <v>32</v>
      </c>
      <c r="M3355" s="380"/>
      <c r="N3355" s="381"/>
      <c r="O3355" s="238" t="s">
        <v>2880</v>
      </c>
      <c r="P3355" s="380"/>
      <c r="Q3355" s="472">
        <v>0.4113</v>
      </c>
      <c r="R3355" s="412"/>
    </row>
    <row r="3356" spans="6:18" ht="15.75">
      <c r="H3356" s="50" t="s">
        <v>307</v>
      </c>
      <c r="I3356" s="141" t="s">
        <v>2807</v>
      </c>
      <c r="J3356" s="57"/>
      <c r="K3356" s="52">
        <v>1.6</v>
      </c>
      <c r="M3356" s="380"/>
      <c r="N3356" s="381"/>
      <c r="O3356" s="238" t="s">
        <v>2881</v>
      </c>
      <c r="P3356" s="380"/>
      <c r="Q3356" s="473">
        <v>0.19689999999999999</v>
      </c>
      <c r="R3356" s="412"/>
    </row>
    <row r="3357" spans="6:18" ht="15.75">
      <c r="H3357" s="50" t="s">
        <v>238</v>
      </c>
      <c r="J3357" s="57"/>
      <c r="K3357" s="52">
        <f>SUM(K3353:K3356)</f>
        <v>1730.82</v>
      </c>
      <c r="M3357" s="380"/>
      <c r="N3357" s="381"/>
      <c r="O3357" s="238"/>
      <c r="P3357" s="380"/>
      <c r="Q3357" s="388" t="s">
        <v>21</v>
      </c>
      <c r="R3357" s="412"/>
    </row>
    <row r="3358" spans="6:18" ht="15.75">
      <c r="H3358" s="54" t="s">
        <v>155</v>
      </c>
      <c r="J3358" s="57"/>
      <c r="K3358" s="52">
        <f>K3357/10</f>
        <v>173.08199999999999</v>
      </c>
      <c r="M3358" s="380"/>
      <c r="N3358" s="381"/>
      <c r="O3358" s="238"/>
      <c r="P3358" s="380"/>
      <c r="Q3358" s="474">
        <v>0.60819999999999996</v>
      </c>
      <c r="R3358" s="386"/>
    </row>
    <row r="3359" spans="6:18" ht="15.75">
      <c r="J3359" s="57"/>
      <c r="M3359" s="380"/>
      <c r="N3359" s="381"/>
      <c r="O3359" s="380"/>
      <c r="P3359" s="380"/>
      <c r="Q3359" s="388" t="s">
        <v>21</v>
      </c>
      <c r="R3359" s="388"/>
    </row>
    <row r="3360" spans="6:18" ht="15.75">
      <c r="J3360" s="57"/>
      <c r="M3360" s="412">
        <v>3.9E-2</v>
      </c>
      <c r="N3360" s="387" t="s">
        <v>151</v>
      </c>
      <c r="O3360" s="238" t="s">
        <v>1710</v>
      </c>
      <c r="P3360" s="236">
        <f>P3291</f>
        <v>111600</v>
      </c>
      <c r="Q3360" s="239" t="s">
        <v>151</v>
      </c>
      <c r="R3360" s="236">
        <f>P3360*M3360</f>
        <v>4352.3999999999996</v>
      </c>
    </row>
    <row r="3361" spans="6:18" ht="15.75">
      <c r="G3361" s="52"/>
      <c r="J3361" s="52"/>
      <c r="M3361" s="412">
        <v>1.8290000000000001E-2</v>
      </c>
      <c r="N3361" s="387" t="s">
        <v>151</v>
      </c>
      <c r="O3361" s="238" t="s">
        <v>1711</v>
      </c>
      <c r="P3361" s="236">
        <f>P3292</f>
        <v>99400</v>
      </c>
      <c r="Q3361" s="239" t="s">
        <v>151</v>
      </c>
      <c r="R3361" s="236">
        <f t="shared" ref="R3361:R3370" si="299">P3361*M3361</f>
        <v>1818.0260000000001</v>
      </c>
    </row>
    <row r="3362" spans="6:18" ht="15.75">
      <c r="G3362" s="52"/>
      <c r="J3362" s="52"/>
      <c r="M3362" s="412">
        <v>0.60819999999999996</v>
      </c>
      <c r="N3362" s="387" t="s">
        <v>152</v>
      </c>
      <c r="O3362" s="50" t="s">
        <v>879</v>
      </c>
      <c r="P3362" s="236">
        <f>P3325</f>
        <v>387.4</v>
      </c>
      <c r="Q3362" s="239" t="s">
        <v>151</v>
      </c>
      <c r="R3362" s="236">
        <f t="shared" si="299"/>
        <v>235.61667999999997</v>
      </c>
    </row>
    <row r="3363" spans="6:18" ht="15.75">
      <c r="G3363" s="52"/>
      <c r="J3363" s="52"/>
      <c r="M3363" s="428">
        <v>1.734</v>
      </c>
      <c r="N3363" s="387" t="s">
        <v>152</v>
      </c>
      <c r="O3363" s="238" t="s">
        <v>1708</v>
      </c>
      <c r="P3363" s="236">
        <f>P3328</f>
        <v>1078</v>
      </c>
      <c r="Q3363" s="239" t="s">
        <v>152</v>
      </c>
      <c r="R3363" s="236">
        <f t="shared" si="299"/>
        <v>1869.252</v>
      </c>
    </row>
    <row r="3364" spans="6:18" ht="15.75">
      <c r="H3364" s="65" t="s">
        <v>2882</v>
      </c>
      <c r="J3364" s="52"/>
      <c r="M3364" s="236">
        <v>2</v>
      </c>
      <c r="N3364" s="387" t="s">
        <v>4</v>
      </c>
      <c r="O3364" s="238" t="s">
        <v>2811</v>
      </c>
      <c r="P3364" s="236">
        <f t="shared" ref="P3364:P3369" si="300">P3295</f>
        <v>50.9</v>
      </c>
      <c r="Q3364" s="239" t="s">
        <v>153</v>
      </c>
      <c r="R3364" s="236">
        <f t="shared" si="299"/>
        <v>101.8</v>
      </c>
    </row>
    <row r="3365" spans="6:18" ht="15.75">
      <c r="J3365" s="52"/>
      <c r="M3365" s="236">
        <v>4</v>
      </c>
      <c r="N3365" s="387" t="s">
        <v>153</v>
      </c>
      <c r="O3365" s="238" t="s">
        <v>391</v>
      </c>
      <c r="P3365" s="236">
        <f t="shared" si="300"/>
        <v>79.099999999999994</v>
      </c>
      <c r="Q3365" s="239" t="s">
        <v>153</v>
      </c>
      <c r="R3365" s="236">
        <f t="shared" si="299"/>
        <v>316.39999999999998</v>
      </c>
    </row>
    <row r="3366" spans="6:18" ht="15.75">
      <c r="F3366" s="52">
        <v>0.8</v>
      </c>
      <c r="G3366" s="62" t="s">
        <v>320</v>
      </c>
      <c r="H3366" s="52" t="s">
        <v>304</v>
      </c>
      <c r="I3366" s="141">
        <f>P1319</f>
        <v>289.8</v>
      </c>
      <c r="J3366" s="62" t="s">
        <v>320</v>
      </c>
      <c r="K3366" s="52">
        <f>I3366*F3366</f>
        <v>231.84000000000003</v>
      </c>
      <c r="M3366" s="236">
        <v>2</v>
      </c>
      <c r="N3366" s="387" t="s">
        <v>153</v>
      </c>
      <c r="O3366" s="238" t="s">
        <v>2831</v>
      </c>
      <c r="P3366" s="236">
        <f t="shared" si="300"/>
        <v>86.3</v>
      </c>
      <c r="Q3366" s="239" t="s">
        <v>153</v>
      </c>
      <c r="R3366" s="236">
        <f t="shared" si="299"/>
        <v>172.6</v>
      </c>
    </row>
    <row r="3367" spans="6:18" ht="15.75">
      <c r="F3367" s="52">
        <v>0.7</v>
      </c>
      <c r="G3367" s="62" t="s">
        <v>4</v>
      </c>
      <c r="H3367" s="52" t="s">
        <v>2879</v>
      </c>
      <c r="I3367" s="52">
        <f>I3341</f>
        <v>861</v>
      </c>
      <c r="J3367" s="62" t="s">
        <v>4</v>
      </c>
      <c r="K3367" s="52">
        <f>I3367*F3367</f>
        <v>602.69999999999993</v>
      </c>
      <c r="M3367" s="236">
        <v>1</v>
      </c>
      <c r="N3367" s="387" t="s">
        <v>153</v>
      </c>
      <c r="O3367" s="238" t="s">
        <v>2832</v>
      </c>
      <c r="P3367" s="236">
        <f t="shared" si="300"/>
        <v>185.2</v>
      </c>
      <c r="Q3367" s="239" t="s">
        <v>153</v>
      </c>
      <c r="R3367" s="236">
        <f t="shared" si="299"/>
        <v>185.2</v>
      </c>
    </row>
    <row r="3368" spans="6:18" ht="15.75">
      <c r="F3368" s="52">
        <v>10</v>
      </c>
      <c r="G3368" s="53" t="s">
        <v>306</v>
      </c>
      <c r="H3368" s="50" t="s">
        <v>2797</v>
      </c>
      <c r="I3368" s="52">
        <f>I3185</f>
        <v>3.2</v>
      </c>
      <c r="J3368" s="53" t="s">
        <v>306</v>
      </c>
      <c r="K3368" s="52">
        <f>I3368*F3368</f>
        <v>32</v>
      </c>
      <c r="M3368" s="236">
        <v>1</v>
      </c>
      <c r="N3368" s="387" t="s">
        <v>153</v>
      </c>
      <c r="O3368" s="238" t="s">
        <v>2833</v>
      </c>
      <c r="P3368" s="236">
        <f t="shared" si="300"/>
        <v>22.7</v>
      </c>
      <c r="Q3368" s="239" t="s">
        <v>153</v>
      </c>
      <c r="R3368" s="236">
        <f t="shared" si="299"/>
        <v>22.7</v>
      </c>
    </row>
    <row r="3369" spans="6:18" ht="15.75">
      <c r="H3369" s="50" t="s">
        <v>307</v>
      </c>
      <c r="I3369" s="141" t="s">
        <v>2807</v>
      </c>
      <c r="J3369" s="57"/>
      <c r="K3369" s="52">
        <v>1.6</v>
      </c>
      <c r="M3369" s="236">
        <v>1</v>
      </c>
      <c r="N3369" s="387" t="s">
        <v>153</v>
      </c>
      <c r="O3369" s="238" t="s">
        <v>2834</v>
      </c>
      <c r="P3369" s="236">
        <f t="shared" si="300"/>
        <v>43.8</v>
      </c>
      <c r="Q3369" s="239" t="s">
        <v>153</v>
      </c>
      <c r="R3369" s="236">
        <f t="shared" si="299"/>
        <v>43.8</v>
      </c>
    </row>
    <row r="3370" spans="6:18" ht="15.75">
      <c r="H3370" s="50" t="s">
        <v>238</v>
      </c>
      <c r="J3370" s="57"/>
      <c r="K3370" s="52">
        <f>SUM(K3366:K3369)</f>
        <v>868.14</v>
      </c>
      <c r="M3370" s="236">
        <v>58</v>
      </c>
      <c r="N3370" s="387" t="s">
        <v>153</v>
      </c>
      <c r="O3370" s="380" t="s">
        <v>2768</v>
      </c>
      <c r="P3370" s="380">
        <f>P3335</f>
        <v>2.37</v>
      </c>
      <c r="Q3370" s="239" t="s">
        <v>153</v>
      </c>
      <c r="R3370" s="236">
        <f t="shared" si="299"/>
        <v>137.46</v>
      </c>
    </row>
    <row r="3371" spans="6:18" ht="15.75">
      <c r="H3371" s="54" t="s">
        <v>155</v>
      </c>
      <c r="J3371" s="57"/>
      <c r="K3371" s="52">
        <f>K3370/10</f>
        <v>86.813999999999993</v>
      </c>
      <c r="M3371" s="380"/>
      <c r="N3371" s="381"/>
      <c r="O3371" s="380"/>
      <c r="P3371" s="380"/>
      <c r="Q3371" s="383"/>
      <c r="R3371" s="388" t="s">
        <v>21</v>
      </c>
    </row>
    <row r="3372" spans="6:18" ht="15.75">
      <c r="M3372" s="380"/>
      <c r="N3372" s="381"/>
      <c r="O3372" s="238" t="s">
        <v>2883</v>
      </c>
      <c r="P3372" s="380"/>
      <c r="Q3372" s="383"/>
      <c r="R3372" s="236">
        <f>SUM(R3360:R3370)</f>
        <v>9255.2546799999982</v>
      </c>
    </row>
    <row r="3373" spans="6:18" ht="15.75">
      <c r="M3373" s="380"/>
      <c r="N3373" s="381"/>
      <c r="O3373" s="380"/>
      <c r="P3373" s="380"/>
      <c r="Q3373" s="383"/>
      <c r="R3373" s="388" t="s">
        <v>21</v>
      </c>
    </row>
    <row r="3374" spans="6:18" ht="15.75">
      <c r="F3374" s="380"/>
      <c r="G3374" s="381"/>
      <c r="H3374" s="238"/>
      <c r="I3374" s="384"/>
      <c r="J3374" s="467"/>
      <c r="K3374" s="380"/>
      <c r="M3374" s="380"/>
      <c r="N3374" s="381"/>
      <c r="O3374" s="394" t="s">
        <v>155</v>
      </c>
      <c r="P3374" s="380"/>
      <c r="Q3374" s="385" t="s">
        <v>2597</v>
      </c>
      <c r="R3374" s="395">
        <f>R3372/M3363</f>
        <v>5337.5171164936555</v>
      </c>
    </row>
    <row r="3375" spans="6:18" ht="15.75">
      <c r="F3375" s="380"/>
      <c r="G3375" s="381"/>
      <c r="H3375" s="238" t="s">
        <v>2875</v>
      </c>
      <c r="I3375" s="384" t="s">
        <v>156</v>
      </c>
      <c r="J3375" s="468">
        <v>3.9E-2</v>
      </c>
      <c r="K3375" s="380" t="s">
        <v>313</v>
      </c>
      <c r="N3375" s="53"/>
      <c r="Q3375" s="55"/>
      <c r="R3375" s="59" t="s">
        <v>156</v>
      </c>
    </row>
    <row r="3376" spans="6:18" ht="15.75">
      <c r="F3376" s="380"/>
      <c r="G3376" s="381"/>
      <c r="H3376" s="238" t="s">
        <v>2801</v>
      </c>
      <c r="J3376" s="469"/>
      <c r="K3376" s="380"/>
      <c r="M3376" s="239"/>
      <c r="N3376" s="387" t="s">
        <v>249</v>
      </c>
      <c r="O3376" s="238" t="s">
        <v>2872</v>
      </c>
      <c r="P3376" s="380"/>
      <c r="Q3376" s="383"/>
      <c r="R3376" s="380"/>
    </row>
    <row r="3377" spans="6:18" ht="15.75">
      <c r="F3377" s="380"/>
      <c r="G3377" s="381"/>
      <c r="H3377" s="238" t="s">
        <v>2884</v>
      </c>
      <c r="I3377" s="384" t="s">
        <v>156</v>
      </c>
      <c r="J3377" s="470">
        <v>1.519E-2</v>
      </c>
      <c r="K3377" s="380"/>
      <c r="M3377" s="380"/>
      <c r="N3377" s="381"/>
      <c r="O3377" s="238" t="s">
        <v>1695</v>
      </c>
      <c r="P3377" s="380"/>
      <c r="Q3377" s="383"/>
      <c r="R3377" s="380"/>
    </row>
    <row r="3378" spans="6:18" ht="18">
      <c r="F3378" s="380"/>
      <c r="G3378" s="381"/>
      <c r="H3378" s="238" t="s">
        <v>2885</v>
      </c>
      <c r="I3378" s="384" t="s">
        <v>156</v>
      </c>
      <c r="J3378" s="479">
        <v>6.7499999999999999E-3</v>
      </c>
      <c r="K3378" s="412"/>
      <c r="M3378" s="380"/>
      <c r="N3378" s="381"/>
      <c r="O3378" s="466" t="s">
        <v>2886</v>
      </c>
      <c r="P3378" s="380"/>
      <c r="Q3378" s="383"/>
      <c r="R3378" s="380"/>
    </row>
    <row r="3379" spans="6:18" ht="15.75">
      <c r="F3379" s="380"/>
      <c r="G3379" s="381"/>
      <c r="H3379" s="380"/>
      <c r="I3379" s="380"/>
      <c r="J3379" s="388" t="s">
        <v>21</v>
      </c>
      <c r="M3379" s="380"/>
      <c r="N3379" s="381"/>
      <c r="O3379" s="388" t="s">
        <v>21</v>
      </c>
      <c r="P3379" s="380"/>
      <c r="Q3379" s="383"/>
      <c r="R3379" s="380"/>
    </row>
    <row r="3380" spans="6:18" ht="15.75">
      <c r="F3380" s="380"/>
      <c r="G3380" s="381"/>
      <c r="H3380" s="380"/>
      <c r="I3380" s="380"/>
      <c r="J3380" s="471">
        <v>2.1940000000000001E-2</v>
      </c>
      <c r="K3380" s="52" t="s">
        <v>313</v>
      </c>
      <c r="M3380" s="380"/>
      <c r="N3380" s="381"/>
      <c r="O3380" s="238" t="s">
        <v>2887</v>
      </c>
      <c r="P3380" s="384" t="s">
        <v>156</v>
      </c>
      <c r="Q3380" s="467">
        <v>2.081</v>
      </c>
      <c r="R3380" s="380" t="s">
        <v>306</v>
      </c>
    </row>
    <row r="3381" spans="6:18" ht="15.75">
      <c r="F3381" s="380"/>
      <c r="G3381" s="381"/>
      <c r="H3381" s="380"/>
      <c r="I3381" s="380"/>
      <c r="J3381" s="388" t="s">
        <v>21</v>
      </c>
      <c r="M3381" s="380"/>
      <c r="N3381" s="381"/>
      <c r="O3381" s="238"/>
      <c r="P3381" s="384"/>
      <c r="Q3381" s="467"/>
      <c r="R3381" s="380"/>
    </row>
    <row r="3382" spans="6:18" ht="15.75">
      <c r="F3382" s="380"/>
      <c r="G3382" s="381"/>
      <c r="H3382" s="238" t="s">
        <v>2862</v>
      </c>
      <c r="I3382" s="380"/>
      <c r="J3382" s="472">
        <v>0.58750000000000002</v>
      </c>
      <c r="K3382" s="412"/>
      <c r="M3382" s="380"/>
      <c r="N3382" s="381"/>
      <c r="O3382" s="238" t="s">
        <v>2875</v>
      </c>
      <c r="P3382" s="384" t="s">
        <v>156</v>
      </c>
      <c r="Q3382" s="468">
        <v>3.9E-2</v>
      </c>
      <c r="R3382" s="380" t="s">
        <v>313</v>
      </c>
    </row>
    <row r="3383" spans="6:18" ht="15.75">
      <c r="F3383" s="380"/>
      <c r="G3383" s="381"/>
      <c r="H3383" s="238" t="s">
        <v>2863</v>
      </c>
      <c r="I3383" s="380"/>
      <c r="J3383" s="473">
        <v>0.28129999999999999</v>
      </c>
      <c r="K3383" s="412"/>
      <c r="M3383" s="380"/>
      <c r="N3383" s="381"/>
      <c r="O3383" s="238" t="s">
        <v>2801</v>
      </c>
      <c r="Q3383" s="469"/>
      <c r="R3383" s="380"/>
    </row>
    <row r="3384" spans="6:18" ht="15.75">
      <c r="F3384" s="380"/>
      <c r="G3384" s="381"/>
      <c r="H3384" s="238"/>
      <c r="I3384" s="380"/>
      <c r="J3384" s="388" t="s">
        <v>21</v>
      </c>
      <c r="K3384" s="412"/>
      <c r="M3384" s="380"/>
      <c r="N3384" s="381"/>
      <c r="O3384" s="238" t="s">
        <v>2884</v>
      </c>
      <c r="P3384" s="384" t="s">
        <v>156</v>
      </c>
      <c r="Q3384" s="470">
        <v>1.519E-2</v>
      </c>
      <c r="R3384" s="380"/>
    </row>
    <row r="3385" spans="6:18" ht="15.75">
      <c r="F3385" s="380"/>
      <c r="G3385" s="381"/>
      <c r="H3385" s="238"/>
      <c r="I3385" s="380"/>
      <c r="J3385" s="474">
        <v>0.86880000000000002</v>
      </c>
      <c r="K3385" s="386"/>
      <c r="M3385" s="380"/>
      <c r="N3385" s="381"/>
      <c r="O3385" s="238" t="s">
        <v>2885</v>
      </c>
      <c r="P3385" s="384" t="s">
        <v>156</v>
      </c>
      <c r="Q3385" s="479">
        <v>6.7499999999999999E-3</v>
      </c>
      <c r="R3385" s="412"/>
    </row>
    <row r="3386" spans="6:18" ht="15.75">
      <c r="F3386" s="380"/>
      <c r="G3386" s="381"/>
      <c r="H3386" s="380"/>
      <c r="I3386" s="380"/>
      <c r="J3386" s="388" t="s">
        <v>21</v>
      </c>
      <c r="K3386" s="388"/>
      <c r="M3386" s="380"/>
      <c r="N3386" s="381"/>
      <c r="O3386" s="380"/>
      <c r="P3386" s="380"/>
      <c r="Q3386" s="388" t="s">
        <v>21</v>
      </c>
    </row>
    <row r="3387" spans="6:18" ht="15.75">
      <c r="F3387" s="412">
        <v>3.9E-2</v>
      </c>
      <c r="G3387" s="387" t="s">
        <v>151</v>
      </c>
      <c r="H3387" s="238" t="s">
        <v>1710</v>
      </c>
      <c r="I3387" s="236">
        <f>C88</f>
        <v>111600</v>
      </c>
      <c r="J3387" s="239" t="s">
        <v>151</v>
      </c>
      <c r="K3387" s="236">
        <v>2868.26</v>
      </c>
      <c r="M3387" s="380"/>
      <c r="N3387" s="381"/>
      <c r="O3387" s="380"/>
      <c r="P3387" s="380"/>
      <c r="Q3387" s="471">
        <v>2.1940000000000001E-2</v>
      </c>
      <c r="R3387" s="52" t="s">
        <v>313</v>
      </c>
    </row>
    <row r="3388" spans="6:18" ht="15.75">
      <c r="F3388" s="412">
        <v>2.1940000000000001E-2</v>
      </c>
      <c r="G3388" s="387" t="s">
        <v>151</v>
      </c>
      <c r="H3388" s="238" t="s">
        <v>1711</v>
      </c>
      <c r="I3388" s="236">
        <f>C89</f>
        <v>99400</v>
      </c>
      <c r="J3388" s="239" t="s">
        <v>151</v>
      </c>
      <c r="K3388" s="236">
        <v>1435.86</v>
      </c>
      <c r="M3388" s="380"/>
      <c r="N3388" s="381"/>
      <c r="O3388" s="380"/>
      <c r="P3388" s="380"/>
      <c r="Q3388" s="388" t="s">
        <v>21</v>
      </c>
    </row>
    <row r="3389" spans="6:18" ht="15.75">
      <c r="F3389" s="412">
        <v>0.86880000000000002</v>
      </c>
      <c r="G3389" s="387" t="s">
        <v>152</v>
      </c>
      <c r="H3389" s="50" t="s">
        <v>879</v>
      </c>
      <c r="I3389" s="236">
        <f>C784</f>
        <v>0</v>
      </c>
      <c r="J3389" s="239" t="s">
        <v>151</v>
      </c>
      <c r="K3389" s="236">
        <v>336.66</v>
      </c>
      <c r="M3389" s="380"/>
      <c r="N3389" s="381"/>
      <c r="O3389" s="238" t="s">
        <v>2862</v>
      </c>
      <c r="P3389" s="380"/>
      <c r="Q3389" s="472">
        <v>0.58750000000000002</v>
      </c>
      <c r="R3389" s="412"/>
    </row>
    <row r="3390" spans="6:18" ht="15.75">
      <c r="F3390" s="428">
        <v>2.081</v>
      </c>
      <c r="G3390" s="387" t="s">
        <v>152</v>
      </c>
      <c r="H3390" s="238" t="s">
        <v>1708</v>
      </c>
      <c r="I3390" s="486">
        <v>363</v>
      </c>
      <c r="J3390" s="239" t="s">
        <v>152</v>
      </c>
      <c r="K3390" s="236">
        <v>755.4</v>
      </c>
      <c r="M3390" s="380"/>
      <c r="N3390" s="381"/>
      <c r="O3390" s="238" t="s">
        <v>2863</v>
      </c>
      <c r="P3390" s="380"/>
      <c r="Q3390" s="473">
        <v>0.28129999999999999</v>
      </c>
      <c r="R3390" s="412"/>
    </row>
    <row r="3391" spans="6:18" ht="15.75">
      <c r="F3391" s="236">
        <v>2</v>
      </c>
      <c r="G3391" s="387" t="s">
        <v>4</v>
      </c>
      <c r="H3391" s="389" t="s">
        <v>2888</v>
      </c>
      <c r="I3391" s="236">
        <f t="shared" ref="I3391:I3396" si="301">I3322</f>
        <v>50.9</v>
      </c>
      <c r="J3391" s="239" t="s">
        <v>153</v>
      </c>
      <c r="K3391" s="236">
        <v>84</v>
      </c>
      <c r="M3391" s="380"/>
      <c r="N3391" s="381"/>
      <c r="O3391" s="238"/>
      <c r="P3391" s="380"/>
      <c r="Q3391" s="388" t="s">
        <v>21</v>
      </c>
      <c r="R3391" s="412"/>
    </row>
    <row r="3392" spans="6:18" ht="15.75">
      <c r="F3392" s="236">
        <v>4</v>
      </c>
      <c r="G3392" s="387" t="s">
        <v>153</v>
      </c>
      <c r="H3392" s="389" t="s">
        <v>2889</v>
      </c>
      <c r="I3392" s="236">
        <f t="shared" si="301"/>
        <v>79.099999999999994</v>
      </c>
      <c r="J3392" s="239" t="s">
        <v>153</v>
      </c>
      <c r="K3392" s="236">
        <v>232</v>
      </c>
      <c r="M3392" s="380"/>
      <c r="N3392" s="381"/>
      <c r="O3392" s="238"/>
      <c r="P3392" s="380"/>
      <c r="Q3392" s="474">
        <v>0.86880000000000002</v>
      </c>
      <c r="R3392" s="386"/>
    </row>
    <row r="3393" spans="6:18" ht="15.75">
      <c r="F3393" s="236">
        <v>2</v>
      </c>
      <c r="G3393" s="387" t="s">
        <v>153</v>
      </c>
      <c r="H3393" s="389" t="s">
        <v>2890</v>
      </c>
      <c r="I3393" s="236">
        <f t="shared" si="301"/>
        <v>86.3</v>
      </c>
      <c r="J3393" s="239" t="s">
        <v>153</v>
      </c>
      <c r="K3393" s="236">
        <v>126</v>
      </c>
      <c r="M3393" s="380"/>
      <c r="N3393" s="381"/>
      <c r="O3393" s="380"/>
      <c r="P3393" s="380"/>
      <c r="Q3393" s="388" t="s">
        <v>21</v>
      </c>
      <c r="R3393" s="388"/>
    </row>
    <row r="3394" spans="6:18" ht="15.75">
      <c r="F3394" s="236">
        <v>1</v>
      </c>
      <c r="G3394" s="387" t="s">
        <v>153</v>
      </c>
      <c r="H3394" s="389" t="s">
        <v>2891</v>
      </c>
      <c r="I3394" s="236">
        <f t="shared" si="301"/>
        <v>185.2</v>
      </c>
      <c r="J3394" s="239" t="s">
        <v>153</v>
      </c>
      <c r="K3394" s="236">
        <v>152</v>
      </c>
      <c r="M3394" s="412">
        <v>3.9E-2</v>
      </c>
      <c r="N3394" s="387" t="s">
        <v>151</v>
      </c>
      <c r="O3394" s="238" t="s">
        <v>1710</v>
      </c>
      <c r="P3394" s="236">
        <f>P3291</f>
        <v>111600</v>
      </c>
      <c r="Q3394" s="239" t="s">
        <v>151</v>
      </c>
      <c r="R3394" s="236">
        <f>P3394*M3394</f>
        <v>4352.3999999999996</v>
      </c>
    </row>
    <row r="3395" spans="6:18" ht="15.75">
      <c r="F3395" s="236">
        <v>1</v>
      </c>
      <c r="G3395" s="387" t="s">
        <v>153</v>
      </c>
      <c r="H3395" s="389" t="s">
        <v>2833</v>
      </c>
      <c r="I3395" s="236">
        <f t="shared" si="301"/>
        <v>22.7</v>
      </c>
      <c r="J3395" s="239" t="s">
        <v>153</v>
      </c>
      <c r="K3395" s="236">
        <v>20</v>
      </c>
      <c r="M3395" s="412">
        <v>2.1940000000000001E-2</v>
      </c>
      <c r="N3395" s="387" t="s">
        <v>151</v>
      </c>
      <c r="O3395" s="238" t="s">
        <v>1711</v>
      </c>
      <c r="P3395" s="236">
        <f>P3292</f>
        <v>99400</v>
      </c>
      <c r="Q3395" s="239" t="s">
        <v>151</v>
      </c>
      <c r="R3395" s="236">
        <f t="shared" ref="R3395:R3404" si="302">P3395*M3395</f>
        <v>2180.8360000000002</v>
      </c>
    </row>
    <row r="3396" spans="6:18" ht="15.75">
      <c r="F3396" s="236">
        <v>1</v>
      </c>
      <c r="G3396" s="387" t="s">
        <v>153</v>
      </c>
      <c r="H3396" s="389" t="s">
        <v>2834</v>
      </c>
      <c r="I3396" s="236">
        <f t="shared" si="301"/>
        <v>43.8</v>
      </c>
      <c r="J3396" s="239" t="s">
        <v>153</v>
      </c>
      <c r="K3396" s="236">
        <v>37</v>
      </c>
      <c r="M3396" s="412">
        <v>0.86880000000000002</v>
      </c>
      <c r="N3396" s="387" t="s">
        <v>152</v>
      </c>
      <c r="O3396" s="50" t="s">
        <v>879</v>
      </c>
      <c r="P3396" s="236">
        <f>P3362</f>
        <v>387.4</v>
      </c>
      <c r="Q3396" s="239" t="s">
        <v>151</v>
      </c>
      <c r="R3396" s="236">
        <f t="shared" si="302"/>
        <v>336.57311999999996</v>
      </c>
    </row>
    <row r="3397" spans="6:18" ht="15.75">
      <c r="F3397" s="380"/>
      <c r="G3397" s="381"/>
      <c r="H3397" s="380" t="s">
        <v>2768</v>
      </c>
      <c r="I3397" s="380"/>
      <c r="J3397" s="383"/>
      <c r="K3397" s="487"/>
      <c r="M3397" s="428">
        <v>2.081</v>
      </c>
      <c r="N3397" s="387" t="s">
        <v>152</v>
      </c>
      <c r="O3397" s="238" t="s">
        <v>1708</v>
      </c>
      <c r="P3397" s="236">
        <f>P3294</f>
        <v>1348.1999999999998</v>
      </c>
      <c r="Q3397" s="239" t="s">
        <v>152</v>
      </c>
      <c r="R3397" s="236">
        <f t="shared" si="302"/>
        <v>2805.6041999999998</v>
      </c>
    </row>
    <row r="3398" spans="6:18" ht="15.75">
      <c r="F3398" s="380"/>
      <c r="G3398" s="381"/>
      <c r="H3398" s="380"/>
      <c r="I3398" s="380"/>
      <c r="J3398" s="383"/>
      <c r="K3398" s="388" t="s">
        <v>21</v>
      </c>
      <c r="M3398" s="236">
        <v>2</v>
      </c>
      <c r="N3398" s="387" t="s">
        <v>4</v>
      </c>
      <c r="O3398" s="238" t="s">
        <v>2811</v>
      </c>
      <c r="P3398" s="236">
        <f t="shared" ref="P3398:P3403" si="303">P3295</f>
        <v>50.9</v>
      </c>
      <c r="Q3398" s="239" t="s">
        <v>153</v>
      </c>
      <c r="R3398" s="236">
        <f t="shared" si="302"/>
        <v>101.8</v>
      </c>
    </row>
    <row r="3399" spans="6:18" ht="15.75">
      <c r="F3399" s="380"/>
      <c r="G3399" s="381"/>
      <c r="H3399" s="238" t="s">
        <v>2892</v>
      </c>
      <c r="I3399" s="380"/>
      <c r="J3399" s="383"/>
      <c r="K3399" s="236">
        <v>6067.81</v>
      </c>
      <c r="M3399" s="236">
        <v>4</v>
      </c>
      <c r="N3399" s="387" t="s">
        <v>153</v>
      </c>
      <c r="O3399" s="238" t="s">
        <v>391</v>
      </c>
      <c r="P3399" s="236">
        <f t="shared" si="303"/>
        <v>79.099999999999994</v>
      </c>
      <c r="Q3399" s="239" t="s">
        <v>153</v>
      </c>
      <c r="R3399" s="236">
        <f t="shared" si="302"/>
        <v>316.39999999999998</v>
      </c>
    </row>
    <row r="3400" spans="6:18" ht="15.75">
      <c r="F3400" s="380"/>
      <c r="G3400" s="381"/>
      <c r="H3400" s="380"/>
      <c r="I3400" s="380"/>
      <c r="J3400" s="383"/>
      <c r="K3400" s="388" t="s">
        <v>21</v>
      </c>
      <c r="M3400" s="236">
        <v>2</v>
      </c>
      <c r="N3400" s="387" t="s">
        <v>153</v>
      </c>
      <c r="O3400" s="238" t="s">
        <v>2831</v>
      </c>
      <c r="P3400" s="236">
        <f t="shared" si="303"/>
        <v>86.3</v>
      </c>
      <c r="Q3400" s="239" t="s">
        <v>153</v>
      </c>
      <c r="R3400" s="236">
        <f t="shared" si="302"/>
        <v>172.6</v>
      </c>
    </row>
    <row r="3401" spans="6:18" ht="15.75">
      <c r="F3401" s="380"/>
      <c r="G3401" s="381"/>
      <c r="H3401" s="394" t="s">
        <v>155</v>
      </c>
      <c r="I3401" s="380"/>
      <c r="J3401" s="385" t="s">
        <v>2597</v>
      </c>
      <c r="K3401" s="395">
        <v>2915.81</v>
      </c>
      <c r="M3401" s="236">
        <v>1</v>
      </c>
      <c r="N3401" s="387" t="s">
        <v>153</v>
      </c>
      <c r="O3401" s="238" t="s">
        <v>2832</v>
      </c>
      <c r="P3401" s="236">
        <f t="shared" si="303"/>
        <v>185.2</v>
      </c>
      <c r="Q3401" s="239" t="s">
        <v>153</v>
      </c>
      <c r="R3401" s="236">
        <f t="shared" si="302"/>
        <v>185.2</v>
      </c>
    </row>
    <row r="3402" spans="6:18" ht="15.75">
      <c r="K3402" s="59" t="s">
        <v>156</v>
      </c>
      <c r="M3402" s="236">
        <v>1</v>
      </c>
      <c r="N3402" s="387" t="s">
        <v>153</v>
      </c>
      <c r="O3402" s="238" t="s">
        <v>2833</v>
      </c>
      <c r="P3402" s="236">
        <f t="shared" si="303"/>
        <v>22.7</v>
      </c>
      <c r="Q3402" s="239" t="s">
        <v>153</v>
      </c>
      <c r="R3402" s="236">
        <f t="shared" si="302"/>
        <v>22.7</v>
      </c>
    </row>
    <row r="3403" spans="6:18" ht="15.75">
      <c r="M3403" s="236">
        <v>1</v>
      </c>
      <c r="N3403" s="387" t="s">
        <v>153</v>
      </c>
      <c r="O3403" s="238" t="s">
        <v>2834</v>
      </c>
      <c r="P3403" s="236">
        <f t="shared" si="303"/>
        <v>43.8</v>
      </c>
      <c r="Q3403" s="239" t="s">
        <v>153</v>
      </c>
      <c r="R3403" s="236">
        <f t="shared" si="302"/>
        <v>43.8</v>
      </c>
    </row>
    <row r="3404" spans="6:18" ht="15.75">
      <c r="M3404" s="236">
        <v>58</v>
      </c>
      <c r="N3404" s="387" t="s">
        <v>153</v>
      </c>
      <c r="O3404" s="380" t="s">
        <v>2768</v>
      </c>
      <c r="P3404" s="380">
        <f>P3370</f>
        <v>2.37</v>
      </c>
      <c r="Q3404" s="383"/>
      <c r="R3404" s="236">
        <f t="shared" si="302"/>
        <v>137.46</v>
      </c>
    </row>
    <row r="3405" spans="6:18" ht="15.75">
      <c r="M3405" s="380"/>
      <c r="N3405" s="381"/>
      <c r="O3405" s="380"/>
      <c r="P3405" s="380"/>
      <c r="Q3405" s="383"/>
      <c r="R3405" s="388" t="s">
        <v>21</v>
      </c>
    </row>
    <row r="3406" spans="6:18" ht="15.75">
      <c r="F3406" s="163"/>
      <c r="G3406" s="195"/>
      <c r="H3406" s="336" t="s">
        <v>2893</v>
      </c>
      <c r="I3406" s="336"/>
      <c r="J3406" s="196"/>
      <c r="K3406" s="163"/>
      <c r="M3406" s="380"/>
      <c r="N3406" s="381"/>
      <c r="O3406" s="238" t="s">
        <v>2892</v>
      </c>
      <c r="P3406" s="380"/>
      <c r="Q3406" s="383"/>
      <c r="R3406" s="236">
        <f>SUM(R3394:R3404)</f>
        <v>10655.373319999999</v>
      </c>
    </row>
    <row r="3407" spans="6:18" ht="15.75">
      <c r="F3407" s="163"/>
      <c r="G3407" s="195"/>
      <c r="H3407" s="163"/>
      <c r="I3407" s="163"/>
      <c r="J3407" s="196"/>
      <c r="K3407" s="163"/>
      <c r="M3407" s="380"/>
      <c r="N3407" s="381"/>
      <c r="O3407" s="380"/>
      <c r="P3407" s="380"/>
      <c r="Q3407" s="383"/>
      <c r="R3407" s="388" t="s">
        <v>21</v>
      </c>
    </row>
    <row r="3408" spans="6:18" ht="15.75">
      <c r="F3408" s="52" t="s">
        <v>2894</v>
      </c>
      <c r="G3408" s="195"/>
      <c r="H3408" s="163"/>
      <c r="I3408" s="352">
        <f>2*0.95*2.325</f>
        <v>4.4175000000000004</v>
      </c>
      <c r="J3408" s="196"/>
      <c r="K3408" s="163"/>
      <c r="M3408" s="380"/>
      <c r="N3408" s="381"/>
      <c r="O3408" s="394" t="s">
        <v>155</v>
      </c>
      <c r="P3408" s="380"/>
      <c r="Q3408" s="385" t="s">
        <v>2597</v>
      </c>
      <c r="R3408" s="395">
        <f>R3406/M3397</f>
        <v>5120.3139452186442</v>
      </c>
    </row>
    <row r="3409" spans="6:18" ht="15.75">
      <c r="F3409" s="52" t="s">
        <v>2895</v>
      </c>
      <c r="G3409" s="195"/>
      <c r="H3409" s="163"/>
      <c r="I3409" s="352">
        <f>2*2*2.325*0.075*0.0375</f>
        <v>2.6156249999999999E-2</v>
      </c>
      <c r="J3409" s="196"/>
      <c r="K3409" s="163"/>
      <c r="N3409" s="53"/>
      <c r="Q3409" s="55"/>
      <c r="R3409" s="59" t="s">
        <v>156</v>
      </c>
    </row>
    <row r="3410" spans="6:18" ht="15.75">
      <c r="F3410" s="163" t="s">
        <v>2544</v>
      </c>
      <c r="G3410" s="195"/>
      <c r="H3410" s="163"/>
      <c r="I3410" s="194">
        <f>2*3*0.95*0.15*0.0375</f>
        <v>3.2062499999999994E-2</v>
      </c>
      <c r="J3410" s="196"/>
      <c r="K3410" s="163"/>
    </row>
    <row r="3411" spans="6:18" ht="15.75">
      <c r="F3411" s="163" t="s">
        <v>2896</v>
      </c>
      <c r="G3411" s="53" t="s">
        <v>2897</v>
      </c>
      <c r="H3411" s="163"/>
      <c r="I3411" s="194">
        <f>2*2*0.95*0.075*0.0375</f>
        <v>1.0687499999999999E-2</v>
      </c>
      <c r="J3411" s="196"/>
      <c r="K3411" s="163"/>
      <c r="N3411" s="53"/>
      <c r="O3411" s="65"/>
      <c r="Q3411" s="55"/>
    </row>
    <row r="3412" spans="6:18" ht="15.75">
      <c r="F3412" s="163"/>
      <c r="G3412" s="195"/>
      <c r="H3412" s="163"/>
      <c r="I3412" s="353">
        <f>SUM(I3410:I3411)</f>
        <v>4.2749999999999996E-2</v>
      </c>
      <c r="J3412" s="196"/>
      <c r="K3412" s="163"/>
    </row>
    <row r="3413" spans="6:18" ht="15.75">
      <c r="F3413" s="163"/>
      <c r="G3413" s="195"/>
      <c r="H3413" s="163"/>
      <c r="I3413" s="163"/>
      <c r="J3413" s="196"/>
      <c r="K3413" s="163"/>
    </row>
    <row r="3414" spans="6:18" ht="15.75">
      <c r="F3414" s="163"/>
      <c r="G3414" s="195"/>
      <c r="H3414" s="163"/>
      <c r="I3414" s="163"/>
      <c r="J3414" s="196"/>
      <c r="K3414" s="163"/>
    </row>
    <row r="3415" spans="6:18" ht="15.75">
      <c r="F3415" s="52" t="s">
        <v>2898</v>
      </c>
      <c r="G3415" s="195"/>
      <c r="H3415" s="163"/>
      <c r="I3415" s="194">
        <f>2*4*0.825*0.36*0.01875</f>
        <v>4.4549999999999999E-2</v>
      </c>
      <c r="J3415" s="196"/>
      <c r="K3415" s="163"/>
    </row>
    <row r="3416" spans="6:18" ht="15.75">
      <c r="F3416" s="52" t="s">
        <v>2899</v>
      </c>
      <c r="G3416" s="195"/>
      <c r="H3416" s="163"/>
      <c r="I3416" s="194">
        <f>2*0.825*0.36*0.01875</f>
        <v>1.11375E-2</v>
      </c>
      <c r="J3416" s="196"/>
      <c r="K3416" s="163"/>
    </row>
    <row r="3417" spans="6:18" ht="15.75">
      <c r="F3417" s="163"/>
      <c r="G3417" s="195"/>
      <c r="H3417" s="163"/>
      <c r="I3417" s="353">
        <f>SUM(I3415:I3416)</f>
        <v>5.5687500000000001E-2</v>
      </c>
      <c r="J3417" s="196"/>
      <c r="K3417" s="163"/>
    </row>
    <row r="3418" spans="6:18" ht="15.75">
      <c r="F3418" s="163"/>
      <c r="G3418" s="195"/>
      <c r="H3418" s="65" t="s">
        <v>2540</v>
      </c>
      <c r="I3418" s="163"/>
      <c r="J3418" s="196"/>
      <c r="K3418" s="163"/>
      <c r="M3418" s="239"/>
      <c r="N3418" s="387" t="s">
        <v>249</v>
      </c>
      <c r="O3418" s="238" t="s">
        <v>2818</v>
      </c>
      <c r="P3418" s="380"/>
      <c r="Q3418" s="383"/>
      <c r="R3418" s="380"/>
    </row>
    <row r="3419" spans="6:18" ht="15.75">
      <c r="F3419" s="163"/>
      <c r="G3419" s="195"/>
      <c r="H3419" s="163"/>
      <c r="I3419" s="163"/>
      <c r="J3419" s="196"/>
      <c r="K3419" s="163"/>
      <c r="M3419" s="380"/>
      <c r="N3419" s="381"/>
      <c r="O3419" s="238" t="s">
        <v>1695</v>
      </c>
      <c r="P3419" s="380"/>
      <c r="Q3419" s="383"/>
      <c r="R3419" s="380"/>
    </row>
    <row r="3420" spans="6:18" ht="18">
      <c r="F3420" s="194">
        <f>I3409</f>
        <v>2.6156249999999999E-2</v>
      </c>
      <c r="G3420" s="195" t="s">
        <v>151</v>
      </c>
      <c r="H3420" s="163" t="s">
        <v>2541</v>
      </c>
      <c r="I3420" s="163">
        <f>I2633</f>
        <v>111600</v>
      </c>
      <c r="J3420" s="196" t="s">
        <v>151</v>
      </c>
      <c r="K3420" s="163">
        <f>F3420*I3420</f>
        <v>2919.0374999999999</v>
      </c>
      <c r="M3420" s="380"/>
      <c r="N3420" s="381"/>
      <c r="O3420" s="466" t="s">
        <v>2835</v>
      </c>
      <c r="P3420" s="380"/>
      <c r="Q3420" s="383"/>
      <c r="R3420" s="380"/>
    </row>
    <row r="3421" spans="6:18" ht="15.75">
      <c r="F3421" s="194">
        <f>I3412</f>
        <v>4.2749999999999996E-2</v>
      </c>
      <c r="G3421" s="195" t="s">
        <v>151</v>
      </c>
      <c r="H3421" s="163" t="s">
        <v>1797</v>
      </c>
      <c r="I3421" s="163">
        <f>I2634</f>
        <v>99400</v>
      </c>
      <c r="J3421" s="196" t="s">
        <v>151</v>
      </c>
      <c r="K3421" s="163">
        <f t="shared" ref="K3421:K3430" si="304">F3421*I3421</f>
        <v>4249.3499999999995</v>
      </c>
      <c r="M3421" s="380"/>
      <c r="N3421" s="381"/>
      <c r="O3421" s="388" t="s">
        <v>21</v>
      </c>
      <c r="P3421" s="380"/>
      <c r="Q3421" s="383"/>
      <c r="R3421" s="380"/>
    </row>
    <row r="3422" spans="6:18" ht="15.75">
      <c r="F3422" s="197">
        <f>I3417</f>
        <v>5.5687500000000001E-2</v>
      </c>
      <c r="G3422" s="195" t="s">
        <v>151</v>
      </c>
      <c r="H3422" s="52" t="s">
        <v>2900</v>
      </c>
      <c r="I3422" s="163">
        <f>I2635</f>
        <v>101921.4</v>
      </c>
      <c r="J3422" s="196" t="s">
        <v>151</v>
      </c>
      <c r="K3422" s="163">
        <f t="shared" si="304"/>
        <v>5675.7479624999996</v>
      </c>
      <c r="M3422" s="380"/>
      <c r="N3422" s="381"/>
      <c r="O3422" s="238" t="s">
        <v>2836</v>
      </c>
      <c r="P3422" s="384" t="s">
        <v>156</v>
      </c>
      <c r="Q3422" s="467">
        <v>2.4279999999999999</v>
      </c>
      <c r="R3422" s="380" t="s">
        <v>306</v>
      </c>
    </row>
    <row r="3423" spans="6:18" ht="15.75">
      <c r="F3423" s="194">
        <f>I3408</f>
        <v>4.4175000000000004</v>
      </c>
      <c r="G3423" s="195" t="s">
        <v>152</v>
      </c>
      <c r="H3423" s="163" t="s">
        <v>1799</v>
      </c>
      <c r="I3423" s="163">
        <f>I2636</f>
        <v>1617</v>
      </c>
      <c r="J3423" s="196" t="s">
        <v>152</v>
      </c>
      <c r="K3423" s="163">
        <f t="shared" si="304"/>
        <v>7143.0975000000008</v>
      </c>
      <c r="M3423" s="380"/>
      <c r="N3423" s="381"/>
      <c r="O3423" s="238"/>
      <c r="P3423" s="384"/>
      <c r="Q3423" s="467"/>
      <c r="R3423" s="380"/>
    </row>
    <row r="3424" spans="6:18" ht="15.75">
      <c r="F3424" s="163">
        <v>2</v>
      </c>
      <c r="G3424" s="195" t="s">
        <v>295</v>
      </c>
      <c r="H3424" s="52" t="s">
        <v>2565</v>
      </c>
      <c r="I3424" s="354">
        <v>450</v>
      </c>
      <c r="J3424" s="196" t="s">
        <v>340</v>
      </c>
      <c r="K3424" s="163">
        <f t="shared" si="304"/>
        <v>900</v>
      </c>
      <c r="M3424" s="380"/>
      <c r="N3424" s="381"/>
      <c r="O3424" s="238" t="s">
        <v>2800</v>
      </c>
      <c r="P3424" s="384" t="s">
        <v>156</v>
      </c>
      <c r="Q3424" s="468">
        <v>5.1999999999999998E-2</v>
      </c>
      <c r="R3424" s="380" t="s">
        <v>313</v>
      </c>
    </row>
    <row r="3425" spans="6:18" ht="15.75">
      <c r="F3425" s="163">
        <v>6</v>
      </c>
      <c r="G3425" s="195" t="s">
        <v>295</v>
      </c>
      <c r="H3425" s="52" t="s">
        <v>2566</v>
      </c>
      <c r="I3425" s="354">
        <v>79</v>
      </c>
      <c r="J3425" s="196" t="s">
        <v>340</v>
      </c>
      <c r="K3425" s="163">
        <f t="shared" si="304"/>
        <v>474</v>
      </c>
      <c r="M3425" s="380"/>
      <c r="N3425" s="381"/>
      <c r="O3425" s="238" t="s">
        <v>2801</v>
      </c>
      <c r="Q3425" s="469"/>
      <c r="R3425" s="380"/>
    </row>
    <row r="3426" spans="6:18" ht="15.75">
      <c r="F3426" s="163">
        <v>4</v>
      </c>
      <c r="G3426" s="195" t="s">
        <v>295</v>
      </c>
      <c r="H3426" s="52" t="s">
        <v>2567</v>
      </c>
      <c r="I3426" s="354">
        <v>130</v>
      </c>
      <c r="J3426" s="196" t="s">
        <v>340</v>
      </c>
      <c r="K3426" s="163">
        <f t="shared" si="304"/>
        <v>520</v>
      </c>
      <c r="M3426" s="380"/>
      <c r="N3426" s="381"/>
      <c r="O3426" s="238" t="s">
        <v>2839</v>
      </c>
      <c r="P3426" s="384" t="s">
        <v>156</v>
      </c>
      <c r="Q3426" s="470">
        <v>1.772E-2</v>
      </c>
      <c r="R3426" s="380"/>
    </row>
    <row r="3427" spans="6:18" ht="15.75">
      <c r="F3427" s="163">
        <v>1</v>
      </c>
      <c r="G3427" s="195" t="s">
        <v>295</v>
      </c>
      <c r="H3427" s="52" t="s">
        <v>2568</v>
      </c>
      <c r="I3427" s="354">
        <v>985</v>
      </c>
      <c r="J3427" s="196" t="s">
        <v>340</v>
      </c>
      <c r="K3427" s="163">
        <f t="shared" si="304"/>
        <v>985</v>
      </c>
      <c r="M3427" s="380"/>
      <c r="N3427" s="381"/>
      <c r="O3427" s="238" t="s">
        <v>2840</v>
      </c>
      <c r="P3427" s="384" t="s">
        <v>156</v>
      </c>
      <c r="Q3427" s="479">
        <v>7.8750000000000001E-3</v>
      </c>
      <c r="R3427" s="412"/>
    </row>
    <row r="3428" spans="6:18" ht="15.75">
      <c r="F3428" s="163">
        <v>2</v>
      </c>
      <c r="G3428" s="195" t="s">
        <v>295</v>
      </c>
      <c r="H3428" s="52" t="s">
        <v>2569</v>
      </c>
      <c r="I3428" s="354">
        <v>21.5</v>
      </c>
      <c r="J3428" s="196" t="s">
        <v>340</v>
      </c>
      <c r="K3428" s="163">
        <f t="shared" si="304"/>
        <v>43</v>
      </c>
      <c r="M3428" s="380"/>
      <c r="N3428" s="381"/>
      <c r="O3428" s="380"/>
      <c r="P3428" s="380"/>
      <c r="Q3428" s="388" t="s">
        <v>21</v>
      </c>
    </row>
    <row r="3429" spans="6:18" ht="15.75">
      <c r="F3429" s="163">
        <v>2</v>
      </c>
      <c r="G3429" s="195" t="s">
        <v>295</v>
      </c>
      <c r="H3429" s="163" t="s">
        <v>886</v>
      </c>
      <c r="I3429" s="163">
        <f>I3396</f>
        <v>43.8</v>
      </c>
      <c r="J3429" s="196" t="s">
        <v>340</v>
      </c>
      <c r="K3429" s="163">
        <f t="shared" si="304"/>
        <v>87.6</v>
      </c>
      <c r="M3429" s="380"/>
      <c r="N3429" s="381"/>
      <c r="O3429" s="380"/>
      <c r="P3429" s="380"/>
      <c r="Q3429" s="471">
        <v>2.5600000000000001E-2</v>
      </c>
      <c r="R3429" s="52" t="s">
        <v>313</v>
      </c>
    </row>
    <row r="3430" spans="6:18" ht="15.75">
      <c r="F3430" s="198">
        <v>130</v>
      </c>
      <c r="G3430" s="195" t="s">
        <v>295</v>
      </c>
      <c r="H3430" s="163" t="s">
        <v>1733</v>
      </c>
      <c r="I3430" s="354">
        <f>I3328</f>
        <v>2.37</v>
      </c>
      <c r="J3430" s="196"/>
      <c r="K3430" s="163">
        <f t="shared" si="304"/>
        <v>308.10000000000002</v>
      </c>
      <c r="M3430" s="380"/>
      <c r="N3430" s="381"/>
      <c r="O3430" s="380"/>
      <c r="P3430" s="380"/>
      <c r="Q3430" s="388" t="s">
        <v>21</v>
      </c>
    </row>
    <row r="3431" spans="6:18" ht="15.75">
      <c r="F3431" s="163"/>
      <c r="G3431" s="195"/>
      <c r="H3431" s="163"/>
      <c r="I3431" s="163"/>
      <c r="J3431" s="196"/>
      <c r="K3431" s="199"/>
      <c r="M3431" s="380"/>
      <c r="N3431" s="381"/>
      <c r="O3431" s="238" t="s">
        <v>2901</v>
      </c>
      <c r="P3431" s="380"/>
      <c r="Q3431" s="353">
        <v>0.58750000000000002</v>
      </c>
      <c r="R3431" s="434" t="s">
        <v>306</v>
      </c>
    </row>
    <row r="3432" spans="6:18" ht="15.75">
      <c r="F3432" s="163"/>
      <c r="G3432" s="125"/>
      <c r="H3432" s="65" t="s">
        <v>2902</v>
      </c>
      <c r="I3432" s="163"/>
      <c r="J3432" s="196"/>
      <c r="K3432" s="65">
        <f>SUM(K3420:K3431)</f>
        <v>23304.932962499995</v>
      </c>
      <c r="M3432" s="380"/>
      <c r="N3432" s="381"/>
      <c r="O3432" s="238" t="s">
        <v>2903</v>
      </c>
      <c r="P3432" s="380"/>
      <c r="Q3432" s="474">
        <v>5.3E-3</v>
      </c>
      <c r="R3432" s="434" t="s">
        <v>313</v>
      </c>
    </row>
    <row r="3433" spans="6:18" ht="15.75">
      <c r="F3433" s="163"/>
      <c r="G3433" s="125"/>
      <c r="I3433" s="163"/>
      <c r="J3433" s="196"/>
      <c r="K3433" s="199" t="s">
        <v>1810</v>
      </c>
      <c r="M3433" s="380"/>
      <c r="N3433" s="381"/>
      <c r="O3433" s="238" t="s">
        <v>2904</v>
      </c>
      <c r="P3433" s="380"/>
      <c r="Q3433" s="474">
        <v>6.7</v>
      </c>
      <c r="R3433" s="434" t="s">
        <v>303</v>
      </c>
    </row>
    <row r="3434" spans="6:18" ht="15.75">
      <c r="F3434" s="163"/>
      <c r="G3434" s="125"/>
      <c r="H3434" s="65" t="s">
        <v>155</v>
      </c>
      <c r="I3434" s="163"/>
      <c r="J3434" s="196"/>
      <c r="K3434" s="65">
        <f>K3432/F3423</f>
        <v>5275.5932003395574</v>
      </c>
      <c r="M3434" s="380"/>
      <c r="N3434" s="381"/>
      <c r="O3434" s="380"/>
      <c r="P3434" s="380"/>
      <c r="Q3434" s="388"/>
      <c r="R3434" s="388"/>
    </row>
    <row r="3435" spans="6:18" ht="15.75">
      <c r="G3435" s="52"/>
      <c r="J3435" s="52"/>
      <c r="M3435" s="412">
        <v>5.1999999999999998E-2</v>
      </c>
      <c r="N3435" s="387" t="s">
        <v>151</v>
      </c>
      <c r="O3435" s="238" t="s">
        <v>1710</v>
      </c>
      <c r="P3435" s="236">
        <f>P3221</f>
        <v>111600</v>
      </c>
      <c r="Q3435" s="239" t="s">
        <v>151</v>
      </c>
      <c r="R3435" s="236">
        <f>P3435*M3435</f>
        <v>5803.2</v>
      </c>
    </row>
    <row r="3436" spans="6:18" ht="15.75">
      <c r="M3436" s="412">
        <v>2.5600000000000001E-2</v>
      </c>
      <c r="N3436" s="387" t="s">
        <v>151</v>
      </c>
      <c r="O3436" s="238" t="s">
        <v>1711</v>
      </c>
      <c r="P3436" s="236">
        <f>P3222</f>
        <v>99400</v>
      </c>
      <c r="Q3436" s="239" t="s">
        <v>151</v>
      </c>
      <c r="R3436" s="236">
        <f t="shared" ref="R3436:R3448" si="305">P3436*M3436</f>
        <v>2544.6400000000003</v>
      </c>
    </row>
    <row r="3437" spans="6:18" ht="15.75">
      <c r="M3437" s="412">
        <v>5.3E-3</v>
      </c>
      <c r="N3437" s="387" t="s">
        <v>151</v>
      </c>
      <c r="O3437" s="238" t="s">
        <v>2808</v>
      </c>
      <c r="P3437" s="236">
        <f>P3223</f>
        <v>101921.4</v>
      </c>
      <c r="Q3437" s="239" t="s">
        <v>151</v>
      </c>
      <c r="R3437" s="236">
        <f t="shared" si="305"/>
        <v>540.18341999999996</v>
      </c>
    </row>
    <row r="3438" spans="6:18" ht="15.75">
      <c r="M3438" s="428"/>
      <c r="N3438" s="381"/>
      <c r="O3438" s="238" t="s">
        <v>1785</v>
      </c>
      <c r="P3438" s="236"/>
      <c r="Q3438" s="383"/>
      <c r="R3438" s="236">
        <f t="shared" si="305"/>
        <v>0</v>
      </c>
    </row>
    <row r="3439" spans="6:18" ht="15.75">
      <c r="M3439" s="428">
        <v>0.58750000000000002</v>
      </c>
      <c r="N3439" s="387" t="s">
        <v>152</v>
      </c>
      <c r="O3439" s="238" t="s">
        <v>2868</v>
      </c>
      <c r="P3439" s="236">
        <f>P3225</f>
        <v>355.5</v>
      </c>
      <c r="Q3439" s="383" t="s">
        <v>152</v>
      </c>
      <c r="R3439" s="236">
        <f t="shared" si="305"/>
        <v>208.85625000000002</v>
      </c>
    </row>
    <row r="3440" spans="6:18" ht="15.75">
      <c r="M3440" s="428">
        <v>6.7</v>
      </c>
      <c r="N3440" s="387" t="s">
        <v>552</v>
      </c>
      <c r="O3440" s="238" t="s">
        <v>2869</v>
      </c>
      <c r="P3440" s="236">
        <f>P3226</f>
        <v>15.15</v>
      </c>
      <c r="Q3440" s="383" t="s">
        <v>303</v>
      </c>
      <c r="R3440" s="236">
        <f t="shared" si="305"/>
        <v>101.50500000000001</v>
      </c>
    </row>
    <row r="3441" spans="6:18" ht="15.75">
      <c r="M3441" s="428">
        <v>2.4279999999999999</v>
      </c>
      <c r="N3441" s="387" t="s">
        <v>152</v>
      </c>
      <c r="O3441" s="238" t="s">
        <v>1708</v>
      </c>
      <c r="P3441" s="236">
        <f>P3227</f>
        <v>1078</v>
      </c>
      <c r="Q3441" s="239" t="s">
        <v>152</v>
      </c>
      <c r="R3441" s="236">
        <f t="shared" si="305"/>
        <v>2617.384</v>
      </c>
    </row>
    <row r="3442" spans="6:18" ht="15.75">
      <c r="M3442" s="236">
        <v>4</v>
      </c>
      <c r="N3442" s="387" t="s">
        <v>4</v>
      </c>
      <c r="O3442" s="238" t="s">
        <v>2811</v>
      </c>
      <c r="P3442" s="236">
        <f t="shared" ref="P3442:P3447" si="306">P3228</f>
        <v>50.9</v>
      </c>
      <c r="Q3442" s="239" t="s">
        <v>153</v>
      </c>
      <c r="R3442" s="236">
        <f t="shared" si="305"/>
        <v>203.6</v>
      </c>
    </row>
    <row r="3443" spans="6:18" ht="15.75">
      <c r="M3443" s="236">
        <v>8</v>
      </c>
      <c r="N3443" s="387" t="s">
        <v>153</v>
      </c>
      <c r="O3443" s="238" t="s">
        <v>391</v>
      </c>
      <c r="P3443" s="236">
        <f t="shared" si="306"/>
        <v>79.099999999999994</v>
      </c>
      <c r="Q3443" s="239" t="s">
        <v>153</v>
      </c>
      <c r="R3443" s="236">
        <f t="shared" si="305"/>
        <v>632.79999999999995</v>
      </c>
    </row>
    <row r="3444" spans="6:18" ht="15.75">
      <c r="M3444" s="236">
        <v>4</v>
      </c>
      <c r="N3444" s="387" t="s">
        <v>153</v>
      </c>
      <c r="O3444" s="238" t="s">
        <v>2831</v>
      </c>
      <c r="P3444" s="236">
        <f t="shared" si="306"/>
        <v>86.3</v>
      </c>
      <c r="Q3444" s="239" t="s">
        <v>153</v>
      </c>
      <c r="R3444" s="236">
        <f t="shared" si="305"/>
        <v>345.2</v>
      </c>
    </row>
    <row r="3445" spans="6:18" ht="15.75">
      <c r="M3445" s="236">
        <v>1</v>
      </c>
      <c r="N3445" s="387" t="s">
        <v>153</v>
      </c>
      <c r="O3445" s="238" t="s">
        <v>2832</v>
      </c>
      <c r="P3445" s="236">
        <f t="shared" si="306"/>
        <v>185.2</v>
      </c>
      <c r="Q3445" s="239" t="s">
        <v>153</v>
      </c>
      <c r="R3445" s="236">
        <f t="shared" si="305"/>
        <v>185.2</v>
      </c>
    </row>
    <row r="3446" spans="6:18" ht="15.75">
      <c r="M3446" s="236">
        <v>2</v>
      </c>
      <c r="N3446" s="387" t="s">
        <v>153</v>
      </c>
      <c r="O3446" s="238" t="s">
        <v>2833</v>
      </c>
      <c r="P3446" s="236">
        <f t="shared" si="306"/>
        <v>22.7</v>
      </c>
      <c r="Q3446" s="239" t="s">
        <v>153</v>
      </c>
      <c r="R3446" s="236">
        <f t="shared" si="305"/>
        <v>45.4</v>
      </c>
    </row>
    <row r="3447" spans="6:18" ht="15.75">
      <c r="M3447" s="236">
        <v>2</v>
      </c>
      <c r="N3447" s="387" t="s">
        <v>153</v>
      </c>
      <c r="O3447" s="238" t="s">
        <v>2834</v>
      </c>
      <c r="P3447" s="236">
        <f t="shared" si="306"/>
        <v>43.8</v>
      </c>
      <c r="Q3447" s="239" t="s">
        <v>153</v>
      </c>
      <c r="R3447" s="236">
        <f t="shared" si="305"/>
        <v>87.6</v>
      </c>
    </row>
    <row r="3448" spans="6:18" ht="15.75">
      <c r="M3448" s="380">
        <v>118</v>
      </c>
      <c r="N3448" s="387" t="s">
        <v>153</v>
      </c>
      <c r="O3448" s="380" t="s">
        <v>2768</v>
      </c>
      <c r="P3448" s="380">
        <f>P3404</f>
        <v>2.37</v>
      </c>
      <c r="Q3448" s="239" t="s">
        <v>153</v>
      </c>
      <c r="R3448" s="236">
        <f t="shared" si="305"/>
        <v>279.66000000000003</v>
      </c>
    </row>
    <row r="3449" spans="6:18" ht="15.75">
      <c r="M3449" s="380"/>
      <c r="N3449" s="381"/>
      <c r="O3449" s="380"/>
      <c r="P3449" s="380"/>
      <c r="Q3449" s="383"/>
      <c r="R3449" s="388" t="s">
        <v>21</v>
      </c>
    </row>
    <row r="3450" spans="6:18" ht="15.75">
      <c r="F3450" s="101">
        <v>29.5</v>
      </c>
      <c r="G3450" s="62" t="s">
        <v>249</v>
      </c>
      <c r="H3450" s="50" t="s">
        <v>2905</v>
      </c>
      <c r="J3450" s="57"/>
      <c r="M3450" s="380"/>
      <c r="N3450" s="381"/>
      <c r="O3450" s="238" t="s">
        <v>2858</v>
      </c>
      <c r="P3450" s="380"/>
      <c r="Q3450" s="383"/>
      <c r="R3450" s="236">
        <f>SUM(R3435:R3449)</f>
        <v>13595.22867</v>
      </c>
    </row>
    <row r="3451" spans="6:18" ht="15.75">
      <c r="H3451" s="50" t="s">
        <v>2906</v>
      </c>
      <c r="J3451" s="57"/>
      <c r="M3451" s="380"/>
      <c r="N3451" s="381"/>
      <c r="O3451" s="380"/>
      <c r="P3451" s="380"/>
      <c r="Q3451" s="383"/>
      <c r="R3451" s="388" t="s">
        <v>21</v>
      </c>
    </row>
    <row r="3452" spans="6:18" ht="15.75">
      <c r="H3452" s="50" t="s">
        <v>1882</v>
      </c>
      <c r="J3452" s="57"/>
      <c r="M3452" s="380"/>
      <c r="N3452" s="381"/>
      <c r="O3452" s="394" t="s">
        <v>155</v>
      </c>
      <c r="P3452" s="380"/>
      <c r="Q3452" s="385" t="s">
        <v>2597</v>
      </c>
      <c r="R3452" s="395">
        <f>R3450/M3441</f>
        <v>5599.3528294892922</v>
      </c>
    </row>
    <row r="3453" spans="6:18" ht="15.75">
      <c r="H3453" s="59" t="s">
        <v>21</v>
      </c>
      <c r="I3453" s="59" t="s">
        <v>21</v>
      </c>
      <c r="J3453" s="57"/>
      <c r="K3453" s="64"/>
    </row>
    <row r="3454" spans="6:18" ht="15.75">
      <c r="F3454" s="64">
        <v>10</v>
      </c>
      <c r="G3454" s="62" t="s">
        <v>152</v>
      </c>
      <c r="H3454" s="54" t="s">
        <v>2907</v>
      </c>
      <c r="I3454" s="61">
        <v>412</v>
      </c>
      <c r="J3454" s="51" t="s">
        <v>152</v>
      </c>
      <c r="K3454" s="64">
        <f>F3454*I3454</f>
        <v>4120</v>
      </c>
    </row>
    <row r="3455" spans="6:18" ht="15.75">
      <c r="F3455" s="64">
        <v>0.21</v>
      </c>
      <c r="G3455" s="62" t="s">
        <v>151</v>
      </c>
      <c r="H3455" s="50" t="s">
        <v>298</v>
      </c>
      <c r="I3455" s="64">
        <f>K32</f>
        <v>5022.7</v>
      </c>
      <c r="J3455" s="51" t="s">
        <v>151</v>
      </c>
      <c r="K3455" s="64">
        <f>(F3455*I3455)</f>
        <v>1054.7669999999998</v>
      </c>
    </row>
    <row r="3456" spans="6:18" ht="15.75">
      <c r="H3456" s="50" t="s">
        <v>1860</v>
      </c>
      <c r="I3456" s="64"/>
      <c r="J3456" s="57"/>
      <c r="K3456" s="50" t="s">
        <v>150</v>
      </c>
      <c r="M3456" s="101">
        <v>29.5</v>
      </c>
      <c r="N3456" s="62" t="s">
        <v>249</v>
      </c>
      <c r="O3456" s="50" t="s">
        <v>2905</v>
      </c>
      <c r="Q3456" s="57"/>
    </row>
    <row r="3457" spans="6:18" ht="15.75">
      <c r="F3457" s="64">
        <v>1.1000000000000001</v>
      </c>
      <c r="G3457" s="62" t="s">
        <v>4</v>
      </c>
      <c r="H3457" s="50" t="s">
        <v>269</v>
      </c>
      <c r="I3457" s="64">
        <f>C10</f>
        <v>1076.5999999999999</v>
      </c>
      <c r="J3457" s="51" t="s">
        <v>4</v>
      </c>
      <c r="K3457" s="64">
        <f>(F3457*I3457)</f>
        <v>1184.26</v>
      </c>
      <c r="N3457" s="53"/>
      <c r="O3457" s="50" t="s">
        <v>2906</v>
      </c>
      <c r="Q3457" s="57"/>
    </row>
    <row r="3458" spans="6:18" ht="15.75">
      <c r="F3458" s="64">
        <v>1.1000000000000001</v>
      </c>
      <c r="G3458" s="62" t="s">
        <v>4</v>
      </c>
      <c r="H3458" s="50" t="s">
        <v>234</v>
      </c>
      <c r="I3458" s="64">
        <f>C11</f>
        <v>1005.1999999999999</v>
      </c>
      <c r="J3458" s="51" t="s">
        <v>4</v>
      </c>
      <c r="K3458" s="64">
        <f>(F3458*I3458)</f>
        <v>1105.72</v>
      </c>
      <c r="N3458" s="53"/>
      <c r="O3458" s="50" t="s">
        <v>1882</v>
      </c>
      <c r="Q3458" s="57"/>
    </row>
    <row r="3459" spans="6:18" ht="15.75">
      <c r="F3459" s="64">
        <v>2.2000000000000002</v>
      </c>
      <c r="G3459" s="62" t="s">
        <v>4</v>
      </c>
      <c r="H3459" s="50" t="s">
        <v>235</v>
      </c>
      <c r="I3459" s="64">
        <f>C12</f>
        <v>702.8</v>
      </c>
      <c r="J3459" s="51" t="s">
        <v>4</v>
      </c>
      <c r="K3459" s="64">
        <f>(F3459*I3459)</f>
        <v>1546.16</v>
      </c>
      <c r="N3459" s="53"/>
      <c r="O3459" s="59" t="s">
        <v>21</v>
      </c>
      <c r="P3459" s="59" t="s">
        <v>21</v>
      </c>
      <c r="Q3459" s="57"/>
      <c r="R3459" s="64"/>
    </row>
    <row r="3460" spans="6:18" ht="15.75">
      <c r="F3460" s="64">
        <v>2.2000000000000002</v>
      </c>
      <c r="G3460" s="62" t="s">
        <v>4</v>
      </c>
      <c r="H3460" s="50" t="s">
        <v>236</v>
      </c>
      <c r="I3460" s="64">
        <f>C13</f>
        <v>576.79999999999995</v>
      </c>
      <c r="J3460" s="51" t="s">
        <v>4</v>
      </c>
      <c r="K3460" s="64">
        <f>(F3460*I3460)</f>
        <v>1268.96</v>
      </c>
      <c r="M3460" s="64">
        <v>10</v>
      </c>
      <c r="N3460" s="62" t="s">
        <v>152</v>
      </c>
      <c r="O3460" s="54" t="s">
        <v>2907</v>
      </c>
      <c r="P3460" s="488">
        <f>I3454</f>
        <v>412</v>
      </c>
      <c r="Q3460" s="51" t="s">
        <v>152</v>
      </c>
      <c r="R3460" s="64">
        <f>P3460*M3460</f>
        <v>4120</v>
      </c>
    </row>
    <row r="3461" spans="6:18" ht="15.75">
      <c r="F3461" s="100">
        <v>20</v>
      </c>
      <c r="G3461" s="62" t="s">
        <v>13</v>
      </c>
      <c r="H3461" s="50" t="s">
        <v>252</v>
      </c>
      <c r="I3461" s="64">
        <f>AE31</f>
        <v>5800</v>
      </c>
      <c r="J3461" s="51" t="s">
        <v>251</v>
      </c>
      <c r="K3461" s="64">
        <f>(F3461*I3461)/1000</f>
        <v>116</v>
      </c>
      <c r="M3461" s="64">
        <v>0.21</v>
      </c>
      <c r="N3461" s="62" t="s">
        <v>151</v>
      </c>
      <c r="O3461" s="50" t="s">
        <v>298</v>
      </c>
      <c r="P3461" s="489">
        <f t="shared" ref="P3461:P3471" si="307">I3455</f>
        <v>5022.7</v>
      </c>
      <c r="Q3461" s="51" t="s">
        <v>151</v>
      </c>
      <c r="R3461" s="64">
        <f t="shared" ref="R3461:R3471" si="308">P3461*M3461</f>
        <v>1054.7669999999998</v>
      </c>
    </row>
    <row r="3462" spans="6:18" ht="15.75">
      <c r="F3462" s="100">
        <v>2</v>
      </c>
      <c r="G3462" s="62" t="s">
        <v>13</v>
      </c>
      <c r="H3462" s="50" t="s">
        <v>1864</v>
      </c>
      <c r="I3462" s="64">
        <f>I1256</f>
        <v>36.1</v>
      </c>
      <c r="J3462" s="51" t="s">
        <v>13</v>
      </c>
      <c r="K3462" s="64">
        <f>(F3462*I3462)</f>
        <v>72.2</v>
      </c>
      <c r="N3462" s="53"/>
      <c r="O3462" s="50" t="s">
        <v>1860</v>
      </c>
      <c r="P3462" s="489">
        <f t="shared" si="307"/>
        <v>0</v>
      </c>
      <c r="Q3462" s="57"/>
      <c r="R3462" s="64">
        <f t="shared" si="308"/>
        <v>0</v>
      </c>
    </row>
    <row r="3463" spans="6:18" ht="15.75">
      <c r="F3463" s="64">
        <v>1.6</v>
      </c>
      <c r="G3463" s="62" t="s">
        <v>4</v>
      </c>
      <c r="H3463" s="50" t="s">
        <v>234</v>
      </c>
      <c r="I3463" s="64">
        <f>I3458</f>
        <v>1005.1999999999999</v>
      </c>
      <c r="J3463" s="51" t="s">
        <v>4</v>
      </c>
      <c r="K3463" s="64">
        <f>(F3463*I3463)</f>
        <v>1608.32</v>
      </c>
      <c r="M3463" s="64">
        <v>1.1000000000000001</v>
      </c>
      <c r="N3463" s="62" t="s">
        <v>4</v>
      </c>
      <c r="O3463" s="50" t="s">
        <v>269</v>
      </c>
      <c r="P3463" s="489">
        <f t="shared" si="307"/>
        <v>1076.5999999999999</v>
      </c>
      <c r="Q3463" s="51" t="s">
        <v>4</v>
      </c>
      <c r="R3463" s="64">
        <f t="shared" si="308"/>
        <v>1184.26</v>
      </c>
    </row>
    <row r="3464" spans="6:18" ht="15.75">
      <c r="F3464" s="64">
        <v>0.5</v>
      </c>
      <c r="G3464" s="62" t="s">
        <v>4</v>
      </c>
      <c r="H3464" s="50" t="s">
        <v>235</v>
      </c>
      <c r="I3464" s="64">
        <f>I3459</f>
        <v>702.8</v>
      </c>
      <c r="J3464" s="51" t="s">
        <v>4</v>
      </c>
      <c r="K3464" s="64">
        <f>(F3464*I3464)</f>
        <v>351.4</v>
      </c>
      <c r="M3464" s="64">
        <v>1.1000000000000001</v>
      </c>
      <c r="N3464" s="62" t="s">
        <v>4</v>
      </c>
      <c r="O3464" s="50" t="s">
        <v>234</v>
      </c>
      <c r="P3464" s="489">
        <f t="shared" si="307"/>
        <v>1005.1999999999999</v>
      </c>
      <c r="Q3464" s="51" t="s">
        <v>4</v>
      </c>
      <c r="R3464" s="64">
        <f t="shared" si="308"/>
        <v>1105.72</v>
      </c>
    </row>
    <row r="3465" spans="6:18" ht="15.75">
      <c r="F3465" s="64">
        <v>1.1000000000000001</v>
      </c>
      <c r="G3465" s="62" t="s">
        <v>4</v>
      </c>
      <c r="H3465" s="50" t="s">
        <v>236</v>
      </c>
      <c r="I3465" s="64">
        <f>I3460</f>
        <v>576.79999999999995</v>
      </c>
      <c r="J3465" s="51" t="s">
        <v>4</v>
      </c>
      <c r="K3465" s="64">
        <f>(F3465*I3465)</f>
        <v>634.48</v>
      </c>
      <c r="M3465" s="64">
        <v>2.2000000000000002</v>
      </c>
      <c r="N3465" s="62" t="s">
        <v>4</v>
      </c>
      <c r="O3465" s="50" t="s">
        <v>235</v>
      </c>
      <c r="P3465" s="489">
        <f t="shared" si="307"/>
        <v>702.8</v>
      </c>
      <c r="Q3465" s="51" t="s">
        <v>4</v>
      </c>
      <c r="R3465" s="64">
        <f t="shared" si="308"/>
        <v>1546.16</v>
      </c>
    </row>
    <row r="3466" spans="6:18" ht="15.75">
      <c r="G3466" s="62" t="s">
        <v>226</v>
      </c>
      <c r="H3466" s="50" t="s">
        <v>237</v>
      </c>
      <c r="I3466" s="64">
        <f>I1262</f>
        <v>0</v>
      </c>
      <c r="J3466" s="51" t="s">
        <v>226</v>
      </c>
      <c r="K3466" s="64">
        <v>0</v>
      </c>
      <c r="M3466" s="64">
        <v>2.2000000000000002</v>
      </c>
      <c r="N3466" s="62" t="s">
        <v>4</v>
      </c>
      <c r="O3466" s="50" t="s">
        <v>236</v>
      </c>
      <c r="P3466" s="489">
        <f t="shared" si="307"/>
        <v>576.79999999999995</v>
      </c>
      <c r="Q3466" s="51" t="s">
        <v>4</v>
      </c>
      <c r="R3466" s="64">
        <f t="shared" si="308"/>
        <v>1268.96</v>
      </c>
    </row>
    <row r="3467" spans="6:18" ht="15.75">
      <c r="J3467" s="57"/>
      <c r="K3467" s="59" t="s">
        <v>21</v>
      </c>
      <c r="M3467" s="100">
        <v>20</v>
      </c>
      <c r="N3467" s="62" t="s">
        <v>13</v>
      </c>
      <c r="O3467" s="50" t="s">
        <v>252</v>
      </c>
      <c r="P3467" s="489">
        <f t="shared" si="307"/>
        <v>5800</v>
      </c>
      <c r="Q3467" s="51" t="s">
        <v>251</v>
      </c>
      <c r="R3467" s="64">
        <f>P3467*M3467/1000</f>
        <v>116</v>
      </c>
    </row>
    <row r="3468" spans="6:18" ht="15.75">
      <c r="H3468" s="50" t="s">
        <v>238</v>
      </c>
      <c r="J3468" s="57"/>
      <c r="K3468" s="64">
        <f>SUM(K3454:K3466)</f>
        <v>13062.267000000002</v>
      </c>
      <c r="M3468" s="100">
        <v>2</v>
      </c>
      <c r="N3468" s="62" t="s">
        <v>13</v>
      </c>
      <c r="O3468" s="50" t="s">
        <v>2908</v>
      </c>
      <c r="P3468" s="489">
        <f>I3644</f>
        <v>24.5</v>
      </c>
      <c r="Q3468" s="51" t="s">
        <v>13</v>
      </c>
      <c r="R3468" s="64">
        <f t="shared" si="308"/>
        <v>49</v>
      </c>
    </row>
    <row r="3469" spans="6:18" ht="15.75">
      <c r="J3469" s="57"/>
      <c r="K3469" s="59" t="s">
        <v>21</v>
      </c>
      <c r="M3469" s="64">
        <v>1.6</v>
      </c>
      <c r="N3469" s="62" t="s">
        <v>4</v>
      </c>
      <c r="O3469" s="50" t="s">
        <v>234</v>
      </c>
      <c r="P3469" s="489">
        <f t="shared" si="307"/>
        <v>1005.1999999999999</v>
      </c>
      <c r="Q3469" s="51" t="s">
        <v>4</v>
      </c>
      <c r="R3469" s="64">
        <f t="shared" si="308"/>
        <v>1608.32</v>
      </c>
    </row>
    <row r="3470" spans="6:18" ht="15.75">
      <c r="H3470" s="50" t="s">
        <v>155</v>
      </c>
      <c r="J3470" s="57"/>
      <c r="K3470" s="63">
        <f>(K3468/10)</f>
        <v>1306.2267000000002</v>
      </c>
      <c r="M3470" s="64">
        <v>0.5</v>
      </c>
      <c r="N3470" s="62" t="s">
        <v>4</v>
      </c>
      <c r="O3470" s="50" t="s">
        <v>235</v>
      </c>
      <c r="P3470" s="489">
        <f t="shared" si="307"/>
        <v>702.8</v>
      </c>
      <c r="Q3470" s="51" t="s">
        <v>4</v>
      </c>
      <c r="R3470" s="64">
        <f t="shared" si="308"/>
        <v>351.4</v>
      </c>
    </row>
    <row r="3471" spans="6:18" ht="15.75">
      <c r="J3471" s="57"/>
      <c r="K3471" s="59" t="s">
        <v>156</v>
      </c>
      <c r="M3471" s="64">
        <v>1.1000000000000001</v>
      </c>
      <c r="N3471" s="62" t="s">
        <v>4</v>
      </c>
      <c r="O3471" s="50" t="s">
        <v>236</v>
      </c>
      <c r="P3471" s="489">
        <f t="shared" si="307"/>
        <v>576.79999999999995</v>
      </c>
      <c r="Q3471" s="51" t="s">
        <v>4</v>
      </c>
      <c r="R3471" s="64">
        <f t="shared" si="308"/>
        <v>634.48</v>
      </c>
    </row>
    <row r="3472" spans="6:18" ht="15.75">
      <c r="N3472" s="62" t="s">
        <v>226</v>
      </c>
      <c r="O3472" s="50" t="s">
        <v>237</v>
      </c>
      <c r="P3472" s="64">
        <v>0</v>
      </c>
      <c r="Q3472" s="51" t="s">
        <v>226</v>
      </c>
      <c r="R3472" s="64">
        <v>0</v>
      </c>
    </row>
    <row r="3473" spans="6:19" ht="15.75">
      <c r="N3473" s="53"/>
      <c r="Q3473" s="57"/>
      <c r="R3473" s="59" t="s">
        <v>21</v>
      </c>
    </row>
    <row r="3474" spans="6:19" ht="15.75">
      <c r="N3474" s="53"/>
      <c r="O3474" s="50" t="s">
        <v>238</v>
      </c>
      <c r="Q3474" s="57"/>
      <c r="R3474" s="64">
        <f>SUM(R3460:R3473)</f>
        <v>13039.067000000001</v>
      </c>
    </row>
    <row r="3475" spans="6:19" ht="15.75">
      <c r="N3475" s="53"/>
      <c r="Q3475" s="57"/>
      <c r="R3475" s="59" t="s">
        <v>21</v>
      </c>
    </row>
    <row r="3476" spans="6:19" ht="49.5">
      <c r="G3476" s="490">
        <v>90</v>
      </c>
      <c r="H3476" s="491" t="s">
        <v>2909</v>
      </c>
      <c r="N3476" s="53"/>
      <c r="O3476" s="50" t="s">
        <v>155</v>
      </c>
      <c r="Q3476" s="57"/>
      <c r="R3476" s="63">
        <f>R3474/10</f>
        <v>1303.9067</v>
      </c>
    </row>
    <row r="3477" spans="6:19" ht="15.75">
      <c r="F3477" s="151">
        <v>3.8100000000000002E-2</v>
      </c>
      <c r="G3477" s="195" t="s">
        <v>151</v>
      </c>
      <c r="H3477" s="163" t="s">
        <v>2910</v>
      </c>
      <c r="I3477" s="52">
        <f>I3387</f>
        <v>111600</v>
      </c>
      <c r="J3477" s="52">
        <f>J2279</f>
        <v>0</v>
      </c>
      <c r="K3477" s="52">
        <f>F3477*I3477</f>
        <v>4251.96</v>
      </c>
      <c r="N3477" s="53"/>
      <c r="Q3477" s="57"/>
      <c r="R3477" s="59" t="s">
        <v>156</v>
      </c>
    </row>
    <row r="3478" spans="6:19" ht="15.75">
      <c r="F3478" s="56">
        <v>2.4E-2</v>
      </c>
      <c r="G3478" s="195" t="s">
        <v>151</v>
      </c>
      <c r="H3478" s="163" t="s">
        <v>2841</v>
      </c>
      <c r="I3478" s="52">
        <f>I3388</f>
        <v>99400</v>
      </c>
      <c r="J3478" s="52">
        <f>J2280</f>
        <v>0</v>
      </c>
      <c r="K3478" s="52">
        <f t="shared" ref="K3478:K3491" si="309">F3478*I3478</f>
        <v>2385.6</v>
      </c>
    </row>
    <row r="3479" spans="6:19" ht="15.75">
      <c r="F3479" s="52">
        <v>0.01</v>
      </c>
      <c r="G3479" s="195" t="s">
        <v>151</v>
      </c>
      <c r="H3479" s="50" t="s">
        <v>1712</v>
      </c>
      <c r="I3479" s="52">
        <f>I2815</f>
        <v>95000</v>
      </c>
      <c r="J3479" s="52">
        <f>J2281</f>
        <v>0</v>
      </c>
      <c r="K3479" s="52">
        <f t="shared" si="309"/>
        <v>950</v>
      </c>
    </row>
    <row r="3480" spans="6:19" ht="15.75">
      <c r="H3480" s="50" t="s">
        <v>1714</v>
      </c>
    </row>
    <row r="3481" spans="6:19" ht="15.75">
      <c r="F3481" s="52">
        <v>1.05</v>
      </c>
      <c r="G3481" s="62" t="s">
        <v>152</v>
      </c>
      <c r="H3481" s="159" t="s">
        <v>2911</v>
      </c>
      <c r="I3481" s="129">
        <v>355.5</v>
      </c>
      <c r="J3481" s="55" t="s">
        <v>152</v>
      </c>
      <c r="K3481" s="52">
        <f t="shared" si="309"/>
        <v>373.27500000000003</v>
      </c>
    </row>
    <row r="3482" spans="6:19" ht="15.75">
      <c r="F3482" s="52">
        <v>12</v>
      </c>
      <c r="G3482" s="62" t="s">
        <v>2161</v>
      </c>
      <c r="H3482" s="52" t="s">
        <v>2912</v>
      </c>
      <c r="I3482" s="52">
        <f>I2537</f>
        <v>54.5</v>
      </c>
      <c r="J3482" s="55" t="s">
        <v>2161</v>
      </c>
      <c r="K3482" s="52">
        <f t="shared" si="309"/>
        <v>654</v>
      </c>
      <c r="S3482" s="480" t="s">
        <v>2913</v>
      </c>
    </row>
    <row r="3483" spans="6:19" ht="15.75">
      <c r="F3483" s="52">
        <v>2.85</v>
      </c>
      <c r="G3483" s="62" t="s">
        <v>152</v>
      </c>
      <c r="H3483" s="52" t="s">
        <v>2914</v>
      </c>
      <c r="I3483" s="52">
        <f>D31</f>
        <v>1509.1999999999998</v>
      </c>
      <c r="J3483" s="55" t="s">
        <v>152</v>
      </c>
      <c r="K3483" s="52">
        <f t="shared" si="309"/>
        <v>4301.2199999999993</v>
      </c>
    </row>
    <row r="3484" spans="6:19" ht="15.75">
      <c r="F3484" s="52">
        <v>6</v>
      </c>
      <c r="G3484" s="62" t="s">
        <v>68</v>
      </c>
      <c r="H3484" s="50" t="s">
        <v>391</v>
      </c>
      <c r="I3484" s="52">
        <f>I2819</f>
        <v>110.17</v>
      </c>
      <c r="J3484" s="55" t="s">
        <v>4</v>
      </c>
      <c r="K3484" s="52">
        <f t="shared" si="309"/>
        <v>661.02</v>
      </c>
    </row>
    <row r="3485" spans="6:19" ht="15.75">
      <c r="F3485" s="52">
        <v>1</v>
      </c>
      <c r="G3485" s="62" t="s">
        <v>68</v>
      </c>
      <c r="H3485" s="52" t="s">
        <v>2915</v>
      </c>
      <c r="I3485" s="52">
        <f>I2821</f>
        <v>550</v>
      </c>
      <c r="J3485" s="55" t="s">
        <v>4</v>
      </c>
      <c r="K3485" s="52">
        <f t="shared" si="309"/>
        <v>550</v>
      </c>
    </row>
    <row r="3486" spans="6:19" ht="15.75">
      <c r="F3486" s="52">
        <v>3</v>
      </c>
      <c r="G3486" s="62" t="s">
        <v>68</v>
      </c>
      <c r="H3486" s="50" t="s">
        <v>392</v>
      </c>
      <c r="I3486" s="52">
        <f>I2820</f>
        <v>160</v>
      </c>
      <c r="J3486" s="55" t="s">
        <v>4</v>
      </c>
      <c r="K3486" s="52">
        <f t="shared" si="309"/>
        <v>480</v>
      </c>
    </row>
    <row r="3487" spans="6:19" ht="15.75">
      <c r="F3487" s="52">
        <v>2</v>
      </c>
      <c r="G3487" s="62" t="s">
        <v>68</v>
      </c>
      <c r="H3487" s="50" t="s">
        <v>2916</v>
      </c>
      <c r="I3487" s="52">
        <f>I2820</f>
        <v>160</v>
      </c>
      <c r="J3487" s="55" t="s">
        <v>4</v>
      </c>
      <c r="K3487" s="52">
        <f t="shared" si="309"/>
        <v>320</v>
      </c>
    </row>
    <row r="3488" spans="6:19" ht="15.75">
      <c r="F3488" s="52">
        <v>2</v>
      </c>
      <c r="G3488" s="62" t="s">
        <v>68</v>
      </c>
      <c r="H3488" s="50" t="s">
        <v>886</v>
      </c>
      <c r="I3488" s="52">
        <f>I2823</f>
        <v>43.8</v>
      </c>
      <c r="J3488" s="55" t="s">
        <v>4</v>
      </c>
      <c r="K3488" s="52">
        <f t="shared" si="309"/>
        <v>87.6</v>
      </c>
    </row>
    <row r="3489" spans="6:15" ht="15.75">
      <c r="F3489" s="52">
        <v>2</v>
      </c>
      <c r="G3489" s="62" t="s">
        <v>68</v>
      </c>
      <c r="H3489" s="50" t="s">
        <v>1713</v>
      </c>
      <c r="I3489" s="52">
        <f>I2822</f>
        <v>7.3</v>
      </c>
      <c r="J3489" s="55" t="s">
        <v>4</v>
      </c>
      <c r="K3489" s="52">
        <f t="shared" si="309"/>
        <v>14.6</v>
      </c>
    </row>
    <row r="3490" spans="6:15" ht="15.75">
      <c r="F3490" s="52">
        <v>1.05</v>
      </c>
      <c r="G3490" s="62" t="s">
        <v>152</v>
      </c>
      <c r="H3490" s="50" t="s">
        <v>2917</v>
      </c>
      <c r="I3490" s="52">
        <f>K1553</f>
        <v>144.41040000000001</v>
      </c>
      <c r="J3490" s="55" t="s">
        <v>152</v>
      </c>
      <c r="K3490" s="52">
        <f t="shared" si="309"/>
        <v>151.63092</v>
      </c>
    </row>
    <row r="3491" spans="6:15" ht="15.75">
      <c r="F3491" s="492">
        <v>3.15</v>
      </c>
      <c r="G3491" s="62" t="s">
        <v>152</v>
      </c>
      <c r="H3491" s="50" t="s">
        <v>2918</v>
      </c>
      <c r="I3491" s="52">
        <f>K1167</f>
        <v>206.33800000000002</v>
      </c>
      <c r="J3491" s="55" t="s">
        <v>152</v>
      </c>
      <c r="K3491" s="52">
        <f t="shared" si="309"/>
        <v>649.96470000000011</v>
      </c>
    </row>
    <row r="3492" spans="6:15" ht="15.75">
      <c r="G3492" s="62"/>
      <c r="H3492" s="50" t="s">
        <v>2919</v>
      </c>
      <c r="I3492" s="2109" t="s">
        <v>226</v>
      </c>
      <c r="J3492" s="2109"/>
      <c r="K3492" s="52">
        <f>R3199</f>
        <v>279.66000000000003</v>
      </c>
    </row>
    <row r="3493" spans="6:15" ht="15.75">
      <c r="K3493" s="493" t="s">
        <v>156</v>
      </c>
    </row>
    <row r="3494" spans="6:15" ht="15.75">
      <c r="H3494" s="54" t="s">
        <v>2920</v>
      </c>
      <c r="I3494" s="65"/>
      <c r="J3494" s="110"/>
      <c r="K3494" s="65">
        <f>SUM(K3477:K3493)</f>
        <v>16110.53062</v>
      </c>
    </row>
    <row r="3495" spans="6:15" ht="15.75">
      <c r="K3495" s="493" t="s">
        <v>156</v>
      </c>
    </row>
    <row r="3497" spans="6:15" ht="15.75">
      <c r="J3497" s="57"/>
    </row>
    <row r="3498" spans="6:15" ht="15.75">
      <c r="G3498" s="55" t="s">
        <v>2921</v>
      </c>
      <c r="J3498" s="57"/>
    </row>
    <row r="3499" spans="6:15" ht="15.75">
      <c r="J3499" s="57"/>
    </row>
    <row r="3500" spans="6:15" ht="15.75">
      <c r="F3500" s="151">
        <v>1.8</v>
      </c>
      <c r="G3500" s="53" t="s">
        <v>151</v>
      </c>
      <c r="H3500" s="52" t="s">
        <v>2922</v>
      </c>
      <c r="I3500" s="52">
        <v>451.25</v>
      </c>
      <c r="J3500" s="57" t="s">
        <v>151</v>
      </c>
      <c r="K3500" s="141">
        <f>I3500*F3500</f>
        <v>812.25</v>
      </c>
    </row>
    <row r="3501" spans="6:15" ht="15.75">
      <c r="J3501" s="57"/>
      <c r="K3501" s="141"/>
    </row>
    <row r="3502" spans="6:15" ht="15.75">
      <c r="F3502" s="151">
        <v>1.2</v>
      </c>
      <c r="G3502" s="53" t="s">
        <v>151</v>
      </c>
      <c r="H3502" s="52" t="s">
        <v>2923</v>
      </c>
      <c r="I3502" s="52">
        <v>842.15</v>
      </c>
      <c r="J3502" s="57" t="s">
        <v>151</v>
      </c>
      <c r="K3502" s="141">
        <f t="shared" ref="K3502:K3510" si="310">I3502*F3502</f>
        <v>1010.5799999999999</v>
      </c>
    </row>
    <row r="3503" spans="6:15" ht="15.75">
      <c r="J3503" s="57"/>
      <c r="K3503" s="141"/>
    </row>
    <row r="3504" spans="6:15" ht="15.75">
      <c r="F3504" s="151">
        <v>0.6</v>
      </c>
      <c r="G3504" s="53" t="s">
        <v>151</v>
      </c>
      <c r="H3504" s="52" t="s">
        <v>2924</v>
      </c>
      <c r="I3504" s="52">
        <f>AE16</f>
        <v>2116.9</v>
      </c>
      <c r="J3504" s="57" t="s">
        <v>151</v>
      </c>
      <c r="K3504" s="141">
        <f t="shared" si="310"/>
        <v>1270.1400000000001</v>
      </c>
      <c r="O3504" s="65" t="s">
        <v>2925</v>
      </c>
    </row>
    <row r="3505" spans="6:18" ht="15.75">
      <c r="J3505" s="57"/>
      <c r="K3505" s="141"/>
    </row>
    <row r="3506" spans="6:18" ht="15.75">
      <c r="F3506" s="151">
        <v>3</v>
      </c>
      <c r="G3506" s="53" t="s">
        <v>151</v>
      </c>
      <c r="H3506" s="52" t="s">
        <v>2926</v>
      </c>
      <c r="I3506" s="52">
        <f>R3519</f>
        <v>2238.1799999999998</v>
      </c>
      <c r="J3506" s="57" t="s">
        <v>151</v>
      </c>
      <c r="K3506" s="141">
        <f t="shared" si="310"/>
        <v>6714.5399999999991</v>
      </c>
    </row>
    <row r="3507" spans="6:18" ht="15.75">
      <c r="F3507" s="151"/>
      <c r="J3507" s="57"/>
      <c r="K3507" s="141"/>
      <c r="M3507" s="52">
        <f>(1.08/8)</f>
        <v>0.13500000000000001</v>
      </c>
      <c r="N3507" s="52" t="s">
        <v>151</v>
      </c>
      <c r="O3507" s="52" t="s">
        <v>235</v>
      </c>
      <c r="P3507" s="52">
        <f>P3515</f>
        <v>702.8</v>
      </c>
      <c r="Q3507" s="52" t="s">
        <v>151</v>
      </c>
      <c r="R3507" s="52">
        <f>P3507*M3507</f>
        <v>94.878</v>
      </c>
    </row>
    <row r="3508" spans="6:18" ht="15.75">
      <c r="F3508" s="151">
        <v>3</v>
      </c>
      <c r="G3508" s="53" t="s">
        <v>151</v>
      </c>
      <c r="H3508" s="52" t="s">
        <v>2927</v>
      </c>
      <c r="I3508" s="52">
        <f>R3521</f>
        <v>20.27</v>
      </c>
      <c r="J3508" s="57" t="s">
        <v>151</v>
      </c>
      <c r="K3508" s="141">
        <f t="shared" si="310"/>
        <v>60.81</v>
      </c>
    </row>
    <row r="3509" spans="6:18" ht="15.75">
      <c r="F3509" s="151"/>
      <c r="J3509" s="57"/>
      <c r="K3509" s="141"/>
      <c r="O3509" s="141" t="s">
        <v>2928</v>
      </c>
      <c r="R3509" s="52">
        <f>R3507</f>
        <v>94.878</v>
      </c>
    </row>
    <row r="3510" spans="6:18" ht="15.75">
      <c r="F3510" s="151">
        <v>3</v>
      </c>
      <c r="G3510" s="53" t="s">
        <v>151</v>
      </c>
      <c r="H3510" s="52" t="s">
        <v>2929</v>
      </c>
      <c r="I3510" s="52">
        <v>31.65</v>
      </c>
      <c r="J3510" s="57" t="s">
        <v>151</v>
      </c>
      <c r="K3510" s="141">
        <f t="shared" si="310"/>
        <v>94.949999999999989</v>
      </c>
      <c r="O3510" s="141" t="s">
        <v>2930</v>
      </c>
      <c r="R3510" s="52">
        <f>R3509/0.75</f>
        <v>126.504</v>
      </c>
    </row>
    <row r="3511" spans="6:18" ht="15.75">
      <c r="J3511" s="57"/>
      <c r="K3511" s="141"/>
    </row>
    <row r="3512" spans="6:18" ht="15.75">
      <c r="H3512" s="52" t="s">
        <v>2931</v>
      </c>
      <c r="J3512" s="57" t="s">
        <v>226</v>
      </c>
      <c r="K3512" s="141">
        <v>0.3</v>
      </c>
      <c r="O3512" s="65" t="s">
        <v>2932</v>
      </c>
    </row>
    <row r="3513" spans="6:18" ht="15.75">
      <c r="J3513" s="57"/>
      <c r="K3513" s="141"/>
    </row>
    <row r="3514" spans="6:18" ht="18">
      <c r="H3514" s="141" t="s">
        <v>2933</v>
      </c>
      <c r="J3514" s="57"/>
      <c r="K3514" s="242">
        <f>SUM(K3500:K3513)</f>
        <v>9963.5699999999979</v>
      </c>
      <c r="M3514" s="52">
        <v>1.8</v>
      </c>
      <c r="N3514" s="52" t="s">
        <v>154</v>
      </c>
      <c r="O3514" s="52" t="s">
        <v>2934</v>
      </c>
      <c r="P3514" s="52">
        <f>AG10</f>
        <v>1005.1999999999999</v>
      </c>
      <c r="Q3514" s="52" t="s">
        <v>340</v>
      </c>
      <c r="R3514" s="52">
        <f>P3514*M3514</f>
        <v>1809.36</v>
      </c>
    </row>
    <row r="3515" spans="6:18" ht="15.75">
      <c r="H3515" s="141" t="s">
        <v>2935</v>
      </c>
      <c r="J3515" s="57"/>
      <c r="K3515" s="65">
        <f>K3514/F3506</f>
        <v>3321.1899999999991</v>
      </c>
      <c r="M3515" s="52">
        <v>17.7</v>
      </c>
      <c r="N3515" s="52" t="s">
        <v>154</v>
      </c>
      <c r="O3515" s="52" t="s">
        <v>2936</v>
      </c>
      <c r="P3515" s="52">
        <f>AG11</f>
        <v>702.8</v>
      </c>
      <c r="Q3515" s="52" t="s">
        <v>340</v>
      </c>
      <c r="R3515" s="52">
        <f>P3515*M3515</f>
        <v>12439.56</v>
      </c>
    </row>
    <row r="3516" spans="6:18" ht="15.75">
      <c r="J3516" s="57"/>
      <c r="K3516" s="493" t="s">
        <v>156</v>
      </c>
      <c r="M3516" s="52">
        <v>14.1</v>
      </c>
      <c r="N3516" s="52" t="s">
        <v>154</v>
      </c>
      <c r="O3516" s="52" t="s">
        <v>2937</v>
      </c>
      <c r="P3516" s="52">
        <f>AG12</f>
        <v>576.79999999999995</v>
      </c>
      <c r="Q3516" s="52" t="s">
        <v>340</v>
      </c>
      <c r="R3516" s="52">
        <f>P3516*M3516</f>
        <v>8132.8799999999992</v>
      </c>
    </row>
    <row r="3518" spans="6:18" ht="15.75">
      <c r="O3518" s="141" t="s">
        <v>2938</v>
      </c>
      <c r="R3518" s="52">
        <f>SUM(R3514:R3517)</f>
        <v>22381.8</v>
      </c>
    </row>
    <row r="3519" spans="6:18" ht="15.75">
      <c r="O3519" s="141" t="s">
        <v>2930</v>
      </c>
      <c r="R3519" s="52">
        <f>R3518/10</f>
        <v>2238.1799999999998</v>
      </c>
    </row>
    <row r="3520" spans="6:18" ht="18">
      <c r="F3520" s="494"/>
      <c r="G3520" s="495"/>
      <c r="H3520" s="494" t="s">
        <v>2939</v>
      </c>
      <c r="I3520" s="494"/>
      <c r="J3520" s="496"/>
      <c r="O3520" s="141"/>
    </row>
    <row r="3521" spans="6:34" ht="18">
      <c r="H3521" s="247" t="s">
        <v>2940</v>
      </c>
      <c r="I3521" s="494">
        <v>2.56</v>
      </c>
      <c r="O3521" s="65" t="s">
        <v>2941</v>
      </c>
      <c r="R3521" s="65">
        <v>20.27</v>
      </c>
    </row>
    <row r="3522" spans="6:34" ht="18">
      <c r="F3522" s="494">
        <f>I3521</f>
        <v>2.56</v>
      </c>
      <c r="G3522" s="495" t="s">
        <v>152</v>
      </c>
      <c r="H3522" s="494" t="s">
        <v>2942</v>
      </c>
      <c r="I3522" s="497">
        <v>2211</v>
      </c>
      <c r="J3522" s="495" t="s">
        <v>152</v>
      </c>
      <c r="K3522" s="494">
        <f>I3522*F3522</f>
        <v>5660.16</v>
      </c>
    </row>
    <row r="3523" spans="6:34" ht="18">
      <c r="F3523" s="494">
        <f>F3522</f>
        <v>2.56</v>
      </c>
      <c r="G3523" s="495" t="s">
        <v>152</v>
      </c>
      <c r="H3523" s="494" t="s">
        <v>2943</v>
      </c>
      <c r="I3523" s="497">
        <v>248</v>
      </c>
      <c r="J3523" s="495" t="s">
        <v>152</v>
      </c>
      <c r="K3523" s="494">
        <f t="shared" ref="K3523:K3531" si="311">I3523*F3523</f>
        <v>634.88</v>
      </c>
    </row>
    <row r="3524" spans="6:34" ht="18">
      <c r="F3524" s="494">
        <v>4</v>
      </c>
      <c r="G3524" s="495" t="s">
        <v>4</v>
      </c>
      <c r="H3524" s="494" t="s">
        <v>2944</v>
      </c>
      <c r="I3524" s="494">
        <f>P3228</f>
        <v>50.9</v>
      </c>
      <c r="J3524" s="495" t="s">
        <v>4</v>
      </c>
      <c r="K3524" s="494">
        <f t="shared" si="311"/>
        <v>203.6</v>
      </c>
      <c r="M3524" s="494"/>
      <c r="N3524" s="495"/>
      <c r="O3524" s="498" t="s">
        <v>2945</v>
      </c>
      <c r="P3524" s="494"/>
      <c r="Q3524" s="496"/>
    </row>
    <row r="3525" spans="6:34" ht="18">
      <c r="F3525" s="494">
        <v>10</v>
      </c>
      <c r="G3525" s="495" t="s">
        <v>4</v>
      </c>
      <c r="H3525" s="494" t="s">
        <v>2946</v>
      </c>
      <c r="I3525" s="494">
        <f>P3229</f>
        <v>79.099999999999994</v>
      </c>
      <c r="J3525" s="495" t="s">
        <v>4</v>
      </c>
      <c r="K3525" s="494">
        <f t="shared" si="311"/>
        <v>791</v>
      </c>
      <c r="N3525" s="53"/>
      <c r="O3525" s="499" t="s">
        <v>2947</v>
      </c>
      <c r="P3525" s="499">
        <f>1.4*2.325</f>
        <v>3.2549999999999999</v>
      </c>
      <c r="Q3525" s="55"/>
    </row>
    <row r="3526" spans="6:34" ht="18">
      <c r="F3526" s="494">
        <v>3</v>
      </c>
      <c r="G3526" s="495" t="s">
        <v>4</v>
      </c>
      <c r="H3526" s="494" t="s">
        <v>2948</v>
      </c>
      <c r="I3526" s="494">
        <f>C284</f>
        <v>57.2</v>
      </c>
      <c r="J3526" s="495" t="s">
        <v>4</v>
      </c>
      <c r="K3526" s="494">
        <f t="shared" si="311"/>
        <v>171.60000000000002</v>
      </c>
      <c r="M3526" s="494">
        <f>P3525</f>
        <v>3.2549999999999999</v>
      </c>
      <c r="N3526" s="495" t="s">
        <v>152</v>
      </c>
      <c r="O3526" s="494" t="s">
        <v>2949</v>
      </c>
      <c r="P3526" s="494">
        <f>I3522</f>
        <v>2211</v>
      </c>
      <c r="Q3526" s="495" t="s">
        <v>152</v>
      </c>
      <c r="R3526" s="494">
        <f t="shared" ref="R3526:R3534" si="312">P3526*M3526</f>
        <v>7196.8049999999994</v>
      </c>
    </row>
    <row r="3527" spans="6:34" ht="18">
      <c r="F3527" s="494">
        <v>1</v>
      </c>
      <c r="G3527" s="495" t="s">
        <v>4</v>
      </c>
      <c r="H3527" s="494" t="s">
        <v>2950</v>
      </c>
      <c r="I3527" s="494">
        <f>C286</f>
        <v>159.69999999999999</v>
      </c>
      <c r="J3527" s="495" t="s">
        <v>4</v>
      </c>
      <c r="K3527" s="494">
        <f t="shared" si="311"/>
        <v>159.69999999999999</v>
      </c>
      <c r="M3527" s="494">
        <f>M3526</f>
        <v>3.2549999999999999</v>
      </c>
      <c r="N3527" s="495" t="s">
        <v>152</v>
      </c>
      <c r="O3527" s="494" t="s">
        <v>2951</v>
      </c>
      <c r="P3527" s="494">
        <f t="shared" ref="P3527:P3534" si="313">I3523</f>
        <v>248</v>
      </c>
      <c r="Q3527" s="495" t="s">
        <v>152</v>
      </c>
      <c r="R3527" s="494">
        <f t="shared" si="312"/>
        <v>807.24</v>
      </c>
    </row>
    <row r="3528" spans="6:34" ht="18">
      <c r="F3528" s="494">
        <v>162</v>
      </c>
      <c r="G3528" s="495" t="s">
        <v>4</v>
      </c>
      <c r="H3528" s="494" t="s">
        <v>2952</v>
      </c>
      <c r="I3528" s="494">
        <f>P3448</f>
        <v>2.37</v>
      </c>
      <c r="J3528" s="495" t="s">
        <v>4</v>
      </c>
      <c r="K3528" s="494">
        <f t="shared" si="311"/>
        <v>383.94</v>
      </c>
      <c r="M3528" s="494">
        <v>4</v>
      </c>
      <c r="N3528" s="495" t="s">
        <v>4</v>
      </c>
      <c r="O3528" s="494" t="s">
        <v>2953</v>
      </c>
      <c r="P3528" s="494">
        <f t="shared" si="313"/>
        <v>50.9</v>
      </c>
      <c r="Q3528" s="495" t="s">
        <v>4</v>
      </c>
      <c r="R3528" s="494">
        <f t="shared" si="312"/>
        <v>203.6</v>
      </c>
    </row>
    <row r="3529" spans="6:34" ht="18">
      <c r="F3529" s="494">
        <v>2</v>
      </c>
      <c r="G3529" s="495" t="s">
        <v>4</v>
      </c>
      <c r="H3529" s="494" t="s">
        <v>2954</v>
      </c>
      <c r="I3529" s="494">
        <f>P3197</f>
        <v>22.7</v>
      </c>
      <c r="J3529" s="495" t="s">
        <v>4</v>
      </c>
      <c r="K3529" s="494">
        <f t="shared" si="311"/>
        <v>45.4</v>
      </c>
      <c r="M3529" s="494">
        <v>10</v>
      </c>
      <c r="N3529" s="495" t="s">
        <v>4</v>
      </c>
      <c r="O3529" s="494" t="s">
        <v>2955</v>
      </c>
      <c r="P3529" s="494">
        <f t="shared" si="313"/>
        <v>79.099999999999994</v>
      </c>
      <c r="Q3529" s="495" t="s">
        <v>4</v>
      </c>
      <c r="R3529" s="494">
        <f t="shared" si="312"/>
        <v>791</v>
      </c>
    </row>
    <row r="3530" spans="6:34" ht="18">
      <c r="F3530" s="494">
        <v>2</v>
      </c>
      <c r="G3530" s="495" t="s">
        <v>4</v>
      </c>
      <c r="H3530" s="494" t="s">
        <v>2956</v>
      </c>
      <c r="I3530" s="494">
        <f>P3403</f>
        <v>43.8</v>
      </c>
      <c r="J3530" s="495" t="s">
        <v>4</v>
      </c>
      <c r="K3530" s="494">
        <f t="shared" si="311"/>
        <v>87.6</v>
      </c>
      <c r="M3530" s="494">
        <v>3</v>
      </c>
      <c r="N3530" s="495" t="s">
        <v>4</v>
      </c>
      <c r="O3530" s="494" t="s">
        <v>2957</v>
      </c>
      <c r="P3530" s="494">
        <f t="shared" si="313"/>
        <v>57.2</v>
      </c>
      <c r="Q3530" s="495" t="s">
        <v>4</v>
      </c>
      <c r="R3530" s="494">
        <f t="shared" si="312"/>
        <v>171.60000000000002</v>
      </c>
    </row>
    <row r="3531" spans="6:34" ht="18">
      <c r="F3531" s="500">
        <v>0.41099999999999998</v>
      </c>
      <c r="G3531" s="495" t="s">
        <v>152</v>
      </c>
      <c r="H3531" s="494" t="s">
        <v>2958</v>
      </c>
      <c r="I3531" s="494">
        <f>I1136</f>
        <v>206.33800000000002</v>
      </c>
      <c r="J3531" s="495" t="s">
        <v>152</v>
      </c>
      <c r="K3531" s="494">
        <f t="shared" si="311"/>
        <v>84.804918000000001</v>
      </c>
      <c r="M3531" s="494">
        <v>1</v>
      </c>
      <c r="N3531" s="495" t="s">
        <v>4</v>
      </c>
      <c r="O3531" s="494" t="s">
        <v>2915</v>
      </c>
      <c r="P3531" s="494">
        <f t="shared" si="313"/>
        <v>159.69999999999999</v>
      </c>
      <c r="Q3531" s="495" t="s">
        <v>4</v>
      </c>
      <c r="R3531" s="494">
        <f t="shared" si="312"/>
        <v>159.69999999999999</v>
      </c>
    </row>
    <row r="3532" spans="6:34" ht="18">
      <c r="F3532" s="494"/>
      <c r="G3532" s="495"/>
      <c r="H3532" s="494" t="s">
        <v>2959</v>
      </c>
      <c r="I3532" s="494"/>
      <c r="J3532" s="496"/>
      <c r="K3532" s="494">
        <f>SUM(K3522:K3531)</f>
        <v>8222.6849180000008</v>
      </c>
      <c r="M3532" s="494">
        <v>162</v>
      </c>
      <c r="N3532" s="495" t="s">
        <v>4</v>
      </c>
      <c r="O3532" s="494" t="s">
        <v>2952</v>
      </c>
      <c r="P3532" s="494">
        <f t="shared" si="313"/>
        <v>2.37</v>
      </c>
      <c r="Q3532" s="495" t="s">
        <v>4</v>
      </c>
      <c r="R3532" s="494">
        <f t="shared" si="312"/>
        <v>383.94</v>
      </c>
    </row>
    <row r="3533" spans="6:34" ht="18">
      <c r="F3533" s="494"/>
      <c r="G3533" s="495"/>
      <c r="H3533" s="494" t="s">
        <v>2462</v>
      </c>
      <c r="I3533" s="494"/>
      <c r="J3533" s="496"/>
      <c r="K3533" s="494">
        <f>K3532/F3523</f>
        <v>3211.9862960937503</v>
      </c>
      <c r="M3533" s="494">
        <v>2</v>
      </c>
      <c r="N3533" s="495" t="s">
        <v>4</v>
      </c>
      <c r="O3533" s="494" t="s">
        <v>2960</v>
      </c>
      <c r="P3533" s="494">
        <f t="shared" si="313"/>
        <v>22.7</v>
      </c>
      <c r="Q3533" s="495" t="s">
        <v>4</v>
      </c>
      <c r="R3533" s="494">
        <f t="shared" si="312"/>
        <v>45.4</v>
      </c>
    </row>
    <row r="3534" spans="6:34" ht="18">
      <c r="H3534" s="494"/>
      <c r="K3534" s="494"/>
      <c r="M3534" s="494">
        <v>2</v>
      </c>
      <c r="N3534" s="495" t="s">
        <v>4</v>
      </c>
      <c r="O3534" s="494" t="s">
        <v>2956</v>
      </c>
      <c r="P3534" s="494">
        <f t="shared" si="313"/>
        <v>43.8</v>
      </c>
      <c r="Q3534" s="495" t="s">
        <v>4</v>
      </c>
      <c r="R3534" s="494">
        <f t="shared" si="312"/>
        <v>87.6</v>
      </c>
    </row>
    <row r="3535" spans="6:34" ht="18">
      <c r="M3535" s="500">
        <v>0</v>
      </c>
      <c r="N3535" s="495" t="s">
        <v>152</v>
      </c>
      <c r="O3535" s="494" t="s">
        <v>2958</v>
      </c>
      <c r="P3535" s="494">
        <f>I3531</f>
        <v>206.33800000000002</v>
      </c>
      <c r="Q3535" s="495" t="s">
        <v>152</v>
      </c>
      <c r="R3535" s="494">
        <f>P3535*M3535</f>
        <v>0</v>
      </c>
    </row>
    <row r="3536" spans="6:34" ht="18">
      <c r="F3536" s="494"/>
      <c r="G3536" s="495"/>
      <c r="H3536" s="494" t="s">
        <v>2961</v>
      </c>
      <c r="I3536" s="494"/>
      <c r="J3536" s="496"/>
      <c r="M3536" s="494"/>
      <c r="N3536" s="495"/>
      <c r="O3536" s="494" t="s">
        <v>2962</v>
      </c>
      <c r="P3536" s="494"/>
      <c r="Q3536" s="496"/>
      <c r="R3536" s="494">
        <f>SUM(R3526:R3535)</f>
        <v>9846.8850000000002</v>
      </c>
      <c r="S3536" s="494"/>
      <c r="T3536" s="495"/>
      <c r="U3536" s="494" t="s">
        <v>2963</v>
      </c>
      <c r="V3536" s="494"/>
      <c r="W3536" s="496"/>
      <c r="AD3536" s="494"/>
      <c r="AE3536" s="495"/>
      <c r="AF3536" s="494" t="s">
        <v>2964</v>
      </c>
      <c r="AG3536" s="494"/>
      <c r="AH3536" s="496"/>
    </row>
    <row r="3537" spans="6:35" ht="18">
      <c r="H3537" s="494" t="s">
        <v>2965</v>
      </c>
      <c r="I3537" s="52">
        <f>0.9*2.025</f>
        <v>1.8225</v>
      </c>
      <c r="M3537" s="494"/>
      <c r="N3537" s="495"/>
      <c r="O3537" s="494" t="s">
        <v>2462</v>
      </c>
      <c r="P3537" s="494"/>
      <c r="Q3537" s="496"/>
      <c r="R3537" s="494">
        <f>R3536/M3527</f>
        <v>3025.1566820276498</v>
      </c>
      <c r="S3537" s="52"/>
      <c r="T3537" s="53"/>
      <c r="U3537" s="494" t="s">
        <v>2966</v>
      </c>
      <c r="V3537" s="52">
        <f>0.9*2.325</f>
        <v>2.0925000000000002</v>
      </c>
      <c r="W3537" s="55"/>
      <c r="AE3537" s="53"/>
      <c r="AF3537" s="494" t="s">
        <v>2965</v>
      </c>
      <c r="AG3537" s="52">
        <f>0.8*2.025</f>
        <v>1.62</v>
      </c>
      <c r="AH3537" s="55"/>
    </row>
    <row r="3538" spans="6:35" ht="18">
      <c r="F3538" s="494">
        <f>I3537</f>
        <v>1.8225</v>
      </c>
      <c r="G3538" s="495" t="s">
        <v>152</v>
      </c>
      <c r="H3538" s="494" t="s">
        <v>2967</v>
      </c>
      <c r="I3538" s="497">
        <v>2211</v>
      </c>
      <c r="J3538" s="495" t="s">
        <v>152</v>
      </c>
      <c r="K3538" s="494">
        <f>I3538*F3538</f>
        <v>4029.5475000000001</v>
      </c>
      <c r="Q3538" s="495"/>
      <c r="R3538" s="498"/>
      <c r="S3538" s="494">
        <f>V3537</f>
        <v>2.0925000000000002</v>
      </c>
      <c r="T3538" s="495" t="s">
        <v>152</v>
      </c>
      <c r="U3538" s="494" t="s">
        <v>2967</v>
      </c>
      <c r="V3538" s="494">
        <f>I3538</f>
        <v>2211</v>
      </c>
      <c r="W3538" s="495" t="s">
        <v>152</v>
      </c>
      <c r="X3538" s="494">
        <f>V3538*S3538</f>
        <v>4626.5175000000008</v>
      </c>
      <c r="Y3538" s="494"/>
      <c r="AD3538" s="494">
        <f>AG3537</f>
        <v>1.62</v>
      </c>
      <c r="AE3538" s="495" t="s">
        <v>152</v>
      </c>
      <c r="AF3538" s="494" t="s">
        <v>2968</v>
      </c>
      <c r="AG3538" s="497">
        <f>I3522</f>
        <v>2211</v>
      </c>
      <c r="AH3538" s="495" t="s">
        <v>152</v>
      </c>
      <c r="AI3538" s="494">
        <f>AG3538*AD3538</f>
        <v>3581.82</v>
      </c>
    </row>
    <row r="3539" spans="6:35" ht="18">
      <c r="F3539" s="494">
        <f>I3537</f>
        <v>1.8225</v>
      </c>
      <c r="G3539" s="495" t="s">
        <v>152</v>
      </c>
      <c r="H3539" s="494" t="s">
        <v>2969</v>
      </c>
      <c r="I3539" s="497">
        <v>161</v>
      </c>
      <c r="J3539" s="495" t="s">
        <v>152</v>
      </c>
      <c r="K3539" s="494">
        <f t="shared" ref="K3539:K3546" si="314">I3539*F3539</f>
        <v>293.42250000000001</v>
      </c>
      <c r="S3539" s="494">
        <f>V3537</f>
        <v>2.0925000000000002</v>
      </c>
      <c r="T3539" s="495" t="s">
        <v>152</v>
      </c>
      <c r="U3539" s="494" t="s">
        <v>2970</v>
      </c>
      <c r="V3539" s="494">
        <f t="shared" ref="V3539:V3547" si="315">I3539</f>
        <v>161</v>
      </c>
      <c r="W3539" s="495" t="s">
        <v>152</v>
      </c>
      <c r="X3539" s="494">
        <f t="shared" ref="X3539:X3546" si="316">V3539*S3539</f>
        <v>336.89250000000004</v>
      </c>
      <c r="Y3539" s="494"/>
      <c r="AD3539" s="494">
        <f>AG3537</f>
        <v>1.62</v>
      </c>
      <c r="AE3539" s="495" t="s">
        <v>152</v>
      </c>
      <c r="AF3539" s="494" t="s">
        <v>2971</v>
      </c>
      <c r="AG3539" s="497">
        <f>I3539</f>
        <v>161</v>
      </c>
      <c r="AH3539" s="495" t="s">
        <v>152</v>
      </c>
      <c r="AI3539" s="494">
        <f t="shared" ref="AI3539:AI3546" si="317">AG3539*AD3539</f>
        <v>260.82</v>
      </c>
    </row>
    <row r="3540" spans="6:35" ht="18">
      <c r="F3540" s="494">
        <v>2</v>
      </c>
      <c r="G3540" s="495" t="s">
        <v>4</v>
      </c>
      <c r="H3540" s="494" t="s">
        <v>2953</v>
      </c>
      <c r="I3540" s="494">
        <f t="shared" ref="I3540:I3546" si="318">I3524</f>
        <v>50.9</v>
      </c>
      <c r="J3540" s="495" t="s">
        <v>4</v>
      </c>
      <c r="K3540" s="494">
        <f t="shared" si="314"/>
        <v>101.8</v>
      </c>
      <c r="M3540" s="494"/>
      <c r="N3540" s="495"/>
      <c r="O3540" s="494" t="s">
        <v>2972</v>
      </c>
      <c r="P3540" s="494"/>
      <c r="Q3540" s="496"/>
      <c r="S3540" s="494">
        <v>2</v>
      </c>
      <c r="T3540" s="495" t="s">
        <v>4</v>
      </c>
      <c r="U3540" s="494" t="s">
        <v>2953</v>
      </c>
      <c r="V3540" s="494">
        <f t="shared" si="315"/>
        <v>50.9</v>
      </c>
      <c r="W3540" s="495" t="s">
        <v>4</v>
      </c>
      <c r="X3540" s="494">
        <f t="shared" si="316"/>
        <v>101.8</v>
      </c>
      <c r="Y3540" s="494"/>
      <c r="AD3540" s="494">
        <v>2</v>
      </c>
      <c r="AE3540" s="495" t="s">
        <v>4</v>
      </c>
      <c r="AF3540" s="494" t="s">
        <v>2953</v>
      </c>
      <c r="AG3540" s="497">
        <f t="shared" ref="AG3540:AG3547" si="319">I3540</f>
        <v>50.9</v>
      </c>
      <c r="AH3540" s="495" t="s">
        <v>4</v>
      </c>
      <c r="AI3540" s="494">
        <f t="shared" si="317"/>
        <v>101.8</v>
      </c>
    </row>
    <row r="3541" spans="6:35" ht="18">
      <c r="F3541" s="494">
        <v>5</v>
      </c>
      <c r="G3541" s="495" t="s">
        <v>4</v>
      </c>
      <c r="H3541" s="494" t="s">
        <v>2955</v>
      </c>
      <c r="I3541" s="494">
        <f t="shared" si="318"/>
        <v>79.099999999999994</v>
      </c>
      <c r="J3541" s="495" t="s">
        <v>4</v>
      </c>
      <c r="K3541" s="494">
        <f t="shared" si="314"/>
        <v>395.5</v>
      </c>
      <c r="N3541" s="53"/>
      <c r="O3541" s="499" t="s">
        <v>2973</v>
      </c>
      <c r="P3541" s="499">
        <f>1.1*2.325</f>
        <v>2.5575000000000006</v>
      </c>
      <c r="Q3541" s="55"/>
      <c r="S3541" s="494">
        <v>6</v>
      </c>
      <c r="T3541" s="495" t="s">
        <v>4</v>
      </c>
      <c r="U3541" s="494" t="s">
        <v>2955</v>
      </c>
      <c r="V3541" s="494">
        <f t="shared" si="315"/>
        <v>79.099999999999994</v>
      </c>
      <c r="W3541" s="495" t="s">
        <v>4</v>
      </c>
      <c r="X3541" s="494">
        <f t="shared" si="316"/>
        <v>474.59999999999997</v>
      </c>
      <c r="Y3541" s="494"/>
      <c r="AD3541" s="494">
        <v>5</v>
      </c>
      <c r="AE3541" s="495" t="s">
        <v>4</v>
      </c>
      <c r="AF3541" s="494" t="s">
        <v>2955</v>
      </c>
      <c r="AG3541" s="497">
        <f t="shared" si="319"/>
        <v>79.099999999999994</v>
      </c>
      <c r="AH3541" s="495" t="s">
        <v>4</v>
      </c>
      <c r="AI3541" s="494">
        <f t="shared" si="317"/>
        <v>395.5</v>
      </c>
    </row>
    <row r="3542" spans="6:35" ht="18">
      <c r="F3542" s="494">
        <v>2</v>
      </c>
      <c r="G3542" s="495" t="s">
        <v>4</v>
      </c>
      <c r="H3542" s="494" t="s">
        <v>2957</v>
      </c>
      <c r="I3542" s="494">
        <f t="shared" si="318"/>
        <v>57.2</v>
      </c>
      <c r="J3542" s="495" t="s">
        <v>4</v>
      </c>
      <c r="K3542" s="494">
        <f t="shared" si="314"/>
        <v>114.4</v>
      </c>
      <c r="M3542" s="494">
        <f>P3541</f>
        <v>2.5575000000000006</v>
      </c>
      <c r="N3542" s="495" t="s">
        <v>152</v>
      </c>
      <c r="O3542" s="494" t="s">
        <v>2967</v>
      </c>
      <c r="P3542" s="494">
        <f>I3538</f>
        <v>2211</v>
      </c>
      <c r="Q3542" s="495" t="s">
        <v>152</v>
      </c>
      <c r="R3542" s="494">
        <f>P3542*M3542</f>
        <v>5654.6325000000015</v>
      </c>
      <c r="S3542" s="494">
        <v>2</v>
      </c>
      <c r="T3542" s="495" t="s">
        <v>4</v>
      </c>
      <c r="U3542" s="494" t="s">
        <v>2957</v>
      </c>
      <c r="V3542" s="494">
        <f t="shared" si="315"/>
        <v>57.2</v>
      </c>
      <c r="W3542" s="495" t="s">
        <v>4</v>
      </c>
      <c r="X3542" s="494">
        <f t="shared" si="316"/>
        <v>114.4</v>
      </c>
      <c r="Y3542" s="494"/>
      <c r="AD3542" s="494">
        <v>2</v>
      </c>
      <c r="AE3542" s="495" t="s">
        <v>4</v>
      </c>
      <c r="AF3542" s="494" t="s">
        <v>2957</v>
      </c>
      <c r="AG3542" s="497">
        <f t="shared" si="319"/>
        <v>57.2</v>
      </c>
      <c r="AH3542" s="495" t="s">
        <v>4</v>
      </c>
      <c r="AI3542" s="494">
        <f t="shared" si="317"/>
        <v>114.4</v>
      </c>
    </row>
    <row r="3543" spans="6:35" ht="18">
      <c r="F3543" s="494">
        <v>1</v>
      </c>
      <c r="G3543" s="495" t="s">
        <v>4</v>
      </c>
      <c r="H3543" s="494" t="s">
        <v>2915</v>
      </c>
      <c r="I3543" s="494">
        <f t="shared" si="318"/>
        <v>159.69999999999999</v>
      </c>
      <c r="J3543" s="495" t="s">
        <v>4</v>
      </c>
      <c r="K3543" s="494">
        <f t="shared" si="314"/>
        <v>159.69999999999999</v>
      </c>
      <c r="M3543" s="494">
        <f>P3541</f>
        <v>2.5575000000000006</v>
      </c>
      <c r="N3543" s="495" t="s">
        <v>152</v>
      </c>
      <c r="O3543" s="494" t="s">
        <v>2974</v>
      </c>
      <c r="P3543" s="494">
        <v>122</v>
      </c>
      <c r="Q3543" s="495" t="s">
        <v>152</v>
      </c>
      <c r="R3543" s="494">
        <f t="shared" ref="R3543:R3551" si="320">P3543*M3543</f>
        <v>312.01500000000004</v>
      </c>
      <c r="S3543" s="494">
        <v>1</v>
      </c>
      <c r="T3543" s="495" t="s">
        <v>4</v>
      </c>
      <c r="U3543" s="494" t="s">
        <v>2915</v>
      </c>
      <c r="V3543" s="494">
        <f t="shared" si="315"/>
        <v>159.69999999999999</v>
      </c>
      <c r="W3543" s="495" t="s">
        <v>4</v>
      </c>
      <c r="X3543" s="494">
        <f t="shared" si="316"/>
        <v>159.69999999999999</v>
      </c>
      <c r="Y3543" s="494"/>
      <c r="AD3543" s="494">
        <v>1</v>
      </c>
      <c r="AE3543" s="495" t="s">
        <v>4</v>
      </c>
      <c r="AF3543" s="494" t="s">
        <v>2915</v>
      </c>
      <c r="AG3543" s="497">
        <f t="shared" si="319"/>
        <v>159.69999999999999</v>
      </c>
      <c r="AH3543" s="495" t="s">
        <v>4</v>
      </c>
      <c r="AI3543" s="494">
        <f t="shared" si="317"/>
        <v>159.69999999999999</v>
      </c>
    </row>
    <row r="3544" spans="6:35" ht="18">
      <c r="F3544" s="494">
        <v>92</v>
      </c>
      <c r="G3544" s="495" t="s">
        <v>4</v>
      </c>
      <c r="H3544" s="494" t="s">
        <v>2952</v>
      </c>
      <c r="I3544" s="494">
        <f t="shared" si="318"/>
        <v>2.37</v>
      </c>
      <c r="J3544" s="495" t="s">
        <v>4</v>
      </c>
      <c r="K3544" s="494">
        <f t="shared" si="314"/>
        <v>218.04000000000002</v>
      </c>
      <c r="M3544" s="494">
        <v>2</v>
      </c>
      <c r="N3544" s="495" t="s">
        <v>4</v>
      </c>
      <c r="O3544" s="494" t="s">
        <v>2953</v>
      </c>
      <c r="P3544" s="494">
        <f t="shared" ref="P3544:P3550" si="321">P3528</f>
        <v>50.9</v>
      </c>
      <c r="Q3544" s="495" t="s">
        <v>4</v>
      </c>
      <c r="R3544" s="494">
        <f t="shared" si="320"/>
        <v>101.8</v>
      </c>
      <c r="S3544" s="494">
        <v>92</v>
      </c>
      <c r="T3544" s="495" t="s">
        <v>4</v>
      </c>
      <c r="U3544" s="494" t="s">
        <v>2952</v>
      </c>
      <c r="V3544" s="494">
        <f t="shared" si="315"/>
        <v>2.37</v>
      </c>
      <c r="W3544" s="495" t="s">
        <v>4</v>
      </c>
      <c r="X3544" s="494">
        <f t="shared" si="316"/>
        <v>218.04000000000002</v>
      </c>
      <c r="Y3544" s="494"/>
      <c r="AD3544" s="494">
        <v>92</v>
      </c>
      <c r="AE3544" s="495" t="s">
        <v>4</v>
      </c>
      <c r="AF3544" s="494" t="s">
        <v>2952</v>
      </c>
      <c r="AG3544" s="497">
        <f t="shared" si="319"/>
        <v>2.37</v>
      </c>
      <c r="AH3544" s="495" t="s">
        <v>4</v>
      </c>
      <c r="AI3544" s="494">
        <f t="shared" si="317"/>
        <v>218.04000000000002</v>
      </c>
    </row>
    <row r="3545" spans="6:35" ht="18">
      <c r="F3545" s="494">
        <v>1</v>
      </c>
      <c r="G3545" s="495" t="s">
        <v>4</v>
      </c>
      <c r="H3545" s="494" t="s">
        <v>2960</v>
      </c>
      <c r="I3545" s="494">
        <f t="shared" si="318"/>
        <v>22.7</v>
      </c>
      <c r="J3545" s="495" t="s">
        <v>4</v>
      </c>
      <c r="K3545" s="494">
        <f t="shared" si="314"/>
        <v>22.7</v>
      </c>
      <c r="M3545" s="494">
        <v>5</v>
      </c>
      <c r="N3545" s="495" t="s">
        <v>4</v>
      </c>
      <c r="O3545" s="494" t="s">
        <v>2955</v>
      </c>
      <c r="P3545" s="494">
        <f t="shared" si="321"/>
        <v>79.099999999999994</v>
      </c>
      <c r="Q3545" s="495" t="s">
        <v>4</v>
      </c>
      <c r="R3545" s="494">
        <f t="shared" si="320"/>
        <v>395.5</v>
      </c>
      <c r="S3545" s="494">
        <v>1</v>
      </c>
      <c r="T3545" s="495" t="s">
        <v>4</v>
      </c>
      <c r="U3545" s="494" t="s">
        <v>2960</v>
      </c>
      <c r="V3545" s="494">
        <f t="shared" si="315"/>
        <v>22.7</v>
      </c>
      <c r="W3545" s="495" t="s">
        <v>4</v>
      </c>
      <c r="X3545" s="494">
        <f t="shared" si="316"/>
        <v>22.7</v>
      </c>
      <c r="Y3545" s="494"/>
      <c r="AD3545" s="494">
        <v>1</v>
      </c>
      <c r="AE3545" s="495" t="s">
        <v>4</v>
      </c>
      <c r="AF3545" s="494" t="s">
        <v>2960</v>
      </c>
      <c r="AG3545" s="497">
        <f t="shared" si="319"/>
        <v>22.7</v>
      </c>
      <c r="AH3545" s="495" t="s">
        <v>4</v>
      </c>
      <c r="AI3545" s="494">
        <f t="shared" si="317"/>
        <v>22.7</v>
      </c>
    </row>
    <row r="3546" spans="6:35" ht="18">
      <c r="F3546" s="494">
        <v>1</v>
      </c>
      <c r="G3546" s="495" t="s">
        <v>4</v>
      </c>
      <c r="H3546" s="494" t="s">
        <v>2956</v>
      </c>
      <c r="I3546" s="494">
        <f t="shared" si="318"/>
        <v>43.8</v>
      </c>
      <c r="J3546" s="495" t="s">
        <v>4</v>
      </c>
      <c r="K3546" s="494">
        <f t="shared" si="314"/>
        <v>43.8</v>
      </c>
      <c r="M3546" s="494">
        <v>2</v>
      </c>
      <c r="N3546" s="495" t="s">
        <v>4</v>
      </c>
      <c r="O3546" s="494" t="s">
        <v>2957</v>
      </c>
      <c r="P3546" s="494">
        <f t="shared" si="321"/>
        <v>57.2</v>
      </c>
      <c r="Q3546" s="495" t="s">
        <v>4</v>
      </c>
      <c r="R3546" s="494">
        <f t="shared" si="320"/>
        <v>114.4</v>
      </c>
      <c r="S3546" s="494">
        <v>1</v>
      </c>
      <c r="T3546" s="495" t="s">
        <v>4</v>
      </c>
      <c r="U3546" s="494" t="s">
        <v>2956</v>
      </c>
      <c r="V3546" s="494">
        <f t="shared" si="315"/>
        <v>43.8</v>
      </c>
      <c r="W3546" s="495" t="s">
        <v>4</v>
      </c>
      <c r="X3546" s="494">
        <f t="shared" si="316"/>
        <v>43.8</v>
      </c>
      <c r="Y3546" s="494"/>
      <c r="AD3546" s="494">
        <v>1</v>
      </c>
      <c r="AE3546" s="495" t="s">
        <v>4</v>
      </c>
      <c r="AF3546" s="494" t="s">
        <v>2956</v>
      </c>
      <c r="AG3546" s="497">
        <f t="shared" si="319"/>
        <v>43.8</v>
      </c>
      <c r="AH3546" s="495" t="s">
        <v>4</v>
      </c>
      <c r="AI3546" s="494">
        <f t="shared" si="317"/>
        <v>43.8</v>
      </c>
    </row>
    <row r="3547" spans="6:35" ht="18">
      <c r="F3547" s="501">
        <v>0.35</v>
      </c>
      <c r="G3547" s="502" t="s">
        <v>152</v>
      </c>
      <c r="H3547" s="497" t="s">
        <v>2975</v>
      </c>
      <c r="I3547" s="497">
        <f>K1540</f>
        <v>244.32330000000002</v>
      </c>
      <c r="J3547" s="502" t="s">
        <v>152</v>
      </c>
      <c r="K3547" s="497"/>
      <c r="M3547" s="494">
        <v>1</v>
      </c>
      <c r="N3547" s="495" t="s">
        <v>4</v>
      </c>
      <c r="O3547" s="494" t="s">
        <v>2915</v>
      </c>
      <c r="P3547" s="494">
        <f t="shared" si="321"/>
        <v>159.69999999999999</v>
      </c>
      <c r="Q3547" s="495" t="s">
        <v>4</v>
      </c>
      <c r="R3547" s="494">
        <f t="shared" si="320"/>
        <v>159.69999999999999</v>
      </c>
      <c r="S3547" s="501">
        <v>0.39</v>
      </c>
      <c r="T3547" s="502" t="s">
        <v>152</v>
      </c>
      <c r="U3547" s="497" t="s">
        <v>2975</v>
      </c>
      <c r="V3547" s="494">
        <f t="shared" si="315"/>
        <v>244.32330000000002</v>
      </c>
      <c r="W3547" s="502" t="s">
        <v>152</v>
      </c>
      <c r="X3547" s="497"/>
      <c r="Y3547" s="497"/>
      <c r="AD3547" s="501">
        <v>0.35</v>
      </c>
      <c r="AE3547" s="502" t="s">
        <v>152</v>
      </c>
      <c r="AF3547" s="497" t="s">
        <v>2975</v>
      </c>
      <c r="AG3547" s="497">
        <f t="shared" si="319"/>
        <v>244.32330000000002</v>
      </c>
      <c r="AH3547" s="502" t="s">
        <v>152</v>
      </c>
      <c r="AI3547" s="494"/>
    </row>
    <row r="3548" spans="6:35" ht="18">
      <c r="F3548" s="494"/>
      <c r="G3548" s="495"/>
      <c r="H3548" s="494" t="s">
        <v>2976</v>
      </c>
      <c r="I3548" s="494"/>
      <c r="J3548" s="496"/>
      <c r="K3548" s="494">
        <f>SUM(K3538:K3547)</f>
        <v>5378.91</v>
      </c>
      <c r="M3548" s="494">
        <v>92</v>
      </c>
      <c r="N3548" s="495" t="s">
        <v>4</v>
      </c>
      <c r="O3548" s="494" t="s">
        <v>2952</v>
      </c>
      <c r="P3548" s="494">
        <f t="shared" si="321"/>
        <v>2.37</v>
      </c>
      <c r="Q3548" s="495" t="s">
        <v>4</v>
      </c>
      <c r="R3548" s="494">
        <f t="shared" si="320"/>
        <v>218.04000000000002</v>
      </c>
      <c r="S3548" s="494"/>
      <c r="T3548" s="495"/>
      <c r="U3548" s="494" t="s">
        <v>2977</v>
      </c>
      <c r="V3548" s="494"/>
      <c r="W3548" s="496"/>
      <c r="X3548" s="494">
        <f>SUM(X3538:X3547)</f>
        <v>6098.4500000000007</v>
      </c>
      <c r="Y3548" s="494"/>
      <c r="AD3548" s="494"/>
      <c r="AE3548" s="495"/>
      <c r="AF3548" s="494" t="s">
        <v>2978</v>
      </c>
      <c r="AG3548" s="494"/>
      <c r="AH3548" s="496"/>
      <c r="AI3548" s="494">
        <f>SUM(AI3538:AI3547)</f>
        <v>4898.58</v>
      </c>
    </row>
    <row r="3549" spans="6:35" ht="18">
      <c r="F3549" s="494"/>
      <c r="G3549" s="495"/>
      <c r="H3549" s="494" t="s">
        <v>2462</v>
      </c>
      <c r="I3549" s="494"/>
      <c r="J3549" s="496"/>
      <c r="K3549" s="494">
        <f>K3548/F3539</f>
        <v>2951.3909465020574</v>
      </c>
      <c r="M3549" s="494">
        <v>1</v>
      </c>
      <c r="N3549" s="495" t="s">
        <v>4</v>
      </c>
      <c r="O3549" s="494" t="s">
        <v>2960</v>
      </c>
      <c r="P3549" s="494">
        <f t="shared" si="321"/>
        <v>22.7</v>
      </c>
      <c r="Q3549" s="495" t="s">
        <v>4</v>
      </c>
      <c r="R3549" s="494">
        <f t="shared" si="320"/>
        <v>22.7</v>
      </c>
      <c r="S3549" s="494"/>
      <c r="T3549" s="495"/>
      <c r="U3549" s="494" t="s">
        <v>2462</v>
      </c>
      <c r="V3549" s="494"/>
      <c r="W3549" s="496"/>
      <c r="X3549" s="494">
        <f>X3548/S3539</f>
        <v>2914.432497013142</v>
      </c>
      <c r="Y3549" s="494"/>
      <c r="AD3549" s="494"/>
      <c r="AE3549" s="495"/>
      <c r="AF3549" s="494" t="s">
        <v>2462</v>
      </c>
      <c r="AG3549" s="494"/>
      <c r="AH3549" s="496"/>
      <c r="AI3549" s="494">
        <f>AI3548/AD3539</f>
        <v>3023.8148148148148</v>
      </c>
    </row>
    <row r="3550" spans="6:35" ht="18">
      <c r="M3550" s="494">
        <v>1</v>
      </c>
      <c r="N3550" s="495" t="s">
        <v>4</v>
      </c>
      <c r="O3550" s="494" t="s">
        <v>2956</v>
      </c>
      <c r="P3550" s="494">
        <f t="shared" si="321"/>
        <v>43.8</v>
      </c>
      <c r="Q3550" s="495" t="s">
        <v>4</v>
      </c>
      <c r="R3550" s="494">
        <f t="shared" si="320"/>
        <v>43.8</v>
      </c>
      <c r="AE3550" s="53"/>
      <c r="AH3550" s="55"/>
    </row>
    <row r="3551" spans="6:35" ht="18">
      <c r="M3551" s="500"/>
      <c r="N3551" s="495" t="s">
        <v>152</v>
      </c>
      <c r="O3551" s="494" t="s">
        <v>2958</v>
      </c>
      <c r="P3551" s="494">
        <f>P3535</f>
        <v>206.33800000000002</v>
      </c>
      <c r="Q3551" s="495" t="s">
        <v>152</v>
      </c>
      <c r="R3551" s="494">
        <f t="shared" si="320"/>
        <v>0</v>
      </c>
    </row>
    <row r="3552" spans="6:35" ht="18">
      <c r="F3552" s="101"/>
      <c r="G3552" s="62" t="s">
        <v>249</v>
      </c>
      <c r="H3552" s="50" t="s">
        <v>2208</v>
      </c>
      <c r="M3552" s="494"/>
      <c r="N3552" s="495"/>
      <c r="O3552" s="494" t="s">
        <v>2979</v>
      </c>
      <c r="P3552" s="494"/>
      <c r="Q3552" s="496"/>
      <c r="R3552" s="494">
        <f>SUM(R3542:R3551)</f>
        <v>7022.5875000000015</v>
      </c>
      <c r="S3552" s="494"/>
      <c r="T3552" s="495"/>
      <c r="U3552" s="494" t="s">
        <v>2980</v>
      </c>
      <c r="V3552" s="494"/>
      <c r="W3552" s="496"/>
    </row>
    <row r="3553" spans="6:25" ht="18">
      <c r="H3553" s="54" t="s">
        <v>2981</v>
      </c>
      <c r="M3553" s="494"/>
      <c r="N3553" s="495"/>
      <c r="O3553" s="494" t="s">
        <v>2462</v>
      </c>
      <c r="P3553" s="494"/>
      <c r="Q3553" s="496"/>
      <c r="R3553" s="494">
        <f>R3552/M3543</f>
        <v>2745.8797653958945</v>
      </c>
      <c r="S3553" s="52"/>
      <c r="T3553" s="53"/>
      <c r="U3553" s="494" t="s">
        <v>2982</v>
      </c>
      <c r="V3553" s="52">
        <f>1.4*2.025</f>
        <v>2.8349999999999995</v>
      </c>
      <c r="W3553" s="55"/>
    </row>
    <row r="3554" spans="6:25" ht="18">
      <c r="H3554" s="50" t="s">
        <v>2210</v>
      </c>
      <c r="N3554" s="53"/>
      <c r="Q3554" s="55"/>
      <c r="S3554" s="494">
        <f>V3553</f>
        <v>2.8349999999999995</v>
      </c>
      <c r="T3554" s="495" t="s">
        <v>152</v>
      </c>
      <c r="U3554" s="494" t="s">
        <v>2967</v>
      </c>
      <c r="V3554" s="494">
        <f>P3526</f>
        <v>2211</v>
      </c>
      <c r="W3554" s="495" t="s">
        <v>152</v>
      </c>
      <c r="X3554" s="494">
        <f>V3554*S3554</f>
        <v>6268.1849999999986</v>
      </c>
      <c r="Y3554" s="494"/>
    </row>
    <row r="3555" spans="6:25" ht="18">
      <c r="H3555" s="50" t="s">
        <v>2211</v>
      </c>
      <c r="S3555" s="494">
        <f>V3553</f>
        <v>2.8349999999999995</v>
      </c>
      <c r="T3555" s="495" t="s">
        <v>152</v>
      </c>
      <c r="U3555" s="494" t="s">
        <v>2970</v>
      </c>
      <c r="V3555" s="494">
        <f>P3527</f>
        <v>248</v>
      </c>
      <c r="W3555" s="495" t="s">
        <v>152</v>
      </c>
      <c r="X3555" s="494">
        <f t="shared" ref="X3555:X3563" si="322">V3555*S3555</f>
        <v>703.07999999999993</v>
      </c>
      <c r="Y3555" s="494"/>
    </row>
    <row r="3556" spans="6:25" ht="18">
      <c r="H3556" s="59" t="s">
        <v>21</v>
      </c>
      <c r="S3556" s="494">
        <v>4</v>
      </c>
      <c r="T3556" s="495" t="s">
        <v>4</v>
      </c>
      <c r="U3556" s="494" t="s">
        <v>2953</v>
      </c>
      <c r="V3556" s="494">
        <f t="shared" ref="V3556:V3563" si="323">V3540</f>
        <v>50.9</v>
      </c>
      <c r="W3556" s="495" t="s">
        <v>4</v>
      </c>
      <c r="X3556" s="494">
        <f t="shared" si="322"/>
        <v>203.6</v>
      </c>
      <c r="Y3556" s="494"/>
    </row>
    <row r="3557" spans="6:25" ht="63">
      <c r="F3557" s="301">
        <v>1</v>
      </c>
      <c r="G3557" s="301" t="s">
        <v>153</v>
      </c>
      <c r="H3557" s="112" t="s">
        <v>2983</v>
      </c>
      <c r="I3557" s="503">
        <v>1640</v>
      </c>
      <c r="J3557" s="303" t="s">
        <v>153</v>
      </c>
      <c r="K3557" s="301">
        <f>(F3557*I3557)</f>
        <v>1640</v>
      </c>
      <c r="S3557" s="494">
        <v>10</v>
      </c>
      <c r="T3557" s="495" t="s">
        <v>4</v>
      </c>
      <c r="U3557" s="494" t="s">
        <v>2955</v>
      </c>
      <c r="V3557" s="494">
        <f t="shared" si="323"/>
        <v>79.099999999999994</v>
      </c>
      <c r="W3557" s="495" t="s">
        <v>4</v>
      </c>
      <c r="X3557" s="494">
        <f t="shared" si="322"/>
        <v>791</v>
      </c>
      <c r="Y3557" s="494"/>
    </row>
    <row r="3558" spans="6:25" ht="18">
      <c r="F3558" s="64"/>
      <c r="G3558" s="62"/>
      <c r="H3558" s="102"/>
      <c r="I3558" s="64"/>
      <c r="J3558" s="50"/>
      <c r="K3558" s="64"/>
      <c r="S3558" s="494">
        <v>3</v>
      </c>
      <c r="T3558" s="495" t="s">
        <v>4</v>
      </c>
      <c r="U3558" s="494" t="s">
        <v>2957</v>
      </c>
      <c r="V3558" s="494">
        <f t="shared" si="323"/>
        <v>57.2</v>
      </c>
      <c r="W3558" s="495" t="s">
        <v>4</v>
      </c>
      <c r="X3558" s="494">
        <f t="shared" si="322"/>
        <v>171.60000000000002</v>
      </c>
      <c r="Y3558" s="494"/>
    </row>
    <row r="3559" spans="6:25" ht="18">
      <c r="F3559" s="64"/>
      <c r="G3559" s="62"/>
      <c r="H3559" s="102"/>
      <c r="I3559" s="64"/>
      <c r="J3559" s="51"/>
      <c r="K3559" s="64"/>
      <c r="S3559" s="494">
        <v>1</v>
      </c>
      <c r="T3559" s="495" t="s">
        <v>4</v>
      </c>
      <c r="U3559" s="494" t="s">
        <v>2915</v>
      </c>
      <c r="V3559" s="494">
        <f t="shared" si="323"/>
        <v>159.69999999999999</v>
      </c>
      <c r="W3559" s="495" t="s">
        <v>4</v>
      </c>
      <c r="X3559" s="494">
        <f t="shared" si="322"/>
        <v>159.69999999999999</v>
      </c>
      <c r="Y3559" s="494"/>
    </row>
    <row r="3560" spans="6:25" ht="18">
      <c r="F3560" s="304">
        <v>1</v>
      </c>
      <c r="G3560" s="304" t="s">
        <v>153</v>
      </c>
      <c r="H3560" s="102" t="s">
        <v>2984</v>
      </c>
      <c r="I3560" s="317">
        <f>I1939</f>
        <v>-166</v>
      </c>
      <c r="J3560" s="102" t="s">
        <v>153</v>
      </c>
      <c r="K3560" s="304">
        <f>(F3560*I3560)</f>
        <v>-166</v>
      </c>
      <c r="S3560" s="494">
        <v>162</v>
      </c>
      <c r="T3560" s="495" t="s">
        <v>4</v>
      </c>
      <c r="U3560" s="494" t="s">
        <v>2952</v>
      </c>
      <c r="V3560" s="494">
        <f t="shared" si="323"/>
        <v>2.37</v>
      </c>
      <c r="W3560" s="495" t="s">
        <v>4</v>
      </c>
      <c r="X3560" s="494">
        <f t="shared" si="322"/>
        <v>383.94</v>
      </c>
      <c r="Y3560" s="494"/>
    </row>
    <row r="3561" spans="6:25" ht="18">
      <c r="F3561" s="72"/>
      <c r="G3561" s="297"/>
      <c r="H3561" s="102"/>
      <c r="I3561" s="72"/>
      <c r="J3561" s="127"/>
      <c r="K3561" s="72"/>
      <c r="S3561" s="494">
        <v>2</v>
      </c>
      <c r="T3561" s="495" t="s">
        <v>4</v>
      </c>
      <c r="U3561" s="494" t="s">
        <v>2960</v>
      </c>
      <c r="V3561" s="494">
        <f t="shared" si="323"/>
        <v>22.7</v>
      </c>
      <c r="W3561" s="495" t="s">
        <v>4</v>
      </c>
      <c r="X3561" s="494">
        <f t="shared" si="322"/>
        <v>45.4</v>
      </c>
      <c r="Y3561" s="494"/>
    </row>
    <row r="3562" spans="6:25" ht="18">
      <c r="F3562" s="72">
        <v>1</v>
      </c>
      <c r="G3562" s="297" t="s">
        <v>153</v>
      </c>
      <c r="H3562" s="102" t="s">
        <v>2214</v>
      </c>
      <c r="I3562" s="504">
        <v>250</v>
      </c>
      <c r="J3562" s="102" t="s">
        <v>153</v>
      </c>
      <c r="K3562" s="505">
        <f>(F3562*I3562)</f>
        <v>250</v>
      </c>
      <c r="S3562" s="494">
        <v>2</v>
      </c>
      <c r="T3562" s="495" t="s">
        <v>4</v>
      </c>
      <c r="U3562" s="494" t="s">
        <v>2956</v>
      </c>
      <c r="V3562" s="494">
        <f t="shared" si="323"/>
        <v>43.8</v>
      </c>
      <c r="W3562" s="495" t="s">
        <v>4</v>
      </c>
      <c r="X3562" s="494">
        <f t="shared" si="322"/>
        <v>87.6</v>
      </c>
      <c r="Y3562" s="494"/>
    </row>
    <row r="3563" spans="6:25" ht="18">
      <c r="F3563" s="64"/>
      <c r="G3563" s="62"/>
      <c r="H3563" s="50"/>
      <c r="I3563" s="64"/>
      <c r="J3563" s="50"/>
      <c r="K3563" s="64"/>
      <c r="S3563" s="501">
        <v>0.65</v>
      </c>
      <c r="T3563" s="502" t="s">
        <v>152</v>
      </c>
      <c r="U3563" s="497" t="s">
        <v>2975</v>
      </c>
      <c r="V3563" s="494">
        <f t="shared" si="323"/>
        <v>244.32330000000002</v>
      </c>
      <c r="W3563" s="502" t="s">
        <v>152</v>
      </c>
      <c r="X3563" s="497">
        <f t="shared" si="322"/>
        <v>158.81014500000001</v>
      </c>
      <c r="Y3563" s="497"/>
    </row>
    <row r="3564" spans="6:25" ht="18">
      <c r="F3564" s="64">
        <v>0.5</v>
      </c>
      <c r="G3564" s="62" t="s">
        <v>153</v>
      </c>
      <c r="H3564" s="50" t="s">
        <v>558</v>
      </c>
      <c r="I3564" s="64">
        <f>I1943</f>
        <v>933.8</v>
      </c>
      <c r="J3564" s="50" t="s">
        <v>153</v>
      </c>
      <c r="K3564" s="64">
        <f>(F3564*I3564)</f>
        <v>466.9</v>
      </c>
      <c r="S3564" s="494"/>
      <c r="T3564" s="495"/>
      <c r="U3564" s="494" t="s">
        <v>2985</v>
      </c>
      <c r="V3564" s="494"/>
      <c r="W3564" s="496"/>
      <c r="X3564" s="494">
        <f>SUM(X3554:X3563)</f>
        <v>8972.915144999999</v>
      </c>
      <c r="Y3564" s="494"/>
    </row>
    <row r="3565" spans="6:25" ht="18">
      <c r="F3565" s="64">
        <v>1</v>
      </c>
      <c r="G3565" s="62" t="s">
        <v>153</v>
      </c>
      <c r="H3565" s="50" t="s">
        <v>235</v>
      </c>
      <c r="I3565" s="64">
        <f>I1944</f>
        <v>702.8</v>
      </c>
      <c r="J3565" s="50" t="s">
        <v>153</v>
      </c>
      <c r="K3565" s="64">
        <f>(F3565*I3565)</f>
        <v>702.8</v>
      </c>
      <c r="S3565" s="494"/>
      <c r="T3565" s="495"/>
      <c r="U3565" s="494" t="s">
        <v>2462</v>
      </c>
      <c r="V3565" s="494"/>
      <c r="W3565" s="496"/>
      <c r="X3565" s="494">
        <f>X3564/S3555</f>
        <v>3165.0494338624339</v>
      </c>
      <c r="Y3565" s="494"/>
    </row>
    <row r="3566" spans="6:25" ht="15.75">
      <c r="F3566" s="64">
        <v>0.5</v>
      </c>
      <c r="G3566" s="62" t="s">
        <v>153</v>
      </c>
      <c r="H3566" s="50" t="s">
        <v>269</v>
      </c>
      <c r="I3566" s="64">
        <f>I1945</f>
        <v>1076.5999999999999</v>
      </c>
      <c r="J3566" s="50" t="s">
        <v>153</v>
      </c>
      <c r="K3566" s="64">
        <f>(F3566*I3566)</f>
        <v>538.29999999999995</v>
      </c>
    </row>
    <row r="3567" spans="6:25" ht="15.75">
      <c r="G3567" s="62" t="s">
        <v>226</v>
      </c>
      <c r="H3567" s="50" t="s">
        <v>2215</v>
      </c>
      <c r="J3567" s="50" t="s">
        <v>226</v>
      </c>
      <c r="K3567" s="64">
        <v>0.82</v>
      </c>
    </row>
    <row r="3568" spans="6:25" ht="18">
      <c r="K3568" s="59" t="s">
        <v>21</v>
      </c>
      <c r="S3568" s="494"/>
      <c r="T3568" s="495"/>
      <c r="U3568" s="494" t="s">
        <v>2986</v>
      </c>
      <c r="V3568" s="494"/>
      <c r="W3568" s="496"/>
    </row>
    <row r="3569" spans="6:25" ht="18">
      <c r="H3569" s="50" t="s">
        <v>1233</v>
      </c>
      <c r="K3569" s="63">
        <f>SUM(K3557:K3567)</f>
        <v>3432.82</v>
      </c>
      <c r="S3569" s="52"/>
      <c r="T3569" s="53"/>
      <c r="U3569" s="494" t="s">
        <v>2987</v>
      </c>
      <c r="V3569" s="52">
        <f>1.4*2.325</f>
        <v>3.2549999999999999</v>
      </c>
      <c r="W3569" s="55"/>
    </row>
    <row r="3570" spans="6:25" ht="18">
      <c r="K3570" s="59" t="s">
        <v>21</v>
      </c>
      <c r="S3570" s="494">
        <f>V3569</f>
        <v>3.2549999999999999</v>
      </c>
      <c r="T3570" s="495" t="s">
        <v>152</v>
      </c>
      <c r="U3570" s="494" t="s">
        <v>2967</v>
      </c>
      <c r="V3570" s="494">
        <f>V3554</f>
        <v>2211</v>
      </c>
      <c r="W3570" s="495" t="s">
        <v>152</v>
      </c>
      <c r="X3570" s="494">
        <f>V3570*S3570</f>
        <v>7196.8049999999994</v>
      </c>
      <c r="Y3570" s="494"/>
    </row>
    <row r="3571" spans="6:25" ht="18">
      <c r="G3571" s="52"/>
      <c r="I3571" s="56"/>
      <c r="J3571" s="52"/>
      <c r="S3571" s="494">
        <f>V3569</f>
        <v>3.2549999999999999</v>
      </c>
      <c r="T3571" s="495" t="s">
        <v>152</v>
      </c>
      <c r="U3571" s="494" t="s">
        <v>2970</v>
      </c>
      <c r="V3571" s="494">
        <f t="shared" ref="V3571:V3579" si="324">V3555</f>
        <v>248</v>
      </c>
      <c r="W3571" s="495" t="s">
        <v>152</v>
      </c>
      <c r="X3571" s="494">
        <f t="shared" ref="X3571:X3579" si="325">V3571*S3571</f>
        <v>807.24</v>
      </c>
      <c r="Y3571" s="494"/>
    </row>
    <row r="3572" spans="6:25" ht="18">
      <c r="G3572" s="52"/>
      <c r="H3572" s="506" t="s">
        <v>2988</v>
      </c>
      <c r="I3572" s="56"/>
      <c r="J3572" s="52"/>
      <c r="S3572" s="494">
        <v>4</v>
      </c>
      <c r="T3572" s="495" t="s">
        <v>4</v>
      </c>
      <c r="U3572" s="494" t="s">
        <v>2953</v>
      </c>
      <c r="V3572" s="494">
        <f t="shared" si="324"/>
        <v>50.9</v>
      </c>
      <c r="W3572" s="495" t="s">
        <v>4</v>
      </c>
      <c r="X3572" s="494">
        <f t="shared" si="325"/>
        <v>203.6</v>
      </c>
      <c r="Y3572" s="494"/>
    </row>
    <row r="3573" spans="6:25" ht="18">
      <c r="F3573" s="52">
        <v>70</v>
      </c>
      <c r="G3573" s="53" t="s">
        <v>303</v>
      </c>
      <c r="H3573" s="159" t="s">
        <v>2989</v>
      </c>
      <c r="I3573" s="163">
        <f>P1353</f>
        <v>33</v>
      </c>
      <c r="J3573" s="55" t="s">
        <v>2990</v>
      </c>
      <c r="K3573" s="52">
        <f>I3573*F3573</f>
        <v>2310</v>
      </c>
      <c r="S3573" s="494">
        <v>12</v>
      </c>
      <c r="T3573" s="495" t="s">
        <v>4</v>
      </c>
      <c r="U3573" s="494" t="s">
        <v>2955</v>
      </c>
      <c r="V3573" s="494">
        <f t="shared" si="324"/>
        <v>79.099999999999994</v>
      </c>
      <c r="W3573" s="495" t="s">
        <v>4</v>
      </c>
      <c r="X3573" s="494">
        <f t="shared" si="325"/>
        <v>949.19999999999993</v>
      </c>
      <c r="Y3573" s="494"/>
    </row>
    <row r="3574" spans="6:25" ht="18">
      <c r="F3574" s="52">
        <v>0.3</v>
      </c>
      <c r="G3574" s="53" t="s">
        <v>276</v>
      </c>
      <c r="H3574" s="159" t="s">
        <v>2991</v>
      </c>
      <c r="I3574" s="163">
        <f>P1355</f>
        <v>17600</v>
      </c>
      <c r="J3574" s="55" t="s">
        <v>2992</v>
      </c>
      <c r="K3574" s="52">
        <f>I3574*F3574</f>
        <v>5280</v>
      </c>
      <c r="S3574" s="494">
        <v>3</v>
      </c>
      <c r="T3574" s="495" t="s">
        <v>4</v>
      </c>
      <c r="U3574" s="494" t="s">
        <v>2957</v>
      </c>
      <c r="V3574" s="494">
        <f t="shared" si="324"/>
        <v>57.2</v>
      </c>
      <c r="W3574" s="495" t="s">
        <v>4</v>
      </c>
      <c r="X3574" s="494">
        <f t="shared" si="325"/>
        <v>171.60000000000002</v>
      </c>
      <c r="Y3574" s="494"/>
    </row>
    <row r="3575" spans="6:25" ht="18">
      <c r="H3575" s="52" t="s">
        <v>2993</v>
      </c>
      <c r="K3575" s="52">
        <f>SUM(K3573:K3574)</f>
        <v>7590</v>
      </c>
      <c r="S3575" s="494">
        <v>1</v>
      </c>
      <c r="T3575" s="495" t="s">
        <v>4</v>
      </c>
      <c r="U3575" s="494" t="s">
        <v>2915</v>
      </c>
      <c r="V3575" s="494">
        <f t="shared" si="324"/>
        <v>159.69999999999999</v>
      </c>
      <c r="W3575" s="495" t="s">
        <v>4</v>
      </c>
      <c r="X3575" s="494">
        <f t="shared" si="325"/>
        <v>159.69999999999999</v>
      </c>
      <c r="Y3575" s="494"/>
    </row>
    <row r="3576" spans="6:25" ht="18">
      <c r="H3576" s="65" t="s">
        <v>2994</v>
      </c>
      <c r="I3576" s="65"/>
      <c r="J3576" s="110"/>
      <c r="K3576" s="65">
        <f>K3575/10</f>
        <v>759</v>
      </c>
      <c r="S3576" s="494">
        <v>162</v>
      </c>
      <c r="T3576" s="495" t="s">
        <v>4</v>
      </c>
      <c r="U3576" s="494" t="s">
        <v>2952</v>
      </c>
      <c r="V3576" s="494">
        <f t="shared" si="324"/>
        <v>2.37</v>
      </c>
      <c r="W3576" s="495" t="s">
        <v>4</v>
      </c>
      <c r="X3576" s="494">
        <f t="shared" si="325"/>
        <v>383.94</v>
      </c>
      <c r="Y3576" s="494"/>
    </row>
    <row r="3577" spans="6:25" ht="18">
      <c r="F3577" s="52">
        <v>1</v>
      </c>
      <c r="G3577" s="53" t="s">
        <v>2995</v>
      </c>
      <c r="H3577" s="52" t="s">
        <v>2996</v>
      </c>
      <c r="I3577" s="52">
        <f>K3576</f>
        <v>759</v>
      </c>
      <c r="J3577" s="55" t="s">
        <v>2995</v>
      </c>
      <c r="K3577" s="52">
        <f>I3577*F3577</f>
        <v>759</v>
      </c>
      <c r="S3577" s="494">
        <v>2</v>
      </c>
      <c r="T3577" s="495" t="s">
        <v>4</v>
      </c>
      <c r="U3577" s="494" t="s">
        <v>2960</v>
      </c>
      <c r="V3577" s="494">
        <f t="shared" si="324"/>
        <v>22.7</v>
      </c>
      <c r="W3577" s="495" t="s">
        <v>4</v>
      </c>
      <c r="X3577" s="494">
        <f t="shared" si="325"/>
        <v>45.4</v>
      </c>
      <c r="Y3577" s="494"/>
    </row>
    <row r="3578" spans="6:25" ht="18">
      <c r="F3578" s="52">
        <v>2</v>
      </c>
      <c r="G3578" s="53" t="s">
        <v>154</v>
      </c>
      <c r="H3578" s="159" t="s">
        <v>2416</v>
      </c>
      <c r="I3578" s="163">
        <f>I2349</f>
        <v>702.8</v>
      </c>
      <c r="J3578" s="55" t="s">
        <v>340</v>
      </c>
      <c r="K3578" s="52">
        <f>I3578*F3578</f>
        <v>1405.6</v>
      </c>
      <c r="S3578" s="494">
        <v>2</v>
      </c>
      <c r="T3578" s="495" t="s">
        <v>4</v>
      </c>
      <c r="U3578" s="494" t="s">
        <v>2956</v>
      </c>
      <c r="V3578" s="494">
        <f t="shared" si="324"/>
        <v>43.8</v>
      </c>
      <c r="W3578" s="495" t="s">
        <v>4</v>
      </c>
      <c r="X3578" s="494">
        <f t="shared" si="325"/>
        <v>87.6</v>
      </c>
      <c r="Y3578" s="494"/>
    </row>
    <row r="3579" spans="6:25" ht="18">
      <c r="H3579" s="52" t="s">
        <v>2997</v>
      </c>
      <c r="K3579" s="52">
        <v>10.3</v>
      </c>
      <c r="S3579" s="501">
        <v>0.73</v>
      </c>
      <c r="T3579" s="502" t="s">
        <v>152</v>
      </c>
      <c r="U3579" s="497" t="s">
        <v>2975</v>
      </c>
      <c r="V3579" s="494">
        <f t="shared" si="324"/>
        <v>244.32330000000002</v>
      </c>
      <c r="W3579" s="502" t="s">
        <v>152</v>
      </c>
      <c r="X3579" s="497">
        <f t="shared" si="325"/>
        <v>178.356009</v>
      </c>
      <c r="Y3579" s="497"/>
    </row>
    <row r="3580" spans="6:25" ht="18">
      <c r="H3580" s="52" t="s">
        <v>2998</v>
      </c>
      <c r="K3580" s="52">
        <f>SUM(K3577:K3579)</f>
        <v>2174.9</v>
      </c>
      <c r="S3580" s="494"/>
      <c r="T3580" s="495"/>
      <c r="U3580" s="494" t="s">
        <v>2962</v>
      </c>
      <c r="V3580" s="494"/>
      <c r="W3580" s="496"/>
      <c r="X3580" s="494">
        <f>SUM(X3570:X3579)</f>
        <v>10183.441009</v>
      </c>
      <c r="Y3580" s="494"/>
    </row>
    <row r="3581" spans="6:25" s="65" customFormat="1" ht="18">
      <c r="G3581" s="125"/>
      <c r="H3581" s="65" t="s">
        <v>2999</v>
      </c>
      <c r="J3581" s="110"/>
      <c r="K3581" s="65">
        <f>K3580/6</f>
        <v>362.48333333333335</v>
      </c>
      <c r="S3581" s="494"/>
      <c r="T3581" s="495"/>
      <c r="U3581" s="494" t="s">
        <v>2462</v>
      </c>
      <c r="V3581" s="494"/>
      <c r="W3581" s="496"/>
      <c r="X3581" s="494">
        <f>X3580/S3571</f>
        <v>3128.5533053763443</v>
      </c>
      <c r="Y3581" s="494"/>
    </row>
    <row r="3582" spans="6:25" ht="15.75">
      <c r="H3582" s="65" t="s">
        <v>3000</v>
      </c>
    </row>
    <row r="3583" spans="6:25" ht="18">
      <c r="F3583" s="52">
        <v>49</v>
      </c>
      <c r="G3583" s="53" t="s">
        <v>54</v>
      </c>
      <c r="H3583" s="52" t="s">
        <v>3001</v>
      </c>
      <c r="I3583" s="52">
        <f>I3573</f>
        <v>33</v>
      </c>
      <c r="J3583" s="55" t="s">
        <v>2990</v>
      </c>
      <c r="K3583" s="52">
        <f>F3583*I3583</f>
        <v>1617</v>
      </c>
      <c r="S3583" s="494"/>
      <c r="T3583" s="495"/>
      <c r="U3583" s="494" t="s">
        <v>3002</v>
      </c>
      <c r="V3583" s="494"/>
      <c r="W3583" s="496"/>
    </row>
    <row r="3584" spans="6:25" ht="18">
      <c r="F3584" s="52">
        <v>0.3</v>
      </c>
      <c r="G3584" s="53" t="s">
        <v>276</v>
      </c>
      <c r="H3584" s="52" t="s">
        <v>3003</v>
      </c>
      <c r="I3584" s="52">
        <f>I3574</f>
        <v>17600</v>
      </c>
      <c r="J3584" s="55" t="s">
        <v>276</v>
      </c>
      <c r="K3584" s="52">
        <f>F3584*I3584</f>
        <v>5280</v>
      </c>
      <c r="S3584" s="52"/>
      <c r="T3584" s="53"/>
      <c r="U3584" s="247" t="s">
        <v>3004</v>
      </c>
      <c r="V3584" s="494">
        <f>1.7*2.325</f>
        <v>3.9525000000000001</v>
      </c>
      <c r="W3584" s="55"/>
    </row>
    <row r="3585" spans="6:25" ht="18">
      <c r="H3585" s="65" t="s">
        <v>3005</v>
      </c>
      <c r="K3585" s="65">
        <f>SUM(K3583:K3584)</f>
        <v>6897</v>
      </c>
      <c r="S3585" s="494">
        <f>V3584</f>
        <v>3.9525000000000001</v>
      </c>
      <c r="T3585" s="495" t="s">
        <v>152</v>
      </c>
      <c r="U3585" s="494" t="s">
        <v>2967</v>
      </c>
      <c r="V3585" s="494">
        <f>V3570</f>
        <v>2211</v>
      </c>
      <c r="W3585" s="495" t="s">
        <v>152</v>
      </c>
      <c r="X3585" s="494">
        <f>V3585*S3585</f>
        <v>8738.9775000000009</v>
      </c>
      <c r="Y3585" s="494"/>
    </row>
    <row r="3586" spans="6:25" ht="18">
      <c r="H3586" s="65" t="s">
        <v>2994</v>
      </c>
      <c r="K3586" s="65">
        <f>K3585/10</f>
        <v>689.7</v>
      </c>
      <c r="S3586" s="494">
        <f>S3585</f>
        <v>3.9525000000000001</v>
      </c>
      <c r="T3586" s="495" t="s">
        <v>152</v>
      </c>
      <c r="U3586" s="494" t="s">
        <v>2970</v>
      </c>
      <c r="V3586" s="494">
        <f t="shared" ref="V3586:V3593" si="326">V3571</f>
        <v>248</v>
      </c>
      <c r="W3586" s="495" t="s">
        <v>152</v>
      </c>
      <c r="X3586" s="494">
        <f t="shared" ref="X3586:X3594" si="327">V3586*S3586</f>
        <v>980.22</v>
      </c>
      <c r="Y3586" s="494"/>
    </row>
    <row r="3587" spans="6:25" ht="18">
      <c r="F3587" s="52">
        <v>2</v>
      </c>
      <c r="G3587" s="53" t="s">
        <v>305</v>
      </c>
      <c r="H3587" s="163" t="s">
        <v>2416</v>
      </c>
      <c r="I3587" s="52">
        <f>I3578</f>
        <v>702.8</v>
      </c>
      <c r="J3587" s="55" t="s">
        <v>305</v>
      </c>
      <c r="K3587" s="52">
        <f>F3587*I3587</f>
        <v>1405.6</v>
      </c>
      <c r="S3587" s="494">
        <v>4</v>
      </c>
      <c r="T3587" s="495" t="s">
        <v>4</v>
      </c>
      <c r="U3587" s="494" t="s">
        <v>2953</v>
      </c>
      <c r="V3587" s="494">
        <f t="shared" si="326"/>
        <v>50.9</v>
      </c>
      <c r="W3587" s="495" t="s">
        <v>4</v>
      </c>
      <c r="X3587" s="494">
        <f t="shared" si="327"/>
        <v>203.6</v>
      </c>
      <c r="Y3587" s="494"/>
    </row>
    <row r="3588" spans="6:25" ht="18">
      <c r="H3588" s="163" t="s">
        <v>3006</v>
      </c>
      <c r="K3588" s="52">
        <v>4.3499999999999996</v>
      </c>
      <c r="S3588" s="494">
        <v>10</v>
      </c>
      <c r="T3588" s="495" t="s">
        <v>4</v>
      </c>
      <c r="U3588" s="494" t="s">
        <v>2955</v>
      </c>
      <c r="V3588" s="494">
        <f t="shared" si="326"/>
        <v>79.099999999999994</v>
      </c>
      <c r="W3588" s="495" t="s">
        <v>4</v>
      </c>
      <c r="X3588" s="494">
        <f t="shared" si="327"/>
        <v>791</v>
      </c>
      <c r="Y3588" s="494"/>
    </row>
    <row r="3589" spans="6:25" ht="18">
      <c r="H3589" s="163" t="s">
        <v>3007</v>
      </c>
      <c r="K3589" s="52">
        <f>SUM(K3586:K3588)</f>
        <v>2099.65</v>
      </c>
      <c r="S3589" s="494">
        <v>3</v>
      </c>
      <c r="T3589" s="495" t="s">
        <v>4</v>
      </c>
      <c r="U3589" s="494" t="s">
        <v>2957</v>
      </c>
      <c r="V3589" s="494">
        <f t="shared" si="326"/>
        <v>57.2</v>
      </c>
      <c r="W3589" s="495" t="s">
        <v>4</v>
      </c>
      <c r="X3589" s="494">
        <f t="shared" si="327"/>
        <v>171.60000000000002</v>
      </c>
      <c r="Y3589" s="494"/>
    </row>
    <row r="3590" spans="6:25" ht="18">
      <c r="H3590" s="65" t="s">
        <v>3008</v>
      </c>
      <c r="I3590" s="65"/>
      <c r="J3590" s="110"/>
      <c r="K3590" s="65">
        <f>K3589/6</f>
        <v>349.94166666666666</v>
      </c>
      <c r="S3590" s="494">
        <v>1</v>
      </c>
      <c r="T3590" s="495" t="s">
        <v>4</v>
      </c>
      <c r="U3590" s="494" t="s">
        <v>2915</v>
      </c>
      <c r="V3590" s="494">
        <f t="shared" si="326"/>
        <v>159.69999999999999</v>
      </c>
      <c r="W3590" s="495" t="s">
        <v>4</v>
      </c>
      <c r="X3590" s="494">
        <f t="shared" si="327"/>
        <v>159.69999999999999</v>
      </c>
      <c r="Y3590" s="494"/>
    </row>
    <row r="3591" spans="6:25" s="65" customFormat="1" ht="18">
      <c r="G3591" s="125"/>
      <c r="H3591" s="163" t="s">
        <v>3009</v>
      </c>
      <c r="I3591" s="163"/>
      <c r="J3591" s="196"/>
      <c r="K3591" s="163">
        <f>K3581</f>
        <v>362.48333333333335</v>
      </c>
      <c r="S3591" s="494">
        <v>118</v>
      </c>
      <c r="T3591" s="495" t="s">
        <v>4</v>
      </c>
      <c r="U3591" s="494" t="s">
        <v>2952</v>
      </c>
      <c r="V3591" s="494">
        <f t="shared" si="326"/>
        <v>2.37</v>
      </c>
      <c r="W3591" s="495" t="s">
        <v>4</v>
      </c>
      <c r="X3591" s="494">
        <f t="shared" si="327"/>
        <v>279.66000000000003</v>
      </c>
      <c r="Y3591" s="494"/>
    </row>
    <row r="3592" spans="6:25" s="65" customFormat="1" ht="18">
      <c r="G3592" s="125"/>
      <c r="H3592" s="163" t="s">
        <v>3010</v>
      </c>
      <c r="I3592" s="163">
        <f>K3591</f>
        <v>362.48333333333335</v>
      </c>
      <c r="J3592" s="196">
        <f>K3590</f>
        <v>349.94166666666666</v>
      </c>
      <c r="K3592" s="163">
        <f>SUM(I3592:J3592)</f>
        <v>712.42499999999995</v>
      </c>
      <c r="S3592" s="494">
        <v>2</v>
      </c>
      <c r="T3592" s="495" t="s">
        <v>4</v>
      </c>
      <c r="U3592" s="494" t="s">
        <v>2960</v>
      </c>
      <c r="V3592" s="494">
        <f t="shared" si="326"/>
        <v>22.7</v>
      </c>
      <c r="W3592" s="495" t="s">
        <v>4</v>
      </c>
      <c r="X3592" s="494">
        <f t="shared" si="327"/>
        <v>45.4</v>
      </c>
      <c r="Y3592" s="494"/>
    </row>
    <row r="3593" spans="6:25" s="65" customFormat="1" ht="18">
      <c r="G3593" s="125"/>
      <c r="H3593" s="163" t="s">
        <v>3011</v>
      </c>
      <c r="I3593" s="163">
        <f>K3592</f>
        <v>712.42499999999995</v>
      </c>
      <c r="J3593" s="196">
        <f>J3592</f>
        <v>349.94166666666666</v>
      </c>
      <c r="K3593" s="163">
        <f>SUM(I3593:J3593)</f>
        <v>1062.3666666666666</v>
      </c>
      <c r="S3593" s="494">
        <v>2</v>
      </c>
      <c r="T3593" s="495" t="s">
        <v>4</v>
      </c>
      <c r="U3593" s="494" t="s">
        <v>2956</v>
      </c>
      <c r="V3593" s="494">
        <f t="shared" si="326"/>
        <v>43.8</v>
      </c>
      <c r="W3593" s="495" t="s">
        <v>4</v>
      </c>
      <c r="X3593" s="494">
        <f t="shared" si="327"/>
        <v>87.6</v>
      </c>
      <c r="Y3593" s="494"/>
    </row>
    <row r="3594" spans="6:25" s="65" customFormat="1" ht="18">
      <c r="G3594" s="125"/>
      <c r="H3594" s="163" t="s">
        <v>3012</v>
      </c>
      <c r="I3594" s="163">
        <f>K3593</f>
        <v>1062.3666666666666</v>
      </c>
      <c r="J3594" s="196">
        <f>J3593</f>
        <v>349.94166666666666</v>
      </c>
      <c r="K3594" s="163">
        <f>SUM(I3594:J3594)</f>
        <v>1412.3083333333332</v>
      </c>
      <c r="S3594" s="500"/>
      <c r="T3594" s="495"/>
      <c r="U3594" s="494"/>
      <c r="V3594" s="494"/>
      <c r="W3594" s="495" t="s">
        <v>152</v>
      </c>
      <c r="X3594" s="494">
        <f t="shared" si="327"/>
        <v>0</v>
      </c>
      <c r="Y3594" s="494"/>
    </row>
    <row r="3595" spans="6:25" s="65" customFormat="1" ht="18">
      <c r="G3595" s="125"/>
      <c r="H3595" s="163" t="s">
        <v>3013</v>
      </c>
      <c r="I3595" s="163">
        <f>K3594</f>
        <v>1412.3083333333332</v>
      </c>
      <c r="J3595" s="196">
        <f>J3594</f>
        <v>349.94166666666666</v>
      </c>
      <c r="K3595" s="163">
        <f>SUM(I3595:J3595)</f>
        <v>1762.2499999999998</v>
      </c>
      <c r="S3595" s="494"/>
      <c r="T3595" s="495"/>
      <c r="U3595" s="494" t="s">
        <v>3014</v>
      </c>
      <c r="V3595" s="494"/>
      <c r="W3595" s="496"/>
      <c r="X3595" s="494">
        <f>SUM(X3585:X3594)</f>
        <v>11457.757500000002</v>
      </c>
      <c r="Y3595" s="494"/>
    </row>
    <row r="3596" spans="6:25" ht="18">
      <c r="S3596" s="494"/>
      <c r="T3596" s="495"/>
      <c r="U3596" s="494" t="s">
        <v>2462</v>
      </c>
      <c r="V3596" s="494"/>
      <c r="W3596" s="496"/>
      <c r="X3596" s="494">
        <f>X3595/S3586</f>
        <v>2898.8633776091083</v>
      </c>
      <c r="Y3596" s="494"/>
    </row>
    <row r="3597" spans="6:25" ht="18">
      <c r="F3597" s="51"/>
      <c r="G3597" s="62" t="s">
        <v>249</v>
      </c>
      <c r="H3597" s="54" t="s">
        <v>3015</v>
      </c>
      <c r="L3597" s="55"/>
      <c r="S3597" s="52"/>
      <c r="T3597" s="53"/>
      <c r="U3597" s="494"/>
      <c r="W3597" s="55"/>
      <c r="X3597" s="494"/>
      <c r="Y3597" s="494"/>
    </row>
    <row r="3598" spans="6:25" ht="15.75">
      <c r="H3598" s="54" t="s">
        <v>3016</v>
      </c>
      <c r="L3598" s="50"/>
    </row>
    <row r="3599" spans="6:25" ht="15.75">
      <c r="H3599" s="59" t="s">
        <v>21</v>
      </c>
      <c r="L3599" s="50"/>
    </row>
    <row r="3600" spans="6:25" ht="18">
      <c r="F3600" s="186">
        <v>7.0699999999999999E-2</v>
      </c>
      <c r="G3600" s="62" t="s">
        <v>276</v>
      </c>
      <c r="H3600" s="50" t="s">
        <v>1773</v>
      </c>
      <c r="I3600" s="64">
        <f>I2814</f>
        <v>99400</v>
      </c>
      <c r="J3600" s="50" t="s">
        <v>151</v>
      </c>
      <c r="K3600" s="64">
        <f t="shared" ref="K3600:K3608" si="328">(F3600*I3600)</f>
        <v>7027.58</v>
      </c>
      <c r="L3600" s="50"/>
      <c r="S3600" s="494"/>
      <c r="T3600" s="495"/>
      <c r="U3600" s="494" t="s">
        <v>3017</v>
      </c>
      <c r="V3600" s="494"/>
      <c r="W3600" s="496"/>
    </row>
    <row r="3601" spans="6:25" ht="18">
      <c r="F3601" s="186">
        <v>5.16</v>
      </c>
      <c r="G3601" s="62" t="s">
        <v>152</v>
      </c>
      <c r="H3601" s="50" t="s">
        <v>3018</v>
      </c>
      <c r="I3601" s="64">
        <v>537</v>
      </c>
      <c r="J3601" s="50" t="s">
        <v>151</v>
      </c>
      <c r="K3601" s="64">
        <f t="shared" si="328"/>
        <v>2770.92</v>
      </c>
      <c r="L3601" s="50"/>
      <c r="S3601" s="52"/>
      <c r="T3601" s="53"/>
      <c r="U3601" s="247" t="s">
        <v>3019</v>
      </c>
      <c r="V3601" s="494">
        <f>1.7*2.025</f>
        <v>3.4424999999999999</v>
      </c>
      <c r="W3601" s="55"/>
    </row>
    <row r="3602" spans="6:25" ht="18">
      <c r="F3602" s="186">
        <v>3.6659999999999999</v>
      </c>
      <c r="G3602" s="62" t="s">
        <v>152</v>
      </c>
      <c r="H3602" s="50" t="s">
        <v>3020</v>
      </c>
      <c r="I3602" s="97">
        <f>P1395</f>
        <v>208.8</v>
      </c>
      <c r="J3602" s="50" t="s">
        <v>152</v>
      </c>
      <c r="K3602" s="64">
        <f t="shared" si="328"/>
        <v>765.46080000000006</v>
      </c>
      <c r="L3602" s="50"/>
      <c r="S3602" s="494">
        <f>V3601</f>
        <v>3.4424999999999999</v>
      </c>
      <c r="T3602" s="495" t="s">
        <v>152</v>
      </c>
      <c r="U3602" s="494" t="s">
        <v>2967</v>
      </c>
      <c r="V3602" s="494">
        <f>V3585</f>
        <v>2211</v>
      </c>
      <c r="W3602" s="495" t="s">
        <v>152</v>
      </c>
      <c r="X3602" s="494">
        <f>V3602*S3602</f>
        <v>7611.3674999999994</v>
      </c>
      <c r="Y3602" s="494"/>
    </row>
    <row r="3603" spans="6:25" ht="18">
      <c r="F3603" s="64">
        <v>22.66</v>
      </c>
      <c r="G3603" s="62" t="s">
        <v>303</v>
      </c>
      <c r="H3603" s="50" t="s">
        <v>3021</v>
      </c>
      <c r="I3603" s="64">
        <v>14.4</v>
      </c>
      <c r="J3603" s="62" t="s">
        <v>303</v>
      </c>
      <c r="K3603" s="64">
        <f t="shared" si="328"/>
        <v>326.30400000000003</v>
      </c>
      <c r="L3603" s="50"/>
      <c r="S3603" s="494">
        <f>S3602</f>
        <v>3.4424999999999999</v>
      </c>
      <c r="T3603" s="495" t="s">
        <v>152</v>
      </c>
      <c r="U3603" s="494" t="s">
        <v>2970</v>
      </c>
      <c r="V3603" s="494">
        <f t="shared" ref="V3603:V3610" si="329">V3586</f>
        <v>248</v>
      </c>
      <c r="W3603" s="495" t="s">
        <v>152</v>
      </c>
      <c r="X3603" s="494">
        <f t="shared" ref="X3603:X3611" si="330">V3603*S3603</f>
        <v>853.74</v>
      </c>
      <c r="Y3603" s="494"/>
    </row>
    <row r="3604" spans="6:25" ht="18">
      <c r="F3604" s="64">
        <v>15</v>
      </c>
      <c r="G3604" s="62" t="s">
        <v>153</v>
      </c>
      <c r="H3604" s="50" t="s">
        <v>1731</v>
      </c>
      <c r="I3604" s="64">
        <v>69.849999999999994</v>
      </c>
      <c r="J3604" s="50" t="s">
        <v>153</v>
      </c>
      <c r="K3604" s="64">
        <f>(F3603*I3604)</f>
        <v>1582.8009999999999</v>
      </c>
      <c r="L3604" s="50"/>
      <c r="S3604" s="494">
        <v>4</v>
      </c>
      <c r="T3604" s="495" t="s">
        <v>4</v>
      </c>
      <c r="U3604" s="494" t="s">
        <v>2953</v>
      </c>
      <c r="V3604" s="494">
        <f t="shared" si="329"/>
        <v>50.9</v>
      </c>
      <c r="W3604" s="495" t="s">
        <v>4</v>
      </c>
      <c r="X3604" s="494">
        <f t="shared" si="330"/>
        <v>203.6</v>
      </c>
      <c r="Y3604" s="494"/>
    </row>
    <row r="3605" spans="6:25" ht="18">
      <c r="F3605" s="64">
        <v>10</v>
      </c>
      <c r="G3605" s="62" t="s">
        <v>153</v>
      </c>
      <c r="H3605" s="50" t="s">
        <v>3022</v>
      </c>
      <c r="I3605" s="64">
        <v>64.05</v>
      </c>
      <c r="J3605" s="50" t="s">
        <v>153</v>
      </c>
      <c r="K3605" s="64">
        <f>(F3604*I3605)</f>
        <v>960.75</v>
      </c>
      <c r="L3605" s="50"/>
      <c r="S3605" s="494">
        <v>10</v>
      </c>
      <c r="T3605" s="495" t="s">
        <v>4</v>
      </c>
      <c r="U3605" s="494" t="s">
        <v>2955</v>
      </c>
      <c r="V3605" s="494">
        <f t="shared" si="329"/>
        <v>79.099999999999994</v>
      </c>
      <c r="W3605" s="495" t="s">
        <v>4</v>
      </c>
      <c r="X3605" s="494">
        <f t="shared" si="330"/>
        <v>791</v>
      </c>
      <c r="Y3605" s="494"/>
    </row>
    <row r="3606" spans="6:25" ht="18">
      <c r="F3606" s="64">
        <v>5</v>
      </c>
      <c r="G3606" s="62" t="s">
        <v>153</v>
      </c>
      <c r="H3606" s="50" t="s">
        <v>3023</v>
      </c>
      <c r="I3606" s="64">
        <v>50.6</v>
      </c>
      <c r="J3606" s="50" t="s">
        <v>153</v>
      </c>
      <c r="K3606" s="64">
        <f>(F3607*I3606)</f>
        <v>253</v>
      </c>
      <c r="L3606" s="55"/>
      <c r="S3606" s="494">
        <v>3</v>
      </c>
      <c r="T3606" s="495" t="s">
        <v>4</v>
      </c>
      <c r="U3606" s="494" t="s">
        <v>2957</v>
      </c>
      <c r="V3606" s="494">
        <f t="shared" si="329"/>
        <v>57.2</v>
      </c>
      <c r="W3606" s="495" t="s">
        <v>4</v>
      </c>
      <c r="X3606" s="494">
        <f t="shared" si="330"/>
        <v>171.60000000000002</v>
      </c>
      <c r="Y3606" s="494"/>
    </row>
    <row r="3607" spans="6:25" ht="18">
      <c r="F3607" s="64">
        <v>5</v>
      </c>
      <c r="G3607" s="62" t="s">
        <v>153</v>
      </c>
      <c r="H3607" s="50" t="s">
        <v>1779</v>
      </c>
      <c r="I3607" s="64">
        <v>7.3</v>
      </c>
      <c r="J3607" s="50" t="s">
        <v>153</v>
      </c>
      <c r="K3607" s="64">
        <f>(F3605*I3607)</f>
        <v>73</v>
      </c>
      <c r="L3607" s="55"/>
      <c r="S3607" s="494">
        <v>1</v>
      </c>
      <c r="T3607" s="495" t="s">
        <v>4</v>
      </c>
      <c r="U3607" s="494" t="s">
        <v>2915</v>
      </c>
      <c r="V3607" s="494">
        <f t="shared" si="329"/>
        <v>159.69999999999999</v>
      </c>
      <c r="W3607" s="495" t="s">
        <v>4</v>
      </c>
      <c r="X3607" s="494">
        <f t="shared" si="330"/>
        <v>159.69999999999999</v>
      </c>
      <c r="Y3607" s="494"/>
    </row>
    <row r="3608" spans="6:25" ht="18">
      <c r="F3608" s="64">
        <v>10</v>
      </c>
      <c r="H3608" s="50" t="s">
        <v>1733</v>
      </c>
      <c r="I3608" s="64">
        <f>I3430</f>
        <v>2.37</v>
      </c>
      <c r="J3608" s="50" t="s">
        <v>153</v>
      </c>
      <c r="K3608" s="64">
        <f t="shared" si="328"/>
        <v>23.700000000000003</v>
      </c>
      <c r="L3608" s="55"/>
      <c r="S3608" s="494">
        <v>118</v>
      </c>
      <c r="T3608" s="495" t="s">
        <v>4</v>
      </c>
      <c r="U3608" s="494" t="s">
        <v>2952</v>
      </c>
      <c r="V3608" s="494">
        <f t="shared" si="329"/>
        <v>2.37</v>
      </c>
      <c r="W3608" s="495" t="s">
        <v>4</v>
      </c>
      <c r="X3608" s="494">
        <f t="shared" si="330"/>
        <v>279.66000000000003</v>
      </c>
      <c r="Y3608" s="494"/>
    </row>
    <row r="3609" spans="6:25" ht="18">
      <c r="K3609" s="59" t="s">
        <v>21</v>
      </c>
      <c r="L3609" s="55"/>
      <c r="S3609" s="494">
        <v>2</v>
      </c>
      <c r="T3609" s="495" t="s">
        <v>4</v>
      </c>
      <c r="U3609" s="494" t="s">
        <v>2960</v>
      </c>
      <c r="V3609" s="494">
        <f t="shared" si="329"/>
        <v>22.7</v>
      </c>
      <c r="W3609" s="495" t="s">
        <v>4</v>
      </c>
      <c r="X3609" s="494">
        <f t="shared" si="330"/>
        <v>45.4</v>
      </c>
      <c r="Y3609" s="494"/>
    </row>
    <row r="3610" spans="6:25" ht="18">
      <c r="H3610" s="51" t="s">
        <v>3024</v>
      </c>
      <c r="K3610" s="64">
        <f>SUM(K3596:K3608)</f>
        <v>13783.515800000001</v>
      </c>
      <c r="L3610" s="55"/>
      <c r="S3610" s="494">
        <v>2</v>
      </c>
      <c r="T3610" s="495" t="s">
        <v>4</v>
      </c>
      <c r="U3610" s="494" t="s">
        <v>2956</v>
      </c>
      <c r="V3610" s="494">
        <f t="shared" si="329"/>
        <v>43.8</v>
      </c>
      <c r="W3610" s="495" t="s">
        <v>4</v>
      </c>
      <c r="X3610" s="494">
        <f t="shared" si="330"/>
        <v>87.6</v>
      </c>
      <c r="Y3610" s="494"/>
    </row>
    <row r="3611" spans="6:25" ht="18">
      <c r="K3611" s="59" t="s">
        <v>21</v>
      </c>
      <c r="L3611" s="55"/>
      <c r="S3611" s="500"/>
      <c r="T3611" s="495"/>
      <c r="U3611" s="494"/>
      <c r="V3611" s="494"/>
      <c r="W3611" s="495" t="s">
        <v>152</v>
      </c>
      <c r="X3611" s="494">
        <f t="shared" si="330"/>
        <v>0</v>
      </c>
      <c r="Y3611" s="494"/>
    </row>
    <row r="3612" spans="6:25" ht="18">
      <c r="H3612" s="66" t="s">
        <v>155</v>
      </c>
      <c r="I3612" s="50" t="s">
        <v>150</v>
      </c>
      <c r="K3612" s="63">
        <f>K3610/F3601</f>
        <v>2671.2239922480621</v>
      </c>
      <c r="S3612" s="494"/>
      <c r="T3612" s="495"/>
      <c r="U3612" s="494" t="s">
        <v>3025</v>
      </c>
      <c r="V3612" s="494"/>
      <c r="W3612" s="496"/>
      <c r="X3612" s="494">
        <f>SUM(X3602:X3611)</f>
        <v>10203.667500000001</v>
      </c>
      <c r="Y3612" s="494"/>
    </row>
    <row r="3613" spans="6:25" ht="18">
      <c r="K3613" s="59" t="s">
        <v>156</v>
      </c>
      <c r="S3613" s="494"/>
      <c r="T3613" s="495"/>
      <c r="U3613" s="494" t="s">
        <v>2462</v>
      </c>
      <c r="V3613" s="494"/>
      <c r="W3613" s="496"/>
      <c r="X3613" s="494">
        <f>X3612/S3603</f>
        <v>2964.0283224400878</v>
      </c>
      <c r="Y3613" s="494"/>
    </row>
    <row r="3614" spans="6:25" ht="15.75">
      <c r="F3614" s="51" t="s">
        <v>1787</v>
      </c>
      <c r="G3614" s="62" t="s">
        <v>249</v>
      </c>
      <c r="H3614" s="50" t="s">
        <v>3026</v>
      </c>
      <c r="S3614" s="52"/>
    </row>
    <row r="3615" spans="6:25" ht="18">
      <c r="H3615" s="50" t="s">
        <v>3027</v>
      </c>
      <c r="S3615" s="494"/>
      <c r="T3615" s="495"/>
      <c r="U3615" s="494" t="s">
        <v>3028</v>
      </c>
      <c r="V3615" s="494"/>
      <c r="W3615" s="496"/>
    </row>
    <row r="3616" spans="6:25" ht="16.5">
      <c r="H3616" s="59" t="s">
        <v>21</v>
      </c>
      <c r="S3616" s="52"/>
      <c r="T3616" s="53"/>
      <c r="U3616" s="247" t="s">
        <v>3029</v>
      </c>
      <c r="W3616" s="55">
        <f>1.1*2.025</f>
        <v>2.2275</v>
      </c>
    </row>
    <row r="3617" spans="6:25" ht="18">
      <c r="H3617" s="238" t="s">
        <v>3030</v>
      </c>
      <c r="I3617" s="384" t="s">
        <v>156</v>
      </c>
      <c r="J3617" s="468">
        <f>0.65*0.65</f>
        <v>0.42250000000000004</v>
      </c>
      <c r="K3617" s="380" t="s">
        <v>306</v>
      </c>
      <c r="S3617" s="494">
        <f>W3616</f>
        <v>2.2275</v>
      </c>
      <c r="T3617" s="495" t="s">
        <v>152</v>
      </c>
      <c r="U3617" s="494" t="s">
        <v>2967</v>
      </c>
      <c r="V3617" s="494">
        <f>V3538</f>
        <v>2211</v>
      </c>
      <c r="W3617" s="495" t="s">
        <v>152</v>
      </c>
      <c r="X3617" s="494">
        <f>V3617*S3617</f>
        <v>4925.0025000000005</v>
      </c>
      <c r="Y3617" s="494"/>
    </row>
    <row r="3618" spans="6:25" ht="18">
      <c r="H3618" s="238"/>
      <c r="I3618" s="384"/>
      <c r="J3618" s="467"/>
      <c r="K3618" s="380"/>
      <c r="S3618" s="494">
        <f>S3617</f>
        <v>2.2275</v>
      </c>
      <c r="T3618" s="495" t="s">
        <v>152</v>
      </c>
      <c r="U3618" s="494" t="s">
        <v>2970</v>
      </c>
      <c r="V3618" s="494">
        <f>P3543</f>
        <v>122</v>
      </c>
      <c r="W3618" s="495" t="s">
        <v>152</v>
      </c>
      <c r="X3618" s="494">
        <f>V3618*S3618</f>
        <v>271.755</v>
      </c>
      <c r="Y3618" s="494"/>
    </row>
    <row r="3619" spans="6:25" ht="18">
      <c r="H3619" s="238" t="s">
        <v>3031</v>
      </c>
      <c r="I3619" s="384" t="s">
        <v>156</v>
      </c>
      <c r="J3619" s="468">
        <v>5.1999999999999998E-2</v>
      </c>
      <c r="K3619" s="380" t="s">
        <v>313</v>
      </c>
      <c r="S3619" s="494">
        <v>2</v>
      </c>
      <c r="T3619" s="495" t="s">
        <v>4</v>
      </c>
      <c r="U3619" s="494" t="s">
        <v>2953</v>
      </c>
      <c r="V3619" s="494">
        <f t="shared" ref="V3619:V3625" si="331">V3604</f>
        <v>50.9</v>
      </c>
      <c r="W3619" s="495" t="s">
        <v>4</v>
      </c>
      <c r="X3619" s="494">
        <f>V3618*S3619</f>
        <v>244</v>
      </c>
      <c r="Y3619" s="494"/>
    </row>
    <row r="3620" spans="6:25" ht="18">
      <c r="H3620" s="238" t="s">
        <v>2801</v>
      </c>
      <c r="J3620" s="469"/>
      <c r="K3620" s="380"/>
      <c r="S3620" s="494">
        <v>5</v>
      </c>
      <c r="T3620" s="495" t="s">
        <v>4</v>
      </c>
      <c r="U3620" s="494" t="s">
        <v>2955</v>
      </c>
      <c r="V3620" s="494">
        <f t="shared" si="331"/>
        <v>79.099999999999994</v>
      </c>
      <c r="W3620" s="495" t="s">
        <v>4</v>
      </c>
      <c r="X3620" s="494">
        <f>V3619*S3620</f>
        <v>254.5</v>
      </c>
      <c r="Y3620" s="494"/>
    </row>
    <row r="3621" spans="6:25" ht="18">
      <c r="H3621" s="238" t="s">
        <v>3032</v>
      </c>
      <c r="I3621" s="384" t="s">
        <v>156</v>
      </c>
      <c r="J3621" s="470">
        <v>1.772E-2</v>
      </c>
      <c r="K3621" s="380"/>
      <c r="S3621" s="494">
        <v>2</v>
      </c>
      <c r="T3621" s="495" t="s">
        <v>4</v>
      </c>
      <c r="U3621" s="494" t="s">
        <v>2957</v>
      </c>
      <c r="V3621" s="494">
        <f t="shared" si="331"/>
        <v>57.2</v>
      </c>
      <c r="W3621" s="495" t="s">
        <v>4</v>
      </c>
      <c r="X3621" s="494">
        <f>V3620*S3621</f>
        <v>158.19999999999999</v>
      </c>
      <c r="Y3621" s="494"/>
    </row>
    <row r="3622" spans="6:25" ht="18">
      <c r="H3622" s="59"/>
      <c r="S3622" s="494">
        <v>1</v>
      </c>
      <c r="T3622" s="495" t="s">
        <v>4</v>
      </c>
      <c r="U3622" s="494" t="s">
        <v>2915</v>
      </c>
      <c r="V3622" s="494">
        <f t="shared" si="331"/>
        <v>159.69999999999999</v>
      </c>
      <c r="W3622" s="495" t="s">
        <v>4</v>
      </c>
      <c r="X3622" s="494">
        <f>V3621*S3622</f>
        <v>57.2</v>
      </c>
      <c r="Y3622" s="494"/>
    </row>
    <row r="3623" spans="6:25" ht="18">
      <c r="F3623" s="186">
        <v>5.3E-3</v>
      </c>
      <c r="G3623" s="62" t="s">
        <v>276</v>
      </c>
      <c r="H3623" s="50" t="s">
        <v>1773</v>
      </c>
      <c r="I3623" s="64">
        <f>C2604</f>
        <v>0</v>
      </c>
      <c r="J3623" s="50" t="s">
        <v>151</v>
      </c>
      <c r="K3623" s="64">
        <f t="shared" ref="K3623:K3629" si="332">(F3623*I3623)</f>
        <v>0</v>
      </c>
      <c r="S3623" s="494">
        <v>92</v>
      </c>
      <c r="T3623" s="495" t="s">
        <v>4</v>
      </c>
      <c r="U3623" s="494" t="s">
        <v>2952</v>
      </c>
      <c r="V3623" s="494">
        <f t="shared" si="331"/>
        <v>2.37</v>
      </c>
      <c r="W3623" s="495" t="s">
        <v>4</v>
      </c>
      <c r="X3623" s="494">
        <f>V3623*S3623</f>
        <v>218.04000000000002</v>
      </c>
      <c r="Y3623" s="494"/>
    </row>
    <row r="3624" spans="6:25" ht="18">
      <c r="F3624" s="186">
        <v>0.27450000000000002</v>
      </c>
      <c r="G3624" s="62" t="s">
        <v>152</v>
      </c>
      <c r="H3624" s="50" t="str">
        <f>H3602</f>
        <v>4 mm thicj frosted glass</v>
      </c>
      <c r="I3624" s="64">
        <f>I3602</f>
        <v>208.8</v>
      </c>
      <c r="J3624" s="50" t="s">
        <v>151</v>
      </c>
      <c r="K3624" s="64">
        <f t="shared" si="332"/>
        <v>57.315600000000011</v>
      </c>
      <c r="S3624" s="494">
        <v>1</v>
      </c>
      <c r="T3624" s="495" t="s">
        <v>4</v>
      </c>
      <c r="U3624" s="494" t="s">
        <v>2960</v>
      </c>
      <c r="V3624" s="494">
        <f t="shared" si="331"/>
        <v>22.7</v>
      </c>
      <c r="W3624" s="495" t="s">
        <v>4</v>
      </c>
      <c r="X3624" s="494">
        <f>V3623*S3624</f>
        <v>2.37</v>
      </c>
      <c r="Y3624" s="494"/>
    </row>
    <row r="3625" spans="6:25" ht="18">
      <c r="F3625" s="186">
        <v>0.4</v>
      </c>
      <c r="G3625" s="62" t="s">
        <v>152</v>
      </c>
      <c r="H3625" s="50" t="s">
        <v>880</v>
      </c>
      <c r="I3625" s="64">
        <f>D2547</f>
        <v>0</v>
      </c>
      <c r="J3625" s="50" t="s">
        <v>152</v>
      </c>
      <c r="K3625" s="64">
        <f t="shared" si="332"/>
        <v>0</v>
      </c>
      <c r="S3625" s="494">
        <v>1</v>
      </c>
      <c r="T3625" s="495" t="s">
        <v>4</v>
      </c>
      <c r="U3625" s="494" t="s">
        <v>2956</v>
      </c>
      <c r="V3625" s="494">
        <f t="shared" si="331"/>
        <v>43.8</v>
      </c>
      <c r="W3625" s="495" t="s">
        <v>4</v>
      </c>
      <c r="X3625" s="494">
        <f>V3624*S3625</f>
        <v>22.7</v>
      </c>
      <c r="Y3625" s="494"/>
    </row>
    <row r="3626" spans="6:25" ht="18">
      <c r="F3626" s="64">
        <v>2</v>
      </c>
      <c r="G3626" s="62" t="s">
        <v>1790</v>
      </c>
      <c r="H3626" s="50" t="s">
        <v>1791</v>
      </c>
      <c r="I3626" s="64">
        <f>C2820</f>
        <v>0</v>
      </c>
      <c r="J3626" s="50" t="s">
        <v>1790</v>
      </c>
      <c r="K3626" s="64">
        <f t="shared" si="332"/>
        <v>0</v>
      </c>
      <c r="S3626" s="500"/>
      <c r="T3626" s="495" t="s">
        <v>152</v>
      </c>
      <c r="U3626" s="494"/>
      <c r="W3626" s="495" t="s">
        <v>152</v>
      </c>
      <c r="X3626" s="494">
        <f>V3625*S3626</f>
        <v>0</v>
      </c>
      <c r="Y3626" s="494"/>
    </row>
    <row r="3627" spans="6:25" ht="18">
      <c r="F3627" s="64">
        <v>1</v>
      </c>
      <c r="G3627" s="62" t="s">
        <v>153</v>
      </c>
      <c r="H3627" s="50" t="s">
        <v>1792</v>
      </c>
      <c r="I3627" s="64">
        <f>C2808</f>
        <v>0</v>
      </c>
      <c r="J3627" s="50" t="s">
        <v>153</v>
      </c>
      <c r="K3627" s="64">
        <f t="shared" si="332"/>
        <v>0</v>
      </c>
      <c r="S3627" s="494"/>
      <c r="T3627" s="495"/>
      <c r="U3627" s="494" t="s">
        <v>2959</v>
      </c>
      <c r="V3627" s="494"/>
      <c r="W3627" s="496"/>
      <c r="X3627" s="494">
        <f>SUM(X3617:X3626)</f>
        <v>6153.7674999999999</v>
      </c>
      <c r="Y3627" s="494"/>
    </row>
    <row r="3628" spans="6:25" ht="18">
      <c r="F3628" s="64">
        <v>1</v>
      </c>
      <c r="G3628" s="62" t="s">
        <v>153</v>
      </c>
      <c r="H3628" s="50" t="s">
        <v>1793</v>
      </c>
      <c r="I3628" s="64">
        <f>C2806</f>
        <v>0</v>
      </c>
      <c r="J3628" s="50" t="s">
        <v>153</v>
      </c>
      <c r="K3628" s="64">
        <f t="shared" si="332"/>
        <v>0</v>
      </c>
      <c r="S3628" s="494"/>
      <c r="T3628" s="495"/>
      <c r="U3628" s="494" t="s">
        <v>2462</v>
      </c>
      <c r="V3628" s="494"/>
      <c r="W3628" s="496"/>
      <c r="X3628" s="494">
        <f>X3627/S3618</f>
        <v>2762.6341189674522</v>
      </c>
      <c r="Y3628" s="494"/>
    </row>
    <row r="3629" spans="6:25" ht="15.75">
      <c r="F3629" s="64">
        <v>10</v>
      </c>
      <c r="H3629" s="50" t="s">
        <v>1733</v>
      </c>
      <c r="I3629" s="64">
        <f>I3608</f>
        <v>2.37</v>
      </c>
      <c r="J3629" s="50" t="s">
        <v>153</v>
      </c>
      <c r="K3629" s="64">
        <f t="shared" si="332"/>
        <v>23.700000000000003</v>
      </c>
    </row>
    <row r="3630" spans="6:25" ht="15.75">
      <c r="K3630" s="59" t="s">
        <v>21</v>
      </c>
      <c r="S3630" s="52"/>
      <c r="U3630" s="54" t="s">
        <v>1794</v>
      </c>
    </row>
    <row r="3631" spans="6:25" ht="15.75">
      <c r="H3631" s="51" t="s">
        <v>1795</v>
      </c>
      <c r="K3631" s="64">
        <f>SUM(K3613:K3629)</f>
        <v>81.015600000000006</v>
      </c>
      <c r="S3631" s="52"/>
      <c r="U3631" s="336" t="s">
        <v>3033</v>
      </c>
    </row>
    <row r="3632" spans="6:25" ht="15.75">
      <c r="K3632" s="59" t="s">
        <v>21</v>
      </c>
      <c r="S3632" s="52"/>
    </row>
    <row r="3633" spans="6:25" ht="15.75">
      <c r="H3633" s="66" t="s">
        <v>155</v>
      </c>
      <c r="I3633" s="50" t="s">
        <v>150</v>
      </c>
      <c r="K3633" s="63">
        <f>K3631/F3625</f>
        <v>202.53900000000002</v>
      </c>
      <c r="S3633" s="52"/>
    </row>
    <row r="3634" spans="6:25" ht="15.75">
      <c r="F3634" s="50" t="s">
        <v>150</v>
      </c>
      <c r="S3634" s="194">
        <v>2.2800000000000001E-2</v>
      </c>
      <c r="T3634" s="195" t="s">
        <v>151</v>
      </c>
      <c r="U3634" s="163" t="s">
        <v>1796</v>
      </c>
      <c r="V3634" s="163">
        <f>V3612</f>
        <v>0</v>
      </c>
      <c r="W3634" s="196" t="s">
        <v>151</v>
      </c>
      <c r="X3634" s="163">
        <f>V3634*S3634</f>
        <v>0</v>
      </c>
      <c r="Y3634" s="163"/>
    </row>
    <row r="3635" spans="6:25" ht="15.75">
      <c r="K3635" s="59" t="s">
        <v>156</v>
      </c>
      <c r="S3635" s="194">
        <v>3.5400000000000001E-2</v>
      </c>
      <c r="T3635" s="195" t="s">
        <v>151</v>
      </c>
      <c r="U3635" s="163" t="s">
        <v>1797</v>
      </c>
      <c r="V3635" s="163">
        <f>V3613</f>
        <v>0</v>
      </c>
      <c r="W3635" s="196" t="s">
        <v>151</v>
      </c>
      <c r="X3635" s="163">
        <f t="shared" ref="X3635:X3644" si="333">V3635*S3635</f>
        <v>0</v>
      </c>
      <c r="Y3635" s="163"/>
    </row>
    <row r="3636" spans="6:25" ht="15.75">
      <c r="F3636" s="52">
        <v>45</v>
      </c>
      <c r="H3636" s="2110" t="s">
        <v>3034</v>
      </c>
      <c r="I3636" s="2110"/>
      <c r="J3636" s="2110"/>
      <c r="S3636" s="197">
        <v>3.2300000000000002E-2</v>
      </c>
      <c r="T3636" s="195" t="s">
        <v>151</v>
      </c>
      <c r="U3636" s="163" t="s">
        <v>1798</v>
      </c>
      <c r="V3636" s="163">
        <f>V3614</f>
        <v>0</v>
      </c>
      <c r="W3636" s="196" t="s">
        <v>151</v>
      </c>
      <c r="X3636" s="163">
        <f t="shared" si="333"/>
        <v>0</v>
      </c>
      <c r="Y3636" s="163"/>
    </row>
    <row r="3637" spans="6:25" ht="15.75">
      <c r="H3637" s="2110"/>
      <c r="I3637" s="2110"/>
      <c r="J3637" s="2110"/>
      <c r="S3637" s="198">
        <v>2.835</v>
      </c>
      <c r="T3637" s="195" t="s">
        <v>152</v>
      </c>
      <c r="U3637" s="163" t="s">
        <v>1799</v>
      </c>
      <c r="V3637" s="163">
        <v>698</v>
      </c>
      <c r="W3637" s="196" t="s">
        <v>152</v>
      </c>
      <c r="X3637" s="163">
        <f t="shared" si="333"/>
        <v>1978.83</v>
      </c>
      <c r="Y3637" s="163"/>
    </row>
    <row r="3638" spans="6:25" ht="15.75">
      <c r="S3638" s="163">
        <v>2</v>
      </c>
      <c r="T3638" s="195" t="s">
        <v>295</v>
      </c>
      <c r="U3638" s="52" t="s">
        <v>2565</v>
      </c>
      <c r="V3638" s="354">
        <v>450</v>
      </c>
      <c r="W3638" s="196" t="s">
        <v>340</v>
      </c>
      <c r="X3638" s="163">
        <f t="shared" si="333"/>
        <v>900</v>
      </c>
      <c r="Y3638" s="163"/>
    </row>
    <row r="3639" spans="6:25" ht="15.75">
      <c r="F3639" s="64">
        <v>0.15</v>
      </c>
      <c r="G3639" s="53" t="s">
        <v>151</v>
      </c>
      <c r="H3639" s="300" t="s">
        <v>3035</v>
      </c>
      <c r="I3639" s="129">
        <v>2525.42</v>
      </c>
      <c r="J3639" s="55" t="s">
        <v>151</v>
      </c>
      <c r="K3639" s="52">
        <f t="shared" ref="K3639:K3644" si="334">I3639*F3639</f>
        <v>378.81299999999999</v>
      </c>
      <c r="L3639" s="52">
        <f>89.4/0.0354</f>
        <v>2525.4237288135596</v>
      </c>
      <c r="S3639" s="163">
        <v>6</v>
      </c>
      <c r="T3639" s="195" t="s">
        <v>295</v>
      </c>
      <c r="U3639" s="52" t="s">
        <v>2566</v>
      </c>
      <c r="V3639" s="354">
        <v>79</v>
      </c>
      <c r="W3639" s="196" t="s">
        <v>340</v>
      </c>
      <c r="X3639" s="163">
        <f t="shared" si="333"/>
        <v>474</v>
      </c>
      <c r="Y3639" s="163"/>
    </row>
    <row r="3640" spans="6:25" ht="15.75">
      <c r="F3640" s="131">
        <v>7.1999999999999995E-2</v>
      </c>
      <c r="G3640" s="53" t="s">
        <v>251</v>
      </c>
      <c r="H3640" s="52" t="s">
        <v>252</v>
      </c>
      <c r="I3640" s="52">
        <f>I1645</f>
        <v>5800</v>
      </c>
      <c r="J3640" s="55" t="s">
        <v>251</v>
      </c>
      <c r="K3640" s="52">
        <f t="shared" si="334"/>
        <v>417.59999999999997</v>
      </c>
      <c r="S3640" s="163">
        <v>4</v>
      </c>
      <c r="T3640" s="195" t="s">
        <v>295</v>
      </c>
      <c r="U3640" s="52" t="s">
        <v>2567</v>
      </c>
      <c r="V3640" s="354">
        <v>130</v>
      </c>
      <c r="W3640" s="196" t="s">
        <v>340</v>
      </c>
      <c r="X3640" s="163">
        <f t="shared" si="333"/>
        <v>520</v>
      </c>
      <c r="Y3640" s="163"/>
    </row>
    <row r="3641" spans="6:25" ht="15.75">
      <c r="F3641" s="64">
        <v>1.6</v>
      </c>
      <c r="G3641" s="53" t="s">
        <v>4</v>
      </c>
      <c r="H3641" s="52" t="s">
        <v>269</v>
      </c>
      <c r="I3641" s="52">
        <f>I1646</f>
        <v>1076.5999999999999</v>
      </c>
      <c r="J3641" s="55" t="s">
        <v>4</v>
      </c>
      <c r="K3641" s="52">
        <f t="shared" si="334"/>
        <v>1722.56</v>
      </c>
      <c r="S3641" s="163">
        <v>1</v>
      </c>
      <c r="T3641" s="195" t="s">
        <v>295</v>
      </c>
      <c r="U3641" s="52" t="s">
        <v>2568</v>
      </c>
      <c r="V3641" s="354">
        <v>985</v>
      </c>
      <c r="W3641" s="196" t="s">
        <v>340</v>
      </c>
      <c r="X3641" s="163">
        <f t="shared" si="333"/>
        <v>985</v>
      </c>
      <c r="Y3641" s="163"/>
    </row>
    <row r="3642" spans="6:25" ht="15.75">
      <c r="F3642" s="64">
        <v>0.5</v>
      </c>
      <c r="G3642" s="53" t="s">
        <v>4</v>
      </c>
      <c r="H3642" s="52" t="s">
        <v>235</v>
      </c>
      <c r="I3642" s="52">
        <f>I1647</f>
        <v>702.8</v>
      </c>
      <c r="J3642" s="55" t="s">
        <v>4</v>
      </c>
      <c r="K3642" s="52">
        <f t="shared" si="334"/>
        <v>351.4</v>
      </c>
      <c r="S3642" s="163">
        <v>2</v>
      </c>
      <c r="T3642" s="195" t="s">
        <v>295</v>
      </c>
      <c r="U3642" s="52" t="s">
        <v>2569</v>
      </c>
      <c r="V3642" s="354">
        <v>24.2</v>
      </c>
      <c r="W3642" s="196" t="s">
        <v>340</v>
      </c>
      <c r="X3642" s="163">
        <f t="shared" si="333"/>
        <v>48.4</v>
      </c>
      <c r="Y3642" s="163"/>
    </row>
    <row r="3643" spans="6:25" ht="15.75">
      <c r="F3643" s="64">
        <v>1.1000000000000001</v>
      </c>
      <c r="G3643" s="53" t="s">
        <v>4</v>
      </c>
      <c r="H3643" s="52" t="s">
        <v>236</v>
      </c>
      <c r="I3643" s="52">
        <f>I1648</f>
        <v>576.79999999999995</v>
      </c>
      <c r="J3643" s="55" t="s">
        <v>4</v>
      </c>
      <c r="K3643" s="52">
        <f t="shared" si="334"/>
        <v>634.48</v>
      </c>
      <c r="S3643" s="163">
        <v>2</v>
      </c>
      <c r="T3643" s="195" t="s">
        <v>295</v>
      </c>
      <c r="U3643" s="163" t="s">
        <v>886</v>
      </c>
      <c r="V3643" s="163">
        <v>48.9</v>
      </c>
      <c r="W3643" s="196" t="s">
        <v>340</v>
      </c>
      <c r="X3643" s="163">
        <f t="shared" si="333"/>
        <v>97.8</v>
      </c>
      <c r="Y3643" s="163"/>
    </row>
    <row r="3644" spans="6:25" ht="15.75">
      <c r="F3644" s="64">
        <v>14.5</v>
      </c>
      <c r="G3644" s="53" t="s">
        <v>2161</v>
      </c>
      <c r="H3644" s="52" t="s">
        <v>3036</v>
      </c>
      <c r="I3644" s="52">
        <f>I3747</f>
        <v>24.5</v>
      </c>
      <c r="J3644" s="55" t="s">
        <v>2161</v>
      </c>
      <c r="K3644" s="52">
        <f t="shared" si="334"/>
        <v>355.25</v>
      </c>
      <c r="S3644" s="163">
        <v>118</v>
      </c>
      <c r="T3644" s="125"/>
      <c r="U3644" s="163" t="s">
        <v>1733</v>
      </c>
      <c r="V3644" s="163">
        <v>2.4</v>
      </c>
      <c r="W3644" s="196"/>
      <c r="X3644" s="163">
        <f t="shared" si="333"/>
        <v>283.2</v>
      </c>
      <c r="Y3644" s="163"/>
    </row>
    <row r="3645" spans="6:25" ht="15.75">
      <c r="G3645" s="53" t="s">
        <v>287</v>
      </c>
      <c r="H3645" s="52" t="s">
        <v>237</v>
      </c>
      <c r="J3645" s="55" t="s">
        <v>287</v>
      </c>
      <c r="K3645" s="52">
        <v>7</v>
      </c>
      <c r="S3645" s="52"/>
      <c r="W3645" s="196"/>
      <c r="X3645" s="65">
        <f>SUM(X3634:X3644)</f>
        <v>5287.23</v>
      </c>
      <c r="Y3645" s="65"/>
    </row>
    <row r="3646" spans="6:25" ht="15.75">
      <c r="S3646" s="163"/>
      <c r="T3646" s="125"/>
      <c r="U3646" s="65"/>
      <c r="V3646" s="163"/>
      <c r="W3646" s="196"/>
      <c r="X3646" s="199" t="s">
        <v>1810</v>
      </c>
      <c r="Y3646" s="199"/>
    </row>
    <row r="3647" spans="6:25" ht="15.75">
      <c r="H3647" s="52" t="s">
        <v>238</v>
      </c>
      <c r="K3647" s="52">
        <f>SUM(K3639:K3646)</f>
        <v>3867.1030000000001</v>
      </c>
      <c r="S3647" s="163"/>
      <c r="T3647" s="125"/>
      <c r="U3647" s="65" t="s">
        <v>1813</v>
      </c>
      <c r="V3647" s="163"/>
      <c r="W3647" s="196"/>
      <c r="X3647" s="65">
        <f>X3645/2.835</f>
        <v>1864.9841269841268</v>
      </c>
      <c r="Y3647" s="65"/>
    </row>
    <row r="3648" spans="6:25" ht="15.75">
      <c r="H3648" s="52" t="s">
        <v>155</v>
      </c>
      <c r="K3648" s="52">
        <f>K3647/10</f>
        <v>386.71030000000002</v>
      </c>
      <c r="S3648" s="163"/>
      <c r="T3648" s="125"/>
      <c r="W3648" s="55"/>
      <c r="X3648" s="104" t="s">
        <v>1810</v>
      </c>
      <c r="Y3648" s="104"/>
    </row>
    <row r="3649" spans="6:26" ht="15.75">
      <c r="S3649" s="52"/>
    </row>
    <row r="3650" spans="6:26" ht="16.5">
      <c r="K3650" s="52" t="s">
        <v>156</v>
      </c>
      <c r="S3650" s="507" t="s">
        <v>3037</v>
      </c>
      <c r="T3650" s="507"/>
      <c r="U3650" s="507"/>
      <c r="V3650" s="507"/>
      <c r="W3650" s="508"/>
      <c r="X3650" s="508"/>
      <c r="Y3650" s="508"/>
      <c r="Z3650" s="247"/>
    </row>
    <row r="3651" spans="6:26" ht="16.5">
      <c r="S3651" s="249"/>
      <c r="T3651" s="250"/>
      <c r="U3651" s="251"/>
      <c r="V3651" s="252"/>
      <c r="W3651" s="250"/>
      <c r="X3651" s="252"/>
      <c r="Y3651" s="252"/>
      <c r="Z3651" s="247"/>
    </row>
    <row r="3652" spans="6:26" ht="16.5">
      <c r="G3652" s="52"/>
      <c r="H3652" s="66" t="s">
        <v>3038</v>
      </c>
      <c r="J3652" s="52"/>
      <c r="S3652" s="249"/>
      <c r="T3652" s="250"/>
      <c r="U3652" s="253"/>
      <c r="V3652" s="252"/>
      <c r="W3652" s="250"/>
      <c r="X3652" s="252"/>
      <c r="Y3652" s="252"/>
      <c r="Z3652" s="247"/>
    </row>
    <row r="3653" spans="6:26" ht="16.5">
      <c r="G3653" s="52"/>
      <c r="H3653" s="59" t="s">
        <v>21</v>
      </c>
      <c r="J3653" s="52"/>
      <c r="S3653" s="249">
        <v>28.49</v>
      </c>
      <c r="T3653" s="250" t="s">
        <v>534</v>
      </c>
      <c r="U3653" s="509" t="s">
        <v>3039</v>
      </c>
      <c r="V3653" s="252">
        <f>I3781</f>
        <v>287</v>
      </c>
      <c r="W3653" s="250" t="s">
        <v>534</v>
      </c>
      <c r="X3653" s="252">
        <f>V3653*S3653</f>
        <v>8176.6299999999992</v>
      </c>
      <c r="Y3653" s="252"/>
      <c r="Z3653" s="247"/>
    </row>
    <row r="3654" spans="6:26" ht="16.5">
      <c r="G3654" s="50" t="s">
        <v>249</v>
      </c>
      <c r="H3654" s="54" t="s">
        <v>3040</v>
      </c>
      <c r="J3654" s="52"/>
      <c r="S3654" s="510">
        <v>3.82</v>
      </c>
      <c r="T3654" s="250" t="s">
        <v>303</v>
      </c>
      <c r="U3654" s="253" t="s">
        <v>3041</v>
      </c>
      <c r="V3654" s="252">
        <v>35.5</v>
      </c>
      <c r="W3654" s="250" t="s">
        <v>303</v>
      </c>
      <c r="X3654" s="252">
        <v>501.66</v>
      </c>
      <c r="Y3654" s="252"/>
      <c r="Z3654" s="247"/>
    </row>
    <row r="3655" spans="6:26" ht="16.5">
      <c r="G3655" s="52"/>
      <c r="H3655" s="54" t="s">
        <v>3042</v>
      </c>
      <c r="J3655" s="52"/>
      <c r="S3655" s="249">
        <v>1.52</v>
      </c>
      <c r="T3655" s="250" t="s">
        <v>533</v>
      </c>
      <c r="U3655" s="253" t="s">
        <v>3043</v>
      </c>
      <c r="V3655" s="252">
        <v>336</v>
      </c>
      <c r="W3655" s="250" t="s">
        <v>533</v>
      </c>
      <c r="X3655" s="252">
        <f t="shared" ref="X3655:X3664" si="335">V3655*S3655</f>
        <v>510.72</v>
      </c>
      <c r="Y3655" s="252"/>
      <c r="Z3655" s="247"/>
    </row>
    <row r="3656" spans="6:26" ht="16.5">
      <c r="G3656" s="52"/>
      <c r="H3656" s="54" t="s">
        <v>1055</v>
      </c>
      <c r="J3656" s="52"/>
      <c r="S3656" s="249">
        <v>1.52</v>
      </c>
      <c r="T3656" s="250" t="s">
        <v>533</v>
      </c>
      <c r="U3656" s="253" t="s">
        <v>3044</v>
      </c>
      <c r="V3656" s="252">
        <v>695</v>
      </c>
      <c r="W3656" s="250" t="s">
        <v>4</v>
      </c>
      <c r="X3656" s="252">
        <f t="shared" si="335"/>
        <v>1056.4000000000001</v>
      </c>
      <c r="Y3656" s="252"/>
      <c r="Z3656" s="247"/>
    </row>
    <row r="3657" spans="6:26" ht="16.5">
      <c r="G3657" s="52"/>
      <c r="H3657" s="59" t="s">
        <v>21</v>
      </c>
      <c r="J3657" s="52"/>
      <c r="S3657" s="249">
        <v>3</v>
      </c>
      <c r="T3657" s="250" t="s">
        <v>10</v>
      </c>
      <c r="U3657" s="253" t="s">
        <v>3045</v>
      </c>
      <c r="V3657" s="252">
        <v>11.1</v>
      </c>
      <c r="W3657" s="250" t="s">
        <v>10</v>
      </c>
      <c r="X3657" s="252">
        <f t="shared" si="335"/>
        <v>33.299999999999997</v>
      </c>
      <c r="Y3657" s="252"/>
      <c r="Z3657" s="247"/>
    </row>
    <row r="3658" spans="6:26" ht="16.5">
      <c r="G3658" s="50" t="s">
        <v>1056</v>
      </c>
      <c r="H3658" s="511" t="s">
        <v>3046</v>
      </c>
      <c r="J3658" s="52"/>
      <c r="S3658" s="249">
        <v>4.2</v>
      </c>
      <c r="T3658" s="250" t="s">
        <v>340</v>
      </c>
      <c r="U3658" s="253" t="s">
        <v>3047</v>
      </c>
      <c r="V3658" s="252">
        <v>7.2</v>
      </c>
      <c r="W3658" s="250" t="s">
        <v>4</v>
      </c>
      <c r="X3658" s="252">
        <f t="shared" si="335"/>
        <v>30.240000000000002</v>
      </c>
      <c r="Y3658" s="252"/>
      <c r="Z3658" s="247"/>
    </row>
    <row r="3659" spans="6:26" ht="16.5">
      <c r="G3659" s="52"/>
      <c r="H3659" s="59" t="s">
        <v>21</v>
      </c>
      <c r="J3659" s="52"/>
      <c r="S3659" s="249">
        <v>3.15</v>
      </c>
      <c r="T3659" s="250" t="s">
        <v>306</v>
      </c>
      <c r="U3659" s="253" t="s">
        <v>2041</v>
      </c>
      <c r="V3659" s="247">
        <f>X3675</f>
        <v>2156</v>
      </c>
      <c r="W3659" s="250" t="s">
        <v>306</v>
      </c>
      <c r="X3659" s="252">
        <f t="shared" si="335"/>
        <v>6791.4</v>
      </c>
      <c r="Y3659" s="252"/>
      <c r="Z3659" s="247"/>
    </row>
    <row r="3660" spans="6:26" ht="16.5">
      <c r="F3660" s="64">
        <v>18.899999999999999</v>
      </c>
      <c r="G3660" s="50" t="s">
        <v>151</v>
      </c>
      <c r="H3660" s="50" t="s">
        <v>1060</v>
      </c>
      <c r="I3660" s="64">
        <f>P431</f>
        <v>235.2</v>
      </c>
      <c r="J3660" s="50" t="s">
        <v>151</v>
      </c>
      <c r="K3660" s="64">
        <f>(F3660*I3660)</f>
        <v>4445.28</v>
      </c>
      <c r="S3660" s="65">
        <v>1</v>
      </c>
      <c r="T3660" s="125" t="s">
        <v>295</v>
      </c>
      <c r="U3660" s="65" t="s">
        <v>3048</v>
      </c>
      <c r="V3660" s="65">
        <v>43.8</v>
      </c>
      <c r="W3660" s="110" t="s">
        <v>340</v>
      </c>
      <c r="X3660" s="65">
        <f t="shared" si="335"/>
        <v>43.8</v>
      </c>
      <c r="Y3660" s="65"/>
      <c r="Z3660" s="247"/>
    </row>
    <row r="3661" spans="6:26" ht="16.5">
      <c r="F3661" s="64">
        <v>18.63</v>
      </c>
      <c r="G3661" s="50" t="s">
        <v>151</v>
      </c>
      <c r="H3661" s="50" t="s">
        <v>1061</v>
      </c>
      <c r="I3661" s="64">
        <f>P432</f>
        <v>41.019999999999996</v>
      </c>
      <c r="J3661" s="50" t="s">
        <v>151</v>
      </c>
      <c r="K3661" s="64">
        <f>(F3661*I3661)</f>
        <v>764.20259999999985</v>
      </c>
      <c r="S3661" s="65">
        <v>1</v>
      </c>
      <c r="T3661" s="125" t="s">
        <v>295</v>
      </c>
      <c r="U3661" s="65" t="s">
        <v>3049</v>
      </c>
      <c r="V3661" s="65">
        <v>890</v>
      </c>
      <c r="W3661" s="110" t="s">
        <v>340</v>
      </c>
      <c r="X3661" s="65">
        <f t="shared" si="335"/>
        <v>890</v>
      </c>
      <c r="Y3661" s="65"/>
      <c r="Z3661" s="247"/>
    </row>
    <row r="3662" spans="6:26" ht="18">
      <c r="F3662" s="64">
        <v>30</v>
      </c>
      <c r="G3662" s="50" t="s">
        <v>552</v>
      </c>
      <c r="H3662" s="111" t="s">
        <v>3050</v>
      </c>
      <c r="I3662" s="63">
        <v>191</v>
      </c>
      <c r="J3662" s="50" t="s">
        <v>552</v>
      </c>
      <c r="K3662" s="64">
        <f>(F3662*I3662)</f>
        <v>5730</v>
      </c>
      <c r="S3662" s="494">
        <v>45</v>
      </c>
      <c r="T3662" s="495" t="s">
        <v>295</v>
      </c>
      <c r="U3662" s="494" t="s">
        <v>3051</v>
      </c>
      <c r="V3662" s="512">
        <v>1.45</v>
      </c>
      <c r="W3662" s="496" t="s">
        <v>68</v>
      </c>
      <c r="X3662" s="252">
        <f t="shared" si="335"/>
        <v>65.25</v>
      </c>
      <c r="Y3662" s="252"/>
      <c r="Z3662" s="247"/>
    </row>
    <row r="3663" spans="6:26" ht="18">
      <c r="G3663" s="52"/>
      <c r="J3663" s="52"/>
      <c r="S3663" s="494">
        <v>2</v>
      </c>
      <c r="T3663" s="495" t="s">
        <v>295</v>
      </c>
      <c r="U3663" s="494" t="s">
        <v>3052</v>
      </c>
      <c r="V3663" s="512">
        <v>108.7</v>
      </c>
      <c r="W3663" s="110" t="s">
        <v>340</v>
      </c>
      <c r="X3663" s="252">
        <f t="shared" si="335"/>
        <v>217.4</v>
      </c>
      <c r="Y3663" s="252"/>
      <c r="Z3663" s="247"/>
    </row>
    <row r="3664" spans="6:26" ht="18">
      <c r="F3664" s="64">
        <v>30</v>
      </c>
      <c r="G3664" s="50" t="s">
        <v>552</v>
      </c>
      <c r="H3664" s="50" t="s">
        <v>1062</v>
      </c>
      <c r="I3664" s="64">
        <v>11.02</v>
      </c>
      <c r="J3664" s="50" t="s">
        <v>552</v>
      </c>
      <c r="K3664" s="64">
        <f>(F3664*I3664)</f>
        <v>330.59999999999997</v>
      </c>
      <c r="S3664" s="494">
        <v>2</v>
      </c>
      <c r="T3664" s="495" t="s">
        <v>295</v>
      </c>
      <c r="U3664" s="494" t="s">
        <v>3053</v>
      </c>
      <c r="V3664" s="512">
        <v>54</v>
      </c>
      <c r="W3664" s="110" t="s">
        <v>340</v>
      </c>
      <c r="X3664" s="252">
        <f t="shared" si="335"/>
        <v>108</v>
      </c>
      <c r="Y3664" s="252"/>
      <c r="Z3664" s="247"/>
    </row>
    <row r="3665" spans="6:26" ht="16.5">
      <c r="G3665" s="52"/>
      <c r="H3665" s="50" t="s">
        <v>1063</v>
      </c>
      <c r="J3665" s="52"/>
      <c r="S3665" s="52"/>
      <c r="X3665" s="56"/>
      <c r="Y3665" s="56"/>
      <c r="Z3665" s="247"/>
    </row>
    <row r="3666" spans="6:26" ht="16.5">
      <c r="G3666" s="52"/>
      <c r="H3666" s="50" t="s">
        <v>1064</v>
      </c>
      <c r="J3666" s="52"/>
      <c r="S3666" s="249"/>
      <c r="T3666" s="250"/>
      <c r="U3666" s="253"/>
      <c r="V3666" s="247"/>
      <c r="W3666" s="254"/>
      <c r="X3666" s="252"/>
      <c r="Y3666" s="252"/>
      <c r="Z3666" s="247"/>
    </row>
    <row r="3667" spans="6:26" ht="16.5">
      <c r="G3667" s="52"/>
      <c r="H3667" s="50" t="s">
        <v>1065</v>
      </c>
      <c r="J3667" s="52"/>
      <c r="S3667" s="249"/>
      <c r="T3667" s="250"/>
      <c r="U3667" s="50" t="s">
        <v>3054</v>
      </c>
      <c r="W3667" s="250"/>
      <c r="X3667" s="252">
        <f>SUM(X3653:X3666)</f>
        <v>18424.8</v>
      </c>
      <c r="Y3667" s="252"/>
      <c r="Z3667" s="247"/>
    </row>
    <row r="3668" spans="6:26" ht="16.5">
      <c r="G3668" s="52"/>
      <c r="H3668" s="50" t="s">
        <v>3055</v>
      </c>
      <c r="J3668" s="52"/>
      <c r="S3668" s="249"/>
      <c r="T3668" s="250"/>
      <c r="U3668" s="50" t="s">
        <v>155</v>
      </c>
      <c r="W3668" s="508"/>
      <c r="X3668" s="256">
        <f>X3667/3.15</f>
        <v>5849.1428571428569</v>
      </c>
      <c r="Y3668" s="256"/>
      <c r="Z3668" s="258" t="s">
        <v>340</v>
      </c>
    </row>
    <row r="3669" spans="6:26" ht="16.5">
      <c r="G3669" s="52"/>
      <c r="H3669" s="50"/>
      <c r="J3669" s="52"/>
      <c r="S3669" s="247"/>
      <c r="T3669" s="247"/>
      <c r="U3669" s="259"/>
      <c r="V3669" s="247"/>
      <c r="W3669" s="247"/>
      <c r="X3669" s="247"/>
      <c r="Y3669" s="247"/>
      <c r="Z3669" s="247"/>
    </row>
    <row r="3670" spans="6:26" ht="16.5">
      <c r="F3670" s="64">
        <v>5</v>
      </c>
      <c r="G3670" s="50" t="s">
        <v>4</v>
      </c>
      <c r="H3670" s="112" t="s">
        <v>3056</v>
      </c>
      <c r="I3670" s="73">
        <v>35.6</v>
      </c>
      <c r="J3670" s="50" t="s">
        <v>4</v>
      </c>
      <c r="K3670" s="64">
        <f>(F3670*I3670)</f>
        <v>178</v>
      </c>
      <c r="S3670" s="252">
        <v>1</v>
      </c>
      <c r="T3670" s="250" t="s">
        <v>153</v>
      </c>
      <c r="U3670" s="253" t="s">
        <v>2044</v>
      </c>
      <c r="V3670" s="252">
        <f>AG17</f>
        <v>950.59999999999991</v>
      </c>
      <c r="W3670" s="253" t="s">
        <v>153</v>
      </c>
      <c r="X3670" s="252">
        <f>V3670*S3670</f>
        <v>950.59999999999991</v>
      </c>
      <c r="Y3670" s="252"/>
      <c r="Z3670" s="247"/>
    </row>
    <row r="3671" spans="6:26" ht="16.5">
      <c r="F3671" s="64">
        <v>1</v>
      </c>
      <c r="G3671" s="50" t="s">
        <v>226</v>
      </c>
      <c r="H3671" s="50" t="s">
        <v>1074</v>
      </c>
      <c r="I3671" s="64">
        <v>12.1</v>
      </c>
      <c r="J3671" s="50" t="s">
        <v>226</v>
      </c>
      <c r="K3671" s="64">
        <f>(F3671*I3671)</f>
        <v>12.1</v>
      </c>
      <c r="S3671" s="252">
        <v>1</v>
      </c>
      <c r="T3671" s="250" t="s">
        <v>153</v>
      </c>
      <c r="U3671" s="253" t="s">
        <v>2045</v>
      </c>
      <c r="V3671" s="252">
        <f>AG11</f>
        <v>702.8</v>
      </c>
      <c r="W3671" s="253" t="s">
        <v>153</v>
      </c>
      <c r="X3671" s="252">
        <f>V3671*S3671</f>
        <v>702.8</v>
      </c>
      <c r="Y3671" s="252"/>
      <c r="Z3671" s="247"/>
    </row>
    <row r="3672" spans="6:26" ht="16.5">
      <c r="F3672" s="64"/>
      <c r="G3672" s="50" t="s">
        <v>226</v>
      </c>
      <c r="H3672" s="50" t="s">
        <v>237</v>
      </c>
      <c r="J3672" s="50" t="s">
        <v>226</v>
      </c>
      <c r="K3672" s="64">
        <v>17.100000000000001</v>
      </c>
      <c r="S3672" s="252">
        <v>0.5</v>
      </c>
      <c r="T3672" s="250" t="s">
        <v>153</v>
      </c>
      <c r="U3672" s="253" t="s">
        <v>2046</v>
      </c>
      <c r="V3672" s="252">
        <f>AG20</f>
        <v>1005.1999999999999</v>
      </c>
      <c r="W3672" s="253" t="s">
        <v>153</v>
      </c>
      <c r="X3672" s="252">
        <f>V3672*S3672</f>
        <v>502.59999999999997</v>
      </c>
      <c r="Y3672" s="252"/>
      <c r="Z3672" s="247"/>
    </row>
    <row r="3673" spans="6:26" ht="16.5">
      <c r="G3673" s="52"/>
      <c r="J3673" s="52"/>
      <c r="S3673" s="247"/>
      <c r="T3673" s="250" t="s">
        <v>226</v>
      </c>
      <c r="U3673" s="253"/>
      <c r="V3673" s="252"/>
      <c r="W3673" s="253" t="s">
        <v>226</v>
      </c>
      <c r="X3673" s="252"/>
      <c r="Y3673" s="252"/>
      <c r="Z3673" s="247"/>
    </row>
    <row r="3674" spans="6:26" ht="16.5">
      <c r="G3674" s="52"/>
      <c r="J3674" s="52"/>
      <c r="K3674" s="59" t="s">
        <v>21</v>
      </c>
      <c r="S3674" s="247"/>
      <c r="T3674" s="255"/>
      <c r="U3674" s="247"/>
      <c r="V3674" s="247"/>
      <c r="W3674" s="260"/>
      <c r="X3674" s="261" t="s">
        <v>21</v>
      </c>
      <c r="Y3674" s="261"/>
      <c r="Z3674" s="247"/>
    </row>
    <row r="3675" spans="6:26" ht="16.5">
      <c r="G3675" s="52"/>
      <c r="H3675" s="50" t="s">
        <v>1076</v>
      </c>
      <c r="J3675" s="52"/>
      <c r="K3675" s="64">
        <f>SUM(K3660:K3672)</f>
        <v>11477.2826</v>
      </c>
      <c r="S3675" s="247"/>
      <c r="T3675" s="255"/>
      <c r="U3675" s="253" t="s">
        <v>2047</v>
      </c>
      <c r="V3675" s="247"/>
      <c r="W3675" s="260"/>
      <c r="X3675" s="256">
        <f>SUM(X3670:X3674)</f>
        <v>2156</v>
      </c>
      <c r="Y3675" s="256"/>
      <c r="Z3675" s="247"/>
    </row>
    <row r="3676" spans="6:26" ht="16.5">
      <c r="G3676" s="52"/>
      <c r="J3676" s="52"/>
      <c r="K3676" s="59" t="s">
        <v>21</v>
      </c>
      <c r="S3676" s="247"/>
      <c r="T3676" s="255"/>
      <c r="U3676" s="247"/>
      <c r="V3676" s="247"/>
      <c r="W3676" s="260"/>
      <c r="X3676" s="261" t="s">
        <v>21</v>
      </c>
      <c r="Y3676" s="261"/>
      <c r="Z3676" s="247"/>
    </row>
    <row r="3677" spans="6:26" ht="15.75">
      <c r="G3677" s="52"/>
      <c r="H3677" s="50" t="s">
        <v>562</v>
      </c>
      <c r="J3677" s="52"/>
      <c r="K3677" s="63">
        <f>(K3675/30)</f>
        <v>382.5760866666667</v>
      </c>
      <c r="S3677" s="52"/>
    </row>
    <row r="3678" spans="6:26" ht="15.75">
      <c r="G3678" s="52"/>
      <c r="J3678" s="52"/>
      <c r="K3678" s="59" t="s">
        <v>21</v>
      </c>
      <c r="S3678" s="52"/>
    </row>
    <row r="3679" spans="6:26" ht="15.75">
      <c r="G3679" s="50" t="s">
        <v>6</v>
      </c>
      <c r="H3679" s="511" t="s">
        <v>3057</v>
      </c>
      <c r="J3679" s="52"/>
      <c r="S3679" s="513"/>
      <c r="T3679" s="513"/>
      <c r="U3679" s="513"/>
      <c r="V3679" s="513"/>
      <c r="W3679" s="513"/>
      <c r="X3679" s="513"/>
      <c r="Y3679" s="513"/>
    </row>
    <row r="3680" spans="6:26" ht="16.5">
      <c r="G3680" s="52"/>
      <c r="H3680" s="59" t="s">
        <v>21</v>
      </c>
      <c r="J3680" s="52"/>
      <c r="S3680" s="2111" t="s">
        <v>3058</v>
      </c>
      <c r="T3680" s="2111"/>
      <c r="U3680" s="2111"/>
      <c r="V3680" s="2111"/>
      <c r="W3680" s="508"/>
      <c r="X3680" s="508"/>
      <c r="Y3680" s="508"/>
    </row>
    <row r="3681" spans="6:26" ht="16.5">
      <c r="F3681" s="64">
        <f>F3660</f>
        <v>18.899999999999999</v>
      </c>
      <c r="G3681" s="50" t="s">
        <v>151</v>
      </c>
      <c r="H3681" s="50" t="str">
        <f>H3660</f>
        <v>E.W EXCLUDING REFILLING</v>
      </c>
      <c r="I3681" s="64">
        <f>I3660</f>
        <v>235.2</v>
      </c>
      <c r="J3681" s="50" t="s">
        <v>151</v>
      </c>
      <c r="K3681" s="64">
        <f>(F3681*I3681)</f>
        <v>4445.28</v>
      </c>
      <c r="S3681" s="249"/>
      <c r="T3681" s="250"/>
      <c r="U3681" s="251"/>
      <c r="V3681" s="252"/>
      <c r="W3681" s="250"/>
      <c r="X3681" s="252"/>
      <c r="Y3681" s="252"/>
    </row>
    <row r="3682" spans="6:26" ht="16.5">
      <c r="F3682" s="64">
        <v>18.3</v>
      </c>
      <c r="G3682" s="50" t="s">
        <v>151</v>
      </c>
      <c r="H3682" s="50" t="str">
        <f>H3661</f>
        <v>REFILLING CHARGE</v>
      </c>
      <c r="I3682" s="64">
        <f>I3661</f>
        <v>41.019999999999996</v>
      </c>
      <c r="J3682" s="50" t="s">
        <v>151</v>
      </c>
      <c r="K3682" s="64">
        <f>(F3682*I3682)</f>
        <v>750.66599999999994</v>
      </c>
      <c r="S3682" s="249"/>
      <c r="T3682" s="250"/>
      <c r="U3682" s="253"/>
      <c r="V3682" s="252"/>
      <c r="W3682" s="250"/>
      <c r="X3682" s="252"/>
      <c r="Y3682" s="252"/>
    </row>
    <row r="3683" spans="6:26" ht="16.5">
      <c r="F3683" s="64">
        <f>F3662</f>
        <v>30</v>
      </c>
      <c r="G3683" s="50" t="s">
        <v>552</v>
      </c>
      <c r="H3683" s="111" t="s">
        <v>3059</v>
      </c>
      <c r="I3683" s="63">
        <v>402</v>
      </c>
      <c r="J3683" s="50" t="s">
        <v>552</v>
      </c>
      <c r="K3683" s="64">
        <f>(F3683*I3683)</f>
        <v>12060</v>
      </c>
      <c r="S3683" s="249">
        <v>29.06</v>
      </c>
      <c r="T3683" s="250" t="s">
        <v>534</v>
      </c>
      <c r="U3683" s="509" t="s">
        <v>3039</v>
      </c>
      <c r="V3683" s="252">
        <f>V3653</f>
        <v>287</v>
      </c>
      <c r="W3683" s="250" t="s">
        <v>534</v>
      </c>
      <c r="X3683" s="252">
        <f>V3683*S3683</f>
        <v>8340.2199999999993</v>
      </c>
      <c r="Y3683" s="252"/>
    </row>
    <row r="3684" spans="6:26" ht="16.5">
      <c r="F3684" s="64"/>
      <c r="G3684" s="52"/>
      <c r="H3684" s="50"/>
      <c r="I3684" s="64"/>
      <c r="J3684" s="52"/>
      <c r="K3684" s="64"/>
      <c r="S3684" s="510">
        <v>9.24</v>
      </c>
      <c r="T3684" s="250" t="s">
        <v>303</v>
      </c>
      <c r="U3684" s="253" t="s">
        <v>3060</v>
      </c>
      <c r="V3684" s="252">
        <f t="shared" ref="V3684:V3694" si="336">V3654</f>
        <v>35.5</v>
      </c>
      <c r="W3684" s="250" t="s">
        <v>303</v>
      </c>
      <c r="X3684" s="252">
        <f t="shared" ref="X3684:X3694" si="337">V3684*S3684</f>
        <v>328.02</v>
      </c>
      <c r="Y3684" s="252"/>
    </row>
    <row r="3685" spans="6:26" ht="16.5">
      <c r="F3685" s="64">
        <f>F3664</f>
        <v>30</v>
      </c>
      <c r="G3685" s="52"/>
      <c r="H3685" s="50" t="str">
        <f>H3664</f>
        <v>CONVEYING,LOWERING  ANDLAYING</v>
      </c>
      <c r="I3685" s="64">
        <v>15.54</v>
      </c>
      <c r="J3685" s="50" t="s">
        <v>552</v>
      </c>
      <c r="K3685" s="64">
        <f>(F3685*I3685)</f>
        <v>466.2</v>
      </c>
      <c r="S3685" s="249">
        <v>1.49</v>
      </c>
      <c r="T3685" s="250" t="s">
        <v>533</v>
      </c>
      <c r="U3685" s="253" t="s">
        <v>3043</v>
      </c>
      <c r="V3685" s="252">
        <f t="shared" si="336"/>
        <v>336</v>
      </c>
      <c r="W3685" s="250" t="s">
        <v>533</v>
      </c>
      <c r="X3685" s="252">
        <f t="shared" si="337"/>
        <v>500.64</v>
      </c>
      <c r="Y3685" s="252"/>
    </row>
    <row r="3686" spans="6:26" ht="16.5">
      <c r="F3686" s="64"/>
      <c r="G3686" s="52"/>
      <c r="H3686" s="50" t="str">
        <f>H3665</f>
        <v>TO PROPER GRADEAND</v>
      </c>
      <c r="I3686" s="64"/>
      <c r="J3686" s="52"/>
      <c r="S3686" s="249">
        <v>0.75</v>
      </c>
      <c r="T3686" s="250" t="s">
        <v>533</v>
      </c>
      <c r="U3686" s="253" t="s">
        <v>3044</v>
      </c>
      <c r="V3686" s="252">
        <f t="shared" si="336"/>
        <v>695</v>
      </c>
      <c r="W3686" s="250" t="s">
        <v>4</v>
      </c>
      <c r="X3686" s="252">
        <f t="shared" si="337"/>
        <v>521.25</v>
      </c>
      <c r="Y3686" s="252"/>
    </row>
    <row r="3687" spans="6:26" ht="16.5">
      <c r="F3687" s="64"/>
      <c r="G3687" s="52"/>
      <c r="H3687" s="50" t="str">
        <f>H3666</f>
        <v>ALIGNMENT,JOINTING</v>
      </c>
      <c r="I3687" s="64"/>
      <c r="J3687" s="52"/>
      <c r="S3687" s="514">
        <v>2</v>
      </c>
      <c r="T3687" s="250" t="s">
        <v>10</v>
      </c>
      <c r="U3687" s="253" t="s">
        <v>3045</v>
      </c>
      <c r="V3687" s="252">
        <f t="shared" si="336"/>
        <v>11.1</v>
      </c>
      <c r="W3687" s="250" t="s">
        <v>10</v>
      </c>
      <c r="X3687" s="252">
        <f t="shared" si="337"/>
        <v>22.2</v>
      </c>
      <c r="Y3687" s="252"/>
    </row>
    <row r="3688" spans="6:26" ht="16.5">
      <c r="F3688" s="64"/>
      <c r="G3688" s="50"/>
      <c r="H3688" s="50" t="str">
        <f>H3667</f>
        <v>ETC BUT EXCLUDING  COST OF</v>
      </c>
      <c r="I3688" s="64"/>
      <c r="J3688" s="50"/>
      <c r="K3688" s="64"/>
      <c r="S3688" s="249">
        <v>7.08</v>
      </c>
      <c r="T3688" s="250" t="s">
        <v>340</v>
      </c>
      <c r="U3688" s="253" t="s">
        <v>3047</v>
      </c>
      <c r="V3688" s="252">
        <f t="shared" si="336"/>
        <v>7.2</v>
      </c>
      <c r="W3688" s="250" t="s">
        <v>4</v>
      </c>
      <c r="X3688" s="252">
        <f t="shared" si="337"/>
        <v>50.975999999999999</v>
      </c>
      <c r="Y3688" s="252"/>
    </row>
    <row r="3689" spans="6:26" ht="16.5">
      <c r="F3689" s="64"/>
      <c r="G3689" s="50"/>
      <c r="H3689" s="50" t="str">
        <f>H3668</f>
        <v>JOINTING MATERIALS. (TWAD SR 17-18 11-b)</v>
      </c>
      <c r="I3689" s="64"/>
      <c r="J3689" s="50"/>
      <c r="K3689" s="64"/>
      <c r="S3689" s="249">
        <v>2.1</v>
      </c>
      <c r="T3689" s="250" t="s">
        <v>306</v>
      </c>
      <c r="U3689" s="253" t="s">
        <v>2041</v>
      </c>
      <c r="V3689" s="252">
        <f t="shared" si="336"/>
        <v>2156</v>
      </c>
      <c r="W3689" s="250" t="s">
        <v>306</v>
      </c>
      <c r="X3689" s="252">
        <f t="shared" si="337"/>
        <v>4527.6000000000004</v>
      </c>
      <c r="Y3689" s="252"/>
    </row>
    <row r="3690" spans="6:26" ht="16.5">
      <c r="F3690" s="64"/>
      <c r="G3690" s="50"/>
      <c r="H3690" s="50"/>
      <c r="I3690" s="64"/>
      <c r="J3690" s="50"/>
      <c r="K3690" s="64"/>
      <c r="S3690" s="65">
        <v>1</v>
      </c>
      <c r="T3690" s="125" t="s">
        <v>295</v>
      </c>
      <c r="U3690" s="65" t="s">
        <v>3048</v>
      </c>
      <c r="V3690" s="252">
        <f t="shared" si="336"/>
        <v>43.8</v>
      </c>
      <c r="W3690" s="110" t="s">
        <v>340</v>
      </c>
      <c r="X3690" s="252">
        <f t="shared" si="337"/>
        <v>43.8</v>
      </c>
      <c r="Y3690" s="252"/>
    </row>
    <row r="3691" spans="6:26" ht="16.5">
      <c r="F3691" s="64">
        <f>F3670</f>
        <v>5</v>
      </c>
      <c r="G3691" s="50" t="s">
        <v>226</v>
      </c>
      <c r="H3691" s="50" t="str">
        <f>H3670</f>
        <v>CUTTING CHARGES ( P-32/141)</v>
      </c>
      <c r="I3691" s="73">
        <f>I3670</f>
        <v>35.6</v>
      </c>
      <c r="J3691" s="50" t="s">
        <v>4</v>
      </c>
      <c r="K3691" s="64">
        <f>(F3691*I3691)</f>
        <v>178</v>
      </c>
      <c r="S3691" s="65">
        <v>1</v>
      </c>
      <c r="T3691" s="125" t="s">
        <v>295</v>
      </c>
      <c r="U3691" s="65" t="s">
        <v>3049</v>
      </c>
      <c r="V3691" s="252">
        <f t="shared" si="336"/>
        <v>890</v>
      </c>
      <c r="W3691" s="110" t="s">
        <v>340</v>
      </c>
      <c r="X3691" s="252">
        <f t="shared" si="337"/>
        <v>890</v>
      </c>
      <c r="Y3691" s="252"/>
    </row>
    <row r="3692" spans="6:26" ht="18">
      <c r="F3692" s="64">
        <f>F3671</f>
        <v>1</v>
      </c>
      <c r="G3692" s="52"/>
      <c r="H3692" s="50" t="str">
        <f>H3671</f>
        <v>COST OF JOINTING  MATERIALS</v>
      </c>
      <c r="I3692" s="64">
        <f>I3671</f>
        <v>12.1</v>
      </c>
      <c r="J3692" s="50" t="s">
        <v>226</v>
      </c>
      <c r="K3692" s="64">
        <f>(F3692*I3692)</f>
        <v>12.1</v>
      </c>
      <c r="S3692" s="494">
        <v>6</v>
      </c>
      <c r="T3692" s="495" t="s">
        <v>295</v>
      </c>
      <c r="U3692" s="494" t="s">
        <v>3061</v>
      </c>
      <c r="V3692" s="252">
        <f t="shared" si="336"/>
        <v>1.45</v>
      </c>
      <c r="W3692" s="496" t="s">
        <v>68</v>
      </c>
      <c r="X3692" s="252">
        <f t="shared" si="337"/>
        <v>8.6999999999999993</v>
      </c>
      <c r="Y3692" s="252"/>
    </row>
    <row r="3693" spans="6:26" ht="18">
      <c r="G3693" s="52"/>
      <c r="H3693" s="50" t="str">
        <f>H3672</f>
        <v>SUNDRIES</v>
      </c>
      <c r="J3693" s="50" t="s">
        <v>226</v>
      </c>
      <c r="K3693" s="64">
        <v>24.3</v>
      </c>
      <c r="S3693" s="494">
        <v>2</v>
      </c>
      <c r="T3693" s="495" t="s">
        <v>295</v>
      </c>
      <c r="U3693" s="494" t="s">
        <v>3062</v>
      </c>
      <c r="V3693" s="252">
        <f t="shared" si="336"/>
        <v>108.7</v>
      </c>
      <c r="W3693" s="110" t="s">
        <v>340</v>
      </c>
      <c r="X3693" s="252">
        <f t="shared" si="337"/>
        <v>217.4</v>
      </c>
      <c r="Y3693" s="252"/>
    </row>
    <row r="3694" spans="6:26" ht="18">
      <c r="G3694" s="52"/>
      <c r="J3694" s="52"/>
      <c r="K3694" s="64"/>
      <c r="S3694" s="494">
        <v>2</v>
      </c>
      <c r="T3694" s="495" t="s">
        <v>295</v>
      </c>
      <c r="U3694" s="494" t="s">
        <v>3053</v>
      </c>
      <c r="V3694" s="252">
        <f t="shared" si="336"/>
        <v>54</v>
      </c>
      <c r="W3694" s="110" t="s">
        <v>340</v>
      </c>
      <c r="X3694" s="252">
        <f t="shared" si="337"/>
        <v>108</v>
      </c>
      <c r="Y3694" s="252"/>
    </row>
    <row r="3695" spans="6:26" ht="16.5">
      <c r="G3695" s="52"/>
      <c r="H3695" s="50" t="s">
        <v>1076</v>
      </c>
      <c r="J3695" s="52"/>
      <c r="K3695" s="64">
        <f>SUM(K3681:K3694)</f>
        <v>17936.545999999998</v>
      </c>
      <c r="S3695" s="52"/>
      <c r="U3695" s="50" t="s">
        <v>3063</v>
      </c>
      <c r="W3695" s="250"/>
      <c r="X3695" s="252">
        <f>SUM(X3683:X3694)</f>
        <v>15558.806</v>
      </c>
      <c r="Y3695" s="252"/>
      <c r="Z3695" s="247"/>
    </row>
    <row r="3696" spans="6:26" ht="16.5">
      <c r="G3696" s="52"/>
      <c r="J3696" s="52"/>
      <c r="K3696" s="59" t="s">
        <v>21</v>
      </c>
      <c r="S3696" s="513"/>
      <c r="T3696" s="513"/>
      <c r="U3696" s="50" t="s">
        <v>155</v>
      </c>
      <c r="W3696" s="508"/>
      <c r="X3696" s="256">
        <f>X3695/2.1</f>
        <v>7408.9552380952382</v>
      </c>
      <c r="Y3696" s="256"/>
      <c r="Z3696" s="258"/>
    </row>
    <row r="3697" spans="6:28" ht="15.75">
      <c r="G3697" s="52"/>
      <c r="H3697" s="50" t="s">
        <v>562</v>
      </c>
      <c r="J3697" s="52"/>
      <c r="K3697" s="63">
        <f>(K3695/30)</f>
        <v>597.88486666666665</v>
      </c>
      <c r="S3697" s="513"/>
      <c r="T3697" s="513"/>
      <c r="U3697" s="513"/>
      <c r="V3697" s="513"/>
      <c r="W3697" s="513"/>
      <c r="X3697" s="513"/>
      <c r="Y3697" s="513"/>
    </row>
    <row r="3698" spans="6:28" ht="15.75">
      <c r="G3698" s="52"/>
      <c r="J3698" s="52"/>
      <c r="S3698" s="52"/>
      <c r="U3698" s="65" t="s">
        <v>3064</v>
      </c>
    </row>
    <row r="3699" spans="6:28" ht="246">
      <c r="S3699" s="507"/>
      <c r="T3699" s="507"/>
      <c r="U3699" s="515" t="s">
        <v>3065</v>
      </c>
      <c r="V3699" s="515"/>
      <c r="W3699" s="515"/>
      <c r="X3699" s="515"/>
      <c r="Y3699" s="515"/>
      <c r="Z3699" s="515"/>
      <c r="AA3699" s="515"/>
      <c r="AB3699" s="515"/>
    </row>
    <row r="3700" spans="6:28" ht="16.5">
      <c r="S3700" s="507"/>
      <c r="T3700" s="507"/>
      <c r="U3700" s="515"/>
      <c r="V3700" s="515"/>
      <c r="W3700" s="515"/>
      <c r="X3700" s="515"/>
      <c r="Y3700" s="515"/>
      <c r="Z3700" s="515"/>
      <c r="AA3700" s="515"/>
      <c r="AB3700" s="515"/>
    </row>
    <row r="3701" spans="6:28" ht="16.5">
      <c r="F3701" s="513"/>
      <c r="G3701" s="513"/>
      <c r="H3701" s="513"/>
      <c r="I3701" s="513"/>
      <c r="J3701" s="513"/>
      <c r="K3701" s="513"/>
      <c r="L3701" s="513"/>
      <c r="M3701" s="513"/>
      <c r="N3701" s="513"/>
      <c r="S3701" s="249">
        <v>17.440000000000001</v>
      </c>
      <c r="T3701" s="250" t="s">
        <v>534</v>
      </c>
      <c r="U3701" s="509" t="s">
        <v>3066</v>
      </c>
      <c r="V3701" s="252">
        <f>V3683</f>
        <v>287</v>
      </c>
      <c r="W3701" s="250" t="s">
        <v>534</v>
      </c>
      <c r="X3701" s="252">
        <f>V3701*S3701</f>
        <v>5005.2800000000007</v>
      </c>
      <c r="Y3701" s="252"/>
      <c r="Z3701" s="247"/>
    </row>
    <row r="3702" spans="6:28" ht="16.5">
      <c r="F3702" s="513"/>
      <c r="G3702" s="513"/>
      <c r="H3702" s="516" t="s">
        <v>3067</v>
      </c>
      <c r="I3702" s="516"/>
      <c r="J3702" s="516"/>
      <c r="K3702" s="516"/>
      <c r="L3702" s="513"/>
      <c r="M3702" s="513"/>
      <c r="N3702" s="513"/>
      <c r="S3702" s="510">
        <v>13.56</v>
      </c>
      <c r="T3702" s="250" t="s">
        <v>303</v>
      </c>
      <c r="U3702" s="253" t="s">
        <v>3060</v>
      </c>
      <c r="V3702" s="252">
        <v>33.89</v>
      </c>
      <c r="W3702" s="250" t="s">
        <v>303</v>
      </c>
      <c r="X3702" s="252">
        <v>501.66</v>
      </c>
      <c r="Y3702" s="252"/>
      <c r="Z3702" s="247"/>
    </row>
    <row r="3703" spans="6:28" ht="16.5">
      <c r="F3703" s="513">
        <v>11</v>
      </c>
      <c r="G3703" s="517" t="s">
        <v>306</v>
      </c>
      <c r="H3703" s="513" t="s">
        <v>3068</v>
      </c>
      <c r="I3703" s="430">
        <v>378</v>
      </c>
      <c r="J3703" s="517" t="s">
        <v>306</v>
      </c>
      <c r="K3703" s="377">
        <f>I3703*F3703</f>
        <v>4158</v>
      </c>
      <c r="L3703" s="513"/>
      <c r="M3703" s="513"/>
      <c r="N3703" s="513"/>
      <c r="S3703" s="249">
        <v>2.62</v>
      </c>
      <c r="T3703" s="250" t="s">
        <v>533</v>
      </c>
      <c r="U3703" s="253" t="s">
        <v>3069</v>
      </c>
      <c r="V3703" s="252">
        <v>258.52</v>
      </c>
      <c r="W3703" s="250" t="s">
        <v>533</v>
      </c>
      <c r="X3703" s="252">
        <f>V3703*S3703</f>
        <v>677.32240000000002</v>
      </c>
      <c r="Y3703" s="252"/>
      <c r="Z3703" s="247"/>
    </row>
    <row r="3704" spans="6:28" ht="16.5">
      <c r="F3704" s="513">
        <v>2.2000000000000002</v>
      </c>
      <c r="G3704" s="513" t="s">
        <v>340</v>
      </c>
      <c r="H3704" s="513" t="s">
        <v>3070</v>
      </c>
      <c r="I3704" s="52">
        <f>AG17</f>
        <v>950.59999999999991</v>
      </c>
      <c r="J3704" s="513" t="s">
        <v>340</v>
      </c>
      <c r="K3704" s="377">
        <f>I3704*F3704</f>
        <v>2091.3200000000002</v>
      </c>
      <c r="L3704" s="513"/>
      <c r="M3704" s="513"/>
      <c r="N3704" s="513"/>
      <c r="S3704" s="249">
        <v>8</v>
      </c>
      <c r="T3704" s="250" t="s">
        <v>154</v>
      </c>
      <c r="U3704" s="253" t="s">
        <v>3071</v>
      </c>
      <c r="V3704" s="252">
        <v>13.1</v>
      </c>
      <c r="W3704" s="250" t="s">
        <v>154</v>
      </c>
      <c r="X3704" s="252">
        <f>V3704*S3704</f>
        <v>104.8</v>
      </c>
      <c r="Y3704" s="252"/>
      <c r="Z3704" s="247"/>
    </row>
    <row r="3705" spans="6:28" ht="16.5">
      <c r="F3705" s="513">
        <v>1.1000000000000001</v>
      </c>
      <c r="G3705" s="513" t="s">
        <v>340</v>
      </c>
      <c r="H3705" s="513" t="s">
        <v>3072</v>
      </c>
      <c r="I3705" s="52">
        <f>AG19</f>
        <v>1052.8</v>
      </c>
      <c r="J3705" s="513" t="s">
        <v>340</v>
      </c>
      <c r="K3705" s="377">
        <f>I3705*F3705</f>
        <v>1158.0800000000002</v>
      </c>
      <c r="L3705" s="513"/>
      <c r="M3705" s="513"/>
      <c r="N3705" s="513"/>
      <c r="S3705" s="249">
        <v>3</v>
      </c>
      <c r="T3705" s="250" t="s">
        <v>154</v>
      </c>
      <c r="U3705" s="253" t="s">
        <v>3073</v>
      </c>
      <c r="V3705" s="252">
        <v>62.8</v>
      </c>
      <c r="W3705" s="250" t="s">
        <v>10</v>
      </c>
      <c r="X3705" s="252">
        <f>V3705*S3705</f>
        <v>188.39999999999998</v>
      </c>
      <c r="Y3705" s="252"/>
      <c r="Z3705" s="247"/>
    </row>
    <row r="3706" spans="6:28" ht="16.5">
      <c r="F3706" s="513">
        <v>3.2</v>
      </c>
      <c r="G3706" s="513" t="s">
        <v>340</v>
      </c>
      <c r="H3706" s="518" t="s">
        <v>3074</v>
      </c>
      <c r="I3706" s="52">
        <f>AG11</f>
        <v>702.8</v>
      </c>
      <c r="J3706" s="513" t="s">
        <v>340</v>
      </c>
      <c r="K3706" s="377">
        <f>I3706*F3706</f>
        <v>2248.96</v>
      </c>
      <c r="L3706" s="513"/>
      <c r="M3706" s="513"/>
      <c r="N3706" s="513"/>
      <c r="S3706" s="249">
        <v>4</v>
      </c>
      <c r="T3706" s="250" t="s">
        <v>154</v>
      </c>
      <c r="U3706" s="253" t="s">
        <v>3075</v>
      </c>
      <c r="V3706" s="252">
        <v>29.5</v>
      </c>
      <c r="W3706" s="250" t="s">
        <v>4</v>
      </c>
      <c r="X3706" s="252">
        <f>V3706*S3706</f>
        <v>118</v>
      </c>
      <c r="Y3706" s="252"/>
      <c r="Z3706" s="247"/>
    </row>
    <row r="3707" spans="6:28" ht="16.5">
      <c r="F3707" s="513"/>
      <c r="G3707" s="513" t="s">
        <v>3076</v>
      </c>
      <c r="H3707" s="513" t="s">
        <v>3077</v>
      </c>
      <c r="I3707" s="513" t="s">
        <v>3076</v>
      </c>
      <c r="J3707" s="513"/>
      <c r="K3707" s="513">
        <v>107.11</v>
      </c>
      <c r="L3707" s="513"/>
      <c r="M3707" s="513"/>
      <c r="N3707" s="513"/>
      <c r="S3707" s="249">
        <v>2.4300000000000002</v>
      </c>
      <c r="T3707" s="250" t="s">
        <v>306</v>
      </c>
      <c r="U3707" s="253" t="s">
        <v>2041</v>
      </c>
      <c r="V3707" s="247">
        <f>X3675</f>
        <v>2156</v>
      </c>
      <c r="W3707" s="250" t="s">
        <v>306</v>
      </c>
      <c r="X3707" s="252">
        <f>V3707*S3707</f>
        <v>5239.08</v>
      </c>
      <c r="Y3707" s="252"/>
      <c r="Z3707" s="247"/>
    </row>
    <row r="3708" spans="6:28" ht="16.5">
      <c r="F3708" s="513"/>
      <c r="G3708" s="513"/>
      <c r="H3708" s="513" t="s">
        <v>3078</v>
      </c>
      <c r="I3708" s="513"/>
      <c r="J3708" s="513"/>
      <c r="K3708" s="377">
        <f>SUM(K3703:K3707)</f>
        <v>9763.4700000000012</v>
      </c>
      <c r="L3708" s="513"/>
      <c r="M3708" s="513"/>
      <c r="N3708" s="513"/>
      <c r="S3708" s="65"/>
      <c r="T3708" s="125" t="s">
        <v>287</v>
      </c>
      <c r="U3708" s="65" t="s">
        <v>3079</v>
      </c>
      <c r="V3708" s="65"/>
      <c r="W3708" s="110" t="s">
        <v>287</v>
      </c>
      <c r="X3708" s="65">
        <v>130</v>
      </c>
      <c r="Y3708" s="65"/>
      <c r="Z3708" s="247"/>
    </row>
    <row r="3709" spans="6:28" ht="16.5">
      <c r="F3709" s="513"/>
      <c r="G3709" s="513"/>
      <c r="H3709" s="513" t="s">
        <v>3080</v>
      </c>
      <c r="I3709" s="513"/>
      <c r="J3709" s="513"/>
      <c r="K3709" s="519">
        <f>K3708/10</f>
        <v>976.34700000000009</v>
      </c>
      <c r="L3709" s="513"/>
      <c r="M3709" s="513"/>
      <c r="N3709" s="513">
        <f>L3709</f>
        <v>0</v>
      </c>
      <c r="S3709" s="65"/>
      <c r="T3709" s="125"/>
      <c r="U3709" s="65"/>
      <c r="V3709" s="65"/>
      <c r="W3709" s="110"/>
      <c r="X3709" s="65">
        <f>SUM(X3701:X3708)</f>
        <v>11964.5424</v>
      </c>
      <c r="Y3709" s="65"/>
      <c r="Z3709" s="247"/>
    </row>
    <row r="3710" spans="6:28" ht="16.5">
      <c r="F3710" s="513"/>
      <c r="G3710" s="513"/>
      <c r="H3710" s="513"/>
      <c r="I3710" s="513"/>
      <c r="J3710" s="513"/>
      <c r="K3710" s="513"/>
      <c r="L3710" s="513"/>
      <c r="M3710" s="513"/>
      <c r="N3710" s="513"/>
      <c r="X3710" s="65">
        <f>X3709/S3707</f>
        <v>4923.6799999999994</v>
      </c>
      <c r="Y3710" s="65"/>
      <c r="Z3710" s="247" t="s">
        <v>306</v>
      </c>
    </row>
    <row r="3711" spans="6:28" ht="16.5">
      <c r="F3711" s="2105" t="s">
        <v>3081</v>
      </c>
      <c r="G3711" s="2105"/>
      <c r="H3711" s="2105"/>
      <c r="I3711" s="2105"/>
      <c r="J3711" s="2105"/>
      <c r="K3711" s="2105"/>
      <c r="L3711" s="2105"/>
      <c r="M3711" s="2105"/>
      <c r="N3711" s="513"/>
      <c r="W3711" s="52" t="s">
        <v>9</v>
      </c>
      <c r="X3711" s="52">
        <v>3584</v>
      </c>
      <c r="Z3711" s="247"/>
    </row>
    <row r="3712" spans="6:28" ht="16.5">
      <c r="F3712" s="520"/>
      <c r="G3712" s="520"/>
      <c r="H3712" s="521" t="s">
        <v>3082</v>
      </c>
      <c r="I3712" s="521"/>
      <c r="J3712" s="521"/>
      <c r="K3712" s="521"/>
      <c r="L3712" s="520"/>
      <c r="M3712" s="2105"/>
      <c r="N3712" s="513"/>
      <c r="S3712" s="52"/>
      <c r="U3712" s="65" t="s">
        <v>3083</v>
      </c>
      <c r="Z3712" s="247"/>
    </row>
    <row r="3713" spans="6:26" ht="246">
      <c r="F3713" s="522">
        <v>36</v>
      </c>
      <c r="G3713" s="520" t="s">
        <v>303</v>
      </c>
      <c r="H3713" s="523" t="s">
        <v>3084</v>
      </c>
      <c r="I3713" s="524">
        <v>34.6</v>
      </c>
      <c r="J3713" s="525" t="str">
        <f>G3713</f>
        <v>Rmt</v>
      </c>
      <c r="K3713" s="522">
        <f>I3713*F3713</f>
        <v>1245.6000000000001</v>
      </c>
      <c r="L3713" s="520"/>
      <c r="M3713" s="2105"/>
      <c r="N3713" s="513"/>
      <c r="S3713" s="507"/>
      <c r="T3713" s="507"/>
      <c r="U3713" s="515" t="s">
        <v>3085</v>
      </c>
      <c r="V3713" s="515"/>
      <c r="W3713" s="515"/>
      <c r="X3713" s="515"/>
      <c r="Y3713" s="515"/>
      <c r="Z3713" s="247"/>
    </row>
    <row r="3714" spans="6:26" ht="16.5">
      <c r="F3714" s="522">
        <v>9</v>
      </c>
      <c r="G3714" s="525" t="s">
        <v>306</v>
      </c>
      <c r="H3714" s="526" t="s">
        <v>3086</v>
      </c>
      <c r="I3714" s="522">
        <v>350</v>
      </c>
      <c r="J3714" s="525" t="str">
        <f>G3714</f>
        <v>Sqm</v>
      </c>
      <c r="K3714" s="522">
        <f>I3714*F3714</f>
        <v>3150</v>
      </c>
      <c r="L3714" s="520"/>
      <c r="M3714" s="2105"/>
      <c r="N3714" s="513"/>
      <c r="S3714" s="507"/>
      <c r="T3714" s="507"/>
      <c r="U3714" s="515"/>
      <c r="V3714" s="515"/>
      <c r="W3714" s="515"/>
      <c r="X3714" s="515"/>
      <c r="Y3714" s="515"/>
      <c r="Z3714" s="247"/>
    </row>
    <row r="3715" spans="6:26" ht="16.5">
      <c r="F3715" s="522">
        <v>9</v>
      </c>
      <c r="G3715" s="525" t="s">
        <v>306</v>
      </c>
      <c r="H3715" s="526" t="s">
        <v>3087</v>
      </c>
      <c r="I3715" s="522">
        <v>860.8</v>
      </c>
      <c r="J3715" s="525" t="str">
        <f>G3715</f>
        <v>Sqm</v>
      </c>
      <c r="K3715" s="522">
        <f>I3715*F3715</f>
        <v>7747.2</v>
      </c>
      <c r="L3715" s="520"/>
      <c r="M3715" s="2105"/>
      <c r="N3715" s="513"/>
      <c r="S3715" s="249">
        <v>14.43</v>
      </c>
      <c r="T3715" s="250" t="s">
        <v>534</v>
      </c>
      <c r="U3715" s="509" t="s">
        <v>3039</v>
      </c>
      <c r="V3715" s="252">
        <f>V3701</f>
        <v>287</v>
      </c>
      <c r="W3715" s="250" t="s">
        <v>534</v>
      </c>
      <c r="X3715" s="252">
        <f>V3715*S3715</f>
        <v>4141.41</v>
      </c>
      <c r="Y3715" s="252"/>
      <c r="Z3715" s="247"/>
    </row>
    <row r="3716" spans="6:26" ht="16.5">
      <c r="F3716" s="522">
        <v>9</v>
      </c>
      <c r="G3716" s="525" t="s">
        <v>306</v>
      </c>
      <c r="H3716" s="523" t="s">
        <v>3088</v>
      </c>
      <c r="I3716" s="522">
        <f>R2416</f>
        <v>1520.3084656084654</v>
      </c>
      <c r="J3716" s="525" t="str">
        <f>G3716</f>
        <v>Sqm</v>
      </c>
      <c r="K3716" s="522">
        <f>I3716*F3716</f>
        <v>13682.776190476188</v>
      </c>
      <c r="L3716" s="520"/>
      <c r="M3716" s="2105"/>
      <c r="N3716" s="513"/>
      <c r="S3716" s="510">
        <v>10.433999999999999</v>
      </c>
      <c r="T3716" s="250" t="s">
        <v>303</v>
      </c>
      <c r="U3716" s="253" t="s">
        <v>3060</v>
      </c>
      <c r="V3716" s="252">
        <f t="shared" ref="V3716:V3721" si="338">V3702</f>
        <v>33.89</v>
      </c>
      <c r="W3716" s="250" t="s">
        <v>303</v>
      </c>
      <c r="X3716" s="252">
        <v>501.66</v>
      </c>
      <c r="Y3716" s="252"/>
      <c r="Z3716" s="247"/>
    </row>
    <row r="3717" spans="6:26" ht="16.5">
      <c r="F3717" s="522">
        <v>9</v>
      </c>
      <c r="G3717" s="525" t="s">
        <v>306</v>
      </c>
      <c r="H3717" s="520" t="s">
        <v>3089</v>
      </c>
      <c r="I3717" s="522">
        <f>K3725</f>
        <v>1941.7999999999997</v>
      </c>
      <c r="J3717" s="525" t="str">
        <f>G3717</f>
        <v>Sqm</v>
      </c>
      <c r="K3717" s="522">
        <f>I3717*F3717</f>
        <v>17476.199999999997</v>
      </c>
      <c r="L3717" s="520"/>
      <c r="M3717" s="2105"/>
      <c r="N3717" s="513"/>
      <c r="S3717" s="249">
        <v>2.16</v>
      </c>
      <c r="T3717" s="250" t="s">
        <v>533</v>
      </c>
      <c r="U3717" s="253" t="s">
        <v>3069</v>
      </c>
      <c r="V3717" s="252">
        <f t="shared" si="338"/>
        <v>258.52</v>
      </c>
      <c r="W3717" s="250" t="s">
        <v>533</v>
      </c>
      <c r="X3717" s="252">
        <f>V3717*S3717</f>
        <v>558.40319999999997</v>
      </c>
      <c r="Y3717" s="252"/>
      <c r="Z3717" s="247"/>
    </row>
    <row r="3718" spans="6:26" ht="16.5">
      <c r="F3718" s="520"/>
      <c r="G3718" s="520"/>
      <c r="H3718" s="520"/>
      <c r="I3718" s="520"/>
      <c r="J3718" s="520"/>
      <c r="K3718" s="522">
        <f>SUM(K3713:K3717)</f>
        <v>43301.776190476186</v>
      </c>
      <c r="L3718" s="520"/>
      <c r="M3718" s="2105"/>
      <c r="N3718" s="513"/>
      <c r="S3718" s="249">
        <v>6</v>
      </c>
      <c r="T3718" s="250" t="s">
        <v>154</v>
      </c>
      <c r="U3718" s="253" t="s">
        <v>3090</v>
      </c>
      <c r="V3718" s="252">
        <f t="shared" si="338"/>
        <v>13.1</v>
      </c>
      <c r="W3718" s="250" t="s">
        <v>154</v>
      </c>
      <c r="X3718" s="252">
        <f>V3718*S3718</f>
        <v>78.599999999999994</v>
      </c>
      <c r="Y3718" s="252"/>
      <c r="Z3718" s="258"/>
    </row>
    <row r="3719" spans="6:26" ht="16.5">
      <c r="F3719" s="520"/>
      <c r="G3719" s="520"/>
      <c r="H3719" s="520" t="s">
        <v>3091</v>
      </c>
      <c r="I3719" s="520"/>
      <c r="J3719" s="525"/>
      <c r="K3719" s="522">
        <f>K3718/9</f>
        <v>4811.3084656084648</v>
      </c>
      <c r="L3719" s="520"/>
      <c r="M3719" s="2105"/>
      <c r="N3719" s="513"/>
      <c r="S3719" s="249">
        <v>2</v>
      </c>
      <c r="T3719" s="250" t="s">
        <v>154</v>
      </c>
      <c r="U3719" s="253" t="s">
        <v>3092</v>
      </c>
      <c r="V3719" s="252">
        <f t="shared" si="338"/>
        <v>62.8</v>
      </c>
      <c r="W3719" s="250" t="s">
        <v>10</v>
      </c>
      <c r="X3719" s="252">
        <f>V3719*S3719</f>
        <v>125.6</v>
      </c>
      <c r="Y3719" s="252"/>
      <c r="Z3719" s="247"/>
    </row>
    <row r="3720" spans="6:26" ht="16.5">
      <c r="F3720" s="520"/>
      <c r="G3720" s="520"/>
      <c r="H3720" s="527" t="s">
        <v>3093</v>
      </c>
      <c r="I3720" s="521" t="s">
        <v>3094</v>
      </c>
      <c r="J3720" s="520"/>
      <c r="K3720" s="528">
        <v>3282</v>
      </c>
      <c r="L3720" s="520"/>
      <c r="M3720" s="521"/>
      <c r="N3720" s="513"/>
      <c r="S3720" s="249">
        <v>3</v>
      </c>
      <c r="T3720" s="250" t="s">
        <v>154</v>
      </c>
      <c r="U3720" s="253" t="s">
        <v>3095</v>
      </c>
      <c r="V3720" s="252">
        <f t="shared" si="338"/>
        <v>29.5</v>
      </c>
      <c r="W3720" s="250" t="s">
        <v>4</v>
      </c>
      <c r="X3720" s="252">
        <f>V3720*S3720</f>
        <v>88.5</v>
      </c>
      <c r="Y3720" s="252"/>
      <c r="Z3720" s="247"/>
    </row>
    <row r="3721" spans="6:26" ht="16.5">
      <c r="F3721" s="520"/>
      <c r="G3721" s="520"/>
      <c r="H3721" s="520" t="s">
        <v>3096</v>
      </c>
      <c r="I3721" s="520"/>
      <c r="J3721" s="520"/>
      <c r="K3721" s="520"/>
      <c r="L3721" s="520"/>
      <c r="M3721" s="2105"/>
      <c r="N3721" s="513"/>
      <c r="S3721" s="249">
        <v>1.823</v>
      </c>
      <c r="T3721" s="250" t="s">
        <v>306</v>
      </c>
      <c r="U3721" s="253" t="s">
        <v>2041</v>
      </c>
      <c r="V3721" s="252">
        <f t="shared" si="338"/>
        <v>2156</v>
      </c>
      <c r="W3721" s="250" t="s">
        <v>306</v>
      </c>
      <c r="X3721" s="252">
        <f>V3721*S3721</f>
        <v>3930.3879999999999</v>
      </c>
      <c r="Y3721" s="252"/>
      <c r="Z3721" s="247"/>
    </row>
    <row r="3722" spans="6:26" ht="16.5">
      <c r="F3722" s="522">
        <v>1</v>
      </c>
      <c r="G3722" s="525" t="s">
        <v>305</v>
      </c>
      <c r="H3722" s="522" t="s">
        <v>3097</v>
      </c>
      <c r="I3722" s="522">
        <f>AG17</f>
        <v>950.59999999999991</v>
      </c>
      <c r="J3722" s="525" t="s">
        <v>305</v>
      </c>
      <c r="K3722" s="520">
        <f>I3722*F3722</f>
        <v>950.59999999999991</v>
      </c>
      <c r="L3722" s="520"/>
      <c r="M3722" s="2105"/>
      <c r="N3722" s="513"/>
      <c r="S3722" s="65"/>
      <c r="T3722" s="125" t="s">
        <v>287</v>
      </c>
      <c r="U3722" s="65" t="s">
        <v>3079</v>
      </c>
      <c r="V3722" s="65"/>
      <c r="W3722" s="110" t="s">
        <v>287</v>
      </c>
      <c r="X3722" s="65">
        <v>110</v>
      </c>
      <c r="Y3722" s="65"/>
      <c r="Z3722" s="247"/>
    </row>
    <row r="3723" spans="6:26" ht="16.5">
      <c r="F3723" s="522">
        <v>1</v>
      </c>
      <c r="G3723" s="525" t="s">
        <v>305</v>
      </c>
      <c r="H3723" s="523" t="s">
        <v>235</v>
      </c>
      <c r="I3723" s="522">
        <f>AG11</f>
        <v>702.8</v>
      </c>
      <c r="J3723" s="525" t="s">
        <v>305</v>
      </c>
      <c r="K3723" s="520">
        <f>I3723*F3723</f>
        <v>702.8</v>
      </c>
      <c r="L3723" s="520"/>
      <c r="M3723" s="2105"/>
      <c r="N3723" s="513"/>
      <c r="S3723" s="65"/>
      <c r="T3723" s="125"/>
      <c r="U3723" s="65"/>
      <c r="V3723" s="65"/>
      <c r="W3723" s="110"/>
      <c r="X3723" s="65">
        <f>SUM(X3715:X3722)</f>
        <v>9534.5612000000001</v>
      </c>
      <c r="Y3723" s="65"/>
      <c r="Z3723" s="247"/>
    </row>
    <row r="3724" spans="6:26" ht="16.5">
      <c r="F3724" s="522">
        <v>0.5</v>
      </c>
      <c r="G3724" s="525" t="s">
        <v>305</v>
      </c>
      <c r="H3724" s="523" t="s">
        <v>236</v>
      </c>
      <c r="I3724" s="522">
        <f>AG12</f>
        <v>576.79999999999995</v>
      </c>
      <c r="J3724" s="525" t="s">
        <v>305</v>
      </c>
      <c r="K3724" s="520">
        <f>I3724*F3724</f>
        <v>288.39999999999998</v>
      </c>
      <c r="L3724" s="520"/>
      <c r="M3724" s="2105"/>
      <c r="N3724" s="513"/>
      <c r="X3724" s="65">
        <f>X3723/S3721</f>
        <v>5230.1487657707075</v>
      </c>
      <c r="Y3724" s="65"/>
      <c r="Z3724" s="247"/>
    </row>
    <row r="3725" spans="6:26" ht="16.5">
      <c r="F3725" s="520"/>
      <c r="G3725" s="520"/>
      <c r="H3725" s="520"/>
      <c r="I3725" s="520"/>
      <c r="J3725" s="520"/>
      <c r="K3725" s="520">
        <f>SUM(K3722:K3724)</f>
        <v>1941.7999999999997</v>
      </c>
      <c r="L3725" s="520"/>
      <c r="M3725" s="2105"/>
      <c r="N3725" s="513"/>
      <c r="X3725" s="52">
        <v>3873</v>
      </c>
      <c r="Z3725" s="247"/>
    </row>
    <row r="3726" spans="6:26" ht="16.5">
      <c r="F3726" s="520"/>
      <c r="G3726" s="520"/>
      <c r="H3726" s="520"/>
      <c r="I3726" s="520"/>
      <c r="J3726" s="520"/>
      <c r="K3726" s="520"/>
      <c r="L3726" s="520"/>
      <c r="M3726" s="2105"/>
      <c r="N3726" s="513"/>
      <c r="S3726" s="247"/>
      <c r="T3726" s="255"/>
      <c r="U3726" s="247"/>
      <c r="V3726" s="247"/>
      <c r="W3726" s="260"/>
      <c r="X3726" s="261"/>
      <c r="Y3726" s="261"/>
      <c r="Z3726" s="247"/>
    </row>
    <row r="3727" spans="6:26" ht="15.75">
      <c r="F3727" s="513"/>
      <c r="G3727" s="513"/>
      <c r="H3727" s="513"/>
      <c r="I3727" s="513"/>
      <c r="J3727" s="513"/>
      <c r="K3727" s="513"/>
      <c r="L3727" s="513"/>
      <c r="M3727" s="513"/>
      <c r="N3727" s="513"/>
      <c r="S3727" s="52"/>
    </row>
    <row r="3728" spans="6:26" ht="15.75">
      <c r="G3728" s="52"/>
      <c r="H3728" s="162"/>
      <c r="J3728" s="52"/>
      <c r="K3728" s="513"/>
      <c r="L3728" s="513"/>
      <c r="M3728" s="513"/>
      <c r="N3728" s="513"/>
    </row>
    <row r="3729" spans="6:14" ht="18.75">
      <c r="F3729" s="513"/>
      <c r="G3729" s="513"/>
      <c r="H3729" s="529" t="s">
        <v>3098</v>
      </c>
      <c r="I3729" s="516"/>
      <c r="J3729" s="513"/>
      <c r="K3729" s="513"/>
      <c r="L3729" s="513"/>
      <c r="M3729" s="513"/>
      <c r="N3729" s="513"/>
    </row>
    <row r="3730" spans="6:14" ht="15.75">
      <c r="F3730" s="513"/>
      <c r="G3730" s="513"/>
      <c r="H3730" s="513"/>
      <c r="I3730" s="513"/>
      <c r="J3730" s="513"/>
      <c r="K3730" s="513"/>
      <c r="L3730" s="513"/>
      <c r="M3730" s="513"/>
      <c r="N3730" s="513"/>
    </row>
    <row r="3731" spans="6:14" ht="15.75">
      <c r="F3731" s="430"/>
      <c r="G3731" s="517"/>
      <c r="H3731" s="530" t="s">
        <v>3099</v>
      </c>
      <c r="I3731" s="430"/>
      <c r="J3731" s="430"/>
      <c r="K3731" s="513"/>
      <c r="L3731" s="513"/>
      <c r="M3731" s="513"/>
      <c r="N3731" s="513"/>
    </row>
    <row r="3732" spans="6:14" ht="15.75">
      <c r="F3732" s="430"/>
      <c r="G3732" s="517"/>
      <c r="H3732" s="518"/>
      <c r="I3732" s="430"/>
      <c r="J3732" s="430"/>
      <c r="K3732" s="513"/>
      <c r="L3732" s="513"/>
      <c r="M3732" s="513"/>
      <c r="N3732" s="513"/>
    </row>
    <row r="3733" spans="6:14" ht="15.75">
      <c r="F3733" s="513"/>
      <c r="G3733" s="513"/>
      <c r="H3733" s="394" t="s">
        <v>3100</v>
      </c>
      <c r="I3733" s="430"/>
      <c r="J3733" s="513"/>
      <c r="K3733" s="513"/>
      <c r="L3733" s="513"/>
      <c r="M3733" s="513"/>
      <c r="N3733" s="513"/>
    </row>
    <row r="3734" spans="6:14" ht="15.75">
      <c r="F3734" s="430">
        <v>5</v>
      </c>
      <c r="G3734" s="517" t="s">
        <v>13</v>
      </c>
      <c r="H3734" s="430" t="s">
        <v>3101</v>
      </c>
      <c r="I3734" s="430">
        <v>27.3</v>
      </c>
      <c r="J3734" s="517" t="s">
        <v>13</v>
      </c>
      <c r="K3734" s="517">
        <f>I3734*F3734</f>
        <v>136.5</v>
      </c>
      <c r="L3734" s="513"/>
      <c r="M3734" s="513"/>
      <c r="N3734" s="513"/>
    </row>
    <row r="3735" spans="6:14" ht="15.75">
      <c r="F3735" s="430">
        <v>1</v>
      </c>
      <c r="G3735" s="517" t="s">
        <v>68</v>
      </c>
      <c r="H3735" s="430" t="s">
        <v>3102</v>
      </c>
      <c r="I3735" s="430">
        <f>AG13</f>
        <v>861</v>
      </c>
      <c r="J3735" s="517" t="s">
        <v>68</v>
      </c>
      <c r="K3735" s="517">
        <f>I3735*F3735</f>
        <v>861</v>
      </c>
      <c r="L3735" s="513"/>
      <c r="M3735" s="513"/>
      <c r="N3735" s="513"/>
    </row>
    <row r="3736" spans="6:14" ht="15.75">
      <c r="F3736" s="430"/>
      <c r="G3736" s="531" t="s">
        <v>287</v>
      </c>
      <c r="H3736" s="518" t="s">
        <v>307</v>
      </c>
      <c r="I3736" s="513"/>
      <c r="J3736" s="531" t="s">
        <v>287</v>
      </c>
      <c r="K3736" s="517">
        <v>0.8</v>
      </c>
      <c r="L3736" s="513"/>
      <c r="M3736" s="513"/>
      <c r="N3736" s="513"/>
    </row>
    <row r="3737" spans="6:14" ht="16.5">
      <c r="F3737" s="513"/>
      <c r="G3737" s="513"/>
      <c r="H3737" s="518" t="s">
        <v>2420</v>
      </c>
      <c r="I3737" s="513"/>
      <c r="J3737" s="513"/>
      <c r="K3737" s="532">
        <f>SUM(K3734:K3736)</f>
        <v>998.3</v>
      </c>
      <c r="L3737" s="513"/>
      <c r="M3737" s="513"/>
      <c r="N3737" s="513"/>
    </row>
    <row r="3738" spans="6:14" ht="16.5">
      <c r="F3738" s="513"/>
      <c r="G3738" s="513"/>
      <c r="H3738" s="518" t="s">
        <v>2462</v>
      </c>
      <c r="I3738" s="513"/>
      <c r="J3738" s="513"/>
      <c r="K3738" s="533">
        <f>K3737/10</f>
        <v>99.83</v>
      </c>
      <c r="L3738" s="513"/>
      <c r="M3738" s="513"/>
      <c r="N3738" s="513"/>
    </row>
    <row r="3741" spans="6:14" ht="15.75">
      <c r="F3741" s="513"/>
      <c r="G3741" s="513"/>
      <c r="H3741" s="513"/>
      <c r="I3741" s="513"/>
      <c r="J3741" s="513"/>
      <c r="K3741" s="513"/>
      <c r="L3741" s="513"/>
      <c r="M3741" s="513"/>
      <c r="N3741" s="513"/>
    </row>
    <row r="3742" spans="6:14" ht="15.75">
      <c r="F3742" s="430"/>
      <c r="G3742" s="517"/>
      <c r="H3742" s="530" t="s">
        <v>3103</v>
      </c>
      <c r="I3742" s="430"/>
      <c r="J3742" s="430"/>
      <c r="K3742" s="513"/>
      <c r="L3742" s="513"/>
      <c r="M3742" s="513"/>
      <c r="N3742" s="513"/>
    </row>
    <row r="3743" spans="6:14" ht="15.75">
      <c r="F3743" s="430" t="s">
        <v>3</v>
      </c>
      <c r="G3743" s="517" t="s">
        <v>10</v>
      </c>
      <c r="H3743" s="518"/>
      <c r="I3743" s="430" t="s">
        <v>217</v>
      </c>
      <c r="J3743" s="517" t="s">
        <v>10</v>
      </c>
      <c r="K3743" s="517" t="s">
        <v>218</v>
      </c>
      <c r="L3743" s="513"/>
      <c r="M3743" s="513"/>
      <c r="N3743" s="513"/>
    </row>
    <row r="3744" spans="6:14" ht="15.75">
      <c r="F3744" s="430"/>
      <c r="G3744" s="517"/>
      <c r="H3744" s="518"/>
      <c r="I3744" s="430"/>
      <c r="J3744" s="430"/>
      <c r="K3744" s="513"/>
      <c r="L3744" s="513"/>
      <c r="M3744" s="513"/>
      <c r="N3744" s="513"/>
    </row>
    <row r="3745" spans="6:14" ht="15.75">
      <c r="F3745" s="430">
        <v>0.15</v>
      </c>
      <c r="G3745" s="517" t="s">
        <v>313</v>
      </c>
      <c r="H3745" s="534" t="s">
        <v>3104</v>
      </c>
      <c r="I3745" s="535">
        <f>I3639</f>
        <v>2525.42</v>
      </c>
      <c r="J3745" s="517" t="s">
        <v>313</v>
      </c>
      <c r="K3745" s="430">
        <f t="shared" ref="K3745:K3750" si="339">I3745*F3745</f>
        <v>378.81299999999999</v>
      </c>
      <c r="L3745" s="513"/>
      <c r="M3745" s="513"/>
      <c r="N3745" s="513"/>
    </row>
    <row r="3746" spans="6:14" ht="15.75">
      <c r="F3746" s="536">
        <v>7.1999999999999995E-2</v>
      </c>
      <c r="G3746" s="517" t="s">
        <v>277</v>
      </c>
      <c r="H3746" s="518" t="s">
        <v>278</v>
      </c>
      <c r="I3746" s="430">
        <f>I9</f>
        <v>5800</v>
      </c>
      <c r="J3746" s="517" t="s">
        <v>277</v>
      </c>
      <c r="K3746" s="430">
        <f t="shared" si="339"/>
        <v>417.59999999999997</v>
      </c>
      <c r="L3746" s="513"/>
      <c r="M3746" s="513"/>
      <c r="N3746" s="513"/>
    </row>
    <row r="3747" spans="6:14" ht="15.75">
      <c r="F3747" s="430">
        <v>14.5</v>
      </c>
      <c r="G3747" s="517" t="s">
        <v>534</v>
      </c>
      <c r="H3747" s="394" t="s">
        <v>3105</v>
      </c>
      <c r="I3747" s="535">
        <f>P2433</f>
        <v>24.5</v>
      </c>
      <c r="J3747" s="517" t="s">
        <v>534</v>
      </c>
      <c r="K3747" s="430">
        <f t="shared" si="339"/>
        <v>355.25</v>
      </c>
      <c r="L3747" s="513"/>
      <c r="M3747" s="513"/>
      <c r="N3747" s="513"/>
    </row>
    <row r="3748" spans="6:14" ht="15.75">
      <c r="F3748" s="430">
        <v>1.6</v>
      </c>
      <c r="G3748" s="517" t="s">
        <v>305</v>
      </c>
      <c r="H3748" s="430" t="s">
        <v>3106</v>
      </c>
      <c r="I3748" s="430">
        <f>AG9</f>
        <v>1076.5999999999999</v>
      </c>
      <c r="J3748" s="517" t="s">
        <v>305</v>
      </c>
      <c r="K3748" s="430">
        <f t="shared" si="339"/>
        <v>1722.56</v>
      </c>
      <c r="L3748" s="513"/>
      <c r="M3748" s="513"/>
      <c r="N3748" s="513"/>
    </row>
    <row r="3749" spans="6:14" ht="15.75">
      <c r="F3749" s="430">
        <v>0.5</v>
      </c>
      <c r="G3749" s="517" t="s">
        <v>305</v>
      </c>
      <c r="H3749" s="518" t="s">
        <v>235</v>
      </c>
      <c r="I3749" s="430">
        <f>AG11</f>
        <v>702.8</v>
      </c>
      <c r="J3749" s="517" t="s">
        <v>305</v>
      </c>
      <c r="K3749" s="430">
        <f t="shared" si="339"/>
        <v>351.4</v>
      </c>
      <c r="L3749" s="513"/>
      <c r="M3749" s="513"/>
      <c r="N3749" s="513"/>
    </row>
    <row r="3750" spans="6:14" ht="15.75">
      <c r="F3750" s="430">
        <v>1.1000000000000001</v>
      </c>
      <c r="G3750" s="517" t="s">
        <v>305</v>
      </c>
      <c r="H3750" s="518" t="s">
        <v>236</v>
      </c>
      <c r="I3750" s="430">
        <v>280</v>
      </c>
      <c r="J3750" s="517" t="s">
        <v>305</v>
      </c>
      <c r="K3750" s="430">
        <f t="shared" si="339"/>
        <v>308</v>
      </c>
      <c r="L3750" s="513"/>
      <c r="M3750" s="513"/>
      <c r="N3750" s="513"/>
    </row>
    <row r="3751" spans="6:14" ht="15.75">
      <c r="F3751" s="430"/>
      <c r="G3751" s="517"/>
      <c r="H3751" s="518" t="s">
        <v>307</v>
      </c>
      <c r="I3751" s="537" t="s">
        <v>287</v>
      </c>
      <c r="J3751" s="517"/>
      <c r="K3751" s="430">
        <v>52.63</v>
      </c>
      <c r="L3751" s="513"/>
      <c r="M3751" s="513"/>
      <c r="N3751" s="513"/>
    </row>
    <row r="3752" spans="6:14" ht="15.75">
      <c r="F3752" s="430"/>
      <c r="G3752" s="517"/>
      <c r="H3752" s="518" t="s">
        <v>2420</v>
      </c>
      <c r="I3752" s="513"/>
      <c r="J3752" s="513"/>
      <c r="K3752" s="430">
        <f>SUM(K3745:K3751)</f>
        <v>3586.2530000000002</v>
      </c>
      <c r="L3752" s="513"/>
      <c r="M3752" s="513"/>
      <c r="N3752" s="513"/>
    </row>
    <row r="3753" spans="6:14" ht="15.75">
      <c r="F3753" s="513"/>
      <c r="G3753" s="513"/>
      <c r="H3753" s="518" t="s">
        <v>2462</v>
      </c>
      <c r="I3753" s="513"/>
      <c r="J3753" s="513"/>
      <c r="K3753" s="538">
        <f>K3752/10</f>
        <v>358.62530000000004</v>
      </c>
      <c r="L3753" s="513"/>
      <c r="M3753" s="513"/>
      <c r="N3753" s="513"/>
    </row>
    <row r="3754" spans="6:14" ht="15.75">
      <c r="F3754" s="513"/>
      <c r="G3754" s="513"/>
      <c r="H3754" s="513"/>
      <c r="I3754" s="513"/>
      <c r="J3754" s="513"/>
      <c r="K3754" s="513"/>
      <c r="L3754" s="513"/>
      <c r="M3754" s="513"/>
      <c r="N3754" s="513"/>
    </row>
    <row r="3755" spans="6:14" ht="15.75">
      <c r="F3755" s="88"/>
      <c r="G3755" s="62" t="s">
        <v>249</v>
      </c>
      <c r="I3755" s="539"/>
      <c r="J3755" s="540"/>
    </row>
    <row r="3756" spans="6:14" ht="15.75">
      <c r="H3756" s="50"/>
    </row>
    <row r="3757" spans="6:14" ht="15.75">
      <c r="H3757" s="541" t="s">
        <v>3107</v>
      </c>
    </row>
    <row r="3758" spans="6:14" ht="15.75">
      <c r="H3758" s="59" t="s">
        <v>21</v>
      </c>
    </row>
    <row r="3759" spans="6:14" ht="15.75">
      <c r="F3759" s="64">
        <v>21.55</v>
      </c>
      <c r="G3759" s="62" t="s">
        <v>13</v>
      </c>
      <c r="H3759" s="50" t="s">
        <v>3108</v>
      </c>
      <c r="I3759" s="64">
        <f>I3735</f>
        <v>861</v>
      </c>
      <c r="J3759" s="62" t="s">
        <v>13</v>
      </c>
      <c r="K3759" s="64">
        <f>I3759*F3759</f>
        <v>18554.55</v>
      </c>
    </row>
    <row r="3760" spans="6:14" ht="15.75">
      <c r="F3760" s="64"/>
      <c r="G3760" s="62"/>
      <c r="H3760" s="50" t="s">
        <v>3109</v>
      </c>
      <c r="I3760" s="64"/>
      <c r="J3760" s="62"/>
      <c r="K3760" s="64">
        <f>K3759*10/100</f>
        <v>1855.4549999999999</v>
      </c>
    </row>
    <row r="3761" spans="6:11" ht="15.75">
      <c r="F3761" s="64">
        <v>3.7</v>
      </c>
      <c r="G3761" s="62" t="s">
        <v>13</v>
      </c>
      <c r="H3761" s="50" t="s">
        <v>3110</v>
      </c>
      <c r="I3761" s="64">
        <f>Z32</f>
        <v>45000</v>
      </c>
      <c r="J3761" s="62" t="s">
        <v>277</v>
      </c>
      <c r="K3761" s="64">
        <f>I3761*F3761/10000</f>
        <v>16.649999999999999</v>
      </c>
    </row>
    <row r="3762" spans="6:11" ht="15.75">
      <c r="F3762" s="513"/>
      <c r="G3762" s="513"/>
      <c r="H3762" s="50" t="s">
        <v>3111</v>
      </c>
      <c r="I3762" s="64"/>
      <c r="J3762" s="50"/>
      <c r="K3762" s="64">
        <f>K3761*5/100</f>
        <v>0.83250000000000002</v>
      </c>
    </row>
    <row r="3763" spans="6:11" ht="15.75">
      <c r="F3763" s="64">
        <v>18</v>
      </c>
      <c r="G3763" s="62" t="s">
        <v>295</v>
      </c>
      <c r="H3763" s="50" t="s">
        <v>3112</v>
      </c>
      <c r="I3763" s="64">
        <v>15</v>
      </c>
      <c r="J3763" s="62" t="s">
        <v>154</v>
      </c>
      <c r="K3763" s="64">
        <f>I3763*F3763</f>
        <v>270</v>
      </c>
    </row>
    <row r="3764" spans="6:11" ht="15.75">
      <c r="F3764" s="64"/>
      <c r="G3764" s="62"/>
      <c r="H3764" s="50" t="s">
        <v>3113</v>
      </c>
      <c r="I3764" s="64"/>
      <c r="J3764" s="50"/>
      <c r="K3764" s="64">
        <f>K3763*10/100</f>
        <v>27</v>
      </c>
    </row>
    <row r="3765" spans="6:11" ht="15.75">
      <c r="F3765" s="64">
        <v>28</v>
      </c>
      <c r="G3765" s="62" t="s">
        <v>295</v>
      </c>
      <c r="H3765" s="50" t="s">
        <v>3114</v>
      </c>
      <c r="I3765" s="64">
        <v>1</v>
      </c>
      <c r="J3765" s="62" t="s">
        <v>295</v>
      </c>
      <c r="K3765" s="64">
        <f>I3765*F3765</f>
        <v>28</v>
      </c>
    </row>
    <row r="3766" spans="6:11" ht="15.75">
      <c r="F3766" s="64">
        <v>28</v>
      </c>
      <c r="G3766" s="62" t="s">
        <v>295</v>
      </c>
      <c r="H3766" s="50" t="s">
        <v>3115</v>
      </c>
      <c r="I3766" s="64">
        <v>2</v>
      </c>
      <c r="J3766" s="62" t="s">
        <v>295</v>
      </c>
      <c r="K3766" s="64">
        <f>I3766*F3766</f>
        <v>56</v>
      </c>
    </row>
    <row r="3767" spans="6:11" ht="15.75">
      <c r="F3767" s="64">
        <v>4</v>
      </c>
      <c r="G3767" s="62" t="s">
        <v>295</v>
      </c>
      <c r="H3767" s="271" t="s">
        <v>3116</v>
      </c>
      <c r="I3767" s="64">
        <f>AG17</f>
        <v>950.59999999999991</v>
      </c>
      <c r="J3767" s="62" t="s">
        <v>295</v>
      </c>
      <c r="K3767" s="64">
        <f>I3767*F3767</f>
        <v>3802.3999999999996</v>
      </c>
    </row>
    <row r="3768" spans="6:11" ht="15.75">
      <c r="F3768" s="64">
        <v>2</v>
      </c>
      <c r="G3768" s="62" t="s">
        <v>295</v>
      </c>
      <c r="H3768" s="326" t="s">
        <v>3117</v>
      </c>
      <c r="I3768" s="64">
        <f>AG19</f>
        <v>1052.8</v>
      </c>
      <c r="J3768" s="62" t="s">
        <v>295</v>
      </c>
      <c r="K3768" s="64">
        <f>I3768*F3768</f>
        <v>2105.6</v>
      </c>
    </row>
    <row r="3769" spans="6:11" ht="15.75">
      <c r="F3769" s="64">
        <v>6</v>
      </c>
      <c r="G3769" s="62" t="s">
        <v>295</v>
      </c>
      <c r="H3769" s="326" t="s">
        <v>3118</v>
      </c>
      <c r="I3769" s="64">
        <f>AG11</f>
        <v>702.8</v>
      </c>
      <c r="J3769" s="62" t="s">
        <v>295</v>
      </c>
      <c r="K3769" s="64">
        <f>I3769*F3769</f>
        <v>4216.7999999999993</v>
      </c>
    </row>
    <row r="3770" spans="6:11" ht="15.75">
      <c r="F3770" s="64"/>
      <c r="G3770" s="62" t="s">
        <v>226</v>
      </c>
      <c r="H3770" s="50" t="s">
        <v>307</v>
      </c>
      <c r="I3770" s="50" t="s">
        <v>150</v>
      </c>
      <c r="J3770" s="50" t="s">
        <v>226</v>
      </c>
      <c r="K3770" s="64">
        <v>5.38</v>
      </c>
    </row>
    <row r="3771" spans="6:11" ht="15.75">
      <c r="F3771" s="64"/>
      <c r="G3771" s="62"/>
      <c r="H3771" s="50"/>
      <c r="I3771" s="64"/>
      <c r="J3771" s="62"/>
      <c r="K3771" s="64"/>
    </row>
    <row r="3772" spans="6:11" ht="15.75">
      <c r="H3772" s="50" t="s">
        <v>3119</v>
      </c>
      <c r="K3772" s="64">
        <f>SUM(K3759:K3771)</f>
        <v>30938.667499999996</v>
      </c>
    </row>
    <row r="3773" spans="6:11" ht="15.75">
      <c r="K3773" s="59" t="s">
        <v>21</v>
      </c>
    </row>
    <row r="3774" spans="6:11" ht="15.75">
      <c r="H3774" s="61" t="s">
        <v>3120</v>
      </c>
      <c r="I3774" s="65"/>
      <c r="J3774" s="242" t="s">
        <v>2597</v>
      </c>
      <c r="K3774" s="63">
        <f>K3772/18</f>
        <v>1718.814861111111</v>
      </c>
    </row>
    <row r="3775" spans="6:11" ht="15.75">
      <c r="H3775" s="61"/>
      <c r="I3775" s="65"/>
      <c r="J3775" s="242"/>
      <c r="K3775" s="59" t="s">
        <v>21</v>
      </c>
    </row>
    <row r="3776" spans="6:11" ht="15.75">
      <c r="H3776" s="61"/>
      <c r="I3776" s="65"/>
      <c r="J3776" s="242"/>
      <c r="K3776" s="63"/>
    </row>
    <row r="3777" spans="6:12" ht="15.75">
      <c r="F3777" s="513"/>
      <c r="G3777" s="513"/>
      <c r="H3777" s="542" t="s">
        <v>3121</v>
      </c>
      <c r="I3777" s="513"/>
      <c r="J3777" s="513"/>
      <c r="K3777" s="513"/>
      <c r="L3777" s="513"/>
    </row>
    <row r="3778" spans="6:12" ht="16.5">
      <c r="G3778" s="507" t="s">
        <v>3122</v>
      </c>
      <c r="H3778" s="507"/>
      <c r="I3778" s="507"/>
      <c r="J3778" s="507"/>
      <c r="K3778" s="508"/>
      <c r="L3778" s="508"/>
    </row>
    <row r="3779" spans="6:12" ht="16.5">
      <c r="G3779" s="249"/>
      <c r="H3779" s="250"/>
      <c r="I3779" s="251"/>
      <c r="J3779" s="252"/>
      <c r="K3779" s="250"/>
      <c r="L3779" s="252"/>
    </row>
    <row r="3780" spans="6:12" ht="16.5">
      <c r="G3780" s="249"/>
      <c r="H3780" s="250"/>
      <c r="I3780" s="253"/>
      <c r="J3780" s="252"/>
      <c r="K3780" s="250"/>
      <c r="L3780" s="252"/>
    </row>
    <row r="3781" spans="6:12" ht="16.5">
      <c r="F3781" s="249">
        <v>38.86</v>
      </c>
      <c r="G3781" s="250" t="s">
        <v>534</v>
      </c>
      <c r="H3781" s="253" t="s">
        <v>3123</v>
      </c>
      <c r="I3781" s="252">
        <f>AD1350</f>
        <v>287</v>
      </c>
      <c r="J3781" s="250" t="s">
        <v>534</v>
      </c>
      <c r="K3781" s="252">
        <f t="shared" ref="K3781:K3788" si="340">I3781*F3781</f>
        <v>11152.82</v>
      </c>
      <c r="L3781" s="247"/>
    </row>
    <row r="3782" spans="6:12" ht="16.5">
      <c r="F3782" s="249">
        <v>2.4300000000000002</v>
      </c>
      <c r="G3782" s="543" t="s">
        <v>533</v>
      </c>
      <c r="H3782" s="544" t="s">
        <v>3043</v>
      </c>
      <c r="I3782" s="252">
        <v>336</v>
      </c>
      <c r="J3782" s="250" t="s">
        <v>533</v>
      </c>
      <c r="K3782" s="252">
        <f t="shared" si="340"/>
        <v>816.48</v>
      </c>
      <c r="L3782" s="247"/>
    </row>
    <row r="3783" spans="6:12" ht="16.5">
      <c r="F3783" s="249">
        <v>4.8499999999999996</v>
      </c>
      <c r="G3783" s="543" t="s">
        <v>533</v>
      </c>
      <c r="H3783" s="544" t="s">
        <v>3044</v>
      </c>
      <c r="I3783" s="252">
        <v>695</v>
      </c>
      <c r="J3783" s="250" t="s">
        <v>4</v>
      </c>
      <c r="K3783" s="252">
        <f t="shared" si="340"/>
        <v>3370.7499999999995</v>
      </c>
      <c r="L3783" s="247"/>
    </row>
    <row r="3784" spans="6:12" ht="16.5">
      <c r="F3784" s="510">
        <v>34.65</v>
      </c>
      <c r="G3784" s="543" t="s">
        <v>303</v>
      </c>
      <c r="H3784" s="544" t="s">
        <v>3060</v>
      </c>
      <c r="I3784" s="252">
        <v>35.5</v>
      </c>
      <c r="J3784" s="250" t="s">
        <v>303</v>
      </c>
      <c r="K3784" s="252">
        <f t="shared" si="340"/>
        <v>1230.075</v>
      </c>
      <c r="L3784" s="247"/>
    </row>
    <row r="3785" spans="6:12" ht="18">
      <c r="F3785" s="494">
        <v>144</v>
      </c>
      <c r="G3785" s="545" t="s">
        <v>295</v>
      </c>
      <c r="H3785" s="546" t="s">
        <v>3124</v>
      </c>
      <c r="I3785" s="512">
        <v>2.25</v>
      </c>
      <c r="J3785" s="496" t="s">
        <v>68</v>
      </c>
      <c r="K3785" s="252">
        <f t="shared" si="340"/>
        <v>324</v>
      </c>
      <c r="L3785" s="247"/>
    </row>
    <row r="3786" spans="6:12" ht="18">
      <c r="F3786" s="494">
        <v>12</v>
      </c>
      <c r="G3786" s="545" t="s">
        <v>295</v>
      </c>
      <c r="H3786" s="546" t="s">
        <v>3125</v>
      </c>
      <c r="I3786" s="512">
        <v>4.55</v>
      </c>
      <c r="J3786" s="496" t="s">
        <v>68</v>
      </c>
      <c r="K3786" s="252">
        <f t="shared" si="340"/>
        <v>54.599999999999994</v>
      </c>
      <c r="L3786" s="247"/>
    </row>
    <row r="3787" spans="6:12" ht="18">
      <c r="F3787" s="494">
        <v>12</v>
      </c>
      <c r="G3787" s="545" t="s">
        <v>295</v>
      </c>
      <c r="H3787" s="546" t="s">
        <v>3126</v>
      </c>
      <c r="I3787" s="512">
        <v>1</v>
      </c>
      <c r="J3787" s="496" t="s">
        <v>68</v>
      </c>
      <c r="K3787" s="252">
        <f t="shared" si="340"/>
        <v>12</v>
      </c>
      <c r="L3787" s="247"/>
    </row>
    <row r="3788" spans="6:12" ht="16.5">
      <c r="F3788" s="249">
        <v>2</v>
      </c>
      <c r="G3788" s="543" t="s">
        <v>10</v>
      </c>
      <c r="H3788" s="544" t="s">
        <v>3127</v>
      </c>
      <c r="I3788" s="252">
        <v>11.1</v>
      </c>
      <c r="J3788" s="250" t="s">
        <v>10</v>
      </c>
      <c r="K3788" s="252">
        <f t="shared" si="340"/>
        <v>22.2</v>
      </c>
      <c r="L3788" s="247"/>
    </row>
    <row r="3789" spans="6:12" ht="16.5">
      <c r="F3789" s="249">
        <v>6.6150000000000002</v>
      </c>
      <c r="G3789" s="543" t="s">
        <v>306</v>
      </c>
      <c r="H3789" s="544" t="s">
        <v>2041</v>
      </c>
      <c r="I3789" s="247">
        <f>K3799</f>
        <v>2156</v>
      </c>
      <c r="J3789" s="250" t="s">
        <v>306</v>
      </c>
      <c r="K3789" s="252">
        <f>1059.95*6.615</f>
        <v>7011.5692500000005</v>
      </c>
      <c r="L3789" s="247"/>
    </row>
    <row r="3790" spans="6:12" ht="16.5">
      <c r="F3790" s="249"/>
      <c r="G3790" s="543"/>
      <c r="H3790" s="544"/>
      <c r="I3790" s="247"/>
      <c r="J3790" s="254"/>
      <c r="K3790" s="252"/>
      <c r="L3790" s="247"/>
    </row>
    <row r="3791" spans="6:12" ht="16.5">
      <c r="F3791" s="249"/>
      <c r="G3791" s="543"/>
      <c r="H3791" s="133" t="s">
        <v>3128</v>
      </c>
      <c r="J3791" s="250"/>
      <c r="K3791" s="252">
        <f>SUM(K3781:K3790)</f>
        <v>23994.49425</v>
      </c>
      <c r="L3791" s="247"/>
    </row>
    <row r="3792" spans="6:12" ht="16.5">
      <c r="F3792" s="249"/>
      <c r="G3792" s="543"/>
      <c r="H3792" s="133" t="s">
        <v>155</v>
      </c>
      <c r="J3792" s="508"/>
      <c r="K3792" s="256">
        <f>K3791/6.615</f>
        <v>3627.2856009070292</v>
      </c>
      <c r="L3792" s="258" t="s">
        <v>340</v>
      </c>
    </row>
    <row r="3793" spans="6:12" ht="16.5">
      <c r="F3793" s="247"/>
      <c r="G3793" s="547"/>
      <c r="H3793" s="548"/>
      <c r="I3793" s="247"/>
      <c r="J3793" s="247"/>
      <c r="K3793" s="247"/>
      <c r="L3793" s="247"/>
    </row>
    <row r="3794" spans="6:12" ht="16.5">
      <c r="F3794" s="252">
        <v>1</v>
      </c>
      <c r="G3794" s="250" t="s">
        <v>153</v>
      </c>
      <c r="H3794" s="253" t="s">
        <v>2044</v>
      </c>
      <c r="I3794" s="252">
        <f>AG17</f>
        <v>950.59999999999991</v>
      </c>
      <c r="J3794" s="253" t="s">
        <v>153</v>
      </c>
      <c r="K3794" s="252">
        <f>I3794*F3794</f>
        <v>950.59999999999991</v>
      </c>
      <c r="L3794" s="247"/>
    </row>
    <row r="3795" spans="6:12" ht="16.5">
      <c r="F3795" s="252">
        <v>1</v>
      </c>
      <c r="G3795" s="250" t="s">
        <v>153</v>
      </c>
      <c r="H3795" s="253" t="s">
        <v>2045</v>
      </c>
      <c r="I3795" s="252">
        <f>AG11</f>
        <v>702.8</v>
      </c>
      <c r="J3795" s="253" t="s">
        <v>153</v>
      </c>
      <c r="K3795" s="252">
        <f>I3795*F3795</f>
        <v>702.8</v>
      </c>
      <c r="L3795" s="247"/>
    </row>
    <row r="3796" spans="6:12" ht="16.5">
      <c r="F3796" s="252">
        <v>0.5</v>
      </c>
      <c r="G3796" s="250" t="s">
        <v>153</v>
      </c>
      <c r="H3796" s="253" t="s">
        <v>2046</v>
      </c>
      <c r="I3796" s="252">
        <f>AG20</f>
        <v>1005.1999999999999</v>
      </c>
      <c r="J3796" s="253" t="s">
        <v>153</v>
      </c>
      <c r="K3796" s="252">
        <f>I3796*F3796</f>
        <v>502.59999999999997</v>
      </c>
      <c r="L3796" s="247"/>
    </row>
    <row r="3797" spans="6:12" ht="16.5">
      <c r="F3797" s="247"/>
      <c r="G3797" s="250" t="s">
        <v>226</v>
      </c>
      <c r="H3797" s="253"/>
      <c r="I3797" s="252"/>
      <c r="J3797" s="253" t="s">
        <v>226</v>
      </c>
      <c r="K3797" s="252"/>
      <c r="L3797" s="247"/>
    </row>
    <row r="3798" spans="6:12" ht="16.5">
      <c r="G3798" s="247"/>
      <c r="H3798" s="255"/>
      <c r="I3798" s="247"/>
      <c r="J3798" s="247"/>
      <c r="K3798" s="261" t="s">
        <v>21</v>
      </c>
      <c r="L3798" s="513"/>
    </row>
    <row r="3799" spans="6:12" ht="16.5">
      <c r="G3799" s="247"/>
      <c r="H3799" s="255"/>
      <c r="I3799" s="253" t="s">
        <v>2047</v>
      </c>
      <c r="J3799" s="247"/>
      <c r="K3799" s="256">
        <f>SUM(K3794:K3798)</f>
        <v>2156</v>
      </c>
      <c r="L3799" s="513"/>
    </row>
    <row r="3800" spans="6:12" ht="16.5">
      <c r="G3800" s="247"/>
      <c r="H3800" s="255"/>
      <c r="I3800" s="247"/>
      <c r="J3800" s="247"/>
      <c r="K3800" s="261" t="s">
        <v>21</v>
      </c>
      <c r="L3800" s="513"/>
    </row>
    <row r="3801" spans="6:12" ht="15.75">
      <c r="G3801" s="52"/>
      <c r="J3801" s="52"/>
      <c r="K3801" s="56"/>
    </row>
    <row r="3802" spans="6:12" ht="15.75">
      <c r="F3802" s="101"/>
      <c r="G3802" s="62" t="s">
        <v>249</v>
      </c>
      <c r="H3802" s="50" t="s">
        <v>1900</v>
      </c>
    </row>
    <row r="3803" spans="6:12" ht="15.75">
      <c r="H3803" s="50"/>
    </row>
    <row r="3804" spans="6:12" ht="15.75">
      <c r="H3804" s="59" t="s">
        <v>21</v>
      </c>
    </row>
    <row r="3805" spans="6:12" ht="15.75">
      <c r="F3805" s="64">
        <v>1.86</v>
      </c>
      <c r="G3805" s="62" t="s">
        <v>152</v>
      </c>
      <c r="H3805" s="50" t="s">
        <v>1901</v>
      </c>
      <c r="I3805" s="72">
        <v>699.4</v>
      </c>
      <c r="J3805" s="50" t="s">
        <v>152</v>
      </c>
      <c r="K3805" s="64">
        <f>(F3805*I3805)</f>
        <v>1300.884</v>
      </c>
    </row>
    <row r="3806" spans="6:12" ht="15.75">
      <c r="F3806" s="64">
        <v>0.4</v>
      </c>
      <c r="G3806" s="62" t="s">
        <v>13</v>
      </c>
      <c r="H3806" s="50" t="s">
        <v>1864</v>
      </c>
      <c r="I3806" s="232">
        <f>I3462</f>
        <v>36.1</v>
      </c>
      <c r="J3806" s="50" t="s">
        <v>13</v>
      </c>
      <c r="K3806" s="64">
        <f>(F3806*I3806)</f>
        <v>14.440000000000001</v>
      </c>
    </row>
    <row r="3807" spans="6:12" ht="15.75">
      <c r="F3807" s="64">
        <v>0.02</v>
      </c>
      <c r="G3807" s="62" t="s">
        <v>151</v>
      </c>
      <c r="H3807" s="50" t="s">
        <v>1892</v>
      </c>
      <c r="I3807" s="64">
        <f>K23</f>
        <v>6414.7</v>
      </c>
      <c r="J3807" s="50" t="s">
        <v>151</v>
      </c>
      <c r="K3807" s="64">
        <f>(F3807*I3807)</f>
        <v>128.29400000000001</v>
      </c>
    </row>
    <row r="3808" spans="6:12" ht="15.75">
      <c r="F3808" s="64">
        <v>1</v>
      </c>
      <c r="G3808" s="62" t="s">
        <v>4</v>
      </c>
      <c r="H3808" s="50" t="s">
        <v>269</v>
      </c>
      <c r="I3808" s="64">
        <f>I3748</f>
        <v>1076.5999999999999</v>
      </c>
      <c r="J3808" s="50" t="s">
        <v>4</v>
      </c>
      <c r="K3808" s="64">
        <f>(F3808*I3808)</f>
        <v>1076.5999999999999</v>
      </c>
    </row>
    <row r="3809" spans="6:11" ht="15.75">
      <c r="F3809" s="64">
        <v>1</v>
      </c>
      <c r="G3809" s="62" t="s">
        <v>4</v>
      </c>
      <c r="H3809" s="50" t="s">
        <v>1894</v>
      </c>
      <c r="I3809" s="64">
        <f>I3795</f>
        <v>702.8</v>
      </c>
      <c r="J3809" s="50" t="s">
        <v>4</v>
      </c>
      <c r="K3809" s="64">
        <f>(F3809*I3809)</f>
        <v>702.8</v>
      </c>
    </row>
    <row r="3810" spans="6:11" ht="15.75">
      <c r="G3810" s="62" t="s">
        <v>226</v>
      </c>
      <c r="H3810" s="50" t="s">
        <v>237</v>
      </c>
      <c r="J3810" s="50" t="s">
        <v>226</v>
      </c>
      <c r="K3810" s="64"/>
    </row>
    <row r="3811" spans="6:11" ht="15.75">
      <c r="K3811" s="59" t="s">
        <v>21</v>
      </c>
    </row>
    <row r="3812" spans="6:11" ht="15.75">
      <c r="H3812" s="50" t="s">
        <v>1897</v>
      </c>
      <c r="K3812" s="64">
        <f>SUM(K3805:K3810)</f>
        <v>3223.018</v>
      </c>
    </row>
    <row r="3813" spans="6:11" ht="15.75">
      <c r="K3813" s="59" t="s">
        <v>21</v>
      </c>
    </row>
    <row r="3814" spans="6:11" ht="15.75">
      <c r="H3814" s="66" t="s">
        <v>155</v>
      </c>
      <c r="K3814" s="63">
        <f>(K3812/1.86)</f>
        <v>1732.805376344086</v>
      </c>
    </row>
    <row r="3815" spans="6:11" ht="15.75">
      <c r="K3815" s="59" t="s">
        <v>156</v>
      </c>
    </row>
    <row r="3817" spans="6:11" ht="15.75">
      <c r="F3817" s="101"/>
      <c r="G3817" s="62" t="s">
        <v>249</v>
      </c>
      <c r="H3817" s="50" t="s">
        <v>1898</v>
      </c>
    </row>
    <row r="3818" spans="6:11" ht="15.75">
      <c r="H3818" s="50"/>
    </row>
    <row r="3819" spans="6:11" ht="15.75">
      <c r="H3819" s="50"/>
    </row>
    <row r="3820" spans="6:11" ht="15.75">
      <c r="H3820" s="59" t="s">
        <v>21</v>
      </c>
      <c r="I3820" s="59" t="s">
        <v>21</v>
      </c>
    </row>
    <row r="3821" spans="6:11" ht="31.5">
      <c r="F3821" s="64">
        <v>10</v>
      </c>
      <c r="G3821" s="62" t="s">
        <v>152</v>
      </c>
      <c r="H3821" s="116" t="s">
        <v>1899</v>
      </c>
      <c r="I3821" s="72">
        <v>538.21</v>
      </c>
      <c r="J3821" s="50" t="s">
        <v>152</v>
      </c>
      <c r="K3821" s="64">
        <f>(F3821*I3821)</f>
        <v>5382.1</v>
      </c>
    </row>
    <row r="3822" spans="6:11" ht="15.75">
      <c r="F3822" s="64">
        <v>0.21</v>
      </c>
      <c r="G3822" s="62" t="s">
        <v>151</v>
      </c>
      <c r="H3822" s="50" t="s">
        <v>298</v>
      </c>
      <c r="I3822" s="72">
        <f>I3455</f>
        <v>5022.7</v>
      </c>
      <c r="J3822" s="50" t="s">
        <v>151</v>
      </c>
      <c r="K3822" s="64">
        <f>(F3822*I3822)</f>
        <v>1054.7669999999998</v>
      </c>
    </row>
    <row r="3823" spans="6:11" ht="15.75">
      <c r="H3823" s="50" t="s">
        <v>1860</v>
      </c>
      <c r="I3823" s="72"/>
      <c r="K3823" s="50" t="s">
        <v>150</v>
      </c>
    </row>
    <row r="3824" spans="6:11" ht="15.75">
      <c r="F3824" s="64">
        <v>1.1000000000000001</v>
      </c>
      <c r="G3824" s="62" t="s">
        <v>4</v>
      </c>
      <c r="H3824" s="50" t="s">
        <v>269</v>
      </c>
      <c r="I3824" s="72">
        <f>I3457</f>
        <v>1076.5999999999999</v>
      </c>
      <c r="J3824" s="50" t="s">
        <v>4</v>
      </c>
      <c r="K3824" s="64">
        <f>(F3824*I3824)</f>
        <v>1184.26</v>
      </c>
    </row>
    <row r="3825" spans="5:11" ht="15.75">
      <c r="F3825" s="64">
        <v>1.1000000000000001</v>
      </c>
      <c r="G3825" s="62" t="s">
        <v>4</v>
      </c>
      <c r="H3825" s="50" t="s">
        <v>234</v>
      </c>
      <c r="I3825" s="72">
        <f t="shared" ref="I3825:I3832" si="341">I3458</f>
        <v>1005.1999999999999</v>
      </c>
      <c r="J3825" s="50" t="s">
        <v>4</v>
      </c>
      <c r="K3825" s="64">
        <f>(F3825*I3825)</f>
        <v>1105.72</v>
      </c>
    </row>
    <row r="3826" spans="5:11" ht="15.75">
      <c r="F3826" s="64">
        <v>2.2000000000000002</v>
      </c>
      <c r="G3826" s="62" t="s">
        <v>4</v>
      </c>
      <c r="H3826" s="50" t="s">
        <v>235</v>
      </c>
      <c r="I3826" s="72">
        <f t="shared" si="341"/>
        <v>702.8</v>
      </c>
      <c r="J3826" s="50" t="s">
        <v>4</v>
      </c>
      <c r="K3826" s="64">
        <f>(F3826*I3826)</f>
        <v>1546.16</v>
      </c>
    </row>
    <row r="3827" spans="5:11" ht="15.75">
      <c r="F3827" s="64">
        <v>2.2000000000000002</v>
      </c>
      <c r="G3827" s="62" t="s">
        <v>4</v>
      </c>
      <c r="H3827" s="50" t="s">
        <v>236</v>
      </c>
      <c r="I3827" s="72">
        <f t="shared" si="341"/>
        <v>576.79999999999995</v>
      </c>
      <c r="J3827" s="50" t="s">
        <v>4</v>
      </c>
      <c r="K3827" s="64">
        <f>(F3827*I3827)</f>
        <v>1268.96</v>
      </c>
    </row>
    <row r="3828" spans="5:11" ht="15.75">
      <c r="F3828" s="100">
        <v>20</v>
      </c>
      <c r="G3828" s="62" t="s">
        <v>13</v>
      </c>
      <c r="H3828" s="50" t="s">
        <v>252</v>
      </c>
      <c r="I3828" s="72">
        <f t="shared" si="341"/>
        <v>5800</v>
      </c>
      <c r="J3828" s="50" t="s">
        <v>251</v>
      </c>
      <c r="K3828" s="64">
        <f>(F3828*I3828)/1000</f>
        <v>116</v>
      </c>
    </row>
    <row r="3829" spans="5:11" ht="15.75">
      <c r="F3829" s="100">
        <v>2</v>
      </c>
      <c r="G3829" s="62" t="s">
        <v>13</v>
      </c>
      <c r="H3829" s="50" t="s">
        <v>1864</v>
      </c>
      <c r="I3829" s="72">
        <f t="shared" si="341"/>
        <v>36.1</v>
      </c>
      <c r="J3829" s="50" t="s">
        <v>13</v>
      </c>
      <c r="K3829" s="64">
        <f>(F3829*I3829)</f>
        <v>72.2</v>
      </c>
    </row>
    <row r="3830" spans="5:11" ht="15.75">
      <c r="F3830" s="64">
        <v>1.6</v>
      </c>
      <c r="G3830" s="62" t="s">
        <v>4</v>
      </c>
      <c r="H3830" s="50" t="s">
        <v>234</v>
      </c>
      <c r="I3830" s="72">
        <f t="shared" si="341"/>
        <v>1005.1999999999999</v>
      </c>
      <c r="J3830" s="50" t="s">
        <v>4</v>
      </c>
      <c r="K3830" s="64">
        <f>(F3830*I3830)</f>
        <v>1608.32</v>
      </c>
    </row>
    <row r="3831" spans="5:11" ht="15.75">
      <c r="F3831" s="64">
        <v>0.5</v>
      </c>
      <c r="G3831" s="62" t="s">
        <v>4</v>
      </c>
      <c r="H3831" s="50" t="s">
        <v>235</v>
      </c>
      <c r="I3831" s="72">
        <f t="shared" si="341"/>
        <v>702.8</v>
      </c>
      <c r="J3831" s="50" t="s">
        <v>4</v>
      </c>
      <c r="K3831" s="64">
        <f>(F3831*I3831)</f>
        <v>351.4</v>
      </c>
    </row>
    <row r="3832" spans="5:11" ht="15.75">
      <c r="F3832" s="64">
        <v>1.1000000000000001</v>
      </c>
      <c r="G3832" s="62" t="s">
        <v>4</v>
      </c>
      <c r="H3832" s="50" t="s">
        <v>236</v>
      </c>
      <c r="I3832" s="72">
        <f t="shared" si="341"/>
        <v>576.79999999999995</v>
      </c>
      <c r="J3832" s="50" t="s">
        <v>4</v>
      </c>
      <c r="K3832" s="64">
        <f>(F3832*I3832)</f>
        <v>634.48</v>
      </c>
    </row>
    <row r="3833" spans="5:11" ht="15.75">
      <c r="G3833" s="62" t="s">
        <v>226</v>
      </c>
      <c r="H3833" s="50" t="s">
        <v>237</v>
      </c>
      <c r="J3833" s="50" t="s">
        <v>226</v>
      </c>
      <c r="K3833" s="64">
        <v>0</v>
      </c>
    </row>
    <row r="3834" spans="5:11" ht="15.75">
      <c r="K3834" s="59" t="s">
        <v>21</v>
      </c>
    </row>
    <row r="3835" spans="5:11" ht="15.75">
      <c r="H3835" s="50" t="s">
        <v>238</v>
      </c>
      <c r="K3835" s="64">
        <f>SUM(K3821:K3833)</f>
        <v>14324.367</v>
      </c>
    </row>
    <row r="3836" spans="5:11" ht="15.75">
      <c r="K3836" s="59" t="s">
        <v>21</v>
      </c>
    </row>
    <row r="3837" spans="5:11" ht="15.75">
      <c r="F3837" s="56"/>
      <c r="G3837" s="52"/>
      <c r="H3837" s="66" t="s">
        <v>155</v>
      </c>
      <c r="K3837" s="63">
        <f>(K3835/10)</f>
        <v>1432.4367</v>
      </c>
    </row>
    <row r="3838" spans="5:11" ht="15.75">
      <c r="F3838" s="56"/>
      <c r="G3838" s="52"/>
      <c r="K3838" s="59" t="s">
        <v>156</v>
      </c>
    </row>
    <row r="3840" spans="5:11" ht="15.75">
      <c r="E3840" s="163"/>
      <c r="F3840" s="195"/>
      <c r="G3840" s="65" t="s">
        <v>3129</v>
      </c>
      <c r="H3840" s="163"/>
      <c r="I3840" s="196">
        <f>1.2*0.8</f>
        <v>0.96</v>
      </c>
      <c r="J3840" s="163"/>
      <c r="K3840" s="56"/>
    </row>
    <row r="3841" spans="5:11" ht="15.75">
      <c r="E3841" s="163"/>
      <c r="F3841" s="195"/>
      <c r="G3841" s="163"/>
      <c r="H3841" s="163"/>
      <c r="I3841" s="196"/>
      <c r="J3841" s="163"/>
      <c r="K3841" s="56"/>
    </row>
    <row r="3842" spans="5:11" ht="15.75">
      <c r="E3842" s="55" t="s">
        <v>3130</v>
      </c>
      <c r="F3842" s="196"/>
      <c r="G3842" s="196"/>
      <c r="H3842" s="198">
        <f>4*3.9</f>
        <v>15.6</v>
      </c>
      <c r="I3842" s="196" t="s">
        <v>2161</v>
      </c>
      <c r="J3842" s="196"/>
      <c r="K3842" s="56"/>
    </row>
    <row r="3843" spans="5:11" ht="15.75">
      <c r="E3843" s="52" t="s">
        <v>3131</v>
      </c>
      <c r="F3843" s="195"/>
      <c r="G3843" s="163"/>
      <c r="H3843" s="163">
        <f>11*0.8*3.14</f>
        <v>27.632000000000005</v>
      </c>
      <c r="I3843" s="196" t="s">
        <v>2161</v>
      </c>
      <c r="J3843" s="196"/>
      <c r="K3843" s="56"/>
    </row>
    <row r="3844" spans="5:11" ht="15.75">
      <c r="E3844" s="52" t="s">
        <v>3132</v>
      </c>
      <c r="F3844" s="195"/>
      <c r="G3844" s="163"/>
      <c r="H3844" s="163">
        <f>2*1.2*1.2</f>
        <v>2.88</v>
      </c>
      <c r="I3844" s="196" t="s">
        <v>2161</v>
      </c>
      <c r="J3844" s="196"/>
      <c r="K3844" s="56"/>
    </row>
    <row r="3845" spans="5:11" ht="15.75">
      <c r="E3845" s="52" t="s">
        <v>3133</v>
      </c>
      <c r="F3845" s="195"/>
      <c r="G3845" s="163"/>
      <c r="H3845" s="163">
        <f>3*0.8*1.2</f>
        <v>2.8800000000000003</v>
      </c>
      <c r="I3845" s="196" t="s">
        <v>2161</v>
      </c>
      <c r="J3845" s="196"/>
      <c r="K3845" s="56"/>
    </row>
    <row r="3846" spans="5:11" ht="15.75">
      <c r="E3846" s="52" t="s">
        <v>3134</v>
      </c>
      <c r="F3846" s="195"/>
      <c r="G3846" s="163"/>
      <c r="H3846" s="163">
        <v>5</v>
      </c>
      <c r="I3846" s="196"/>
      <c r="J3846" s="196"/>
      <c r="K3846" s="56"/>
    </row>
    <row r="3847" spans="5:11" ht="15.75">
      <c r="E3847" s="163"/>
      <c r="F3847" s="195"/>
      <c r="G3847" s="163"/>
      <c r="H3847" s="199" t="s">
        <v>2491</v>
      </c>
      <c r="I3847" s="196"/>
      <c r="J3847" s="196"/>
      <c r="K3847" s="56"/>
    </row>
    <row r="3848" spans="5:11" ht="15.75">
      <c r="E3848" s="163"/>
      <c r="F3848" s="195"/>
      <c r="G3848" s="163"/>
      <c r="H3848" s="194">
        <f>SUM(H3842:H3846)</f>
        <v>53.992000000000012</v>
      </c>
      <c r="I3848" s="196" t="s">
        <v>2161</v>
      </c>
      <c r="J3848" s="196">
        <f>H3848-51.7</f>
        <v>2.2920000000000087</v>
      </c>
      <c r="K3848" s="56"/>
    </row>
    <row r="3849" spans="5:11" ht="15.75">
      <c r="E3849" s="163"/>
      <c r="F3849" s="195"/>
      <c r="G3849" s="163"/>
      <c r="H3849" s="199" t="s">
        <v>2491</v>
      </c>
      <c r="I3849" s="196"/>
      <c r="J3849" s="163"/>
      <c r="K3849" s="56"/>
    </row>
    <row r="3850" spans="5:11" ht="15.75">
      <c r="E3850" s="163"/>
      <c r="F3850" s="195"/>
      <c r="G3850" s="163"/>
      <c r="H3850" s="163"/>
      <c r="I3850" s="196"/>
      <c r="J3850" s="163"/>
      <c r="K3850" s="56"/>
    </row>
    <row r="3851" spans="5:11" ht="15.75">
      <c r="E3851" s="163"/>
      <c r="F3851" s="195"/>
      <c r="G3851" s="163"/>
      <c r="H3851" s="163"/>
      <c r="I3851" s="196"/>
      <c r="J3851" s="163"/>
      <c r="K3851" s="56"/>
    </row>
    <row r="3852" spans="5:11" ht="15.75">
      <c r="E3852" s="198">
        <f>H3848</f>
        <v>53.992000000000012</v>
      </c>
      <c r="F3852" s="195" t="s">
        <v>13</v>
      </c>
      <c r="G3852" s="163" t="s">
        <v>2481</v>
      </c>
      <c r="H3852" s="163">
        <f>I2607</f>
        <v>54.5</v>
      </c>
      <c r="I3852" s="196" t="s">
        <v>13</v>
      </c>
      <c r="J3852" s="163">
        <f>H3852*E3852</f>
        <v>2942.5640000000008</v>
      </c>
      <c r="K3852" s="56"/>
    </row>
    <row r="3853" spans="5:11" ht="15.75">
      <c r="E3853" s="198">
        <v>0.96</v>
      </c>
      <c r="F3853" s="195" t="s">
        <v>306</v>
      </c>
      <c r="G3853" s="163" t="s">
        <v>2482</v>
      </c>
      <c r="H3853" s="163">
        <f>I2608</f>
        <v>295</v>
      </c>
      <c r="I3853" s="196" t="s">
        <v>306</v>
      </c>
      <c r="J3853" s="163">
        <f>H3853*E3853</f>
        <v>283.2</v>
      </c>
      <c r="K3853" s="56"/>
    </row>
    <row r="3854" spans="5:11" ht="15.75">
      <c r="E3854" s="198">
        <v>0.96</v>
      </c>
      <c r="F3854" s="195" t="s">
        <v>306</v>
      </c>
      <c r="G3854" s="163" t="s">
        <v>2501</v>
      </c>
      <c r="H3854" s="163">
        <f>I2609</f>
        <v>31.65</v>
      </c>
      <c r="I3854" s="196" t="s">
        <v>306</v>
      </c>
      <c r="J3854" s="163">
        <f>H3854*E3854</f>
        <v>30.383999999999997</v>
      </c>
      <c r="K3854" s="56"/>
    </row>
    <row r="3855" spans="5:11" ht="15.75">
      <c r="E3855" s="163"/>
      <c r="F3855" s="195"/>
      <c r="G3855" s="163" t="s">
        <v>2502</v>
      </c>
      <c r="H3855" s="163">
        <f>I2610</f>
        <v>266.81</v>
      </c>
      <c r="I3855" s="196" t="s">
        <v>226</v>
      </c>
      <c r="J3855" s="163">
        <f>H3855</f>
        <v>266.81</v>
      </c>
      <c r="K3855" s="56"/>
    </row>
    <row r="3856" spans="5:11" ht="15.75">
      <c r="E3856" s="163"/>
      <c r="F3856" s="195"/>
      <c r="G3856" s="163"/>
      <c r="H3856" s="163"/>
      <c r="I3856" s="196"/>
      <c r="J3856" s="199" t="s">
        <v>1810</v>
      </c>
      <c r="K3856" s="56"/>
    </row>
    <row r="3857" spans="5:11" ht="15.75">
      <c r="E3857" s="163"/>
      <c r="F3857" s="195"/>
      <c r="G3857" s="65" t="s">
        <v>2485</v>
      </c>
      <c r="H3857" s="163"/>
      <c r="I3857" s="196"/>
      <c r="J3857" s="65">
        <f>SUM(J3852:J3856)</f>
        <v>3522.9580000000005</v>
      </c>
      <c r="K3857" s="56"/>
    </row>
    <row r="3858" spans="5:11" ht="15.75">
      <c r="E3858" s="163"/>
      <c r="F3858" s="195"/>
      <c r="G3858" s="163"/>
      <c r="H3858" s="163"/>
      <c r="I3858" s="196"/>
      <c r="J3858" s="199" t="s">
        <v>1810</v>
      </c>
      <c r="K3858" s="56"/>
    </row>
    <row r="3859" spans="5:11" ht="15.75">
      <c r="E3859" s="163"/>
      <c r="F3859" s="195"/>
      <c r="G3859" s="242" t="s">
        <v>2492</v>
      </c>
      <c r="H3859" s="163"/>
      <c r="I3859" s="196"/>
      <c r="J3859" s="65">
        <f>J3857/E3853</f>
        <v>3669.7479166666672</v>
      </c>
      <c r="K3859" s="56"/>
    </row>
    <row r="3860" spans="5:11" ht="15.75">
      <c r="G3860" s="52"/>
      <c r="J3860" s="52"/>
      <c r="K3860" s="56"/>
    </row>
    <row r="3861" spans="5:11" ht="15.75">
      <c r="E3861" s="163"/>
      <c r="F3861" s="195"/>
      <c r="G3861" s="65" t="s">
        <v>3135</v>
      </c>
      <c r="H3861" s="163"/>
      <c r="I3861" s="196">
        <f>1*0.8</f>
        <v>0.8</v>
      </c>
      <c r="J3861" s="163"/>
      <c r="K3861" s="56"/>
    </row>
    <row r="3862" spans="5:11" ht="15.75">
      <c r="E3862" s="163"/>
      <c r="F3862" s="195"/>
      <c r="G3862" s="163"/>
      <c r="H3862" s="163"/>
      <c r="I3862" s="196"/>
      <c r="J3862" s="163"/>
      <c r="K3862" s="56"/>
    </row>
    <row r="3863" spans="5:11" ht="15.75">
      <c r="E3863" s="55" t="s">
        <v>3136</v>
      </c>
      <c r="F3863" s="196"/>
      <c r="G3863" s="196"/>
      <c r="H3863" s="198">
        <f>3.6*3.9</f>
        <v>14.04</v>
      </c>
      <c r="I3863" s="196" t="s">
        <v>2161</v>
      </c>
      <c r="J3863" s="196"/>
      <c r="K3863" s="56"/>
    </row>
    <row r="3864" spans="5:11" ht="15.75">
      <c r="E3864" s="52" t="s">
        <v>3137</v>
      </c>
      <c r="F3864" s="195"/>
      <c r="G3864" s="163"/>
      <c r="H3864" s="163">
        <f>9*0.8*3.14</f>
        <v>22.608000000000001</v>
      </c>
      <c r="I3864" s="196" t="s">
        <v>2161</v>
      </c>
      <c r="J3864" s="196"/>
      <c r="K3864" s="56"/>
    </row>
    <row r="3865" spans="5:11" ht="15.75">
      <c r="E3865" s="52" t="s">
        <v>3138</v>
      </c>
      <c r="F3865" s="195"/>
      <c r="G3865" s="163"/>
      <c r="H3865" s="163">
        <f>2*1*1.2</f>
        <v>2.4</v>
      </c>
      <c r="I3865" s="196" t="s">
        <v>2161</v>
      </c>
      <c r="J3865" s="196"/>
      <c r="K3865" s="56"/>
    </row>
    <row r="3866" spans="5:11" ht="15.75">
      <c r="E3866" s="52" t="s">
        <v>3133</v>
      </c>
      <c r="F3866" s="195"/>
      <c r="G3866" s="163"/>
      <c r="H3866" s="163">
        <f>3*0.8*1.2</f>
        <v>2.8800000000000003</v>
      </c>
      <c r="I3866" s="196" t="s">
        <v>2161</v>
      </c>
      <c r="J3866" s="196"/>
      <c r="K3866" s="56"/>
    </row>
    <row r="3867" spans="5:11" ht="15.75">
      <c r="E3867" s="52" t="s">
        <v>3134</v>
      </c>
      <c r="F3867" s="195"/>
      <c r="G3867" s="163"/>
      <c r="H3867" s="163">
        <v>5</v>
      </c>
      <c r="I3867" s="196"/>
      <c r="J3867" s="196"/>
      <c r="K3867" s="56"/>
    </row>
    <row r="3868" spans="5:11" ht="15.75">
      <c r="E3868" s="163"/>
      <c r="F3868" s="195"/>
      <c r="G3868" s="163"/>
      <c r="H3868" s="199" t="s">
        <v>2491</v>
      </c>
      <c r="I3868" s="196"/>
      <c r="J3868" s="196"/>
      <c r="K3868" s="56"/>
    </row>
    <row r="3869" spans="5:11" ht="15.75">
      <c r="E3869" s="163"/>
      <c r="F3869" s="195"/>
      <c r="G3869" s="163"/>
      <c r="H3869" s="194">
        <f>SUM(H3863:H3867)</f>
        <v>46.927999999999997</v>
      </c>
      <c r="I3869" s="196" t="s">
        <v>2161</v>
      </c>
      <c r="J3869" s="196"/>
      <c r="K3869" s="56"/>
    </row>
    <row r="3870" spans="5:11" ht="15.75">
      <c r="E3870" s="163"/>
      <c r="F3870" s="195"/>
      <c r="G3870" s="163"/>
      <c r="H3870" s="199" t="s">
        <v>2491</v>
      </c>
      <c r="I3870" s="196"/>
      <c r="J3870" s="163"/>
      <c r="K3870" s="56"/>
    </row>
    <row r="3871" spans="5:11" ht="15.75">
      <c r="E3871" s="163"/>
      <c r="F3871" s="195"/>
      <c r="G3871" s="163"/>
      <c r="H3871" s="163"/>
      <c r="I3871" s="196"/>
      <c r="J3871" s="163"/>
      <c r="K3871" s="56"/>
    </row>
    <row r="3872" spans="5:11" ht="15.75">
      <c r="E3872" s="163"/>
      <c r="F3872" s="195"/>
      <c r="G3872" s="163"/>
      <c r="H3872" s="163"/>
      <c r="I3872" s="196"/>
      <c r="J3872" s="163"/>
      <c r="K3872" s="56"/>
    </row>
    <row r="3873" spans="5:11" ht="15.75">
      <c r="E3873" s="198">
        <f>H3869</f>
        <v>46.927999999999997</v>
      </c>
      <c r="F3873" s="195" t="s">
        <v>13</v>
      </c>
      <c r="G3873" s="163" t="s">
        <v>2481</v>
      </c>
      <c r="H3873" s="163">
        <f>H3852</f>
        <v>54.5</v>
      </c>
      <c r="I3873" s="196" t="s">
        <v>13</v>
      </c>
      <c r="J3873" s="163">
        <f>H3873*E3873</f>
        <v>2557.576</v>
      </c>
      <c r="K3873" s="56"/>
    </row>
    <row r="3874" spans="5:11" ht="15.75">
      <c r="E3874" s="163">
        <v>0.8</v>
      </c>
      <c r="F3874" s="195" t="s">
        <v>306</v>
      </c>
      <c r="G3874" s="163" t="s">
        <v>2482</v>
      </c>
      <c r="H3874" s="163">
        <f>H3853</f>
        <v>295</v>
      </c>
      <c r="I3874" s="196" t="s">
        <v>306</v>
      </c>
      <c r="J3874" s="163">
        <f>H3874*E3874</f>
        <v>236</v>
      </c>
      <c r="K3874" s="56"/>
    </row>
    <row r="3875" spans="5:11" ht="15.75">
      <c r="E3875" s="163">
        <v>0.8</v>
      </c>
      <c r="F3875" s="195" t="s">
        <v>306</v>
      </c>
      <c r="G3875" s="163" t="s">
        <v>2501</v>
      </c>
      <c r="H3875" s="163">
        <f>H3854</f>
        <v>31.65</v>
      </c>
      <c r="I3875" s="196" t="s">
        <v>306</v>
      </c>
      <c r="J3875" s="163">
        <f>H3875*E3875</f>
        <v>25.32</v>
      </c>
      <c r="K3875" s="56"/>
    </row>
    <row r="3876" spans="5:11" ht="15.75">
      <c r="E3876" s="163"/>
      <c r="F3876" s="195"/>
      <c r="G3876" s="163" t="s">
        <v>2502</v>
      </c>
      <c r="H3876" s="163">
        <f>H3855</f>
        <v>266.81</v>
      </c>
      <c r="I3876" s="196" t="s">
        <v>226</v>
      </c>
      <c r="J3876" s="163">
        <v>47.1</v>
      </c>
      <c r="K3876" s="56"/>
    </row>
    <row r="3877" spans="5:11" ht="15.75">
      <c r="E3877" s="163"/>
      <c r="F3877" s="195"/>
      <c r="G3877" s="163"/>
      <c r="H3877" s="163"/>
      <c r="I3877" s="196"/>
      <c r="J3877" s="199" t="s">
        <v>1810</v>
      </c>
      <c r="K3877" s="56"/>
    </row>
    <row r="3878" spans="5:11" ht="15.75">
      <c r="E3878" s="163"/>
      <c r="F3878" s="195"/>
      <c r="G3878" s="65" t="s">
        <v>2485</v>
      </c>
      <c r="H3878" s="163"/>
      <c r="I3878" s="196"/>
      <c r="J3878" s="65">
        <f>SUM(J3873:J3877)</f>
        <v>2865.9960000000001</v>
      </c>
      <c r="K3878" s="56"/>
    </row>
    <row r="3879" spans="5:11" ht="15.75">
      <c r="E3879" s="163"/>
      <c r="F3879" s="195"/>
      <c r="G3879" s="163"/>
      <c r="H3879" s="163"/>
      <c r="I3879" s="196"/>
      <c r="J3879" s="199" t="s">
        <v>1810</v>
      </c>
      <c r="K3879" s="56"/>
    </row>
    <row r="3880" spans="5:11" ht="15.75">
      <c r="E3880" s="163"/>
      <c r="F3880" s="195"/>
      <c r="G3880" s="242" t="s">
        <v>2492</v>
      </c>
      <c r="H3880" s="163"/>
      <c r="I3880" s="196"/>
      <c r="J3880" s="65">
        <f>J3878/E3874</f>
        <v>3582.4949999999999</v>
      </c>
      <c r="K3880" s="56"/>
    </row>
    <row r="3881" spans="5:11" ht="15.75">
      <c r="E3881" s="163" t="s">
        <v>2478</v>
      </c>
      <c r="F3881" s="195"/>
      <c r="G3881" s="163"/>
      <c r="H3881" s="163">
        <v>3.24</v>
      </c>
      <c r="I3881" s="196" t="s">
        <v>2161</v>
      </c>
      <c r="J3881" s="163"/>
      <c r="K3881" s="56"/>
    </row>
    <row r="3882" spans="5:11" ht="15.75">
      <c r="E3882" s="163" t="s">
        <v>2479</v>
      </c>
      <c r="F3882" s="195"/>
      <c r="G3882" s="163"/>
      <c r="H3882" s="163">
        <v>2.16</v>
      </c>
      <c r="I3882" s="196" t="s">
        <v>2161</v>
      </c>
      <c r="J3882" s="163"/>
      <c r="K3882" s="56"/>
    </row>
    <row r="3883" spans="5:11" ht="15.75">
      <c r="E3883" s="163"/>
      <c r="F3883" s="195"/>
      <c r="G3883" s="163"/>
      <c r="H3883" s="163"/>
      <c r="I3883" s="196"/>
      <c r="J3883" s="163"/>
      <c r="K3883" s="56"/>
    </row>
    <row r="3884" spans="5:11" ht="15.75">
      <c r="E3884" s="163"/>
      <c r="F3884" s="195"/>
      <c r="G3884" s="163"/>
      <c r="H3884" s="199" t="s">
        <v>1810</v>
      </c>
      <c r="I3884" s="196"/>
      <c r="J3884" s="163"/>
      <c r="K3884" s="56"/>
    </row>
    <row r="3885" spans="5:11" ht="15.75">
      <c r="E3885" s="163"/>
      <c r="F3885" s="195"/>
      <c r="G3885" s="163"/>
      <c r="H3885" s="163">
        <f>SUM(H3879:H3883)</f>
        <v>5.4</v>
      </c>
      <c r="I3885" s="196"/>
      <c r="J3885" s="163"/>
      <c r="K3885" s="56"/>
    </row>
    <row r="3886" spans="5:11" ht="15.75">
      <c r="E3886" s="163"/>
      <c r="F3886" s="195"/>
      <c r="G3886" s="163"/>
      <c r="H3886" s="163" t="s">
        <v>2480</v>
      </c>
      <c r="I3886" s="196"/>
      <c r="J3886" s="163"/>
      <c r="K3886" s="56"/>
    </row>
    <row r="3887" spans="5:11" ht="15.75">
      <c r="E3887" s="163"/>
      <c r="F3887" s="195"/>
      <c r="G3887" s="163"/>
      <c r="H3887" s="163"/>
      <c r="I3887" s="196"/>
      <c r="J3887" s="163"/>
      <c r="K3887" s="56"/>
    </row>
    <row r="3888" spans="5:11" ht="15.75">
      <c r="E3888" s="163"/>
      <c r="F3888" s="195"/>
      <c r="G3888" s="163"/>
      <c r="H3888" s="163"/>
      <c r="I3888" s="196"/>
      <c r="J3888" s="163"/>
      <c r="K3888" s="56"/>
    </row>
    <row r="3889" spans="5:11" ht="15.75">
      <c r="E3889" s="163">
        <v>42.81</v>
      </c>
      <c r="F3889" s="195" t="s">
        <v>13</v>
      </c>
      <c r="G3889" s="163" t="s">
        <v>2481</v>
      </c>
      <c r="H3889" s="163">
        <f>C3888</f>
        <v>0</v>
      </c>
      <c r="I3889" s="196" t="s">
        <v>13</v>
      </c>
      <c r="J3889" s="163">
        <f>H3889*E3889</f>
        <v>0</v>
      </c>
      <c r="K3889" s="56"/>
    </row>
    <row r="3890" spans="5:11" ht="15.75">
      <c r="E3890" s="163">
        <v>0.77</v>
      </c>
      <c r="F3890" s="195" t="s">
        <v>306</v>
      </c>
      <c r="G3890" s="163" t="s">
        <v>2531</v>
      </c>
      <c r="H3890" s="163">
        <f>C3889</f>
        <v>0</v>
      </c>
      <c r="I3890" s="196" t="s">
        <v>306</v>
      </c>
      <c r="J3890" s="163">
        <f>H3890*E3890</f>
        <v>0</v>
      </c>
      <c r="K3890" s="56"/>
    </row>
    <row r="3891" spans="5:11" ht="15.75">
      <c r="E3891" s="163">
        <v>0.77</v>
      </c>
      <c r="F3891" s="195" t="s">
        <v>306</v>
      </c>
      <c r="G3891" s="549" t="s">
        <v>2483</v>
      </c>
      <c r="H3891" s="161">
        <f>C3890</f>
        <v>0</v>
      </c>
      <c r="I3891" s="196" t="s">
        <v>306</v>
      </c>
      <c r="J3891" s="163">
        <f>H3891*E3891</f>
        <v>0</v>
      </c>
      <c r="K3891" s="56"/>
    </row>
    <row r="3892" spans="5:11" ht="15.75">
      <c r="E3892" s="163"/>
      <c r="F3892" s="195"/>
      <c r="G3892" s="163" t="s">
        <v>2484</v>
      </c>
      <c r="H3892" s="163">
        <f>46.62+0.48</f>
        <v>47.099999999999994</v>
      </c>
      <c r="I3892" s="196" t="s">
        <v>226</v>
      </c>
      <c r="J3892" s="163">
        <f>H3892</f>
        <v>47.099999999999994</v>
      </c>
      <c r="K3892" s="56"/>
    </row>
    <row r="3893" spans="5:11" ht="15.75">
      <c r="E3893" s="163"/>
      <c r="F3893" s="195"/>
      <c r="G3893" s="163"/>
      <c r="H3893" s="163"/>
      <c r="I3893" s="196"/>
      <c r="J3893" s="199" t="s">
        <v>1810</v>
      </c>
      <c r="K3893" s="56"/>
    </row>
    <row r="3894" spans="5:11" ht="15.75">
      <c r="E3894" s="163"/>
      <c r="F3894" s="195"/>
      <c r="G3894" s="65" t="s">
        <v>2485</v>
      </c>
      <c r="H3894" s="163"/>
      <c r="I3894" s="196"/>
      <c r="J3894" s="65">
        <f>SUM(J3889:J3892)</f>
        <v>47.099999999999994</v>
      </c>
      <c r="K3894" s="56"/>
    </row>
    <row r="3895" spans="5:11" ht="15.75">
      <c r="E3895" s="163"/>
      <c r="F3895" s="195"/>
      <c r="G3895" s="163"/>
      <c r="H3895" s="163"/>
      <c r="I3895" s="196"/>
      <c r="J3895" s="199" t="s">
        <v>1810</v>
      </c>
      <c r="K3895" s="56"/>
    </row>
    <row r="3896" spans="5:11" ht="15.75">
      <c r="F3896" s="53"/>
      <c r="G3896" s="550">
        <f>1.285*0.6</f>
        <v>0.77099999999999991</v>
      </c>
      <c r="I3896" s="55"/>
      <c r="J3896" s="52">
        <f>J3894/G3896</f>
        <v>61.089494163424128</v>
      </c>
      <c r="K3896" s="56"/>
    </row>
    <row r="3897" spans="5:11" ht="15.75">
      <c r="E3897" s="163">
        <f>C3890</f>
        <v>0</v>
      </c>
      <c r="G3897" s="55">
        <f>E3897*D3856</f>
        <v>0</v>
      </c>
      <c r="J3897" s="52"/>
      <c r="K3897" s="56"/>
    </row>
    <row r="3898" spans="5:11" ht="15.75">
      <c r="E3898" s="163"/>
      <c r="G3898" s="55">
        <v>0.8</v>
      </c>
      <c r="J3898" s="52"/>
      <c r="K3898" s="56"/>
    </row>
    <row r="3899" spans="5:11" ht="15.75">
      <c r="G3899" s="55">
        <f>SUM(G3895:G3898)</f>
        <v>1.571</v>
      </c>
      <c r="J3899" s="52"/>
      <c r="K3899" s="56"/>
    </row>
    <row r="3900" spans="5:11" ht="15.75">
      <c r="G3900" s="55">
        <f>G3899/0.77</f>
        <v>2.04025974025974</v>
      </c>
      <c r="J3900" s="52"/>
      <c r="K3900" s="56"/>
    </row>
    <row r="3901" spans="5:11" ht="15.75">
      <c r="G3901" s="52"/>
      <c r="H3901" s="65" t="s">
        <v>3139</v>
      </c>
      <c r="J3901" s="52"/>
      <c r="K3901" s="56"/>
    </row>
    <row r="3902" spans="5:11" ht="15.75">
      <c r="F3902" s="51" t="s">
        <v>1637</v>
      </c>
      <c r="G3902" s="62" t="s">
        <v>249</v>
      </c>
      <c r="H3902" s="50" t="s">
        <v>1638</v>
      </c>
    </row>
    <row r="3903" spans="5:11" ht="15.75">
      <c r="H3903" s="50" t="s">
        <v>1639</v>
      </c>
    </row>
    <row r="3904" spans="5:11" ht="15.75">
      <c r="H3904" s="50" t="s">
        <v>1640</v>
      </c>
    </row>
    <row r="3905" spans="6:11" ht="15.75">
      <c r="H3905" s="50" t="s">
        <v>1641</v>
      </c>
    </row>
    <row r="3906" spans="6:11" ht="15.75">
      <c r="H3906" s="50" t="s">
        <v>1642</v>
      </c>
    </row>
    <row r="3907" spans="6:11" ht="15.75">
      <c r="H3907" s="50" t="s">
        <v>1643</v>
      </c>
    </row>
    <row r="3908" spans="6:11" ht="15.75">
      <c r="H3908" s="50" t="s">
        <v>1644</v>
      </c>
    </row>
    <row r="3909" spans="6:11" ht="15.75">
      <c r="H3909" s="50" t="s">
        <v>1645</v>
      </c>
    </row>
    <row r="3910" spans="6:11" ht="15.75">
      <c r="H3910" s="50" t="s">
        <v>1646</v>
      </c>
    </row>
    <row r="3911" spans="6:11" ht="15.75">
      <c r="H3911" s="50" t="s">
        <v>1648</v>
      </c>
    </row>
    <row r="3912" spans="6:11" ht="15.75">
      <c r="H3912" s="50" t="s">
        <v>1650</v>
      </c>
    </row>
    <row r="3913" spans="6:11" ht="15.75">
      <c r="H3913" s="50" t="s">
        <v>1651</v>
      </c>
    </row>
    <row r="3914" spans="6:11" ht="15.75">
      <c r="H3914" s="50" t="s">
        <v>1653</v>
      </c>
    </row>
    <row r="3915" spans="6:11" ht="15.75">
      <c r="H3915" s="50" t="s">
        <v>1655</v>
      </c>
    </row>
    <row r="3918" spans="6:11" ht="15.75">
      <c r="G3918" s="62" t="s">
        <v>514</v>
      </c>
      <c r="H3918" s="51" t="s">
        <v>1659</v>
      </c>
    </row>
    <row r="3919" spans="6:11" ht="15.75">
      <c r="H3919" s="51" t="s">
        <v>1662</v>
      </c>
    </row>
    <row r="3920" spans="6:11" ht="15.75">
      <c r="F3920" s="130">
        <v>3.8100000000000002E-2</v>
      </c>
      <c r="G3920" s="62" t="s">
        <v>151</v>
      </c>
      <c r="H3920" s="50" t="s">
        <v>1652</v>
      </c>
      <c r="I3920" s="64">
        <f>K821</f>
        <v>9487.9869999999992</v>
      </c>
      <c r="J3920" s="50" t="s">
        <v>151</v>
      </c>
      <c r="K3920" s="64">
        <f>F3920*I3920</f>
        <v>361.49230469999998</v>
      </c>
    </row>
    <row r="3921" spans="6:11" ht="15.75">
      <c r="F3921" s="177">
        <v>5.01</v>
      </c>
      <c r="G3921" s="62" t="s">
        <v>13</v>
      </c>
      <c r="H3921" s="50" t="s">
        <v>1654</v>
      </c>
      <c r="I3921" s="64">
        <f>K1608</f>
        <v>78120.5</v>
      </c>
      <c r="J3921" s="50" t="s">
        <v>251</v>
      </c>
      <c r="K3921" s="64">
        <f>F3921*I3921/1000</f>
        <v>391.38370499999996</v>
      </c>
    </row>
    <row r="3922" spans="6:11" ht="15.75">
      <c r="F3922" s="64">
        <v>3</v>
      </c>
      <c r="G3922" s="62" t="s">
        <v>153</v>
      </c>
      <c r="H3922" s="50" t="s">
        <v>1656</v>
      </c>
      <c r="I3922" s="128">
        <v>14.8</v>
      </c>
      <c r="J3922" s="50" t="s">
        <v>153</v>
      </c>
      <c r="K3922" s="64">
        <f t="shared" ref="K3922:K3929" si="342">F3922*I3922</f>
        <v>44.400000000000006</v>
      </c>
    </row>
    <row r="3923" spans="6:11" ht="15.75">
      <c r="F3923" s="64">
        <v>12</v>
      </c>
      <c r="G3923" s="62" t="s">
        <v>153</v>
      </c>
      <c r="H3923" s="50" t="s">
        <v>1657</v>
      </c>
      <c r="I3923" s="128">
        <v>2</v>
      </c>
      <c r="J3923" s="50" t="s">
        <v>153</v>
      </c>
      <c r="K3923" s="64">
        <f t="shared" si="342"/>
        <v>24</v>
      </c>
    </row>
    <row r="3924" spans="6:11" ht="15.75">
      <c r="F3924" s="64">
        <v>2</v>
      </c>
      <c r="G3924" s="62" t="s">
        <v>153</v>
      </c>
      <c r="H3924" s="50" t="s">
        <v>1658</v>
      </c>
      <c r="I3924" s="128">
        <v>4.9000000000000004</v>
      </c>
      <c r="J3924" s="50" t="s">
        <v>153</v>
      </c>
      <c r="K3924" s="64">
        <f t="shared" si="342"/>
        <v>9.8000000000000007</v>
      </c>
    </row>
    <row r="3925" spans="6:11" ht="15.75">
      <c r="F3925" s="64">
        <v>6</v>
      </c>
      <c r="G3925" s="62" t="s">
        <v>153</v>
      </c>
      <c r="H3925" s="50" t="s">
        <v>1660</v>
      </c>
      <c r="I3925" s="128">
        <v>4.45</v>
      </c>
      <c r="J3925" s="50" t="s">
        <v>153</v>
      </c>
      <c r="K3925" s="64">
        <f t="shared" si="342"/>
        <v>26.700000000000003</v>
      </c>
    </row>
    <row r="3926" spans="6:11" ht="15.75">
      <c r="F3926" s="64">
        <v>1</v>
      </c>
      <c r="G3926" s="62" t="s">
        <v>153</v>
      </c>
      <c r="H3926" s="50" t="s">
        <v>1663</v>
      </c>
      <c r="I3926" s="64">
        <f>I865</f>
        <v>1076.5999999999999</v>
      </c>
      <c r="J3926" s="50" t="s">
        <v>153</v>
      </c>
      <c r="K3926" s="64">
        <f t="shared" si="342"/>
        <v>1076.5999999999999</v>
      </c>
    </row>
    <row r="3927" spans="6:11" ht="15.75">
      <c r="F3927" s="64">
        <v>1</v>
      </c>
      <c r="G3927" s="62" t="s">
        <v>153</v>
      </c>
      <c r="H3927" s="50" t="s">
        <v>1664</v>
      </c>
      <c r="I3927" s="64">
        <f>I866</f>
        <v>702.8</v>
      </c>
      <c r="J3927" s="50" t="s">
        <v>153</v>
      </c>
      <c r="K3927" s="64">
        <f t="shared" si="342"/>
        <v>702.8</v>
      </c>
    </row>
    <row r="3928" spans="6:11" ht="15.75">
      <c r="F3928" s="64">
        <v>1</v>
      </c>
      <c r="G3928" s="62" t="s">
        <v>153</v>
      </c>
      <c r="H3928" s="50" t="s">
        <v>1665</v>
      </c>
      <c r="I3928" s="128">
        <v>25</v>
      </c>
      <c r="J3928" s="50" t="s">
        <v>153</v>
      </c>
      <c r="K3928" s="64">
        <f t="shared" si="342"/>
        <v>25</v>
      </c>
    </row>
    <row r="3929" spans="6:11" ht="15.75">
      <c r="F3929" s="64">
        <v>0.5</v>
      </c>
      <c r="G3929" s="62" t="s">
        <v>153</v>
      </c>
      <c r="H3929" s="50" t="s">
        <v>1666</v>
      </c>
      <c r="I3929" s="64">
        <f>I868</f>
        <v>576.79999999999995</v>
      </c>
      <c r="J3929" s="50" t="s">
        <v>153</v>
      </c>
      <c r="K3929" s="64">
        <f t="shared" si="342"/>
        <v>288.39999999999998</v>
      </c>
    </row>
    <row r="3930" spans="6:11" ht="15.75">
      <c r="G3930" s="62" t="s">
        <v>226</v>
      </c>
      <c r="H3930" s="50" t="s">
        <v>1667</v>
      </c>
      <c r="J3930" s="50" t="s">
        <v>226</v>
      </c>
      <c r="K3930" s="64">
        <v>1.1299999999999999</v>
      </c>
    </row>
    <row r="3931" spans="6:11" ht="15.75">
      <c r="K3931" s="59" t="s">
        <v>21</v>
      </c>
    </row>
    <row r="3932" spans="6:11" ht="15.75">
      <c r="H3932" s="66" t="s">
        <v>1668</v>
      </c>
      <c r="K3932" s="63">
        <f>SUM(K3920:K3930)</f>
        <v>2951.7060096999999</v>
      </c>
    </row>
    <row r="3933" spans="6:11" ht="15.75">
      <c r="K3933" s="59" t="s">
        <v>21</v>
      </c>
    </row>
    <row r="3936" spans="6:11" ht="15.75">
      <c r="G3936" s="62" t="s">
        <v>524</v>
      </c>
      <c r="H3936" s="51" t="s">
        <v>1671</v>
      </c>
    </row>
    <row r="3937" spans="6:12" ht="15.75">
      <c r="H3937" s="51" t="s">
        <v>1662</v>
      </c>
    </row>
    <row r="3938" spans="6:12" ht="15.75">
      <c r="F3938" s="130">
        <v>3.6799999999999999E-2</v>
      </c>
      <c r="G3938" s="62" t="s">
        <v>151</v>
      </c>
      <c r="H3938" s="112" t="s">
        <v>3140</v>
      </c>
      <c r="I3938" s="64">
        <f t="shared" ref="I3938:I3945" si="343">I3920</f>
        <v>9487.9869999999992</v>
      </c>
      <c r="J3938" s="50" t="s">
        <v>151</v>
      </c>
      <c r="K3938" s="64">
        <f>F3938*I3938</f>
        <v>349.15792159999995</v>
      </c>
    </row>
    <row r="3939" spans="6:12" ht="15.75">
      <c r="F3939" s="64">
        <v>4.87</v>
      </c>
      <c r="G3939" s="62" t="s">
        <v>13</v>
      </c>
      <c r="H3939" s="50" t="s">
        <v>1654</v>
      </c>
      <c r="I3939" s="64">
        <f t="shared" si="343"/>
        <v>78120.5</v>
      </c>
      <c r="J3939" s="50" t="s">
        <v>251</v>
      </c>
      <c r="K3939" s="64">
        <f>F3939*I3939/1000</f>
        <v>380.44683500000002</v>
      </c>
    </row>
    <row r="3940" spans="6:12" ht="15.75">
      <c r="F3940" s="64">
        <v>3</v>
      </c>
      <c r="G3940" s="62" t="s">
        <v>153</v>
      </c>
      <c r="H3940" s="50" t="s">
        <v>1656</v>
      </c>
      <c r="I3940" s="174">
        <f t="shared" si="343"/>
        <v>14.8</v>
      </c>
      <c r="J3940" s="50" t="s">
        <v>153</v>
      </c>
      <c r="K3940" s="64">
        <f t="shared" ref="K3940:K3947" si="344">F3940*I3940</f>
        <v>44.400000000000006</v>
      </c>
    </row>
    <row r="3941" spans="6:12" ht="15.75">
      <c r="F3941" s="64">
        <v>12</v>
      </c>
      <c r="G3941" s="62" t="s">
        <v>153</v>
      </c>
      <c r="H3941" s="50" t="s">
        <v>1657</v>
      </c>
      <c r="I3941" s="174">
        <f t="shared" si="343"/>
        <v>2</v>
      </c>
      <c r="J3941" s="50" t="s">
        <v>153</v>
      </c>
      <c r="K3941" s="64">
        <f t="shared" si="344"/>
        <v>24</v>
      </c>
    </row>
    <row r="3942" spans="6:12" ht="15.75">
      <c r="F3942" s="64">
        <v>2</v>
      </c>
      <c r="G3942" s="62" t="s">
        <v>153</v>
      </c>
      <c r="H3942" s="50" t="s">
        <v>1658</v>
      </c>
      <c r="I3942" s="174">
        <f t="shared" si="343"/>
        <v>4.9000000000000004</v>
      </c>
      <c r="J3942" s="50" t="s">
        <v>153</v>
      </c>
      <c r="K3942" s="64">
        <f t="shared" si="344"/>
        <v>9.8000000000000007</v>
      </c>
    </row>
    <row r="3943" spans="6:12" ht="15.75">
      <c r="F3943" s="64">
        <v>6</v>
      </c>
      <c r="G3943" s="62" t="s">
        <v>153</v>
      </c>
      <c r="H3943" s="50" t="s">
        <v>1660</v>
      </c>
      <c r="I3943" s="174">
        <f t="shared" si="343"/>
        <v>4.45</v>
      </c>
      <c r="J3943" s="50" t="s">
        <v>153</v>
      </c>
      <c r="K3943" s="64">
        <f t="shared" si="344"/>
        <v>26.700000000000003</v>
      </c>
    </row>
    <row r="3944" spans="6:12" ht="15.75">
      <c r="F3944" s="64">
        <v>1</v>
      </c>
      <c r="G3944" s="62" t="s">
        <v>153</v>
      </c>
      <c r="H3944" s="50" t="s">
        <v>1663</v>
      </c>
      <c r="I3944" s="64">
        <f t="shared" si="343"/>
        <v>1076.5999999999999</v>
      </c>
      <c r="J3944" s="50" t="s">
        <v>153</v>
      </c>
      <c r="K3944" s="64">
        <f t="shared" si="344"/>
        <v>1076.5999999999999</v>
      </c>
    </row>
    <row r="3945" spans="6:12" ht="15.75">
      <c r="F3945" s="64">
        <v>1</v>
      </c>
      <c r="G3945" s="62" t="s">
        <v>153</v>
      </c>
      <c r="H3945" s="50" t="s">
        <v>1664</v>
      </c>
      <c r="I3945" s="64">
        <f t="shared" si="343"/>
        <v>702.8</v>
      </c>
      <c r="J3945" s="50" t="s">
        <v>153</v>
      </c>
      <c r="K3945" s="64">
        <f t="shared" si="344"/>
        <v>702.8</v>
      </c>
    </row>
    <row r="3946" spans="6:12" ht="15.75">
      <c r="F3946" s="64">
        <v>1</v>
      </c>
      <c r="G3946" s="62" t="s">
        <v>153</v>
      </c>
      <c r="H3946" s="50" t="s">
        <v>1665</v>
      </c>
      <c r="I3946" s="178">
        <v>25</v>
      </c>
      <c r="J3946" s="50" t="s">
        <v>153</v>
      </c>
      <c r="K3946" s="64">
        <f t="shared" si="344"/>
        <v>25</v>
      </c>
    </row>
    <row r="3947" spans="6:12" ht="15.75">
      <c r="F3947" s="64">
        <v>0.5</v>
      </c>
      <c r="G3947" s="62" t="s">
        <v>153</v>
      </c>
      <c r="H3947" s="50" t="s">
        <v>1666</v>
      </c>
      <c r="I3947" s="64">
        <f>I3929</f>
        <v>576.79999999999995</v>
      </c>
      <c r="J3947" s="50" t="s">
        <v>153</v>
      </c>
      <c r="K3947" s="64">
        <f t="shared" si="344"/>
        <v>288.39999999999998</v>
      </c>
    </row>
    <row r="3948" spans="6:12" ht="15.75">
      <c r="G3948" s="62" t="s">
        <v>226</v>
      </c>
      <c r="H3948" s="50" t="s">
        <v>1667</v>
      </c>
      <c r="J3948" s="50" t="s">
        <v>226</v>
      </c>
      <c r="K3948" s="64">
        <f>1.9+0.08</f>
        <v>1.98</v>
      </c>
    </row>
    <row r="3949" spans="6:12" ht="15.75">
      <c r="K3949" s="59" t="s">
        <v>21</v>
      </c>
    </row>
    <row r="3950" spans="6:12" ht="15.75">
      <c r="H3950" s="66" t="s">
        <v>1668</v>
      </c>
      <c r="K3950" s="63">
        <f>SUM(K3938:K3948)</f>
        <v>2929.2847566</v>
      </c>
      <c r="L3950" s="52">
        <f>K3950-1729</f>
        <v>1200.2847566</v>
      </c>
    </row>
    <row r="3951" spans="6:12" ht="15.75">
      <c r="K3951" s="59" t="s">
        <v>21</v>
      </c>
    </row>
    <row r="3952" spans="6:12" ht="15.75">
      <c r="F3952" s="51"/>
      <c r="G3952" s="62" t="s">
        <v>520</v>
      </c>
      <c r="H3952" s="51" t="s">
        <v>1678</v>
      </c>
    </row>
    <row r="3953" spans="6:11" ht="15.75">
      <c r="H3953" s="51" t="s">
        <v>1662</v>
      </c>
    </row>
    <row r="3954" spans="6:11" ht="15.75">
      <c r="F3954" s="130">
        <v>3.5299999999999998E-2</v>
      </c>
      <c r="G3954" s="62" t="s">
        <v>151</v>
      </c>
      <c r="H3954" s="50" t="s">
        <v>1652</v>
      </c>
      <c r="I3954" s="64">
        <f t="shared" ref="I3954:I3959" si="345">I3938</f>
        <v>9487.9869999999992</v>
      </c>
      <c r="J3954" s="50" t="s">
        <v>151</v>
      </c>
      <c r="K3954" s="64">
        <f>F3954*I3954</f>
        <v>334.92594109999993</v>
      </c>
    </row>
    <row r="3955" spans="6:11" ht="15.75">
      <c r="F3955" s="64">
        <v>4.59</v>
      </c>
      <c r="G3955" s="62" t="s">
        <v>13</v>
      </c>
      <c r="H3955" s="50" t="s">
        <v>1654</v>
      </c>
      <c r="I3955" s="64">
        <f t="shared" si="345"/>
        <v>78120.5</v>
      </c>
      <c r="J3955" s="50" t="s">
        <v>251</v>
      </c>
      <c r="K3955" s="64">
        <f>F3955*I3955/1000</f>
        <v>358.57309499999997</v>
      </c>
    </row>
    <row r="3956" spans="6:11" ht="15.75">
      <c r="F3956" s="64">
        <v>3</v>
      </c>
      <c r="G3956" s="62" t="s">
        <v>153</v>
      </c>
      <c r="H3956" s="50" t="s">
        <v>1656</v>
      </c>
      <c r="I3956" s="174">
        <f t="shared" si="345"/>
        <v>14.8</v>
      </c>
      <c r="J3956" s="50" t="s">
        <v>153</v>
      </c>
      <c r="K3956" s="64">
        <f t="shared" ref="K3956:K3963" si="346">F3956*I3956</f>
        <v>44.400000000000006</v>
      </c>
    </row>
    <row r="3957" spans="6:11" ht="15.75">
      <c r="F3957" s="64">
        <v>12</v>
      </c>
      <c r="G3957" s="62" t="s">
        <v>153</v>
      </c>
      <c r="H3957" s="50" t="s">
        <v>1657</v>
      </c>
      <c r="I3957" s="174">
        <f t="shared" si="345"/>
        <v>2</v>
      </c>
      <c r="J3957" s="50" t="s">
        <v>153</v>
      </c>
      <c r="K3957" s="64">
        <f t="shared" si="346"/>
        <v>24</v>
      </c>
    </row>
    <row r="3958" spans="6:11" ht="15.75">
      <c r="F3958" s="64">
        <v>2</v>
      </c>
      <c r="G3958" s="62" t="s">
        <v>153</v>
      </c>
      <c r="H3958" s="64" t="str">
        <f>H3942</f>
        <v>TOWER BOLT RECEIVER</v>
      </c>
      <c r="I3958" s="174">
        <f t="shared" si="345"/>
        <v>4.9000000000000004</v>
      </c>
      <c r="J3958" s="50" t="s">
        <v>153</v>
      </c>
      <c r="K3958" s="64">
        <f t="shared" si="346"/>
        <v>9.8000000000000007</v>
      </c>
    </row>
    <row r="3959" spans="6:11" ht="15.75">
      <c r="F3959" s="64">
        <v>6</v>
      </c>
      <c r="G3959" s="62" t="s">
        <v>153</v>
      </c>
      <c r="H3959" s="50" t="s">
        <v>1660</v>
      </c>
      <c r="I3959" s="174">
        <f t="shared" si="345"/>
        <v>4.45</v>
      </c>
      <c r="J3959" s="50" t="s">
        <v>153</v>
      </c>
      <c r="K3959" s="64">
        <f t="shared" si="346"/>
        <v>26.700000000000003</v>
      </c>
    </row>
    <row r="3960" spans="6:11" ht="15.75">
      <c r="F3960" s="64">
        <v>1</v>
      </c>
      <c r="G3960" s="62" t="s">
        <v>153</v>
      </c>
      <c r="H3960" s="50" t="s">
        <v>1663</v>
      </c>
      <c r="I3960" s="64">
        <f>I3944</f>
        <v>1076.5999999999999</v>
      </c>
      <c r="J3960" s="50" t="s">
        <v>153</v>
      </c>
      <c r="K3960" s="64">
        <f t="shared" si="346"/>
        <v>1076.5999999999999</v>
      </c>
    </row>
    <row r="3961" spans="6:11" ht="15.75">
      <c r="F3961" s="64">
        <v>1</v>
      </c>
      <c r="G3961" s="62" t="s">
        <v>153</v>
      </c>
      <c r="H3961" s="50" t="s">
        <v>1664</v>
      </c>
      <c r="I3961" s="64">
        <f>I3945</f>
        <v>702.8</v>
      </c>
      <c r="J3961" s="50" t="s">
        <v>153</v>
      </c>
      <c r="K3961" s="64">
        <f t="shared" si="346"/>
        <v>702.8</v>
      </c>
    </row>
    <row r="3962" spans="6:11" ht="15.75">
      <c r="F3962" s="64">
        <v>1</v>
      </c>
      <c r="G3962" s="62" t="s">
        <v>153</v>
      </c>
      <c r="H3962" s="64" t="str">
        <f>H3946</f>
        <v>MOULDING CHARGES</v>
      </c>
      <c r="I3962" s="64">
        <f>I3946</f>
        <v>25</v>
      </c>
      <c r="J3962" s="50" t="s">
        <v>153</v>
      </c>
      <c r="K3962" s="64">
        <f t="shared" si="346"/>
        <v>25</v>
      </c>
    </row>
    <row r="3963" spans="6:11" ht="15.75">
      <c r="F3963" s="64">
        <v>0.5</v>
      </c>
      <c r="G3963" s="62" t="s">
        <v>153</v>
      </c>
      <c r="H3963" s="50" t="s">
        <v>1666</v>
      </c>
      <c r="I3963" s="64">
        <f>I3947</f>
        <v>576.79999999999995</v>
      </c>
      <c r="J3963" s="50" t="s">
        <v>153</v>
      </c>
      <c r="K3963" s="64">
        <f t="shared" si="346"/>
        <v>288.39999999999998</v>
      </c>
    </row>
    <row r="3964" spans="6:11" ht="15.75">
      <c r="G3964" s="62" t="s">
        <v>226</v>
      </c>
      <c r="H3964" s="50" t="s">
        <v>1667</v>
      </c>
      <c r="I3964" s="64">
        <f>I3948</f>
        <v>0</v>
      </c>
      <c r="J3964" s="50" t="s">
        <v>226</v>
      </c>
      <c r="K3964" s="64">
        <v>1.39</v>
      </c>
    </row>
    <row r="3965" spans="6:11" ht="15.75">
      <c r="K3965" s="59" t="s">
        <v>21</v>
      </c>
    </row>
    <row r="3966" spans="6:11" ht="15.75">
      <c r="H3966" s="66" t="s">
        <v>1668</v>
      </c>
      <c r="K3966" s="63">
        <f>SUM(K3954:K3964)</f>
        <v>2892.5890360999997</v>
      </c>
    </row>
    <row r="3967" spans="6:11" ht="15.75">
      <c r="K3967" s="59" t="s">
        <v>21</v>
      </c>
    </row>
    <row r="3969" spans="6:11" ht="15.75">
      <c r="G3969" s="52"/>
      <c r="H3969" s="51" t="s">
        <v>1649</v>
      </c>
      <c r="J3969" s="52"/>
      <c r="K3969" s="59"/>
    </row>
    <row r="3970" spans="6:11" ht="15.75">
      <c r="G3970" s="52"/>
      <c r="J3970" s="52"/>
      <c r="K3970" s="59"/>
    </row>
    <row r="3971" spans="6:11" ht="15.75">
      <c r="F3971" s="130">
        <v>6.5000000000000002E-2</v>
      </c>
      <c r="G3971" s="62" t="s">
        <v>151</v>
      </c>
      <c r="H3971" s="50" t="s">
        <v>1652</v>
      </c>
      <c r="I3971" s="64">
        <f>I3954</f>
        <v>9487.9869999999992</v>
      </c>
      <c r="J3971" s="50" t="s">
        <v>151</v>
      </c>
      <c r="K3971" s="64">
        <f>I3971*F3971</f>
        <v>616.719155</v>
      </c>
    </row>
    <row r="3972" spans="6:11" ht="15.75">
      <c r="F3972" s="176">
        <v>8.4499999999999993</v>
      </c>
      <c r="G3972" s="62" t="s">
        <v>13</v>
      </c>
      <c r="H3972" s="50" t="s">
        <v>1654</v>
      </c>
      <c r="I3972" s="64">
        <f t="shared" ref="I3972:I3981" si="347">I3955</f>
        <v>78120.5</v>
      </c>
      <c r="J3972" s="50" t="s">
        <v>251</v>
      </c>
      <c r="K3972" s="64">
        <f>I3972*F3972/1000</f>
        <v>660.11822499999994</v>
      </c>
    </row>
    <row r="3973" spans="6:11" ht="15.75">
      <c r="F3973" s="64">
        <v>3</v>
      </c>
      <c r="G3973" s="62" t="s">
        <v>153</v>
      </c>
      <c r="H3973" s="50" t="s">
        <v>1656</v>
      </c>
      <c r="I3973" s="64">
        <f t="shared" si="347"/>
        <v>14.8</v>
      </c>
      <c r="J3973" s="50" t="s">
        <v>153</v>
      </c>
      <c r="K3973" s="64">
        <f t="shared" ref="K3973:K3980" si="348">I3973*F3973</f>
        <v>44.400000000000006</v>
      </c>
    </row>
    <row r="3974" spans="6:11" ht="15.75">
      <c r="F3974" s="64">
        <v>12</v>
      </c>
      <c r="G3974" s="62" t="s">
        <v>153</v>
      </c>
      <c r="H3974" s="50" t="s">
        <v>1657</v>
      </c>
      <c r="I3974" s="64">
        <f t="shared" si="347"/>
        <v>2</v>
      </c>
      <c r="J3974" s="50" t="s">
        <v>153</v>
      </c>
      <c r="K3974" s="64">
        <f t="shared" si="348"/>
        <v>24</v>
      </c>
    </row>
    <row r="3975" spans="6:11" ht="15.75">
      <c r="F3975" s="64">
        <v>2</v>
      </c>
      <c r="G3975" s="62" t="s">
        <v>153</v>
      </c>
      <c r="H3975" s="50" t="s">
        <v>1658</v>
      </c>
      <c r="I3975" s="64">
        <f t="shared" si="347"/>
        <v>4.9000000000000004</v>
      </c>
      <c r="J3975" s="50" t="s">
        <v>153</v>
      </c>
      <c r="K3975" s="64">
        <f t="shared" si="348"/>
        <v>9.8000000000000007</v>
      </c>
    </row>
    <row r="3976" spans="6:11" ht="15.75">
      <c r="F3976" s="64">
        <v>6</v>
      </c>
      <c r="G3976" s="62" t="s">
        <v>153</v>
      </c>
      <c r="H3976" s="50" t="s">
        <v>1660</v>
      </c>
      <c r="I3976" s="64">
        <f t="shared" si="347"/>
        <v>4.45</v>
      </c>
      <c r="J3976" s="50" t="s">
        <v>153</v>
      </c>
      <c r="K3976" s="64">
        <f t="shared" si="348"/>
        <v>26.700000000000003</v>
      </c>
    </row>
    <row r="3977" spans="6:11" ht="15.75">
      <c r="F3977" s="64">
        <v>1</v>
      </c>
      <c r="G3977" s="62" t="s">
        <v>153</v>
      </c>
      <c r="H3977" s="50" t="s">
        <v>1663</v>
      </c>
      <c r="I3977" s="64">
        <f t="shared" si="347"/>
        <v>1076.5999999999999</v>
      </c>
      <c r="J3977" s="50" t="s">
        <v>153</v>
      </c>
      <c r="K3977" s="64">
        <f t="shared" si="348"/>
        <v>1076.5999999999999</v>
      </c>
    </row>
    <row r="3978" spans="6:11" ht="15.75">
      <c r="F3978" s="64">
        <v>1</v>
      </c>
      <c r="G3978" s="62" t="s">
        <v>153</v>
      </c>
      <c r="H3978" s="50" t="s">
        <v>1664</v>
      </c>
      <c r="I3978" s="64">
        <f t="shared" si="347"/>
        <v>702.8</v>
      </c>
      <c r="J3978" s="50" t="s">
        <v>153</v>
      </c>
      <c r="K3978" s="64">
        <f t="shared" si="348"/>
        <v>702.8</v>
      </c>
    </row>
    <row r="3979" spans="6:11" ht="15.75">
      <c r="F3979" s="64">
        <v>1</v>
      </c>
      <c r="G3979" s="62" t="s">
        <v>153</v>
      </c>
      <c r="H3979" s="50" t="s">
        <v>1665</v>
      </c>
      <c r="I3979" s="64">
        <f t="shared" si="347"/>
        <v>25</v>
      </c>
      <c r="J3979" s="50" t="s">
        <v>153</v>
      </c>
      <c r="K3979" s="64">
        <f t="shared" si="348"/>
        <v>25</v>
      </c>
    </row>
    <row r="3980" spans="6:11" ht="15.75">
      <c r="F3980" s="64">
        <v>0.5</v>
      </c>
      <c r="G3980" s="62" t="s">
        <v>153</v>
      </c>
      <c r="H3980" s="50" t="s">
        <v>1666</v>
      </c>
      <c r="I3980" s="64">
        <f t="shared" si="347"/>
        <v>576.79999999999995</v>
      </c>
      <c r="J3980" s="50" t="s">
        <v>153</v>
      </c>
      <c r="K3980" s="64">
        <f t="shared" si="348"/>
        <v>288.39999999999998</v>
      </c>
    </row>
    <row r="3981" spans="6:11" ht="15.75">
      <c r="G3981" s="62" t="s">
        <v>226</v>
      </c>
      <c r="H3981" s="50" t="s">
        <v>1667</v>
      </c>
      <c r="I3981" s="64">
        <f t="shared" si="347"/>
        <v>0</v>
      </c>
      <c r="J3981" s="50" t="s">
        <v>226</v>
      </c>
      <c r="K3981" s="64">
        <v>2.1</v>
      </c>
    </row>
    <row r="3982" spans="6:11" ht="15.75">
      <c r="K3982" s="59" t="s">
        <v>21</v>
      </c>
    </row>
    <row r="3983" spans="6:11" ht="15.75">
      <c r="H3983" s="66" t="s">
        <v>1668</v>
      </c>
      <c r="K3983" s="124">
        <f>SUM(K3971:K3981)</f>
        <v>3476.6373800000001</v>
      </c>
    </row>
    <row r="3984" spans="6:11" ht="15.75">
      <c r="K3984" s="59" t="s">
        <v>21</v>
      </c>
    </row>
    <row r="3985" spans="6:11" ht="19.5">
      <c r="F3985" s="2106" t="s">
        <v>3141</v>
      </c>
      <c r="G3985" s="2106"/>
      <c r="H3985" s="2106"/>
      <c r="I3985" s="245"/>
      <c r="J3985" s="245"/>
    </row>
    <row r="3986" spans="6:11" ht="19.5">
      <c r="F3986" s="56"/>
      <c r="H3986" s="208" t="s">
        <v>3142</v>
      </c>
    </row>
    <row r="3987" spans="6:11" ht="15.75">
      <c r="F3987" s="100">
        <v>4.88</v>
      </c>
      <c r="G3987" s="62" t="s">
        <v>534</v>
      </c>
      <c r="H3987" s="50" t="s">
        <v>1936</v>
      </c>
      <c r="I3987" s="64">
        <f>AD1350</f>
        <v>287</v>
      </c>
      <c r="J3987" s="62" t="s">
        <v>534</v>
      </c>
      <c r="K3987" s="64">
        <f t="shared" ref="K3987:K3996" si="349">I3987*F3987</f>
        <v>1400.56</v>
      </c>
    </row>
    <row r="3988" spans="6:11" ht="15.75">
      <c r="F3988" s="100">
        <v>7.76</v>
      </c>
      <c r="G3988" s="62" t="s">
        <v>534</v>
      </c>
      <c r="H3988" s="50" t="s">
        <v>1936</v>
      </c>
      <c r="I3988" s="64">
        <f>I3987</f>
        <v>287</v>
      </c>
      <c r="J3988" s="62" t="s">
        <v>534</v>
      </c>
      <c r="K3988" s="64">
        <f t="shared" si="349"/>
        <v>2227.12</v>
      </c>
    </row>
    <row r="3989" spans="6:11" ht="15.75">
      <c r="F3989" s="100">
        <v>3.03</v>
      </c>
      <c r="G3989" s="62" t="s">
        <v>534</v>
      </c>
      <c r="H3989" s="50" t="s">
        <v>1936</v>
      </c>
      <c r="I3989" s="64">
        <f>I3988</f>
        <v>287</v>
      </c>
      <c r="J3989" s="62" t="s">
        <v>534</v>
      </c>
      <c r="K3989" s="64">
        <f t="shared" si="349"/>
        <v>869.6099999999999</v>
      </c>
    </row>
    <row r="3990" spans="6:11" ht="15.75">
      <c r="F3990" s="100">
        <v>1.45</v>
      </c>
      <c r="G3990" s="62" t="s">
        <v>534</v>
      </c>
      <c r="H3990" s="50" t="s">
        <v>1936</v>
      </c>
      <c r="I3990" s="64">
        <f>I3989</f>
        <v>287</v>
      </c>
      <c r="J3990" s="62" t="s">
        <v>534</v>
      </c>
      <c r="K3990" s="64">
        <f t="shared" si="349"/>
        <v>416.15</v>
      </c>
    </row>
    <row r="3991" spans="6:11" ht="15.75">
      <c r="F3991" s="100">
        <v>2.4300000000000002</v>
      </c>
      <c r="G3991" s="62" t="s">
        <v>533</v>
      </c>
      <c r="H3991" s="50" t="s">
        <v>1940</v>
      </c>
      <c r="I3991" s="64">
        <f>AD1354</f>
        <v>208.8</v>
      </c>
      <c r="J3991" s="62" t="s">
        <v>533</v>
      </c>
      <c r="K3991" s="64">
        <f t="shared" si="349"/>
        <v>507.38400000000007</v>
      </c>
    </row>
    <row r="3992" spans="6:11" ht="15.75">
      <c r="F3992" s="100">
        <v>11.7</v>
      </c>
      <c r="G3992" s="62" t="s">
        <v>303</v>
      </c>
      <c r="H3992" s="50" t="s">
        <v>1942</v>
      </c>
      <c r="I3992" s="64">
        <f>AD1355</f>
        <v>28.6</v>
      </c>
      <c r="J3992" s="62" t="s">
        <v>303</v>
      </c>
      <c r="K3992" s="64">
        <f t="shared" si="349"/>
        <v>334.62</v>
      </c>
    </row>
    <row r="3993" spans="6:11" ht="15.75">
      <c r="F3993" s="100">
        <v>3</v>
      </c>
      <c r="G3993" s="62" t="s">
        <v>4</v>
      </c>
      <c r="H3993" s="50" t="s">
        <v>3143</v>
      </c>
      <c r="I3993" s="64">
        <v>350</v>
      </c>
      <c r="J3993" s="62" t="s">
        <v>4</v>
      </c>
      <c r="K3993" s="64">
        <f t="shared" si="349"/>
        <v>1050</v>
      </c>
    </row>
    <row r="3994" spans="6:11" ht="15.75">
      <c r="F3994" s="100">
        <v>3</v>
      </c>
      <c r="G3994" s="62" t="s">
        <v>4</v>
      </c>
      <c r="H3994" s="50" t="s">
        <v>1945</v>
      </c>
      <c r="I3994" s="64">
        <f>V1359</f>
        <v>50.9</v>
      </c>
      <c r="J3994" s="62" t="s">
        <v>4</v>
      </c>
      <c r="K3994" s="64">
        <f t="shared" si="349"/>
        <v>152.69999999999999</v>
      </c>
    </row>
    <row r="3995" spans="6:11" ht="15.75">
      <c r="F3995" s="100">
        <v>4</v>
      </c>
      <c r="G3995" s="62" t="s">
        <v>4</v>
      </c>
      <c r="H3995" s="50" t="s">
        <v>1951</v>
      </c>
      <c r="I3995" s="64">
        <f>AD1360</f>
        <v>15</v>
      </c>
      <c r="J3995" s="62" t="s">
        <v>4</v>
      </c>
      <c r="K3995" s="64">
        <f t="shared" si="349"/>
        <v>60</v>
      </c>
    </row>
    <row r="3996" spans="6:11" ht="15.75">
      <c r="F3996" s="100">
        <v>2.4300000000000002</v>
      </c>
      <c r="G3996" s="62" t="s">
        <v>306</v>
      </c>
      <c r="H3996" s="50" t="s">
        <v>1952</v>
      </c>
      <c r="I3996" s="64">
        <f>AD1361</f>
        <v>2156</v>
      </c>
      <c r="J3996" s="62" t="s">
        <v>4</v>
      </c>
      <c r="K3996" s="64">
        <f t="shared" si="349"/>
        <v>5239.08</v>
      </c>
    </row>
    <row r="3997" spans="6:11" ht="15.75">
      <c r="F3997" s="56"/>
      <c r="H3997" s="50" t="s">
        <v>1954</v>
      </c>
      <c r="J3997" s="62"/>
      <c r="K3997" s="64"/>
    </row>
    <row r="3998" spans="6:11" ht="15.75">
      <c r="F3998" s="56"/>
      <c r="G3998" s="52"/>
      <c r="H3998" s="61" t="s">
        <v>1956</v>
      </c>
      <c r="J3998" s="52"/>
      <c r="K3998" s="64">
        <f>SUM(K3987:K3997)</f>
        <v>12257.223999999998</v>
      </c>
    </row>
    <row r="3999" spans="6:11" ht="15.75">
      <c r="F3999" s="56"/>
      <c r="G3999" s="52"/>
      <c r="H3999" s="61" t="s">
        <v>3144</v>
      </c>
      <c r="J3999" s="62" t="s">
        <v>306</v>
      </c>
      <c r="K3999" s="64">
        <f>K3998/F3996</f>
        <v>5044.1251028806573</v>
      </c>
    </row>
    <row r="4000" spans="6:11" ht="15.75">
      <c r="F4000" s="56"/>
      <c r="G4000" s="52"/>
      <c r="J4000" s="52"/>
      <c r="K4000" s="63"/>
    </row>
    <row r="4001" spans="6:11" ht="15.75">
      <c r="F4001" s="56"/>
      <c r="G4001" s="52"/>
      <c r="J4001" s="52"/>
    </row>
    <row r="4002" spans="6:11" ht="19.5">
      <c r="H4002" s="2106" t="s">
        <v>3145</v>
      </c>
      <c r="I4002" s="2106"/>
      <c r="J4002" s="2106"/>
      <c r="K4002" s="2106"/>
    </row>
    <row r="4003" spans="6:11" ht="15.75">
      <c r="F4003" s="131"/>
      <c r="G4003" s="62"/>
      <c r="H4003" s="50"/>
      <c r="I4003" s="64"/>
      <c r="J4003" s="62"/>
      <c r="K4003" s="64"/>
    </row>
    <row r="4004" spans="6:11" ht="15.75">
      <c r="F4004" s="131"/>
      <c r="G4004" s="62"/>
      <c r="H4004" s="50"/>
      <c r="I4004" s="64"/>
      <c r="J4004" s="62"/>
      <c r="K4004" s="64"/>
    </row>
    <row r="4005" spans="6:11" ht="15.75">
      <c r="F4005" s="131"/>
      <c r="G4005" s="62"/>
      <c r="H4005" s="50"/>
      <c r="I4005" s="64"/>
      <c r="J4005" s="62"/>
      <c r="K4005" s="64"/>
    </row>
    <row r="4006" spans="6:11" ht="15.75">
      <c r="F4006" s="131">
        <v>12.08</v>
      </c>
      <c r="G4006" s="62" t="s">
        <v>534</v>
      </c>
      <c r="H4006" s="50" t="s">
        <v>1936</v>
      </c>
      <c r="I4006" s="64">
        <f>I3987</f>
        <v>287</v>
      </c>
      <c r="J4006" s="62" t="s">
        <v>534</v>
      </c>
      <c r="K4006" s="64">
        <f>I4006*F4006</f>
        <v>3466.96</v>
      </c>
    </row>
    <row r="4007" spans="6:11" ht="15.75">
      <c r="F4007" s="131">
        <v>1.823</v>
      </c>
      <c r="G4007" s="62" t="s">
        <v>533</v>
      </c>
      <c r="H4007" s="50" t="s">
        <v>1940</v>
      </c>
      <c r="I4007" s="64">
        <f>I3991</f>
        <v>208.8</v>
      </c>
      <c r="J4007" s="62" t="s">
        <v>533</v>
      </c>
      <c r="K4007" s="64">
        <f t="shared" ref="K4007:K4012" si="350">I4007*F4007</f>
        <v>380.64240000000001</v>
      </c>
    </row>
    <row r="4008" spans="6:11" ht="15.75">
      <c r="F4008" s="131">
        <v>8.1</v>
      </c>
      <c r="G4008" s="62" t="s">
        <v>303</v>
      </c>
      <c r="H4008" s="50" t="s">
        <v>1942</v>
      </c>
      <c r="I4008" s="64">
        <f>I3992</f>
        <v>28.6</v>
      </c>
      <c r="J4008" s="62" t="s">
        <v>303</v>
      </c>
      <c r="K4008" s="64">
        <f t="shared" si="350"/>
        <v>231.66</v>
      </c>
    </row>
    <row r="4009" spans="6:11" ht="15.75">
      <c r="F4009" s="131">
        <v>2</v>
      </c>
      <c r="G4009" s="62" t="s">
        <v>2037</v>
      </c>
      <c r="H4009" s="50" t="s">
        <v>3146</v>
      </c>
      <c r="I4009" s="64">
        <f>I3993</f>
        <v>350</v>
      </c>
      <c r="J4009" s="62" t="s">
        <v>4</v>
      </c>
      <c r="K4009" s="64">
        <f t="shared" si="350"/>
        <v>700</v>
      </c>
    </row>
    <row r="4010" spans="6:11" ht="15.75">
      <c r="F4010" s="131">
        <v>2</v>
      </c>
      <c r="G4010" s="62" t="s">
        <v>4</v>
      </c>
      <c r="H4010" s="50" t="s">
        <v>1945</v>
      </c>
      <c r="I4010" s="64">
        <f>I3994</f>
        <v>50.9</v>
      </c>
      <c r="J4010" s="62" t="s">
        <v>4</v>
      </c>
      <c r="K4010" s="64">
        <f t="shared" si="350"/>
        <v>101.8</v>
      </c>
    </row>
    <row r="4011" spans="6:11" ht="15.75">
      <c r="F4011" s="131">
        <v>4</v>
      </c>
      <c r="G4011" s="62" t="s">
        <v>4</v>
      </c>
      <c r="H4011" s="50" t="s">
        <v>1951</v>
      </c>
      <c r="I4011" s="64">
        <v>15</v>
      </c>
      <c r="J4011" s="62" t="s">
        <v>4</v>
      </c>
      <c r="K4011" s="64">
        <f t="shared" si="350"/>
        <v>60</v>
      </c>
    </row>
    <row r="4012" spans="6:11" ht="15.75">
      <c r="F4012" s="131">
        <v>1.823</v>
      </c>
      <c r="G4012" s="62" t="s">
        <v>306</v>
      </c>
      <c r="H4012" s="50" t="s">
        <v>1952</v>
      </c>
      <c r="I4012" s="52">
        <f>I3996</f>
        <v>2156</v>
      </c>
      <c r="J4012" s="62" t="s">
        <v>306</v>
      </c>
      <c r="K4012" s="64">
        <f t="shared" si="350"/>
        <v>3930.3879999999999</v>
      </c>
    </row>
    <row r="4013" spans="6:11" ht="15.75">
      <c r="H4013" s="50"/>
      <c r="J4013" s="57"/>
      <c r="K4013" s="64"/>
    </row>
    <row r="4014" spans="6:11" ht="15.75">
      <c r="G4014" s="52"/>
      <c r="H4014" s="162" t="s">
        <v>3147</v>
      </c>
      <c r="J4014" s="52"/>
      <c r="K4014" s="72">
        <f>SUM(K4006:K4013)</f>
        <v>8871.4503999999997</v>
      </c>
    </row>
    <row r="4015" spans="6:11" ht="15.75">
      <c r="G4015" s="52"/>
      <c r="H4015" s="162" t="s">
        <v>3148</v>
      </c>
      <c r="J4015" s="52"/>
      <c r="K4015" s="65">
        <f>K4014/F4012</f>
        <v>4866.4017553483272</v>
      </c>
    </row>
    <row r="4016" spans="6:11" ht="15.75">
      <c r="G4016" s="52"/>
      <c r="H4016" s="162"/>
      <c r="J4016" s="52"/>
    </row>
    <row r="4017" spans="6:11" ht="19.5">
      <c r="F4017" s="56"/>
      <c r="H4017" s="208" t="s">
        <v>3149</v>
      </c>
    </row>
    <row r="4018" spans="6:11" ht="15.75">
      <c r="F4018" s="100">
        <v>3.72</v>
      </c>
      <c r="G4018" s="62" t="s">
        <v>534</v>
      </c>
      <c r="H4018" s="50" t="s">
        <v>1936</v>
      </c>
      <c r="I4018" s="64">
        <f>I3987</f>
        <v>287</v>
      </c>
      <c r="J4018" s="62" t="s">
        <v>534</v>
      </c>
      <c r="K4018" s="64">
        <f>I4018*F4018</f>
        <v>1067.6400000000001</v>
      </c>
    </row>
    <row r="4019" spans="6:11" ht="15.75">
      <c r="F4019" s="100">
        <v>4.57</v>
      </c>
      <c r="G4019" s="62" t="s">
        <v>534</v>
      </c>
      <c r="H4019" s="50" t="s">
        <v>1936</v>
      </c>
      <c r="I4019" s="64">
        <f>I4018</f>
        <v>287</v>
      </c>
      <c r="J4019" s="62" t="s">
        <v>534</v>
      </c>
      <c r="K4019" s="64">
        <f t="shared" ref="K4019:K4025" si="351">I4019*F4019</f>
        <v>1311.5900000000001</v>
      </c>
    </row>
    <row r="4020" spans="6:11" ht="15.75">
      <c r="F4020" s="100">
        <v>1.18</v>
      </c>
      <c r="G4020" s="62" t="s">
        <v>534</v>
      </c>
      <c r="H4020" s="50" t="s">
        <v>1936</v>
      </c>
      <c r="I4020" s="64">
        <f>I4019</f>
        <v>287</v>
      </c>
      <c r="J4020" s="62" t="s">
        <v>534</v>
      </c>
      <c r="K4020" s="64">
        <f t="shared" si="351"/>
        <v>338.65999999999997</v>
      </c>
    </row>
    <row r="4021" spans="6:11" ht="15.75">
      <c r="F4021" s="100">
        <v>0.86</v>
      </c>
      <c r="G4021" s="62" t="s">
        <v>534</v>
      </c>
      <c r="H4021" s="50" t="s">
        <v>1936</v>
      </c>
      <c r="I4021" s="64">
        <f>I4020</f>
        <v>287</v>
      </c>
      <c r="J4021" s="62" t="s">
        <v>534</v>
      </c>
      <c r="K4021" s="64">
        <f t="shared" si="351"/>
        <v>246.82</v>
      </c>
    </row>
    <row r="4022" spans="6:11" ht="15.75">
      <c r="F4022" s="100">
        <v>1.42</v>
      </c>
      <c r="G4022" s="62" t="s">
        <v>533</v>
      </c>
      <c r="H4022" s="50" t="s">
        <v>1940</v>
      </c>
      <c r="I4022" s="64">
        <f t="shared" ref="I4022:I4027" si="352">I4007</f>
        <v>208.8</v>
      </c>
      <c r="J4022" s="62" t="s">
        <v>533</v>
      </c>
      <c r="K4022" s="64">
        <f t="shared" si="351"/>
        <v>296.49599999999998</v>
      </c>
    </row>
    <row r="4023" spans="6:11" ht="15.75">
      <c r="F4023" s="100">
        <v>6.9</v>
      </c>
      <c r="G4023" s="62" t="s">
        <v>303</v>
      </c>
      <c r="H4023" s="50" t="s">
        <v>1942</v>
      </c>
      <c r="I4023" s="64">
        <f t="shared" si="352"/>
        <v>28.6</v>
      </c>
      <c r="J4023" s="62" t="s">
        <v>303</v>
      </c>
      <c r="K4023" s="64">
        <f t="shared" si="351"/>
        <v>197.34000000000003</v>
      </c>
    </row>
    <row r="4024" spans="6:11" ht="15.75">
      <c r="F4024" s="100">
        <v>2</v>
      </c>
      <c r="G4024" s="62" t="s">
        <v>4</v>
      </c>
      <c r="H4024" s="50" t="s">
        <v>3146</v>
      </c>
      <c r="I4024" s="64">
        <f t="shared" si="352"/>
        <v>350</v>
      </c>
      <c r="J4024" s="62" t="s">
        <v>4</v>
      </c>
      <c r="K4024" s="64">
        <f t="shared" si="351"/>
        <v>700</v>
      </c>
    </row>
    <row r="4025" spans="6:11" ht="15.75">
      <c r="F4025" s="100">
        <v>2</v>
      </c>
      <c r="G4025" s="62" t="s">
        <v>4</v>
      </c>
      <c r="H4025" s="50" t="s">
        <v>1945</v>
      </c>
      <c r="I4025" s="64">
        <f t="shared" si="352"/>
        <v>50.9</v>
      </c>
      <c r="J4025" s="62" t="s">
        <v>4</v>
      </c>
      <c r="K4025" s="64">
        <f t="shared" si="351"/>
        <v>101.8</v>
      </c>
    </row>
    <row r="4026" spans="6:11" ht="15.75">
      <c r="F4026" s="100">
        <v>4</v>
      </c>
      <c r="G4026" s="62" t="s">
        <v>4</v>
      </c>
      <c r="H4026" s="50" t="s">
        <v>1951</v>
      </c>
      <c r="I4026" s="64">
        <f t="shared" si="352"/>
        <v>15</v>
      </c>
      <c r="J4026" s="62" t="s">
        <v>4</v>
      </c>
      <c r="K4026" s="64">
        <f>I4026*F4026</f>
        <v>60</v>
      </c>
    </row>
    <row r="4027" spans="6:11" ht="15.75">
      <c r="F4027" s="100">
        <v>1.42</v>
      </c>
      <c r="G4027" s="62" t="s">
        <v>306</v>
      </c>
      <c r="H4027" s="50" t="s">
        <v>1952</v>
      </c>
      <c r="I4027" s="64">
        <f t="shared" si="352"/>
        <v>2156</v>
      </c>
      <c r="J4027" s="62" t="s">
        <v>306</v>
      </c>
      <c r="K4027" s="64">
        <f>I4027*F4027</f>
        <v>3061.52</v>
      </c>
    </row>
    <row r="4028" spans="6:11" ht="15.75">
      <c r="F4028" s="56"/>
      <c r="H4028" s="50" t="s">
        <v>1954</v>
      </c>
      <c r="J4028" s="57"/>
      <c r="K4028" s="64"/>
    </row>
    <row r="4029" spans="6:11" ht="15.75">
      <c r="F4029" s="56"/>
      <c r="G4029" s="52"/>
      <c r="H4029" s="61" t="s">
        <v>1956</v>
      </c>
      <c r="J4029" s="52"/>
      <c r="K4029" s="64">
        <f>SUM(K4018:K4028)</f>
        <v>7381.866</v>
      </c>
    </row>
    <row r="4030" spans="6:11" ht="15.75">
      <c r="F4030" s="56"/>
      <c r="G4030" s="52"/>
      <c r="H4030" s="162" t="s">
        <v>3148</v>
      </c>
      <c r="J4030" s="52"/>
      <c r="K4030" s="65">
        <f>K4029/F4027</f>
        <v>5198.4971830985914</v>
      </c>
    </row>
    <row r="4031" spans="6:11" ht="15.75">
      <c r="F4031" s="56"/>
      <c r="G4031" s="52"/>
      <c r="J4031" s="52"/>
      <c r="K4031" s="63"/>
    </row>
    <row r="4032" spans="6:11" ht="19.5">
      <c r="F4032" s="56"/>
      <c r="G4032" s="52"/>
      <c r="H4032" s="208" t="s">
        <v>3150</v>
      </c>
    </row>
    <row r="4033" spans="6:13" ht="16.5">
      <c r="F4033" s="249">
        <v>11.61</v>
      </c>
      <c r="G4033" s="250" t="s">
        <v>534</v>
      </c>
      <c r="H4033" s="253" t="s">
        <v>1936</v>
      </c>
      <c r="I4033" s="252">
        <f>I4018</f>
        <v>287</v>
      </c>
      <c r="J4033" s="250" t="s">
        <v>534</v>
      </c>
      <c r="K4033" s="252">
        <f>I4033*F4033</f>
        <v>3332.0699999999997</v>
      </c>
    </row>
    <row r="4034" spans="6:13" ht="16.5">
      <c r="F4034" s="249">
        <v>7.8</v>
      </c>
      <c r="G4034" s="250" t="s">
        <v>303</v>
      </c>
      <c r="H4034" s="253" t="s">
        <v>2036</v>
      </c>
      <c r="I4034" s="252">
        <f>I4023</f>
        <v>28.6</v>
      </c>
      <c r="J4034" s="250" t="s">
        <v>303</v>
      </c>
      <c r="K4034" s="252">
        <f t="shared" ref="K4034:K4039" si="353">I4034*F4034</f>
        <v>223.08</v>
      </c>
    </row>
    <row r="4035" spans="6:13" ht="16.5">
      <c r="F4035" s="249">
        <v>1.62</v>
      </c>
      <c r="G4035" s="250" t="s">
        <v>533</v>
      </c>
      <c r="H4035" s="253" t="s">
        <v>2035</v>
      </c>
      <c r="I4035" s="252">
        <f>I4022</f>
        <v>208.8</v>
      </c>
      <c r="J4035" s="250" t="s">
        <v>533</v>
      </c>
      <c r="K4035" s="252">
        <f t="shared" si="353"/>
        <v>338.25600000000003</v>
      </c>
    </row>
    <row r="4036" spans="6:13" ht="16.5">
      <c r="F4036" s="249">
        <v>2</v>
      </c>
      <c r="G4036" s="250" t="s">
        <v>4</v>
      </c>
      <c r="H4036" s="253" t="s">
        <v>2039</v>
      </c>
      <c r="I4036" s="252">
        <f>I4025</f>
        <v>50.9</v>
      </c>
      <c r="J4036" s="250" t="s">
        <v>4</v>
      </c>
      <c r="K4036" s="252">
        <f t="shared" si="353"/>
        <v>101.8</v>
      </c>
    </row>
    <row r="4037" spans="6:13" ht="16.5">
      <c r="F4037" s="249">
        <v>2</v>
      </c>
      <c r="G4037" s="250" t="s">
        <v>4</v>
      </c>
      <c r="H4037" s="253" t="s">
        <v>3151</v>
      </c>
      <c r="I4037" s="252">
        <f>I4024</f>
        <v>350</v>
      </c>
      <c r="J4037" s="250" t="s">
        <v>4</v>
      </c>
      <c r="K4037" s="252">
        <f t="shared" si="353"/>
        <v>700</v>
      </c>
    </row>
    <row r="4038" spans="6:13" ht="16.5">
      <c r="F4038" s="249">
        <v>4</v>
      </c>
      <c r="G4038" s="250" t="s">
        <v>4</v>
      </c>
      <c r="H4038" s="253" t="s">
        <v>2040</v>
      </c>
      <c r="I4038" s="252">
        <f>I4026</f>
        <v>15</v>
      </c>
      <c r="J4038" s="250" t="s">
        <v>4</v>
      </c>
      <c r="K4038" s="252">
        <f t="shared" si="353"/>
        <v>60</v>
      </c>
    </row>
    <row r="4039" spans="6:13" ht="16.5">
      <c r="F4039" s="249">
        <v>1.62</v>
      </c>
      <c r="G4039" s="250" t="s">
        <v>306</v>
      </c>
      <c r="H4039" s="253" t="s">
        <v>2041</v>
      </c>
      <c r="I4039" s="252">
        <f>I4027</f>
        <v>2156</v>
      </c>
      <c r="J4039" s="250" t="s">
        <v>306</v>
      </c>
      <c r="K4039" s="252">
        <f t="shared" si="353"/>
        <v>3492.7200000000003</v>
      </c>
    </row>
    <row r="4040" spans="6:13" ht="16.5">
      <c r="F4040" s="247"/>
      <c r="G4040" s="255"/>
      <c r="H4040" s="253" t="s">
        <v>337</v>
      </c>
      <c r="I4040" s="247"/>
      <c r="J4040" s="254"/>
      <c r="K4040" s="252"/>
    </row>
    <row r="4041" spans="6:13" ht="16.5">
      <c r="F4041" s="247"/>
      <c r="G4041" s="247"/>
      <c r="H4041" s="61" t="s">
        <v>1956</v>
      </c>
      <c r="J4041" s="52"/>
      <c r="K4041" s="64">
        <f>SUM(K4033:K4040)</f>
        <v>8247.9259999999995</v>
      </c>
    </row>
    <row r="4042" spans="6:13" ht="15.75">
      <c r="F4042" s="56"/>
      <c r="G4042" s="52"/>
      <c r="H4042" s="162" t="s">
        <v>3148</v>
      </c>
      <c r="J4042" s="52"/>
      <c r="K4042" s="65">
        <f>K4041/F4039</f>
        <v>5091.3123456790117</v>
      </c>
    </row>
    <row r="4043" spans="6:13" ht="15.75">
      <c r="F4043" s="56"/>
      <c r="G4043" s="52"/>
      <c r="J4043" s="52"/>
    </row>
    <row r="4045" spans="6:13" ht="15.75">
      <c r="F4045" s="380"/>
      <c r="G4045" s="381"/>
      <c r="H4045" s="238" t="s">
        <v>3152</v>
      </c>
      <c r="I4045" s="380"/>
      <c r="J4045" s="383"/>
      <c r="K4045" s="380"/>
      <c r="L4045" s="56"/>
      <c r="M4045" s="56"/>
    </row>
    <row r="4046" spans="6:13" ht="18">
      <c r="F4046" s="380"/>
      <c r="G4046" s="381"/>
      <c r="H4046" s="466" t="s">
        <v>3153</v>
      </c>
      <c r="I4046" s="380"/>
      <c r="J4046" s="383"/>
      <c r="K4046" s="380"/>
      <c r="L4046" s="56"/>
      <c r="M4046" s="56"/>
    </row>
    <row r="4047" spans="6:13" ht="15.75">
      <c r="F4047" s="380"/>
      <c r="G4047" s="381"/>
      <c r="H4047" s="388" t="s">
        <v>21</v>
      </c>
      <c r="I4047" s="380"/>
      <c r="J4047" s="383"/>
      <c r="K4047" s="380"/>
      <c r="L4047" s="56"/>
      <c r="M4047" s="56"/>
    </row>
    <row r="4048" spans="6:13" ht="15.75">
      <c r="F4048" s="380"/>
      <c r="G4048" s="381"/>
      <c r="H4048" s="394" t="s">
        <v>3154</v>
      </c>
      <c r="J4048" s="52"/>
      <c r="L4048" s="56"/>
      <c r="M4048" s="56"/>
    </row>
    <row r="4049" spans="6:13" ht="15.75">
      <c r="F4049" s="380"/>
      <c r="G4049" s="381"/>
      <c r="H4049" s="434" t="s">
        <v>3155</v>
      </c>
      <c r="I4049" s="513"/>
      <c r="J4049" s="468">
        <f>3*2*1.9*0.075*0.0375</f>
        <v>3.2062499999999994E-2</v>
      </c>
      <c r="K4049" s="380" t="s">
        <v>313</v>
      </c>
      <c r="L4049" s="56"/>
      <c r="M4049" s="56"/>
    </row>
    <row r="4050" spans="6:13" ht="15.75">
      <c r="F4050" s="380"/>
      <c r="G4050" s="381"/>
      <c r="H4050" s="238" t="s">
        <v>3156</v>
      </c>
      <c r="I4050" s="513"/>
      <c r="J4050" s="468">
        <f>3*2*0.5*0.075*0.0375</f>
        <v>8.4374999999999988E-3</v>
      </c>
      <c r="K4050" s="380" t="s">
        <v>313</v>
      </c>
      <c r="L4050" s="56"/>
      <c r="M4050" s="56"/>
    </row>
    <row r="4051" spans="6:13" ht="15.75">
      <c r="F4051" s="380"/>
      <c r="G4051" s="381"/>
      <c r="H4051" s="238"/>
      <c r="I4051" s="384"/>
      <c r="J4051" s="388" t="s">
        <v>21</v>
      </c>
      <c r="K4051" s="412"/>
      <c r="L4051" s="56"/>
      <c r="M4051" s="56"/>
    </row>
    <row r="4052" spans="6:13" ht="15.75">
      <c r="F4052" s="380"/>
      <c r="G4052" s="381"/>
      <c r="H4052" s="380"/>
      <c r="I4052" s="380"/>
      <c r="J4052" s="551">
        <f>SUM(J4049:J4051)</f>
        <v>4.0499999999999994E-2</v>
      </c>
      <c r="K4052" s="52" t="s">
        <v>313</v>
      </c>
      <c r="L4052" s="56"/>
      <c r="M4052" s="56"/>
    </row>
    <row r="4053" spans="6:13" ht="15.75">
      <c r="F4053" s="380"/>
      <c r="G4053" s="381"/>
      <c r="H4053" s="380"/>
      <c r="I4053" s="380"/>
      <c r="J4053" s="388" t="s">
        <v>21</v>
      </c>
      <c r="L4053" s="56"/>
      <c r="M4053" s="56"/>
    </row>
    <row r="4054" spans="6:13" ht="15.75">
      <c r="F4054" s="380"/>
      <c r="G4054" s="381"/>
      <c r="H4054" s="238" t="s">
        <v>1708</v>
      </c>
      <c r="I4054" s="513"/>
      <c r="J4054" s="513"/>
      <c r="K4054" s="513"/>
      <c r="L4054" s="56"/>
      <c r="M4054" s="56"/>
    </row>
    <row r="4055" spans="6:13" ht="15.75">
      <c r="F4055" s="380"/>
      <c r="G4055" s="381"/>
      <c r="H4055" s="238" t="s">
        <v>3157</v>
      </c>
      <c r="I4055" s="470"/>
      <c r="J4055" s="467">
        <f>3*1.9*0.5</f>
        <v>2.8499999999999996</v>
      </c>
      <c r="K4055" s="62" t="s">
        <v>152</v>
      </c>
      <c r="L4055" s="56"/>
      <c r="M4055" s="56"/>
    </row>
    <row r="4056" spans="6:13" ht="15.75">
      <c r="F4056" s="380"/>
      <c r="G4056" s="381"/>
      <c r="H4056" s="238"/>
      <c r="I4056" s="470"/>
      <c r="J4056" s="467"/>
      <c r="K4056" s="412"/>
      <c r="L4056" s="56"/>
      <c r="M4056" s="56"/>
    </row>
    <row r="4057" spans="6:13" ht="15.75">
      <c r="F4057" s="380"/>
      <c r="G4057" s="381"/>
      <c r="H4057" s="238" t="s">
        <v>3158</v>
      </c>
      <c r="I4057" s="470"/>
      <c r="J4057" s="467"/>
      <c r="K4057" s="412"/>
      <c r="L4057" s="56"/>
      <c r="M4057" s="56"/>
    </row>
    <row r="4058" spans="6:13" ht="15.75">
      <c r="F4058" s="380"/>
      <c r="G4058" s="381"/>
      <c r="H4058" s="238" t="s">
        <v>3159</v>
      </c>
      <c r="I4058" s="470"/>
      <c r="J4058" s="468">
        <f>3*1.775*0.375</f>
        <v>1.9968749999999997</v>
      </c>
      <c r="K4058" s="412" t="str">
        <f>K4055</f>
        <v>SQM</v>
      </c>
      <c r="L4058" s="56"/>
      <c r="M4058" s="56"/>
    </row>
    <row r="4059" spans="6:13" ht="15.75">
      <c r="F4059" s="380"/>
      <c r="G4059" s="381"/>
      <c r="H4059" s="238" t="s">
        <v>3160</v>
      </c>
      <c r="I4059" s="380"/>
      <c r="J4059" s="474"/>
      <c r="K4059" s="434"/>
      <c r="L4059" s="56"/>
      <c r="M4059" s="56"/>
    </row>
    <row r="4060" spans="6:13" ht="15.75">
      <c r="F4060" s="435"/>
      <c r="G4060" s="381"/>
      <c r="H4060" s="238" t="s">
        <v>3161</v>
      </c>
      <c r="I4060" s="470"/>
      <c r="J4060" s="552">
        <f>1.775+0.375</f>
        <v>2.15</v>
      </c>
      <c r="K4060" s="412"/>
      <c r="L4060" s="236"/>
      <c r="M4060" s="56"/>
    </row>
    <row r="4061" spans="6:13" ht="15.75">
      <c r="F4061" s="435"/>
      <c r="G4061" s="381"/>
      <c r="H4061" s="380"/>
      <c r="I4061" s="553"/>
      <c r="J4061" s="441">
        <f>J4060*6</f>
        <v>12.899999999999999</v>
      </c>
      <c r="K4061" s="236" t="s">
        <v>303</v>
      </c>
      <c r="L4061" s="236"/>
      <c r="M4061" s="56"/>
    </row>
    <row r="4062" spans="6:13" ht="15.75">
      <c r="F4062" s="435"/>
      <c r="G4062" s="381"/>
      <c r="H4062" s="554" t="s">
        <v>3162</v>
      </c>
      <c r="I4062" s="553"/>
      <c r="J4062" s="239"/>
      <c r="K4062" s="236"/>
      <c r="L4062" s="236"/>
      <c r="M4062" s="56"/>
    </row>
    <row r="4063" spans="6:13" ht="15.75">
      <c r="F4063" s="428"/>
      <c r="G4063" s="381"/>
      <c r="H4063" s="394" t="s">
        <v>3163</v>
      </c>
      <c r="I4063" s="513"/>
      <c r="J4063" s="236"/>
      <c r="K4063" s="383"/>
      <c r="L4063" s="236"/>
      <c r="M4063" s="56"/>
    </row>
    <row r="4064" spans="6:13" ht="15.75">
      <c r="F4064" s="412">
        <f>J4052</f>
        <v>4.0499999999999994E-2</v>
      </c>
      <c r="G4064" s="238" t="s">
        <v>151</v>
      </c>
      <c r="H4064" s="238" t="s">
        <v>3164</v>
      </c>
      <c r="I4064" s="236">
        <f>V3114</f>
        <v>99400</v>
      </c>
      <c r="J4064" s="239" t="s">
        <v>151</v>
      </c>
      <c r="K4064" s="236">
        <f>(F4064*I4064)</f>
        <v>4025.6999999999994</v>
      </c>
      <c r="L4064" s="236"/>
      <c r="M4064" s="56"/>
    </row>
    <row r="4065" spans="6:13" ht="15.75">
      <c r="F4065" s="412">
        <f>J4055</f>
        <v>2.8499999999999996</v>
      </c>
      <c r="G4065" s="62" t="s">
        <v>152</v>
      </c>
      <c r="H4065" s="238" t="s">
        <v>1708</v>
      </c>
      <c r="I4065" s="236">
        <f>V3116</f>
        <v>1509.1999999999998</v>
      </c>
      <c r="J4065" s="62" t="s">
        <v>152</v>
      </c>
      <c r="K4065" s="236">
        <f>(F4065*I4065)</f>
        <v>4301.2199999999993</v>
      </c>
      <c r="L4065" s="236"/>
      <c r="M4065" s="56"/>
    </row>
    <row r="4066" spans="6:13" ht="15.75">
      <c r="F4066" s="412">
        <f>J4058</f>
        <v>1.9968749999999997</v>
      </c>
      <c r="G4066" s="62" t="s">
        <v>152</v>
      </c>
      <c r="H4066" s="238" t="s">
        <v>3158</v>
      </c>
      <c r="I4066" s="236">
        <f>V3115</f>
        <v>208.8</v>
      </c>
      <c r="J4066" s="62" t="s">
        <v>152</v>
      </c>
      <c r="K4066" s="236">
        <f t="shared" ref="K4066:K4072" si="354">(F4066*I4066)</f>
        <v>416.94749999999999</v>
      </c>
      <c r="L4066" s="236"/>
      <c r="M4066" s="56"/>
    </row>
    <row r="4067" spans="6:13" ht="15.75">
      <c r="F4067" s="236">
        <f>J4061</f>
        <v>12.899999999999999</v>
      </c>
      <c r="G4067" s="236" t="s">
        <v>303</v>
      </c>
      <c r="H4067" s="394" t="s">
        <v>3165</v>
      </c>
      <c r="I4067" s="236">
        <f t="shared" ref="I4067:I4072" si="355">V3117</f>
        <v>45.7</v>
      </c>
      <c r="J4067" s="236" t="s">
        <v>303</v>
      </c>
      <c r="K4067" s="236">
        <f t="shared" si="354"/>
        <v>589.53</v>
      </c>
      <c r="L4067" s="236"/>
      <c r="M4067" s="56"/>
    </row>
    <row r="4068" spans="6:13" ht="15.75">
      <c r="F4068" s="236">
        <v>9</v>
      </c>
      <c r="G4068" s="62" t="s">
        <v>153</v>
      </c>
      <c r="H4068" s="50" t="s">
        <v>1731</v>
      </c>
      <c r="I4068" s="236">
        <f t="shared" si="355"/>
        <v>79.099999999999994</v>
      </c>
      <c r="J4068" s="50" t="s">
        <v>153</v>
      </c>
      <c r="K4068" s="236">
        <f t="shared" si="354"/>
        <v>711.9</v>
      </c>
      <c r="L4068" s="236"/>
      <c r="M4068" s="56"/>
    </row>
    <row r="4069" spans="6:13" ht="15.75">
      <c r="F4069" s="236">
        <v>6</v>
      </c>
      <c r="G4069" s="62" t="s">
        <v>153</v>
      </c>
      <c r="H4069" s="50" t="s">
        <v>2763</v>
      </c>
      <c r="I4069" s="236">
        <f t="shared" si="355"/>
        <v>68.5</v>
      </c>
      <c r="J4069" s="50" t="s">
        <v>153</v>
      </c>
      <c r="K4069" s="236">
        <f t="shared" si="354"/>
        <v>411</v>
      </c>
      <c r="L4069" s="236"/>
      <c r="M4069" s="56"/>
    </row>
    <row r="4070" spans="6:13" ht="15.75">
      <c r="F4070" s="236">
        <v>3</v>
      </c>
      <c r="G4070" s="62" t="s">
        <v>153</v>
      </c>
      <c r="H4070" s="50" t="s">
        <v>2766</v>
      </c>
      <c r="I4070" s="236">
        <f t="shared" si="355"/>
        <v>50.9</v>
      </c>
      <c r="J4070" s="50" t="s">
        <v>153</v>
      </c>
      <c r="K4070" s="236">
        <f t="shared" si="354"/>
        <v>152.69999999999999</v>
      </c>
      <c r="L4070" s="236"/>
      <c r="M4070" s="56"/>
    </row>
    <row r="4071" spans="6:13" ht="15.75">
      <c r="F4071" s="236">
        <v>3</v>
      </c>
      <c r="G4071" s="62" t="s">
        <v>153</v>
      </c>
      <c r="H4071" s="50" t="s">
        <v>884</v>
      </c>
      <c r="I4071" s="236">
        <f t="shared" si="355"/>
        <v>7.3</v>
      </c>
      <c r="J4071" s="50" t="s">
        <v>153</v>
      </c>
      <c r="K4071" s="236">
        <f t="shared" si="354"/>
        <v>21.9</v>
      </c>
      <c r="L4071" s="236"/>
      <c r="M4071" s="56"/>
    </row>
    <row r="4072" spans="6:13" ht="15.75">
      <c r="F4072" s="236">
        <v>120</v>
      </c>
      <c r="G4072" s="62" t="s">
        <v>153</v>
      </c>
      <c r="H4072" s="50" t="s">
        <v>3166</v>
      </c>
      <c r="I4072" s="236">
        <f t="shared" si="355"/>
        <v>2.37</v>
      </c>
      <c r="J4072" s="50" t="s">
        <v>153</v>
      </c>
      <c r="K4072" s="236">
        <f t="shared" si="354"/>
        <v>284.40000000000003</v>
      </c>
      <c r="L4072" s="236"/>
      <c r="M4072" s="56"/>
    </row>
    <row r="4073" spans="6:13" ht="15.75">
      <c r="F4073" s="236"/>
      <c r="G4073" s="387"/>
      <c r="H4073" s="238"/>
      <c r="I4073" s="513"/>
      <c r="J4073" s="236"/>
      <c r="K4073" s="388" t="s">
        <v>21</v>
      </c>
      <c r="L4073" s="236"/>
      <c r="M4073" s="56"/>
    </row>
    <row r="4074" spans="6:13" ht="15.75">
      <c r="F4074" s="380"/>
      <c r="G4074" s="381"/>
      <c r="H4074" s="238" t="s">
        <v>3167</v>
      </c>
      <c r="I4074" s="513"/>
      <c r="J4074" s="239"/>
      <c r="K4074" s="384">
        <f>SUM(K4064:K4073)</f>
        <v>10915.297499999999</v>
      </c>
      <c r="L4074" s="487"/>
      <c r="M4074" s="56"/>
    </row>
    <row r="4075" spans="6:13" ht="15.75">
      <c r="F4075" s="380"/>
      <c r="G4075" s="381"/>
      <c r="H4075" s="513"/>
      <c r="I4075" s="236"/>
      <c r="J4075" s="383"/>
      <c r="K4075" s="388" t="s">
        <v>21</v>
      </c>
      <c r="L4075" s="513"/>
      <c r="M4075" s="56"/>
    </row>
    <row r="4076" spans="6:13" ht="15.75">
      <c r="F4076" s="380"/>
      <c r="G4076" s="381"/>
      <c r="H4076" s="384" t="s">
        <v>3080</v>
      </c>
      <c r="I4076" s="236"/>
      <c r="J4076" s="383"/>
      <c r="K4076" s="519">
        <f>K4074/F4065</f>
        <v>3829.9289473684212</v>
      </c>
      <c r="L4076" s="236">
        <f>SUM(L4060:L4075)</f>
        <v>0</v>
      </c>
      <c r="M4076" s="56"/>
    </row>
    <row r="4077" spans="6:13" ht="15.75">
      <c r="F4077" s="380"/>
      <c r="G4077" s="381"/>
      <c r="H4077" s="380"/>
      <c r="I4077" s="236"/>
      <c r="J4077" s="383"/>
      <c r="K4077" s="513"/>
      <c r="L4077" s="513"/>
      <c r="M4077" s="56"/>
    </row>
    <row r="4078" spans="6:13" ht="15.75">
      <c r="F4078" s="380"/>
      <c r="G4078" s="381"/>
      <c r="H4078" s="394"/>
      <c r="I4078" s="380"/>
      <c r="J4078" s="2104"/>
      <c r="K4078" s="2104"/>
      <c r="L4078" s="2104"/>
      <c r="M4078" s="2104"/>
    </row>
    <row r="4079" spans="6:13" ht="15.75">
      <c r="G4079" s="52"/>
      <c r="J4079" s="52"/>
      <c r="L4079" s="56"/>
      <c r="M4079" s="56"/>
    </row>
  </sheetData>
  <mergeCells count="26">
    <mergeCell ref="U2:X2"/>
    <mergeCell ref="X6:Y6"/>
    <mergeCell ref="AA6:AB6"/>
    <mergeCell ref="H108:K108"/>
    <mergeCell ref="AC550:AD550"/>
    <mergeCell ref="P1474:R1474"/>
    <mergeCell ref="S1474:U1474"/>
    <mergeCell ref="N1531:R1531"/>
    <mergeCell ref="O2343:Q2343"/>
    <mergeCell ref="O2353:Q2353"/>
    <mergeCell ref="H2420:K2420"/>
    <mergeCell ref="H2422:H2423"/>
    <mergeCell ref="O2427:R2427"/>
    <mergeCell ref="O2429:O2430"/>
    <mergeCell ref="AF2601:AI2601"/>
    <mergeCell ref="I3046:J3046"/>
    <mergeCell ref="S3148:T3148"/>
    <mergeCell ref="I3492:J3492"/>
    <mergeCell ref="H3636:J3637"/>
    <mergeCell ref="S3680:V3680"/>
    <mergeCell ref="J4078:M4078"/>
    <mergeCell ref="F3711:M3711"/>
    <mergeCell ref="M3712:M3719"/>
    <mergeCell ref="M3721:M3726"/>
    <mergeCell ref="F3985:H3985"/>
    <mergeCell ref="H4002:K4002"/>
  </mergeCells>
  <hyperlinks>
    <hyperlink ref="C270" r:id="rId1" display="G:\2273"/>
    <hyperlink ref="J270" r:id="rId2" display="G:\2273"/>
  </hyperlinks>
  <pageMargins left="0.7" right="0.7" top="0.75" bottom="0.75" header="0.3" footer="0.3"/>
  <pageSetup paperSize="9" scale="45" orientation="landscape" r:id="rId3"/>
  <drawing r:id="rId4"/>
</worksheet>
</file>

<file path=xl/worksheets/sheet48.xml><?xml version="1.0" encoding="utf-8"?>
<worksheet xmlns="http://schemas.openxmlformats.org/spreadsheetml/2006/main" xmlns:r="http://schemas.openxmlformats.org/officeDocument/2006/relationships">
  <sheetPr codeName="Sheet22"/>
  <dimension ref="A1:K647"/>
  <sheetViews>
    <sheetView topLeftCell="A255" workbookViewId="0">
      <selection activeCell="H176" sqref="H176"/>
    </sheetView>
  </sheetViews>
  <sheetFormatPr defaultColWidth="9.28515625" defaultRowHeight="15.75"/>
  <cols>
    <col min="1" max="1" width="9.28515625" style="36" customWidth="1"/>
    <col min="2" max="2" width="9.28515625" style="10"/>
    <col min="3" max="3" width="36.5703125" style="9" customWidth="1"/>
    <col min="4" max="4" width="12.42578125" style="48" customWidth="1"/>
    <col min="5" max="5" width="9.42578125" style="36" customWidth="1"/>
    <col min="6" max="6" width="13.7109375" style="20" customWidth="1"/>
    <col min="7" max="10" width="9.28515625" style="9"/>
    <col min="11" max="11" width="12.5703125" style="9" customWidth="1"/>
    <col min="12" max="16384" width="9.28515625" style="9"/>
  </cols>
  <sheetData>
    <row r="1" spans="1:6">
      <c r="A1" s="561"/>
      <c r="B1" s="561"/>
      <c r="C1" s="561" t="s">
        <v>241</v>
      </c>
      <c r="D1" s="561"/>
      <c r="E1" s="561"/>
      <c r="F1" s="561"/>
    </row>
    <row r="2" spans="1:6" ht="19.899999999999999" customHeight="1">
      <c r="A2" s="561"/>
      <c r="B2" s="561"/>
      <c r="C2" s="561" t="s">
        <v>642</v>
      </c>
      <c r="D2" s="561"/>
      <c r="E2" s="561"/>
      <c r="F2" s="561"/>
    </row>
    <row r="3" spans="1:6">
      <c r="A3" s="561" t="s">
        <v>242</v>
      </c>
      <c r="B3" s="561" t="s">
        <v>150</v>
      </c>
      <c r="C3" s="561" t="s">
        <v>243</v>
      </c>
      <c r="D3" s="561"/>
      <c r="E3" s="561" t="s">
        <v>3310</v>
      </c>
      <c r="F3" s="561"/>
    </row>
    <row r="4" spans="1:6" ht="17.25" customHeight="1">
      <c r="A4" s="561"/>
      <c r="B4" s="561"/>
      <c r="C4" s="561"/>
      <c r="D4" s="561"/>
      <c r="E4" s="561"/>
      <c r="F4" s="561"/>
    </row>
    <row r="5" spans="1:6">
      <c r="A5" s="561" t="s">
        <v>244</v>
      </c>
      <c r="B5" s="561" t="s">
        <v>150</v>
      </c>
      <c r="C5" s="561" t="s">
        <v>245</v>
      </c>
      <c r="D5" s="561" t="s">
        <v>246</v>
      </c>
      <c r="E5" s="561" t="s">
        <v>247</v>
      </c>
      <c r="F5" s="561" t="s">
        <v>248</v>
      </c>
    </row>
    <row r="6" spans="1:6">
      <c r="A6" s="561"/>
      <c r="B6" s="561"/>
      <c r="C6" s="561"/>
      <c r="D6" s="561"/>
      <c r="E6" s="561"/>
      <c r="F6" s="561"/>
    </row>
    <row r="7" spans="1:6">
      <c r="A7" s="561"/>
      <c r="B7" s="561" t="s">
        <v>249</v>
      </c>
      <c r="C7" s="561" t="s">
        <v>256</v>
      </c>
      <c r="D7" s="561"/>
      <c r="E7" s="561"/>
      <c r="F7" s="561"/>
    </row>
    <row r="8" spans="1:6">
      <c r="A8" s="561">
        <v>0.72</v>
      </c>
      <c r="B8" s="561" t="s">
        <v>251</v>
      </c>
      <c r="C8" s="561" t="s">
        <v>252</v>
      </c>
      <c r="D8" s="561">
        <v>5960</v>
      </c>
      <c r="E8" s="561" t="s">
        <v>251</v>
      </c>
      <c r="F8" s="561">
        <v>4291.2</v>
      </c>
    </row>
    <row r="9" spans="1:6">
      <c r="A9" s="561">
        <v>1</v>
      </c>
      <c r="B9" s="561" t="s">
        <v>151</v>
      </c>
      <c r="C9" s="561" t="s">
        <v>253</v>
      </c>
      <c r="D9" s="561">
        <v>2207.1799999999998</v>
      </c>
      <c r="E9" s="561" t="s">
        <v>151</v>
      </c>
      <c r="F9" s="561">
        <v>2207.1799999999998</v>
      </c>
    </row>
    <row r="10" spans="1:6">
      <c r="A10" s="561">
        <v>1</v>
      </c>
      <c r="B10" s="561" t="s">
        <v>151</v>
      </c>
      <c r="C10" s="561" t="s">
        <v>254</v>
      </c>
      <c r="D10" s="561">
        <v>140</v>
      </c>
      <c r="E10" s="561" t="s">
        <v>151</v>
      </c>
      <c r="F10" s="561">
        <v>140</v>
      </c>
    </row>
    <row r="11" spans="1:6">
      <c r="A11" s="561"/>
      <c r="B11" s="561" t="s">
        <v>226</v>
      </c>
      <c r="C11" s="561" t="s">
        <v>237</v>
      </c>
      <c r="D11" s="561" t="s">
        <v>150</v>
      </c>
      <c r="E11" s="561" t="s">
        <v>226</v>
      </c>
      <c r="F11" s="561"/>
    </row>
    <row r="12" spans="1:6">
      <c r="A12" s="561"/>
      <c r="B12" s="561"/>
      <c r="C12" s="561" t="s">
        <v>255</v>
      </c>
      <c r="D12" s="561"/>
      <c r="E12" s="561"/>
      <c r="F12" s="561">
        <v>6638.38</v>
      </c>
    </row>
    <row r="13" spans="1:6">
      <c r="A13" s="561"/>
      <c r="B13" s="561"/>
      <c r="C13" s="561"/>
      <c r="D13" s="561"/>
      <c r="E13" s="561"/>
      <c r="F13" s="561" t="s">
        <v>21</v>
      </c>
    </row>
    <row r="14" spans="1:6">
      <c r="A14" s="561"/>
      <c r="B14" s="561" t="s">
        <v>249</v>
      </c>
      <c r="C14" s="561" t="s">
        <v>257</v>
      </c>
      <c r="D14" s="561"/>
      <c r="E14" s="561"/>
      <c r="F14" s="561"/>
    </row>
    <row r="15" spans="1:6">
      <c r="A15" s="561">
        <v>0.48</v>
      </c>
      <c r="B15" s="561" t="s">
        <v>251</v>
      </c>
      <c r="C15" s="561" t="s">
        <v>252</v>
      </c>
      <c r="D15" s="561">
        <v>5960</v>
      </c>
      <c r="E15" s="561" t="s">
        <v>251</v>
      </c>
      <c r="F15" s="561">
        <v>2860.8</v>
      </c>
    </row>
    <row r="16" spans="1:6">
      <c r="A16" s="561">
        <v>1</v>
      </c>
      <c r="B16" s="561" t="s">
        <v>151</v>
      </c>
      <c r="C16" s="561" t="s">
        <v>253</v>
      </c>
      <c r="D16" s="561">
        <v>2207.1799999999998</v>
      </c>
      <c r="E16" s="561" t="s">
        <v>151</v>
      </c>
      <c r="F16" s="561">
        <v>2207.1799999999998</v>
      </c>
    </row>
    <row r="17" spans="1:6">
      <c r="A17" s="561">
        <v>1</v>
      </c>
      <c r="B17" s="561" t="s">
        <v>151</v>
      </c>
      <c r="C17" s="561" t="s">
        <v>254</v>
      </c>
      <c r="D17" s="561">
        <v>140</v>
      </c>
      <c r="E17" s="561" t="s">
        <v>151</v>
      </c>
      <c r="F17" s="561">
        <v>140</v>
      </c>
    </row>
    <row r="18" spans="1:6">
      <c r="A18" s="561"/>
      <c r="B18" s="561" t="s">
        <v>226</v>
      </c>
      <c r="C18" s="561" t="s">
        <v>237</v>
      </c>
      <c r="D18" s="561" t="s">
        <v>150</v>
      </c>
      <c r="E18" s="561" t="s">
        <v>226</v>
      </c>
      <c r="F18" s="561"/>
    </row>
    <row r="19" spans="1:6">
      <c r="A19" s="561"/>
      <c r="B19" s="561"/>
      <c r="C19" s="561" t="s">
        <v>255</v>
      </c>
      <c r="D19" s="561"/>
      <c r="E19" s="561"/>
      <c r="F19" s="561">
        <v>5207.9799999999996</v>
      </c>
    </row>
    <row r="20" spans="1:6">
      <c r="A20" s="561"/>
      <c r="B20" s="561"/>
      <c r="C20" s="561"/>
      <c r="D20" s="561"/>
      <c r="E20" s="561"/>
      <c r="F20" s="561" t="s">
        <v>21</v>
      </c>
    </row>
    <row r="21" spans="1:6">
      <c r="A21" s="561"/>
      <c r="B21" s="561" t="s">
        <v>249</v>
      </c>
      <c r="C21" s="561" t="s">
        <v>258</v>
      </c>
      <c r="D21" s="561"/>
      <c r="E21" s="561"/>
      <c r="F21" s="561"/>
    </row>
    <row r="22" spans="1:6">
      <c r="A22" s="561">
        <v>0.36</v>
      </c>
      <c r="B22" s="561" t="s">
        <v>251</v>
      </c>
      <c r="C22" s="561" t="s">
        <v>252</v>
      </c>
      <c r="D22" s="561">
        <v>5960</v>
      </c>
      <c r="E22" s="561" t="s">
        <v>251</v>
      </c>
      <c r="F22" s="561">
        <v>2145.6</v>
      </c>
    </row>
    <row r="23" spans="1:6">
      <c r="A23" s="561">
        <v>1</v>
      </c>
      <c r="B23" s="561" t="s">
        <v>151</v>
      </c>
      <c r="C23" s="561" t="s">
        <v>253</v>
      </c>
      <c r="D23" s="561">
        <v>2207.1799999999998</v>
      </c>
      <c r="E23" s="561" t="s">
        <v>151</v>
      </c>
      <c r="F23" s="561">
        <v>2207.1799999999998</v>
      </c>
    </row>
    <row r="24" spans="1:6">
      <c r="A24" s="561">
        <v>1</v>
      </c>
      <c r="B24" s="561" t="s">
        <v>151</v>
      </c>
      <c r="C24" s="561" t="s">
        <v>254</v>
      </c>
      <c r="D24" s="561">
        <v>140</v>
      </c>
      <c r="E24" s="561" t="s">
        <v>151</v>
      </c>
      <c r="F24" s="561">
        <v>140</v>
      </c>
    </row>
    <row r="25" spans="1:6">
      <c r="A25" s="561"/>
      <c r="B25" s="561" t="s">
        <v>226</v>
      </c>
      <c r="C25" s="561" t="s">
        <v>237</v>
      </c>
      <c r="D25" s="561" t="s">
        <v>150</v>
      </c>
      <c r="E25" s="561" t="s">
        <v>226</v>
      </c>
      <c r="F25" s="561"/>
    </row>
    <row r="26" spans="1:6">
      <c r="A26" s="561"/>
      <c r="B26" s="561"/>
      <c r="C26" s="561" t="s">
        <v>255</v>
      </c>
      <c r="D26" s="561"/>
      <c r="E26" s="561"/>
      <c r="F26" s="561">
        <v>4492.78</v>
      </c>
    </row>
    <row r="27" spans="1:6">
      <c r="A27" s="561"/>
      <c r="B27" s="561"/>
      <c r="C27" s="561"/>
      <c r="D27" s="561"/>
      <c r="E27" s="561"/>
      <c r="F27" s="561" t="s">
        <v>21</v>
      </c>
    </row>
    <row r="28" spans="1:6">
      <c r="A28" s="561"/>
      <c r="B28" s="561" t="s">
        <v>249</v>
      </c>
      <c r="C28" s="561" t="s">
        <v>259</v>
      </c>
      <c r="D28" s="561"/>
      <c r="E28" s="561"/>
      <c r="F28" s="561"/>
    </row>
    <row r="29" spans="1:6">
      <c r="A29" s="561">
        <v>0.28799999999999998</v>
      </c>
      <c r="B29" s="561" t="s">
        <v>251</v>
      </c>
      <c r="C29" s="561" t="s">
        <v>252</v>
      </c>
      <c r="D29" s="561">
        <v>5960</v>
      </c>
      <c r="E29" s="561" t="s">
        <v>251</v>
      </c>
      <c r="F29" s="561">
        <v>1716.48</v>
      </c>
    </row>
    <row r="30" spans="1:6">
      <c r="A30" s="561">
        <v>1</v>
      </c>
      <c r="B30" s="561" t="s">
        <v>151</v>
      </c>
      <c r="C30" s="561" t="s">
        <v>253</v>
      </c>
      <c r="D30" s="561">
        <v>2207.1799999999998</v>
      </c>
      <c r="E30" s="561" t="s">
        <v>151</v>
      </c>
      <c r="F30" s="561">
        <v>2207.1799999999998</v>
      </c>
    </row>
    <row r="31" spans="1:6">
      <c r="A31" s="561">
        <v>1</v>
      </c>
      <c r="B31" s="561" t="s">
        <v>151</v>
      </c>
      <c r="C31" s="561" t="s">
        <v>254</v>
      </c>
      <c r="D31" s="561">
        <v>140</v>
      </c>
      <c r="E31" s="561" t="s">
        <v>151</v>
      </c>
      <c r="F31" s="561">
        <v>140</v>
      </c>
    </row>
    <row r="32" spans="1:6">
      <c r="A32" s="561"/>
      <c r="B32" s="561" t="s">
        <v>226</v>
      </c>
      <c r="C32" s="561" t="s">
        <v>237</v>
      </c>
      <c r="D32" s="561" t="s">
        <v>150</v>
      </c>
      <c r="E32" s="561" t="s">
        <v>226</v>
      </c>
      <c r="F32" s="561"/>
    </row>
    <row r="33" spans="1:7">
      <c r="A33" s="561"/>
      <c r="B33" s="561"/>
      <c r="C33" s="561" t="s">
        <v>255</v>
      </c>
      <c r="D33" s="561"/>
      <c r="E33" s="561"/>
      <c r="F33" s="561">
        <v>4063.66</v>
      </c>
    </row>
    <row r="34" spans="1:7">
      <c r="A34" s="561"/>
      <c r="B34" s="561"/>
      <c r="C34" s="561"/>
      <c r="D34" s="561"/>
      <c r="E34" s="561"/>
      <c r="F34" s="561" t="s">
        <v>21</v>
      </c>
    </row>
    <row r="35" spans="1:7">
      <c r="A35" s="561"/>
      <c r="B35" s="561" t="s">
        <v>249</v>
      </c>
      <c r="C35" s="561" t="s">
        <v>260</v>
      </c>
      <c r="D35" s="561"/>
      <c r="E35" s="561"/>
      <c r="F35" s="561"/>
    </row>
    <row r="36" spans="1:7">
      <c r="A36" s="561">
        <v>0.24</v>
      </c>
      <c r="B36" s="561" t="s">
        <v>251</v>
      </c>
      <c r="C36" s="561" t="s">
        <v>252</v>
      </c>
      <c r="D36" s="561">
        <v>5960</v>
      </c>
      <c r="E36" s="561" t="s">
        <v>251</v>
      </c>
      <c r="F36" s="561">
        <v>1430.4</v>
      </c>
    </row>
    <row r="37" spans="1:7">
      <c r="A37" s="561">
        <v>1</v>
      </c>
      <c r="B37" s="561" t="s">
        <v>151</v>
      </c>
      <c r="C37" s="561" t="s">
        <v>253</v>
      </c>
      <c r="D37" s="561">
        <v>2207.1799999999998</v>
      </c>
      <c r="E37" s="561" t="s">
        <v>151</v>
      </c>
      <c r="F37" s="561">
        <v>2207.1799999999998</v>
      </c>
    </row>
    <row r="38" spans="1:7">
      <c r="A38" s="561">
        <v>1</v>
      </c>
      <c r="B38" s="561" t="s">
        <v>151</v>
      </c>
      <c r="C38" s="561" t="s">
        <v>254</v>
      </c>
      <c r="D38" s="561">
        <v>140</v>
      </c>
      <c r="E38" s="561" t="s">
        <v>151</v>
      </c>
      <c r="F38" s="561">
        <v>140</v>
      </c>
    </row>
    <row r="39" spans="1:7">
      <c r="A39" s="561"/>
      <c r="B39" s="561" t="s">
        <v>226</v>
      </c>
      <c r="C39" s="561" t="s">
        <v>237</v>
      </c>
      <c r="D39" s="561" t="s">
        <v>150</v>
      </c>
      <c r="E39" s="561" t="s">
        <v>226</v>
      </c>
      <c r="F39" s="561"/>
    </row>
    <row r="40" spans="1:7">
      <c r="A40" s="561"/>
      <c r="B40" s="561"/>
      <c r="C40" s="561"/>
      <c r="D40" s="561"/>
      <c r="E40" s="561"/>
      <c r="F40" s="561" t="s">
        <v>21</v>
      </c>
    </row>
    <row r="41" spans="1:7">
      <c r="A41" s="561"/>
      <c r="B41" s="561"/>
      <c r="C41" s="561" t="s">
        <v>255</v>
      </c>
      <c r="D41" s="561"/>
      <c r="E41" s="561"/>
      <c r="F41" s="561">
        <v>3777.58</v>
      </c>
    </row>
    <row r="43" spans="1:7">
      <c r="A43" s="561" t="s">
        <v>2224</v>
      </c>
      <c r="B43" s="561" t="s">
        <v>249</v>
      </c>
      <c r="C43" s="561" t="s">
        <v>2225</v>
      </c>
      <c r="D43" s="561"/>
      <c r="E43" s="561"/>
      <c r="F43" s="561"/>
      <c r="G43" s="561"/>
    </row>
    <row r="44" spans="1:7">
      <c r="A44" s="561"/>
      <c r="B44" s="561"/>
      <c r="C44" s="561" t="s">
        <v>2226</v>
      </c>
      <c r="D44" s="561"/>
      <c r="E44" s="561"/>
      <c r="F44" s="561"/>
      <c r="G44" s="561"/>
    </row>
    <row r="45" spans="1:7">
      <c r="A45" s="561"/>
      <c r="B45" s="561"/>
      <c r="C45" s="561" t="s">
        <v>2227</v>
      </c>
      <c r="D45" s="561"/>
      <c r="E45" s="561"/>
      <c r="F45" s="561"/>
      <c r="G45" s="561"/>
    </row>
    <row r="46" spans="1:7">
      <c r="A46" s="561"/>
      <c r="B46" s="561"/>
      <c r="C46" s="561" t="s">
        <v>2228</v>
      </c>
      <c r="D46" s="561"/>
      <c r="E46" s="561"/>
      <c r="F46" s="561"/>
      <c r="G46" s="561"/>
    </row>
    <row r="47" spans="1:7">
      <c r="A47" s="561">
        <v>1</v>
      </c>
      <c r="B47" s="561" t="s">
        <v>153</v>
      </c>
      <c r="C47" s="561" t="s">
        <v>2229</v>
      </c>
      <c r="D47" s="561">
        <v>1190</v>
      </c>
      <c r="E47" s="561" t="s">
        <v>153</v>
      </c>
      <c r="F47" s="561">
        <v>1190</v>
      </c>
      <c r="G47" s="561"/>
    </row>
    <row r="48" spans="1:7">
      <c r="A48" s="561">
        <v>0.65</v>
      </c>
      <c r="B48" s="561" t="s">
        <v>151</v>
      </c>
      <c r="C48" s="561" t="s">
        <v>2230</v>
      </c>
      <c r="D48" s="561">
        <v>270.48</v>
      </c>
      <c r="E48" s="561" t="s">
        <v>151</v>
      </c>
      <c r="F48" s="561">
        <v>175.81</v>
      </c>
      <c r="G48" s="561"/>
    </row>
    <row r="49" spans="1:7">
      <c r="A49" s="561">
        <v>0.56999999999999995</v>
      </c>
      <c r="B49" s="561" t="s">
        <v>151</v>
      </c>
      <c r="C49" s="561" t="s">
        <v>2231</v>
      </c>
      <c r="D49" s="561">
        <v>47.04</v>
      </c>
      <c r="E49" s="561" t="s">
        <v>151</v>
      </c>
      <c r="F49" s="561">
        <v>26.81</v>
      </c>
      <c r="G49" s="561"/>
    </row>
    <row r="50" spans="1:7">
      <c r="A50" s="561">
        <v>8.1000000000000003E-2</v>
      </c>
      <c r="B50" s="561" t="s">
        <v>151</v>
      </c>
      <c r="C50" s="561" t="s">
        <v>2232</v>
      </c>
      <c r="D50" s="561">
        <v>5316.65</v>
      </c>
      <c r="E50" s="561" t="s">
        <v>151</v>
      </c>
      <c r="F50" s="561">
        <v>430.65</v>
      </c>
      <c r="G50" s="561"/>
    </row>
    <row r="51" spans="1:7">
      <c r="A51" s="561">
        <v>1</v>
      </c>
      <c r="B51" s="561" t="s">
        <v>153</v>
      </c>
      <c r="C51" s="561" t="s">
        <v>558</v>
      </c>
      <c r="D51" s="561">
        <v>1045.8</v>
      </c>
      <c r="E51" s="561" t="s">
        <v>153</v>
      </c>
      <c r="F51" s="561">
        <v>1045.8</v>
      </c>
      <c r="G51" s="561"/>
    </row>
    <row r="52" spans="1:7">
      <c r="A52" s="561">
        <v>0.5</v>
      </c>
      <c r="B52" s="561" t="s">
        <v>153</v>
      </c>
      <c r="C52" s="561" t="s">
        <v>234</v>
      </c>
      <c r="D52" s="561">
        <v>1125.5999999999999</v>
      </c>
      <c r="E52" s="561" t="s">
        <v>153</v>
      </c>
      <c r="F52" s="561">
        <v>562.79999999999995</v>
      </c>
      <c r="G52" s="561"/>
    </row>
    <row r="53" spans="1:7">
      <c r="A53" s="561">
        <v>0.5</v>
      </c>
      <c r="B53" s="561" t="s">
        <v>153</v>
      </c>
      <c r="C53" s="561" t="s">
        <v>235</v>
      </c>
      <c r="D53" s="561">
        <v>786.8</v>
      </c>
      <c r="E53" s="561" t="s">
        <v>153</v>
      </c>
      <c r="F53" s="561">
        <v>393.4</v>
      </c>
      <c r="G53" s="561"/>
    </row>
    <row r="54" spans="1:7">
      <c r="A54" s="561"/>
      <c r="B54" s="561" t="s">
        <v>226</v>
      </c>
      <c r="C54" s="561" t="s">
        <v>237</v>
      </c>
      <c r="D54" s="561" t="s">
        <v>150</v>
      </c>
      <c r="E54" s="561" t="s">
        <v>226</v>
      </c>
      <c r="F54" s="561">
        <v>1.25</v>
      </c>
      <c r="G54" s="561"/>
    </row>
    <row r="55" spans="1:7">
      <c r="A55" s="561"/>
      <c r="B55" s="561"/>
      <c r="C55" s="561" t="s">
        <v>1233</v>
      </c>
      <c r="D55" s="561"/>
      <c r="E55" s="561"/>
      <c r="F55" s="561">
        <v>3826.52</v>
      </c>
      <c r="G55" s="561"/>
    </row>
    <row r="56" spans="1:7">
      <c r="A56" s="561"/>
      <c r="B56" s="561" t="s">
        <v>150</v>
      </c>
      <c r="C56" s="561" t="s">
        <v>150</v>
      </c>
      <c r="D56" s="561"/>
      <c r="E56" s="561"/>
      <c r="F56" s="561" t="s">
        <v>150</v>
      </c>
      <c r="G56" s="561"/>
    </row>
    <row r="57" spans="1:7">
      <c r="A57" s="561"/>
      <c r="B57" s="561"/>
      <c r="C57" s="561"/>
      <c r="D57" s="561"/>
      <c r="E57" s="561" t="s">
        <v>150</v>
      </c>
      <c r="F57" s="561" t="s">
        <v>150</v>
      </c>
      <c r="G57" s="561"/>
    </row>
    <row r="58" spans="1:7">
      <c r="A58" s="561" t="s">
        <v>2235</v>
      </c>
      <c r="B58" s="561" t="s">
        <v>249</v>
      </c>
      <c r="C58" s="561" t="s">
        <v>2225</v>
      </c>
      <c r="D58" s="561"/>
      <c r="E58" s="561"/>
      <c r="F58" s="561"/>
      <c r="G58" s="561"/>
    </row>
    <row r="59" spans="1:7">
      <c r="A59" s="561"/>
      <c r="B59" s="561"/>
      <c r="C59" s="561" t="s">
        <v>2226</v>
      </c>
      <c r="D59" s="561"/>
      <c r="E59" s="561"/>
      <c r="F59" s="561"/>
      <c r="G59" s="561"/>
    </row>
    <row r="60" spans="1:7">
      <c r="A60" s="561"/>
      <c r="B60" s="561"/>
      <c r="C60" s="561" t="s">
        <v>2227</v>
      </c>
      <c r="D60" s="561"/>
      <c r="E60" s="561"/>
      <c r="F60" s="561"/>
      <c r="G60" s="561"/>
    </row>
    <row r="61" spans="1:7">
      <c r="A61" s="561"/>
      <c r="B61" s="561"/>
      <c r="C61" s="561" t="s">
        <v>2236</v>
      </c>
      <c r="D61" s="561"/>
      <c r="E61" s="561"/>
      <c r="F61" s="561"/>
      <c r="G61" s="561"/>
    </row>
    <row r="62" spans="1:7">
      <c r="A62" s="561">
        <v>1</v>
      </c>
      <c r="B62" s="561" t="s">
        <v>153</v>
      </c>
      <c r="C62" s="561" t="s">
        <v>2229</v>
      </c>
      <c r="D62" s="561">
        <v>1190</v>
      </c>
      <c r="E62" s="561" t="s">
        <v>153</v>
      </c>
      <c r="F62" s="561">
        <v>1190</v>
      </c>
      <c r="G62" s="561"/>
    </row>
    <row r="63" spans="1:7">
      <c r="A63" s="561">
        <v>0.40500000000000003</v>
      </c>
      <c r="B63" s="561" t="s">
        <v>151</v>
      </c>
      <c r="C63" s="561" t="s">
        <v>2237</v>
      </c>
      <c r="D63" s="561">
        <v>5280.27</v>
      </c>
      <c r="E63" s="561" t="s">
        <v>151</v>
      </c>
      <c r="F63" s="561">
        <v>2138.5100000000002</v>
      </c>
      <c r="G63" s="561"/>
    </row>
    <row r="64" spans="1:7">
      <c r="A64" s="561"/>
      <c r="B64" s="561"/>
      <c r="C64" s="561" t="s">
        <v>2238</v>
      </c>
      <c r="D64" s="561" t="s">
        <v>150</v>
      </c>
      <c r="E64" s="561"/>
      <c r="F64" s="561" t="s">
        <v>150</v>
      </c>
      <c r="G64" s="561"/>
    </row>
    <row r="65" spans="1:7">
      <c r="A65" s="561">
        <v>1.89</v>
      </c>
      <c r="B65" s="561" t="s">
        <v>152</v>
      </c>
      <c r="C65" s="561" t="s">
        <v>2239</v>
      </c>
      <c r="D65" s="561">
        <v>324.3</v>
      </c>
      <c r="E65" s="561" t="s">
        <v>152</v>
      </c>
      <c r="F65" s="561">
        <v>612.92999999999995</v>
      </c>
      <c r="G65" s="561"/>
    </row>
    <row r="66" spans="1:7">
      <c r="A66" s="561"/>
      <c r="B66" s="561"/>
      <c r="C66" s="561" t="s">
        <v>2240</v>
      </c>
      <c r="D66" s="561" t="s">
        <v>150</v>
      </c>
      <c r="E66" s="561"/>
      <c r="F66" s="561" t="s">
        <v>150</v>
      </c>
      <c r="G66" s="561"/>
    </row>
    <row r="67" spans="1:7">
      <c r="A67" s="561">
        <v>8.1000000000000003E-2</v>
      </c>
      <c r="B67" s="561" t="s">
        <v>151</v>
      </c>
      <c r="C67" s="561" t="s">
        <v>2241</v>
      </c>
      <c r="D67" s="561">
        <v>5316.65</v>
      </c>
      <c r="E67" s="561" t="s">
        <v>151</v>
      </c>
      <c r="F67" s="561">
        <v>430.65</v>
      </c>
      <c r="G67" s="561"/>
    </row>
    <row r="68" spans="1:7">
      <c r="A68" s="561"/>
      <c r="B68" s="561"/>
      <c r="C68" s="561" t="s">
        <v>2242</v>
      </c>
      <c r="D68" s="561"/>
      <c r="E68" s="561"/>
      <c r="F68" s="561"/>
      <c r="G68" s="561"/>
    </row>
    <row r="69" spans="1:7">
      <c r="A69" s="561">
        <v>1</v>
      </c>
      <c r="B69" s="561" t="s">
        <v>4</v>
      </c>
      <c r="C69" s="561" t="s">
        <v>558</v>
      </c>
      <c r="D69" s="561">
        <v>1045.8</v>
      </c>
      <c r="E69" s="561" t="s">
        <v>4</v>
      </c>
      <c r="F69" s="561">
        <v>1045.8</v>
      </c>
      <c r="G69" s="561"/>
    </row>
    <row r="70" spans="1:7">
      <c r="A70" s="561">
        <v>0.5</v>
      </c>
      <c r="B70" s="561" t="s">
        <v>153</v>
      </c>
      <c r="C70" s="561" t="s">
        <v>234</v>
      </c>
      <c r="D70" s="561">
        <v>1125.5999999999999</v>
      </c>
      <c r="E70" s="561" t="s">
        <v>153</v>
      </c>
      <c r="F70" s="561">
        <v>562.79999999999995</v>
      </c>
      <c r="G70" s="561"/>
    </row>
    <row r="71" spans="1:7">
      <c r="A71" s="561">
        <v>0.5</v>
      </c>
      <c r="B71" s="561" t="s">
        <v>153</v>
      </c>
      <c r="C71" s="561" t="s">
        <v>235</v>
      </c>
      <c r="D71" s="561">
        <v>786.8</v>
      </c>
      <c r="E71" s="561" t="s">
        <v>153</v>
      </c>
      <c r="F71" s="561">
        <v>393.4</v>
      </c>
      <c r="G71" s="561"/>
    </row>
    <row r="72" spans="1:7">
      <c r="A72" s="561"/>
      <c r="B72" s="561" t="s">
        <v>226</v>
      </c>
      <c r="C72" s="561" t="s">
        <v>237</v>
      </c>
      <c r="D72" s="561" t="s">
        <v>150</v>
      </c>
      <c r="E72" s="561" t="s">
        <v>226</v>
      </c>
      <c r="F72" s="561">
        <v>1.03</v>
      </c>
      <c r="G72" s="561"/>
    </row>
    <row r="73" spans="1:7">
      <c r="A73" s="561"/>
      <c r="B73" s="561"/>
      <c r="C73" s="561" t="s">
        <v>1233</v>
      </c>
      <c r="D73" s="561"/>
      <c r="E73" s="561"/>
      <c r="F73" s="561">
        <v>6375.12</v>
      </c>
      <c r="G73" s="561"/>
    </row>
    <row r="74" spans="1:7">
      <c r="A74" s="561"/>
      <c r="B74" s="561"/>
      <c r="C74" s="561"/>
      <c r="D74" s="561"/>
      <c r="E74" s="561"/>
      <c r="F74" s="561"/>
      <c r="G74" s="561"/>
    </row>
    <row r="75" spans="1:7">
      <c r="A75" s="561" t="s">
        <v>585</v>
      </c>
      <c r="B75" s="561" t="s">
        <v>249</v>
      </c>
      <c r="C75" s="561" t="s">
        <v>586</v>
      </c>
      <c r="D75" s="561"/>
      <c r="E75" s="561"/>
      <c r="F75" s="561"/>
      <c r="G75" s="561"/>
    </row>
    <row r="76" spans="1:7">
      <c r="A76" s="561"/>
      <c r="B76" s="561"/>
      <c r="C76" s="561" t="s">
        <v>587</v>
      </c>
      <c r="D76" s="561"/>
      <c r="E76" s="561"/>
      <c r="F76" s="561"/>
      <c r="G76" s="561"/>
    </row>
    <row r="77" spans="1:7">
      <c r="A77" s="561"/>
      <c r="B77" s="561"/>
      <c r="C77" s="561" t="s">
        <v>21</v>
      </c>
      <c r="D77" s="561"/>
      <c r="E77" s="561"/>
      <c r="F77" s="561"/>
      <c r="G77" s="561"/>
    </row>
    <row r="78" spans="1:7">
      <c r="A78" s="561"/>
      <c r="B78" s="561" t="s">
        <v>588</v>
      </c>
      <c r="C78" s="561" t="s">
        <v>589</v>
      </c>
      <c r="D78" s="561"/>
      <c r="E78" s="561"/>
      <c r="F78" s="561"/>
      <c r="G78" s="561"/>
    </row>
    <row r="79" spans="1:7">
      <c r="A79" s="561"/>
      <c r="B79" s="561"/>
      <c r="C79" s="561" t="s">
        <v>590</v>
      </c>
      <c r="D79" s="561"/>
      <c r="E79" s="561"/>
      <c r="F79" s="561"/>
      <c r="G79" s="561"/>
    </row>
    <row r="80" spans="1:7">
      <c r="A80" s="561"/>
      <c r="B80" s="561"/>
      <c r="C80" s="561" t="s">
        <v>592</v>
      </c>
      <c r="D80" s="561"/>
      <c r="E80" s="561"/>
      <c r="F80" s="561"/>
      <c r="G80" s="561"/>
    </row>
    <row r="81" spans="1:7">
      <c r="A81" s="561"/>
      <c r="B81" s="561"/>
      <c r="C81" s="561" t="s">
        <v>593</v>
      </c>
      <c r="D81" s="561"/>
      <c r="E81" s="561"/>
      <c r="F81" s="561"/>
      <c r="G81" s="561"/>
    </row>
    <row r="82" spans="1:7">
      <c r="A82" s="561"/>
      <c r="B82" s="561"/>
      <c r="C82" s="561" t="s">
        <v>594</v>
      </c>
      <c r="D82" s="561"/>
      <c r="E82" s="561"/>
      <c r="F82" s="561"/>
      <c r="G82" s="561"/>
    </row>
    <row r="83" spans="1:7">
      <c r="A83" s="561"/>
      <c r="B83" s="561"/>
      <c r="C83" s="561" t="s">
        <v>595</v>
      </c>
      <c r="D83" s="561"/>
      <c r="E83" s="561"/>
      <c r="F83" s="561"/>
      <c r="G83" s="561"/>
    </row>
    <row r="84" spans="1:7">
      <c r="A84" s="561"/>
      <c r="B84" s="561"/>
      <c r="C84" s="561" t="s">
        <v>563</v>
      </c>
      <c r="D84" s="561"/>
      <c r="E84" s="561"/>
      <c r="F84" s="561"/>
      <c r="G84" s="561"/>
    </row>
    <row r="85" spans="1:7">
      <c r="A85" s="561">
        <v>3</v>
      </c>
      <c r="B85" s="561" t="s">
        <v>552</v>
      </c>
      <c r="C85" s="561" t="s">
        <v>564</v>
      </c>
      <c r="D85" s="561">
        <v>193.05</v>
      </c>
      <c r="E85" s="561" t="s">
        <v>552</v>
      </c>
      <c r="F85" s="561">
        <v>579.15</v>
      </c>
      <c r="G85" s="561"/>
    </row>
    <row r="86" spans="1:7">
      <c r="A86" s="561">
        <v>1</v>
      </c>
      <c r="B86" s="561" t="s">
        <v>4</v>
      </c>
      <c r="C86" s="561" t="s">
        <v>565</v>
      </c>
      <c r="D86" s="561">
        <v>76</v>
      </c>
      <c r="E86" s="561" t="s">
        <v>566</v>
      </c>
      <c r="F86" s="561">
        <v>76</v>
      </c>
      <c r="G86" s="561"/>
    </row>
    <row r="87" spans="1:7">
      <c r="A87" s="561">
        <v>1</v>
      </c>
      <c r="B87" s="561" t="s">
        <v>4</v>
      </c>
      <c r="C87" s="561" t="s">
        <v>567</v>
      </c>
      <c r="D87" s="561">
        <v>78.400000000000006</v>
      </c>
      <c r="E87" s="561" t="s">
        <v>566</v>
      </c>
      <c r="F87" s="561">
        <v>78.400000000000006</v>
      </c>
      <c r="G87" s="561"/>
    </row>
    <row r="88" spans="1:7">
      <c r="A88" s="561">
        <v>1</v>
      </c>
      <c r="B88" s="561" t="s">
        <v>4</v>
      </c>
      <c r="C88" s="561" t="s">
        <v>568</v>
      </c>
      <c r="D88" s="561">
        <v>178.9</v>
      </c>
      <c r="E88" s="561" t="s">
        <v>566</v>
      </c>
      <c r="F88" s="561">
        <v>178.9</v>
      </c>
      <c r="G88" s="561"/>
    </row>
    <row r="89" spans="1:7">
      <c r="A89" s="561">
        <v>0.5</v>
      </c>
      <c r="B89" s="561" t="s">
        <v>153</v>
      </c>
      <c r="C89" s="561" t="s">
        <v>558</v>
      </c>
      <c r="D89" s="561">
        <v>1045.8</v>
      </c>
      <c r="E89" s="561" t="s">
        <v>566</v>
      </c>
      <c r="F89" s="561">
        <v>522.9</v>
      </c>
      <c r="G89" s="561"/>
    </row>
    <row r="90" spans="1:7">
      <c r="A90" s="561">
        <v>0.5</v>
      </c>
      <c r="B90" s="561" t="s">
        <v>153</v>
      </c>
      <c r="C90" s="561" t="s">
        <v>234</v>
      </c>
      <c r="D90" s="561">
        <v>1125.5999999999999</v>
      </c>
      <c r="E90" s="561" t="s">
        <v>566</v>
      </c>
      <c r="F90" s="561">
        <v>562.79999999999995</v>
      </c>
      <c r="G90" s="561"/>
    </row>
    <row r="91" spans="1:7">
      <c r="A91" s="561">
        <v>0.5</v>
      </c>
      <c r="B91" s="561" t="s">
        <v>153</v>
      </c>
      <c r="C91" s="561" t="s">
        <v>235</v>
      </c>
      <c r="D91" s="561">
        <v>786.8</v>
      </c>
      <c r="E91" s="561" t="s">
        <v>566</v>
      </c>
      <c r="F91" s="561">
        <v>393.4</v>
      </c>
      <c r="G91" s="561"/>
    </row>
    <row r="92" spans="1:7">
      <c r="A92" s="561"/>
      <c r="B92" s="561" t="s">
        <v>226</v>
      </c>
      <c r="C92" s="561" t="s">
        <v>569</v>
      </c>
      <c r="D92" s="561">
        <v>2.79</v>
      </c>
      <c r="E92" s="561" t="s">
        <v>226</v>
      </c>
      <c r="F92" s="561">
        <v>2.79</v>
      </c>
      <c r="G92" s="561"/>
    </row>
    <row r="93" spans="1:7">
      <c r="A93" s="561"/>
      <c r="B93" s="561"/>
      <c r="C93" s="561" t="s">
        <v>570</v>
      </c>
      <c r="D93" s="561"/>
      <c r="E93" s="561"/>
      <c r="F93" s="561"/>
      <c r="G93" s="561"/>
    </row>
    <row r="94" spans="1:7">
      <c r="A94" s="561"/>
      <c r="B94" s="561"/>
      <c r="C94" s="561" t="s">
        <v>571</v>
      </c>
      <c r="D94" s="561"/>
      <c r="E94" s="561"/>
      <c r="F94" s="561"/>
      <c r="G94" s="561"/>
    </row>
    <row r="95" spans="1:7">
      <c r="A95" s="561"/>
      <c r="B95" s="561"/>
      <c r="C95" s="561" t="s">
        <v>572</v>
      </c>
      <c r="D95" s="561"/>
      <c r="E95" s="561" t="s">
        <v>226</v>
      </c>
      <c r="F95" s="561">
        <v>0.12</v>
      </c>
      <c r="G95" s="561"/>
    </row>
    <row r="96" spans="1:7">
      <c r="A96" s="561"/>
      <c r="B96" s="561"/>
      <c r="C96" s="561" t="s">
        <v>561</v>
      </c>
      <c r="D96" s="561"/>
      <c r="E96" s="561"/>
      <c r="F96" s="561">
        <v>2394.46</v>
      </c>
      <c r="G96" s="561"/>
    </row>
    <row r="97" spans="1:7">
      <c r="A97" s="561"/>
      <c r="B97" s="561"/>
      <c r="C97" s="561" t="s">
        <v>562</v>
      </c>
      <c r="D97" s="561"/>
      <c r="E97" s="561"/>
      <c r="F97" s="561">
        <v>798.15</v>
      </c>
      <c r="G97" s="561"/>
    </row>
    <row r="98" spans="1:7">
      <c r="A98" s="561"/>
      <c r="B98" s="561"/>
      <c r="C98" s="561"/>
      <c r="D98" s="561"/>
      <c r="E98" s="561"/>
      <c r="F98" s="561" t="s">
        <v>21</v>
      </c>
      <c r="G98" s="561"/>
    </row>
    <row r="99" spans="1:7">
      <c r="A99" s="561" t="s">
        <v>573</v>
      </c>
      <c r="B99" s="561" t="s">
        <v>574</v>
      </c>
      <c r="C99" s="561" t="s">
        <v>575</v>
      </c>
      <c r="D99" s="561"/>
      <c r="E99" s="561"/>
      <c r="F99" s="561"/>
      <c r="G99" s="561"/>
    </row>
    <row r="100" spans="1:7">
      <c r="A100" s="561"/>
      <c r="B100" s="561"/>
      <c r="C100" s="561" t="s">
        <v>576</v>
      </c>
      <c r="D100" s="561"/>
      <c r="E100" s="561"/>
      <c r="F100" s="561"/>
      <c r="G100" s="561"/>
    </row>
    <row r="101" spans="1:7">
      <c r="A101" s="561"/>
      <c r="B101" s="561"/>
      <c r="C101" s="561" t="s">
        <v>592</v>
      </c>
      <c r="D101" s="561"/>
      <c r="E101" s="561"/>
      <c r="F101" s="561"/>
      <c r="G101" s="561"/>
    </row>
    <row r="102" spans="1:7">
      <c r="A102" s="561"/>
      <c r="B102" s="561"/>
      <c r="C102" s="561" t="s">
        <v>596</v>
      </c>
      <c r="D102" s="561"/>
      <c r="E102" s="561"/>
      <c r="F102" s="561"/>
      <c r="G102" s="561"/>
    </row>
    <row r="103" spans="1:7">
      <c r="A103" s="561"/>
      <c r="B103" s="561"/>
      <c r="C103" s="561" t="s">
        <v>597</v>
      </c>
      <c r="D103" s="561"/>
      <c r="E103" s="561"/>
      <c r="F103" s="561"/>
      <c r="G103" s="561"/>
    </row>
    <row r="104" spans="1:7">
      <c r="A104" s="561"/>
      <c r="B104" s="561"/>
      <c r="C104" s="561" t="s">
        <v>595</v>
      </c>
      <c r="D104" s="561"/>
      <c r="E104" s="561"/>
      <c r="F104" s="561"/>
      <c r="G104" s="561"/>
    </row>
    <row r="105" spans="1:7">
      <c r="A105" s="561"/>
      <c r="B105" s="561"/>
      <c r="C105" s="561" t="s">
        <v>563</v>
      </c>
      <c r="D105" s="561"/>
      <c r="E105" s="561"/>
      <c r="F105" s="561"/>
      <c r="G105" s="561"/>
    </row>
    <row r="106" spans="1:7">
      <c r="A106" s="561">
        <v>3</v>
      </c>
      <c r="B106" s="561" t="s">
        <v>552</v>
      </c>
      <c r="C106" s="561" t="s">
        <v>577</v>
      </c>
      <c r="D106" s="561">
        <v>115.85</v>
      </c>
      <c r="E106" s="561" t="s">
        <v>552</v>
      </c>
      <c r="F106" s="561">
        <v>347.55</v>
      </c>
      <c r="G106" s="561"/>
    </row>
    <row r="107" spans="1:7">
      <c r="A107" s="561">
        <v>1</v>
      </c>
      <c r="B107" s="561" t="s">
        <v>4</v>
      </c>
      <c r="C107" s="561" t="s">
        <v>578</v>
      </c>
      <c r="D107" s="561">
        <v>45</v>
      </c>
      <c r="E107" s="561" t="s">
        <v>566</v>
      </c>
      <c r="F107" s="561">
        <v>45</v>
      </c>
      <c r="G107" s="561"/>
    </row>
    <row r="108" spans="1:7">
      <c r="A108" s="561">
        <v>1</v>
      </c>
      <c r="B108" s="561" t="s">
        <v>4</v>
      </c>
      <c r="C108" s="561" t="s">
        <v>579</v>
      </c>
      <c r="D108" s="561">
        <v>52.9</v>
      </c>
      <c r="E108" s="561" t="s">
        <v>566</v>
      </c>
      <c r="F108" s="561">
        <v>52.9</v>
      </c>
      <c r="G108" s="561"/>
    </row>
    <row r="109" spans="1:7">
      <c r="A109" s="561">
        <v>1</v>
      </c>
      <c r="B109" s="561" t="s">
        <v>4</v>
      </c>
      <c r="C109" s="561" t="s">
        <v>580</v>
      </c>
      <c r="D109" s="561">
        <v>119.3</v>
      </c>
      <c r="E109" s="561" t="s">
        <v>566</v>
      </c>
      <c r="F109" s="561">
        <v>119.3</v>
      </c>
      <c r="G109" s="561"/>
    </row>
    <row r="110" spans="1:7">
      <c r="A110" s="561">
        <v>0.5</v>
      </c>
      <c r="B110" s="561" t="s">
        <v>153</v>
      </c>
      <c r="C110" s="561" t="s">
        <v>558</v>
      </c>
      <c r="D110" s="561">
        <v>1045.8</v>
      </c>
      <c r="E110" s="561" t="s">
        <v>566</v>
      </c>
      <c r="F110" s="561">
        <v>522.9</v>
      </c>
      <c r="G110" s="561"/>
    </row>
    <row r="111" spans="1:7">
      <c r="A111" s="561">
        <v>0.5</v>
      </c>
      <c r="B111" s="561" t="s">
        <v>153</v>
      </c>
      <c r="C111" s="561" t="s">
        <v>234</v>
      </c>
      <c r="D111" s="561">
        <v>1125.5999999999999</v>
      </c>
      <c r="E111" s="561" t="s">
        <v>566</v>
      </c>
      <c r="F111" s="561">
        <v>562.79999999999995</v>
      </c>
      <c r="G111" s="561"/>
    </row>
    <row r="112" spans="1:7">
      <c r="A112" s="561">
        <v>0.5</v>
      </c>
      <c r="B112" s="561" t="s">
        <v>153</v>
      </c>
      <c r="C112" s="561" t="s">
        <v>235</v>
      </c>
      <c r="D112" s="561">
        <v>786.8</v>
      </c>
      <c r="E112" s="561" t="s">
        <v>566</v>
      </c>
      <c r="F112" s="561">
        <v>393.4</v>
      </c>
      <c r="G112" s="561"/>
    </row>
    <row r="113" spans="1:7">
      <c r="A113" s="561"/>
      <c r="B113" s="561" t="s">
        <v>226</v>
      </c>
      <c r="C113" s="561" t="s">
        <v>569</v>
      </c>
      <c r="D113" s="561" t="s">
        <v>150</v>
      </c>
      <c r="E113" s="561" t="s">
        <v>226</v>
      </c>
      <c r="F113" s="561">
        <v>2.73</v>
      </c>
      <c r="G113" s="561"/>
    </row>
    <row r="114" spans="1:7">
      <c r="A114" s="561"/>
      <c r="B114" s="561"/>
      <c r="C114" s="561" t="s">
        <v>570</v>
      </c>
      <c r="D114" s="561"/>
      <c r="E114" s="561"/>
      <c r="F114" s="561"/>
      <c r="G114" s="561"/>
    </row>
    <row r="115" spans="1:7">
      <c r="A115" s="561"/>
      <c r="B115" s="561"/>
      <c r="C115" s="561" t="s">
        <v>571</v>
      </c>
      <c r="D115" s="561"/>
      <c r="E115" s="561"/>
      <c r="F115" s="561"/>
      <c r="G115" s="561"/>
    </row>
    <row r="116" spans="1:7">
      <c r="A116" s="561"/>
      <c r="B116" s="561"/>
      <c r="C116" s="561" t="s">
        <v>572</v>
      </c>
      <c r="D116" s="561"/>
      <c r="E116" s="561" t="s">
        <v>226</v>
      </c>
      <c r="F116" s="561">
        <v>0.27</v>
      </c>
      <c r="G116" s="561"/>
    </row>
    <row r="117" spans="1:7">
      <c r="A117" s="561"/>
      <c r="B117" s="561"/>
      <c r="C117" s="561" t="s">
        <v>561</v>
      </c>
      <c r="D117" s="561"/>
      <c r="E117" s="561"/>
      <c r="F117" s="561">
        <v>2046.85</v>
      </c>
      <c r="G117" s="561"/>
    </row>
    <row r="118" spans="1:7">
      <c r="A118" s="561"/>
      <c r="B118" s="561"/>
      <c r="C118" s="561" t="s">
        <v>562</v>
      </c>
      <c r="D118" s="561"/>
      <c r="E118" s="561"/>
      <c r="F118" s="561">
        <v>682.28</v>
      </c>
      <c r="G118" s="561"/>
    </row>
    <row r="119" spans="1:7">
      <c r="A119" s="561"/>
      <c r="B119" s="561"/>
      <c r="C119" s="561"/>
      <c r="D119" s="561"/>
      <c r="E119" s="561"/>
      <c r="F119" s="561"/>
      <c r="G119" s="561"/>
    </row>
    <row r="120" spans="1:7">
      <c r="A120" s="561">
        <v>44.1</v>
      </c>
      <c r="B120" s="561" t="s">
        <v>249</v>
      </c>
      <c r="C120" s="561" t="s">
        <v>549</v>
      </c>
      <c r="D120" s="561"/>
      <c r="E120" s="561"/>
      <c r="F120" s="561"/>
      <c r="G120" s="561"/>
    </row>
    <row r="121" spans="1:7">
      <c r="A121" s="561"/>
      <c r="B121" s="561"/>
      <c r="C121" s="561" t="s">
        <v>550</v>
      </c>
      <c r="D121" s="561"/>
      <c r="E121" s="561"/>
      <c r="F121" s="561"/>
      <c r="G121" s="561"/>
    </row>
    <row r="122" spans="1:7">
      <c r="A122" s="561"/>
      <c r="B122" s="561"/>
      <c r="C122" s="561" t="s">
        <v>551</v>
      </c>
      <c r="D122" s="561"/>
      <c r="E122" s="561"/>
      <c r="F122" s="561"/>
      <c r="G122" s="561"/>
    </row>
    <row r="123" spans="1:7">
      <c r="A123" s="561"/>
      <c r="B123" s="561"/>
      <c r="C123" s="561" t="s">
        <v>21</v>
      </c>
      <c r="D123" s="561"/>
      <c r="E123" s="561"/>
      <c r="F123" s="561"/>
      <c r="G123" s="561"/>
    </row>
    <row r="124" spans="1:7">
      <c r="A124" s="561">
        <v>3</v>
      </c>
      <c r="B124" s="561" t="s">
        <v>552</v>
      </c>
      <c r="C124" s="561" t="s">
        <v>553</v>
      </c>
      <c r="D124" s="561">
        <v>120.54</v>
      </c>
      <c r="E124" s="561" t="s">
        <v>552</v>
      </c>
      <c r="F124" s="561">
        <v>361.62</v>
      </c>
      <c r="G124" s="561"/>
    </row>
    <row r="125" spans="1:7">
      <c r="A125" s="561">
        <v>1</v>
      </c>
      <c r="B125" s="561" t="s">
        <v>153</v>
      </c>
      <c r="C125" s="561" t="s">
        <v>554</v>
      </c>
      <c r="D125" s="561">
        <v>76</v>
      </c>
      <c r="E125" s="561" t="s">
        <v>153</v>
      </c>
      <c r="F125" s="561">
        <v>76</v>
      </c>
      <c r="G125" s="561"/>
    </row>
    <row r="126" spans="1:7">
      <c r="A126" s="561">
        <v>1</v>
      </c>
      <c r="B126" s="561" t="s">
        <v>153</v>
      </c>
      <c r="C126" s="561" t="s">
        <v>555</v>
      </c>
      <c r="D126" s="561">
        <v>79.5</v>
      </c>
      <c r="E126" s="561" t="s">
        <v>153</v>
      </c>
      <c r="F126" s="561">
        <v>79.5</v>
      </c>
      <c r="G126" s="561"/>
    </row>
    <row r="127" spans="1:7">
      <c r="A127" s="561">
        <v>2</v>
      </c>
      <c r="B127" s="561" t="s">
        <v>153</v>
      </c>
      <c r="C127" s="561" t="s">
        <v>556</v>
      </c>
      <c r="D127" s="561">
        <v>21.4</v>
      </c>
      <c r="E127" s="561" t="s">
        <v>153</v>
      </c>
      <c r="F127" s="561">
        <v>42.8</v>
      </c>
      <c r="G127" s="561"/>
    </row>
    <row r="128" spans="1:7">
      <c r="A128" s="561">
        <v>1</v>
      </c>
      <c r="B128" s="561" t="s">
        <v>153</v>
      </c>
      <c r="C128" s="561" t="s">
        <v>557</v>
      </c>
      <c r="D128" s="561">
        <v>31.8</v>
      </c>
      <c r="E128" s="561" t="s">
        <v>153</v>
      </c>
      <c r="F128" s="561">
        <v>31.8</v>
      </c>
      <c r="G128" s="561"/>
    </row>
    <row r="129" spans="1:7">
      <c r="A129" s="561">
        <v>0.5</v>
      </c>
      <c r="B129" s="561" t="s">
        <v>153</v>
      </c>
      <c r="C129" s="561" t="s">
        <v>558</v>
      </c>
      <c r="D129" s="561">
        <v>1045.8</v>
      </c>
      <c r="E129" s="561" t="s">
        <v>153</v>
      </c>
      <c r="F129" s="561">
        <v>522.9</v>
      </c>
      <c r="G129" s="561"/>
    </row>
    <row r="130" spans="1:7">
      <c r="A130" s="561"/>
      <c r="B130" s="561" t="s">
        <v>226</v>
      </c>
      <c r="C130" s="561" t="s">
        <v>559</v>
      </c>
      <c r="D130" s="561"/>
      <c r="E130" s="561" t="s">
        <v>226</v>
      </c>
      <c r="F130" s="561"/>
      <c r="G130" s="561"/>
    </row>
    <row r="131" spans="1:7">
      <c r="A131" s="561"/>
      <c r="B131" s="561"/>
      <c r="C131" s="561" t="s">
        <v>560</v>
      </c>
      <c r="D131" s="561"/>
      <c r="E131" s="561"/>
      <c r="F131" s="561"/>
      <c r="G131" s="561"/>
    </row>
    <row r="132" spans="1:7">
      <c r="A132" s="561"/>
      <c r="B132" s="561"/>
      <c r="C132" s="561" t="s">
        <v>561</v>
      </c>
      <c r="D132" s="561"/>
      <c r="E132" s="561"/>
      <c r="F132" s="561">
        <v>1114.6199999999999</v>
      </c>
      <c r="G132" s="561"/>
    </row>
    <row r="133" spans="1:7">
      <c r="A133" s="561"/>
      <c r="B133" s="561"/>
      <c r="C133" s="561" t="s">
        <v>562</v>
      </c>
      <c r="D133" s="561"/>
      <c r="E133" s="561"/>
      <c r="F133" s="561">
        <v>371.54</v>
      </c>
      <c r="G133" s="561"/>
    </row>
    <row r="134" spans="1:7" ht="30.4" customHeight="1">
      <c r="A134" s="561"/>
      <c r="B134" s="561"/>
      <c r="C134" s="561"/>
      <c r="D134" s="561"/>
      <c r="E134" s="561"/>
      <c r="F134" s="561"/>
      <c r="G134" s="561"/>
    </row>
    <row r="135" spans="1:7">
      <c r="A135" s="561">
        <v>29.5</v>
      </c>
      <c r="B135" s="561" t="s">
        <v>249</v>
      </c>
      <c r="C135" s="561" t="s">
        <v>1880</v>
      </c>
      <c r="D135" s="561"/>
      <c r="E135" s="561"/>
      <c r="F135" s="561"/>
      <c r="G135" s="561"/>
    </row>
    <row r="136" spans="1:7">
      <c r="A136" s="561"/>
      <c r="B136" s="561"/>
      <c r="C136" s="561" t="s">
        <v>1881</v>
      </c>
      <c r="D136" s="561"/>
      <c r="E136" s="561"/>
      <c r="F136" s="561"/>
      <c r="G136" s="561"/>
    </row>
    <row r="137" spans="1:7">
      <c r="A137" s="561"/>
      <c r="B137" s="561"/>
      <c r="C137" s="561" t="s">
        <v>1882</v>
      </c>
      <c r="D137" s="561"/>
      <c r="E137" s="561"/>
      <c r="F137" s="561"/>
      <c r="G137" s="561"/>
    </row>
    <row r="138" spans="1:7" ht="15.6" customHeight="1">
      <c r="A138" s="561">
        <v>10</v>
      </c>
      <c r="B138" s="561" t="s">
        <v>152</v>
      </c>
      <c r="C138" s="561" t="s">
        <v>1883</v>
      </c>
      <c r="D138" s="561">
        <v>363.34</v>
      </c>
      <c r="E138" s="561" t="s">
        <v>152</v>
      </c>
      <c r="F138" s="561">
        <v>3633.4</v>
      </c>
      <c r="G138" s="561"/>
    </row>
    <row r="139" spans="1:7">
      <c r="A139" s="561">
        <v>0.21</v>
      </c>
      <c r="B139" s="561" t="s">
        <v>151</v>
      </c>
      <c r="C139" s="561" t="s">
        <v>298</v>
      </c>
      <c r="D139" s="561">
        <v>5207.9799999999996</v>
      </c>
      <c r="E139" s="561" t="s">
        <v>151</v>
      </c>
      <c r="F139" s="561">
        <v>1093.68</v>
      </c>
      <c r="G139" s="561"/>
    </row>
    <row r="140" spans="1:7">
      <c r="A140" s="561"/>
      <c r="B140" s="561"/>
      <c r="C140" s="561" t="s">
        <v>1860</v>
      </c>
      <c r="D140" s="561" t="s">
        <v>150</v>
      </c>
      <c r="E140" s="561"/>
      <c r="F140" s="561" t="s">
        <v>150</v>
      </c>
      <c r="G140" s="561"/>
    </row>
    <row r="141" spans="1:7">
      <c r="A141" s="561">
        <v>1.1000000000000001</v>
      </c>
      <c r="B141" s="561" t="s">
        <v>4</v>
      </c>
      <c r="C141" s="561" t="s">
        <v>269</v>
      </c>
      <c r="D141" s="561">
        <v>1205.4000000000001</v>
      </c>
      <c r="E141" s="561" t="s">
        <v>4</v>
      </c>
      <c r="F141" s="561">
        <v>1325.94</v>
      </c>
      <c r="G141" s="561"/>
    </row>
    <row r="142" spans="1:7">
      <c r="A142" s="561">
        <v>1.1000000000000001</v>
      </c>
      <c r="B142" s="561" t="s">
        <v>4</v>
      </c>
      <c r="C142" s="561" t="s">
        <v>234</v>
      </c>
      <c r="D142" s="561">
        <v>1125.5999999999999</v>
      </c>
      <c r="E142" s="561" t="s">
        <v>4</v>
      </c>
      <c r="F142" s="561">
        <v>1238.1600000000001</v>
      </c>
      <c r="G142" s="561"/>
    </row>
    <row r="143" spans="1:7">
      <c r="A143" s="561">
        <v>2.2000000000000002</v>
      </c>
      <c r="B143" s="561" t="s">
        <v>4</v>
      </c>
      <c r="C143" s="561" t="s">
        <v>235</v>
      </c>
      <c r="D143" s="561">
        <v>786.8</v>
      </c>
      <c r="E143" s="561" t="s">
        <v>4</v>
      </c>
      <c r="F143" s="561">
        <v>1730.96</v>
      </c>
      <c r="G143" s="561"/>
    </row>
    <row r="144" spans="1:7">
      <c r="A144" s="561">
        <v>2.2000000000000002</v>
      </c>
      <c r="B144" s="561" t="s">
        <v>4</v>
      </c>
      <c r="C144" s="561" t="s">
        <v>236</v>
      </c>
      <c r="D144" s="561">
        <v>645.4</v>
      </c>
      <c r="E144" s="561" t="s">
        <v>4</v>
      </c>
      <c r="F144" s="561">
        <v>1419.88</v>
      </c>
      <c r="G144" s="561"/>
    </row>
    <row r="145" spans="1:7">
      <c r="A145" s="561">
        <v>20</v>
      </c>
      <c r="B145" s="561" t="s">
        <v>13</v>
      </c>
      <c r="C145" s="561" t="s">
        <v>252</v>
      </c>
      <c r="D145" s="561">
        <v>5960</v>
      </c>
      <c r="E145" s="561" t="s">
        <v>251</v>
      </c>
      <c r="F145" s="561">
        <v>119.2</v>
      </c>
      <c r="G145" s="561"/>
    </row>
    <row r="146" spans="1:7">
      <c r="A146" s="561">
        <v>2</v>
      </c>
      <c r="B146" s="561" t="s">
        <v>13</v>
      </c>
      <c r="C146" s="561" t="s">
        <v>1886</v>
      </c>
      <c r="D146" s="561">
        <v>36.1</v>
      </c>
      <c r="E146" s="561" t="s">
        <v>13</v>
      </c>
      <c r="F146" s="561">
        <v>72.2</v>
      </c>
      <c r="G146" s="561"/>
    </row>
    <row r="147" spans="1:7">
      <c r="A147" s="561">
        <v>1.6</v>
      </c>
      <c r="B147" s="561" t="s">
        <v>4</v>
      </c>
      <c r="C147" s="561" t="s">
        <v>234</v>
      </c>
      <c r="D147" s="561">
        <v>1125.5999999999999</v>
      </c>
      <c r="E147" s="561" t="s">
        <v>4</v>
      </c>
      <c r="F147" s="561">
        <v>1800.96</v>
      </c>
      <c r="G147" s="561"/>
    </row>
    <row r="148" spans="1:7">
      <c r="A148" s="561">
        <v>0.5</v>
      </c>
      <c r="B148" s="561" t="s">
        <v>4</v>
      </c>
      <c r="C148" s="561" t="s">
        <v>235</v>
      </c>
      <c r="D148" s="561">
        <v>786.8</v>
      </c>
      <c r="E148" s="561" t="s">
        <v>4</v>
      </c>
      <c r="F148" s="561">
        <v>393.4</v>
      </c>
      <c r="G148" s="561"/>
    </row>
    <row r="149" spans="1:7">
      <c r="A149" s="561">
        <v>1.1000000000000001</v>
      </c>
      <c r="B149" s="561" t="s">
        <v>4</v>
      </c>
      <c r="C149" s="561" t="s">
        <v>236</v>
      </c>
      <c r="D149" s="561">
        <v>645.4</v>
      </c>
      <c r="E149" s="561" t="s">
        <v>4</v>
      </c>
      <c r="F149" s="561">
        <v>709.94</v>
      </c>
      <c r="G149" s="561"/>
    </row>
    <row r="150" spans="1:7">
      <c r="A150" s="561"/>
      <c r="B150" s="561" t="s">
        <v>226</v>
      </c>
      <c r="C150" s="561" t="s">
        <v>237</v>
      </c>
      <c r="D150" s="561"/>
      <c r="E150" s="561" t="s">
        <v>226</v>
      </c>
      <c r="F150" s="561">
        <v>0</v>
      </c>
      <c r="G150" s="561"/>
    </row>
    <row r="151" spans="1:7">
      <c r="A151" s="561"/>
      <c r="B151" s="561"/>
      <c r="C151" s="561" t="s">
        <v>238</v>
      </c>
      <c r="D151" s="561"/>
      <c r="E151" s="561"/>
      <c r="F151" s="561">
        <v>13537.72</v>
      </c>
      <c r="G151" s="561"/>
    </row>
    <row r="152" spans="1:7">
      <c r="A152" s="561"/>
      <c r="B152" s="561"/>
      <c r="C152" s="561" t="s">
        <v>155</v>
      </c>
      <c r="D152" s="561"/>
      <c r="E152" s="561"/>
      <c r="F152" s="561">
        <v>1353.77</v>
      </c>
      <c r="G152" s="561"/>
    </row>
    <row r="153" spans="1:7">
      <c r="A153" s="561"/>
      <c r="B153" s="561"/>
      <c r="C153" s="561"/>
      <c r="D153" s="561"/>
      <c r="E153" s="561"/>
      <c r="F153" s="561"/>
      <c r="G153" s="561"/>
    </row>
    <row r="154" spans="1:7">
      <c r="A154" s="561">
        <v>29.4</v>
      </c>
      <c r="B154" s="561" t="s">
        <v>249</v>
      </c>
      <c r="C154" s="561" t="s">
        <v>1893</v>
      </c>
      <c r="D154" s="561"/>
      <c r="E154" s="561"/>
      <c r="F154" s="561"/>
      <c r="G154" s="561"/>
    </row>
    <row r="155" spans="1:7">
      <c r="A155" s="561"/>
      <c r="B155" s="561"/>
      <c r="C155" s="561" t="s">
        <v>1895</v>
      </c>
      <c r="D155" s="561"/>
      <c r="E155" s="561"/>
      <c r="F155" s="561"/>
      <c r="G155" s="561"/>
    </row>
    <row r="156" spans="1:7">
      <c r="A156" s="561">
        <v>1.86</v>
      </c>
      <c r="B156" s="561" t="s">
        <v>152</v>
      </c>
      <c r="C156" s="561" t="s">
        <v>1896</v>
      </c>
      <c r="D156" s="561">
        <v>400</v>
      </c>
      <c r="E156" s="561" t="s">
        <v>152</v>
      </c>
      <c r="F156" s="561">
        <v>744</v>
      </c>
      <c r="G156" s="561"/>
    </row>
    <row r="157" spans="1:7">
      <c r="A157" s="561">
        <v>0.4</v>
      </c>
      <c r="B157" s="561" t="s">
        <v>13</v>
      </c>
      <c r="C157" s="561" t="s">
        <v>1864</v>
      </c>
      <c r="D157" s="561">
        <v>36.1</v>
      </c>
      <c r="E157" s="561" t="s">
        <v>13</v>
      </c>
      <c r="F157" s="561">
        <v>14.44</v>
      </c>
      <c r="G157" s="561"/>
    </row>
    <row r="158" spans="1:7">
      <c r="A158" s="561">
        <v>0.02</v>
      </c>
      <c r="B158" s="561" t="s">
        <v>151</v>
      </c>
      <c r="C158" s="561" t="s">
        <v>1892</v>
      </c>
      <c r="D158" s="561">
        <v>6638.38</v>
      </c>
      <c r="E158" s="561" t="s">
        <v>151</v>
      </c>
      <c r="F158" s="561">
        <v>132.77000000000001</v>
      </c>
      <c r="G158" s="561"/>
    </row>
    <row r="159" spans="1:7">
      <c r="A159" s="561">
        <v>1</v>
      </c>
      <c r="B159" s="561" t="s">
        <v>4</v>
      </c>
      <c r="C159" s="561" t="s">
        <v>269</v>
      </c>
      <c r="D159" s="561">
        <v>1205.4000000000001</v>
      </c>
      <c r="E159" s="561" t="s">
        <v>4</v>
      </c>
      <c r="F159" s="561">
        <v>1205.4000000000001</v>
      </c>
      <c r="G159" s="561"/>
    </row>
    <row r="160" spans="1:7">
      <c r="A160" s="561">
        <v>1</v>
      </c>
      <c r="B160" s="561" t="s">
        <v>4</v>
      </c>
      <c r="C160" s="561" t="s">
        <v>1894</v>
      </c>
      <c r="D160" s="561">
        <v>786.8</v>
      </c>
      <c r="E160" s="561" t="s">
        <v>4</v>
      </c>
      <c r="F160" s="561">
        <v>786.8</v>
      </c>
      <c r="G160" s="561"/>
    </row>
    <row r="161" spans="1:7">
      <c r="A161" s="561"/>
      <c r="B161" s="561" t="s">
        <v>226</v>
      </c>
      <c r="C161" s="561" t="s">
        <v>237</v>
      </c>
      <c r="D161" s="561"/>
      <c r="E161" s="561" t="s">
        <v>226</v>
      </c>
      <c r="F161" s="561"/>
      <c r="G161" s="561"/>
    </row>
    <row r="162" spans="1:7">
      <c r="A162" s="561"/>
      <c r="B162" s="561"/>
      <c r="C162" s="561" t="s">
        <v>1897</v>
      </c>
      <c r="D162" s="561"/>
      <c r="E162" s="561"/>
      <c r="F162" s="561">
        <v>2883.41</v>
      </c>
      <c r="G162" s="561"/>
    </row>
    <row r="163" spans="1:7">
      <c r="A163" s="561"/>
      <c r="B163" s="561"/>
      <c r="C163" s="561" t="s">
        <v>155</v>
      </c>
      <c r="D163" s="561"/>
      <c r="E163" s="561"/>
      <c r="F163" s="561">
        <v>1550.22</v>
      </c>
      <c r="G163" s="561"/>
    </row>
    <row r="164" spans="1:7">
      <c r="A164" s="561"/>
      <c r="B164" s="561"/>
      <c r="C164" s="561"/>
      <c r="D164" s="561"/>
      <c r="E164" s="561"/>
      <c r="F164" s="561"/>
      <c r="G164" s="561"/>
    </row>
    <row r="165" spans="1:7">
      <c r="A165" s="561"/>
      <c r="B165" s="561"/>
      <c r="C165" s="561" t="s">
        <v>1582</v>
      </c>
      <c r="D165" s="561"/>
      <c r="E165" s="561"/>
      <c r="F165" s="561"/>
      <c r="G165" s="561"/>
    </row>
    <row r="166" spans="1:7">
      <c r="A166" s="561"/>
      <c r="B166" s="561"/>
      <c r="C166" s="561" t="s">
        <v>2735</v>
      </c>
      <c r="D166" s="561"/>
      <c r="E166" s="561"/>
      <c r="F166" s="561"/>
      <c r="G166" s="561"/>
    </row>
    <row r="167" spans="1:7">
      <c r="A167" s="561"/>
      <c r="B167" s="561"/>
      <c r="C167" s="561" t="s">
        <v>2737</v>
      </c>
      <c r="D167" s="561"/>
      <c r="E167" s="561"/>
      <c r="F167" s="561"/>
      <c r="G167" s="561"/>
    </row>
    <row r="168" spans="1:7">
      <c r="A168" s="561">
        <v>0.1</v>
      </c>
      <c r="B168" s="561" t="s">
        <v>154</v>
      </c>
      <c r="C168" s="561" t="s">
        <v>536</v>
      </c>
      <c r="D168" s="561">
        <v>1064</v>
      </c>
      <c r="E168" s="561" t="s">
        <v>340</v>
      </c>
      <c r="F168" s="561">
        <v>106.4</v>
      </c>
      <c r="G168" s="561"/>
    </row>
    <row r="169" spans="1:7">
      <c r="A169" s="561">
        <v>0.1</v>
      </c>
      <c r="B169" s="561" t="s">
        <v>2739</v>
      </c>
      <c r="C169" s="561" t="s">
        <v>1830</v>
      </c>
      <c r="D169" s="561">
        <v>786.8</v>
      </c>
      <c r="E169" s="561" t="s">
        <v>340</v>
      </c>
      <c r="F169" s="561">
        <v>78.680000000000007</v>
      </c>
      <c r="G169" s="561"/>
    </row>
    <row r="170" spans="1:7">
      <c r="A170" s="561">
        <v>10</v>
      </c>
      <c r="B170" s="561" t="s">
        <v>2741</v>
      </c>
      <c r="C170" s="561" t="s">
        <v>3400</v>
      </c>
      <c r="D170" s="561">
        <v>18.3</v>
      </c>
      <c r="E170" s="561" t="s">
        <v>2743</v>
      </c>
      <c r="F170" s="561">
        <v>1.83</v>
      </c>
      <c r="G170" s="561"/>
    </row>
    <row r="171" spans="1:7" ht="15.6" customHeight="1">
      <c r="A171" s="561">
        <v>0.25</v>
      </c>
      <c r="B171" s="561" t="s">
        <v>154</v>
      </c>
      <c r="C171" s="561" t="s">
        <v>3401</v>
      </c>
      <c r="D171" s="561">
        <v>3.57</v>
      </c>
      <c r="E171" s="561" t="s">
        <v>340</v>
      </c>
      <c r="F171" s="561">
        <v>1</v>
      </c>
      <c r="G171" s="561"/>
    </row>
    <row r="172" spans="1:7" ht="15.6" customHeight="1">
      <c r="A172" s="561"/>
      <c r="B172" s="561"/>
      <c r="C172" s="561"/>
      <c r="D172" s="561" t="s">
        <v>2749</v>
      </c>
      <c r="E172" s="561"/>
      <c r="F172" s="561">
        <v>187.91</v>
      </c>
      <c r="G172" s="561"/>
    </row>
    <row r="173" spans="1:7">
      <c r="A173" s="561"/>
      <c r="B173" s="561"/>
      <c r="C173" s="561"/>
      <c r="D173" s="561"/>
      <c r="E173" s="561"/>
      <c r="F173" s="561"/>
      <c r="G173" s="561"/>
    </row>
    <row r="174" spans="1:7">
      <c r="A174" s="561"/>
      <c r="B174" s="561"/>
      <c r="C174" s="561" t="s">
        <v>2624</v>
      </c>
      <c r="D174" s="561" t="s">
        <v>2751</v>
      </c>
      <c r="E174" s="561"/>
      <c r="F174" s="561" t="s">
        <v>2752</v>
      </c>
      <c r="G174" s="561"/>
    </row>
    <row r="175" spans="1:7">
      <c r="A175" s="561"/>
      <c r="B175" s="561"/>
      <c r="C175" s="561"/>
      <c r="D175" s="561">
        <v>331</v>
      </c>
      <c r="E175" s="561"/>
      <c r="F175" s="561">
        <v>283</v>
      </c>
      <c r="G175" s="561"/>
    </row>
    <row r="176" spans="1:7">
      <c r="A176" s="561"/>
      <c r="B176" s="561"/>
      <c r="C176" s="561" t="s">
        <v>2754</v>
      </c>
      <c r="D176" s="561">
        <v>187.91</v>
      </c>
      <c r="E176" s="561"/>
      <c r="F176" s="561">
        <v>187.91</v>
      </c>
      <c r="G176" s="561"/>
    </row>
    <row r="177" spans="1:7">
      <c r="A177" s="561"/>
      <c r="B177" s="561"/>
      <c r="C177" s="561" t="s">
        <v>2379</v>
      </c>
      <c r="D177" s="561">
        <v>518.91</v>
      </c>
      <c r="E177" s="561"/>
      <c r="F177" s="561">
        <v>470.91</v>
      </c>
      <c r="G177" s="561"/>
    </row>
    <row r="178" spans="1:7">
      <c r="A178" s="561"/>
      <c r="B178" s="561"/>
      <c r="C178" s="561"/>
      <c r="D178" s="561">
        <v>519</v>
      </c>
      <c r="E178" s="561"/>
      <c r="F178" s="561">
        <v>471</v>
      </c>
      <c r="G178" s="561"/>
    </row>
    <row r="179" spans="1:7">
      <c r="A179" s="561"/>
      <c r="B179" s="561"/>
      <c r="C179" s="561"/>
      <c r="D179" s="561"/>
      <c r="E179" s="561"/>
      <c r="F179" s="561"/>
      <c r="G179" s="561"/>
    </row>
    <row r="180" spans="1:7">
      <c r="A180" s="561">
        <v>52</v>
      </c>
      <c r="B180" s="561" t="s">
        <v>249</v>
      </c>
      <c r="C180" s="561" t="s">
        <v>2183</v>
      </c>
      <c r="D180" s="561"/>
      <c r="E180" s="561"/>
      <c r="F180" s="561"/>
      <c r="G180" s="561"/>
    </row>
    <row r="181" spans="1:7">
      <c r="A181" s="561"/>
      <c r="B181" s="561"/>
      <c r="C181" s="561" t="s">
        <v>2184</v>
      </c>
      <c r="D181" s="561"/>
      <c r="E181" s="561"/>
      <c r="F181" s="561"/>
      <c r="G181" s="561"/>
    </row>
    <row r="182" spans="1:7" ht="15.6" customHeight="1">
      <c r="A182" s="561"/>
      <c r="B182" s="561"/>
      <c r="C182" s="561" t="s">
        <v>2186</v>
      </c>
      <c r="D182" s="561"/>
      <c r="E182" s="561"/>
      <c r="F182" s="561"/>
      <c r="G182" s="561"/>
    </row>
    <row r="183" spans="1:7">
      <c r="A183" s="561"/>
      <c r="B183" s="561"/>
      <c r="C183" s="561" t="s">
        <v>2188</v>
      </c>
      <c r="D183" s="561"/>
      <c r="E183" s="561"/>
      <c r="F183" s="561"/>
      <c r="G183" s="561"/>
    </row>
    <row r="184" spans="1:7">
      <c r="A184" s="561"/>
      <c r="B184" s="561"/>
      <c r="C184" s="561" t="s">
        <v>2189</v>
      </c>
      <c r="D184" s="561"/>
      <c r="E184" s="561"/>
      <c r="F184" s="561"/>
      <c r="G184" s="561"/>
    </row>
    <row r="185" spans="1:7">
      <c r="A185" s="561"/>
      <c r="B185" s="561"/>
      <c r="C185" s="561" t="s">
        <v>2190</v>
      </c>
      <c r="D185" s="561"/>
      <c r="E185" s="561"/>
      <c r="F185" s="561"/>
      <c r="G185" s="561"/>
    </row>
    <row r="186" spans="1:7">
      <c r="A186" s="561"/>
      <c r="B186" s="561"/>
      <c r="C186" s="561" t="s">
        <v>2191</v>
      </c>
      <c r="D186" s="561"/>
      <c r="E186" s="561"/>
      <c r="F186" s="561"/>
      <c r="G186" s="561"/>
    </row>
    <row r="187" spans="1:7">
      <c r="A187" s="561"/>
      <c r="B187" s="561"/>
      <c r="C187" s="561" t="s">
        <v>2192</v>
      </c>
      <c r="D187" s="561"/>
      <c r="E187" s="561"/>
      <c r="F187" s="561"/>
      <c r="G187" s="561"/>
    </row>
    <row r="188" spans="1:7">
      <c r="A188" s="561"/>
      <c r="B188" s="561" t="s">
        <v>249</v>
      </c>
      <c r="C188" s="561" t="s">
        <v>513</v>
      </c>
      <c r="D188" s="561"/>
      <c r="E188" s="561"/>
      <c r="F188" s="561"/>
      <c r="G188" s="561"/>
    </row>
    <row r="189" spans="1:7">
      <c r="A189" s="561"/>
      <c r="B189" s="561"/>
      <c r="C189" s="561" t="s">
        <v>591</v>
      </c>
      <c r="D189" s="561"/>
      <c r="E189" s="561"/>
      <c r="F189" s="561"/>
      <c r="G189" s="561"/>
    </row>
    <row r="190" spans="1:7">
      <c r="A190" s="561"/>
      <c r="B190" s="561" t="s">
        <v>514</v>
      </c>
      <c r="C190" s="561" t="s">
        <v>515</v>
      </c>
      <c r="D190" s="561"/>
      <c r="E190" s="561"/>
      <c r="F190" s="561"/>
      <c r="G190" s="561"/>
    </row>
    <row r="191" spans="1:7">
      <c r="A191" s="561">
        <v>1</v>
      </c>
      <c r="B191" s="561" t="s">
        <v>303</v>
      </c>
      <c r="C191" s="561" t="s">
        <v>516</v>
      </c>
      <c r="D191" s="561">
        <v>26</v>
      </c>
      <c r="E191" s="561" t="s">
        <v>303</v>
      </c>
      <c r="F191" s="561">
        <v>26</v>
      </c>
      <c r="G191" s="561"/>
    </row>
    <row r="192" spans="1:7" ht="15.6" customHeight="1">
      <c r="A192" s="561">
        <v>1</v>
      </c>
      <c r="B192" s="561" t="s">
        <v>226</v>
      </c>
      <c r="C192" s="561" t="s">
        <v>517</v>
      </c>
      <c r="D192" s="561">
        <v>18.2</v>
      </c>
      <c r="E192" s="561" t="s">
        <v>226</v>
      </c>
      <c r="F192" s="561">
        <v>18.2</v>
      </c>
      <c r="G192" s="561"/>
    </row>
    <row r="193" spans="1:7">
      <c r="A193" s="561">
        <v>1</v>
      </c>
      <c r="B193" s="561" t="s">
        <v>303</v>
      </c>
      <c r="C193" s="561" t="s">
        <v>518</v>
      </c>
      <c r="D193" s="561">
        <v>217.84</v>
      </c>
      <c r="E193" s="561" t="s">
        <v>303</v>
      </c>
      <c r="F193" s="561">
        <v>217.84</v>
      </c>
      <c r="G193" s="561"/>
    </row>
    <row r="194" spans="1:7">
      <c r="A194" s="561"/>
      <c r="B194" s="561"/>
      <c r="C194" s="561" t="s">
        <v>519</v>
      </c>
      <c r="D194" s="561"/>
      <c r="E194" s="561"/>
      <c r="F194" s="561">
        <v>262.04000000000002</v>
      </c>
      <c r="G194" s="561"/>
    </row>
    <row r="195" spans="1:7">
      <c r="A195" s="561"/>
      <c r="B195" s="561"/>
      <c r="C195" s="561" t="s">
        <v>150</v>
      </c>
      <c r="D195" s="561" t="s">
        <v>150</v>
      </c>
      <c r="E195" s="561"/>
      <c r="F195" s="561"/>
      <c r="G195" s="561"/>
    </row>
    <row r="196" spans="1:7">
      <c r="A196" s="561"/>
      <c r="B196" s="561" t="s">
        <v>520</v>
      </c>
      <c r="C196" s="561" t="s">
        <v>521</v>
      </c>
      <c r="D196" s="561"/>
      <c r="E196" s="561"/>
      <c r="F196" s="561"/>
      <c r="G196" s="561"/>
    </row>
    <row r="197" spans="1:7">
      <c r="A197" s="561">
        <v>1</v>
      </c>
      <c r="B197" s="561" t="s">
        <v>303</v>
      </c>
      <c r="C197" s="561" t="s">
        <v>522</v>
      </c>
      <c r="D197" s="561">
        <v>35</v>
      </c>
      <c r="E197" s="561" t="s">
        <v>303</v>
      </c>
      <c r="F197" s="561">
        <v>35</v>
      </c>
      <c r="G197" s="561"/>
    </row>
    <row r="198" spans="1:7">
      <c r="A198" s="561">
        <v>1</v>
      </c>
      <c r="B198" s="561" t="s">
        <v>226</v>
      </c>
      <c r="C198" s="561" t="s">
        <v>523</v>
      </c>
      <c r="D198" s="561">
        <v>14</v>
      </c>
      <c r="E198" s="561" t="s">
        <v>226</v>
      </c>
      <c r="F198" s="561">
        <v>14</v>
      </c>
      <c r="G198" s="561"/>
    </row>
    <row r="199" spans="1:7">
      <c r="A199" s="561">
        <v>1</v>
      </c>
      <c r="B199" s="561" t="s">
        <v>303</v>
      </c>
      <c r="C199" s="561" t="s">
        <v>518</v>
      </c>
      <c r="D199" s="561">
        <v>217.83</v>
      </c>
      <c r="E199" s="561" t="s">
        <v>303</v>
      </c>
      <c r="F199" s="561">
        <v>217.83</v>
      </c>
      <c r="G199" s="561"/>
    </row>
    <row r="200" spans="1:7">
      <c r="A200" s="561"/>
      <c r="B200" s="561"/>
      <c r="C200" s="561" t="s">
        <v>519</v>
      </c>
      <c r="D200" s="561"/>
      <c r="E200" s="561"/>
      <c r="F200" s="561">
        <v>266.83</v>
      </c>
      <c r="G200" s="561"/>
    </row>
    <row r="201" spans="1:7">
      <c r="A201" s="561"/>
      <c r="B201" s="561"/>
      <c r="C201" s="561"/>
      <c r="D201" s="561" t="s">
        <v>150</v>
      </c>
      <c r="E201" s="561"/>
      <c r="F201" s="561"/>
      <c r="G201" s="561"/>
    </row>
    <row r="202" spans="1:7" ht="15.6" customHeight="1">
      <c r="A202" s="561"/>
      <c r="B202" s="561" t="s">
        <v>524</v>
      </c>
      <c r="C202" s="561" t="s">
        <v>525</v>
      </c>
      <c r="D202" s="561"/>
      <c r="E202" s="561"/>
      <c r="F202" s="561"/>
      <c r="G202" s="561"/>
    </row>
    <row r="203" spans="1:7">
      <c r="A203" s="561">
        <v>1</v>
      </c>
      <c r="B203" s="561" t="s">
        <v>303</v>
      </c>
      <c r="C203" s="561" t="s">
        <v>526</v>
      </c>
      <c r="D203" s="561">
        <v>52</v>
      </c>
      <c r="E203" s="561" t="s">
        <v>303</v>
      </c>
      <c r="F203" s="561">
        <v>52</v>
      </c>
      <c r="G203" s="561"/>
    </row>
    <row r="204" spans="1:7">
      <c r="A204" s="561">
        <v>1</v>
      </c>
      <c r="B204" s="561" t="s">
        <v>226</v>
      </c>
      <c r="C204" s="561" t="s">
        <v>527</v>
      </c>
      <c r="D204" s="561">
        <v>10.4</v>
      </c>
      <c r="E204" s="561" t="s">
        <v>226</v>
      </c>
      <c r="F204" s="561">
        <v>10.4</v>
      </c>
      <c r="G204" s="561"/>
    </row>
    <row r="205" spans="1:7">
      <c r="A205" s="561">
        <v>1</v>
      </c>
      <c r="B205" s="561" t="s">
        <v>303</v>
      </c>
      <c r="C205" s="561" t="s">
        <v>518</v>
      </c>
      <c r="D205" s="561">
        <v>221.66</v>
      </c>
      <c r="E205" s="561" t="s">
        <v>303</v>
      </c>
      <c r="F205" s="561">
        <v>221.66</v>
      </c>
      <c r="G205" s="561"/>
    </row>
    <row r="206" spans="1:7">
      <c r="A206" s="561"/>
      <c r="B206" s="561"/>
      <c r="C206" s="561" t="s">
        <v>519</v>
      </c>
      <c r="D206" s="561"/>
      <c r="E206" s="561"/>
      <c r="F206" s="561">
        <v>284.06</v>
      </c>
      <c r="G206" s="561"/>
    </row>
    <row r="207" spans="1:7">
      <c r="A207" s="561"/>
      <c r="B207" s="561"/>
      <c r="C207" s="561"/>
      <c r="D207" s="561"/>
      <c r="E207" s="561"/>
      <c r="F207" s="561"/>
      <c r="G207" s="561"/>
    </row>
    <row r="208" spans="1:7">
      <c r="A208" s="565"/>
      <c r="B208" s="565" t="s">
        <v>3402</v>
      </c>
      <c r="C208" s="565"/>
      <c r="D208" s="565"/>
      <c r="E208" s="565"/>
      <c r="F208" s="565"/>
      <c r="G208" s="565"/>
    </row>
    <row r="209" spans="1:7">
      <c r="A209" s="566">
        <v>38.86</v>
      </c>
      <c r="B209" s="566" t="s">
        <v>534</v>
      </c>
      <c r="C209" s="566" t="s">
        <v>3123</v>
      </c>
      <c r="D209" s="566">
        <v>301</v>
      </c>
      <c r="E209" s="566" t="s">
        <v>534</v>
      </c>
      <c r="F209" s="566">
        <f>A209*D209</f>
        <v>11696.86</v>
      </c>
      <c r="G209" s="566"/>
    </row>
    <row r="210" spans="1:7">
      <c r="A210" s="566">
        <v>2.4300000000000002</v>
      </c>
      <c r="B210" s="566" t="s">
        <v>533</v>
      </c>
      <c r="C210" s="566" t="s">
        <v>3403</v>
      </c>
      <c r="D210" s="566">
        <v>695</v>
      </c>
      <c r="E210" s="566" t="s">
        <v>533</v>
      </c>
      <c r="F210" s="566">
        <f t="shared" ref="F210:F217" si="0">A210*D210</f>
        <v>1688.8500000000001</v>
      </c>
      <c r="G210" s="566"/>
    </row>
    <row r="211" spans="1:7">
      <c r="A211" s="566">
        <v>4.8499999999999996</v>
      </c>
      <c r="B211" s="566" t="s">
        <v>533</v>
      </c>
      <c r="C211" s="566" t="s">
        <v>3044</v>
      </c>
      <c r="D211" s="566">
        <v>695</v>
      </c>
      <c r="E211" s="566" t="s">
        <v>4</v>
      </c>
      <c r="F211" s="566">
        <f t="shared" si="0"/>
        <v>3370.7499999999995</v>
      </c>
      <c r="G211" s="566"/>
    </row>
    <row r="212" spans="1:7">
      <c r="A212" s="565">
        <v>34.65</v>
      </c>
      <c r="B212" s="565" t="s">
        <v>303</v>
      </c>
      <c r="C212" s="565" t="s">
        <v>3060</v>
      </c>
      <c r="D212" s="565">
        <v>37.9</v>
      </c>
      <c r="E212" s="565" t="s">
        <v>303</v>
      </c>
      <c r="F212" s="565">
        <f t="shared" si="0"/>
        <v>1313.2349999999999</v>
      </c>
      <c r="G212" s="565"/>
    </row>
    <row r="213" spans="1:7">
      <c r="A213" s="565">
        <v>144</v>
      </c>
      <c r="B213" s="565" t="s">
        <v>295</v>
      </c>
      <c r="C213" s="565" t="s">
        <v>3124</v>
      </c>
      <c r="D213" s="565">
        <v>2.39</v>
      </c>
      <c r="E213" s="565" t="s">
        <v>68</v>
      </c>
      <c r="F213" s="565">
        <f t="shared" si="0"/>
        <v>344.16</v>
      </c>
      <c r="G213" s="565"/>
    </row>
    <row r="214" spans="1:7">
      <c r="A214" s="565">
        <v>12</v>
      </c>
      <c r="B214" s="565" t="s">
        <v>295</v>
      </c>
      <c r="C214" s="565" t="s">
        <v>3125</v>
      </c>
      <c r="D214" s="565">
        <v>4.84</v>
      </c>
      <c r="E214" s="565" t="s">
        <v>68</v>
      </c>
      <c r="F214" s="565">
        <f t="shared" si="0"/>
        <v>58.08</v>
      </c>
      <c r="G214" s="565"/>
    </row>
    <row r="215" spans="1:7">
      <c r="A215" s="565">
        <v>12</v>
      </c>
      <c r="B215" s="565" t="s">
        <v>295</v>
      </c>
      <c r="C215" s="565" t="s">
        <v>3126</v>
      </c>
      <c r="D215" s="565">
        <v>1.07</v>
      </c>
      <c r="E215" s="565" t="s">
        <v>68</v>
      </c>
      <c r="F215" s="565">
        <f t="shared" si="0"/>
        <v>12.84</v>
      </c>
      <c r="G215" s="565"/>
    </row>
    <row r="216" spans="1:7">
      <c r="A216" s="566">
        <v>2</v>
      </c>
      <c r="B216" s="566" t="s">
        <v>10</v>
      </c>
      <c r="C216" s="566" t="s">
        <v>3127</v>
      </c>
      <c r="D216" s="566">
        <v>11.8</v>
      </c>
      <c r="E216" s="566" t="s">
        <v>10</v>
      </c>
      <c r="F216" s="566">
        <f t="shared" si="0"/>
        <v>23.6</v>
      </c>
      <c r="G216" s="566"/>
    </row>
    <row r="217" spans="1:7">
      <c r="A217" s="565">
        <v>6.6150000000000002</v>
      </c>
      <c r="B217" s="565" t="s">
        <v>306</v>
      </c>
      <c r="C217" s="565" t="s">
        <v>2041</v>
      </c>
      <c r="D217" s="565">
        <f>F227</f>
        <v>2413</v>
      </c>
      <c r="E217" s="565" t="s">
        <v>306</v>
      </c>
      <c r="F217" s="565">
        <f t="shared" si="0"/>
        <v>15961.995000000001</v>
      </c>
      <c r="G217" s="565"/>
    </row>
    <row r="218" spans="1:7">
      <c r="A218" s="565"/>
      <c r="B218" s="565"/>
      <c r="C218" s="565"/>
      <c r="D218" s="565"/>
      <c r="E218" s="565"/>
      <c r="F218" s="565"/>
      <c r="G218" s="565"/>
    </row>
    <row r="219" spans="1:7">
      <c r="A219" s="565"/>
      <c r="B219" s="565"/>
      <c r="C219" s="565" t="s">
        <v>3128</v>
      </c>
      <c r="D219" s="565"/>
      <c r="E219" s="565"/>
      <c r="F219" s="565">
        <f>SUM(F209:F218)</f>
        <v>34470.370000000003</v>
      </c>
      <c r="G219" s="565"/>
    </row>
    <row r="220" spans="1:7">
      <c r="A220" s="565"/>
      <c r="B220" s="565"/>
      <c r="C220" s="565" t="s">
        <v>155</v>
      </c>
      <c r="D220" s="565"/>
      <c r="E220" s="565"/>
      <c r="F220" s="567">
        <f>F219/6.615</f>
        <v>5210.9402872260016</v>
      </c>
      <c r="G220" s="565"/>
    </row>
    <row r="221" spans="1:7">
      <c r="A221" s="565"/>
      <c r="B221" s="565"/>
      <c r="C221" s="565"/>
      <c r="D221" s="565"/>
      <c r="E221" s="565"/>
      <c r="F221" s="565"/>
      <c r="G221" s="565"/>
    </row>
    <row r="222" spans="1:7">
      <c r="A222" s="565">
        <v>1</v>
      </c>
      <c r="B222" s="565" t="s">
        <v>153</v>
      </c>
      <c r="C222" s="565" t="s">
        <v>3404</v>
      </c>
      <c r="D222" s="565">
        <v>1064</v>
      </c>
      <c r="E222" s="565" t="s">
        <v>153</v>
      </c>
      <c r="F222" s="565">
        <v>1064</v>
      </c>
      <c r="G222" s="565"/>
    </row>
    <row r="223" spans="1:7">
      <c r="A223" s="565">
        <v>1</v>
      </c>
      <c r="B223" s="565" t="s">
        <v>153</v>
      </c>
      <c r="C223" s="565" t="s">
        <v>3405</v>
      </c>
      <c r="D223" s="565">
        <v>786.2</v>
      </c>
      <c r="E223" s="565" t="s">
        <v>153</v>
      </c>
      <c r="F223" s="565">
        <f>D223</f>
        <v>786.2</v>
      </c>
      <c r="G223" s="565"/>
    </row>
    <row r="224" spans="1:7">
      <c r="A224" s="565">
        <v>0.5</v>
      </c>
      <c r="B224" s="565" t="s">
        <v>153</v>
      </c>
      <c r="C224" s="565" t="s">
        <v>3406</v>
      </c>
      <c r="D224" s="565">
        <v>1125.5999999999999</v>
      </c>
      <c r="E224" s="565" t="s">
        <v>153</v>
      </c>
      <c r="F224" s="565">
        <f>A224*D224</f>
        <v>562.79999999999995</v>
      </c>
      <c r="G224" s="565"/>
    </row>
    <row r="225" spans="1:10">
      <c r="A225" s="565"/>
      <c r="B225" s="565" t="s">
        <v>226</v>
      </c>
      <c r="C225" s="565"/>
      <c r="D225" s="565"/>
      <c r="E225" s="565" t="s">
        <v>226</v>
      </c>
      <c r="F225" s="565"/>
      <c r="G225" s="565"/>
    </row>
    <row r="226" spans="1:10">
      <c r="A226" s="565"/>
      <c r="B226" s="565"/>
      <c r="C226" s="565"/>
      <c r="D226" s="565"/>
      <c r="E226" s="565"/>
      <c r="F226" s="565" t="s">
        <v>21</v>
      </c>
      <c r="G226" s="565"/>
    </row>
    <row r="227" spans="1:10" ht="15.6" customHeight="1">
      <c r="A227" s="565"/>
      <c r="B227" s="565"/>
      <c r="C227" s="565"/>
      <c r="D227" s="565" t="s">
        <v>2047</v>
      </c>
      <c r="E227" s="565"/>
      <c r="F227" s="565">
        <f>SUM(F222:F226)</f>
        <v>2413</v>
      </c>
      <c r="G227" s="565"/>
    </row>
    <row r="228" spans="1:10">
      <c r="A228" s="561">
        <v>52.1</v>
      </c>
      <c r="B228" s="568" t="s">
        <v>2200</v>
      </c>
      <c r="C228" s="568"/>
      <c r="D228" s="561"/>
      <c r="E228" s="561"/>
      <c r="F228" s="561"/>
      <c r="G228" s="561"/>
    </row>
    <row r="229" spans="1:10">
      <c r="A229" s="561"/>
      <c r="B229" s="561"/>
      <c r="C229" s="561"/>
      <c r="D229" s="561"/>
      <c r="E229" s="561"/>
      <c r="F229" s="561"/>
      <c r="G229" s="561"/>
    </row>
    <row r="230" spans="1:10">
      <c r="A230" s="561"/>
      <c r="B230" s="561"/>
      <c r="C230" s="561" t="s">
        <v>1053</v>
      </c>
      <c r="D230" s="561"/>
      <c r="E230" s="561"/>
      <c r="F230" s="561"/>
      <c r="G230" s="561"/>
    </row>
    <row r="231" spans="1:10" s="29" customFormat="1">
      <c r="A231" s="561"/>
      <c r="B231" s="561"/>
      <c r="C231" s="561" t="s">
        <v>2201</v>
      </c>
      <c r="D231" s="561"/>
      <c r="E231" s="561"/>
      <c r="F231" s="561"/>
      <c r="G231" s="561"/>
    </row>
    <row r="232" spans="1:10" s="29" customFormat="1">
      <c r="A232" s="561"/>
      <c r="B232" s="561"/>
      <c r="C232" s="561" t="s">
        <v>21</v>
      </c>
      <c r="D232" s="561"/>
      <c r="E232" s="561"/>
      <c r="F232" s="561"/>
      <c r="G232" s="561"/>
    </row>
    <row r="233" spans="1:10" s="29" customFormat="1">
      <c r="A233" s="561">
        <v>30</v>
      </c>
      <c r="B233" s="561" t="s">
        <v>552</v>
      </c>
      <c r="C233" s="561" t="s">
        <v>2202</v>
      </c>
      <c r="D233" s="561">
        <v>15.53</v>
      </c>
      <c r="E233" s="561" t="s">
        <v>552</v>
      </c>
      <c r="F233" s="561">
        <v>465.9</v>
      </c>
      <c r="G233" s="561"/>
    </row>
    <row r="234" spans="1:10" s="29" customFormat="1">
      <c r="A234" s="561">
        <v>8</v>
      </c>
      <c r="B234" s="561" t="s">
        <v>153</v>
      </c>
      <c r="C234" s="561" t="s">
        <v>1069</v>
      </c>
      <c r="D234" s="561">
        <v>8.1</v>
      </c>
      <c r="E234" s="561" t="s">
        <v>153</v>
      </c>
      <c r="F234" s="561">
        <v>64.8</v>
      </c>
      <c r="G234" s="561"/>
    </row>
    <row r="235" spans="1:10" s="29" customFormat="1">
      <c r="A235" s="561">
        <v>8</v>
      </c>
      <c r="B235" s="561" t="s">
        <v>153</v>
      </c>
      <c r="C235" s="561" t="s">
        <v>1072</v>
      </c>
      <c r="D235" s="561">
        <v>11.7</v>
      </c>
      <c r="E235" s="561" t="s">
        <v>153</v>
      </c>
      <c r="F235" s="561">
        <v>93.6</v>
      </c>
      <c r="G235" s="561"/>
    </row>
    <row r="236" spans="1:10" s="29" customFormat="1">
      <c r="A236" s="561">
        <v>3</v>
      </c>
      <c r="B236" s="561" t="s">
        <v>153</v>
      </c>
      <c r="C236" s="561" t="s">
        <v>1133</v>
      </c>
      <c r="D236" s="561">
        <v>891.8</v>
      </c>
      <c r="E236" s="561" t="s">
        <v>153</v>
      </c>
      <c r="F236" s="561">
        <v>2675.4</v>
      </c>
      <c r="G236" s="561"/>
      <c r="J236" s="558"/>
    </row>
    <row r="237" spans="1:10" s="29" customFormat="1">
      <c r="A237" s="561">
        <v>1</v>
      </c>
      <c r="B237" s="561" t="s">
        <v>153</v>
      </c>
      <c r="C237" s="561" t="s">
        <v>2177</v>
      </c>
      <c r="D237" s="561">
        <v>1205.4000000000001</v>
      </c>
      <c r="E237" s="561" t="s">
        <v>153</v>
      </c>
      <c r="F237" s="561">
        <v>1205.4000000000001</v>
      </c>
      <c r="G237" s="561"/>
      <c r="J237" s="558"/>
    </row>
    <row r="238" spans="1:10" s="29" customFormat="1">
      <c r="A238" s="561">
        <v>2</v>
      </c>
      <c r="B238" s="561" t="s">
        <v>153</v>
      </c>
      <c r="C238" s="561" t="s">
        <v>235</v>
      </c>
      <c r="D238" s="561">
        <v>786.8</v>
      </c>
      <c r="E238" s="561" t="s">
        <v>153</v>
      </c>
      <c r="F238" s="561">
        <v>1573.6</v>
      </c>
      <c r="G238" s="561"/>
    </row>
    <row r="239" spans="1:10" s="29" customFormat="1" ht="15.6" customHeight="1">
      <c r="A239" s="561">
        <v>1</v>
      </c>
      <c r="B239" s="561" t="s">
        <v>153</v>
      </c>
      <c r="C239" s="561" t="s">
        <v>236</v>
      </c>
      <c r="D239" s="561">
        <v>645.4</v>
      </c>
      <c r="E239" s="561" t="s">
        <v>153</v>
      </c>
      <c r="F239" s="561">
        <v>645.4</v>
      </c>
      <c r="G239" s="561"/>
    </row>
    <row r="240" spans="1:10" s="29" customFormat="1">
      <c r="A240" s="561"/>
      <c r="B240" s="561"/>
      <c r="C240" s="561"/>
      <c r="D240" s="561"/>
      <c r="E240" s="561"/>
      <c r="F240" s="561" t="s">
        <v>21</v>
      </c>
      <c r="G240" s="561"/>
    </row>
    <row r="241" spans="1:7" s="29" customFormat="1">
      <c r="A241" s="561"/>
      <c r="B241" s="561"/>
      <c r="C241" s="561" t="s">
        <v>1139</v>
      </c>
      <c r="D241" s="561"/>
      <c r="E241" s="561"/>
      <c r="F241" s="561">
        <v>6724.1</v>
      </c>
      <c r="G241" s="561"/>
    </row>
    <row r="242" spans="1:7" s="29" customFormat="1">
      <c r="A242" s="561"/>
      <c r="B242" s="561"/>
      <c r="C242" s="561"/>
      <c r="D242" s="561"/>
      <c r="E242" s="561"/>
      <c r="F242" s="561" t="s">
        <v>21</v>
      </c>
      <c r="G242" s="561"/>
    </row>
    <row r="243" spans="1:7" s="29" customFormat="1">
      <c r="A243" s="561"/>
      <c r="B243" s="561"/>
      <c r="C243" s="561" t="s">
        <v>562</v>
      </c>
      <c r="D243" s="561"/>
      <c r="E243" s="561"/>
      <c r="F243" s="561">
        <v>224.14</v>
      </c>
      <c r="G243" s="561"/>
    </row>
    <row r="244" spans="1:7" s="29" customFormat="1">
      <c r="A244" s="561"/>
      <c r="B244" s="561"/>
      <c r="C244" s="561"/>
      <c r="D244" s="561"/>
      <c r="E244" s="561"/>
      <c r="F244" s="561" t="s">
        <v>21</v>
      </c>
      <c r="G244" s="561"/>
    </row>
    <row r="245" spans="1:7" s="29" customFormat="1">
      <c r="A245" s="561">
        <v>52</v>
      </c>
      <c r="B245" s="561" t="s">
        <v>249</v>
      </c>
      <c r="C245" s="561" t="s">
        <v>2183</v>
      </c>
      <c r="D245" s="561"/>
      <c r="E245" s="561"/>
      <c r="F245" s="561"/>
      <c r="G245" s="561"/>
    </row>
    <row r="246" spans="1:7" s="29" customFormat="1">
      <c r="A246" s="561"/>
      <c r="B246" s="561"/>
      <c r="C246" s="561" t="s">
        <v>2184</v>
      </c>
      <c r="D246" s="561"/>
      <c r="E246" s="561"/>
      <c r="F246" s="561"/>
      <c r="G246" s="561"/>
    </row>
    <row r="247" spans="1:7">
      <c r="A247" s="561"/>
      <c r="B247" s="561"/>
      <c r="C247" s="561" t="s">
        <v>2186</v>
      </c>
      <c r="D247" s="561"/>
      <c r="E247" s="561"/>
      <c r="F247" s="561"/>
      <c r="G247" s="561"/>
    </row>
    <row r="248" spans="1:7">
      <c r="A248" s="561"/>
      <c r="B248" s="561"/>
      <c r="C248" s="561" t="s">
        <v>2188</v>
      </c>
      <c r="D248" s="561"/>
      <c r="E248" s="561"/>
      <c r="F248" s="561"/>
      <c r="G248" s="561"/>
    </row>
    <row r="249" spans="1:7">
      <c r="A249" s="561"/>
      <c r="B249" s="561"/>
      <c r="C249" s="561" t="s">
        <v>2189</v>
      </c>
      <c r="D249" s="561"/>
      <c r="E249" s="561"/>
      <c r="F249" s="561"/>
      <c r="G249" s="561"/>
    </row>
    <row r="250" spans="1:7">
      <c r="A250" s="561"/>
      <c r="B250" s="561"/>
      <c r="C250" s="561" t="s">
        <v>2603</v>
      </c>
      <c r="D250" s="561"/>
      <c r="E250" s="561"/>
      <c r="F250" s="561"/>
      <c r="G250" s="561"/>
    </row>
    <row r="251" spans="1:7">
      <c r="A251" s="561"/>
      <c r="B251" s="561"/>
      <c r="C251" s="561" t="s">
        <v>2191</v>
      </c>
      <c r="D251" s="561"/>
      <c r="E251" s="561"/>
      <c r="F251" s="561"/>
      <c r="G251" s="561"/>
    </row>
    <row r="252" spans="1:7">
      <c r="A252" s="561"/>
      <c r="B252" s="561"/>
      <c r="C252" s="561" t="s">
        <v>2192</v>
      </c>
      <c r="D252" s="561"/>
      <c r="E252" s="561"/>
      <c r="F252" s="561"/>
      <c r="G252" s="561"/>
    </row>
    <row r="253" spans="1:7">
      <c r="A253" s="561"/>
      <c r="B253" s="561"/>
      <c r="C253" s="561" t="s">
        <v>156</v>
      </c>
      <c r="D253" s="561" t="s">
        <v>156</v>
      </c>
      <c r="E253" s="561"/>
      <c r="F253" s="561"/>
      <c r="G253" s="561"/>
    </row>
    <row r="254" spans="1:7">
      <c r="A254" s="561"/>
      <c r="B254" s="561" t="s">
        <v>249</v>
      </c>
      <c r="C254" s="561" t="s">
        <v>513</v>
      </c>
      <c r="D254" s="561"/>
      <c r="E254" s="561"/>
      <c r="F254" s="561"/>
      <c r="G254" s="561"/>
    </row>
    <row r="255" spans="1:7">
      <c r="A255" s="561"/>
      <c r="B255" s="561"/>
      <c r="C255" s="561" t="s">
        <v>591</v>
      </c>
      <c r="D255" s="561"/>
      <c r="E255" s="561"/>
      <c r="F255" s="561"/>
      <c r="G255" s="561"/>
    </row>
    <row r="256" spans="1:7" ht="15.6" customHeight="1">
      <c r="A256" s="561"/>
      <c r="B256" s="561" t="s">
        <v>514</v>
      </c>
      <c r="C256" s="561" t="s">
        <v>515</v>
      </c>
      <c r="D256" s="561"/>
      <c r="E256" s="561"/>
      <c r="F256" s="561"/>
      <c r="G256" s="561"/>
    </row>
    <row r="257" spans="1:7">
      <c r="A257" s="561"/>
      <c r="B257" s="561"/>
      <c r="C257" s="561" t="s">
        <v>21</v>
      </c>
      <c r="D257" s="561"/>
      <c r="E257" s="561"/>
      <c r="F257" s="561"/>
      <c r="G257" s="561"/>
    </row>
    <row r="258" spans="1:7">
      <c r="A258" s="561">
        <v>1</v>
      </c>
      <c r="B258" s="561" t="s">
        <v>303</v>
      </c>
      <c r="C258" s="561" t="s">
        <v>516</v>
      </c>
      <c r="D258" s="561">
        <v>26</v>
      </c>
      <c r="E258" s="561" t="s">
        <v>303</v>
      </c>
      <c r="F258" s="561">
        <v>26</v>
      </c>
      <c r="G258" s="561"/>
    </row>
    <row r="259" spans="1:7">
      <c r="A259" s="561">
        <v>1</v>
      </c>
      <c r="B259" s="561" t="s">
        <v>226</v>
      </c>
      <c r="C259" s="561" t="s">
        <v>517</v>
      </c>
      <c r="D259" s="561">
        <v>18.2</v>
      </c>
      <c r="E259" s="561" t="s">
        <v>226</v>
      </c>
      <c r="F259" s="561">
        <v>18.2</v>
      </c>
      <c r="G259" s="561"/>
    </row>
    <row r="260" spans="1:7">
      <c r="A260" s="561">
        <v>1</v>
      </c>
      <c r="B260" s="561" t="s">
        <v>303</v>
      </c>
      <c r="C260" s="561" t="s">
        <v>518</v>
      </c>
      <c r="D260" s="561">
        <v>219.84</v>
      </c>
      <c r="E260" s="561" t="s">
        <v>303</v>
      </c>
      <c r="F260" s="561">
        <v>219.84</v>
      </c>
      <c r="G260" s="561"/>
    </row>
    <row r="261" spans="1:7">
      <c r="A261" s="561"/>
      <c r="B261" s="561"/>
      <c r="C261" s="561"/>
      <c r="D261" s="561" t="s">
        <v>150</v>
      </c>
      <c r="E261" s="561"/>
      <c r="F261" s="561"/>
      <c r="G261" s="561"/>
    </row>
    <row r="262" spans="1:7">
      <c r="A262" s="561"/>
      <c r="B262" s="561"/>
      <c r="C262" s="561" t="s">
        <v>519</v>
      </c>
      <c r="D262" s="561"/>
      <c r="E262" s="561"/>
      <c r="F262" s="561">
        <v>264.04000000000002</v>
      </c>
      <c r="G262" s="561"/>
    </row>
    <row r="263" spans="1:7">
      <c r="A263" s="561"/>
      <c r="B263" s="561"/>
      <c r="C263" s="561" t="s">
        <v>150</v>
      </c>
      <c r="D263" s="561" t="s">
        <v>150</v>
      </c>
      <c r="E263" s="561"/>
      <c r="F263" s="561" t="s">
        <v>156</v>
      </c>
      <c r="G263" s="561"/>
    </row>
    <row r="264" spans="1:7">
      <c r="A264" s="559"/>
      <c r="B264" s="49"/>
      <c r="D264" s="559"/>
      <c r="E264" s="559"/>
    </row>
    <row r="265" spans="1:7">
      <c r="A265" s="559"/>
      <c r="B265" s="49"/>
      <c r="D265" s="559"/>
      <c r="E265" s="559"/>
    </row>
    <row r="266" spans="1:7">
      <c r="A266" s="559"/>
      <c r="B266" s="49"/>
      <c r="D266" s="559"/>
      <c r="E266" s="559"/>
    </row>
    <row r="267" spans="1:7">
      <c r="A267" s="559"/>
      <c r="B267" s="49"/>
      <c r="D267" s="559"/>
      <c r="E267" s="559"/>
    </row>
    <row r="268" spans="1:7">
      <c r="A268" s="559"/>
      <c r="B268" s="49"/>
      <c r="D268" s="559"/>
      <c r="E268" s="559"/>
    </row>
    <row r="269" spans="1:7">
      <c r="A269" s="559"/>
      <c r="B269" s="49"/>
      <c r="D269" s="559"/>
      <c r="E269" s="559"/>
    </row>
    <row r="270" spans="1:7">
      <c r="A270" s="559"/>
      <c r="B270" s="49"/>
      <c r="D270" s="559"/>
      <c r="E270" s="559"/>
    </row>
    <row r="271" spans="1:7">
      <c r="A271" s="559"/>
      <c r="B271" s="49"/>
      <c r="D271" s="559"/>
      <c r="E271" s="559"/>
      <c r="F271" s="19"/>
    </row>
    <row r="272" spans="1:7">
      <c r="A272" s="559"/>
      <c r="B272" s="49"/>
      <c r="D272" s="559"/>
      <c r="E272" s="559"/>
    </row>
    <row r="273" spans="1:6">
      <c r="A273" s="559"/>
      <c r="B273" s="49"/>
      <c r="D273" s="559"/>
      <c r="E273" s="559"/>
    </row>
    <row r="274" spans="1:6">
      <c r="A274" s="559"/>
      <c r="B274" s="49"/>
      <c r="D274" s="559"/>
      <c r="E274" s="559"/>
    </row>
    <row r="275" spans="1:6">
      <c r="A275" s="559"/>
      <c r="B275" s="49"/>
      <c r="D275" s="559"/>
      <c r="E275" s="559"/>
    </row>
    <row r="276" spans="1:6">
      <c r="A276" s="559"/>
      <c r="B276" s="49"/>
      <c r="D276" s="559"/>
      <c r="E276" s="559"/>
    </row>
    <row r="277" spans="1:6">
      <c r="A277" s="559"/>
      <c r="B277" s="49"/>
      <c r="D277" s="559"/>
      <c r="E277" s="559"/>
    </row>
    <row r="278" spans="1:6">
      <c r="A278" s="559"/>
      <c r="B278" s="49"/>
      <c r="D278" s="559"/>
      <c r="E278" s="559"/>
    </row>
    <row r="279" spans="1:6">
      <c r="A279" s="559"/>
      <c r="B279" s="49"/>
      <c r="D279" s="559"/>
      <c r="E279" s="559"/>
    </row>
    <row r="280" spans="1:6">
      <c r="A280" s="559"/>
      <c r="B280" s="49"/>
      <c r="D280" s="559"/>
      <c r="E280" s="559"/>
      <c r="F280" s="19"/>
    </row>
    <row r="281" spans="1:6">
      <c r="A281" s="559"/>
      <c r="B281" s="49"/>
      <c r="D281" s="559"/>
      <c r="E281" s="559"/>
    </row>
    <row r="282" spans="1:6">
      <c r="A282" s="559"/>
      <c r="B282" s="49"/>
      <c r="D282" s="559"/>
      <c r="E282" s="559"/>
    </row>
    <row r="283" spans="1:6">
      <c r="A283" s="559"/>
      <c r="B283" s="49"/>
      <c r="D283" s="559"/>
      <c r="E283" s="559"/>
    </row>
    <row r="284" spans="1:6">
      <c r="A284" s="559"/>
      <c r="B284" s="49"/>
      <c r="D284" s="559"/>
      <c r="E284" s="559"/>
    </row>
    <row r="285" spans="1:6">
      <c r="A285" s="559"/>
      <c r="B285" s="49"/>
      <c r="D285" s="559"/>
      <c r="E285" s="559"/>
    </row>
    <row r="286" spans="1:6">
      <c r="A286" s="559"/>
      <c r="B286" s="49"/>
      <c r="D286" s="559"/>
      <c r="E286" s="559"/>
    </row>
    <row r="287" spans="1:6">
      <c r="A287" s="559"/>
      <c r="B287" s="49"/>
      <c r="D287" s="559"/>
      <c r="E287" s="559"/>
    </row>
    <row r="288" spans="1:6">
      <c r="A288" s="559"/>
      <c r="B288" s="49"/>
      <c r="D288" s="559"/>
      <c r="E288" s="559"/>
    </row>
    <row r="289" spans="1:6">
      <c r="A289" s="559"/>
      <c r="B289" s="49"/>
      <c r="D289" s="559"/>
      <c r="E289" s="559"/>
    </row>
    <row r="290" spans="1:6">
      <c r="A290" s="559"/>
      <c r="B290" s="49"/>
      <c r="D290" s="559"/>
      <c r="E290" s="559"/>
      <c r="F290" s="19"/>
    </row>
    <row r="291" spans="1:6">
      <c r="A291" s="559"/>
      <c r="B291" s="49"/>
      <c r="D291" s="559"/>
      <c r="E291" s="559"/>
    </row>
    <row r="292" spans="1:6">
      <c r="A292" s="559"/>
      <c r="B292" s="49"/>
      <c r="D292" s="559"/>
      <c r="E292" s="559"/>
    </row>
    <row r="293" spans="1:6">
      <c r="A293" s="559"/>
      <c r="B293" s="49"/>
      <c r="D293" s="559"/>
      <c r="E293" s="559"/>
    </row>
    <row r="294" spans="1:6">
      <c r="A294" s="559"/>
      <c r="B294" s="49"/>
      <c r="D294" s="559"/>
      <c r="E294" s="559"/>
    </row>
    <row r="295" spans="1:6">
      <c r="A295" s="559"/>
      <c r="B295" s="49"/>
      <c r="D295" s="559"/>
      <c r="E295" s="559"/>
    </row>
    <row r="296" spans="1:6">
      <c r="A296" s="559"/>
      <c r="B296" s="49"/>
      <c r="D296" s="559"/>
      <c r="E296" s="559"/>
    </row>
    <row r="297" spans="1:6">
      <c r="A297" s="559"/>
      <c r="B297" s="49"/>
      <c r="D297" s="559"/>
      <c r="E297" s="559"/>
    </row>
    <row r="298" spans="1:6">
      <c r="A298" s="559"/>
      <c r="B298" s="49"/>
      <c r="D298" s="559"/>
      <c r="E298" s="559"/>
    </row>
    <row r="299" spans="1:6">
      <c r="A299" s="559"/>
      <c r="B299" s="49"/>
      <c r="D299" s="559"/>
      <c r="E299" s="559"/>
      <c r="F299" s="19"/>
    </row>
    <row r="300" spans="1:6">
      <c r="A300" s="559"/>
      <c r="B300" s="49"/>
      <c r="D300" s="559"/>
      <c r="E300" s="559"/>
    </row>
    <row r="302" spans="1:6">
      <c r="A302" s="559"/>
      <c r="B302" s="49"/>
      <c r="D302" s="559"/>
      <c r="E302" s="559"/>
    </row>
    <row r="304" spans="1:6">
      <c r="A304" s="559"/>
      <c r="B304" s="49"/>
      <c r="D304" s="559"/>
      <c r="E304" s="559"/>
    </row>
    <row r="305" spans="1:6">
      <c r="A305" s="559"/>
      <c r="B305" s="49"/>
      <c r="D305" s="559"/>
      <c r="E305" s="559"/>
    </row>
    <row r="306" spans="1:6">
      <c r="A306" s="559"/>
      <c r="B306" s="49"/>
      <c r="D306" s="559"/>
      <c r="E306" s="559"/>
    </row>
    <row r="307" spans="1:6">
      <c r="A307" s="559"/>
      <c r="B307" s="49"/>
      <c r="D307" s="559"/>
      <c r="E307" s="559"/>
    </row>
    <row r="308" spans="1:6">
      <c r="A308" s="559"/>
      <c r="B308" s="49"/>
      <c r="D308" s="559"/>
      <c r="E308" s="559"/>
    </row>
    <row r="309" spans="1:6">
      <c r="A309" s="559"/>
      <c r="B309" s="49"/>
      <c r="D309" s="559"/>
      <c r="E309" s="559"/>
    </row>
    <row r="310" spans="1:6">
      <c r="A310" s="559"/>
      <c r="B310" s="49"/>
      <c r="D310" s="559"/>
      <c r="E310" s="559"/>
      <c r="F310" s="19"/>
    </row>
    <row r="312" spans="1:6">
      <c r="A312" s="559"/>
      <c r="B312" s="49"/>
      <c r="D312" s="559"/>
      <c r="E312" s="559"/>
      <c r="F312" s="19"/>
    </row>
    <row r="313" spans="1:6">
      <c r="A313" s="559"/>
      <c r="B313" s="49"/>
      <c r="D313" s="559"/>
      <c r="E313" s="559"/>
      <c r="F313" s="19"/>
    </row>
    <row r="314" spans="1:6">
      <c r="A314" s="559"/>
      <c r="B314" s="49"/>
      <c r="D314" s="559"/>
      <c r="E314" s="559"/>
    </row>
    <row r="315" spans="1:6">
      <c r="A315" s="559"/>
      <c r="B315" s="49"/>
      <c r="D315" s="559"/>
      <c r="E315" s="559"/>
    </row>
    <row r="316" spans="1:6">
      <c r="A316" s="559"/>
      <c r="B316" s="49"/>
      <c r="D316" s="559"/>
      <c r="E316" s="559"/>
    </row>
    <row r="317" spans="1:6">
      <c r="A317" s="559"/>
      <c r="B317" s="49"/>
      <c r="D317" s="559"/>
      <c r="E317" s="559"/>
    </row>
    <row r="318" spans="1:6">
      <c r="A318" s="559"/>
      <c r="B318" s="49"/>
      <c r="D318" s="559"/>
      <c r="E318" s="559"/>
    </row>
    <row r="319" spans="1:6">
      <c r="A319" s="559"/>
      <c r="B319" s="49"/>
      <c r="D319" s="559"/>
      <c r="E319" s="559"/>
    </row>
    <row r="320" spans="1:6">
      <c r="A320" s="559"/>
      <c r="B320" s="49"/>
      <c r="D320" s="559"/>
      <c r="E320" s="559"/>
    </row>
    <row r="321" spans="1:6">
      <c r="A321" s="559"/>
      <c r="B321" s="49"/>
      <c r="D321" s="559"/>
      <c r="E321" s="559"/>
    </row>
    <row r="322" spans="1:6">
      <c r="A322" s="559"/>
      <c r="B322" s="49"/>
      <c r="D322" s="559"/>
      <c r="E322" s="559"/>
      <c r="F322" s="19"/>
    </row>
    <row r="323" spans="1:6">
      <c r="A323" s="559"/>
      <c r="B323" s="49"/>
      <c r="D323" s="559"/>
      <c r="E323" s="559"/>
    </row>
    <row r="324" spans="1:6">
      <c r="A324" s="559"/>
      <c r="B324" s="49"/>
      <c r="D324" s="559"/>
      <c r="E324" s="559"/>
    </row>
    <row r="325" spans="1:6">
      <c r="A325" s="555"/>
      <c r="B325" s="556"/>
      <c r="C325" s="557"/>
      <c r="D325" s="559"/>
      <c r="E325" s="559"/>
    </row>
    <row r="326" spans="1:6">
      <c r="A326" s="559"/>
      <c r="B326" s="49"/>
      <c r="D326" s="559"/>
      <c r="E326" s="559"/>
    </row>
    <row r="327" spans="1:6">
      <c r="A327" s="559"/>
      <c r="B327" s="49"/>
      <c r="D327" s="559"/>
      <c r="E327" s="559"/>
    </row>
    <row r="328" spans="1:6">
      <c r="A328" s="559"/>
      <c r="B328" s="49"/>
      <c r="D328" s="559"/>
      <c r="E328" s="559"/>
    </row>
    <row r="329" spans="1:6">
      <c r="A329" s="559"/>
      <c r="B329" s="49"/>
      <c r="D329" s="559"/>
      <c r="E329" s="559"/>
    </row>
    <row r="330" spans="1:6">
      <c r="A330" s="559"/>
      <c r="B330" s="49"/>
      <c r="D330" s="559"/>
      <c r="E330" s="559"/>
    </row>
    <row r="331" spans="1:6">
      <c r="A331" s="559"/>
      <c r="B331" s="49"/>
      <c r="D331" s="559"/>
      <c r="E331" s="559"/>
    </row>
    <row r="332" spans="1:6">
      <c r="A332" s="559"/>
      <c r="B332" s="49"/>
      <c r="D332" s="559"/>
      <c r="E332" s="559"/>
    </row>
    <row r="333" spans="1:6">
      <c r="A333" s="559"/>
      <c r="B333" s="49"/>
      <c r="D333" s="559"/>
      <c r="E333" s="559"/>
    </row>
    <row r="334" spans="1:6">
      <c r="A334" s="559"/>
      <c r="B334" s="49"/>
      <c r="D334" s="559"/>
      <c r="E334" s="559"/>
    </row>
    <row r="335" spans="1:6">
      <c r="A335" s="559"/>
      <c r="B335" s="49"/>
      <c r="D335" s="559"/>
      <c r="E335" s="559"/>
    </row>
    <row r="336" spans="1:6">
      <c r="A336" s="559"/>
      <c r="B336" s="49"/>
      <c r="D336" s="559"/>
      <c r="E336" s="559"/>
    </row>
    <row r="337" spans="1:11">
      <c r="A337" s="559"/>
      <c r="B337" s="49"/>
      <c r="D337" s="559"/>
      <c r="E337" s="559"/>
      <c r="F337" s="19"/>
    </row>
    <row r="338" spans="1:11">
      <c r="A338" s="559"/>
      <c r="B338" s="49"/>
      <c r="D338" s="559"/>
      <c r="E338" s="559"/>
    </row>
    <row r="339" spans="1:11">
      <c r="A339" s="559"/>
      <c r="B339" s="49"/>
      <c r="D339" s="559"/>
      <c r="E339" s="559"/>
    </row>
    <row r="340" spans="1:11">
      <c r="A340" s="559"/>
      <c r="B340" s="49"/>
      <c r="D340" s="559"/>
      <c r="E340" s="559"/>
      <c r="K340" s="19"/>
    </row>
    <row r="341" spans="1:11">
      <c r="A341" s="559"/>
      <c r="B341" s="49"/>
      <c r="D341" s="559"/>
      <c r="E341" s="559"/>
    </row>
    <row r="342" spans="1:11">
      <c r="A342" s="559"/>
      <c r="B342" s="49"/>
      <c r="D342" s="559"/>
      <c r="E342" s="559"/>
    </row>
    <row r="343" spans="1:11">
      <c r="A343" s="559"/>
      <c r="B343" s="49"/>
      <c r="D343" s="559"/>
      <c r="E343" s="559"/>
      <c r="K343" s="11"/>
    </row>
    <row r="344" spans="1:11">
      <c r="A344" s="559"/>
      <c r="B344" s="49"/>
      <c r="D344" s="559"/>
      <c r="E344" s="559"/>
    </row>
    <row r="345" spans="1:11">
      <c r="A345" s="559"/>
      <c r="B345" s="49"/>
      <c r="D345" s="559"/>
      <c r="E345" s="559"/>
    </row>
    <row r="346" spans="1:11">
      <c r="A346" s="559"/>
      <c r="B346" s="49"/>
      <c r="D346" s="559"/>
      <c r="E346" s="559"/>
    </row>
    <row r="347" spans="1:11">
      <c r="A347" s="559"/>
      <c r="B347" s="49"/>
      <c r="D347" s="559"/>
      <c r="E347" s="559"/>
    </row>
    <row r="348" spans="1:11">
      <c r="A348" s="559"/>
      <c r="B348" s="49"/>
      <c r="D348" s="559"/>
      <c r="E348" s="559"/>
    </row>
    <row r="349" spans="1:11">
      <c r="A349" s="559"/>
      <c r="B349" s="49"/>
      <c r="D349" s="559"/>
      <c r="E349" s="559"/>
    </row>
    <row r="350" spans="1:11">
      <c r="A350" s="559"/>
      <c r="B350" s="49"/>
      <c r="D350" s="559"/>
      <c r="E350" s="559"/>
    </row>
    <row r="351" spans="1:11">
      <c r="A351" s="559"/>
      <c r="B351" s="49"/>
      <c r="D351" s="559"/>
      <c r="E351" s="559"/>
    </row>
    <row r="352" spans="1:11">
      <c r="A352" s="559"/>
      <c r="B352" s="49"/>
      <c r="D352" s="559"/>
      <c r="E352" s="559"/>
      <c r="F352" s="19"/>
    </row>
    <row r="353" spans="1:7">
      <c r="A353" s="559"/>
      <c r="B353" s="49"/>
      <c r="D353" s="559"/>
      <c r="E353" s="559"/>
    </row>
    <row r="354" spans="1:7">
      <c r="A354" s="559"/>
      <c r="B354" s="49"/>
      <c r="D354" s="559"/>
      <c r="E354" s="559"/>
    </row>
    <row r="355" spans="1:7">
      <c r="A355" s="559"/>
      <c r="B355" s="49"/>
      <c r="D355" s="559"/>
      <c r="E355" s="559"/>
    </row>
    <row r="356" spans="1:7">
      <c r="A356" s="559"/>
      <c r="B356" s="49"/>
      <c r="D356" s="559"/>
      <c r="E356" s="559"/>
    </row>
    <row r="357" spans="1:7">
      <c r="A357" s="562"/>
      <c r="B357" s="561"/>
      <c r="C357" s="563" t="s">
        <v>3318</v>
      </c>
      <c r="D357" s="562"/>
      <c r="E357" s="561"/>
      <c r="F357" s="562"/>
      <c r="G357" s="561"/>
    </row>
    <row r="358" spans="1:7">
      <c r="A358" s="562"/>
      <c r="B358" s="561"/>
      <c r="C358" s="561" t="s">
        <v>3319</v>
      </c>
      <c r="D358" s="562"/>
      <c r="E358" s="561"/>
      <c r="F358" s="562"/>
      <c r="G358" s="561"/>
    </row>
    <row r="359" spans="1:7">
      <c r="A359" s="562"/>
      <c r="B359" s="561"/>
      <c r="C359" s="2126" t="s">
        <v>3320</v>
      </c>
      <c r="D359" s="2126"/>
      <c r="E359" s="2126"/>
      <c r="F359" s="2126"/>
      <c r="G359" s="561"/>
    </row>
    <row r="360" spans="1:7" ht="31.5">
      <c r="A360" s="562">
        <v>90</v>
      </c>
      <c r="B360" s="561" t="s">
        <v>303</v>
      </c>
      <c r="C360" s="564" t="s">
        <v>3321</v>
      </c>
      <c r="D360" s="562">
        <v>15.5</v>
      </c>
      <c r="E360" s="561" t="s">
        <v>3322</v>
      </c>
      <c r="F360" s="562">
        <v>1395</v>
      </c>
      <c r="G360" s="561"/>
    </row>
    <row r="361" spans="1:7" ht="31.5">
      <c r="A361" s="562">
        <v>45</v>
      </c>
      <c r="B361" s="561" t="s">
        <v>303</v>
      </c>
      <c r="C361" s="564" t="s">
        <v>3323</v>
      </c>
      <c r="D361" s="562">
        <v>19.100000000000001</v>
      </c>
      <c r="E361" s="561" t="s">
        <v>2990</v>
      </c>
      <c r="F361" s="562">
        <v>859.5</v>
      </c>
      <c r="G361" s="561"/>
    </row>
    <row r="362" spans="1:7">
      <c r="A362" s="562">
        <v>20</v>
      </c>
      <c r="B362" s="561" t="s">
        <v>68</v>
      </c>
      <c r="C362" s="561" t="s">
        <v>3324</v>
      </c>
      <c r="D362" s="562">
        <v>3</v>
      </c>
      <c r="E362" s="561" t="s">
        <v>68</v>
      </c>
      <c r="F362" s="562">
        <v>60</v>
      </c>
      <c r="G362" s="561"/>
    </row>
    <row r="363" spans="1:7">
      <c r="A363" s="562">
        <v>150</v>
      </c>
      <c r="B363" s="561" t="s">
        <v>68</v>
      </c>
      <c r="C363" s="561" t="s">
        <v>3325</v>
      </c>
      <c r="D363" s="562">
        <v>287</v>
      </c>
      <c r="E363" s="561" t="s">
        <v>3326</v>
      </c>
      <c r="F363" s="562">
        <v>43.05</v>
      </c>
      <c r="G363" s="561"/>
    </row>
    <row r="364" spans="1:7">
      <c r="A364" s="562">
        <v>10</v>
      </c>
      <c r="B364" s="561" t="s">
        <v>68</v>
      </c>
      <c r="C364" s="561" t="s">
        <v>3327</v>
      </c>
      <c r="D364" s="562">
        <v>1.28</v>
      </c>
      <c r="E364" s="561" t="s">
        <v>68</v>
      </c>
      <c r="F364" s="562">
        <v>12.8</v>
      </c>
      <c r="G364" s="561"/>
    </row>
    <row r="365" spans="1:7">
      <c r="A365" s="562">
        <v>10</v>
      </c>
      <c r="B365" s="561" t="s">
        <v>68</v>
      </c>
      <c r="C365" s="561" t="s">
        <v>3328</v>
      </c>
      <c r="D365" s="562">
        <v>41.2</v>
      </c>
      <c r="E365" s="561" t="s">
        <v>3329</v>
      </c>
      <c r="F365" s="562">
        <v>34.33</v>
      </c>
      <c r="G365" s="561"/>
    </row>
    <row r="366" spans="1:7">
      <c r="A366" s="562">
        <v>1.4999999999999999E-2</v>
      </c>
      <c r="B366" s="561" t="s">
        <v>306</v>
      </c>
      <c r="C366" s="564" t="s">
        <v>3330</v>
      </c>
      <c r="D366" s="562">
        <v>630</v>
      </c>
      <c r="E366" s="561" t="s">
        <v>306</v>
      </c>
      <c r="F366" s="562">
        <v>9.4499999999999993</v>
      </c>
      <c r="G366" s="561"/>
    </row>
    <row r="367" spans="1:7">
      <c r="A367" s="562">
        <v>10</v>
      </c>
      <c r="B367" s="561" t="s">
        <v>68</v>
      </c>
      <c r="C367" s="561" t="s">
        <v>3331</v>
      </c>
      <c r="D367" s="562">
        <v>16.05</v>
      </c>
      <c r="E367" s="561" t="s">
        <v>68</v>
      </c>
      <c r="F367" s="562">
        <v>160.5</v>
      </c>
      <c r="G367" s="561"/>
    </row>
    <row r="368" spans="1:7">
      <c r="A368" s="562">
        <v>10</v>
      </c>
      <c r="B368" s="561" t="s">
        <v>68</v>
      </c>
      <c r="C368" s="561" t="s">
        <v>3332</v>
      </c>
      <c r="D368" s="562">
        <v>13.6</v>
      </c>
      <c r="E368" s="561" t="s">
        <v>68</v>
      </c>
      <c r="F368" s="562">
        <v>136</v>
      </c>
      <c r="G368" s="561"/>
    </row>
    <row r="369" spans="1:7">
      <c r="A369" s="562">
        <v>1</v>
      </c>
      <c r="B369" s="561" t="s">
        <v>3333</v>
      </c>
      <c r="C369" s="561" t="s">
        <v>3334</v>
      </c>
      <c r="D369" s="562">
        <v>68.8</v>
      </c>
      <c r="E369" s="561" t="s">
        <v>3333</v>
      </c>
      <c r="F369" s="562">
        <v>68.8</v>
      </c>
      <c r="G369" s="561"/>
    </row>
    <row r="370" spans="1:7">
      <c r="A370" s="562">
        <v>72</v>
      </c>
      <c r="B370" s="561" t="s">
        <v>68</v>
      </c>
      <c r="C370" s="561" t="s">
        <v>3335</v>
      </c>
      <c r="D370" s="562">
        <v>47.7</v>
      </c>
      <c r="E370" s="561" t="s">
        <v>3333</v>
      </c>
      <c r="F370" s="562">
        <v>23.85</v>
      </c>
      <c r="G370" s="561"/>
    </row>
    <row r="371" spans="1:7">
      <c r="A371" s="562">
        <v>0.16666666666666666</v>
      </c>
      <c r="B371" s="561" t="s">
        <v>3336</v>
      </c>
      <c r="C371" s="561" t="s">
        <v>278</v>
      </c>
      <c r="D371" s="562">
        <v>298</v>
      </c>
      <c r="E371" s="561" t="s">
        <v>3336</v>
      </c>
      <c r="F371" s="562">
        <v>49.67</v>
      </c>
      <c r="G371" s="561"/>
    </row>
    <row r="372" spans="1:7" ht="31.5">
      <c r="A372" s="562">
        <v>10</v>
      </c>
      <c r="B372" s="561" t="s">
        <v>68</v>
      </c>
      <c r="C372" s="564" t="s">
        <v>3337</v>
      </c>
      <c r="D372" s="562">
        <v>13.8</v>
      </c>
      <c r="E372" s="561" t="s">
        <v>68</v>
      </c>
      <c r="F372" s="562">
        <v>138</v>
      </c>
      <c r="G372" s="561"/>
    </row>
    <row r="373" spans="1:7" ht="31.5">
      <c r="A373" s="562">
        <v>1</v>
      </c>
      <c r="B373" s="561" t="s">
        <v>68</v>
      </c>
      <c r="C373" s="564" t="s">
        <v>3338</v>
      </c>
      <c r="D373" s="562">
        <v>16.5</v>
      </c>
      <c r="E373" s="561" t="s">
        <v>68</v>
      </c>
      <c r="F373" s="562">
        <v>16.5</v>
      </c>
      <c r="G373" s="561"/>
    </row>
    <row r="374" spans="1:7" ht="31.5">
      <c r="A374" s="562">
        <v>0.1</v>
      </c>
      <c r="B374" s="561" t="s">
        <v>306</v>
      </c>
      <c r="C374" s="564" t="s">
        <v>3339</v>
      </c>
      <c r="D374" s="562">
        <v>630</v>
      </c>
      <c r="E374" s="561" t="s">
        <v>306</v>
      </c>
      <c r="F374" s="562">
        <v>63</v>
      </c>
      <c r="G374" s="561"/>
    </row>
    <row r="375" spans="1:7" ht="47.25">
      <c r="A375" s="562">
        <v>45</v>
      </c>
      <c r="B375" s="561" t="s">
        <v>303</v>
      </c>
      <c r="C375" s="564" t="s">
        <v>3340</v>
      </c>
      <c r="D375" s="562">
        <v>15.5</v>
      </c>
      <c r="E375" s="561" t="s">
        <v>3341</v>
      </c>
      <c r="F375" s="562">
        <v>697.5</v>
      </c>
      <c r="G375" s="561"/>
    </row>
    <row r="376" spans="1:7">
      <c r="A376" s="562">
        <v>0.5</v>
      </c>
      <c r="B376" s="561" t="s">
        <v>1441</v>
      </c>
      <c r="C376" s="561" t="s">
        <v>3342</v>
      </c>
      <c r="D376" s="562">
        <v>225.4</v>
      </c>
      <c r="E376" s="561" t="s">
        <v>1441</v>
      </c>
      <c r="F376" s="562">
        <v>112.7</v>
      </c>
      <c r="G376" s="561"/>
    </row>
    <row r="377" spans="1:7">
      <c r="A377" s="562">
        <v>10</v>
      </c>
      <c r="B377" s="561" t="s">
        <v>3343</v>
      </c>
      <c r="C377" s="561" t="s">
        <v>910</v>
      </c>
      <c r="D377" s="562"/>
      <c r="E377" s="561" t="s">
        <v>287</v>
      </c>
      <c r="F377" s="562">
        <v>4392.67</v>
      </c>
      <c r="G377" s="561"/>
    </row>
    <row r="378" spans="1:7">
      <c r="A378" s="562" t="s">
        <v>287</v>
      </c>
      <c r="B378" s="561"/>
      <c r="C378" s="561" t="s">
        <v>3344</v>
      </c>
      <c r="D378" s="562"/>
      <c r="E378" s="561" t="s">
        <v>287</v>
      </c>
      <c r="F378" s="562">
        <v>27.68</v>
      </c>
      <c r="G378" s="561"/>
    </row>
    <row r="379" spans="1:7">
      <c r="A379" s="562"/>
      <c r="B379" s="561"/>
      <c r="C379" s="561" t="s">
        <v>3345</v>
      </c>
      <c r="D379" s="562"/>
      <c r="E379" s="561"/>
      <c r="F379" s="562">
        <v>8301</v>
      </c>
      <c r="G379" s="561"/>
    </row>
    <row r="380" spans="1:7">
      <c r="A380" s="562"/>
      <c r="B380" s="561"/>
      <c r="C380" s="561" t="s">
        <v>3346</v>
      </c>
      <c r="D380" s="562"/>
      <c r="E380" s="561"/>
      <c r="F380" s="562">
        <v>830.1</v>
      </c>
      <c r="G380" s="561"/>
    </row>
    <row r="381" spans="1:7">
      <c r="A381" s="562"/>
      <c r="B381" s="561"/>
      <c r="C381" s="561"/>
      <c r="D381" s="562"/>
      <c r="E381" s="561"/>
      <c r="F381" s="562"/>
      <c r="G381" s="561"/>
    </row>
    <row r="382" spans="1:7">
      <c r="A382" s="562"/>
      <c r="B382" s="561" t="s">
        <v>3347</v>
      </c>
      <c r="C382" s="561"/>
      <c r="D382" s="562"/>
      <c r="E382" s="561"/>
      <c r="F382" s="562"/>
      <c r="G382" s="561"/>
    </row>
    <row r="383" spans="1:7">
      <c r="A383" s="562"/>
      <c r="B383" s="561" t="s">
        <v>3348</v>
      </c>
      <c r="C383" s="561"/>
      <c r="D383" s="562"/>
      <c r="E383" s="561"/>
      <c r="F383" s="562"/>
      <c r="G383" s="561"/>
    </row>
    <row r="384" spans="1:7">
      <c r="A384" s="562">
        <v>1</v>
      </c>
      <c r="B384" s="561" t="s">
        <v>68</v>
      </c>
      <c r="C384" s="561" t="s">
        <v>3349</v>
      </c>
      <c r="D384" s="562">
        <v>817</v>
      </c>
      <c r="E384" s="561" t="s">
        <v>68</v>
      </c>
      <c r="F384" s="562">
        <v>817</v>
      </c>
      <c r="G384" s="561"/>
    </row>
    <row r="385" spans="1:7">
      <c r="A385" s="562">
        <v>2</v>
      </c>
      <c r="B385" s="561" t="s">
        <v>68</v>
      </c>
      <c r="C385" s="561" t="s">
        <v>3350</v>
      </c>
      <c r="D385" s="562">
        <v>712</v>
      </c>
      <c r="E385" s="561" t="s">
        <v>68</v>
      </c>
      <c r="F385" s="562">
        <v>1424</v>
      </c>
      <c r="G385" s="561"/>
    </row>
    <row r="386" spans="1:7">
      <c r="A386" s="562">
        <v>3</v>
      </c>
      <c r="B386" s="561" t="s">
        <v>68</v>
      </c>
      <c r="C386" s="561" t="s">
        <v>3351</v>
      </c>
      <c r="D386" s="562">
        <v>708</v>
      </c>
      <c r="E386" s="561" t="s">
        <v>68</v>
      </c>
      <c r="F386" s="562">
        <v>2124</v>
      </c>
      <c r="G386" s="561"/>
    </row>
    <row r="387" spans="1:7">
      <c r="A387" s="562">
        <v>4</v>
      </c>
      <c r="B387" s="561" t="s">
        <v>68</v>
      </c>
      <c r="C387" s="561" t="s">
        <v>3352</v>
      </c>
      <c r="D387" s="562">
        <v>556</v>
      </c>
      <c r="E387" s="561" t="s">
        <v>68</v>
      </c>
      <c r="F387" s="562">
        <v>2224</v>
      </c>
      <c r="G387" s="561"/>
    </row>
    <row r="388" spans="1:7">
      <c r="A388" s="562"/>
      <c r="B388" s="561"/>
      <c r="C388" s="561"/>
      <c r="D388" s="562"/>
      <c r="E388" s="561"/>
      <c r="F388" s="562">
        <v>6589</v>
      </c>
      <c r="G388" s="561"/>
    </row>
    <row r="389" spans="1:7">
      <c r="A389" s="562"/>
      <c r="B389" s="561"/>
      <c r="C389" s="561"/>
      <c r="D389" s="562"/>
      <c r="E389" s="561"/>
      <c r="F389" s="562">
        <f>F388*2/3</f>
        <v>4392.666666666667</v>
      </c>
      <c r="G389" s="561"/>
    </row>
    <row r="390" spans="1:7">
      <c r="A390" s="562"/>
      <c r="B390" s="561"/>
      <c r="C390" s="561"/>
      <c r="D390" s="562"/>
      <c r="E390" s="561"/>
      <c r="F390" s="562"/>
      <c r="G390" s="561"/>
    </row>
    <row r="391" spans="1:7">
      <c r="A391" s="562"/>
      <c r="B391" s="561"/>
      <c r="C391" s="561" t="s">
        <v>3353</v>
      </c>
      <c r="D391" s="562"/>
      <c r="E391" s="561"/>
      <c r="F391" s="562"/>
      <c r="G391" s="561"/>
    </row>
    <row r="392" spans="1:7">
      <c r="A392" s="562"/>
      <c r="B392" s="561"/>
      <c r="C392" s="2127" t="s">
        <v>3354</v>
      </c>
      <c r="D392" s="2127"/>
      <c r="E392" s="2127"/>
      <c r="F392" s="2127"/>
      <c r="G392" s="561"/>
    </row>
    <row r="393" spans="1:7">
      <c r="A393" s="562"/>
      <c r="B393" s="561"/>
      <c r="C393" s="2126" t="s">
        <v>3355</v>
      </c>
      <c r="D393" s="2126"/>
      <c r="E393" s="2126"/>
      <c r="F393" s="2126"/>
      <c r="G393" s="561"/>
    </row>
    <row r="394" spans="1:7">
      <c r="A394" s="562"/>
      <c r="B394" s="561"/>
      <c r="C394" s="561"/>
      <c r="D394" s="562"/>
      <c r="E394" s="561"/>
      <c r="F394" s="562"/>
      <c r="G394" s="561"/>
    </row>
    <row r="395" spans="1:7">
      <c r="A395" s="562">
        <v>5</v>
      </c>
      <c r="B395" s="561" t="s">
        <v>303</v>
      </c>
      <c r="C395" s="561" t="s">
        <v>3321</v>
      </c>
      <c r="D395" s="562">
        <v>15.5</v>
      </c>
      <c r="E395" s="561" t="s">
        <v>2990</v>
      </c>
      <c r="F395" s="562">
        <v>77.5</v>
      </c>
      <c r="G395" s="561"/>
    </row>
    <row r="396" spans="1:7">
      <c r="A396" s="562">
        <v>2.5</v>
      </c>
      <c r="B396" s="561" t="s">
        <v>303</v>
      </c>
      <c r="C396" s="561" t="s">
        <v>3323</v>
      </c>
      <c r="D396" s="562">
        <v>19.100000000000001</v>
      </c>
      <c r="E396" s="561" t="s">
        <v>303</v>
      </c>
      <c r="F396" s="562">
        <v>47.75</v>
      </c>
      <c r="G396" s="561"/>
    </row>
    <row r="397" spans="1:7">
      <c r="A397" s="562">
        <v>1</v>
      </c>
      <c r="B397" s="561" t="s">
        <v>68</v>
      </c>
      <c r="C397" s="561" t="s">
        <v>3356</v>
      </c>
      <c r="D397" s="562">
        <v>39.950000000000003</v>
      </c>
      <c r="E397" s="561" t="s">
        <v>68</v>
      </c>
      <c r="F397" s="562">
        <v>39.950000000000003</v>
      </c>
      <c r="G397" s="561"/>
    </row>
    <row r="398" spans="1:7">
      <c r="A398" s="562"/>
      <c r="B398" s="561"/>
      <c r="C398" s="561" t="s">
        <v>910</v>
      </c>
      <c r="D398" s="562"/>
      <c r="E398" s="561"/>
      <c r="F398" s="562">
        <v>578.94000000000005</v>
      </c>
      <c r="G398" s="561"/>
    </row>
    <row r="399" spans="1:7">
      <c r="A399" s="562"/>
      <c r="B399" s="561"/>
      <c r="C399" s="561" t="s">
        <v>337</v>
      </c>
      <c r="D399" s="562"/>
      <c r="E399" s="561"/>
      <c r="F399" s="562">
        <v>20.86</v>
      </c>
      <c r="G399" s="561"/>
    </row>
    <row r="400" spans="1:7">
      <c r="A400" s="562"/>
      <c r="B400" s="561"/>
      <c r="C400" s="561" t="s">
        <v>3357</v>
      </c>
      <c r="D400" s="562"/>
      <c r="E400" s="561"/>
      <c r="F400" s="562">
        <v>765</v>
      </c>
      <c r="G400" s="561"/>
    </row>
    <row r="401" spans="1:7">
      <c r="A401" s="561"/>
      <c r="B401" s="561"/>
      <c r="C401" s="561"/>
      <c r="D401" s="561"/>
      <c r="E401" s="561"/>
      <c r="F401" s="561"/>
      <c r="G401" s="561"/>
    </row>
    <row r="402" spans="1:7">
      <c r="A402" s="561"/>
      <c r="B402" s="561"/>
      <c r="C402" s="561" t="s">
        <v>3358</v>
      </c>
      <c r="D402" s="561"/>
      <c r="E402" s="561"/>
      <c r="F402" s="561"/>
      <c r="G402" s="561"/>
    </row>
    <row r="403" spans="1:7">
      <c r="A403" s="561"/>
      <c r="B403" s="561"/>
      <c r="C403" s="2126" t="s">
        <v>3359</v>
      </c>
      <c r="D403" s="2126"/>
      <c r="E403" s="2126"/>
      <c r="F403" s="2126"/>
      <c r="G403" s="561"/>
    </row>
    <row r="404" spans="1:7">
      <c r="A404" s="561"/>
      <c r="B404" s="561"/>
      <c r="C404" s="561" t="s">
        <v>3360</v>
      </c>
      <c r="D404" s="561"/>
      <c r="E404" s="561"/>
      <c r="F404" s="561">
        <v>10737</v>
      </c>
      <c r="G404" s="561"/>
    </row>
    <row r="405" spans="1:7">
      <c r="A405" s="561">
        <v>180</v>
      </c>
      <c r="B405" s="561" t="s">
        <v>303</v>
      </c>
      <c r="C405" s="561" t="s">
        <v>3361</v>
      </c>
      <c r="D405" s="561">
        <v>24.1</v>
      </c>
      <c r="E405" s="561" t="s">
        <v>303</v>
      </c>
      <c r="F405" s="561">
        <v>4338</v>
      </c>
      <c r="G405" s="561"/>
    </row>
    <row r="406" spans="1:7">
      <c r="A406" s="561">
        <v>180</v>
      </c>
      <c r="B406" s="561" t="s">
        <v>303</v>
      </c>
      <c r="C406" s="561" t="s">
        <v>3362</v>
      </c>
      <c r="D406" s="561">
        <v>15.5</v>
      </c>
      <c r="E406" s="561" t="s">
        <v>3322</v>
      </c>
      <c r="F406" s="561">
        <v>2790</v>
      </c>
      <c r="G406" s="561"/>
    </row>
    <row r="407" spans="1:7">
      <c r="A407" s="561"/>
      <c r="B407" s="561"/>
      <c r="C407" s="561" t="s">
        <v>337</v>
      </c>
      <c r="D407" s="561"/>
      <c r="E407" s="561"/>
      <c r="F407" s="561"/>
      <c r="G407" s="561"/>
    </row>
    <row r="408" spans="1:7">
      <c r="A408" s="561"/>
      <c r="B408" s="561"/>
      <c r="C408" s="561" t="s">
        <v>3363</v>
      </c>
      <c r="D408" s="561"/>
      <c r="E408" s="561"/>
      <c r="F408" s="561">
        <v>12285</v>
      </c>
      <c r="G408" s="561"/>
    </row>
    <row r="409" spans="1:7">
      <c r="A409" s="561"/>
      <c r="B409" s="561"/>
      <c r="C409" s="561" t="s">
        <v>3364</v>
      </c>
      <c r="D409" s="561"/>
      <c r="E409" s="561"/>
      <c r="F409" s="561">
        <v>136.5</v>
      </c>
      <c r="G409" s="561"/>
    </row>
    <row r="410" spans="1:7">
      <c r="A410" s="561"/>
      <c r="B410" s="561"/>
      <c r="C410" s="561"/>
      <c r="D410" s="561"/>
      <c r="E410" s="561"/>
      <c r="F410" s="561"/>
      <c r="G410" s="561"/>
    </row>
    <row r="411" spans="1:7">
      <c r="A411" s="561"/>
      <c r="B411" s="561"/>
      <c r="C411" s="561" t="s">
        <v>3365</v>
      </c>
      <c r="D411" s="561"/>
      <c r="E411" s="561"/>
      <c r="F411" s="561"/>
      <c r="G411" s="561"/>
    </row>
    <row r="412" spans="1:7">
      <c r="A412" s="561"/>
      <c r="B412" s="561"/>
      <c r="C412" s="561"/>
      <c r="D412" s="561"/>
      <c r="E412" s="561"/>
      <c r="F412" s="561"/>
      <c r="G412" s="561"/>
    </row>
    <row r="413" spans="1:7">
      <c r="A413" s="561"/>
      <c r="B413" s="561"/>
      <c r="C413" s="2126" t="s">
        <v>3366</v>
      </c>
      <c r="D413" s="2126"/>
      <c r="E413" s="2126"/>
      <c r="F413" s="2126"/>
      <c r="G413" s="561"/>
    </row>
    <row r="414" spans="1:7">
      <c r="A414" s="561"/>
      <c r="B414" s="561"/>
      <c r="C414" s="561" t="s">
        <v>3367</v>
      </c>
      <c r="D414" s="561"/>
      <c r="E414" s="561"/>
      <c r="F414" s="561">
        <v>8273.32</v>
      </c>
      <c r="G414" s="561"/>
    </row>
    <row r="415" spans="1:7">
      <c r="A415" s="561"/>
      <c r="B415" s="561"/>
      <c r="C415" s="561" t="s">
        <v>3368</v>
      </c>
      <c r="D415" s="561"/>
      <c r="E415" s="561"/>
      <c r="F415" s="561">
        <v>136</v>
      </c>
      <c r="G415" s="561"/>
    </row>
    <row r="416" spans="1:7">
      <c r="A416" s="561"/>
      <c r="B416" s="561"/>
      <c r="C416" s="561" t="s">
        <v>3369</v>
      </c>
      <c r="D416" s="561"/>
      <c r="E416" s="561"/>
      <c r="F416" s="561">
        <v>165</v>
      </c>
      <c r="G416" s="561"/>
    </row>
    <row r="417" spans="1:7">
      <c r="A417" s="561"/>
      <c r="B417" s="561"/>
      <c r="C417" s="561" t="s">
        <v>337</v>
      </c>
      <c r="D417" s="561"/>
      <c r="E417" s="561"/>
      <c r="F417" s="561">
        <v>29.68</v>
      </c>
      <c r="G417" s="561"/>
    </row>
    <row r="418" spans="1:7">
      <c r="A418" s="561"/>
      <c r="B418" s="561"/>
      <c r="C418" s="561" t="s">
        <v>3370</v>
      </c>
      <c r="D418" s="561"/>
      <c r="E418" s="561"/>
      <c r="F418" s="561">
        <v>8332</v>
      </c>
      <c r="G418" s="561"/>
    </row>
    <row r="419" spans="1:7">
      <c r="A419" s="561"/>
      <c r="B419" s="561"/>
      <c r="C419" s="561" t="s">
        <v>3371</v>
      </c>
      <c r="D419" s="561"/>
      <c r="E419" s="561"/>
      <c r="F419" s="561">
        <v>833.2</v>
      </c>
      <c r="G419" s="561"/>
    </row>
    <row r="420" spans="1:7">
      <c r="A420" s="561"/>
      <c r="B420" s="561"/>
      <c r="C420" s="561"/>
      <c r="D420" s="561"/>
      <c r="E420" s="561"/>
      <c r="F420" s="561"/>
      <c r="G420" s="561"/>
    </row>
    <row r="421" spans="1:7">
      <c r="A421" s="561"/>
      <c r="B421" s="561"/>
      <c r="C421" s="561" t="s">
        <v>3372</v>
      </c>
      <c r="D421" s="561"/>
      <c r="E421" s="561"/>
      <c r="F421" s="561"/>
      <c r="G421" s="561"/>
    </row>
    <row r="422" spans="1:7">
      <c r="A422" s="561"/>
      <c r="B422" s="561"/>
      <c r="C422" s="561"/>
      <c r="D422" s="561"/>
      <c r="E422" s="561"/>
      <c r="F422" s="561"/>
      <c r="G422" s="561"/>
    </row>
    <row r="423" spans="1:7">
      <c r="A423" s="561"/>
      <c r="B423" s="561"/>
      <c r="C423" s="2126" t="s">
        <v>3373</v>
      </c>
      <c r="D423" s="2126"/>
      <c r="E423" s="2126"/>
      <c r="F423" s="2126"/>
      <c r="G423" s="561"/>
    </row>
    <row r="424" spans="1:7">
      <c r="A424" s="561">
        <v>90</v>
      </c>
      <c r="B424" s="561" t="s">
        <v>303</v>
      </c>
      <c r="C424" s="561" t="s">
        <v>3321</v>
      </c>
      <c r="D424" s="561">
        <v>15.5</v>
      </c>
      <c r="E424" s="561" t="s">
        <v>303</v>
      </c>
      <c r="F424" s="561">
        <v>1395</v>
      </c>
      <c r="G424" s="561"/>
    </row>
    <row r="425" spans="1:7">
      <c r="A425" s="561">
        <v>45</v>
      </c>
      <c r="B425" s="561" t="s">
        <v>303</v>
      </c>
      <c r="C425" s="561" t="s">
        <v>3323</v>
      </c>
      <c r="D425" s="561">
        <v>19.100000000000001</v>
      </c>
      <c r="E425" s="561" t="s">
        <v>303</v>
      </c>
      <c r="F425" s="561">
        <v>859.5</v>
      </c>
      <c r="G425" s="561"/>
    </row>
    <row r="426" spans="1:7">
      <c r="A426" s="561">
        <v>20</v>
      </c>
      <c r="B426" s="561" t="s">
        <v>68</v>
      </c>
      <c r="C426" s="561" t="s">
        <v>3324</v>
      </c>
      <c r="D426" s="561">
        <v>3</v>
      </c>
      <c r="E426" s="561" t="s">
        <v>3329</v>
      </c>
      <c r="F426" s="561">
        <v>60</v>
      </c>
      <c r="G426" s="561"/>
    </row>
    <row r="427" spans="1:7">
      <c r="A427" s="561">
        <v>10</v>
      </c>
      <c r="B427" s="561" t="s">
        <v>68</v>
      </c>
      <c r="C427" s="561" t="s">
        <v>3327</v>
      </c>
      <c r="D427" s="561">
        <v>1.28</v>
      </c>
      <c r="E427" s="561" t="s">
        <v>3329</v>
      </c>
      <c r="F427" s="561">
        <v>12.8</v>
      </c>
      <c r="G427" s="561"/>
    </row>
    <row r="428" spans="1:7">
      <c r="A428" s="561">
        <v>1</v>
      </c>
      <c r="B428" s="561" t="s">
        <v>68</v>
      </c>
      <c r="C428" s="561" t="s">
        <v>3374</v>
      </c>
      <c r="D428" s="561">
        <v>63.1</v>
      </c>
      <c r="E428" s="561" t="s">
        <v>68</v>
      </c>
      <c r="F428" s="561">
        <v>63.1</v>
      </c>
      <c r="G428" s="561"/>
    </row>
    <row r="429" spans="1:7">
      <c r="A429" s="561">
        <v>1.4999999999999999E-2</v>
      </c>
      <c r="B429" s="561" t="s">
        <v>306</v>
      </c>
      <c r="C429" s="561" t="s">
        <v>3375</v>
      </c>
      <c r="D429" s="561">
        <v>630</v>
      </c>
      <c r="E429" s="561" t="s">
        <v>306</v>
      </c>
      <c r="F429" s="561">
        <v>9.4499999999999993</v>
      </c>
      <c r="G429" s="561"/>
    </row>
    <row r="430" spans="1:7">
      <c r="A430" s="561">
        <v>15</v>
      </c>
      <c r="B430" s="561" t="s">
        <v>68</v>
      </c>
      <c r="C430" s="561" t="s">
        <v>3376</v>
      </c>
      <c r="D430" s="561">
        <v>39.950000000000003</v>
      </c>
      <c r="E430" s="561" t="s">
        <v>68</v>
      </c>
      <c r="F430" s="561">
        <v>599.25</v>
      </c>
      <c r="G430" s="561"/>
    </row>
    <row r="431" spans="1:7">
      <c r="A431" s="561">
        <v>15</v>
      </c>
      <c r="B431" s="561" t="s">
        <v>68</v>
      </c>
      <c r="C431" s="561" t="s">
        <v>3374</v>
      </c>
      <c r="D431" s="561">
        <v>63.1</v>
      </c>
      <c r="E431" s="561" t="s">
        <v>68</v>
      </c>
      <c r="F431" s="561">
        <v>946.5</v>
      </c>
      <c r="G431" s="561"/>
    </row>
    <row r="432" spans="1:7">
      <c r="A432" s="561">
        <v>0.22500000000000001</v>
      </c>
      <c r="B432" s="561" t="s">
        <v>306</v>
      </c>
      <c r="C432" s="561" t="s">
        <v>3375</v>
      </c>
      <c r="D432" s="561">
        <v>630</v>
      </c>
      <c r="E432" s="561" t="s">
        <v>3377</v>
      </c>
      <c r="F432" s="561">
        <v>141.75</v>
      </c>
      <c r="G432" s="561"/>
    </row>
    <row r="433" spans="1:7">
      <c r="A433" s="561">
        <v>1.25</v>
      </c>
      <c r="B433" s="561" t="s">
        <v>3336</v>
      </c>
      <c r="C433" s="561" t="s">
        <v>278</v>
      </c>
      <c r="D433" s="561">
        <v>298</v>
      </c>
      <c r="E433" s="561" t="s">
        <v>3336</v>
      </c>
      <c r="F433" s="561">
        <v>372.5</v>
      </c>
      <c r="G433" s="561"/>
    </row>
    <row r="434" spans="1:7">
      <c r="A434" s="561">
        <v>45</v>
      </c>
      <c r="B434" s="561" t="s">
        <v>306</v>
      </c>
      <c r="C434" s="561" t="s">
        <v>3340</v>
      </c>
      <c r="D434" s="561">
        <v>15.5</v>
      </c>
      <c r="E434" s="561" t="s">
        <v>303</v>
      </c>
      <c r="F434" s="561">
        <v>697.5</v>
      </c>
      <c r="G434" s="561"/>
    </row>
    <row r="435" spans="1:7">
      <c r="A435" s="561"/>
      <c r="B435" s="561"/>
      <c r="C435" s="561" t="s">
        <v>910</v>
      </c>
      <c r="D435" s="561"/>
      <c r="E435" s="561"/>
      <c r="F435" s="561">
        <v>4392.67</v>
      </c>
      <c r="G435" s="561"/>
    </row>
    <row r="436" spans="1:7">
      <c r="A436" s="561"/>
      <c r="B436" s="561"/>
      <c r="C436" s="561" t="s">
        <v>337</v>
      </c>
      <c r="D436" s="561"/>
      <c r="E436" s="561"/>
      <c r="F436" s="561">
        <v>27.48</v>
      </c>
      <c r="G436" s="561"/>
    </row>
    <row r="437" spans="1:7">
      <c r="A437" s="561"/>
      <c r="B437" s="561"/>
      <c r="C437" s="561" t="s">
        <v>3378</v>
      </c>
      <c r="D437" s="561"/>
      <c r="E437" s="561"/>
      <c r="F437" s="561">
        <v>9577.5</v>
      </c>
      <c r="G437" s="561"/>
    </row>
    <row r="438" spans="1:7">
      <c r="A438" s="561"/>
      <c r="B438" s="561"/>
      <c r="C438" s="561" t="s">
        <v>3357</v>
      </c>
      <c r="D438" s="561"/>
      <c r="E438" s="561"/>
      <c r="F438" s="561">
        <v>638.5</v>
      </c>
      <c r="G438" s="561"/>
    </row>
    <row r="439" spans="1:7">
      <c r="A439" s="561"/>
      <c r="B439" s="561"/>
      <c r="C439" s="561" t="s">
        <v>910</v>
      </c>
      <c r="D439" s="561"/>
      <c r="E439" s="561"/>
      <c r="F439" s="561"/>
      <c r="G439" s="561"/>
    </row>
    <row r="440" spans="1:7">
      <c r="A440" s="561">
        <v>1</v>
      </c>
      <c r="B440" s="561" t="s">
        <v>68</v>
      </c>
      <c r="C440" s="561" t="s">
        <v>3349</v>
      </c>
      <c r="D440" s="561">
        <v>817</v>
      </c>
      <c r="E440" s="561" t="s">
        <v>68</v>
      </c>
      <c r="F440" s="561">
        <v>817</v>
      </c>
      <c r="G440" s="561"/>
    </row>
    <row r="441" spans="1:7">
      <c r="A441" s="561">
        <v>2</v>
      </c>
      <c r="B441" s="561" t="s">
        <v>68</v>
      </c>
      <c r="C441" s="561" t="s">
        <v>3350</v>
      </c>
      <c r="D441" s="561">
        <v>712</v>
      </c>
      <c r="E441" s="561" t="s">
        <v>68</v>
      </c>
      <c r="F441" s="561">
        <v>1424</v>
      </c>
      <c r="G441" s="561"/>
    </row>
    <row r="442" spans="1:7">
      <c r="A442" s="561">
        <v>3</v>
      </c>
      <c r="B442" s="561" t="s">
        <v>68</v>
      </c>
      <c r="C442" s="561" t="s">
        <v>3351</v>
      </c>
      <c r="D442" s="561">
        <v>708</v>
      </c>
      <c r="E442" s="561" t="s">
        <v>68</v>
      </c>
      <c r="F442" s="561">
        <v>2124</v>
      </c>
      <c r="G442" s="561"/>
    </row>
    <row r="443" spans="1:7">
      <c r="A443" s="561">
        <v>4</v>
      </c>
      <c r="B443" s="561" t="s">
        <v>68</v>
      </c>
      <c r="C443" s="561" t="s">
        <v>3352</v>
      </c>
      <c r="D443" s="561">
        <v>556</v>
      </c>
      <c r="E443" s="561" t="s">
        <v>68</v>
      </c>
      <c r="F443" s="561">
        <v>2224</v>
      </c>
      <c r="G443" s="561"/>
    </row>
    <row r="444" spans="1:7">
      <c r="A444" s="561"/>
      <c r="B444" s="561"/>
      <c r="C444" s="561"/>
      <c r="D444" s="561"/>
      <c r="E444" s="561"/>
      <c r="F444" s="561">
        <v>6589</v>
      </c>
      <c r="G444" s="561"/>
    </row>
    <row r="445" spans="1:7">
      <c r="A445" s="561"/>
      <c r="B445" s="561"/>
      <c r="C445" s="561" t="s">
        <v>3379</v>
      </c>
      <c r="D445" s="561"/>
      <c r="E445" s="561"/>
      <c r="F445" s="561"/>
      <c r="G445" s="561"/>
    </row>
    <row r="446" spans="1:7">
      <c r="A446" s="561"/>
      <c r="B446" s="561"/>
      <c r="C446" s="561" t="s">
        <v>3380</v>
      </c>
      <c r="D446" s="561"/>
      <c r="E446" s="561"/>
      <c r="F446" s="561"/>
      <c r="G446" s="561"/>
    </row>
    <row r="447" spans="1:7">
      <c r="A447" s="561"/>
      <c r="B447" s="561"/>
      <c r="C447" s="561"/>
      <c r="D447" s="561"/>
      <c r="E447" s="561"/>
      <c r="F447" s="561"/>
      <c r="G447" s="561"/>
    </row>
    <row r="448" spans="1:7">
      <c r="A448" s="561"/>
      <c r="B448" s="561"/>
      <c r="C448" s="2126" t="s">
        <v>3381</v>
      </c>
      <c r="D448" s="2126"/>
      <c r="E448" s="2126"/>
      <c r="F448" s="2126"/>
      <c r="G448" s="561"/>
    </row>
    <row r="449" spans="1:7">
      <c r="A449" s="561"/>
      <c r="B449" s="561"/>
      <c r="C449" s="561"/>
      <c r="D449" s="561"/>
      <c r="E449" s="561"/>
      <c r="F449" s="561"/>
      <c r="G449" s="561"/>
    </row>
    <row r="450" spans="1:7">
      <c r="A450" s="561">
        <v>1</v>
      </c>
      <c r="B450" s="561" t="s">
        <v>68</v>
      </c>
      <c r="C450" s="561" t="s">
        <v>3382</v>
      </c>
      <c r="D450" s="561">
        <v>54</v>
      </c>
      <c r="E450" s="561" t="s">
        <v>68</v>
      </c>
      <c r="F450" s="561">
        <v>54</v>
      </c>
      <c r="G450" s="561"/>
    </row>
    <row r="451" spans="1:7">
      <c r="A451" s="561">
        <v>1</v>
      </c>
      <c r="B451" s="561" t="s">
        <v>68</v>
      </c>
      <c r="C451" s="561" t="s">
        <v>3383</v>
      </c>
      <c r="D451" s="561">
        <v>63.1</v>
      </c>
      <c r="E451" s="561" t="s">
        <v>68</v>
      </c>
      <c r="F451" s="561">
        <v>63.1</v>
      </c>
      <c r="G451" s="561"/>
    </row>
    <row r="452" spans="1:7">
      <c r="A452" s="561">
        <v>1.4999999999999999E-2</v>
      </c>
      <c r="B452" s="561" t="s">
        <v>306</v>
      </c>
      <c r="C452" s="561" t="s">
        <v>3384</v>
      </c>
      <c r="D452" s="561">
        <v>630</v>
      </c>
      <c r="E452" s="561" t="s">
        <v>306</v>
      </c>
      <c r="F452" s="561">
        <v>9.4499999999999993</v>
      </c>
      <c r="G452" s="561"/>
    </row>
    <row r="453" spans="1:7">
      <c r="A453" s="561" t="s">
        <v>287</v>
      </c>
      <c r="B453" s="561"/>
      <c r="C453" s="561" t="s">
        <v>3385</v>
      </c>
      <c r="D453" s="561"/>
      <c r="E453" s="561"/>
      <c r="F453" s="561">
        <v>12.15</v>
      </c>
      <c r="G453" s="561"/>
    </row>
    <row r="454" spans="1:7">
      <c r="A454" s="561"/>
      <c r="B454" s="561"/>
      <c r="C454" s="561" t="s">
        <v>2718</v>
      </c>
      <c r="D454" s="561"/>
      <c r="E454" s="561"/>
      <c r="F454" s="561">
        <v>138.69999999999999</v>
      </c>
      <c r="G454" s="561"/>
    </row>
    <row r="455" spans="1:7">
      <c r="A455" s="561"/>
      <c r="B455" s="561"/>
      <c r="C455" s="561"/>
      <c r="D455" s="561"/>
      <c r="E455" s="561"/>
      <c r="F455" s="561"/>
      <c r="G455" s="561"/>
    </row>
    <row r="456" spans="1:7">
      <c r="A456" s="561"/>
      <c r="B456" s="561"/>
      <c r="C456" s="561" t="s">
        <v>3386</v>
      </c>
      <c r="D456" s="561"/>
      <c r="E456" s="561"/>
      <c r="F456" s="561"/>
      <c r="G456" s="561"/>
    </row>
    <row r="457" spans="1:7">
      <c r="A457" s="561"/>
      <c r="B457" s="561"/>
      <c r="C457" s="561"/>
      <c r="D457" s="561"/>
      <c r="E457" s="561"/>
      <c r="F457" s="561"/>
      <c r="G457" s="561"/>
    </row>
    <row r="458" spans="1:7">
      <c r="A458" s="561"/>
      <c r="B458" s="561"/>
      <c r="C458" s="561" t="s">
        <v>3387</v>
      </c>
      <c r="D458" s="561"/>
      <c r="E458" s="561"/>
      <c r="F458" s="561"/>
      <c r="G458" s="561"/>
    </row>
    <row r="459" spans="1:7">
      <c r="A459" s="561"/>
      <c r="B459" s="561"/>
      <c r="C459" s="561"/>
      <c r="D459" s="561"/>
      <c r="E459" s="561"/>
      <c r="F459" s="561"/>
      <c r="G459" s="561"/>
    </row>
    <row r="460" spans="1:7">
      <c r="A460" s="561"/>
      <c r="B460" s="561"/>
      <c r="C460" s="2127" t="s">
        <v>3388</v>
      </c>
      <c r="D460" s="2127"/>
      <c r="E460" s="2127"/>
      <c r="F460" s="2127"/>
      <c r="G460" s="561"/>
    </row>
    <row r="461" spans="1:7">
      <c r="A461" s="561">
        <v>1</v>
      </c>
      <c r="B461" s="561" t="s">
        <v>68</v>
      </c>
      <c r="C461" s="561" t="s">
        <v>3389</v>
      </c>
      <c r="D461" s="561">
        <v>274.89999999999998</v>
      </c>
      <c r="E461" s="561" t="s">
        <v>68</v>
      </c>
      <c r="F461" s="561">
        <v>274.89999999999998</v>
      </c>
      <c r="G461" s="561"/>
    </row>
    <row r="462" spans="1:7">
      <c r="A462" s="561"/>
      <c r="B462" s="561"/>
      <c r="C462" s="561" t="s">
        <v>337</v>
      </c>
      <c r="D462" s="561"/>
      <c r="E462" s="561"/>
      <c r="F462" s="561">
        <v>6</v>
      </c>
      <c r="G462" s="561"/>
    </row>
    <row r="463" spans="1:7">
      <c r="A463" s="561"/>
      <c r="B463" s="561"/>
      <c r="C463" s="561" t="s">
        <v>910</v>
      </c>
      <c r="D463" s="561"/>
      <c r="E463" s="561"/>
      <c r="F463" s="561">
        <v>205.6</v>
      </c>
      <c r="G463" s="561"/>
    </row>
    <row r="464" spans="1:7">
      <c r="A464" s="561"/>
      <c r="B464" s="561"/>
      <c r="C464" s="561" t="s">
        <v>3390</v>
      </c>
      <c r="D464" s="561"/>
      <c r="E464" s="561"/>
      <c r="F464" s="561">
        <v>486.5</v>
      </c>
      <c r="G464" s="561"/>
    </row>
    <row r="465" spans="1:7">
      <c r="A465" s="561"/>
      <c r="B465" s="561"/>
      <c r="C465" s="561"/>
      <c r="D465" s="561"/>
      <c r="E465" s="561"/>
      <c r="F465" s="561"/>
      <c r="G465" s="561"/>
    </row>
    <row r="466" spans="1:7">
      <c r="A466" s="561"/>
      <c r="B466" s="561"/>
      <c r="C466" s="561" t="s">
        <v>3391</v>
      </c>
      <c r="D466" s="561"/>
      <c r="E466" s="561"/>
      <c r="F466" s="561"/>
      <c r="G466" s="561"/>
    </row>
    <row r="467" spans="1:7">
      <c r="A467" s="561">
        <v>2</v>
      </c>
      <c r="B467" s="561" t="s">
        <v>68</v>
      </c>
      <c r="C467" s="561" t="s">
        <v>3392</v>
      </c>
      <c r="D467" s="561">
        <v>708</v>
      </c>
      <c r="E467" s="561" t="s">
        <v>68</v>
      </c>
      <c r="F467" s="561">
        <v>1416</v>
      </c>
      <c r="G467" s="561"/>
    </row>
    <row r="468" spans="1:7">
      <c r="A468" s="561">
        <v>3</v>
      </c>
      <c r="B468" s="561" t="s">
        <v>68</v>
      </c>
      <c r="C468" s="561" t="s">
        <v>3393</v>
      </c>
      <c r="D468" s="561">
        <v>556</v>
      </c>
      <c r="E468" s="561" t="s">
        <v>68</v>
      </c>
      <c r="F468" s="561">
        <v>1668</v>
      </c>
      <c r="G468" s="561"/>
    </row>
    <row r="469" spans="1:7">
      <c r="A469" s="561"/>
      <c r="B469" s="561"/>
      <c r="C469" s="561" t="s">
        <v>3394</v>
      </c>
      <c r="D469" s="561"/>
      <c r="E469" s="561"/>
      <c r="F469" s="561">
        <v>3084</v>
      </c>
      <c r="G469" s="561"/>
    </row>
    <row r="470" spans="1:7">
      <c r="A470" s="561"/>
      <c r="B470" s="561"/>
      <c r="C470" s="561" t="s">
        <v>3395</v>
      </c>
      <c r="D470" s="561"/>
      <c r="E470" s="561"/>
      <c r="F470" s="561">
        <v>205.6</v>
      </c>
      <c r="G470" s="561"/>
    </row>
    <row r="471" spans="1:7">
      <c r="A471" s="561"/>
      <c r="B471" s="561"/>
      <c r="C471" s="561"/>
      <c r="D471" s="561"/>
      <c r="E471" s="561"/>
      <c r="F471" s="561"/>
      <c r="G471" s="561"/>
    </row>
    <row r="472" spans="1:7">
      <c r="A472" s="561">
        <v>82</v>
      </c>
      <c r="B472" s="561"/>
      <c r="C472" s="561" t="s">
        <v>1606</v>
      </c>
      <c r="D472" s="561"/>
      <c r="E472" s="561"/>
      <c r="F472" s="561">
        <v>2774.3</v>
      </c>
      <c r="G472" s="561"/>
    </row>
    <row r="473" spans="1:7">
      <c r="A473" s="561"/>
      <c r="B473" s="561"/>
      <c r="C473" s="561"/>
      <c r="D473" s="561"/>
      <c r="E473" s="561"/>
      <c r="F473" s="561"/>
      <c r="G473" s="561"/>
    </row>
    <row r="474" spans="1:7">
      <c r="A474" s="561"/>
      <c r="B474" s="561"/>
      <c r="C474" s="561"/>
      <c r="D474" s="561"/>
      <c r="E474" s="561"/>
      <c r="F474" s="561"/>
      <c r="G474" s="561"/>
    </row>
    <row r="475" spans="1:7">
      <c r="A475" s="561"/>
      <c r="B475" s="561"/>
      <c r="C475" s="561" t="s">
        <v>3396</v>
      </c>
      <c r="D475" s="561"/>
      <c r="E475" s="561"/>
      <c r="F475" s="561"/>
      <c r="G475" s="561"/>
    </row>
    <row r="476" spans="1:7">
      <c r="A476" s="561"/>
      <c r="B476" s="561"/>
      <c r="C476" s="561"/>
      <c r="D476" s="561"/>
      <c r="E476" s="561"/>
      <c r="F476" s="561"/>
      <c r="G476" s="561"/>
    </row>
    <row r="477" spans="1:7">
      <c r="A477" s="561"/>
      <c r="B477" s="561"/>
      <c r="C477" s="2127" t="s">
        <v>3359</v>
      </c>
      <c r="D477" s="2127"/>
      <c r="E477" s="2127"/>
      <c r="F477" s="2127"/>
      <c r="G477" s="561"/>
    </row>
    <row r="478" spans="1:7">
      <c r="A478" s="561"/>
      <c r="B478" s="561"/>
      <c r="C478" s="561" t="s">
        <v>3360</v>
      </c>
      <c r="D478" s="561"/>
      <c r="E478" s="561"/>
      <c r="F478" s="561">
        <v>10737</v>
      </c>
      <c r="G478" s="561"/>
    </row>
    <row r="479" spans="1:7">
      <c r="A479" s="561">
        <v>360</v>
      </c>
      <c r="B479" s="561" t="s">
        <v>303</v>
      </c>
      <c r="C479" s="561" t="s">
        <v>3397</v>
      </c>
      <c r="D479" s="561">
        <v>56.7</v>
      </c>
      <c r="E479" s="561" t="s">
        <v>303</v>
      </c>
      <c r="F479" s="561">
        <v>20412</v>
      </c>
      <c r="G479" s="561"/>
    </row>
    <row r="480" spans="1:7">
      <c r="A480" s="561">
        <v>180</v>
      </c>
      <c r="B480" s="561" t="s">
        <v>303</v>
      </c>
      <c r="C480" s="561" t="s">
        <v>3362</v>
      </c>
      <c r="D480" s="561">
        <v>15.5</v>
      </c>
      <c r="E480" s="561" t="s">
        <v>3322</v>
      </c>
      <c r="F480" s="561">
        <v>2790</v>
      </c>
      <c r="G480" s="561"/>
    </row>
    <row r="481" spans="1:7">
      <c r="A481" s="561"/>
      <c r="B481" s="561"/>
      <c r="C481" s="561" t="s">
        <v>337</v>
      </c>
      <c r="D481" s="561"/>
      <c r="E481" s="561"/>
      <c r="F481" s="561"/>
      <c r="G481" s="561"/>
    </row>
    <row r="482" spans="1:7">
      <c r="A482" s="561"/>
      <c r="B482" s="561"/>
      <c r="C482" s="561" t="s">
        <v>3363</v>
      </c>
      <c r="D482" s="561"/>
      <c r="E482" s="561"/>
      <c r="F482" s="561">
        <v>28359</v>
      </c>
      <c r="G482" s="561"/>
    </row>
    <row r="483" spans="1:7">
      <c r="A483" s="561"/>
      <c r="B483" s="561"/>
      <c r="C483" s="561" t="s">
        <v>3364</v>
      </c>
      <c r="D483" s="561"/>
      <c r="E483" s="561"/>
      <c r="F483" s="561">
        <v>315.10000000000002</v>
      </c>
      <c r="G483" s="561"/>
    </row>
    <row r="484" spans="1:7">
      <c r="A484" s="561"/>
      <c r="B484" s="561"/>
      <c r="C484" s="561"/>
      <c r="D484" s="561"/>
      <c r="E484" s="561"/>
      <c r="F484" s="561"/>
      <c r="G484" s="561"/>
    </row>
    <row r="485" spans="1:7">
      <c r="A485" s="561"/>
      <c r="B485" s="561"/>
      <c r="C485" s="561" t="s">
        <v>3398</v>
      </c>
      <c r="D485" s="561"/>
      <c r="E485" s="561"/>
      <c r="F485" s="561"/>
      <c r="G485" s="561"/>
    </row>
    <row r="486" spans="1:7">
      <c r="A486" s="561"/>
      <c r="B486" s="561"/>
      <c r="C486" s="561"/>
      <c r="D486" s="561"/>
      <c r="E486" s="561"/>
      <c r="F486" s="561"/>
      <c r="G486" s="561"/>
    </row>
    <row r="487" spans="1:7">
      <c r="A487" s="561"/>
      <c r="B487" s="561"/>
      <c r="C487" s="2127" t="s">
        <v>3359</v>
      </c>
      <c r="D487" s="2127"/>
      <c r="E487" s="2127"/>
      <c r="F487" s="2127"/>
      <c r="G487" s="561"/>
    </row>
    <row r="488" spans="1:7">
      <c r="A488" s="561"/>
      <c r="B488" s="561"/>
      <c r="C488" s="561"/>
      <c r="D488" s="561"/>
      <c r="E488" s="561"/>
      <c r="F488" s="561"/>
      <c r="G488" s="561"/>
    </row>
    <row r="489" spans="1:7">
      <c r="A489" s="561"/>
      <c r="B489" s="561"/>
      <c r="C489" s="561" t="s">
        <v>3360</v>
      </c>
      <c r="D489" s="561"/>
      <c r="E489" s="561"/>
      <c r="F489" s="561">
        <v>10737</v>
      </c>
      <c r="G489" s="561"/>
    </row>
    <row r="490" spans="1:7">
      <c r="A490" s="561">
        <v>360</v>
      </c>
      <c r="B490" s="561" t="s">
        <v>303</v>
      </c>
      <c r="C490" s="561" t="s">
        <v>3399</v>
      </c>
      <c r="D490" s="561">
        <v>38.299999999999997</v>
      </c>
      <c r="E490" s="561" t="s">
        <v>303</v>
      </c>
      <c r="F490" s="561">
        <v>13788</v>
      </c>
      <c r="G490" s="561"/>
    </row>
    <row r="491" spans="1:7">
      <c r="A491" s="561">
        <v>180</v>
      </c>
      <c r="B491" s="561" t="s">
        <v>303</v>
      </c>
      <c r="C491" s="561" t="s">
        <v>3362</v>
      </c>
      <c r="D491" s="561">
        <v>15.5</v>
      </c>
      <c r="E491" s="561" t="s">
        <v>3322</v>
      </c>
      <c r="F491" s="561">
        <v>2790</v>
      </c>
      <c r="G491" s="561"/>
    </row>
    <row r="492" spans="1:7">
      <c r="A492" s="561"/>
      <c r="B492" s="561"/>
      <c r="C492" s="561" t="s">
        <v>337</v>
      </c>
      <c r="D492" s="561"/>
      <c r="E492" s="561"/>
      <c r="F492" s="561"/>
      <c r="G492" s="561"/>
    </row>
    <row r="493" spans="1:7">
      <c r="A493" s="561"/>
      <c r="B493" s="561"/>
      <c r="C493" s="561" t="s">
        <v>3363</v>
      </c>
      <c r="D493" s="561"/>
      <c r="E493" s="561"/>
      <c r="F493" s="561">
        <v>21735</v>
      </c>
      <c r="G493" s="561"/>
    </row>
    <row r="494" spans="1:7">
      <c r="A494" s="561"/>
      <c r="B494" s="561"/>
      <c r="C494" s="561" t="s">
        <v>3364</v>
      </c>
      <c r="D494" s="561"/>
      <c r="E494" s="561"/>
      <c r="F494" s="561">
        <v>241.5</v>
      </c>
      <c r="G494" s="561"/>
    </row>
    <row r="506" spans="6:6">
      <c r="F506" s="19"/>
    </row>
    <row r="516" spans="6:6">
      <c r="F516" s="19"/>
    </row>
    <row r="517" spans="6:6">
      <c r="F517" s="19"/>
    </row>
    <row r="524" spans="6:6">
      <c r="F524" s="19"/>
    </row>
    <row r="525" spans="6:6">
      <c r="F525" s="19"/>
    </row>
    <row r="532" spans="1:6">
      <c r="F532" s="19"/>
    </row>
    <row r="533" spans="1:6">
      <c r="F533" s="19"/>
    </row>
    <row r="534" spans="1:6">
      <c r="F534" s="18"/>
    </row>
    <row r="535" spans="1:6">
      <c r="F535" s="48"/>
    </row>
    <row r="536" spans="1:6">
      <c r="A536" s="48"/>
      <c r="B536" s="35"/>
      <c r="E536" s="48"/>
      <c r="F536" s="48"/>
    </row>
    <row r="537" spans="1:6">
      <c r="F537" s="48"/>
    </row>
    <row r="538" spans="1:6">
      <c r="F538" s="48"/>
    </row>
    <row r="539" spans="1:6">
      <c r="F539" s="48"/>
    </row>
    <row r="540" spans="1:6">
      <c r="F540" s="48"/>
    </row>
    <row r="541" spans="1:6">
      <c r="F541" s="48"/>
    </row>
    <row r="549" spans="6:6">
      <c r="F549" s="19"/>
    </row>
    <row r="551" spans="6:6">
      <c r="F551" s="19"/>
    </row>
    <row r="563" spans="6:6">
      <c r="F563" s="19"/>
    </row>
    <row r="574" spans="6:6">
      <c r="F574" s="19"/>
    </row>
    <row r="575" spans="6:6">
      <c r="F575" s="19"/>
    </row>
    <row r="576" spans="6:6">
      <c r="F576" s="19"/>
    </row>
    <row r="577" spans="1:6">
      <c r="F577" s="19"/>
    </row>
    <row r="578" spans="1:6">
      <c r="A578" s="48"/>
      <c r="B578" s="35"/>
      <c r="E578" s="48"/>
      <c r="F578" s="19"/>
    </row>
    <row r="595" spans="1:6">
      <c r="F595" s="19"/>
    </row>
    <row r="597" spans="1:6">
      <c r="A597" s="46"/>
      <c r="B597" s="35"/>
      <c r="E597" s="46"/>
    </row>
    <row r="598" spans="1:6">
      <c r="A598" s="46"/>
      <c r="B598" s="35"/>
      <c r="E598" s="46"/>
    </row>
    <row r="602" spans="1:6">
      <c r="A602" s="46"/>
      <c r="B602" s="35"/>
      <c r="E602" s="46"/>
    </row>
    <row r="617" spans="6:6">
      <c r="F617" s="19"/>
    </row>
    <row r="623" spans="6:6">
      <c r="F623" s="19"/>
    </row>
    <row r="637" spans="6:6">
      <c r="F637" s="19"/>
    </row>
    <row r="647" spans="6:6">
      <c r="F647" s="19"/>
    </row>
  </sheetData>
  <mergeCells count="10">
    <mergeCell ref="C359:F359"/>
    <mergeCell ref="C448:F448"/>
    <mergeCell ref="C460:F460"/>
    <mergeCell ref="C477:F477"/>
    <mergeCell ref="C487:F487"/>
    <mergeCell ref="C392:F392"/>
    <mergeCell ref="C393:F393"/>
    <mergeCell ref="C403:F403"/>
    <mergeCell ref="C413:F413"/>
    <mergeCell ref="C423:F423"/>
  </mergeCells>
  <pageMargins left="0.70866141732283472" right="0.70866141732283472" top="0.55118110236220474" bottom="0.94488188976377963" header="0.31496062992125984" footer="0.31496062992125984"/>
  <pageSetup paperSize="9" scale="95" orientation="portrait" r:id="rId1"/>
</worksheet>
</file>

<file path=xl/worksheets/sheet49.xml><?xml version="1.0" encoding="utf-8"?>
<worksheet xmlns="http://schemas.openxmlformats.org/spreadsheetml/2006/main" xmlns:r="http://schemas.openxmlformats.org/officeDocument/2006/relationships">
  <sheetPr codeName="Sheet23"/>
  <dimension ref="A1:K647"/>
  <sheetViews>
    <sheetView workbookViewId="0">
      <selection activeCell="H176" sqref="H176"/>
    </sheetView>
  </sheetViews>
  <sheetFormatPr defaultColWidth="9.28515625" defaultRowHeight="15.75"/>
  <cols>
    <col min="1" max="1" width="9.28515625" style="559" customWidth="1"/>
    <col min="2" max="2" width="9.28515625" style="49"/>
    <col min="3" max="3" width="36.5703125" style="9" customWidth="1"/>
    <col min="4" max="4" width="12.42578125" style="559" customWidth="1"/>
    <col min="5" max="5" width="9.42578125" style="559" customWidth="1"/>
    <col min="6" max="6" width="13.7109375" style="20" customWidth="1"/>
    <col min="7" max="10" width="9.28515625" style="9"/>
    <col min="11" max="11" width="12.5703125" style="9" customWidth="1"/>
    <col min="12" max="16384" width="9.28515625" style="9"/>
  </cols>
  <sheetData>
    <row r="1" spans="1:6">
      <c r="A1" s="561"/>
      <c r="B1" s="561"/>
      <c r="C1" s="561" t="s">
        <v>241</v>
      </c>
      <c r="D1" s="561"/>
      <c r="E1" s="561"/>
      <c r="F1" s="561"/>
    </row>
    <row r="2" spans="1:6" ht="19.899999999999999" customHeight="1">
      <c r="A2" s="561"/>
      <c r="B2" s="561"/>
      <c r="C2" s="561" t="s">
        <v>642</v>
      </c>
      <c r="D2" s="561"/>
      <c r="E2" s="561"/>
      <c r="F2" s="561"/>
    </row>
    <row r="3" spans="1:6">
      <c r="A3" s="561" t="s">
        <v>242</v>
      </c>
      <c r="B3" s="561" t="s">
        <v>150</v>
      </c>
      <c r="C3" s="561" t="s">
        <v>243</v>
      </c>
      <c r="D3" s="561"/>
      <c r="E3" s="561" t="s">
        <v>3310</v>
      </c>
      <c r="F3" s="561"/>
    </row>
    <row r="4" spans="1:6" ht="17.25" customHeight="1">
      <c r="A4" s="561"/>
      <c r="B4" s="561"/>
      <c r="C4" s="561"/>
      <c r="D4" s="561"/>
      <c r="E4" s="561"/>
      <c r="F4" s="561"/>
    </row>
    <row r="5" spans="1:6">
      <c r="A5" s="561" t="s">
        <v>244</v>
      </c>
      <c r="B5" s="561" t="s">
        <v>150</v>
      </c>
      <c r="C5" s="561" t="s">
        <v>245</v>
      </c>
      <c r="D5" s="561" t="s">
        <v>246</v>
      </c>
      <c r="E5" s="561" t="s">
        <v>247</v>
      </c>
      <c r="F5" s="561" t="s">
        <v>248</v>
      </c>
    </row>
    <row r="6" spans="1:6">
      <c r="A6" s="561"/>
      <c r="B6" s="561"/>
      <c r="C6" s="561"/>
      <c r="D6" s="561"/>
      <c r="E6" s="561"/>
      <c r="F6" s="561"/>
    </row>
    <row r="7" spans="1:6">
      <c r="A7" s="561"/>
      <c r="B7" s="561" t="s">
        <v>249</v>
      </c>
      <c r="C7" s="561" t="s">
        <v>256</v>
      </c>
      <c r="D7" s="561"/>
      <c r="E7" s="561"/>
      <c r="F7" s="561"/>
    </row>
    <row r="8" spans="1:6">
      <c r="A8" s="561">
        <v>0.72</v>
      </c>
      <c r="B8" s="561" t="s">
        <v>251</v>
      </c>
      <c r="C8" s="561" t="s">
        <v>252</v>
      </c>
      <c r="D8" s="561">
        <v>5960</v>
      </c>
      <c r="E8" s="561" t="s">
        <v>251</v>
      </c>
      <c r="F8" s="561">
        <v>4291.2</v>
      </c>
    </row>
    <row r="9" spans="1:6">
      <c r="A9" s="561">
        <v>1</v>
      </c>
      <c r="B9" s="561" t="s">
        <v>151</v>
      </c>
      <c r="C9" s="561" t="s">
        <v>253</v>
      </c>
      <c r="D9" s="561">
        <v>2207.1799999999998</v>
      </c>
      <c r="E9" s="561" t="s">
        <v>151</v>
      </c>
      <c r="F9" s="561">
        <v>2207.1799999999998</v>
      </c>
    </row>
    <row r="10" spans="1:6">
      <c r="A10" s="561">
        <v>1</v>
      </c>
      <c r="B10" s="561" t="s">
        <v>151</v>
      </c>
      <c r="C10" s="561" t="s">
        <v>254</v>
      </c>
      <c r="D10" s="561">
        <v>140</v>
      </c>
      <c r="E10" s="561" t="s">
        <v>151</v>
      </c>
      <c r="F10" s="561">
        <v>140</v>
      </c>
    </row>
    <row r="11" spans="1:6">
      <c r="A11" s="561"/>
      <c r="B11" s="561" t="s">
        <v>226</v>
      </c>
      <c r="C11" s="561" t="s">
        <v>237</v>
      </c>
      <c r="D11" s="561" t="s">
        <v>150</v>
      </c>
      <c r="E11" s="561" t="s">
        <v>226</v>
      </c>
      <c r="F11" s="561"/>
    </row>
    <row r="12" spans="1:6">
      <c r="A12" s="561"/>
      <c r="B12" s="561"/>
      <c r="C12" s="561" t="s">
        <v>255</v>
      </c>
      <c r="D12" s="561"/>
      <c r="E12" s="561"/>
      <c r="F12" s="561">
        <v>6638.38</v>
      </c>
    </row>
    <row r="13" spans="1:6">
      <c r="A13" s="561"/>
      <c r="B13" s="561"/>
      <c r="C13" s="561"/>
      <c r="D13" s="561"/>
      <c r="E13" s="561"/>
      <c r="F13" s="561" t="s">
        <v>21</v>
      </c>
    </row>
    <row r="14" spans="1:6">
      <c r="A14" s="561"/>
      <c r="B14" s="561" t="s">
        <v>249</v>
      </c>
      <c r="C14" s="561" t="s">
        <v>257</v>
      </c>
      <c r="D14" s="561"/>
      <c r="E14" s="561"/>
      <c r="F14" s="561"/>
    </row>
    <row r="15" spans="1:6">
      <c r="A15" s="561">
        <v>0.48</v>
      </c>
      <c r="B15" s="561" t="s">
        <v>251</v>
      </c>
      <c r="C15" s="561" t="s">
        <v>252</v>
      </c>
      <c r="D15" s="561">
        <v>5960</v>
      </c>
      <c r="E15" s="561" t="s">
        <v>251</v>
      </c>
      <c r="F15" s="561">
        <v>2860.8</v>
      </c>
    </row>
    <row r="16" spans="1:6">
      <c r="A16" s="561">
        <v>1</v>
      </c>
      <c r="B16" s="561" t="s">
        <v>151</v>
      </c>
      <c r="C16" s="561" t="s">
        <v>253</v>
      </c>
      <c r="D16" s="561">
        <v>2207.1799999999998</v>
      </c>
      <c r="E16" s="561" t="s">
        <v>151</v>
      </c>
      <c r="F16" s="561">
        <v>2207.1799999999998</v>
      </c>
    </row>
    <row r="17" spans="1:6">
      <c r="A17" s="561">
        <v>1</v>
      </c>
      <c r="B17" s="561" t="s">
        <v>151</v>
      </c>
      <c r="C17" s="561" t="s">
        <v>254</v>
      </c>
      <c r="D17" s="561">
        <v>140</v>
      </c>
      <c r="E17" s="561" t="s">
        <v>151</v>
      </c>
      <c r="F17" s="561">
        <v>140</v>
      </c>
    </row>
    <row r="18" spans="1:6">
      <c r="A18" s="561"/>
      <c r="B18" s="561" t="s">
        <v>226</v>
      </c>
      <c r="C18" s="561" t="s">
        <v>237</v>
      </c>
      <c r="D18" s="561" t="s">
        <v>150</v>
      </c>
      <c r="E18" s="561" t="s">
        <v>226</v>
      </c>
      <c r="F18" s="561"/>
    </row>
    <row r="19" spans="1:6">
      <c r="A19" s="561"/>
      <c r="B19" s="561"/>
      <c r="C19" s="561" t="s">
        <v>255</v>
      </c>
      <c r="D19" s="561"/>
      <c r="E19" s="561"/>
      <c r="F19" s="561">
        <v>5207.9799999999996</v>
      </c>
    </row>
    <row r="20" spans="1:6">
      <c r="A20" s="561"/>
      <c r="B20" s="561"/>
      <c r="C20" s="561"/>
      <c r="D20" s="561"/>
      <c r="E20" s="561"/>
      <c r="F20" s="561" t="s">
        <v>21</v>
      </c>
    </row>
    <row r="21" spans="1:6">
      <c r="A21" s="561"/>
      <c r="B21" s="561" t="s">
        <v>249</v>
      </c>
      <c r="C21" s="561" t="s">
        <v>258</v>
      </c>
      <c r="D21" s="561"/>
      <c r="E21" s="561"/>
      <c r="F21" s="561"/>
    </row>
    <row r="22" spans="1:6">
      <c r="A22" s="561">
        <v>0.36</v>
      </c>
      <c r="B22" s="561" t="s">
        <v>251</v>
      </c>
      <c r="C22" s="561" t="s">
        <v>252</v>
      </c>
      <c r="D22" s="561">
        <v>5960</v>
      </c>
      <c r="E22" s="561" t="s">
        <v>251</v>
      </c>
      <c r="F22" s="561">
        <v>2145.6</v>
      </c>
    </row>
    <row r="23" spans="1:6">
      <c r="A23" s="561">
        <v>1</v>
      </c>
      <c r="B23" s="561" t="s">
        <v>151</v>
      </c>
      <c r="C23" s="561" t="s">
        <v>253</v>
      </c>
      <c r="D23" s="561">
        <v>2207.1799999999998</v>
      </c>
      <c r="E23" s="561" t="s">
        <v>151</v>
      </c>
      <c r="F23" s="561">
        <v>2207.1799999999998</v>
      </c>
    </row>
    <row r="24" spans="1:6">
      <c r="A24" s="561">
        <v>1</v>
      </c>
      <c r="B24" s="561" t="s">
        <v>151</v>
      </c>
      <c r="C24" s="561" t="s">
        <v>254</v>
      </c>
      <c r="D24" s="561">
        <v>140</v>
      </c>
      <c r="E24" s="561" t="s">
        <v>151</v>
      </c>
      <c r="F24" s="561">
        <v>140</v>
      </c>
    </row>
    <row r="25" spans="1:6">
      <c r="A25" s="561"/>
      <c r="B25" s="561" t="s">
        <v>226</v>
      </c>
      <c r="C25" s="561" t="s">
        <v>237</v>
      </c>
      <c r="D25" s="561" t="s">
        <v>150</v>
      </c>
      <c r="E25" s="561" t="s">
        <v>226</v>
      </c>
      <c r="F25" s="561"/>
    </row>
    <row r="26" spans="1:6">
      <c r="A26" s="561"/>
      <c r="B26" s="561"/>
      <c r="C26" s="561" t="s">
        <v>255</v>
      </c>
      <c r="D26" s="561"/>
      <c r="E26" s="561"/>
      <c r="F26" s="561">
        <v>4492.78</v>
      </c>
    </row>
    <row r="27" spans="1:6">
      <c r="A27" s="561"/>
      <c r="B27" s="561"/>
      <c r="C27" s="561"/>
      <c r="D27" s="561"/>
      <c r="E27" s="561"/>
      <c r="F27" s="561" t="s">
        <v>21</v>
      </c>
    </row>
    <row r="28" spans="1:6">
      <c r="A28" s="561"/>
      <c r="B28" s="561" t="s">
        <v>249</v>
      </c>
      <c r="C28" s="561" t="s">
        <v>259</v>
      </c>
      <c r="D28" s="561"/>
      <c r="E28" s="561"/>
      <c r="F28" s="561"/>
    </row>
    <row r="29" spans="1:6">
      <c r="A29" s="561">
        <v>0.28799999999999998</v>
      </c>
      <c r="B29" s="561" t="s">
        <v>251</v>
      </c>
      <c r="C29" s="561" t="s">
        <v>252</v>
      </c>
      <c r="D29" s="561">
        <v>5960</v>
      </c>
      <c r="E29" s="561" t="s">
        <v>251</v>
      </c>
      <c r="F29" s="561">
        <v>1716.48</v>
      </c>
    </row>
    <row r="30" spans="1:6">
      <c r="A30" s="561">
        <v>1</v>
      </c>
      <c r="B30" s="561" t="s">
        <v>151</v>
      </c>
      <c r="C30" s="561" t="s">
        <v>253</v>
      </c>
      <c r="D30" s="561">
        <v>2207.1799999999998</v>
      </c>
      <c r="E30" s="561" t="s">
        <v>151</v>
      </c>
      <c r="F30" s="561">
        <v>2207.1799999999998</v>
      </c>
    </row>
    <row r="31" spans="1:6">
      <c r="A31" s="561">
        <v>1</v>
      </c>
      <c r="B31" s="561" t="s">
        <v>151</v>
      </c>
      <c r="C31" s="561" t="s">
        <v>254</v>
      </c>
      <c r="D31" s="561">
        <v>140</v>
      </c>
      <c r="E31" s="561" t="s">
        <v>151</v>
      </c>
      <c r="F31" s="561">
        <v>140</v>
      </c>
    </row>
    <row r="32" spans="1:6">
      <c r="A32" s="561"/>
      <c r="B32" s="561" t="s">
        <v>226</v>
      </c>
      <c r="C32" s="561" t="s">
        <v>237</v>
      </c>
      <c r="D32" s="561" t="s">
        <v>150</v>
      </c>
      <c r="E32" s="561" t="s">
        <v>226</v>
      </c>
      <c r="F32" s="561"/>
    </row>
    <row r="33" spans="1:7">
      <c r="A33" s="561"/>
      <c r="B33" s="561"/>
      <c r="C33" s="561" t="s">
        <v>255</v>
      </c>
      <c r="D33" s="561"/>
      <c r="E33" s="561"/>
      <c r="F33" s="561">
        <v>4063.66</v>
      </c>
    </row>
    <row r="34" spans="1:7">
      <c r="A34" s="561"/>
      <c r="B34" s="561"/>
      <c r="C34" s="561"/>
      <c r="D34" s="561"/>
      <c r="E34" s="561"/>
      <c r="F34" s="561" t="s">
        <v>21</v>
      </c>
    </row>
    <row r="35" spans="1:7">
      <c r="A35" s="561"/>
      <c r="B35" s="561" t="s">
        <v>249</v>
      </c>
      <c r="C35" s="561" t="s">
        <v>260</v>
      </c>
      <c r="D35" s="561"/>
      <c r="E35" s="561"/>
      <c r="F35" s="561"/>
    </row>
    <row r="36" spans="1:7">
      <c r="A36" s="561">
        <v>0.24</v>
      </c>
      <c r="B36" s="561" t="s">
        <v>251</v>
      </c>
      <c r="C36" s="561" t="s">
        <v>252</v>
      </c>
      <c r="D36" s="561">
        <v>5960</v>
      </c>
      <c r="E36" s="561" t="s">
        <v>251</v>
      </c>
      <c r="F36" s="561">
        <v>1430.4</v>
      </c>
    </row>
    <row r="37" spans="1:7">
      <c r="A37" s="561">
        <v>1</v>
      </c>
      <c r="B37" s="561" t="s">
        <v>151</v>
      </c>
      <c r="C37" s="561" t="s">
        <v>253</v>
      </c>
      <c r="D37" s="561">
        <v>2207.1799999999998</v>
      </c>
      <c r="E37" s="561" t="s">
        <v>151</v>
      </c>
      <c r="F37" s="561">
        <v>2207.1799999999998</v>
      </c>
    </row>
    <row r="38" spans="1:7">
      <c r="A38" s="561">
        <v>1</v>
      </c>
      <c r="B38" s="561" t="s">
        <v>151</v>
      </c>
      <c r="C38" s="561" t="s">
        <v>254</v>
      </c>
      <c r="D38" s="561">
        <v>140</v>
      </c>
      <c r="E38" s="561" t="s">
        <v>151</v>
      </c>
      <c r="F38" s="561">
        <v>140</v>
      </c>
    </row>
    <row r="39" spans="1:7">
      <c r="A39" s="561"/>
      <c r="B39" s="561" t="s">
        <v>226</v>
      </c>
      <c r="C39" s="561" t="s">
        <v>237</v>
      </c>
      <c r="D39" s="561" t="s">
        <v>150</v>
      </c>
      <c r="E39" s="561" t="s">
        <v>226</v>
      </c>
      <c r="F39" s="561"/>
    </row>
    <row r="40" spans="1:7">
      <c r="A40" s="561"/>
      <c r="B40" s="561"/>
      <c r="C40" s="561"/>
      <c r="D40" s="561"/>
      <c r="E40" s="561"/>
      <c r="F40" s="561" t="s">
        <v>21</v>
      </c>
    </row>
    <row r="41" spans="1:7">
      <c r="A41" s="561"/>
      <c r="B41" s="561"/>
      <c r="C41" s="561" t="s">
        <v>255</v>
      </c>
      <c r="D41" s="561"/>
      <c r="E41" s="561"/>
      <c r="F41" s="561">
        <v>3777.58</v>
      </c>
    </row>
    <row r="43" spans="1:7">
      <c r="A43" s="561" t="s">
        <v>2224</v>
      </c>
      <c r="B43" s="561" t="s">
        <v>249</v>
      </c>
      <c r="C43" s="561" t="s">
        <v>2225</v>
      </c>
      <c r="D43" s="561"/>
      <c r="E43" s="561"/>
      <c r="F43" s="561"/>
      <c r="G43" s="561"/>
    </row>
    <row r="44" spans="1:7">
      <c r="A44" s="561"/>
      <c r="B44" s="561"/>
      <c r="C44" s="561" t="s">
        <v>2226</v>
      </c>
      <c r="D44" s="561"/>
      <c r="E44" s="561"/>
      <c r="F44" s="561"/>
      <c r="G44" s="561"/>
    </row>
    <row r="45" spans="1:7">
      <c r="A45" s="561"/>
      <c r="B45" s="561"/>
      <c r="C45" s="561" t="s">
        <v>2227</v>
      </c>
      <c r="D45" s="561"/>
      <c r="E45" s="561"/>
      <c r="F45" s="561"/>
      <c r="G45" s="561"/>
    </row>
    <row r="46" spans="1:7">
      <c r="A46" s="561"/>
      <c r="B46" s="561"/>
      <c r="C46" s="561" t="s">
        <v>2228</v>
      </c>
      <c r="D46" s="561"/>
      <c r="E46" s="561"/>
      <c r="F46" s="561"/>
      <c r="G46" s="561"/>
    </row>
    <row r="47" spans="1:7">
      <c r="A47" s="561">
        <v>1</v>
      </c>
      <c r="B47" s="561" t="s">
        <v>153</v>
      </c>
      <c r="C47" s="561" t="s">
        <v>2229</v>
      </c>
      <c r="D47" s="561">
        <v>1190</v>
      </c>
      <c r="E47" s="561" t="s">
        <v>153</v>
      </c>
      <c r="F47" s="561">
        <v>1190</v>
      </c>
      <c r="G47" s="561"/>
    </row>
    <row r="48" spans="1:7">
      <c r="A48" s="561">
        <v>0.65</v>
      </c>
      <c r="B48" s="561" t="s">
        <v>151</v>
      </c>
      <c r="C48" s="561" t="s">
        <v>2230</v>
      </c>
      <c r="D48" s="561">
        <v>270.48</v>
      </c>
      <c r="E48" s="561" t="s">
        <v>151</v>
      </c>
      <c r="F48" s="561">
        <v>175.81</v>
      </c>
      <c r="G48" s="561"/>
    </row>
    <row r="49" spans="1:7">
      <c r="A49" s="561">
        <v>0.56999999999999995</v>
      </c>
      <c r="B49" s="561" t="s">
        <v>151</v>
      </c>
      <c r="C49" s="561" t="s">
        <v>2231</v>
      </c>
      <c r="D49" s="561">
        <v>47.04</v>
      </c>
      <c r="E49" s="561" t="s">
        <v>151</v>
      </c>
      <c r="F49" s="561">
        <v>26.81</v>
      </c>
      <c r="G49" s="561"/>
    </row>
    <row r="50" spans="1:7">
      <c r="A50" s="561">
        <v>8.1000000000000003E-2</v>
      </c>
      <c r="B50" s="561" t="s">
        <v>151</v>
      </c>
      <c r="C50" s="561" t="s">
        <v>2232</v>
      </c>
      <c r="D50" s="561">
        <v>5316.65</v>
      </c>
      <c r="E50" s="561" t="s">
        <v>151</v>
      </c>
      <c r="F50" s="561">
        <v>430.65</v>
      </c>
      <c r="G50" s="561"/>
    </row>
    <row r="51" spans="1:7">
      <c r="A51" s="561">
        <v>1</v>
      </c>
      <c r="B51" s="561" t="s">
        <v>153</v>
      </c>
      <c r="C51" s="561" t="s">
        <v>558</v>
      </c>
      <c r="D51" s="561">
        <v>1045.8</v>
      </c>
      <c r="E51" s="561" t="s">
        <v>153</v>
      </c>
      <c r="F51" s="561">
        <v>1045.8</v>
      </c>
      <c r="G51" s="561"/>
    </row>
    <row r="52" spans="1:7">
      <c r="A52" s="561">
        <v>0.5</v>
      </c>
      <c r="B52" s="561" t="s">
        <v>153</v>
      </c>
      <c r="C52" s="561" t="s">
        <v>234</v>
      </c>
      <c r="D52" s="561">
        <v>1125.5999999999999</v>
      </c>
      <c r="E52" s="561" t="s">
        <v>153</v>
      </c>
      <c r="F52" s="561">
        <v>562.79999999999995</v>
      </c>
      <c r="G52" s="561"/>
    </row>
    <row r="53" spans="1:7">
      <c r="A53" s="561">
        <v>0.5</v>
      </c>
      <c r="B53" s="561" t="s">
        <v>153</v>
      </c>
      <c r="C53" s="561" t="s">
        <v>235</v>
      </c>
      <c r="D53" s="561">
        <v>786.8</v>
      </c>
      <c r="E53" s="561" t="s">
        <v>153</v>
      </c>
      <c r="F53" s="561">
        <v>393.4</v>
      </c>
      <c r="G53" s="561"/>
    </row>
    <row r="54" spans="1:7">
      <c r="A54" s="561"/>
      <c r="B54" s="561" t="s">
        <v>226</v>
      </c>
      <c r="C54" s="561" t="s">
        <v>237</v>
      </c>
      <c r="D54" s="561" t="s">
        <v>150</v>
      </c>
      <c r="E54" s="561" t="s">
        <v>226</v>
      </c>
      <c r="F54" s="561">
        <v>1.25</v>
      </c>
      <c r="G54" s="561"/>
    </row>
    <row r="55" spans="1:7">
      <c r="A55" s="561"/>
      <c r="B55" s="561"/>
      <c r="C55" s="561" t="s">
        <v>1233</v>
      </c>
      <c r="D55" s="561"/>
      <c r="E55" s="561"/>
      <c r="F55" s="561">
        <v>3826.52</v>
      </c>
      <c r="G55" s="561"/>
    </row>
    <row r="56" spans="1:7">
      <c r="A56" s="561"/>
      <c r="B56" s="561" t="s">
        <v>150</v>
      </c>
      <c r="C56" s="561" t="s">
        <v>150</v>
      </c>
      <c r="D56" s="561"/>
      <c r="E56" s="561"/>
      <c r="F56" s="561" t="s">
        <v>150</v>
      </c>
      <c r="G56" s="561"/>
    </row>
    <row r="57" spans="1:7">
      <c r="A57" s="561"/>
      <c r="B57" s="561"/>
      <c r="C57" s="561"/>
      <c r="D57" s="561"/>
      <c r="E57" s="561" t="s">
        <v>150</v>
      </c>
      <c r="F57" s="561" t="s">
        <v>150</v>
      </c>
      <c r="G57" s="561"/>
    </row>
    <row r="58" spans="1:7">
      <c r="A58" s="561" t="s">
        <v>2235</v>
      </c>
      <c r="B58" s="561" t="s">
        <v>249</v>
      </c>
      <c r="C58" s="561" t="s">
        <v>2225</v>
      </c>
      <c r="D58" s="561"/>
      <c r="E58" s="561"/>
      <c r="F58" s="561"/>
      <c r="G58" s="561"/>
    </row>
    <row r="59" spans="1:7">
      <c r="A59" s="561"/>
      <c r="B59" s="561"/>
      <c r="C59" s="561" t="s">
        <v>2226</v>
      </c>
      <c r="D59" s="561"/>
      <c r="E59" s="561"/>
      <c r="F59" s="561"/>
      <c r="G59" s="561"/>
    </row>
    <row r="60" spans="1:7">
      <c r="A60" s="561"/>
      <c r="B60" s="561"/>
      <c r="C60" s="561" t="s">
        <v>2227</v>
      </c>
      <c r="D60" s="561"/>
      <c r="E60" s="561"/>
      <c r="F60" s="561"/>
      <c r="G60" s="561"/>
    </row>
    <row r="61" spans="1:7">
      <c r="A61" s="561"/>
      <c r="B61" s="561"/>
      <c r="C61" s="561" t="s">
        <v>2236</v>
      </c>
      <c r="D61" s="561"/>
      <c r="E61" s="561"/>
      <c r="F61" s="561"/>
      <c r="G61" s="561"/>
    </row>
    <row r="62" spans="1:7">
      <c r="A62" s="561">
        <v>1</v>
      </c>
      <c r="B62" s="561" t="s">
        <v>153</v>
      </c>
      <c r="C62" s="561" t="s">
        <v>2229</v>
      </c>
      <c r="D62" s="561">
        <v>1190</v>
      </c>
      <c r="E62" s="561" t="s">
        <v>153</v>
      </c>
      <c r="F62" s="561">
        <v>1190</v>
      </c>
      <c r="G62" s="561"/>
    </row>
    <row r="63" spans="1:7">
      <c r="A63" s="561">
        <v>0.40500000000000003</v>
      </c>
      <c r="B63" s="561" t="s">
        <v>151</v>
      </c>
      <c r="C63" s="561" t="s">
        <v>2237</v>
      </c>
      <c r="D63" s="561">
        <v>5280.27</v>
      </c>
      <c r="E63" s="561" t="s">
        <v>151</v>
      </c>
      <c r="F63" s="561">
        <v>2138.5100000000002</v>
      </c>
      <c r="G63" s="561"/>
    </row>
    <row r="64" spans="1:7">
      <c r="A64" s="561"/>
      <c r="B64" s="561"/>
      <c r="C64" s="561" t="s">
        <v>2238</v>
      </c>
      <c r="D64" s="561" t="s">
        <v>150</v>
      </c>
      <c r="E64" s="561"/>
      <c r="F64" s="561" t="s">
        <v>150</v>
      </c>
      <c r="G64" s="561"/>
    </row>
    <row r="65" spans="1:7">
      <c r="A65" s="561">
        <v>1.89</v>
      </c>
      <c r="B65" s="561" t="s">
        <v>152</v>
      </c>
      <c r="C65" s="561" t="s">
        <v>2239</v>
      </c>
      <c r="D65" s="561">
        <v>324.3</v>
      </c>
      <c r="E65" s="561" t="s">
        <v>152</v>
      </c>
      <c r="F65" s="561">
        <v>612.92999999999995</v>
      </c>
      <c r="G65" s="561"/>
    </row>
    <row r="66" spans="1:7">
      <c r="A66" s="561"/>
      <c r="B66" s="561"/>
      <c r="C66" s="561" t="s">
        <v>2240</v>
      </c>
      <c r="D66" s="561" t="s">
        <v>150</v>
      </c>
      <c r="E66" s="561"/>
      <c r="F66" s="561" t="s">
        <v>150</v>
      </c>
      <c r="G66" s="561"/>
    </row>
    <row r="67" spans="1:7">
      <c r="A67" s="561">
        <v>8.1000000000000003E-2</v>
      </c>
      <c r="B67" s="561" t="s">
        <v>151</v>
      </c>
      <c r="C67" s="561" t="s">
        <v>2241</v>
      </c>
      <c r="D67" s="561">
        <v>5316.65</v>
      </c>
      <c r="E67" s="561" t="s">
        <v>151</v>
      </c>
      <c r="F67" s="561">
        <v>430.65</v>
      </c>
      <c r="G67" s="561"/>
    </row>
    <row r="68" spans="1:7">
      <c r="A68" s="561"/>
      <c r="B68" s="561"/>
      <c r="C68" s="561" t="s">
        <v>2242</v>
      </c>
      <c r="D68" s="561"/>
      <c r="E68" s="561"/>
      <c r="F68" s="561"/>
      <c r="G68" s="561"/>
    </row>
    <row r="69" spans="1:7">
      <c r="A69" s="561">
        <v>1</v>
      </c>
      <c r="B69" s="561" t="s">
        <v>4</v>
      </c>
      <c r="C69" s="561" t="s">
        <v>558</v>
      </c>
      <c r="D69" s="561">
        <v>1045.8</v>
      </c>
      <c r="E69" s="561" t="s">
        <v>4</v>
      </c>
      <c r="F69" s="561">
        <v>1045.8</v>
      </c>
      <c r="G69" s="561"/>
    </row>
    <row r="70" spans="1:7">
      <c r="A70" s="561">
        <v>0.5</v>
      </c>
      <c r="B70" s="561" t="s">
        <v>153</v>
      </c>
      <c r="C70" s="561" t="s">
        <v>234</v>
      </c>
      <c r="D70" s="561">
        <v>1125.5999999999999</v>
      </c>
      <c r="E70" s="561" t="s">
        <v>153</v>
      </c>
      <c r="F70" s="561">
        <v>562.79999999999995</v>
      </c>
      <c r="G70" s="561"/>
    </row>
    <row r="71" spans="1:7">
      <c r="A71" s="561">
        <v>0.5</v>
      </c>
      <c r="B71" s="561" t="s">
        <v>153</v>
      </c>
      <c r="C71" s="561" t="s">
        <v>235</v>
      </c>
      <c r="D71" s="561">
        <v>786.8</v>
      </c>
      <c r="E71" s="561" t="s">
        <v>153</v>
      </c>
      <c r="F71" s="561">
        <v>393.4</v>
      </c>
      <c r="G71" s="561"/>
    </row>
    <row r="72" spans="1:7">
      <c r="A72" s="561"/>
      <c r="B72" s="561" t="s">
        <v>226</v>
      </c>
      <c r="C72" s="561" t="s">
        <v>237</v>
      </c>
      <c r="D72" s="561" t="s">
        <v>150</v>
      </c>
      <c r="E72" s="561" t="s">
        <v>226</v>
      </c>
      <c r="F72" s="561">
        <v>1.03</v>
      </c>
      <c r="G72" s="561"/>
    </row>
    <row r="73" spans="1:7">
      <c r="A73" s="561"/>
      <c r="B73" s="561"/>
      <c r="C73" s="561" t="s">
        <v>1233</v>
      </c>
      <c r="D73" s="561"/>
      <c r="E73" s="561"/>
      <c r="F73" s="561">
        <v>6375.12</v>
      </c>
      <c r="G73" s="561"/>
    </row>
    <row r="74" spans="1:7">
      <c r="A74" s="561"/>
      <c r="B74" s="561"/>
      <c r="C74" s="561"/>
      <c r="D74" s="561"/>
      <c r="E74" s="561"/>
      <c r="F74" s="561"/>
      <c r="G74" s="561"/>
    </row>
    <row r="75" spans="1:7">
      <c r="A75" s="561" t="s">
        <v>585</v>
      </c>
      <c r="B75" s="561" t="s">
        <v>249</v>
      </c>
      <c r="C75" s="561" t="s">
        <v>586</v>
      </c>
      <c r="D75" s="561"/>
      <c r="E75" s="561"/>
      <c r="F75" s="561"/>
      <c r="G75" s="561"/>
    </row>
    <row r="76" spans="1:7">
      <c r="A76" s="561"/>
      <c r="B76" s="561"/>
      <c r="C76" s="561" t="s">
        <v>587</v>
      </c>
      <c r="D76" s="561"/>
      <c r="E76" s="561"/>
      <c r="F76" s="561"/>
      <c r="G76" s="561"/>
    </row>
    <row r="77" spans="1:7">
      <c r="A77" s="561"/>
      <c r="B77" s="561"/>
      <c r="C77" s="561" t="s">
        <v>21</v>
      </c>
      <c r="D77" s="561"/>
      <c r="E77" s="561"/>
      <c r="F77" s="561"/>
      <c r="G77" s="561"/>
    </row>
    <row r="78" spans="1:7">
      <c r="A78" s="561"/>
      <c r="B78" s="561" t="s">
        <v>588</v>
      </c>
      <c r="C78" s="561" t="s">
        <v>589</v>
      </c>
      <c r="D78" s="561"/>
      <c r="E78" s="561"/>
      <c r="F78" s="561"/>
      <c r="G78" s="561"/>
    </row>
    <row r="79" spans="1:7">
      <c r="A79" s="561"/>
      <c r="B79" s="561"/>
      <c r="C79" s="561" t="s">
        <v>590</v>
      </c>
      <c r="D79" s="561"/>
      <c r="E79" s="561"/>
      <c r="F79" s="561"/>
      <c r="G79" s="561"/>
    </row>
    <row r="80" spans="1:7">
      <c r="A80" s="561"/>
      <c r="B80" s="561"/>
      <c r="C80" s="561" t="s">
        <v>592</v>
      </c>
      <c r="D80" s="561"/>
      <c r="E80" s="561"/>
      <c r="F80" s="561"/>
      <c r="G80" s="561"/>
    </row>
    <row r="81" spans="1:7">
      <c r="A81" s="561"/>
      <c r="B81" s="561"/>
      <c r="C81" s="561" t="s">
        <v>593</v>
      </c>
      <c r="D81" s="561"/>
      <c r="E81" s="561"/>
      <c r="F81" s="561"/>
      <c r="G81" s="561"/>
    </row>
    <row r="82" spans="1:7">
      <c r="A82" s="561"/>
      <c r="B82" s="561"/>
      <c r="C82" s="561" t="s">
        <v>594</v>
      </c>
      <c r="D82" s="561"/>
      <c r="E82" s="561"/>
      <c r="F82" s="561"/>
      <c r="G82" s="561"/>
    </row>
    <row r="83" spans="1:7">
      <c r="A83" s="561"/>
      <c r="B83" s="561"/>
      <c r="C83" s="561" t="s">
        <v>595</v>
      </c>
      <c r="D83" s="561"/>
      <c r="E83" s="561"/>
      <c r="F83" s="561"/>
      <c r="G83" s="561"/>
    </row>
    <row r="84" spans="1:7">
      <c r="A84" s="561"/>
      <c r="B84" s="561"/>
      <c r="C84" s="561" t="s">
        <v>563</v>
      </c>
      <c r="D84" s="561"/>
      <c r="E84" s="561"/>
      <c r="F84" s="561"/>
      <c r="G84" s="561"/>
    </row>
    <row r="85" spans="1:7">
      <c r="A85" s="561">
        <v>3</v>
      </c>
      <c r="B85" s="561" t="s">
        <v>552</v>
      </c>
      <c r="C85" s="561" t="s">
        <v>564</v>
      </c>
      <c r="D85" s="561">
        <v>193.05</v>
      </c>
      <c r="E85" s="561" t="s">
        <v>552</v>
      </c>
      <c r="F85" s="561">
        <v>579.15</v>
      </c>
      <c r="G85" s="561"/>
    </row>
    <row r="86" spans="1:7">
      <c r="A86" s="561">
        <v>1</v>
      </c>
      <c r="B86" s="561" t="s">
        <v>4</v>
      </c>
      <c r="C86" s="561" t="s">
        <v>565</v>
      </c>
      <c r="D86" s="561">
        <v>76</v>
      </c>
      <c r="E86" s="561" t="s">
        <v>566</v>
      </c>
      <c r="F86" s="561">
        <v>76</v>
      </c>
      <c r="G86" s="561"/>
    </row>
    <row r="87" spans="1:7">
      <c r="A87" s="561">
        <v>1</v>
      </c>
      <c r="B87" s="561" t="s">
        <v>4</v>
      </c>
      <c r="C87" s="561" t="s">
        <v>567</v>
      </c>
      <c r="D87" s="561">
        <v>78.400000000000006</v>
      </c>
      <c r="E87" s="561" t="s">
        <v>566</v>
      </c>
      <c r="F87" s="561">
        <v>78.400000000000006</v>
      </c>
      <c r="G87" s="561"/>
    </row>
    <row r="88" spans="1:7">
      <c r="A88" s="561">
        <v>1</v>
      </c>
      <c r="B88" s="561" t="s">
        <v>4</v>
      </c>
      <c r="C88" s="561" t="s">
        <v>568</v>
      </c>
      <c r="D88" s="561">
        <v>178.9</v>
      </c>
      <c r="E88" s="561" t="s">
        <v>566</v>
      </c>
      <c r="F88" s="561">
        <v>178.9</v>
      </c>
      <c r="G88" s="561"/>
    </row>
    <row r="89" spans="1:7">
      <c r="A89" s="561">
        <v>0.5</v>
      </c>
      <c r="B89" s="561" t="s">
        <v>153</v>
      </c>
      <c r="C89" s="561" t="s">
        <v>558</v>
      </c>
      <c r="D89" s="561">
        <v>1045.8</v>
      </c>
      <c r="E89" s="561" t="s">
        <v>566</v>
      </c>
      <c r="F89" s="561">
        <v>522.9</v>
      </c>
      <c r="G89" s="561"/>
    </row>
    <row r="90" spans="1:7">
      <c r="A90" s="561">
        <v>0.5</v>
      </c>
      <c r="B90" s="561" t="s">
        <v>153</v>
      </c>
      <c r="C90" s="561" t="s">
        <v>234</v>
      </c>
      <c r="D90" s="561">
        <v>1125.5999999999999</v>
      </c>
      <c r="E90" s="561" t="s">
        <v>566</v>
      </c>
      <c r="F90" s="561">
        <v>562.79999999999995</v>
      </c>
      <c r="G90" s="561"/>
    </row>
    <row r="91" spans="1:7">
      <c r="A91" s="561">
        <v>0.5</v>
      </c>
      <c r="B91" s="561" t="s">
        <v>153</v>
      </c>
      <c r="C91" s="561" t="s">
        <v>235</v>
      </c>
      <c r="D91" s="561">
        <v>786.8</v>
      </c>
      <c r="E91" s="561" t="s">
        <v>566</v>
      </c>
      <c r="F91" s="561">
        <v>393.4</v>
      </c>
      <c r="G91" s="561"/>
    </row>
    <row r="92" spans="1:7">
      <c r="A92" s="561"/>
      <c r="B92" s="561" t="s">
        <v>226</v>
      </c>
      <c r="C92" s="561" t="s">
        <v>569</v>
      </c>
      <c r="D92" s="561">
        <v>2.79</v>
      </c>
      <c r="E92" s="561" t="s">
        <v>226</v>
      </c>
      <c r="F92" s="561">
        <v>2.79</v>
      </c>
      <c r="G92" s="561"/>
    </row>
    <row r="93" spans="1:7">
      <c r="A93" s="561"/>
      <c r="B93" s="561"/>
      <c r="C93" s="561" t="s">
        <v>570</v>
      </c>
      <c r="D93" s="561"/>
      <c r="E93" s="561"/>
      <c r="F93" s="561"/>
      <c r="G93" s="561"/>
    </row>
    <row r="94" spans="1:7">
      <c r="A94" s="561"/>
      <c r="B94" s="561"/>
      <c r="C94" s="561" t="s">
        <v>571</v>
      </c>
      <c r="D94" s="561"/>
      <c r="E94" s="561"/>
      <c r="F94" s="561"/>
      <c r="G94" s="561"/>
    </row>
    <row r="95" spans="1:7">
      <c r="A95" s="561"/>
      <c r="B95" s="561"/>
      <c r="C95" s="561" t="s">
        <v>572</v>
      </c>
      <c r="D95" s="561"/>
      <c r="E95" s="561" t="s">
        <v>226</v>
      </c>
      <c r="F95" s="561">
        <v>0.12</v>
      </c>
      <c r="G95" s="561"/>
    </row>
    <row r="96" spans="1:7">
      <c r="A96" s="561"/>
      <c r="B96" s="561"/>
      <c r="C96" s="561" t="s">
        <v>561</v>
      </c>
      <c r="D96" s="561"/>
      <c r="E96" s="561"/>
      <c r="F96" s="561">
        <v>2394.46</v>
      </c>
      <c r="G96" s="561"/>
    </row>
    <row r="97" spans="1:7">
      <c r="A97" s="561"/>
      <c r="B97" s="561"/>
      <c r="C97" s="561" t="s">
        <v>562</v>
      </c>
      <c r="D97" s="561"/>
      <c r="E97" s="561"/>
      <c r="F97" s="561">
        <v>798.15</v>
      </c>
      <c r="G97" s="561"/>
    </row>
    <row r="98" spans="1:7">
      <c r="A98" s="561"/>
      <c r="B98" s="561"/>
      <c r="C98" s="561"/>
      <c r="D98" s="561"/>
      <c r="E98" s="561"/>
      <c r="F98" s="561" t="s">
        <v>21</v>
      </c>
      <c r="G98" s="561"/>
    </row>
    <row r="99" spans="1:7">
      <c r="A99" s="561" t="s">
        <v>573</v>
      </c>
      <c r="B99" s="561" t="s">
        <v>574</v>
      </c>
      <c r="C99" s="561" t="s">
        <v>575</v>
      </c>
      <c r="D99" s="561"/>
      <c r="E99" s="561"/>
      <c r="F99" s="561"/>
      <c r="G99" s="561"/>
    </row>
    <row r="100" spans="1:7">
      <c r="A100" s="561"/>
      <c r="B100" s="561"/>
      <c r="C100" s="561" t="s">
        <v>576</v>
      </c>
      <c r="D100" s="561"/>
      <c r="E100" s="561"/>
      <c r="F100" s="561"/>
      <c r="G100" s="561"/>
    </row>
    <row r="101" spans="1:7">
      <c r="A101" s="561"/>
      <c r="B101" s="561"/>
      <c r="C101" s="561" t="s">
        <v>592</v>
      </c>
      <c r="D101" s="561"/>
      <c r="E101" s="561"/>
      <c r="F101" s="561"/>
      <c r="G101" s="561"/>
    </row>
    <row r="102" spans="1:7">
      <c r="A102" s="561"/>
      <c r="B102" s="561"/>
      <c r="C102" s="561" t="s">
        <v>596</v>
      </c>
      <c r="D102" s="561"/>
      <c r="E102" s="561"/>
      <c r="F102" s="561"/>
      <c r="G102" s="561"/>
    </row>
    <row r="103" spans="1:7">
      <c r="A103" s="561"/>
      <c r="B103" s="561"/>
      <c r="C103" s="561" t="s">
        <v>597</v>
      </c>
      <c r="D103" s="561"/>
      <c r="E103" s="561"/>
      <c r="F103" s="561"/>
      <c r="G103" s="561"/>
    </row>
    <row r="104" spans="1:7">
      <c r="A104" s="561"/>
      <c r="B104" s="561"/>
      <c r="C104" s="561" t="s">
        <v>595</v>
      </c>
      <c r="D104" s="561"/>
      <c r="E104" s="561"/>
      <c r="F104" s="561"/>
      <c r="G104" s="561"/>
    </row>
    <row r="105" spans="1:7">
      <c r="A105" s="561"/>
      <c r="B105" s="561"/>
      <c r="C105" s="561" t="s">
        <v>563</v>
      </c>
      <c r="D105" s="561"/>
      <c r="E105" s="561"/>
      <c r="F105" s="561"/>
      <c r="G105" s="561"/>
    </row>
    <row r="106" spans="1:7">
      <c r="A106" s="561">
        <v>3</v>
      </c>
      <c r="B106" s="561" t="s">
        <v>552</v>
      </c>
      <c r="C106" s="561" t="s">
        <v>577</v>
      </c>
      <c r="D106" s="561">
        <v>115.85</v>
      </c>
      <c r="E106" s="561" t="s">
        <v>552</v>
      </c>
      <c r="F106" s="561">
        <v>347.55</v>
      </c>
      <c r="G106" s="561"/>
    </row>
    <row r="107" spans="1:7">
      <c r="A107" s="561">
        <v>1</v>
      </c>
      <c r="B107" s="561" t="s">
        <v>4</v>
      </c>
      <c r="C107" s="561" t="s">
        <v>578</v>
      </c>
      <c r="D107" s="561">
        <v>45</v>
      </c>
      <c r="E107" s="561" t="s">
        <v>566</v>
      </c>
      <c r="F107" s="561">
        <v>45</v>
      </c>
      <c r="G107" s="561"/>
    </row>
    <row r="108" spans="1:7">
      <c r="A108" s="561">
        <v>1</v>
      </c>
      <c r="B108" s="561" t="s">
        <v>4</v>
      </c>
      <c r="C108" s="561" t="s">
        <v>579</v>
      </c>
      <c r="D108" s="561">
        <v>52.9</v>
      </c>
      <c r="E108" s="561" t="s">
        <v>566</v>
      </c>
      <c r="F108" s="561">
        <v>52.9</v>
      </c>
      <c r="G108" s="561"/>
    </row>
    <row r="109" spans="1:7">
      <c r="A109" s="561">
        <v>1</v>
      </c>
      <c r="B109" s="561" t="s">
        <v>4</v>
      </c>
      <c r="C109" s="561" t="s">
        <v>580</v>
      </c>
      <c r="D109" s="561">
        <v>119.3</v>
      </c>
      <c r="E109" s="561" t="s">
        <v>566</v>
      </c>
      <c r="F109" s="561">
        <v>119.3</v>
      </c>
      <c r="G109" s="561"/>
    </row>
    <row r="110" spans="1:7">
      <c r="A110" s="561">
        <v>0.5</v>
      </c>
      <c r="B110" s="561" t="s">
        <v>153</v>
      </c>
      <c r="C110" s="561" t="s">
        <v>558</v>
      </c>
      <c r="D110" s="561">
        <v>1045.8</v>
      </c>
      <c r="E110" s="561" t="s">
        <v>566</v>
      </c>
      <c r="F110" s="561">
        <v>522.9</v>
      </c>
      <c r="G110" s="561"/>
    </row>
    <row r="111" spans="1:7">
      <c r="A111" s="561">
        <v>0.5</v>
      </c>
      <c r="B111" s="561" t="s">
        <v>153</v>
      </c>
      <c r="C111" s="561" t="s">
        <v>234</v>
      </c>
      <c r="D111" s="561">
        <v>1125.5999999999999</v>
      </c>
      <c r="E111" s="561" t="s">
        <v>566</v>
      </c>
      <c r="F111" s="561">
        <v>562.79999999999995</v>
      </c>
      <c r="G111" s="561"/>
    </row>
    <row r="112" spans="1:7">
      <c r="A112" s="561">
        <v>0.5</v>
      </c>
      <c r="B112" s="561" t="s">
        <v>153</v>
      </c>
      <c r="C112" s="561" t="s">
        <v>235</v>
      </c>
      <c r="D112" s="561">
        <v>786.8</v>
      </c>
      <c r="E112" s="561" t="s">
        <v>566</v>
      </c>
      <c r="F112" s="561">
        <v>393.4</v>
      </c>
      <c r="G112" s="561"/>
    </row>
    <row r="113" spans="1:7">
      <c r="A113" s="561"/>
      <c r="B113" s="561" t="s">
        <v>226</v>
      </c>
      <c r="C113" s="561" t="s">
        <v>569</v>
      </c>
      <c r="D113" s="561" t="s">
        <v>150</v>
      </c>
      <c r="E113" s="561" t="s">
        <v>226</v>
      </c>
      <c r="F113" s="561">
        <v>2.73</v>
      </c>
      <c r="G113" s="561"/>
    </row>
    <row r="114" spans="1:7">
      <c r="A114" s="561"/>
      <c r="B114" s="561"/>
      <c r="C114" s="561" t="s">
        <v>570</v>
      </c>
      <c r="D114" s="561"/>
      <c r="E114" s="561"/>
      <c r="F114" s="561"/>
      <c r="G114" s="561"/>
    </row>
    <row r="115" spans="1:7">
      <c r="A115" s="561"/>
      <c r="B115" s="561"/>
      <c r="C115" s="561" t="s">
        <v>571</v>
      </c>
      <c r="D115" s="561"/>
      <c r="E115" s="561"/>
      <c r="F115" s="561"/>
      <c r="G115" s="561"/>
    </row>
    <row r="116" spans="1:7">
      <c r="A116" s="561"/>
      <c r="B116" s="561"/>
      <c r="C116" s="561" t="s">
        <v>572</v>
      </c>
      <c r="D116" s="561"/>
      <c r="E116" s="561" t="s">
        <v>226</v>
      </c>
      <c r="F116" s="561">
        <v>0.27</v>
      </c>
      <c r="G116" s="561"/>
    </row>
    <row r="117" spans="1:7">
      <c r="A117" s="561"/>
      <c r="B117" s="561"/>
      <c r="C117" s="561" t="s">
        <v>561</v>
      </c>
      <c r="D117" s="561"/>
      <c r="E117" s="561"/>
      <c r="F117" s="561">
        <v>2046.85</v>
      </c>
      <c r="G117" s="561"/>
    </row>
    <row r="118" spans="1:7">
      <c r="A118" s="561"/>
      <c r="B118" s="561"/>
      <c r="C118" s="561" t="s">
        <v>562</v>
      </c>
      <c r="D118" s="561"/>
      <c r="E118" s="561"/>
      <c r="F118" s="561">
        <v>682.28</v>
      </c>
      <c r="G118" s="561"/>
    </row>
    <row r="119" spans="1:7">
      <c r="A119" s="561"/>
      <c r="B119" s="561"/>
      <c r="C119" s="561"/>
      <c r="D119" s="561"/>
      <c r="E119" s="561"/>
      <c r="F119" s="561"/>
      <c r="G119" s="561"/>
    </row>
    <row r="120" spans="1:7">
      <c r="A120" s="561">
        <v>44.1</v>
      </c>
      <c r="B120" s="561" t="s">
        <v>249</v>
      </c>
      <c r="C120" s="561" t="s">
        <v>549</v>
      </c>
      <c r="D120" s="561"/>
      <c r="E120" s="561"/>
      <c r="F120" s="561"/>
      <c r="G120" s="561"/>
    </row>
    <row r="121" spans="1:7">
      <c r="A121" s="561"/>
      <c r="B121" s="561"/>
      <c r="C121" s="561" t="s">
        <v>550</v>
      </c>
      <c r="D121" s="561"/>
      <c r="E121" s="561"/>
      <c r="F121" s="561"/>
      <c r="G121" s="561"/>
    </row>
    <row r="122" spans="1:7">
      <c r="A122" s="561"/>
      <c r="B122" s="561"/>
      <c r="C122" s="561" t="s">
        <v>551</v>
      </c>
      <c r="D122" s="561"/>
      <c r="E122" s="561"/>
      <c r="F122" s="561"/>
      <c r="G122" s="561"/>
    </row>
    <row r="123" spans="1:7">
      <c r="A123" s="561"/>
      <c r="B123" s="561"/>
      <c r="C123" s="561" t="s">
        <v>21</v>
      </c>
      <c r="D123" s="561"/>
      <c r="E123" s="561"/>
      <c r="F123" s="561"/>
      <c r="G123" s="561"/>
    </row>
    <row r="124" spans="1:7">
      <c r="A124" s="561">
        <v>3</v>
      </c>
      <c r="B124" s="561" t="s">
        <v>552</v>
      </c>
      <c r="C124" s="561" t="s">
        <v>553</v>
      </c>
      <c r="D124" s="561">
        <v>120.54</v>
      </c>
      <c r="E124" s="561" t="s">
        <v>552</v>
      </c>
      <c r="F124" s="561">
        <v>361.62</v>
      </c>
      <c r="G124" s="561"/>
    </row>
    <row r="125" spans="1:7">
      <c r="A125" s="561">
        <v>1</v>
      </c>
      <c r="B125" s="561" t="s">
        <v>153</v>
      </c>
      <c r="C125" s="561" t="s">
        <v>554</v>
      </c>
      <c r="D125" s="561">
        <v>76</v>
      </c>
      <c r="E125" s="561" t="s">
        <v>153</v>
      </c>
      <c r="F125" s="561">
        <v>76</v>
      </c>
      <c r="G125" s="561"/>
    </row>
    <row r="126" spans="1:7">
      <c r="A126" s="561">
        <v>1</v>
      </c>
      <c r="B126" s="561" t="s">
        <v>153</v>
      </c>
      <c r="C126" s="561" t="s">
        <v>555</v>
      </c>
      <c r="D126" s="561">
        <v>79.5</v>
      </c>
      <c r="E126" s="561" t="s">
        <v>153</v>
      </c>
      <c r="F126" s="561">
        <v>79.5</v>
      </c>
      <c r="G126" s="561"/>
    </row>
    <row r="127" spans="1:7">
      <c r="A127" s="561">
        <v>2</v>
      </c>
      <c r="B127" s="561" t="s">
        <v>153</v>
      </c>
      <c r="C127" s="561" t="s">
        <v>556</v>
      </c>
      <c r="D127" s="561">
        <v>21.4</v>
      </c>
      <c r="E127" s="561" t="s">
        <v>153</v>
      </c>
      <c r="F127" s="561">
        <v>42.8</v>
      </c>
      <c r="G127" s="561"/>
    </row>
    <row r="128" spans="1:7">
      <c r="A128" s="561">
        <v>1</v>
      </c>
      <c r="B128" s="561" t="s">
        <v>153</v>
      </c>
      <c r="C128" s="561" t="s">
        <v>557</v>
      </c>
      <c r="D128" s="561">
        <v>31.8</v>
      </c>
      <c r="E128" s="561" t="s">
        <v>153</v>
      </c>
      <c r="F128" s="561">
        <v>31.8</v>
      </c>
      <c r="G128" s="561"/>
    </row>
    <row r="129" spans="1:7">
      <c r="A129" s="561">
        <v>0.5</v>
      </c>
      <c r="B129" s="561" t="s">
        <v>153</v>
      </c>
      <c r="C129" s="561" t="s">
        <v>558</v>
      </c>
      <c r="D129" s="561">
        <v>1045.8</v>
      </c>
      <c r="E129" s="561" t="s">
        <v>153</v>
      </c>
      <c r="F129" s="561">
        <v>522.9</v>
      </c>
      <c r="G129" s="561"/>
    </row>
    <row r="130" spans="1:7">
      <c r="A130" s="561"/>
      <c r="B130" s="561" t="s">
        <v>226</v>
      </c>
      <c r="C130" s="561" t="s">
        <v>559</v>
      </c>
      <c r="D130" s="561"/>
      <c r="E130" s="561" t="s">
        <v>226</v>
      </c>
      <c r="F130" s="561"/>
      <c r="G130" s="561"/>
    </row>
    <row r="131" spans="1:7">
      <c r="A131" s="561"/>
      <c r="B131" s="561"/>
      <c r="C131" s="561" t="s">
        <v>560</v>
      </c>
      <c r="D131" s="561"/>
      <c r="E131" s="561"/>
      <c r="F131" s="561"/>
      <c r="G131" s="561"/>
    </row>
    <row r="132" spans="1:7">
      <c r="A132" s="561"/>
      <c r="B132" s="561"/>
      <c r="C132" s="561" t="s">
        <v>561</v>
      </c>
      <c r="D132" s="561"/>
      <c r="E132" s="561"/>
      <c r="F132" s="561">
        <v>1114.6199999999999</v>
      </c>
      <c r="G132" s="561"/>
    </row>
    <row r="133" spans="1:7">
      <c r="A133" s="561"/>
      <c r="B133" s="561"/>
      <c r="C133" s="561" t="s">
        <v>562</v>
      </c>
      <c r="D133" s="561"/>
      <c r="E133" s="561"/>
      <c r="F133" s="561">
        <v>371.54</v>
      </c>
      <c r="G133" s="561"/>
    </row>
    <row r="134" spans="1:7" ht="30.4" customHeight="1">
      <c r="A134" s="561"/>
      <c r="B134" s="561"/>
      <c r="C134" s="561"/>
      <c r="D134" s="561"/>
      <c r="E134" s="561"/>
      <c r="F134" s="561"/>
      <c r="G134" s="561"/>
    </row>
    <row r="135" spans="1:7">
      <c r="A135" s="561">
        <v>29.5</v>
      </c>
      <c r="B135" s="561" t="s">
        <v>249</v>
      </c>
      <c r="C135" s="561" t="s">
        <v>1880</v>
      </c>
      <c r="D135" s="561"/>
      <c r="E135" s="561"/>
      <c r="F135" s="561"/>
      <c r="G135" s="561"/>
    </row>
    <row r="136" spans="1:7">
      <c r="A136" s="561"/>
      <c r="B136" s="561"/>
      <c r="C136" s="561" t="s">
        <v>1881</v>
      </c>
      <c r="D136" s="561"/>
      <c r="E136" s="561"/>
      <c r="F136" s="561"/>
      <c r="G136" s="561"/>
    </row>
    <row r="137" spans="1:7">
      <c r="A137" s="561"/>
      <c r="B137" s="561"/>
      <c r="C137" s="561" t="s">
        <v>1882</v>
      </c>
      <c r="D137" s="561"/>
      <c r="E137" s="561"/>
      <c r="F137" s="561"/>
      <c r="G137" s="561"/>
    </row>
    <row r="138" spans="1:7" ht="15.6" customHeight="1">
      <c r="A138" s="561">
        <v>10</v>
      </c>
      <c r="B138" s="561" t="s">
        <v>152</v>
      </c>
      <c r="C138" s="561" t="s">
        <v>1883</v>
      </c>
      <c r="D138" s="561">
        <v>363.34</v>
      </c>
      <c r="E138" s="561" t="s">
        <v>152</v>
      </c>
      <c r="F138" s="561">
        <v>3633.4</v>
      </c>
      <c r="G138" s="561"/>
    </row>
    <row r="139" spans="1:7">
      <c r="A139" s="561">
        <v>0.21</v>
      </c>
      <c r="B139" s="561" t="s">
        <v>151</v>
      </c>
      <c r="C139" s="561" t="s">
        <v>298</v>
      </c>
      <c r="D139" s="561">
        <v>5207.9799999999996</v>
      </c>
      <c r="E139" s="561" t="s">
        <v>151</v>
      </c>
      <c r="F139" s="561">
        <v>1093.68</v>
      </c>
      <c r="G139" s="561"/>
    </row>
    <row r="140" spans="1:7">
      <c r="A140" s="561"/>
      <c r="B140" s="561"/>
      <c r="C140" s="561" t="s">
        <v>1860</v>
      </c>
      <c r="D140" s="561" t="s">
        <v>150</v>
      </c>
      <c r="E140" s="561"/>
      <c r="F140" s="561" t="s">
        <v>150</v>
      </c>
      <c r="G140" s="561"/>
    </row>
    <row r="141" spans="1:7">
      <c r="A141" s="561">
        <v>1.1000000000000001</v>
      </c>
      <c r="B141" s="561" t="s">
        <v>4</v>
      </c>
      <c r="C141" s="561" t="s">
        <v>269</v>
      </c>
      <c r="D141" s="561">
        <v>1205.4000000000001</v>
      </c>
      <c r="E141" s="561" t="s">
        <v>4</v>
      </c>
      <c r="F141" s="561">
        <v>1325.94</v>
      </c>
      <c r="G141" s="561"/>
    </row>
    <row r="142" spans="1:7">
      <c r="A142" s="561">
        <v>1.1000000000000001</v>
      </c>
      <c r="B142" s="561" t="s">
        <v>4</v>
      </c>
      <c r="C142" s="561" t="s">
        <v>234</v>
      </c>
      <c r="D142" s="561">
        <v>1125.5999999999999</v>
      </c>
      <c r="E142" s="561" t="s">
        <v>4</v>
      </c>
      <c r="F142" s="561">
        <v>1238.1600000000001</v>
      </c>
      <c r="G142" s="561"/>
    </row>
    <row r="143" spans="1:7">
      <c r="A143" s="561">
        <v>2.2000000000000002</v>
      </c>
      <c r="B143" s="561" t="s">
        <v>4</v>
      </c>
      <c r="C143" s="561" t="s">
        <v>235</v>
      </c>
      <c r="D143" s="561">
        <v>786.8</v>
      </c>
      <c r="E143" s="561" t="s">
        <v>4</v>
      </c>
      <c r="F143" s="561">
        <v>1730.96</v>
      </c>
      <c r="G143" s="561"/>
    </row>
    <row r="144" spans="1:7">
      <c r="A144" s="561">
        <v>2.2000000000000002</v>
      </c>
      <c r="B144" s="561" t="s">
        <v>4</v>
      </c>
      <c r="C144" s="561" t="s">
        <v>236</v>
      </c>
      <c r="D144" s="561">
        <v>645.4</v>
      </c>
      <c r="E144" s="561" t="s">
        <v>4</v>
      </c>
      <c r="F144" s="561">
        <v>1419.88</v>
      </c>
      <c r="G144" s="561"/>
    </row>
    <row r="145" spans="1:7">
      <c r="A145" s="561">
        <v>20</v>
      </c>
      <c r="B145" s="561" t="s">
        <v>13</v>
      </c>
      <c r="C145" s="561" t="s">
        <v>252</v>
      </c>
      <c r="D145" s="561">
        <v>5960</v>
      </c>
      <c r="E145" s="561" t="s">
        <v>251</v>
      </c>
      <c r="F145" s="561">
        <v>119.2</v>
      </c>
      <c r="G145" s="561"/>
    </row>
    <row r="146" spans="1:7">
      <c r="A146" s="561">
        <v>2</v>
      </c>
      <c r="B146" s="561" t="s">
        <v>13</v>
      </c>
      <c r="C146" s="561" t="s">
        <v>1886</v>
      </c>
      <c r="D146" s="561">
        <v>36.1</v>
      </c>
      <c r="E146" s="561" t="s">
        <v>13</v>
      </c>
      <c r="F146" s="561">
        <v>72.2</v>
      </c>
      <c r="G146" s="561"/>
    </row>
    <row r="147" spans="1:7">
      <c r="A147" s="561">
        <v>1.6</v>
      </c>
      <c r="B147" s="561" t="s">
        <v>4</v>
      </c>
      <c r="C147" s="561" t="s">
        <v>234</v>
      </c>
      <c r="D147" s="561">
        <v>1125.5999999999999</v>
      </c>
      <c r="E147" s="561" t="s">
        <v>4</v>
      </c>
      <c r="F147" s="561">
        <v>1800.96</v>
      </c>
      <c r="G147" s="561"/>
    </row>
    <row r="148" spans="1:7">
      <c r="A148" s="561">
        <v>0.5</v>
      </c>
      <c r="B148" s="561" t="s">
        <v>4</v>
      </c>
      <c r="C148" s="561" t="s">
        <v>235</v>
      </c>
      <c r="D148" s="561">
        <v>786.8</v>
      </c>
      <c r="E148" s="561" t="s">
        <v>4</v>
      </c>
      <c r="F148" s="561">
        <v>393.4</v>
      </c>
      <c r="G148" s="561"/>
    </row>
    <row r="149" spans="1:7">
      <c r="A149" s="561">
        <v>1.1000000000000001</v>
      </c>
      <c r="B149" s="561" t="s">
        <v>4</v>
      </c>
      <c r="C149" s="561" t="s">
        <v>236</v>
      </c>
      <c r="D149" s="561">
        <v>645.4</v>
      </c>
      <c r="E149" s="561" t="s">
        <v>4</v>
      </c>
      <c r="F149" s="561">
        <v>709.94</v>
      </c>
      <c r="G149" s="561"/>
    </row>
    <row r="150" spans="1:7">
      <c r="A150" s="561"/>
      <c r="B150" s="561" t="s">
        <v>226</v>
      </c>
      <c r="C150" s="561" t="s">
        <v>237</v>
      </c>
      <c r="D150" s="561"/>
      <c r="E150" s="561" t="s">
        <v>226</v>
      </c>
      <c r="F150" s="561">
        <v>0</v>
      </c>
      <c r="G150" s="561"/>
    </row>
    <row r="151" spans="1:7">
      <c r="A151" s="561"/>
      <c r="B151" s="561"/>
      <c r="C151" s="561" t="s">
        <v>238</v>
      </c>
      <c r="D151" s="561"/>
      <c r="E151" s="561"/>
      <c r="F151" s="561">
        <v>13537.72</v>
      </c>
      <c r="G151" s="561"/>
    </row>
    <row r="152" spans="1:7">
      <c r="A152" s="561"/>
      <c r="B152" s="561"/>
      <c r="C152" s="561" t="s">
        <v>155</v>
      </c>
      <c r="D152" s="561"/>
      <c r="E152" s="561"/>
      <c r="F152" s="561">
        <v>1353.77</v>
      </c>
      <c r="G152" s="561"/>
    </row>
    <row r="153" spans="1:7">
      <c r="A153" s="561"/>
      <c r="B153" s="561"/>
      <c r="C153" s="561"/>
      <c r="D153" s="561"/>
      <c r="E153" s="561"/>
      <c r="F153" s="561"/>
      <c r="G153" s="561"/>
    </row>
    <row r="154" spans="1:7">
      <c r="A154" s="561">
        <v>29.4</v>
      </c>
      <c r="B154" s="561" t="s">
        <v>249</v>
      </c>
      <c r="C154" s="561" t="s">
        <v>1893</v>
      </c>
      <c r="D154" s="561"/>
      <c r="E154" s="561"/>
      <c r="F154" s="561"/>
      <c r="G154" s="561"/>
    </row>
    <row r="155" spans="1:7">
      <c r="A155" s="561"/>
      <c r="B155" s="561"/>
      <c r="C155" s="561" t="s">
        <v>1895</v>
      </c>
      <c r="D155" s="561"/>
      <c r="E155" s="561"/>
      <c r="F155" s="561"/>
      <c r="G155" s="561"/>
    </row>
    <row r="156" spans="1:7">
      <c r="A156" s="561">
        <v>1.86</v>
      </c>
      <c r="B156" s="561" t="s">
        <v>152</v>
      </c>
      <c r="C156" s="561" t="s">
        <v>1896</v>
      </c>
      <c r="D156" s="561">
        <v>400</v>
      </c>
      <c r="E156" s="561" t="s">
        <v>152</v>
      </c>
      <c r="F156" s="561">
        <v>744</v>
      </c>
      <c r="G156" s="561"/>
    </row>
    <row r="157" spans="1:7">
      <c r="A157" s="561">
        <v>0.4</v>
      </c>
      <c r="B157" s="561" t="s">
        <v>13</v>
      </c>
      <c r="C157" s="561" t="s">
        <v>1864</v>
      </c>
      <c r="D157" s="561">
        <v>36.1</v>
      </c>
      <c r="E157" s="561" t="s">
        <v>13</v>
      </c>
      <c r="F157" s="561">
        <v>14.44</v>
      </c>
      <c r="G157" s="561"/>
    </row>
    <row r="158" spans="1:7">
      <c r="A158" s="561">
        <v>0.02</v>
      </c>
      <c r="B158" s="561" t="s">
        <v>151</v>
      </c>
      <c r="C158" s="561" t="s">
        <v>1892</v>
      </c>
      <c r="D158" s="561">
        <v>6638.38</v>
      </c>
      <c r="E158" s="561" t="s">
        <v>151</v>
      </c>
      <c r="F158" s="561">
        <v>132.77000000000001</v>
      </c>
      <c r="G158" s="561"/>
    </row>
    <row r="159" spans="1:7">
      <c r="A159" s="561">
        <v>1</v>
      </c>
      <c r="B159" s="561" t="s">
        <v>4</v>
      </c>
      <c r="C159" s="561" t="s">
        <v>269</v>
      </c>
      <c r="D159" s="561">
        <v>1205.4000000000001</v>
      </c>
      <c r="E159" s="561" t="s">
        <v>4</v>
      </c>
      <c r="F159" s="561">
        <v>1205.4000000000001</v>
      </c>
      <c r="G159" s="561"/>
    </row>
    <row r="160" spans="1:7">
      <c r="A160" s="561">
        <v>1</v>
      </c>
      <c r="B160" s="561" t="s">
        <v>4</v>
      </c>
      <c r="C160" s="561" t="s">
        <v>1894</v>
      </c>
      <c r="D160" s="561">
        <v>786.8</v>
      </c>
      <c r="E160" s="561" t="s">
        <v>4</v>
      </c>
      <c r="F160" s="561">
        <v>786.8</v>
      </c>
      <c r="G160" s="561"/>
    </row>
    <row r="161" spans="1:7">
      <c r="A161" s="561"/>
      <c r="B161" s="561" t="s">
        <v>226</v>
      </c>
      <c r="C161" s="561" t="s">
        <v>237</v>
      </c>
      <c r="D161" s="561"/>
      <c r="E161" s="561" t="s">
        <v>226</v>
      </c>
      <c r="F161" s="561"/>
      <c r="G161" s="561"/>
    </row>
    <row r="162" spans="1:7">
      <c r="A162" s="561"/>
      <c r="B162" s="561"/>
      <c r="C162" s="561" t="s">
        <v>1897</v>
      </c>
      <c r="D162" s="561"/>
      <c r="E162" s="561"/>
      <c r="F162" s="561">
        <v>2883.41</v>
      </c>
      <c r="G162" s="561"/>
    </row>
    <row r="163" spans="1:7">
      <c r="A163" s="561"/>
      <c r="B163" s="561"/>
      <c r="C163" s="561" t="s">
        <v>155</v>
      </c>
      <c r="D163" s="561"/>
      <c r="E163" s="561"/>
      <c r="F163" s="561">
        <v>1550.22</v>
      </c>
      <c r="G163" s="561"/>
    </row>
    <row r="164" spans="1:7">
      <c r="A164" s="561"/>
      <c r="B164" s="561"/>
      <c r="C164" s="561"/>
      <c r="D164" s="561"/>
      <c r="E164" s="561"/>
      <c r="F164" s="561"/>
      <c r="G164" s="561"/>
    </row>
    <row r="165" spans="1:7">
      <c r="A165" s="561"/>
      <c r="B165" s="561"/>
      <c r="C165" s="561" t="s">
        <v>1582</v>
      </c>
      <c r="D165" s="561"/>
      <c r="E165" s="561"/>
      <c r="F165" s="561"/>
      <c r="G165" s="561"/>
    </row>
    <row r="166" spans="1:7">
      <c r="A166" s="561"/>
      <c r="B166" s="561"/>
      <c r="C166" s="561" t="s">
        <v>2735</v>
      </c>
      <c r="D166" s="561"/>
      <c r="E166" s="561"/>
      <c r="F166" s="561"/>
      <c r="G166" s="561"/>
    </row>
    <row r="167" spans="1:7">
      <c r="A167" s="561"/>
      <c r="B167" s="561"/>
      <c r="C167" s="561" t="s">
        <v>2737</v>
      </c>
      <c r="D167" s="561"/>
      <c r="E167" s="561"/>
      <c r="F167" s="561"/>
      <c r="G167" s="561"/>
    </row>
    <row r="168" spans="1:7">
      <c r="A168" s="561">
        <v>0.1</v>
      </c>
      <c r="B168" s="561" t="s">
        <v>154</v>
      </c>
      <c r="C168" s="561" t="s">
        <v>536</v>
      </c>
      <c r="D168" s="561">
        <v>1064</v>
      </c>
      <c r="E168" s="561" t="s">
        <v>340</v>
      </c>
      <c r="F168" s="561">
        <v>106.4</v>
      </c>
      <c r="G168" s="561"/>
    </row>
    <row r="169" spans="1:7">
      <c r="A169" s="561">
        <v>0.1</v>
      </c>
      <c r="B169" s="561" t="s">
        <v>2739</v>
      </c>
      <c r="C169" s="561" t="s">
        <v>1830</v>
      </c>
      <c r="D169" s="561">
        <v>786.8</v>
      </c>
      <c r="E169" s="561" t="s">
        <v>340</v>
      </c>
      <c r="F169" s="561">
        <v>78.680000000000007</v>
      </c>
      <c r="G169" s="561"/>
    </row>
    <row r="170" spans="1:7">
      <c r="A170" s="561">
        <v>10</v>
      </c>
      <c r="B170" s="561" t="s">
        <v>2741</v>
      </c>
      <c r="C170" s="561" t="s">
        <v>3400</v>
      </c>
      <c r="D170" s="561">
        <v>18.3</v>
      </c>
      <c r="E170" s="561" t="s">
        <v>2743</v>
      </c>
      <c r="F170" s="561">
        <v>1.83</v>
      </c>
      <c r="G170" s="561"/>
    </row>
    <row r="171" spans="1:7" ht="15.6" customHeight="1">
      <c r="A171" s="561">
        <v>0.25</v>
      </c>
      <c r="B171" s="561" t="s">
        <v>154</v>
      </c>
      <c r="C171" s="561" t="s">
        <v>3401</v>
      </c>
      <c r="D171" s="561">
        <v>3.57</v>
      </c>
      <c r="E171" s="561" t="s">
        <v>340</v>
      </c>
      <c r="F171" s="561">
        <v>1</v>
      </c>
      <c r="G171" s="561"/>
    </row>
    <row r="172" spans="1:7" ht="15.6" customHeight="1">
      <c r="A172" s="561"/>
      <c r="B172" s="561"/>
      <c r="C172" s="561"/>
      <c r="D172" s="561" t="s">
        <v>2749</v>
      </c>
      <c r="E172" s="561"/>
      <c r="F172" s="561">
        <v>187.91</v>
      </c>
      <c r="G172" s="561"/>
    </row>
    <row r="173" spans="1:7">
      <c r="A173" s="561"/>
      <c r="B173" s="561"/>
      <c r="C173" s="561"/>
      <c r="D173" s="561"/>
      <c r="E173" s="561"/>
      <c r="F173" s="561"/>
      <c r="G173" s="561"/>
    </row>
    <row r="174" spans="1:7">
      <c r="A174" s="561"/>
      <c r="B174" s="561"/>
      <c r="C174" s="561" t="s">
        <v>2624</v>
      </c>
      <c r="D174" s="561" t="s">
        <v>2751</v>
      </c>
      <c r="E174" s="561"/>
      <c r="F174" s="561" t="s">
        <v>2752</v>
      </c>
      <c r="G174" s="561"/>
    </row>
    <row r="175" spans="1:7">
      <c r="A175" s="561"/>
      <c r="B175" s="561"/>
      <c r="C175" s="561"/>
      <c r="D175" s="561">
        <v>331</v>
      </c>
      <c r="E175" s="561"/>
      <c r="F175" s="561">
        <v>283</v>
      </c>
      <c r="G175" s="561"/>
    </row>
    <row r="176" spans="1:7">
      <c r="A176" s="561"/>
      <c r="B176" s="561"/>
      <c r="C176" s="561" t="s">
        <v>2754</v>
      </c>
      <c r="D176" s="561">
        <v>187.91</v>
      </c>
      <c r="E176" s="561"/>
      <c r="F176" s="561">
        <v>187.91</v>
      </c>
      <c r="G176" s="561"/>
    </row>
    <row r="177" spans="1:7">
      <c r="A177" s="561"/>
      <c r="B177" s="561"/>
      <c r="C177" s="561" t="s">
        <v>2379</v>
      </c>
      <c r="D177" s="561">
        <v>518.91</v>
      </c>
      <c r="E177" s="561"/>
      <c r="F177" s="561">
        <v>470.91</v>
      </c>
      <c r="G177" s="561"/>
    </row>
    <row r="178" spans="1:7">
      <c r="A178" s="561"/>
      <c r="B178" s="561"/>
      <c r="C178" s="561"/>
      <c r="D178" s="561">
        <v>519</v>
      </c>
      <c r="E178" s="561"/>
      <c r="F178" s="561">
        <v>471</v>
      </c>
      <c r="G178" s="561"/>
    </row>
    <row r="179" spans="1:7">
      <c r="A179" s="561"/>
      <c r="B179" s="561"/>
      <c r="C179" s="561"/>
      <c r="D179" s="561"/>
      <c r="E179" s="561"/>
      <c r="F179" s="561"/>
      <c r="G179" s="561"/>
    </row>
    <row r="180" spans="1:7">
      <c r="A180" s="561">
        <v>52</v>
      </c>
      <c r="B180" s="561" t="s">
        <v>249</v>
      </c>
      <c r="C180" s="561" t="s">
        <v>2183</v>
      </c>
      <c r="D180" s="561"/>
      <c r="E180" s="561"/>
      <c r="F180" s="561"/>
      <c r="G180" s="561"/>
    </row>
    <row r="181" spans="1:7">
      <c r="A181" s="561"/>
      <c r="B181" s="561"/>
      <c r="C181" s="561" t="s">
        <v>2184</v>
      </c>
      <c r="D181" s="561"/>
      <c r="E181" s="561"/>
      <c r="F181" s="561"/>
      <c r="G181" s="561"/>
    </row>
    <row r="182" spans="1:7" ht="15.6" customHeight="1">
      <c r="A182" s="561"/>
      <c r="B182" s="561"/>
      <c r="C182" s="561" t="s">
        <v>2186</v>
      </c>
      <c r="D182" s="561"/>
      <c r="E182" s="561"/>
      <c r="F182" s="561"/>
      <c r="G182" s="561"/>
    </row>
    <row r="183" spans="1:7">
      <c r="A183" s="561"/>
      <c r="B183" s="561"/>
      <c r="C183" s="561" t="s">
        <v>2188</v>
      </c>
      <c r="D183" s="561"/>
      <c r="E183" s="561"/>
      <c r="F183" s="561"/>
      <c r="G183" s="561"/>
    </row>
    <row r="184" spans="1:7">
      <c r="A184" s="561"/>
      <c r="B184" s="561"/>
      <c r="C184" s="561" t="s">
        <v>2189</v>
      </c>
      <c r="D184" s="561"/>
      <c r="E184" s="561"/>
      <c r="F184" s="561"/>
      <c r="G184" s="561"/>
    </row>
    <row r="185" spans="1:7">
      <c r="A185" s="561"/>
      <c r="B185" s="561"/>
      <c r="C185" s="561" t="s">
        <v>2190</v>
      </c>
      <c r="D185" s="561"/>
      <c r="E185" s="561"/>
      <c r="F185" s="561"/>
      <c r="G185" s="561"/>
    </row>
    <row r="186" spans="1:7">
      <c r="A186" s="561"/>
      <c r="B186" s="561"/>
      <c r="C186" s="561" t="s">
        <v>2191</v>
      </c>
      <c r="D186" s="561"/>
      <c r="E186" s="561"/>
      <c r="F186" s="561"/>
      <c r="G186" s="561"/>
    </row>
    <row r="187" spans="1:7">
      <c r="A187" s="561"/>
      <c r="B187" s="561"/>
      <c r="C187" s="561" t="s">
        <v>2192</v>
      </c>
      <c r="D187" s="561"/>
      <c r="E187" s="561"/>
      <c r="F187" s="561"/>
      <c r="G187" s="561"/>
    </row>
    <row r="188" spans="1:7">
      <c r="A188" s="561"/>
      <c r="B188" s="561" t="s">
        <v>249</v>
      </c>
      <c r="C188" s="561" t="s">
        <v>513</v>
      </c>
      <c r="D188" s="561"/>
      <c r="E188" s="561"/>
      <c r="F188" s="561"/>
      <c r="G188" s="561"/>
    </row>
    <row r="189" spans="1:7">
      <c r="A189" s="561"/>
      <c r="B189" s="561"/>
      <c r="C189" s="561" t="s">
        <v>591</v>
      </c>
      <c r="D189" s="561"/>
      <c r="E189" s="561"/>
      <c r="F189" s="561"/>
      <c r="G189" s="561"/>
    </row>
    <row r="190" spans="1:7">
      <c r="A190" s="561"/>
      <c r="B190" s="561" t="s">
        <v>514</v>
      </c>
      <c r="C190" s="561" t="s">
        <v>515</v>
      </c>
      <c r="D190" s="561"/>
      <c r="E190" s="561"/>
      <c r="F190" s="561"/>
      <c r="G190" s="561"/>
    </row>
    <row r="191" spans="1:7">
      <c r="A191" s="561">
        <v>1</v>
      </c>
      <c r="B191" s="561" t="s">
        <v>303</v>
      </c>
      <c r="C191" s="561" t="s">
        <v>516</v>
      </c>
      <c r="D191" s="561">
        <v>26</v>
      </c>
      <c r="E191" s="561" t="s">
        <v>303</v>
      </c>
      <c r="F191" s="561">
        <v>26</v>
      </c>
      <c r="G191" s="561"/>
    </row>
    <row r="192" spans="1:7" ht="15.6" customHeight="1">
      <c r="A192" s="561">
        <v>1</v>
      </c>
      <c r="B192" s="561" t="s">
        <v>226</v>
      </c>
      <c r="C192" s="561" t="s">
        <v>517</v>
      </c>
      <c r="D192" s="561">
        <v>18.2</v>
      </c>
      <c r="E192" s="561" t="s">
        <v>226</v>
      </c>
      <c r="F192" s="561">
        <v>18.2</v>
      </c>
      <c r="G192" s="561"/>
    </row>
    <row r="193" spans="1:7">
      <c r="A193" s="561">
        <v>1</v>
      </c>
      <c r="B193" s="561" t="s">
        <v>303</v>
      </c>
      <c r="C193" s="561" t="s">
        <v>518</v>
      </c>
      <c r="D193" s="561">
        <v>217.84</v>
      </c>
      <c r="E193" s="561" t="s">
        <v>303</v>
      </c>
      <c r="F193" s="561">
        <v>217.84</v>
      </c>
      <c r="G193" s="561"/>
    </row>
    <row r="194" spans="1:7">
      <c r="A194" s="561"/>
      <c r="B194" s="561"/>
      <c r="C194" s="561" t="s">
        <v>519</v>
      </c>
      <c r="D194" s="561"/>
      <c r="E194" s="561"/>
      <c r="F194" s="561">
        <v>262.04000000000002</v>
      </c>
      <c r="G194" s="561"/>
    </row>
    <row r="195" spans="1:7">
      <c r="A195" s="561"/>
      <c r="B195" s="561"/>
      <c r="C195" s="561" t="s">
        <v>150</v>
      </c>
      <c r="D195" s="561" t="s">
        <v>150</v>
      </c>
      <c r="E195" s="561"/>
      <c r="F195" s="561"/>
      <c r="G195" s="561"/>
    </row>
    <row r="196" spans="1:7">
      <c r="A196" s="561"/>
      <c r="B196" s="561" t="s">
        <v>520</v>
      </c>
      <c r="C196" s="561" t="s">
        <v>521</v>
      </c>
      <c r="D196" s="561"/>
      <c r="E196" s="561"/>
      <c r="F196" s="561"/>
      <c r="G196" s="561"/>
    </row>
    <row r="197" spans="1:7">
      <c r="A197" s="561">
        <v>1</v>
      </c>
      <c r="B197" s="561" t="s">
        <v>303</v>
      </c>
      <c r="C197" s="561" t="s">
        <v>522</v>
      </c>
      <c r="D197" s="561">
        <v>35</v>
      </c>
      <c r="E197" s="561" t="s">
        <v>303</v>
      </c>
      <c r="F197" s="561">
        <v>35</v>
      </c>
      <c r="G197" s="561"/>
    </row>
    <row r="198" spans="1:7">
      <c r="A198" s="561">
        <v>1</v>
      </c>
      <c r="B198" s="561" t="s">
        <v>226</v>
      </c>
      <c r="C198" s="561" t="s">
        <v>523</v>
      </c>
      <c r="D198" s="561">
        <v>14</v>
      </c>
      <c r="E198" s="561" t="s">
        <v>226</v>
      </c>
      <c r="F198" s="561">
        <v>14</v>
      </c>
      <c r="G198" s="561"/>
    </row>
    <row r="199" spans="1:7">
      <c r="A199" s="561">
        <v>1</v>
      </c>
      <c r="B199" s="561" t="s">
        <v>303</v>
      </c>
      <c r="C199" s="561" t="s">
        <v>518</v>
      </c>
      <c r="D199" s="561">
        <v>217.83</v>
      </c>
      <c r="E199" s="561" t="s">
        <v>303</v>
      </c>
      <c r="F199" s="561">
        <v>217.83</v>
      </c>
      <c r="G199" s="561"/>
    </row>
    <row r="200" spans="1:7">
      <c r="A200" s="561"/>
      <c r="B200" s="561"/>
      <c r="C200" s="561" t="s">
        <v>519</v>
      </c>
      <c r="D200" s="561"/>
      <c r="E200" s="561"/>
      <c r="F200" s="561">
        <v>266.83</v>
      </c>
      <c r="G200" s="561"/>
    </row>
    <row r="201" spans="1:7">
      <c r="A201" s="561"/>
      <c r="B201" s="561"/>
      <c r="C201" s="561"/>
      <c r="D201" s="561" t="s">
        <v>150</v>
      </c>
      <c r="E201" s="561"/>
      <c r="F201" s="561"/>
      <c r="G201" s="561"/>
    </row>
    <row r="202" spans="1:7" ht="15.6" customHeight="1">
      <c r="A202" s="561"/>
      <c r="B202" s="561" t="s">
        <v>524</v>
      </c>
      <c r="C202" s="561" t="s">
        <v>525</v>
      </c>
      <c r="D202" s="561"/>
      <c r="E202" s="561"/>
      <c r="F202" s="561"/>
      <c r="G202" s="561"/>
    </row>
    <row r="203" spans="1:7">
      <c r="A203" s="561">
        <v>1</v>
      </c>
      <c r="B203" s="561" t="s">
        <v>303</v>
      </c>
      <c r="C203" s="561" t="s">
        <v>526</v>
      </c>
      <c r="D203" s="561">
        <v>52</v>
      </c>
      <c r="E203" s="561" t="s">
        <v>303</v>
      </c>
      <c r="F203" s="561">
        <v>52</v>
      </c>
      <c r="G203" s="561"/>
    </row>
    <row r="204" spans="1:7">
      <c r="A204" s="561">
        <v>1</v>
      </c>
      <c r="B204" s="561" t="s">
        <v>226</v>
      </c>
      <c r="C204" s="561" t="s">
        <v>527</v>
      </c>
      <c r="D204" s="561">
        <v>10.4</v>
      </c>
      <c r="E204" s="561" t="s">
        <v>226</v>
      </c>
      <c r="F204" s="561">
        <v>10.4</v>
      </c>
      <c r="G204" s="561"/>
    </row>
    <row r="205" spans="1:7">
      <c r="A205" s="561">
        <v>1</v>
      </c>
      <c r="B205" s="561" t="s">
        <v>303</v>
      </c>
      <c r="C205" s="561" t="s">
        <v>518</v>
      </c>
      <c r="D205" s="561">
        <v>221.66</v>
      </c>
      <c r="E205" s="561" t="s">
        <v>303</v>
      </c>
      <c r="F205" s="561">
        <v>221.66</v>
      </c>
      <c r="G205" s="561"/>
    </row>
    <row r="206" spans="1:7">
      <c r="A206" s="561"/>
      <c r="B206" s="561"/>
      <c r="C206" s="561" t="s">
        <v>519</v>
      </c>
      <c r="D206" s="561"/>
      <c r="E206" s="561"/>
      <c r="F206" s="561">
        <v>284.06</v>
      </c>
      <c r="G206" s="561"/>
    </row>
    <row r="207" spans="1:7">
      <c r="A207" s="561"/>
      <c r="B207" s="561"/>
      <c r="C207" s="561"/>
      <c r="D207" s="561"/>
      <c r="E207" s="561"/>
      <c r="F207" s="561"/>
      <c r="G207" s="561"/>
    </row>
    <row r="208" spans="1:7">
      <c r="A208" s="565"/>
      <c r="B208" s="565" t="s">
        <v>3402</v>
      </c>
      <c r="C208" s="565"/>
      <c r="D208" s="565"/>
      <c r="E208" s="565"/>
      <c r="F208" s="565"/>
      <c r="G208" s="565"/>
    </row>
    <row r="209" spans="1:7">
      <c r="A209" s="566">
        <v>38.86</v>
      </c>
      <c r="B209" s="566" t="s">
        <v>534</v>
      </c>
      <c r="C209" s="566" t="s">
        <v>3123</v>
      </c>
      <c r="D209" s="566">
        <v>301</v>
      </c>
      <c r="E209" s="566" t="s">
        <v>534</v>
      </c>
      <c r="F209" s="566">
        <f>A209*D209</f>
        <v>11696.86</v>
      </c>
      <c r="G209" s="566"/>
    </row>
    <row r="210" spans="1:7">
      <c r="A210" s="566">
        <v>2.4300000000000002</v>
      </c>
      <c r="B210" s="566" t="s">
        <v>533</v>
      </c>
      <c r="C210" s="566" t="s">
        <v>3403</v>
      </c>
      <c r="D210" s="566">
        <v>695</v>
      </c>
      <c r="E210" s="566" t="s">
        <v>533</v>
      </c>
      <c r="F210" s="566">
        <f t="shared" ref="F210:F217" si="0">A210*D210</f>
        <v>1688.8500000000001</v>
      </c>
      <c r="G210" s="566"/>
    </row>
    <row r="211" spans="1:7">
      <c r="A211" s="566">
        <v>4.8499999999999996</v>
      </c>
      <c r="B211" s="566" t="s">
        <v>533</v>
      </c>
      <c r="C211" s="566" t="s">
        <v>3044</v>
      </c>
      <c r="D211" s="566">
        <v>695</v>
      </c>
      <c r="E211" s="566" t="s">
        <v>4</v>
      </c>
      <c r="F211" s="566">
        <f t="shared" si="0"/>
        <v>3370.7499999999995</v>
      </c>
      <c r="G211" s="566"/>
    </row>
    <row r="212" spans="1:7">
      <c r="A212" s="565">
        <v>34.65</v>
      </c>
      <c r="B212" s="565" t="s">
        <v>303</v>
      </c>
      <c r="C212" s="565" t="s">
        <v>3060</v>
      </c>
      <c r="D212" s="565">
        <v>37.9</v>
      </c>
      <c r="E212" s="565" t="s">
        <v>303</v>
      </c>
      <c r="F212" s="565">
        <f t="shared" si="0"/>
        <v>1313.2349999999999</v>
      </c>
      <c r="G212" s="565"/>
    </row>
    <row r="213" spans="1:7">
      <c r="A213" s="565">
        <v>144</v>
      </c>
      <c r="B213" s="565" t="s">
        <v>295</v>
      </c>
      <c r="C213" s="565" t="s">
        <v>3124</v>
      </c>
      <c r="D213" s="565">
        <v>2.39</v>
      </c>
      <c r="E213" s="565" t="s">
        <v>68</v>
      </c>
      <c r="F213" s="565">
        <f t="shared" si="0"/>
        <v>344.16</v>
      </c>
      <c r="G213" s="565"/>
    </row>
    <row r="214" spans="1:7">
      <c r="A214" s="565">
        <v>12</v>
      </c>
      <c r="B214" s="565" t="s">
        <v>295</v>
      </c>
      <c r="C214" s="565" t="s">
        <v>3125</v>
      </c>
      <c r="D214" s="565">
        <v>4.84</v>
      </c>
      <c r="E214" s="565" t="s">
        <v>68</v>
      </c>
      <c r="F214" s="565">
        <f t="shared" si="0"/>
        <v>58.08</v>
      </c>
      <c r="G214" s="565"/>
    </row>
    <row r="215" spans="1:7">
      <c r="A215" s="565">
        <v>12</v>
      </c>
      <c r="B215" s="565" t="s">
        <v>295</v>
      </c>
      <c r="C215" s="565" t="s">
        <v>3126</v>
      </c>
      <c r="D215" s="565">
        <v>1.07</v>
      </c>
      <c r="E215" s="565" t="s">
        <v>68</v>
      </c>
      <c r="F215" s="565">
        <f t="shared" si="0"/>
        <v>12.84</v>
      </c>
      <c r="G215" s="565"/>
    </row>
    <row r="216" spans="1:7">
      <c r="A216" s="566">
        <v>2</v>
      </c>
      <c r="B216" s="566" t="s">
        <v>10</v>
      </c>
      <c r="C216" s="566" t="s">
        <v>3127</v>
      </c>
      <c r="D216" s="566">
        <v>11.8</v>
      </c>
      <c r="E216" s="566" t="s">
        <v>10</v>
      </c>
      <c r="F216" s="566">
        <f t="shared" si="0"/>
        <v>23.6</v>
      </c>
      <c r="G216" s="566"/>
    </row>
    <row r="217" spans="1:7">
      <c r="A217" s="565">
        <v>6.6150000000000002</v>
      </c>
      <c r="B217" s="565" t="s">
        <v>306</v>
      </c>
      <c r="C217" s="565" t="s">
        <v>2041</v>
      </c>
      <c r="D217" s="565">
        <f>F227</f>
        <v>2413</v>
      </c>
      <c r="E217" s="565" t="s">
        <v>306</v>
      </c>
      <c r="F217" s="565">
        <f t="shared" si="0"/>
        <v>15961.995000000001</v>
      </c>
      <c r="G217" s="565"/>
    </row>
    <row r="218" spans="1:7">
      <c r="A218" s="565"/>
      <c r="B218" s="565"/>
      <c r="C218" s="565"/>
      <c r="D218" s="565"/>
      <c r="E218" s="565"/>
      <c r="F218" s="565"/>
      <c r="G218" s="565"/>
    </row>
    <row r="219" spans="1:7">
      <c r="A219" s="565"/>
      <c r="B219" s="565"/>
      <c r="C219" s="565" t="s">
        <v>3128</v>
      </c>
      <c r="D219" s="565"/>
      <c r="E219" s="565"/>
      <c r="F219" s="565">
        <f>SUM(F209:F218)</f>
        <v>34470.370000000003</v>
      </c>
      <c r="G219" s="565"/>
    </row>
    <row r="220" spans="1:7">
      <c r="A220" s="565"/>
      <c r="B220" s="565"/>
      <c r="C220" s="565" t="s">
        <v>155</v>
      </c>
      <c r="D220" s="565"/>
      <c r="E220" s="565"/>
      <c r="F220" s="567">
        <f>F219/6.615</f>
        <v>5210.9402872260016</v>
      </c>
      <c r="G220" s="565"/>
    </row>
    <row r="221" spans="1:7">
      <c r="A221" s="565"/>
      <c r="B221" s="565"/>
      <c r="C221" s="565"/>
      <c r="D221" s="565"/>
      <c r="E221" s="565"/>
      <c r="F221" s="565"/>
      <c r="G221" s="565"/>
    </row>
    <row r="222" spans="1:7">
      <c r="A222" s="565">
        <v>1</v>
      </c>
      <c r="B222" s="565" t="s">
        <v>153</v>
      </c>
      <c r="C222" s="565" t="s">
        <v>3404</v>
      </c>
      <c r="D222" s="565">
        <v>1064</v>
      </c>
      <c r="E222" s="565" t="s">
        <v>153</v>
      </c>
      <c r="F222" s="565">
        <v>1064</v>
      </c>
      <c r="G222" s="565"/>
    </row>
    <row r="223" spans="1:7">
      <c r="A223" s="565">
        <v>1</v>
      </c>
      <c r="B223" s="565" t="s">
        <v>153</v>
      </c>
      <c r="C223" s="565" t="s">
        <v>3405</v>
      </c>
      <c r="D223" s="565">
        <v>786.2</v>
      </c>
      <c r="E223" s="565" t="s">
        <v>153</v>
      </c>
      <c r="F223" s="565">
        <f>D223</f>
        <v>786.2</v>
      </c>
      <c r="G223" s="565"/>
    </row>
    <row r="224" spans="1:7">
      <c r="A224" s="565">
        <v>0.5</v>
      </c>
      <c r="B224" s="565" t="s">
        <v>153</v>
      </c>
      <c r="C224" s="565" t="s">
        <v>3406</v>
      </c>
      <c r="D224" s="565">
        <v>1125.5999999999999</v>
      </c>
      <c r="E224" s="565" t="s">
        <v>153</v>
      </c>
      <c r="F224" s="565">
        <f>A224*D224</f>
        <v>562.79999999999995</v>
      </c>
      <c r="G224" s="565"/>
    </row>
    <row r="225" spans="1:10">
      <c r="A225" s="565"/>
      <c r="B225" s="565" t="s">
        <v>226</v>
      </c>
      <c r="C225" s="565"/>
      <c r="D225" s="565"/>
      <c r="E225" s="565" t="s">
        <v>226</v>
      </c>
      <c r="F225" s="565"/>
      <c r="G225" s="565"/>
    </row>
    <row r="226" spans="1:10">
      <c r="A226" s="565"/>
      <c r="B226" s="565"/>
      <c r="C226" s="565"/>
      <c r="D226" s="565"/>
      <c r="E226" s="565"/>
      <c r="F226" s="565" t="s">
        <v>21</v>
      </c>
      <c r="G226" s="565"/>
    </row>
    <row r="227" spans="1:10" ht="15.6" customHeight="1">
      <c r="A227" s="565"/>
      <c r="B227" s="565"/>
      <c r="C227" s="565"/>
      <c r="D227" s="565" t="s">
        <v>2047</v>
      </c>
      <c r="E227" s="565"/>
      <c r="F227" s="565">
        <f>SUM(F222:F226)</f>
        <v>2413</v>
      </c>
      <c r="G227" s="565"/>
    </row>
    <row r="228" spans="1:10">
      <c r="A228" s="561">
        <v>52.1</v>
      </c>
      <c r="B228" s="568" t="s">
        <v>2200</v>
      </c>
      <c r="C228" s="568"/>
      <c r="D228" s="561"/>
      <c r="E228" s="561"/>
      <c r="F228" s="561"/>
      <c r="G228" s="561"/>
    </row>
    <row r="229" spans="1:10">
      <c r="A229" s="561"/>
      <c r="B229" s="561"/>
      <c r="C229" s="561"/>
      <c r="D229" s="561"/>
      <c r="E229" s="561"/>
      <c r="F229" s="561"/>
      <c r="G229" s="561"/>
    </row>
    <row r="230" spans="1:10">
      <c r="A230" s="561"/>
      <c r="B230" s="561"/>
      <c r="C230" s="561" t="s">
        <v>1053</v>
      </c>
      <c r="D230" s="561"/>
      <c r="E230" s="561"/>
      <c r="F230" s="561"/>
      <c r="G230" s="561"/>
    </row>
    <row r="231" spans="1:10" s="29" customFormat="1">
      <c r="A231" s="561"/>
      <c r="B231" s="561"/>
      <c r="C231" s="561" t="s">
        <v>2201</v>
      </c>
      <c r="D231" s="561"/>
      <c r="E231" s="561"/>
      <c r="F231" s="561"/>
      <c r="G231" s="561"/>
    </row>
    <row r="232" spans="1:10" s="29" customFormat="1">
      <c r="A232" s="561"/>
      <c r="B232" s="561"/>
      <c r="C232" s="561" t="s">
        <v>21</v>
      </c>
      <c r="D232" s="561"/>
      <c r="E232" s="561"/>
      <c r="F232" s="561"/>
      <c r="G232" s="561"/>
    </row>
    <row r="233" spans="1:10" s="29" customFormat="1">
      <c r="A233" s="561">
        <v>30</v>
      </c>
      <c r="B233" s="561" t="s">
        <v>552</v>
      </c>
      <c r="C233" s="561" t="s">
        <v>2202</v>
      </c>
      <c r="D233" s="561">
        <v>15.53</v>
      </c>
      <c r="E233" s="561" t="s">
        <v>552</v>
      </c>
      <c r="F233" s="561">
        <v>465.9</v>
      </c>
      <c r="G233" s="561"/>
    </row>
    <row r="234" spans="1:10" s="29" customFormat="1">
      <c r="A234" s="561">
        <v>8</v>
      </c>
      <c r="B234" s="561" t="s">
        <v>153</v>
      </c>
      <c r="C234" s="561" t="s">
        <v>1069</v>
      </c>
      <c r="D234" s="561">
        <v>8.1</v>
      </c>
      <c r="E234" s="561" t="s">
        <v>153</v>
      </c>
      <c r="F234" s="561">
        <v>64.8</v>
      </c>
      <c r="G234" s="561"/>
    </row>
    <row r="235" spans="1:10" s="29" customFormat="1">
      <c r="A235" s="561">
        <v>8</v>
      </c>
      <c r="B235" s="561" t="s">
        <v>153</v>
      </c>
      <c r="C235" s="561" t="s">
        <v>1072</v>
      </c>
      <c r="D235" s="561">
        <v>11.7</v>
      </c>
      <c r="E235" s="561" t="s">
        <v>153</v>
      </c>
      <c r="F235" s="561">
        <v>93.6</v>
      </c>
      <c r="G235" s="561"/>
    </row>
    <row r="236" spans="1:10" s="29" customFormat="1">
      <c r="A236" s="561">
        <v>3</v>
      </c>
      <c r="B236" s="561" t="s">
        <v>153</v>
      </c>
      <c r="C236" s="561" t="s">
        <v>1133</v>
      </c>
      <c r="D236" s="561">
        <v>891.8</v>
      </c>
      <c r="E236" s="561" t="s">
        <v>153</v>
      </c>
      <c r="F236" s="561">
        <v>2675.4</v>
      </c>
      <c r="G236" s="561"/>
      <c r="J236" s="558"/>
    </row>
    <row r="237" spans="1:10" s="29" customFormat="1">
      <c r="A237" s="561">
        <v>1</v>
      </c>
      <c r="B237" s="561" t="s">
        <v>153</v>
      </c>
      <c r="C237" s="561" t="s">
        <v>2177</v>
      </c>
      <c r="D237" s="561">
        <v>1205.4000000000001</v>
      </c>
      <c r="E237" s="561" t="s">
        <v>153</v>
      </c>
      <c r="F237" s="561">
        <v>1205.4000000000001</v>
      </c>
      <c r="G237" s="561"/>
      <c r="J237" s="558"/>
    </row>
    <row r="238" spans="1:10" s="29" customFormat="1">
      <c r="A238" s="561">
        <v>2</v>
      </c>
      <c r="B238" s="561" t="s">
        <v>153</v>
      </c>
      <c r="C238" s="561" t="s">
        <v>235</v>
      </c>
      <c r="D238" s="561">
        <v>786.8</v>
      </c>
      <c r="E238" s="561" t="s">
        <v>153</v>
      </c>
      <c r="F238" s="561">
        <v>1573.6</v>
      </c>
      <c r="G238" s="561"/>
    </row>
    <row r="239" spans="1:10" s="29" customFormat="1" ht="15.6" customHeight="1">
      <c r="A239" s="561">
        <v>1</v>
      </c>
      <c r="B239" s="561" t="s">
        <v>153</v>
      </c>
      <c r="C239" s="561" t="s">
        <v>236</v>
      </c>
      <c r="D239" s="561">
        <v>645.4</v>
      </c>
      <c r="E239" s="561" t="s">
        <v>153</v>
      </c>
      <c r="F239" s="561">
        <v>645.4</v>
      </c>
      <c r="G239" s="561"/>
    </row>
    <row r="240" spans="1:10" s="29" customFormat="1">
      <c r="A240" s="561"/>
      <c r="B240" s="561"/>
      <c r="C240" s="561"/>
      <c r="D240" s="561"/>
      <c r="E240" s="561"/>
      <c r="F240" s="561" t="s">
        <v>21</v>
      </c>
      <c r="G240" s="561"/>
    </row>
    <row r="241" spans="1:7" s="29" customFormat="1">
      <c r="A241" s="561"/>
      <c r="B241" s="561"/>
      <c r="C241" s="561" t="s">
        <v>1139</v>
      </c>
      <c r="D241" s="561"/>
      <c r="E241" s="561"/>
      <c r="F241" s="561">
        <v>6724.1</v>
      </c>
      <c r="G241" s="561"/>
    </row>
    <row r="242" spans="1:7" s="29" customFormat="1">
      <c r="A242" s="561"/>
      <c r="B242" s="561"/>
      <c r="C242" s="561"/>
      <c r="D242" s="561"/>
      <c r="E242" s="561"/>
      <c r="F242" s="561" t="s">
        <v>21</v>
      </c>
      <c r="G242" s="561"/>
    </row>
    <row r="243" spans="1:7" s="29" customFormat="1">
      <c r="A243" s="561"/>
      <c r="B243" s="561"/>
      <c r="C243" s="561" t="s">
        <v>562</v>
      </c>
      <c r="D243" s="561"/>
      <c r="E243" s="561"/>
      <c r="F243" s="561">
        <v>224.14</v>
      </c>
      <c r="G243" s="561"/>
    </row>
    <row r="244" spans="1:7" s="29" customFormat="1">
      <c r="A244" s="561"/>
      <c r="B244" s="561"/>
      <c r="C244" s="561"/>
      <c r="D244" s="561"/>
      <c r="E244" s="561"/>
      <c r="F244" s="561" t="s">
        <v>21</v>
      </c>
      <c r="G244" s="561"/>
    </row>
    <row r="245" spans="1:7" s="29" customFormat="1">
      <c r="A245" s="561">
        <v>52</v>
      </c>
      <c r="B245" s="561" t="s">
        <v>249</v>
      </c>
      <c r="C245" s="561" t="s">
        <v>2183</v>
      </c>
      <c r="D245" s="561"/>
      <c r="E245" s="561"/>
      <c r="F245" s="561"/>
      <c r="G245" s="561"/>
    </row>
    <row r="246" spans="1:7" s="29" customFormat="1">
      <c r="A246" s="561"/>
      <c r="B246" s="561"/>
      <c r="C246" s="561" t="s">
        <v>2184</v>
      </c>
      <c r="D246" s="561"/>
      <c r="E246" s="561"/>
      <c r="F246" s="561"/>
      <c r="G246" s="561"/>
    </row>
    <row r="247" spans="1:7">
      <c r="A247" s="561"/>
      <c r="B247" s="561"/>
      <c r="C247" s="561" t="s">
        <v>2186</v>
      </c>
      <c r="D247" s="561"/>
      <c r="E247" s="561"/>
      <c r="F247" s="561"/>
      <c r="G247" s="561"/>
    </row>
    <row r="248" spans="1:7">
      <c r="A248" s="561"/>
      <c r="B248" s="561"/>
      <c r="C248" s="561" t="s">
        <v>2188</v>
      </c>
      <c r="D248" s="561"/>
      <c r="E248" s="561"/>
      <c r="F248" s="561"/>
      <c r="G248" s="561"/>
    </row>
    <row r="249" spans="1:7">
      <c r="A249" s="561"/>
      <c r="B249" s="561"/>
      <c r="C249" s="561" t="s">
        <v>2189</v>
      </c>
      <c r="D249" s="561"/>
      <c r="E249" s="561"/>
      <c r="F249" s="561"/>
      <c r="G249" s="561"/>
    </row>
    <row r="250" spans="1:7">
      <c r="A250" s="561"/>
      <c r="B250" s="561"/>
      <c r="C250" s="561" t="s">
        <v>2603</v>
      </c>
      <c r="D250" s="561"/>
      <c r="E250" s="561"/>
      <c r="F250" s="561"/>
      <c r="G250" s="561"/>
    </row>
    <row r="251" spans="1:7">
      <c r="A251" s="561"/>
      <c r="B251" s="561"/>
      <c r="C251" s="561" t="s">
        <v>2191</v>
      </c>
      <c r="D251" s="561"/>
      <c r="E251" s="561"/>
      <c r="F251" s="561"/>
      <c r="G251" s="561"/>
    </row>
    <row r="252" spans="1:7">
      <c r="A252" s="561"/>
      <c r="B252" s="561"/>
      <c r="C252" s="561" t="s">
        <v>2192</v>
      </c>
      <c r="D252" s="561"/>
      <c r="E252" s="561"/>
      <c r="F252" s="561"/>
      <c r="G252" s="561"/>
    </row>
    <row r="253" spans="1:7">
      <c r="A253" s="561"/>
      <c r="B253" s="561"/>
      <c r="C253" s="561" t="s">
        <v>156</v>
      </c>
      <c r="D253" s="561" t="s">
        <v>156</v>
      </c>
      <c r="E253" s="561"/>
      <c r="F253" s="561"/>
      <c r="G253" s="561"/>
    </row>
    <row r="254" spans="1:7">
      <c r="A254" s="561"/>
      <c r="B254" s="561" t="s">
        <v>249</v>
      </c>
      <c r="C254" s="561" t="s">
        <v>513</v>
      </c>
      <c r="D254" s="561"/>
      <c r="E254" s="561"/>
      <c r="F254" s="561"/>
      <c r="G254" s="561"/>
    </row>
    <row r="255" spans="1:7">
      <c r="A255" s="561"/>
      <c r="B255" s="561"/>
      <c r="C255" s="561" t="s">
        <v>591</v>
      </c>
      <c r="D255" s="561"/>
      <c r="E255" s="561"/>
      <c r="F255" s="561"/>
      <c r="G255" s="561"/>
    </row>
    <row r="256" spans="1:7" ht="15.6" customHeight="1">
      <c r="A256" s="561"/>
      <c r="B256" s="561" t="s">
        <v>514</v>
      </c>
      <c r="C256" s="561" t="s">
        <v>515</v>
      </c>
      <c r="D256" s="561"/>
      <c r="E256" s="561"/>
      <c r="F256" s="561"/>
      <c r="G256" s="561"/>
    </row>
    <row r="257" spans="1:7">
      <c r="A257" s="561"/>
      <c r="B257" s="561"/>
      <c r="C257" s="561" t="s">
        <v>21</v>
      </c>
      <c r="D257" s="561"/>
      <c r="E257" s="561"/>
      <c r="F257" s="561"/>
      <c r="G257" s="561"/>
    </row>
    <row r="258" spans="1:7">
      <c r="A258" s="561">
        <v>1</v>
      </c>
      <c r="B258" s="561" t="s">
        <v>303</v>
      </c>
      <c r="C258" s="561" t="s">
        <v>516</v>
      </c>
      <c r="D258" s="561">
        <v>26</v>
      </c>
      <c r="E258" s="561" t="s">
        <v>303</v>
      </c>
      <c r="F258" s="561">
        <v>26</v>
      </c>
      <c r="G258" s="561"/>
    </row>
    <row r="259" spans="1:7">
      <c r="A259" s="561">
        <v>1</v>
      </c>
      <c r="B259" s="561" t="s">
        <v>226</v>
      </c>
      <c r="C259" s="561" t="s">
        <v>517</v>
      </c>
      <c r="D259" s="561">
        <v>18.2</v>
      </c>
      <c r="E259" s="561" t="s">
        <v>226</v>
      </c>
      <c r="F259" s="561">
        <v>18.2</v>
      </c>
      <c r="G259" s="561"/>
    </row>
    <row r="260" spans="1:7">
      <c r="A260" s="561">
        <v>1</v>
      </c>
      <c r="B260" s="561" t="s">
        <v>303</v>
      </c>
      <c r="C260" s="561" t="s">
        <v>518</v>
      </c>
      <c r="D260" s="561">
        <v>219.84</v>
      </c>
      <c r="E260" s="561" t="s">
        <v>303</v>
      </c>
      <c r="F260" s="561">
        <v>219.84</v>
      </c>
      <c r="G260" s="561"/>
    </row>
    <row r="261" spans="1:7">
      <c r="A261" s="561"/>
      <c r="B261" s="561"/>
      <c r="C261" s="561"/>
      <c r="D261" s="561" t="s">
        <v>150</v>
      </c>
      <c r="E261" s="561"/>
      <c r="F261" s="561"/>
      <c r="G261" s="561"/>
    </row>
    <row r="262" spans="1:7">
      <c r="A262" s="561"/>
      <c r="B262" s="561"/>
      <c r="C262" s="561" t="s">
        <v>519</v>
      </c>
      <c r="D262" s="561"/>
      <c r="E262" s="561"/>
      <c r="F262" s="561">
        <v>264.04000000000002</v>
      </c>
      <c r="G262" s="561"/>
    </row>
    <row r="263" spans="1:7">
      <c r="A263" s="561"/>
      <c r="B263" s="561"/>
      <c r="C263" s="561" t="s">
        <v>150</v>
      </c>
      <c r="D263" s="561" t="s">
        <v>150</v>
      </c>
      <c r="E263" s="561"/>
      <c r="F263" s="561" t="s">
        <v>156</v>
      </c>
      <c r="G263" s="561"/>
    </row>
    <row r="271" spans="1:7">
      <c r="F271" s="19"/>
    </row>
    <row r="280" spans="6:6">
      <c r="F280" s="19"/>
    </row>
    <row r="290" spans="6:6">
      <c r="F290" s="19"/>
    </row>
    <row r="299" spans="6:6">
      <c r="F299" s="19"/>
    </row>
    <row r="310" spans="6:6">
      <c r="F310" s="19"/>
    </row>
    <row r="312" spans="6:6">
      <c r="F312" s="19"/>
    </row>
    <row r="313" spans="6:6">
      <c r="F313" s="19"/>
    </row>
    <row r="322" spans="1:6">
      <c r="F322" s="19"/>
    </row>
    <row r="325" spans="1:6">
      <c r="A325" s="555"/>
      <c r="B325" s="556"/>
      <c r="C325" s="557"/>
    </row>
    <row r="337" spans="6:11">
      <c r="F337" s="19"/>
    </row>
    <row r="340" spans="6:11">
      <c r="K340" s="19"/>
    </row>
    <row r="343" spans="6:11">
      <c r="K343" s="11"/>
    </row>
    <row r="352" spans="6:11">
      <c r="F352" s="19"/>
    </row>
    <row r="357" spans="1:7">
      <c r="A357" s="562"/>
      <c r="B357" s="561"/>
      <c r="C357" s="563" t="s">
        <v>3318</v>
      </c>
      <c r="D357" s="562"/>
      <c r="E357" s="561"/>
      <c r="F357" s="562"/>
      <c r="G357" s="561"/>
    </row>
    <row r="358" spans="1:7">
      <c r="A358" s="562"/>
      <c r="B358" s="561"/>
      <c r="C358" s="561" t="s">
        <v>3319</v>
      </c>
      <c r="D358" s="562"/>
      <c r="E358" s="561"/>
      <c r="F358" s="562"/>
      <c r="G358" s="561"/>
    </row>
    <row r="359" spans="1:7">
      <c r="A359" s="562"/>
      <c r="B359" s="561"/>
      <c r="C359" s="2126" t="s">
        <v>3320</v>
      </c>
      <c r="D359" s="2126"/>
      <c r="E359" s="2126"/>
      <c r="F359" s="2126"/>
      <c r="G359" s="561"/>
    </row>
    <row r="360" spans="1:7" ht="31.5">
      <c r="A360" s="562">
        <v>90</v>
      </c>
      <c r="B360" s="561" t="s">
        <v>303</v>
      </c>
      <c r="C360" s="564" t="s">
        <v>3321</v>
      </c>
      <c r="D360" s="562">
        <v>15.5</v>
      </c>
      <c r="E360" s="561" t="s">
        <v>3322</v>
      </c>
      <c r="F360" s="562">
        <v>1395</v>
      </c>
      <c r="G360" s="561"/>
    </row>
    <row r="361" spans="1:7" ht="31.5">
      <c r="A361" s="562">
        <v>45</v>
      </c>
      <c r="B361" s="561" t="s">
        <v>303</v>
      </c>
      <c r="C361" s="564" t="s">
        <v>3323</v>
      </c>
      <c r="D361" s="562">
        <v>19.100000000000001</v>
      </c>
      <c r="E361" s="561" t="s">
        <v>2990</v>
      </c>
      <c r="F361" s="562">
        <v>859.5</v>
      </c>
      <c r="G361" s="561"/>
    </row>
    <row r="362" spans="1:7">
      <c r="A362" s="562">
        <v>20</v>
      </c>
      <c r="B362" s="561" t="s">
        <v>68</v>
      </c>
      <c r="C362" s="561" t="s">
        <v>3324</v>
      </c>
      <c r="D362" s="562">
        <v>3</v>
      </c>
      <c r="E362" s="561" t="s">
        <v>68</v>
      </c>
      <c r="F362" s="562">
        <v>60</v>
      </c>
      <c r="G362" s="561"/>
    </row>
    <row r="363" spans="1:7">
      <c r="A363" s="562">
        <v>150</v>
      </c>
      <c r="B363" s="561" t="s">
        <v>68</v>
      </c>
      <c r="C363" s="561" t="s">
        <v>3325</v>
      </c>
      <c r="D363" s="562">
        <v>287</v>
      </c>
      <c r="E363" s="561" t="s">
        <v>3326</v>
      </c>
      <c r="F363" s="562">
        <v>43.05</v>
      </c>
      <c r="G363" s="561"/>
    </row>
    <row r="364" spans="1:7">
      <c r="A364" s="562">
        <v>10</v>
      </c>
      <c r="B364" s="561" t="s">
        <v>68</v>
      </c>
      <c r="C364" s="561" t="s">
        <v>3327</v>
      </c>
      <c r="D364" s="562">
        <v>1.28</v>
      </c>
      <c r="E364" s="561" t="s">
        <v>68</v>
      </c>
      <c r="F364" s="562">
        <v>12.8</v>
      </c>
      <c r="G364" s="561"/>
    </row>
    <row r="365" spans="1:7">
      <c r="A365" s="562">
        <v>10</v>
      </c>
      <c r="B365" s="561" t="s">
        <v>68</v>
      </c>
      <c r="C365" s="561" t="s">
        <v>3328</v>
      </c>
      <c r="D365" s="562">
        <v>41.2</v>
      </c>
      <c r="E365" s="561" t="s">
        <v>3329</v>
      </c>
      <c r="F365" s="562">
        <v>34.33</v>
      </c>
      <c r="G365" s="561"/>
    </row>
    <row r="366" spans="1:7">
      <c r="A366" s="562">
        <v>1.4999999999999999E-2</v>
      </c>
      <c r="B366" s="561" t="s">
        <v>306</v>
      </c>
      <c r="C366" s="564" t="s">
        <v>3330</v>
      </c>
      <c r="D366" s="562">
        <v>630</v>
      </c>
      <c r="E366" s="561" t="s">
        <v>306</v>
      </c>
      <c r="F366" s="562">
        <v>9.4499999999999993</v>
      </c>
      <c r="G366" s="561"/>
    </row>
    <row r="367" spans="1:7">
      <c r="A367" s="562">
        <v>10</v>
      </c>
      <c r="B367" s="561" t="s">
        <v>68</v>
      </c>
      <c r="C367" s="561" t="s">
        <v>3331</v>
      </c>
      <c r="D367" s="562">
        <v>16.05</v>
      </c>
      <c r="E367" s="561" t="s">
        <v>68</v>
      </c>
      <c r="F367" s="562">
        <v>160.5</v>
      </c>
      <c r="G367" s="561"/>
    </row>
    <row r="368" spans="1:7">
      <c r="A368" s="562">
        <v>10</v>
      </c>
      <c r="B368" s="561" t="s">
        <v>68</v>
      </c>
      <c r="C368" s="561" t="s">
        <v>3332</v>
      </c>
      <c r="D368" s="562">
        <v>13.6</v>
      </c>
      <c r="E368" s="561" t="s">
        <v>68</v>
      </c>
      <c r="F368" s="562">
        <v>136</v>
      </c>
      <c r="G368" s="561"/>
    </row>
    <row r="369" spans="1:7">
      <c r="A369" s="562">
        <v>1</v>
      </c>
      <c r="B369" s="561" t="s">
        <v>3333</v>
      </c>
      <c r="C369" s="561" t="s">
        <v>3334</v>
      </c>
      <c r="D369" s="562">
        <v>68.8</v>
      </c>
      <c r="E369" s="561" t="s">
        <v>3333</v>
      </c>
      <c r="F369" s="562">
        <v>68.8</v>
      </c>
      <c r="G369" s="561"/>
    </row>
    <row r="370" spans="1:7">
      <c r="A370" s="562">
        <v>72</v>
      </c>
      <c r="B370" s="561" t="s">
        <v>68</v>
      </c>
      <c r="C370" s="561" t="s">
        <v>3335</v>
      </c>
      <c r="D370" s="562">
        <v>47.7</v>
      </c>
      <c r="E370" s="561" t="s">
        <v>3333</v>
      </c>
      <c r="F370" s="562">
        <v>23.85</v>
      </c>
      <c r="G370" s="561"/>
    </row>
    <row r="371" spans="1:7">
      <c r="A371" s="562">
        <v>0.16666666666666666</v>
      </c>
      <c r="B371" s="561" t="s">
        <v>3336</v>
      </c>
      <c r="C371" s="561" t="s">
        <v>278</v>
      </c>
      <c r="D371" s="562">
        <v>298</v>
      </c>
      <c r="E371" s="561" t="s">
        <v>3336</v>
      </c>
      <c r="F371" s="562">
        <v>49.67</v>
      </c>
      <c r="G371" s="561"/>
    </row>
    <row r="372" spans="1:7" ht="31.5">
      <c r="A372" s="562">
        <v>10</v>
      </c>
      <c r="B372" s="561" t="s">
        <v>68</v>
      </c>
      <c r="C372" s="564" t="s">
        <v>3337</v>
      </c>
      <c r="D372" s="562">
        <v>13.8</v>
      </c>
      <c r="E372" s="561" t="s">
        <v>68</v>
      </c>
      <c r="F372" s="562">
        <v>138</v>
      </c>
      <c r="G372" s="561"/>
    </row>
    <row r="373" spans="1:7" ht="31.5">
      <c r="A373" s="562">
        <v>1</v>
      </c>
      <c r="B373" s="561" t="s">
        <v>68</v>
      </c>
      <c r="C373" s="564" t="s">
        <v>3338</v>
      </c>
      <c r="D373" s="562">
        <v>16.5</v>
      </c>
      <c r="E373" s="561" t="s">
        <v>68</v>
      </c>
      <c r="F373" s="562">
        <v>16.5</v>
      </c>
      <c r="G373" s="561"/>
    </row>
    <row r="374" spans="1:7" ht="31.5">
      <c r="A374" s="562">
        <v>0.1</v>
      </c>
      <c r="B374" s="561" t="s">
        <v>306</v>
      </c>
      <c r="C374" s="564" t="s">
        <v>3339</v>
      </c>
      <c r="D374" s="562">
        <v>630</v>
      </c>
      <c r="E374" s="561" t="s">
        <v>306</v>
      </c>
      <c r="F374" s="562">
        <v>63</v>
      </c>
      <c r="G374" s="561"/>
    </row>
    <row r="375" spans="1:7" ht="47.25">
      <c r="A375" s="562">
        <v>45</v>
      </c>
      <c r="B375" s="561" t="s">
        <v>303</v>
      </c>
      <c r="C375" s="564" t="s">
        <v>3340</v>
      </c>
      <c r="D375" s="562">
        <v>15.5</v>
      </c>
      <c r="E375" s="561" t="s">
        <v>3341</v>
      </c>
      <c r="F375" s="562">
        <v>697.5</v>
      </c>
      <c r="G375" s="561"/>
    </row>
    <row r="376" spans="1:7">
      <c r="A376" s="562">
        <v>0.5</v>
      </c>
      <c r="B376" s="561" t="s">
        <v>1441</v>
      </c>
      <c r="C376" s="561" t="s">
        <v>3342</v>
      </c>
      <c r="D376" s="562">
        <v>225.4</v>
      </c>
      <c r="E376" s="561" t="s">
        <v>1441</v>
      </c>
      <c r="F376" s="562">
        <v>112.7</v>
      </c>
      <c r="G376" s="561"/>
    </row>
    <row r="377" spans="1:7">
      <c r="A377" s="562">
        <v>10</v>
      </c>
      <c r="B377" s="561" t="s">
        <v>3343</v>
      </c>
      <c r="C377" s="561" t="s">
        <v>910</v>
      </c>
      <c r="D377" s="562"/>
      <c r="E377" s="561" t="s">
        <v>287</v>
      </c>
      <c r="F377" s="562">
        <v>4392.67</v>
      </c>
      <c r="G377" s="561"/>
    </row>
    <row r="378" spans="1:7">
      <c r="A378" s="562" t="s">
        <v>287</v>
      </c>
      <c r="B378" s="561"/>
      <c r="C378" s="561" t="s">
        <v>3344</v>
      </c>
      <c r="D378" s="562"/>
      <c r="E378" s="561" t="s">
        <v>287</v>
      </c>
      <c r="F378" s="562">
        <v>27.68</v>
      </c>
      <c r="G378" s="561"/>
    </row>
    <row r="379" spans="1:7">
      <c r="A379" s="562"/>
      <c r="B379" s="561"/>
      <c r="C379" s="561" t="s">
        <v>3345</v>
      </c>
      <c r="D379" s="562"/>
      <c r="E379" s="561"/>
      <c r="F379" s="562">
        <v>8301</v>
      </c>
      <c r="G379" s="561"/>
    </row>
    <row r="380" spans="1:7">
      <c r="A380" s="562"/>
      <c r="B380" s="561"/>
      <c r="C380" s="561" t="s">
        <v>3346</v>
      </c>
      <c r="D380" s="562"/>
      <c r="E380" s="561"/>
      <c r="F380" s="562">
        <v>830.1</v>
      </c>
      <c r="G380" s="561"/>
    </row>
    <row r="381" spans="1:7">
      <c r="A381" s="562"/>
      <c r="B381" s="561"/>
      <c r="C381" s="561"/>
      <c r="D381" s="562"/>
      <c r="E381" s="561"/>
      <c r="F381" s="562"/>
      <c r="G381" s="561"/>
    </row>
    <row r="382" spans="1:7">
      <c r="A382" s="562"/>
      <c r="B382" s="561" t="s">
        <v>3347</v>
      </c>
      <c r="C382" s="561"/>
      <c r="D382" s="562"/>
      <c r="E382" s="561"/>
      <c r="F382" s="562"/>
      <c r="G382" s="561"/>
    </row>
    <row r="383" spans="1:7">
      <c r="A383" s="562"/>
      <c r="B383" s="561" t="s">
        <v>3348</v>
      </c>
      <c r="C383" s="561"/>
      <c r="D383" s="562"/>
      <c r="E383" s="561"/>
      <c r="F383" s="562"/>
      <c r="G383" s="561"/>
    </row>
    <row r="384" spans="1:7">
      <c r="A384" s="562">
        <v>1</v>
      </c>
      <c r="B384" s="561" t="s">
        <v>68</v>
      </c>
      <c r="C384" s="561" t="s">
        <v>3349</v>
      </c>
      <c r="D384" s="562">
        <v>817</v>
      </c>
      <c r="E384" s="561" t="s">
        <v>68</v>
      </c>
      <c r="F384" s="562">
        <v>817</v>
      </c>
      <c r="G384" s="561"/>
    </row>
    <row r="385" spans="1:7">
      <c r="A385" s="562">
        <v>2</v>
      </c>
      <c r="B385" s="561" t="s">
        <v>68</v>
      </c>
      <c r="C385" s="561" t="s">
        <v>3350</v>
      </c>
      <c r="D385" s="562">
        <v>712</v>
      </c>
      <c r="E385" s="561" t="s">
        <v>68</v>
      </c>
      <c r="F385" s="562">
        <v>1424</v>
      </c>
      <c r="G385" s="561"/>
    </row>
    <row r="386" spans="1:7">
      <c r="A386" s="562">
        <v>3</v>
      </c>
      <c r="B386" s="561" t="s">
        <v>68</v>
      </c>
      <c r="C386" s="561" t="s">
        <v>3351</v>
      </c>
      <c r="D386" s="562">
        <v>708</v>
      </c>
      <c r="E386" s="561" t="s">
        <v>68</v>
      </c>
      <c r="F386" s="562">
        <v>2124</v>
      </c>
      <c r="G386" s="561"/>
    </row>
    <row r="387" spans="1:7">
      <c r="A387" s="562">
        <v>4</v>
      </c>
      <c r="B387" s="561" t="s">
        <v>68</v>
      </c>
      <c r="C387" s="561" t="s">
        <v>3352</v>
      </c>
      <c r="D387" s="562">
        <v>556</v>
      </c>
      <c r="E387" s="561" t="s">
        <v>68</v>
      </c>
      <c r="F387" s="562">
        <v>2224</v>
      </c>
      <c r="G387" s="561"/>
    </row>
    <row r="388" spans="1:7">
      <c r="A388" s="562"/>
      <c r="B388" s="561"/>
      <c r="C388" s="561"/>
      <c r="D388" s="562"/>
      <c r="E388" s="561"/>
      <c r="F388" s="562">
        <v>6589</v>
      </c>
      <c r="G388" s="561"/>
    </row>
    <row r="389" spans="1:7">
      <c r="A389" s="562"/>
      <c r="B389" s="561"/>
      <c r="C389" s="561"/>
      <c r="D389" s="562"/>
      <c r="E389" s="561"/>
      <c r="F389" s="562">
        <f>F388*2/3</f>
        <v>4392.666666666667</v>
      </c>
      <c r="G389" s="561"/>
    </row>
    <row r="390" spans="1:7">
      <c r="A390" s="562"/>
      <c r="B390" s="561"/>
      <c r="C390" s="561"/>
      <c r="D390" s="562"/>
      <c r="E390" s="561"/>
      <c r="F390" s="562"/>
      <c r="G390" s="561"/>
    </row>
    <row r="391" spans="1:7">
      <c r="A391" s="562"/>
      <c r="B391" s="561"/>
      <c r="C391" s="561" t="s">
        <v>3353</v>
      </c>
      <c r="D391" s="562"/>
      <c r="E391" s="561"/>
      <c r="F391" s="562"/>
      <c r="G391" s="561"/>
    </row>
    <row r="392" spans="1:7">
      <c r="A392" s="562"/>
      <c r="B392" s="561"/>
      <c r="C392" s="2127" t="s">
        <v>3354</v>
      </c>
      <c r="D392" s="2127"/>
      <c r="E392" s="2127"/>
      <c r="F392" s="2127"/>
      <c r="G392" s="561"/>
    </row>
    <row r="393" spans="1:7">
      <c r="A393" s="562"/>
      <c r="B393" s="561"/>
      <c r="C393" s="2126" t="s">
        <v>3355</v>
      </c>
      <c r="D393" s="2126"/>
      <c r="E393" s="2126"/>
      <c r="F393" s="2126"/>
      <c r="G393" s="561"/>
    </row>
    <row r="394" spans="1:7">
      <c r="A394" s="562"/>
      <c r="B394" s="561"/>
      <c r="C394" s="561"/>
      <c r="D394" s="562"/>
      <c r="E394" s="561"/>
      <c r="F394" s="562"/>
      <c r="G394" s="561"/>
    </row>
    <row r="395" spans="1:7">
      <c r="A395" s="562">
        <v>5</v>
      </c>
      <c r="B395" s="561" t="s">
        <v>303</v>
      </c>
      <c r="C395" s="561" t="s">
        <v>3321</v>
      </c>
      <c r="D395" s="562">
        <v>15.5</v>
      </c>
      <c r="E395" s="561" t="s">
        <v>2990</v>
      </c>
      <c r="F395" s="562">
        <v>77.5</v>
      </c>
      <c r="G395" s="561"/>
    </row>
    <row r="396" spans="1:7">
      <c r="A396" s="562">
        <v>2.5</v>
      </c>
      <c r="B396" s="561" t="s">
        <v>303</v>
      </c>
      <c r="C396" s="561" t="s">
        <v>3323</v>
      </c>
      <c r="D396" s="562">
        <v>19.100000000000001</v>
      </c>
      <c r="E396" s="561" t="s">
        <v>303</v>
      </c>
      <c r="F396" s="562">
        <v>47.75</v>
      </c>
      <c r="G396" s="561"/>
    </row>
    <row r="397" spans="1:7">
      <c r="A397" s="562">
        <v>1</v>
      </c>
      <c r="B397" s="561" t="s">
        <v>68</v>
      </c>
      <c r="C397" s="561" t="s">
        <v>3356</v>
      </c>
      <c r="D397" s="562">
        <v>39.950000000000003</v>
      </c>
      <c r="E397" s="561" t="s">
        <v>68</v>
      </c>
      <c r="F397" s="562">
        <v>39.950000000000003</v>
      </c>
      <c r="G397" s="561"/>
    </row>
    <row r="398" spans="1:7">
      <c r="A398" s="562"/>
      <c r="B398" s="561"/>
      <c r="C398" s="561" t="s">
        <v>910</v>
      </c>
      <c r="D398" s="562"/>
      <c r="E398" s="561"/>
      <c r="F398" s="562">
        <v>578.94000000000005</v>
      </c>
      <c r="G398" s="561"/>
    </row>
    <row r="399" spans="1:7">
      <c r="A399" s="562"/>
      <c r="B399" s="561"/>
      <c r="C399" s="561" t="s">
        <v>337</v>
      </c>
      <c r="D399" s="562"/>
      <c r="E399" s="561"/>
      <c r="F399" s="562">
        <v>20.86</v>
      </c>
      <c r="G399" s="561"/>
    </row>
    <row r="400" spans="1:7">
      <c r="A400" s="562"/>
      <c r="B400" s="561"/>
      <c r="C400" s="561" t="s">
        <v>3357</v>
      </c>
      <c r="D400" s="562"/>
      <c r="E400" s="561"/>
      <c r="F400" s="562">
        <v>765</v>
      </c>
      <c r="G400" s="561"/>
    </row>
    <row r="401" spans="1:7">
      <c r="A401" s="561"/>
      <c r="B401" s="561"/>
      <c r="C401" s="561"/>
      <c r="D401" s="561"/>
      <c r="E401" s="561"/>
      <c r="F401" s="561"/>
      <c r="G401" s="561"/>
    </row>
    <row r="402" spans="1:7">
      <c r="A402" s="561"/>
      <c r="B402" s="561"/>
      <c r="C402" s="561" t="s">
        <v>3358</v>
      </c>
      <c r="D402" s="561"/>
      <c r="E402" s="561"/>
      <c r="F402" s="561"/>
      <c r="G402" s="561"/>
    </row>
    <row r="403" spans="1:7">
      <c r="A403" s="561"/>
      <c r="B403" s="561"/>
      <c r="C403" s="2126" t="s">
        <v>3359</v>
      </c>
      <c r="D403" s="2126"/>
      <c r="E403" s="2126"/>
      <c r="F403" s="2126"/>
      <c r="G403" s="561"/>
    </row>
    <row r="404" spans="1:7">
      <c r="A404" s="561"/>
      <c r="B404" s="561"/>
      <c r="C404" s="561" t="s">
        <v>3360</v>
      </c>
      <c r="D404" s="561"/>
      <c r="E404" s="561"/>
      <c r="F404" s="561">
        <v>10737</v>
      </c>
      <c r="G404" s="561"/>
    </row>
    <row r="405" spans="1:7">
      <c r="A405" s="561">
        <v>180</v>
      </c>
      <c r="B405" s="561" t="s">
        <v>303</v>
      </c>
      <c r="C405" s="561" t="s">
        <v>3361</v>
      </c>
      <c r="D405" s="561">
        <v>24.1</v>
      </c>
      <c r="E405" s="561" t="s">
        <v>303</v>
      </c>
      <c r="F405" s="561">
        <v>4338</v>
      </c>
      <c r="G405" s="561"/>
    </row>
    <row r="406" spans="1:7">
      <c r="A406" s="561">
        <v>180</v>
      </c>
      <c r="B406" s="561" t="s">
        <v>303</v>
      </c>
      <c r="C406" s="561" t="s">
        <v>3362</v>
      </c>
      <c r="D406" s="561">
        <v>15.5</v>
      </c>
      <c r="E406" s="561" t="s">
        <v>3322</v>
      </c>
      <c r="F406" s="561">
        <v>2790</v>
      </c>
      <c r="G406" s="561"/>
    </row>
    <row r="407" spans="1:7">
      <c r="A407" s="561"/>
      <c r="B407" s="561"/>
      <c r="C407" s="561" t="s">
        <v>337</v>
      </c>
      <c r="D407" s="561"/>
      <c r="E407" s="561"/>
      <c r="F407" s="561"/>
      <c r="G407" s="561"/>
    </row>
    <row r="408" spans="1:7">
      <c r="A408" s="561"/>
      <c r="B408" s="561"/>
      <c r="C408" s="561" t="s">
        <v>3363</v>
      </c>
      <c r="D408" s="561"/>
      <c r="E408" s="561"/>
      <c r="F408" s="561">
        <v>12285</v>
      </c>
      <c r="G408" s="561"/>
    </row>
    <row r="409" spans="1:7">
      <c r="A409" s="561"/>
      <c r="B409" s="561"/>
      <c r="C409" s="561" t="s">
        <v>3364</v>
      </c>
      <c r="D409" s="561"/>
      <c r="E409" s="561"/>
      <c r="F409" s="561">
        <v>136.5</v>
      </c>
      <c r="G409" s="561"/>
    </row>
    <row r="410" spans="1:7">
      <c r="A410" s="561"/>
      <c r="B410" s="561"/>
      <c r="C410" s="561"/>
      <c r="D410" s="561"/>
      <c r="E410" s="561"/>
      <c r="F410" s="561"/>
      <c r="G410" s="561"/>
    </row>
    <row r="411" spans="1:7">
      <c r="A411" s="561"/>
      <c r="B411" s="561"/>
      <c r="C411" s="561" t="s">
        <v>3365</v>
      </c>
      <c r="D411" s="561"/>
      <c r="E411" s="561"/>
      <c r="F411" s="561"/>
      <c r="G411" s="561"/>
    </row>
    <row r="412" spans="1:7">
      <c r="A412" s="561"/>
      <c r="B412" s="561"/>
      <c r="C412" s="561"/>
      <c r="D412" s="561"/>
      <c r="E412" s="561"/>
      <c r="F412" s="561"/>
      <c r="G412" s="561"/>
    </row>
    <row r="413" spans="1:7">
      <c r="A413" s="561"/>
      <c r="B413" s="561"/>
      <c r="C413" s="2126" t="s">
        <v>3366</v>
      </c>
      <c r="D413" s="2126"/>
      <c r="E413" s="2126"/>
      <c r="F413" s="2126"/>
      <c r="G413" s="561"/>
    </row>
    <row r="414" spans="1:7">
      <c r="A414" s="561"/>
      <c r="B414" s="561"/>
      <c r="C414" s="561" t="s">
        <v>3367</v>
      </c>
      <c r="D414" s="561"/>
      <c r="E414" s="561"/>
      <c r="F414" s="561">
        <v>8273.32</v>
      </c>
      <c r="G414" s="561"/>
    </row>
    <row r="415" spans="1:7">
      <c r="A415" s="561"/>
      <c r="B415" s="561"/>
      <c r="C415" s="561" t="s">
        <v>3368</v>
      </c>
      <c r="D415" s="561"/>
      <c r="E415" s="561"/>
      <c r="F415" s="561">
        <v>136</v>
      </c>
      <c r="G415" s="561"/>
    </row>
    <row r="416" spans="1:7">
      <c r="A416" s="561"/>
      <c r="B416" s="561"/>
      <c r="C416" s="561" t="s">
        <v>3369</v>
      </c>
      <c r="D416" s="561"/>
      <c r="E416" s="561"/>
      <c r="F416" s="561">
        <v>165</v>
      </c>
      <c r="G416" s="561"/>
    </row>
    <row r="417" spans="1:7">
      <c r="A417" s="561"/>
      <c r="B417" s="561"/>
      <c r="C417" s="561" t="s">
        <v>337</v>
      </c>
      <c r="D417" s="561"/>
      <c r="E417" s="561"/>
      <c r="F417" s="561">
        <v>29.68</v>
      </c>
      <c r="G417" s="561"/>
    </row>
    <row r="418" spans="1:7">
      <c r="A418" s="561"/>
      <c r="B418" s="561"/>
      <c r="C418" s="561" t="s">
        <v>3370</v>
      </c>
      <c r="D418" s="561"/>
      <c r="E418" s="561"/>
      <c r="F418" s="561">
        <v>8332</v>
      </c>
      <c r="G418" s="561"/>
    </row>
    <row r="419" spans="1:7">
      <c r="A419" s="561"/>
      <c r="B419" s="561"/>
      <c r="C419" s="561" t="s">
        <v>3371</v>
      </c>
      <c r="D419" s="561"/>
      <c r="E419" s="561"/>
      <c r="F419" s="561">
        <v>833.2</v>
      </c>
      <c r="G419" s="561"/>
    </row>
    <row r="420" spans="1:7">
      <c r="A420" s="561"/>
      <c r="B420" s="561"/>
      <c r="C420" s="561"/>
      <c r="D420" s="561"/>
      <c r="E420" s="561"/>
      <c r="F420" s="561"/>
      <c r="G420" s="561"/>
    </row>
    <row r="421" spans="1:7">
      <c r="A421" s="561"/>
      <c r="B421" s="561"/>
      <c r="C421" s="561" t="s">
        <v>3372</v>
      </c>
      <c r="D421" s="561"/>
      <c r="E421" s="561"/>
      <c r="F421" s="561"/>
      <c r="G421" s="561"/>
    </row>
    <row r="422" spans="1:7">
      <c r="A422" s="561"/>
      <c r="B422" s="561"/>
      <c r="C422" s="561"/>
      <c r="D422" s="561"/>
      <c r="E422" s="561"/>
      <c r="F422" s="561"/>
      <c r="G422" s="561"/>
    </row>
    <row r="423" spans="1:7">
      <c r="A423" s="561"/>
      <c r="B423" s="561"/>
      <c r="C423" s="2126" t="s">
        <v>3373</v>
      </c>
      <c r="D423" s="2126"/>
      <c r="E423" s="2126"/>
      <c r="F423" s="2126"/>
      <c r="G423" s="561"/>
    </row>
    <row r="424" spans="1:7">
      <c r="A424" s="561">
        <v>90</v>
      </c>
      <c r="B424" s="561" t="s">
        <v>303</v>
      </c>
      <c r="C424" s="561" t="s">
        <v>3321</v>
      </c>
      <c r="D424" s="561">
        <v>15.5</v>
      </c>
      <c r="E424" s="561" t="s">
        <v>303</v>
      </c>
      <c r="F424" s="561">
        <v>1395</v>
      </c>
      <c r="G424" s="561"/>
    </row>
    <row r="425" spans="1:7">
      <c r="A425" s="561">
        <v>45</v>
      </c>
      <c r="B425" s="561" t="s">
        <v>303</v>
      </c>
      <c r="C425" s="561" t="s">
        <v>3323</v>
      </c>
      <c r="D425" s="561">
        <v>19.100000000000001</v>
      </c>
      <c r="E425" s="561" t="s">
        <v>303</v>
      </c>
      <c r="F425" s="561">
        <v>859.5</v>
      </c>
      <c r="G425" s="561"/>
    </row>
    <row r="426" spans="1:7">
      <c r="A426" s="561">
        <v>20</v>
      </c>
      <c r="B426" s="561" t="s">
        <v>68</v>
      </c>
      <c r="C426" s="561" t="s">
        <v>3324</v>
      </c>
      <c r="D426" s="561">
        <v>3</v>
      </c>
      <c r="E426" s="561" t="s">
        <v>3329</v>
      </c>
      <c r="F426" s="561">
        <v>60</v>
      </c>
      <c r="G426" s="561"/>
    </row>
    <row r="427" spans="1:7">
      <c r="A427" s="561">
        <v>10</v>
      </c>
      <c r="B427" s="561" t="s">
        <v>68</v>
      </c>
      <c r="C427" s="561" t="s">
        <v>3327</v>
      </c>
      <c r="D427" s="561">
        <v>1.28</v>
      </c>
      <c r="E427" s="561" t="s">
        <v>3329</v>
      </c>
      <c r="F427" s="561">
        <v>12.8</v>
      </c>
      <c r="G427" s="561"/>
    </row>
    <row r="428" spans="1:7">
      <c r="A428" s="561">
        <v>1</v>
      </c>
      <c r="B428" s="561" t="s">
        <v>68</v>
      </c>
      <c r="C428" s="561" t="s">
        <v>3374</v>
      </c>
      <c r="D428" s="561">
        <v>63.1</v>
      </c>
      <c r="E428" s="561" t="s">
        <v>68</v>
      </c>
      <c r="F428" s="561">
        <v>63.1</v>
      </c>
      <c r="G428" s="561"/>
    </row>
    <row r="429" spans="1:7">
      <c r="A429" s="561">
        <v>1.4999999999999999E-2</v>
      </c>
      <c r="B429" s="561" t="s">
        <v>306</v>
      </c>
      <c r="C429" s="561" t="s">
        <v>3375</v>
      </c>
      <c r="D429" s="561">
        <v>630</v>
      </c>
      <c r="E429" s="561" t="s">
        <v>306</v>
      </c>
      <c r="F429" s="561">
        <v>9.4499999999999993</v>
      </c>
      <c r="G429" s="561"/>
    </row>
    <row r="430" spans="1:7">
      <c r="A430" s="561">
        <v>15</v>
      </c>
      <c r="B430" s="561" t="s">
        <v>68</v>
      </c>
      <c r="C430" s="561" t="s">
        <v>3376</v>
      </c>
      <c r="D430" s="561">
        <v>39.950000000000003</v>
      </c>
      <c r="E430" s="561" t="s">
        <v>68</v>
      </c>
      <c r="F430" s="561">
        <v>599.25</v>
      </c>
      <c r="G430" s="561"/>
    </row>
    <row r="431" spans="1:7">
      <c r="A431" s="561">
        <v>15</v>
      </c>
      <c r="B431" s="561" t="s">
        <v>68</v>
      </c>
      <c r="C431" s="561" t="s">
        <v>3374</v>
      </c>
      <c r="D431" s="561">
        <v>63.1</v>
      </c>
      <c r="E431" s="561" t="s">
        <v>68</v>
      </c>
      <c r="F431" s="561">
        <v>946.5</v>
      </c>
      <c r="G431" s="561"/>
    </row>
    <row r="432" spans="1:7">
      <c r="A432" s="561">
        <v>0.22500000000000001</v>
      </c>
      <c r="B432" s="561" t="s">
        <v>306</v>
      </c>
      <c r="C432" s="561" t="s">
        <v>3375</v>
      </c>
      <c r="D432" s="561">
        <v>630</v>
      </c>
      <c r="E432" s="561" t="s">
        <v>3377</v>
      </c>
      <c r="F432" s="561">
        <v>141.75</v>
      </c>
      <c r="G432" s="561"/>
    </row>
    <row r="433" spans="1:7">
      <c r="A433" s="561">
        <v>1.25</v>
      </c>
      <c r="B433" s="561" t="s">
        <v>3336</v>
      </c>
      <c r="C433" s="561" t="s">
        <v>278</v>
      </c>
      <c r="D433" s="561">
        <v>298</v>
      </c>
      <c r="E433" s="561" t="s">
        <v>3336</v>
      </c>
      <c r="F433" s="561">
        <v>372.5</v>
      </c>
      <c r="G433" s="561"/>
    </row>
    <row r="434" spans="1:7">
      <c r="A434" s="561">
        <v>45</v>
      </c>
      <c r="B434" s="561" t="s">
        <v>306</v>
      </c>
      <c r="C434" s="561" t="s">
        <v>3340</v>
      </c>
      <c r="D434" s="561">
        <v>15.5</v>
      </c>
      <c r="E434" s="561" t="s">
        <v>303</v>
      </c>
      <c r="F434" s="561">
        <v>697.5</v>
      </c>
      <c r="G434" s="561"/>
    </row>
    <row r="435" spans="1:7">
      <c r="A435" s="561"/>
      <c r="B435" s="561"/>
      <c r="C435" s="561" t="s">
        <v>910</v>
      </c>
      <c r="D435" s="561"/>
      <c r="E435" s="561"/>
      <c r="F435" s="561">
        <v>4392.67</v>
      </c>
      <c r="G435" s="561"/>
    </row>
    <row r="436" spans="1:7">
      <c r="A436" s="561"/>
      <c r="B436" s="561"/>
      <c r="C436" s="561" t="s">
        <v>337</v>
      </c>
      <c r="D436" s="561"/>
      <c r="E436" s="561"/>
      <c r="F436" s="561">
        <v>27.48</v>
      </c>
      <c r="G436" s="561"/>
    </row>
    <row r="437" spans="1:7">
      <c r="A437" s="561"/>
      <c r="B437" s="561"/>
      <c r="C437" s="561" t="s">
        <v>3378</v>
      </c>
      <c r="D437" s="561"/>
      <c r="E437" s="561"/>
      <c r="F437" s="561">
        <v>9577.5</v>
      </c>
      <c r="G437" s="561"/>
    </row>
    <row r="438" spans="1:7">
      <c r="A438" s="561"/>
      <c r="B438" s="561"/>
      <c r="C438" s="561" t="s">
        <v>3357</v>
      </c>
      <c r="D438" s="561"/>
      <c r="E438" s="561"/>
      <c r="F438" s="561">
        <v>638.5</v>
      </c>
      <c r="G438" s="561"/>
    </row>
    <row r="439" spans="1:7">
      <c r="A439" s="561"/>
      <c r="B439" s="561"/>
      <c r="C439" s="561" t="s">
        <v>910</v>
      </c>
      <c r="D439" s="561"/>
      <c r="E439" s="561"/>
      <c r="F439" s="561"/>
      <c r="G439" s="561"/>
    </row>
    <row r="440" spans="1:7">
      <c r="A440" s="561">
        <v>1</v>
      </c>
      <c r="B440" s="561" t="s">
        <v>68</v>
      </c>
      <c r="C440" s="561" t="s">
        <v>3349</v>
      </c>
      <c r="D440" s="561">
        <v>817</v>
      </c>
      <c r="E440" s="561" t="s">
        <v>68</v>
      </c>
      <c r="F440" s="561">
        <v>817</v>
      </c>
      <c r="G440" s="561"/>
    </row>
    <row r="441" spans="1:7">
      <c r="A441" s="561">
        <v>2</v>
      </c>
      <c r="B441" s="561" t="s">
        <v>68</v>
      </c>
      <c r="C441" s="561" t="s">
        <v>3350</v>
      </c>
      <c r="D441" s="561">
        <v>712</v>
      </c>
      <c r="E441" s="561" t="s">
        <v>68</v>
      </c>
      <c r="F441" s="561">
        <v>1424</v>
      </c>
      <c r="G441" s="561"/>
    </row>
    <row r="442" spans="1:7">
      <c r="A442" s="561">
        <v>3</v>
      </c>
      <c r="B442" s="561" t="s">
        <v>68</v>
      </c>
      <c r="C442" s="561" t="s">
        <v>3351</v>
      </c>
      <c r="D442" s="561">
        <v>708</v>
      </c>
      <c r="E442" s="561" t="s">
        <v>68</v>
      </c>
      <c r="F442" s="561">
        <v>2124</v>
      </c>
      <c r="G442" s="561"/>
    </row>
    <row r="443" spans="1:7">
      <c r="A443" s="561">
        <v>4</v>
      </c>
      <c r="B443" s="561" t="s">
        <v>68</v>
      </c>
      <c r="C443" s="561" t="s">
        <v>3352</v>
      </c>
      <c r="D443" s="561">
        <v>556</v>
      </c>
      <c r="E443" s="561" t="s">
        <v>68</v>
      </c>
      <c r="F443" s="561">
        <v>2224</v>
      </c>
      <c r="G443" s="561"/>
    </row>
    <row r="444" spans="1:7">
      <c r="A444" s="561"/>
      <c r="B444" s="561"/>
      <c r="C444" s="561"/>
      <c r="D444" s="561"/>
      <c r="E444" s="561"/>
      <c r="F444" s="561">
        <v>6589</v>
      </c>
      <c r="G444" s="561"/>
    </row>
    <row r="445" spans="1:7">
      <c r="A445" s="561"/>
      <c r="B445" s="561"/>
      <c r="C445" s="561" t="s">
        <v>3379</v>
      </c>
      <c r="D445" s="561"/>
      <c r="E445" s="561"/>
      <c r="F445" s="561"/>
      <c r="G445" s="561"/>
    </row>
    <row r="446" spans="1:7">
      <c r="A446" s="561"/>
      <c r="B446" s="561"/>
      <c r="C446" s="561" t="s">
        <v>3380</v>
      </c>
      <c r="D446" s="561"/>
      <c r="E446" s="561"/>
      <c r="F446" s="561"/>
      <c r="G446" s="561"/>
    </row>
    <row r="447" spans="1:7">
      <c r="A447" s="561"/>
      <c r="B447" s="561"/>
      <c r="C447" s="561"/>
      <c r="D447" s="561"/>
      <c r="E447" s="561"/>
      <c r="F447" s="561"/>
      <c r="G447" s="561"/>
    </row>
    <row r="448" spans="1:7">
      <c r="A448" s="561"/>
      <c r="B448" s="561"/>
      <c r="C448" s="2126" t="s">
        <v>3381</v>
      </c>
      <c r="D448" s="2126"/>
      <c r="E448" s="2126"/>
      <c r="F448" s="2126"/>
      <c r="G448" s="561"/>
    </row>
    <row r="449" spans="1:7">
      <c r="A449" s="561"/>
      <c r="B449" s="561"/>
      <c r="C449" s="561"/>
      <c r="D449" s="561"/>
      <c r="E449" s="561"/>
      <c r="F449" s="561"/>
      <c r="G449" s="561"/>
    </row>
    <row r="450" spans="1:7">
      <c r="A450" s="561">
        <v>1</v>
      </c>
      <c r="B450" s="561" t="s">
        <v>68</v>
      </c>
      <c r="C450" s="561" t="s">
        <v>3382</v>
      </c>
      <c r="D450" s="561">
        <v>54</v>
      </c>
      <c r="E450" s="561" t="s">
        <v>68</v>
      </c>
      <c r="F450" s="561">
        <v>54</v>
      </c>
      <c r="G450" s="561"/>
    </row>
    <row r="451" spans="1:7">
      <c r="A451" s="561">
        <v>1</v>
      </c>
      <c r="B451" s="561" t="s">
        <v>68</v>
      </c>
      <c r="C451" s="561" t="s">
        <v>3383</v>
      </c>
      <c r="D451" s="561">
        <v>63.1</v>
      </c>
      <c r="E451" s="561" t="s">
        <v>68</v>
      </c>
      <c r="F451" s="561">
        <v>63.1</v>
      </c>
      <c r="G451" s="561"/>
    </row>
    <row r="452" spans="1:7">
      <c r="A452" s="561">
        <v>1.4999999999999999E-2</v>
      </c>
      <c r="B452" s="561" t="s">
        <v>306</v>
      </c>
      <c r="C452" s="561" t="s">
        <v>3384</v>
      </c>
      <c r="D452" s="561">
        <v>630</v>
      </c>
      <c r="E452" s="561" t="s">
        <v>306</v>
      </c>
      <c r="F452" s="561">
        <v>9.4499999999999993</v>
      </c>
      <c r="G452" s="561"/>
    </row>
    <row r="453" spans="1:7">
      <c r="A453" s="561" t="s">
        <v>287</v>
      </c>
      <c r="B453" s="561"/>
      <c r="C453" s="561" t="s">
        <v>3385</v>
      </c>
      <c r="D453" s="561"/>
      <c r="E453" s="561"/>
      <c r="F453" s="561">
        <v>12.15</v>
      </c>
      <c r="G453" s="561"/>
    </row>
    <row r="454" spans="1:7">
      <c r="A454" s="561"/>
      <c r="B454" s="561"/>
      <c r="C454" s="561" t="s">
        <v>2718</v>
      </c>
      <c r="D454" s="561"/>
      <c r="E454" s="561"/>
      <c r="F454" s="561">
        <v>138.69999999999999</v>
      </c>
      <c r="G454" s="561"/>
    </row>
    <row r="455" spans="1:7">
      <c r="A455" s="561"/>
      <c r="B455" s="561"/>
      <c r="C455" s="561"/>
      <c r="D455" s="561"/>
      <c r="E455" s="561"/>
      <c r="F455" s="561"/>
      <c r="G455" s="561"/>
    </row>
    <row r="456" spans="1:7">
      <c r="A456" s="561"/>
      <c r="B456" s="561"/>
      <c r="C456" s="561" t="s">
        <v>3386</v>
      </c>
      <c r="D456" s="561"/>
      <c r="E456" s="561"/>
      <c r="F456" s="561"/>
      <c r="G456" s="561"/>
    </row>
    <row r="457" spans="1:7">
      <c r="A457" s="561"/>
      <c r="B457" s="561"/>
      <c r="C457" s="561"/>
      <c r="D457" s="561"/>
      <c r="E457" s="561"/>
      <c r="F457" s="561"/>
      <c r="G457" s="561"/>
    </row>
    <row r="458" spans="1:7">
      <c r="A458" s="561"/>
      <c r="B458" s="561"/>
      <c r="C458" s="561" t="s">
        <v>3387</v>
      </c>
      <c r="D458" s="561"/>
      <c r="E458" s="561"/>
      <c r="F458" s="561"/>
      <c r="G458" s="561"/>
    </row>
    <row r="459" spans="1:7">
      <c r="A459" s="561"/>
      <c r="B459" s="561"/>
      <c r="C459" s="561"/>
      <c r="D459" s="561"/>
      <c r="E459" s="561"/>
      <c r="F459" s="561"/>
      <c r="G459" s="561"/>
    </row>
    <row r="460" spans="1:7">
      <c r="A460" s="561"/>
      <c r="B460" s="561"/>
      <c r="C460" s="2127" t="s">
        <v>3388</v>
      </c>
      <c r="D460" s="2127"/>
      <c r="E460" s="2127"/>
      <c r="F460" s="2127"/>
      <c r="G460" s="561"/>
    </row>
    <row r="461" spans="1:7">
      <c r="A461" s="561">
        <v>1</v>
      </c>
      <c r="B461" s="561" t="s">
        <v>68</v>
      </c>
      <c r="C461" s="561" t="s">
        <v>3389</v>
      </c>
      <c r="D461" s="561">
        <v>274.89999999999998</v>
      </c>
      <c r="E461" s="561" t="s">
        <v>68</v>
      </c>
      <c r="F461" s="561">
        <v>274.89999999999998</v>
      </c>
      <c r="G461" s="561"/>
    </row>
    <row r="462" spans="1:7">
      <c r="A462" s="561"/>
      <c r="B462" s="561"/>
      <c r="C462" s="561" t="s">
        <v>337</v>
      </c>
      <c r="D462" s="561"/>
      <c r="E462" s="561"/>
      <c r="F462" s="561">
        <v>6</v>
      </c>
      <c r="G462" s="561"/>
    </row>
    <row r="463" spans="1:7">
      <c r="A463" s="561"/>
      <c r="B463" s="561"/>
      <c r="C463" s="561" t="s">
        <v>910</v>
      </c>
      <c r="D463" s="561"/>
      <c r="E463" s="561"/>
      <c r="F463" s="561">
        <v>205.6</v>
      </c>
      <c r="G463" s="561"/>
    </row>
    <row r="464" spans="1:7">
      <c r="A464" s="561"/>
      <c r="B464" s="561"/>
      <c r="C464" s="561" t="s">
        <v>3390</v>
      </c>
      <c r="D464" s="561"/>
      <c r="E464" s="561"/>
      <c r="F464" s="561">
        <v>486.5</v>
      </c>
      <c r="G464" s="561"/>
    </row>
    <row r="465" spans="1:7">
      <c r="A465" s="561"/>
      <c r="B465" s="561"/>
      <c r="C465" s="561"/>
      <c r="D465" s="561"/>
      <c r="E465" s="561"/>
      <c r="F465" s="561"/>
      <c r="G465" s="561"/>
    </row>
    <row r="466" spans="1:7">
      <c r="A466" s="561"/>
      <c r="B466" s="561"/>
      <c r="C466" s="561" t="s">
        <v>3391</v>
      </c>
      <c r="D466" s="561"/>
      <c r="E466" s="561"/>
      <c r="F466" s="561"/>
      <c r="G466" s="561"/>
    </row>
    <row r="467" spans="1:7">
      <c r="A467" s="561">
        <v>2</v>
      </c>
      <c r="B467" s="561" t="s">
        <v>68</v>
      </c>
      <c r="C467" s="561" t="s">
        <v>3392</v>
      </c>
      <c r="D467" s="561">
        <v>708</v>
      </c>
      <c r="E467" s="561" t="s">
        <v>68</v>
      </c>
      <c r="F467" s="561">
        <v>1416</v>
      </c>
      <c r="G467" s="561"/>
    </row>
    <row r="468" spans="1:7">
      <c r="A468" s="561">
        <v>3</v>
      </c>
      <c r="B468" s="561" t="s">
        <v>68</v>
      </c>
      <c r="C468" s="561" t="s">
        <v>3393</v>
      </c>
      <c r="D468" s="561">
        <v>556</v>
      </c>
      <c r="E468" s="561" t="s">
        <v>68</v>
      </c>
      <c r="F468" s="561">
        <v>1668</v>
      </c>
      <c r="G468" s="561"/>
    </row>
    <row r="469" spans="1:7">
      <c r="A469" s="561"/>
      <c r="B469" s="561"/>
      <c r="C469" s="561" t="s">
        <v>3394</v>
      </c>
      <c r="D469" s="561"/>
      <c r="E469" s="561"/>
      <c r="F469" s="561">
        <v>3084</v>
      </c>
      <c r="G469" s="561"/>
    </row>
    <row r="470" spans="1:7">
      <c r="A470" s="561"/>
      <c r="B470" s="561"/>
      <c r="C470" s="561" t="s">
        <v>3395</v>
      </c>
      <c r="D470" s="561"/>
      <c r="E470" s="561"/>
      <c r="F470" s="561">
        <v>205.6</v>
      </c>
      <c r="G470" s="561"/>
    </row>
    <row r="471" spans="1:7">
      <c r="A471" s="561"/>
      <c r="B471" s="561"/>
      <c r="C471" s="561"/>
      <c r="D471" s="561"/>
      <c r="E471" s="561"/>
      <c r="F471" s="561"/>
      <c r="G471" s="561"/>
    </row>
    <row r="472" spans="1:7">
      <c r="A472" s="561">
        <v>82</v>
      </c>
      <c r="B472" s="561"/>
      <c r="C472" s="561" t="s">
        <v>1606</v>
      </c>
      <c r="D472" s="561"/>
      <c r="E472" s="561"/>
      <c r="F472" s="561">
        <v>2774.3</v>
      </c>
      <c r="G472" s="561"/>
    </row>
    <row r="473" spans="1:7">
      <c r="A473" s="561"/>
      <c r="B473" s="561"/>
      <c r="C473" s="561"/>
      <c r="D473" s="561"/>
      <c r="E473" s="561"/>
      <c r="F473" s="561"/>
      <c r="G473" s="561"/>
    </row>
    <row r="474" spans="1:7">
      <c r="A474" s="561"/>
      <c r="B474" s="561"/>
      <c r="C474" s="561"/>
      <c r="D474" s="561"/>
      <c r="E474" s="561"/>
      <c r="F474" s="561"/>
      <c r="G474" s="561"/>
    </row>
    <row r="475" spans="1:7">
      <c r="A475" s="561"/>
      <c r="B475" s="561"/>
      <c r="C475" s="561" t="s">
        <v>3396</v>
      </c>
      <c r="D475" s="561"/>
      <c r="E475" s="561"/>
      <c r="F475" s="561"/>
      <c r="G475" s="561"/>
    </row>
    <row r="476" spans="1:7">
      <c r="A476" s="561"/>
      <c r="B476" s="561"/>
      <c r="C476" s="561"/>
      <c r="D476" s="561"/>
      <c r="E476" s="561"/>
      <c r="F476" s="561"/>
      <c r="G476" s="561"/>
    </row>
    <row r="477" spans="1:7">
      <c r="A477" s="561"/>
      <c r="B477" s="561"/>
      <c r="C477" s="2127" t="s">
        <v>3359</v>
      </c>
      <c r="D477" s="2127"/>
      <c r="E477" s="2127"/>
      <c r="F477" s="2127"/>
      <c r="G477" s="561"/>
    </row>
    <row r="478" spans="1:7">
      <c r="A478" s="561"/>
      <c r="B478" s="561"/>
      <c r="C478" s="561" t="s">
        <v>3360</v>
      </c>
      <c r="D478" s="561"/>
      <c r="E478" s="561"/>
      <c r="F478" s="561">
        <v>10737</v>
      </c>
      <c r="G478" s="561"/>
    </row>
    <row r="479" spans="1:7">
      <c r="A479" s="561">
        <v>360</v>
      </c>
      <c r="B479" s="561" t="s">
        <v>303</v>
      </c>
      <c r="C479" s="561" t="s">
        <v>3397</v>
      </c>
      <c r="D479" s="561">
        <v>56.7</v>
      </c>
      <c r="E479" s="561" t="s">
        <v>303</v>
      </c>
      <c r="F479" s="561">
        <v>20412</v>
      </c>
      <c r="G479" s="561"/>
    </row>
    <row r="480" spans="1:7">
      <c r="A480" s="561">
        <v>180</v>
      </c>
      <c r="B480" s="561" t="s">
        <v>303</v>
      </c>
      <c r="C480" s="561" t="s">
        <v>3362</v>
      </c>
      <c r="D480" s="561">
        <v>15.5</v>
      </c>
      <c r="E480" s="561" t="s">
        <v>3322</v>
      </c>
      <c r="F480" s="561">
        <v>2790</v>
      </c>
      <c r="G480" s="561"/>
    </row>
    <row r="481" spans="1:7">
      <c r="A481" s="561"/>
      <c r="B481" s="561"/>
      <c r="C481" s="561" t="s">
        <v>337</v>
      </c>
      <c r="D481" s="561"/>
      <c r="E481" s="561"/>
      <c r="F481" s="561"/>
      <c r="G481" s="561"/>
    </row>
    <row r="482" spans="1:7">
      <c r="A482" s="561"/>
      <c r="B482" s="561"/>
      <c r="C482" s="561" t="s">
        <v>3363</v>
      </c>
      <c r="D482" s="561"/>
      <c r="E482" s="561"/>
      <c r="F482" s="561">
        <v>28359</v>
      </c>
      <c r="G482" s="561"/>
    </row>
    <row r="483" spans="1:7">
      <c r="A483" s="561"/>
      <c r="B483" s="561"/>
      <c r="C483" s="561" t="s">
        <v>3364</v>
      </c>
      <c r="D483" s="561"/>
      <c r="E483" s="561"/>
      <c r="F483" s="561">
        <v>315.10000000000002</v>
      </c>
      <c r="G483" s="561"/>
    </row>
    <row r="484" spans="1:7">
      <c r="A484" s="561"/>
      <c r="B484" s="561"/>
      <c r="C484" s="561"/>
      <c r="D484" s="561"/>
      <c r="E484" s="561"/>
      <c r="F484" s="561"/>
      <c r="G484" s="561"/>
    </row>
    <row r="485" spans="1:7">
      <c r="A485" s="561"/>
      <c r="B485" s="561"/>
      <c r="C485" s="561" t="s">
        <v>3398</v>
      </c>
      <c r="D485" s="561"/>
      <c r="E485" s="561"/>
      <c r="F485" s="561"/>
      <c r="G485" s="561"/>
    </row>
    <row r="486" spans="1:7">
      <c r="A486" s="561"/>
      <c r="B486" s="561"/>
      <c r="C486" s="561"/>
      <c r="D486" s="561"/>
      <c r="E486" s="561"/>
      <c r="F486" s="561"/>
      <c r="G486" s="561"/>
    </row>
    <row r="487" spans="1:7">
      <c r="A487" s="561"/>
      <c r="B487" s="561"/>
      <c r="C487" s="2127" t="s">
        <v>3359</v>
      </c>
      <c r="D487" s="2127"/>
      <c r="E487" s="2127"/>
      <c r="F487" s="2127"/>
      <c r="G487" s="561"/>
    </row>
    <row r="488" spans="1:7">
      <c r="A488" s="561"/>
      <c r="B488" s="561"/>
      <c r="C488" s="561"/>
      <c r="D488" s="561"/>
      <c r="E488" s="561"/>
      <c r="F488" s="561"/>
      <c r="G488" s="561"/>
    </row>
    <row r="489" spans="1:7">
      <c r="A489" s="561"/>
      <c r="B489" s="561"/>
      <c r="C489" s="561" t="s">
        <v>3360</v>
      </c>
      <c r="D489" s="561"/>
      <c r="E489" s="561"/>
      <c r="F489" s="561">
        <v>10737</v>
      </c>
      <c r="G489" s="561"/>
    </row>
    <row r="490" spans="1:7">
      <c r="A490" s="561">
        <v>360</v>
      </c>
      <c r="B490" s="561" t="s">
        <v>303</v>
      </c>
      <c r="C490" s="561" t="s">
        <v>3399</v>
      </c>
      <c r="D490" s="561">
        <v>38.299999999999997</v>
      </c>
      <c r="E490" s="561" t="s">
        <v>303</v>
      </c>
      <c r="F490" s="561">
        <v>13788</v>
      </c>
      <c r="G490" s="561"/>
    </row>
    <row r="491" spans="1:7">
      <c r="A491" s="561">
        <v>180</v>
      </c>
      <c r="B491" s="561" t="s">
        <v>303</v>
      </c>
      <c r="C491" s="561" t="s">
        <v>3362</v>
      </c>
      <c r="D491" s="561">
        <v>15.5</v>
      </c>
      <c r="E491" s="561" t="s">
        <v>3322</v>
      </c>
      <c r="F491" s="561">
        <v>2790</v>
      </c>
      <c r="G491" s="561"/>
    </row>
    <row r="492" spans="1:7">
      <c r="A492" s="561"/>
      <c r="B492" s="561"/>
      <c r="C492" s="561" t="s">
        <v>337</v>
      </c>
      <c r="D492" s="561"/>
      <c r="E492" s="561"/>
      <c r="F492" s="561"/>
      <c r="G492" s="561"/>
    </row>
    <row r="493" spans="1:7">
      <c r="A493" s="561"/>
      <c r="B493" s="561"/>
      <c r="C493" s="561" t="s">
        <v>3363</v>
      </c>
      <c r="D493" s="561"/>
      <c r="E493" s="561"/>
      <c r="F493" s="561">
        <v>21735</v>
      </c>
      <c r="G493" s="561"/>
    </row>
    <row r="494" spans="1:7">
      <c r="A494" s="561"/>
      <c r="B494" s="561"/>
      <c r="C494" s="561" t="s">
        <v>3364</v>
      </c>
      <c r="D494" s="561"/>
      <c r="E494" s="561"/>
      <c r="F494" s="561">
        <v>241.5</v>
      </c>
      <c r="G494" s="561"/>
    </row>
    <row r="506" spans="6:6">
      <c r="F506" s="19"/>
    </row>
    <row r="516" spans="6:6">
      <c r="F516" s="19"/>
    </row>
    <row r="517" spans="6:6">
      <c r="F517" s="19"/>
    </row>
    <row r="524" spans="6:6">
      <c r="F524" s="19"/>
    </row>
    <row r="525" spans="6:6">
      <c r="F525" s="19"/>
    </row>
    <row r="532" spans="6:6">
      <c r="F532" s="19"/>
    </row>
    <row r="533" spans="6:6">
      <c r="F533" s="19"/>
    </row>
    <row r="534" spans="6:6">
      <c r="F534" s="18"/>
    </row>
    <row r="535" spans="6:6">
      <c r="F535" s="559"/>
    </row>
    <row r="536" spans="6:6">
      <c r="F536" s="559"/>
    </row>
    <row r="537" spans="6:6">
      <c r="F537" s="559"/>
    </row>
    <row r="538" spans="6:6">
      <c r="F538" s="559"/>
    </row>
    <row r="539" spans="6:6">
      <c r="F539" s="559"/>
    </row>
    <row r="540" spans="6:6">
      <c r="F540" s="559"/>
    </row>
    <row r="541" spans="6:6">
      <c r="F541" s="559"/>
    </row>
    <row r="549" spans="6:6">
      <c r="F549" s="19"/>
    </row>
    <row r="551" spans="6:6">
      <c r="F551" s="19"/>
    </row>
    <row r="563" spans="6:6">
      <c r="F563" s="19"/>
    </row>
    <row r="574" spans="6:6">
      <c r="F574" s="19"/>
    </row>
    <row r="575" spans="6:6">
      <c r="F575" s="19"/>
    </row>
    <row r="576" spans="6:6">
      <c r="F576" s="19"/>
    </row>
    <row r="577" spans="6:6">
      <c r="F577" s="19"/>
    </row>
    <row r="578" spans="6:6">
      <c r="F578" s="19"/>
    </row>
    <row r="595" spans="6:6">
      <c r="F595" s="19"/>
    </row>
    <row r="617" spans="6:6">
      <c r="F617" s="19"/>
    </row>
    <row r="623" spans="6:6">
      <c r="F623" s="19"/>
    </row>
    <row r="637" spans="6:6">
      <c r="F637" s="19"/>
    </row>
    <row r="647" spans="6:6">
      <c r="F647" s="19"/>
    </row>
  </sheetData>
  <mergeCells count="10">
    <mergeCell ref="C448:F448"/>
    <mergeCell ref="C460:F460"/>
    <mergeCell ref="C477:F477"/>
    <mergeCell ref="C487:F487"/>
    <mergeCell ref="C359:F359"/>
    <mergeCell ref="C392:F392"/>
    <mergeCell ref="C393:F393"/>
    <mergeCell ref="C403:F403"/>
    <mergeCell ref="C413:F413"/>
    <mergeCell ref="C423:F423"/>
  </mergeCells>
  <pageMargins left="0.70866141732283472" right="0.70866141732283472" top="0.55118110236220474" bottom="0.94488188976377963" header="0.31496062992125984" footer="0.31496062992125984"/>
  <pageSetup paperSize="9" scale="95" orientation="portrait" r:id="rId1"/>
</worksheet>
</file>

<file path=xl/worksheets/sheet50.xml><?xml version="1.0" encoding="utf-8"?>
<worksheet xmlns="http://schemas.openxmlformats.org/spreadsheetml/2006/main" xmlns:r="http://schemas.openxmlformats.org/officeDocument/2006/relationships">
  <sheetPr codeName="Sheet24"/>
  <dimension ref="A1:I437"/>
  <sheetViews>
    <sheetView topLeftCell="A389" workbookViewId="0">
      <selection activeCell="A396" sqref="A396:B396"/>
    </sheetView>
  </sheetViews>
  <sheetFormatPr defaultColWidth="9.28515625" defaultRowHeight="15.75"/>
  <cols>
    <col min="1" max="1" width="5.28515625" style="26" customWidth="1"/>
    <col min="2" max="2" width="31.7109375" style="9" customWidth="1"/>
    <col min="3" max="4" width="5.42578125" style="26" customWidth="1"/>
    <col min="5" max="7" width="8.42578125" style="27" customWidth="1"/>
    <col min="8" max="8" width="12" style="11" bestFit="1" customWidth="1"/>
    <col min="9" max="9" width="6.42578125" style="26" customWidth="1"/>
    <col min="10" max="16384" width="9.28515625" style="9"/>
  </cols>
  <sheetData>
    <row r="1" spans="1:9" ht="18.75">
      <c r="A1" s="2131" t="s">
        <v>241</v>
      </c>
      <c r="B1" s="2131"/>
      <c r="C1" s="2131"/>
      <c r="D1" s="2131"/>
      <c r="E1" s="2131"/>
      <c r="F1" s="2131"/>
      <c r="G1" s="2131"/>
      <c r="H1" s="2131"/>
      <c r="I1" s="2131"/>
    </row>
    <row r="2" spans="1:9" ht="48.75" customHeight="1">
      <c r="A2" s="2132" t="s">
        <v>379</v>
      </c>
      <c r="B2" s="2132"/>
      <c r="C2" s="2132"/>
      <c r="D2" s="2132"/>
      <c r="E2" s="2132"/>
      <c r="F2" s="2132"/>
      <c r="G2" s="2132"/>
      <c r="H2" s="2132"/>
      <c r="I2" s="2132"/>
    </row>
    <row r="3" spans="1:9" ht="22.5" customHeight="1">
      <c r="A3" s="2076" t="s">
        <v>14</v>
      </c>
      <c r="B3" s="2077"/>
      <c r="C3" s="2077"/>
      <c r="D3" s="2077"/>
      <c r="E3" s="2077"/>
      <c r="F3" s="2077"/>
      <c r="G3" s="2077"/>
      <c r="H3" s="2077"/>
      <c r="I3" s="2078"/>
    </row>
    <row r="4" spans="1:9" ht="40.5" customHeight="1">
      <c r="A4" s="25" t="s">
        <v>12</v>
      </c>
      <c r="B4" s="25" t="s">
        <v>11</v>
      </c>
      <c r="C4" s="1950" t="s">
        <v>4</v>
      </c>
      <c r="D4" s="1950"/>
      <c r="E4" s="5" t="s">
        <v>5</v>
      </c>
      <c r="F4" s="5" t="s">
        <v>6</v>
      </c>
      <c r="G4" s="5" t="s">
        <v>7</v>
      </c>
      <c r="H4" s="5" t="s">
        <v>3</v>
      </c>
      <c r="I4" s="5" t="s">
        <v>10</v>
      </c>
    </row>
    <row r="5" spans="1:9">
      <c r="A5" s="2">
        <v>1</v>
      </c>
      <c r="B5" s="1" t="s">
        <v>15</v>
      </c>
      <c r="C5" s="2"/>
      <c r="D5" s="2"/>
      <c r="E5" s="3"/>
      <c r="F5" s="3"/>
      <c r="G5" s="3"/>
      <c r="H5" s="4"/>
      <c r="I5" s="3"/>
    </row>
    <row r="6" spans="1:9">
      <c r="A6" s="2"/>
      <c r="B6" s="1" t="s">
        <v>16</v>
      </c>
      <c r="C6" s="2">
        <v>3</v>
      </c>
      <c r="D6" s="2">
        <v>1</v>
      </c>
      <c r="E6" s="3">
        <v>0.9</v>
      </c>
      <c r="F6" s="3">
        <v>0.4</v>
      </c>
      <c r="G6" s="3">
        <v>0.6</v>
      </c>
      <c r="H6" s="4">
        <f>C6*D6*E6*F6*G6</f>
        <v>0.64800000000000002</v>
      </c>
      <c r="I6" s="3"/>
    </row>
    <row r="7" spans="1:9">
      <c r="A7" s="2"/>
      <c r="B7" s="1" t="s">
        <v>370</v>
      </c>
      <c r="C7" s="2">
        <v>3</v>
      </c>
      <c r="D7" s="2">
        <v>1</v>
      </c>
      <c r="E7" s="2128" t="s">
        <v>371</v>
      </c>
      <c r="F7" s="2129"/>
      <c r="G7" s="2130"/>
      <c r="H7" s="4">
        <v>0.08</v>
      </c>
      <c r="I7" s="3"/>
    </row>
    <row r="8" spans="1:9">
      <c r="A8" s="2"/>
      <c r="B8" s="1"/>
      <c r="C8" s="2"/>
      <c r="D8" s="2"/>
      <c r="E8" s="3"/>
      <c r="F8" s="3"/>
      <c r="G8" s="3"/>
      <c r="H8" s="4">
        <f>SUM(H6:H7)</f>
        <v>0.72799999999999998</v>
      </c>
      <c r="I8" s="3"/>
    </row>
    <row r="9" spans="1:9" ht="18.75">
      <c r="A9" s="2"/>
      <c r="B9" s="1"/>
      <c r="C9" s="2"/>
      <c r="D9" s="2"/>
      <c r="E9" s="3"/>
      <c r="F9" s="3"/>
      <c r="G9" s="3" t="s">
        <v>9</v>
      </c>
      <c r="H9" s="7">
        <v>0.75</v>
      </c>
      <c r="I9" s="3" t="s">
        <v>25</v>
      </c>
    </row>
    <row r="10" spans="1:9">
      <c r="A10" s="2">
        <v>2</v>
      </c>
      <c r="B10" s="1" t="s">
        <v>17</v>
      </c>
      <c r="C10" s="2"/>
      <c r="D10" s="2"/>
      <c r="E10" s="3"/>
      <c r="F10" s="3"/>
      <c r="G10" s="3"/>
      <c r="H10" s="4"/>
      <c r="I10" s="3"/>
    </row>
    <row r="11" spans="1:9">
      <c r="A11" s="2"/>
      <c r="B11" s="1" t="s">
        <v>18</v>
      </c>
      <c r="C11" s="2">
        <v>3</v>
      </c>
      <c r="D11" s="2">
        <v>1</v>
      </c>
      <c r="E11" s="3">
        <v>1.2</v>
      </c>
      <c r="F11" s="3">
        <v>1.54</v>
      </c>
      <c r="G11" s="3" t="s">
        <v>21</v>
      </c>
      <c r="H11" s="4">
        <f>C11*D11*E11*F11</f>
        <v>5.5439999999999996</v>
      </c>
      <c r="I11" s="3"/>
    </row>
    <row r="12" spans="1:9">
      <c r="A12" s="2"/>
      <c r="B12" s="1" t="s">
        <v>52</v>
      </c>
      <c r="C12" s="2">
        <v>3</v>
      </c>
      <c r="D12" s="2">
        <v>1</v>
      </c>
      <c r="E12" s="3">
        <v>2.1</v>
      </c>
      <c r="F12" s="3">
        <v>1.81</v>
      </c>
      <c r="G12" s="3" t="s">
        <v>21</v>
      </c>
      <c r="H12" s="4">
        <f>C12*D12*E12*F12</f>
        <v>11.403000000000002</v>
      </c>
      <c r="I12" s="3"/>
    </row>
    <row r="13" spans="1:9">
      <c r="A13" s="2"/>
      <c r="B13" s="1" t="s">
        <v>1</v>
      </c>
      <c r="C13" s="2">
        <v>3</v>
      </c>
      <c r="D13" s="2">
        <v>1</v>
      </c>
      <c r="E13" s="3">
        <v>1.2</v>
      </c>
      <c r="F13" s="3">
        <v>1</v>
      </c>
      <c r="G13" s="3" t="s">
        <v>21</v>
      </c>
      <c r="H13" s="4">
        <f>C13*D13*E13*F13</f>
        <v>3.5999999999999996</v>
      </c>
      <c r="I13" s="3"/>
    </row>
    <row r="14" spans="1:9">
      <c r="A14" s="2"/>
      <c r="B14" s="1" t="s">
        <v>129</v>
      </c>
      <c r="C14" s="2">
        <v>3</v>
      </c>
      <c r="D14" s="2">
        <v>1</v>
      </c>
      <c r="E14" s="3">
        <v>3.6</v>
      </c>
      <c r="F14" s="3">
        <v>5.4</v>
      </c>
      <c r="G14" s="3" t="s">
        <v>21</v>
      </c>
      <c r="H14" s="4">
        <f t="shared" ref="H14:H19" si="0">C14*D14*E14*F14</f>
        <v>58.320000000000007</v>
      </c>
      <c r="I14" s="3"/>
    </row>
    <row r="15" spans="1:9">
      <c r="A15" s="2"/>
      <c r="B15" s="1" t="s">
        <v>0</v>
      </c>
      <c r="C15" s="2">
        <v>3</v>
      </c>
      <c r="D15" s="2">
        <v>1</v>
      </c>
      <c r="E15" s="3">
        <v>3.05</v>
      </c>
      <c r="F15" s="3">
        <v>2.42</v>
      </c>
      <c r="G15" s="3" t="s">
        <v>21</v>
      </c>
      <c r="H15" s="4">
        <f t="shared" si="0"/>
        <v>22.142999999999997</v>
      </c>
      <c r="I15" s="3"/>
    </row>
    <row r="16" spans="1:9">
      <c r="A16" s="2"/>
      <c r="B16" s="1" t="s">
        <v>130</v>
      </c>
      <c r="C16" s="2">
        <v>3</v>
      </c>
      <c r="D16" s="2">
        <v>1</v>
      </c>
      <c r="E16" s="3">
        <v>4.2699999999999996</v>
      </c>
      <c r="F16" s="3">
        <v>3.62</v>
      </c>
      <c r="G16" s="3" t="s">
        <v>21</v>
      </c>
      <c r="H16" s="4">
        <f t="shared" si="0"/>
        <v>46.372199999999999</v>
      </c>
      <c r="I16" s="3"/>
    </row>
    <row r="17" spans="1:9">
      <c r="A17" s="2"/>
      <c r="B17" s="1" t="s">
        <v>131</v>
      </c>
      <c r="C17" s="2">
        <v>3</v>
      </c>
      <c r="D17" s="2">
        <v>1</v>
      </c>
      <c r="E17" s="3">
        <v>3.64</v>
      </c>
      <c r="F17" s="3">
        <v>3.02</v>
      </c>
      <c r="G17" s="3" t="s">
        <v>21</v>
      </c>
      <c r="H17" s="4">
        <f t="shared" si="0"/>
        <v>32.978400000000001</v>
      </c>
      <c r="I17" s="3"/>
    </row>
    <row r="18" spans="1:9">
      <c r="A18" s="2"/>
      <c r="B18" s="1" t="s">
        <v>74</v>
      </c>
      <c r="C18" s="2">
        <v>3</v>
      </c>
      <c r="D18" s="2">
        <v>1</v>
      </c>
      <c r="E18" s="3">
        <v>3.6</v>
      </c>
      <c r="F18" s="3">
        <v>1.5</v>
      </c>
      <c r="G18" s="3" t="s">
        <v>21</v>
      </c>
      <c r="H18" s="4">
        <f t="shared" si="0"/>
        <v>16.200000000000003</v>
      </c>
      <c r="I18" s="3"/>
    </row>
    <row r="19" spans="1:9">
      <c r="A19" s="2"/>
      <c r="B19" s="1" t="s">
        <v>79</v>
      </c>
      <c r="C19" s="2">
        <v>3</v>
      </c>
      <c r="D19" s="2">
        <v>1</v>
      </c>
      <c r="E19" s="3">
        <v>1</v>
      </c>
      <c r="F19" s="3">
        <v>1.05</v>
      </c>
      <c r="G19" s="3" t="s">
        <v>21</v>
      </c>
      <c r="H19" s="4">
        <f t="shared" si="0"/>
        <v>3.1500000000000004</v>
      </c>
      <c r="I19" s="3"/>
    </row>
    <row r="20" spans="1:9">
      <c r="A20" s="2"/>
      <c r="B20" s="1"/>
      <c r="C20" s="2"/>
      <c r="D20" s="2"/>
      <c r="E20" s="3"/>
      <c r="F20" s="3"/>
      <c r="G20" s="3"/>
      <c r="H20" s="4">
        <f>SUM(H11:H19)</f>
        <v>199.71060000000003</v>
      </c>
      <c r="I20" s="3"/>
    </row>
    <row r="21" spans="1:9" ht="18.75">
      <c r="A21" s="2"/>
      <c r="B21" s="1"/>
      <c r="C21" s="2"/>
      <c r="D21" s="2"/>
      <c r="E21" s="3"/>
      <c r="F21" s="3"/>
      <c r="G21" s="3" t="s">
        <v>9</v>
      </c>
      <c r="H21" s="7">
        <v>199.8</v>
      </c>
      <c r="I21" s="3" t="s">
        <v>26</v>
      </c>
    </row>
    <row r="22" spans="1:9">
      <c r="A22" s="2">
        <v>3</v>
      </c>
      <c r="B22" s="1" t="s">
        <v>20</v>
      </c>
      <c r="C22" s="2"/>
      <c r="D22" s="2"/>
      <c r="E22" s="3"/>
      <c r="F22" s="3"/>
      <c r="G22" s="3"/>
      <c r="H22" s="4"/>
      <c r="I22" s="3"/>
    </row>
    <row r="23" spans="1:9">
      <c r="A23" s="2"/>
      <c r="B23" s="1" t="s">
        <v>19</v>
      </c>
      <c r="C23" s="2">
        <v>3</v>
      </c>
      <c r="D23" s="2">
        <v>1</v>
      </c>
      <c r="E23" s="3">
        <v>5.48</v>
      </c>
      <c r="F23" s="3" t="s">
        <v>21</v>
      </c>
      <c r="G23" s="3">
        <v>2.1</v>
      </c>
      <c r="H23" s="4">
        <f>C23*D23*E23*G23</f>
        <v>34.524000000000001</v>
      </c>
      <c r="I23" s="3"/>
    </row>
    <row r="24" spans="1:9">
      <c r="A24" s="2"/>
      <c r="B24" s="1" t="s">
        <v>50</v>
      </c>
      <c r="C24" s="2">
        <v>3</v>
      </c>
      <c r="D24" s="2">
        <v>-1</v>
      </c>
      <c r="E24" s="3">
        <v>0.85</v>
      </c>
      <c r="F24" s="3" t="s">
        <v>21</v>
      </c>
      <c r="G24" s="3">
        <v>1.97</v>
      </c>
      <c r="H24" s="4">
        <f t="shared" ref="H24:H30" si="1">C24*D24*E24*G24</f>
        <v>-5.0234999999999994</v>
      </c>
      <c r="I24" s="3"/>
    </row>
    <row r="25" spans="1:9">
      <c r="A25" s="2"/>
      <c r="B25" s="1" t="s">
        <v>22</v>
      </c>
      <c r="C25" s="2">
        <v>3</v>
      </c>
      <c r="D25" s="2">
        <v>1</v>
      </c>
      <c r="E25" s="3">
        <v>4.4000000000000004</v>
      </c>
      <c r="F25" s="3" t="s">
        <v>21</v>
      </c>
      <c r="G25" s="3">
        <v>2.1</v>
      </c>
      <c r="H25" s="4">
        <f t="shared" si="1"/>
        <v>27.720000000000002</v>
      </c>
      <c r="I25" s="3"/>
    </row>
    <row r="26" spans="1:9">
      <c r="A26" s="2"/>
      <c r="B26" s="1" t="s">
        <v>50</v>
      </c>
      <c r="C26" s="2">
        <v>3</v>
      </c>
      <c r="D26" s="2">
        <v>-1</v>
      </c>
      <c r="E26" s="3">
        <v>0.85</v>
      </c>
      <c r="F26" s="3" t="s">
        <v>21</v>
      </c>
      <c r="G26" s="3">
        <v>1.97</v>
      </c>
      <c r="H26" s="4">
        <f t="shared" si="1"/>
        <v>-5.0234999999999994</v>
      </c>
      <c r="I26" s="3"/>
    </row>
    <row r="27" spans="1:9">
      <c r="A27" s="2"/>
      <c r="B27" s="1" t="s">
        <v>49</v>
      </c>
      <c r="C27" s="2">
        <v>3</v>
      </c>
      <c r="D27" s="2">
        <v>1</v>
      </c>
      <c r="E27" s="3">
        <v>7.82</v>
      </c>
      <c r="F27" s="3" t="s">
        <v>21</v>
      </c>
      <c r="G27" s="3">
        <v>2.1</v>
      </c>
      <c r="H27" s="4">
        <f t="shared" si="1"/>
        <v>49.266000000000005</v>
      </c>
      <c r="I27" s="3"/>
    </row>
    <row r="28" spans="1:9">
      <c r="A28" s="2"/>
      <c r="B28" s="1" t="s">
        <v>50</v>
      </c>
      <c r="C28" s="2">
        <v>3</v>
      </c>
      <c r="D28" s="2">
        <v>-1</v>
      </c>
      <c r="E28" s="3">
        <v>0.9</v>
      </c>
      <c r="F28" s="3" t="s">
        <v>21</v>
      </c>
      <c r="G28" s="3">
        <v>2.1</v>
      </c>
      <c r="H28" s="4">
        <f t="shared" si="1"/>
        <v>-5.6700000000000008</v>
      </c>
      <c r="I28" s="3"/>
    </row>
    <row r="29" spans="1:9">
      <c r="A29" s="2"/>
      <c r="B29" s="1" t="s">
        <v>23</v>
      </c>
      <c r="C29" s="2">
        <v>3</v>
      </c>
      <c r="D29" s="2">
        <v>2</v>
      </c>
      <c r="E29" s="3">
        <v>0.115</v>
      </c>
      <c r="F29" s="3" t="s">
        <v>21</v>
      </c>
      <c r="G29" s="3">
        <v>3</v>
      </c>
      <c r="H29" s="4">
        <f t="shared" si="1"/>
        <v>2.0700000000000003</v>
      </c>
      <c r="I29" s="3"/>
    </row>
    <row r="30" spans="1:9">
      <c r="A30" s="2"/>
      <c r="B30" s="1" t="s">
        <v>24</v>
      </c>
      <c r="C30" s="2">
        <v>3</v>
      </c>
      <c r="D30" s="2">
        <v>2</v>
      </c>
      <c r="E30" s="3">
        <v>0.115</v>
      </c>
      <c r="F30" s="3" t="s">
        <v>21</v>
      </c>
      <c r="G30" s="3">
        <v>2.1</v>
      </c>
      <c r="H30" s="4">
        <f t="shared" si="1"/>
        <v>1.4490000000000003</v>
      </c>
      <c r="I30" s="3"/>
    </row>
    <row r="31" spans="1:9">
      <c r="A31" s="2"/>
      <c r="B31" s="1"/>
      <c r="C31" s="2"/>
      <c r="D31" s="2"/>
      <c r="E31" s="3"/>
      <c r="F31" s="3"/>
      <c r="G31" s="3"/>
      <c r="H31" s="4">
        <f>SUM(H23:H30)</f>
        <v>99.311999999999998</v>
      </c>
      <c r="I31" s="3"/>
    </row>
    <row r="32" spans="1:9" ht="18.75">
      <c r="A32" s="2"/>
      <c r="B32" s="1"/>
      <c r="C32" s="2"/>
      <c r="D32" s="2"/>
      <c r="E32" s="3"/>
      <c r="F32" s="3"/>
      <c r="G32" s="3" t="s">
        <v>9</v>
      </c>
      <c r="H32" s="7">
        <v>99.35</v>
      </c>
      <c r="I32" s="3" t="s">
        <v>26</v>
      </c>
    </row>
    <row r="33" spans="1:9">
      <c r="A33" s="2">
        <v>4</v>
      </c>
      <c r="B33" s="1" t="s">
        <v>27</v>
      </c>
      <c r="C33" s="2"/>
      <c r="D33" s="2"/>
      <c r="E33" s="3"/>
      <c r="F33" s="3"/>
      <c r="G33" s="3"/>
      <c r="H33" s="4"/>
      <c r="I33" s="3"/>
    </row>
    <row r="34" spans="1:9">
      <c r="A34" s="2"/>
      <c r="B34" s="1" t="s">
        <v>29</v>
      </c>
      <c r="C34" s="2">
        <v>3</v>
      </c>
      <c r="D34" s="2">
        <v>1</v>
      </c>
      <c r="E34" s="3">
        <v>0.95</v>
      </c>
      <c r="F34" s="3" t="s">
        <v>21</v>
      </c>
      <c r="G34" s="3">
        <v>1.52</v>
      </c>
      <c r="H34" s="4">
        <f>C34*D34*E34*G34</f>
        <v>4.3319999999999999</v>
      </c>
      <c r="I34" s="3"/>
    </row>
    <row r="35" spans="1:9" ht="18.75">
      <c r="A35" s="2"/>
      <c r="B35" s="1"/>
      <c r="C35" s="2"/>
      <c r="D35" s="2"/>
      <c r="E35" s="3"/>
      <c r="F35" s="3"/>
      <c r="G35" s="3" t="s">
        <v>9</v>
      </c>
      <c r="H35" s="7">
        <v>4.3499999999999996</v>
      </c>
      <c r="I35" s="3" t="s">
        <v>26</v>
      </c>
    </row>
    <row r="36" spans="1:9" ht="31.5">
      <c r="A36" s="2">
        <v>5</v>
      </c>
      <c r="B36" s="1" t="s">
        <v>30</v>
      </c>
      <c r="C36" s="2"/>
      <c r="D36" s="2"/>
      <c r="E36" s="3"/>
      <c r="F36" s="3"/>
      <c r="G36" s="3"/>
      <c r="H36" s="4"/>
      <c r="I36" s="3"/>
    </row>
    <row r="37" spans="1:9">
      <c r="A37" s="2"/>
      <c r="B37" s="1" t="s">
        <v>31</v>
      </c>
      <c r="C37" s="2">
        <v>3</v>
      </c>
      <c r="D37" s="2">
        <v>1</v>
      </c>
      <c r="E37" s="3">
        <v>0.95</v>
      </c>
      <c r="F37" s="3">
        <v>0.4</v>
      </c>
      <c r="G37" s="3">
        <v>1.52</v>
      </c>
      <c r="H37" s="4">
        <f>C37*D37*E37*F37*G37</f>
        <v>1.7327999999999999</v>
      </c>
      <c r="I37" s="3"/>
    </row>
    <row r="38" spans="1:9">
      <c r="A38" s="2"/>
      <c r="B38" s="1" t="s">
        <v>352</v>
      </c>
      <c r="C38" s="2">
        <v>1</v>
      </c>
      <c r="D38" s="2">
        <v>2</v>
      </c>
      <c r="E38" s="3">
        <v>0.45</v>
      </c>
      <c r="F38" s="3">
        <v>0.45</v>
      </c>
      <c r="G38" s="3">
        <v>1.8</v>
      </c>
      <c r="H38" s="4">
        <f>C38*D38*E38*F38*G38</f>
        <v>0.72900000000000009</v>
      </c>
      <c r="I38" s="3"/>
    </row>
    <row r="39" spans="1:9">
      <c r="A39" s="2"/>
      <c r="B39" s="1"/>
      <c r="C39" s="2"/>
      <c r="D39" s="2"/>
      <c r="E39" s="3"/>
      <c r="F39" s="3"/>
      <c r="G39" s="3"/>
      <c r="H39" s="4">
        <f>SUM(H37:H38)</f>
        <v>2.4618000000000002</v>
      </c>
      <c r="I39" s="3"/>
    </row>
    <row r="40" spans="1:9" ht="18.75">
      <c r="A40" s="2"/>
      <c r="B40" s="1"/>
      <c r="C40" s="2"/>
      <c r="D40" s="2"/>
      <c r="E40" s="3"/>
      <c r="F40" s="3"/>
      <c r="G40" s="3" t="s">
        <v>9</v>
      </c>
      <c r="H40" s="7">
        <v>2.5</v>
      </c>
      <c r="I40" s="3" t="s">
        <v>25</v>
      </c>
    </row>
    <row r="41" spans="1:9" ht="47.25">
      <c r="A41" s="2">
        <v>6</v>
      </c>
      <c r="B41" s="1" t="s">
        <v>274</v>
      </c>
      <c r="C41" s="2"/>
      <c r="D41" s="2"/>
      <c r="E41" s="3"/>
      <c r="F41" s="3"/>
      <c r="G41" s="3"/>
      <c r="H41" s="4"/>
      <c r="I41" s="3"/>
    </row>
    <row r="42" spans="1:9">
      <c r="A42" s="2"/>
      <c r="B42" s="1" t="s">
        <v>32</v>
      </c>
      <c r="C42" s="2">
        <v>3</v>
      </c>
      <c r="D42" s="2">
        <v>2</v>
      </c>
      <c r="E42" s="3">
        <v>0.8</v>
      </c>
      <c r="F42" s="3" t="s">
        <v>21</v>
      </c>
      <c r="G42" s="3">
        <v>2.1</v>
      </c>
      <c r="H42" s="4">
        <f t="shared" ref="H42:H48" si="2">C42*D42*E42*G42</f>
        <v>10.080000000000002</v>
      </c>
      <c r="I42" s="3"/>
    </row>
    <row r="43" spans="1:9">
      <c r="A43" s="2"/>
      <c r="B43" s="1" t="s">
        <v>33</v>
      </c>
      <c r="C43" s="2">
        <v>3</v>
      </c>
      <c r="D43" s="2">
        <v>1</v>
      </c>
      <c r="E43" s="3">
        <v>2.1</v>
      </c>
      <c r="F43" s="3" t="s">
        <v>21</v>
      </c>
      <c r="G43" s="3">
        <v>3</v>
      </c>
      <c r="H43" s="4">
        <f t="shared" si="2"/>
        <v>18.900000000000002</v>
      </c>
      <c r="I43" s="3"/>
    </row>
    <row r="44" spans="1:9">
      <c r="A44" s="2"/>
      <c r="B44" s="1" t="s">
        <v>117</v>
      </c>
      <c r="C44" s="2">
        <v>1</v>
      </c>
      <c r="D44" s="2">
        <v>1</v>
      </c>
      <c r="E44" s="3">
        <v>61.6</v>
      </c>
      <c r="F44" s="3" t="s">
        <v>21</v>
      </c>
      <c r="G44" s="3">
        <v>0.75</v>
      </c>
      <c r="H44" s="4">
        <f t="shared" si="2"/>
        <v>46.2</v>
      </c>
      <c r="I44" s="3"/>
    </row>
    <row r="45" spans="1:9">
      <c r="A45" s="2"/>
      <c r="B45" s="1" t="s">
        <v>34</v>
      </c>
      <c r="C45" s="2">
        <v>3</v>
      </c>
      <c r="D45" s="2">
        <v>-1</v>
      </c>
      <c r="E45" s="3">
        <v>0.9</v>
      </c>
      <c r="F45" s="3" t="s">
        <v>21</v>
      </c>
      <c r="G45" s="3">
        <v>2.1</v>
      </c>
      <c r="H45" s="4">
        <f t="shared" si="2"/>
        <v>-5.6700000000000008</v>
      </c>
      <c r="I45" s="3"/>
    </row>
    <row r="46" spans="1:9">
      <c r="A46" s="2"/>
      <c r="B46" s="1" t="s">
        <v>35</v>
      </c>
      <c r="C46" s="2">
        <v>3</v>
      </c>
      <c r="D46" s="2">
        <v>-1</v>
      </c>
      <c r="E46" s="3">
        <v>1.36</v>
      </c>
      <c r="F46" s="3" t="s">
        <v>21</v>
      </c>
      <c r="G46" s="3">
        <v>0.1</v>
      </c>
      <c r="H46" s="4">
        <f t="shared" si="2"/>
        <v>-0.40800000000000003</v>
      </c>
      <c r="I46" s="3"/>
    </row>
    <row r="47" spans="1:9">
      <c r="A47" s="2"/>
      <c r="B47" s="1" t="s">
        <v>197</v>
      </c>
      <c r="C47" s="2">
        <v>2</v>
      </c>
      <c r="D47" s="2">
        <v>1</v>
      </c>
      <c r="E47" s="3">
        <v>34</v>
      </c>
      <c r="F47" s="3" t="s">
        <v>21</v>
      </c>
      <c r="G47" s="3">
        <v>0.1</v>
      </c>
      <c r="H47" s="4">
        <f t="shared" si="2"/>
        <v>6.8000000000000007</v>
      </c>
      <c r="I47" s="3"/>
    </row>
    <row r="48" spans="1:9">
      <c r="A48" s="2"/>
      <c r="B48" s="1" t="s">
        <v>36</v>
      </c>
      <c r="C48" s="2">
        <v>3</v>
      </c>
      <c r="D48" s="2">
        <v>1</v>
      </c>
      <c r="E48" s="3">
        <v>0.85</v>
      </c>
      <c r="F48" s="3" t="s">
        <v>21</v>
      </c>
      <c r="G48" s="3">
        <v>3</v>
      </c>
      <c r="H48" s="4">
        <f t="shared" si="2"/>
        <v>7.6499999999999995</v>
      </c>
      <c r="I48" s="3"/>
    </row>
    <row r="49" spans="1:9">
      <c r="A49" s="2"/>
      <c r="B49" s="1"/>
      <c r="C49" s="2"/>
      <c r="D49" s="2"/>
      <c r="E49" s="3"/>
      <c r="F49" s="3"/>
      <c r="G49" s="3"/>
      <c r="H49" s="4">
        <f>SUM(H42:H48)</f>
        <v>83.552000000000007</v>
      </c>
      <c r="I49" s="3"/>
    </row>
    <row r="50" spans="1:9" ht="18.75">
      <c r="A50" s="2"/>
      <c r="B50" s="1"/>
      <c r="C50" s="2"/>
      <c r="D50" s="2"/>
      <c r="E50" s="3"/>
      <c r="F50" s="3"/>
      <c r="G50" s="3" t="s">
        <v>9</v>
      </c>
      <c r="H50" s="7">
        <v>83.6</v>
      </c>
      <c r="I50" s="3" t="s">
        <v>26</v>
      </c>
    </row>
    <row r="51" spans="1:9" ht="33">
      <c r="A51" s="2">
        <v>7</v>
      </c>
      <c r="B51" s="1" t="s">
        <v>220</v>
      </c>
      <c r="C51" s="2"/>
      <c r="D51" s="2"/>
      <c r="E51" s="3"/>
      <c r="F51" s="3"/>
      <c r="G51" s="3"/>
      <c r="H51" s="4"/>
      <c r="I51" s="3"/>
    </row>
    <row r="52" spans="1:9">
      <c r="A52" s="2"/>
      <c r="B52" s="1" t="s">
        <v>114</v>
      </c>
      <c r="C52" s="2">
        <v>1</v>
      </c>
      <c r="D52" s="2">
        <v>1</v>
      </c>
      <c r="E52" s="3">
        <v>70</v>
      </c>
      <c r="F52" s="3">
        <v>45</v>
      </c>
      <c r="G52" s="3">
        <v>7.4999999999999997E-2</v>
      </c>
      <c r="H52" s="4">
        <f>C52*D52*E52*F52*G52</f>
        <v>236.25</v>
      </c>
      <c r="I52" s="3"/>
    </row>
    <row r="53" spans="1:9">
      <c r="A53" s="2"/>
      <c r="B53" s="1" t="s">
        <v>215</v>
      </c>
      <c r="C53" s="2">
        <v>1</v>
      </c>
      <c r="D53" s="2">
        <v>43</v>
      </c>
      <c r="E53" s="3">
        <v>0.3</v>
      </c>
      <c r="F53" s="3">
        <v>0.3</v>
      </c>
      <c r="G53" s="3">
        <v>0.4</v>
      </c>
      <c r="H53" s="4">
        <f>C53*D53*E53*F53*G53</f>
        <v>1.548</v>
      </c>
      <c r="I53" s="3"/>
    </row>
    <row r="54" spans="1:9">
      <c r="A54" s="2"/>
      <c r="B54" s="1" t="s">
        <v>37</v>
      </c>
      <c r="C54" s="2">
        <v>3</v>
      </c>
      <c r="D54" s="2">
        <v>1</v>
      </c>
      <c r="E54" s="3">
        <v>1.36</v>
      </c>
      <c r="F54" s="3">
        <v>0.115</v>
      </c>
      <c r="G54" s="3">
        <v>0.1</v>
      </c>
      <c r="H54" s="4">
        <f>C54*D54*E54*F54*G54</f>
        <v>4.6920000000000003E-2</v>
      </c>
      <c r="I54" s="3"/>
    </row>
    <row r="55" spans="1:9">
      <c r="A55" s="2"/>
      <c r="B55" s="1"/>
      <c r="C55" s="2"/>
      <c r="D55" s="2"/>
      <c r="E55" s="3"/>
      <c r="F55" s="3"/>
      <c r="G55" s="3"/>
      <c r="H55" s="4">
        <f>SUM(H52:H54)</f>
        <v>237.84492</v>
      </c>
      <c r="I55" s="3"/>
    </row>
    <row r="56" spans="1:9" ht="18.75">
      <c r="A56" s="2"/>
      <c r="B56" s="1"/>
      <c r="C56" s="2"/>
      <c r="D56" s="2"/>
      <c r="E56" s="3"/>
      <c r="F56" s="3"/>
      <c r="G56" s="3" t="s">
        <v>9</v>
      </c>
      <c r="H56" s="7">
        <v>236.3</v>
      </c>
      <c r="I56" s="3" t="s">
        <v>25</v>
      </c>
    </row>
    <row r="57" spans="1:9" ht="31.5">
      <c r="A57" s="2">
        <v>8</v>
      </c>
      <c r="B57" s="1" t="s">
        <v>221</v>
      </c>
      <c r="C57" s="2"/>
      <c r="D57" s="2"/>
      <c r="E57" s="3"/>
      <c r="F57" s="3"/>
      <c r="G57" s="3"/>
      <c r="H57" s="4"/>
      <c r="I57" s="3"/>
    </row>
    <row r="58" spans="1:9" ht="20.25" customHeight="1">
      <c r="A58" s="2"/>
      <c r="B58" s="1" t="s">
        <v>37</v>
      </c>
      <c r="C58" s="2">
        <v>3</v>
      </c>
      <c r="D58" s="2">
        <v>1</v>
      </c>
      <c r="E58" s="2128" t="s">
        <v>38</v>
      </c>
      <c r="F58" s="2129"/>
      <c r="G58" s="2130"/>
      <c r="H58" s="4">
        <f>H54*120*3</f>
        <v>16.891200000000001</v>
      </c>
      <c r="I58" s="3" t="s">
        <v>13</v>
      </c>
    </row>
    <row r="59" spans="1:9">
      <c r="A59" s="2"/>
      <c r="B59" s="1"/>
      <c r="C59" s="2"/>
      <c r="D59" s="2"/>
      <c r="E59" s="3"/>
      <c r="F59" s="3"/>
      <c r="G59" s="3"/>
      <c r="H59" s="8">
        <f>H58/1000</f>
        <v>1.6891200000000002E-2</v>
      </c>
      <c r="I59" s="3" t="s">
        <v>39</v>
      </c>
    </row>
    <row r="60" spans="1:9" ht="31.5">
      <c r="A60" s="2">
        <v>9</v>
      </c>
      <c r="B60" s="1" t="s">
        <v>40</v>
      </c>
      <c r="C60" s="2"/>
      <c r="D60" s="2"/>
      <c r="E60" s="3"/>
      <c r="F60" s="3"/>
      <c r="G60" s="3"/>
      <c r="H60" s="4"/>
      <c r="I60" s="3"/>
    </row>
    <row r="61" spans="1:9">
      <c r="A61" s="2"/>
      <c r="B61" s="1" t="s">
        <v>41</v>
      </c>
      <c r="C61" s="2">
        <v>3</v>
      </c>
      <c r="D61" s="2">
        <v>1</v>
      </c>
      <c r="E61" s="3">
        <v>0.9</v>
      </c>
      <c r="F61" s="3" t="s">
        <v>21</v>
      </c>
      <c r="G61" s="3">
        <v>0.6</v>
      </c>
      <c r="H61" s="4">
        <f>C61*D61*E61*G61</f>
        <v>1.62</v>
      </c>
      <c r="I61" s="3"/>
    </row>
    <row r="62" spans="1:9">
      <c r="A62" s="2"/>
      <c r="B62" s="1" t="s">
        <v>196</v>
      </c>
      <c r="C62" s="2">
        <v>1</v>
      </c>
      <c r="D62" s="2">
        <v>43</v>
      </c>
      <c r="E62" s="22">
        <v>0.1</v>
      </c>
      <c r="F62" s="23" t="s">
        <v>21</v>
      </c>
      <c r="G62" s="24">
        <v>1.8</v>
      </c>
      <c r="H62" s="4">
        <f>C62*D62*E62*G62</f>
        <v>7.74</v>
      </c>
      <c r="I62" s="3"/>
    </row>
    <row r="63" spans="1:9">
      <c r="A63" s="2"/>
      <c r="B63" s="1" t="s">
        <v>112</v>
      </c>
      <c r="C63" s="2">
        <v>1</v>
      </c>
      <c r="D63" s="2">
        <v>1</v>
      </c>
      <c r="E63" s="22">
        <v>4.5</v>
      </c>
      <c r="F63" s="23" t="s">
        <v>21</v>
      </c>
      <c r="G63" s="24">
        <v>2</v>
      </c>
      <c r="H63" s="4">
        <f>C63*D63*E63*G63</f>
        <v>9</v>
      </c>
      <c r="I63" s="3"/>
    </row>
    <row r="64" spans="1:9">
      <c r="A64" s="2"/>
      <c r="B64" s="1"/>
      <c r="C64" s="2"/>
      <c r="D64" s="2"/>
      <c r="E64" s="22"/>
      <c r="F64" s="23"/>
      <c r="G64" s="24"/>
      <c r="H64" s="4">
        <f>SUM(H61:H63)</f>
        <v>18.36</v>
      </c>
      <c r="I64" s="3"/>
    </row>
    <row r="65" spans="1:9" ht="24" customHeight="1">
      <c r="A65" s="2"/>
      <c r="B65" s="1"/>
      <c r="C65" s="2"/>
      <c r="D65" s="2"/>
      <c r="E65" s="2128" t="s">
        <v>228</v>
      </c>
      <c r="F65" s="2129"/>
      <c r="G65" s="2130"/>
      <c r="H65" s="4">
        <f>H64*35</f>
        <v>642.6</v>
      </c>
      <c r="I65" s="3"/>
    </row>
    <row r="66" spans="1:9">
      <c r="A66" s="2"/>
      <c r="B66" s="1"/>
      <c r="C66" s="2"/>
      <c r="D66" s="2"/>
      <c r="E66" s="3"/>
      <c r="F66" s="3"/>
      <c r="G66" s="3" t="s">
        <v>9</v>
      </c>
      <c r="H66" s="7">
        <v>642</v>
      </c>
      <c r="I66" s="3" t="s">
        <v>13</v>
      </c>
    </row>
    <row r="67" spans="1:9" ht="31.5">
      <c r="A67" s="2">
        <v>10</v>
      </c>
      <c r="B67" s="1" t="s">
        <v>42</v>
      </c>
      <c r="C67" s="2"/>
      <c r="D67" s="2"/>
      <c r="E67" s="3"/>
      <c r="F67" s="3"/>
      <c r="G67" s="3"/>
      <c r="H67" s="4"/>
      <c r="I67" s="3"/>
    </row>
    <row r="68" spans="1:9">
      <c r="A68" s="2"/>
      <c r="B68" s="1" t="s">
        <v>43</v>
      </c>
      <c r="C68" s="2">
        <v>3</v>
      </c>
      <c r="D68" s="2">
        <v>2</v>
      </c>
      <c r="E68" s="3">
        <v>1.72</v>
      </c>
      <c r="F68" s="3" t="s">
        <v>21</v>
      </c>
      <c r="G68" s="3">
        <v>2.1</v>
      </c>
      <c r="H68" s="4">
        <f t="shared" ref="H68:H75" si="3">C68*D68*E68*G68</f>
        <v>21.672000000000001</v>
      </c>
      <c r="I68" s="3"/>
    </row>
    <row r="69" spans="1:9">
      <c r="A69" s="2"/>
      <c r="B69" s="1" t="s">
        <v>44</v>
      </c>
      <c r="C69" s="2">
        <v>3</v>
      </c>
      <c r="D69" s="2">
        <v>2</v>
      </c>
      <c r="E69" s="3">
        <v>2.1</v>
      </c>
      <c r="F69" s="3" t="s">
        <v>21</v>
      </c>
      <c r="G69" s="3">
        <v>3</v>
      </c>
      <c r="H69" s="4">
        <f t="shared" si="3"/>
        <v>37.800000000000004</v>
      </c>
      <c r="I69" s="2"/>
    </row>
    <row r="70" spans="1:9">
      <c r="A70" s="2"/>
      <c r="B70" s="1" t="s">
        <v>34</v>
      </c>
      <c r="C70" s="2">
        <v>3</v>
      </c>
      <c r="D70" s="2">
        <v>-2</v>
      </c>
      <c r="E70" s="3">
        <v>0.9</v>
      </c>
      <c r="F70" s="3" t="s">
        <v>21</v>
      </c>
      <c r="G70" s="3">
        <v>2.1</v>
      </c>
      <c r="H70" s="4">
        <f t="shared" si="3"/>
        <v>-11.340000000000002</v>
      </c>
      <c r="I70" s="2"/>
    </row>
    <row r="71" spans="1:9">
      <c r="A71" s="2"/>
      <c r="B71" s="1" t="s">
        <v>45</v>
      </c>
      <c r="C71" s="2">
        <v>3</v>
      </c>
      <c r="D71" s="2">
        <v>1</v>
      </c>
      <c r="E71" s="3">
        <v>5.0999999999999996</v>
      </c>
      <c r="F71" s="3" t="s">
        <v>21</v>
      </c>
      <c r="G71" s="3">
        <v>0.12</v>
      </c>
      <c r="H71" s="4">
        <f t="shared" si="3"/>
        <v>1.8359999999999999</v>
      </c>
      <c r="I71" s="2"/>
    </row>
    <row r="72" spans="1:9">
      <c r="A72" s="2"/>
      <c r="B72" s="1" t="s">
        <v>46</v>
      </c>
      <c r="C72" s="2">
        <v>3</v>
      </c>
      <c r="D72" s="2">
        <v>2</v>
      </c>
      <c r="E72" s="3">
        <v>0.85</v>
      </c>
      <c r="F72" s="3" t="s">
        <v>21</v>
      </c>
      <c r="G72" s="3">
        <v>3</v>
      </c>
      <c r="H72" s="4">
        <f t="shared" si="3"/>
        <v>15.299999999999999</v>
      </c>
      <c r="I72" s="2"/>
    </row>
    <row r="73" spans="1:9">
      <c r="A73" s="2"/>
      <c r="B73" s="1" t="s">
        <v>195</v>
      </c>
      <c r="C73" s="2">
        <v>1</v>
      </c>
      <c r="D73" s="2">
        <v>2</v>
      </c>
      <c r="E73" s="3">
        <v>1.8</v>
      </c>
      <c r="F73" s="3" t="s">
        <v>21</v>
      </c>
      <c r="G73" s="3">
        <v>1.8</v>
      </c>
      <c r="H73" s="4">
        <f t="shared" si="3"/>
        <v>6.48</v>
      </c>
      <c r="I73" s="2"/>
    </row>
    <row r="74" spans="1:9">
      <c r="A74" s="2"/>
      <c r="B74" s="1" t="s">
        <v>117</v>
      </c>
      <c r="C74" s="2">
        <v>1</v>
      </c>
      <c r="D74" s="2">
        <v>1</v>
      </c>
      <c r="E74" s="3">
        <v>61.6</v>
      </c>
      <c r="F74" s="3" t="s">
        <v>21</v>
      </c>
      <c r="G74" s="3">
        <v>0.8</v>
      </c>
      <c r="H74" s="4">
        <f t="shared" si="3"/>
        <v>49.28</v>
      </c>
      <c r="I74" s="2"/>
    </row>
    <row r="75" spans="1:9">
      <c r="A75" s="2"/>
      <c r="B75" s="1" t="s">
        <v>47</v>
      </c>
      <c r="C75" s="2">
        <v>3</v>
      </c>
      <c r="D75" s="2">
        <v>1</v>
      </c>
      <c r="E75" s="3">
        <v>3</v>
      </c>
      <c r="F75" s="3" t="s">
        <v>21</v>
      </c>
      <c r="G75" s="3">
        <v>0.4</v>
      </c>
      <c r="H75" s="4">
        <f t="shared" si="3"/>
        <v>3.6</v>
      </c>
      <c r="I75" s="2"/>
    </row>
    <row r="76" spans="1:9">
      <c r="A76" s="2"/>
      <c r="B76" s="1"/>
      <c r="C76" s="2"/>
      <c r="D76" s="2"/>
      <c r="E76" s="3"/>
      <c r="F76" s="3"/>
      <c r="G76" s="3"/>
      <c r="H76" s="4">
        <f>SUM(H68:H75)</f>
        <v>124.628</v>
      </c>
      <c r="I76" s="2"/>
    </row>
    <row r="77" spans="1:9" ht="18.75">
      <c r="A77" s="2"/>
      <c r="B77" s="1"/>
      <c r="C77" s="2"/>
      <c r="D77" s="2"/>
      <c r="E77" s="3"/>
      <c r="F77" s="3"/>
      <c r="G77" s="3" t="s">
        <v>9</v>
      </c>
      <c r="H77" s="7">
        <v>124.7</v>
      </c>
      <c r="I77" s="3" t="s">
        <v>26</v>
      </c>
    </row>
    <row r="78" spans="1:9" ht="31.5">
      <c r="A78" s="2">
        <v>11</v>
      </c>
      <c r="B78" s="1" t="s">
        <v>48</v>
      </c>
      <c r="C78" s="2"/>
      <c r="D78" s="2"/>
      <c r="E78" s="3"/>
      <c r="F78" s="3"/>
      <c r="G78" s="3"/>
      <c r="H78" s="4"/>
      <c r="I78" s="2"/>
    </row>
    <row r="79" spans="1:9">
      <c r="A79" s="2"/>
      <c r="B79" s="1" t="s">
        <v>19</v>
      </c>
      <c r="C79" s="2">
        <v>3</v>
      </c>
      <c r="D79" s="2">
        <v>1</v>
      </c>
      <c r="E79" s="3">
        <v>5.48</v>
      </c>
      <c r="F79" s="3" t="s">
        <v>21</v>
      </c>
      <c r="G79" s="3">
        <v>2.1</v>
      </c>
      <c r="H79" s="4">
        <f t="shared" ref="H79:H84" si="4">C79*D79*E79*G79</f>
        <v>34.524000000000001</v>
      </c>
      <c r="I79" s="2"/>
    </row>
    <row r="80" spans="1:9">
      <c r="A80" s="2"/>
      <c r="B80" s="1" t="s">
        <v>50</v>
      </c>
      <c r="C80" s="2">
        <v>3</v>
      </c>
      <c r="D80" s="2">
        <v>-1</v>
      </c>
      <c r="E80" s="3">
        <v>0.85</v>
      </c>
      <c r="F80" s="3" t="s">
        <v>21</v>
      </c>
      <c r="G80" s="3">
        <v>1.97</v>
      </c>
      <c r="H80" s="4">
        <f t="shared" si="4"/>
        <v>-5.0234999999999994</v>
      </c>
      <c r="I80" s="2"/>
    </row>
    <row r="81" spans="1:9">
      <c r="A81" s="2"/>
      <c r="B81" s="1" t="s">
        <v>22</v>
      </c>
      <c r="C81" s="2">
        <v>3</v>
      </c>
      <c r="D81" s="2">
        <v>1</v>
      </c>
      <c r="E81" s="3">
        <v>4.4000000000000004</v>
      </c>
      <c r="F81" s="3" t="s">
        <v>21</v>
      </c>
      <c r="G81" s="3">
        <v>2.1</v>
      </c>
      <c r="H81" s="4">
        <f t="shared" si="4"/>
        <v>27.720000000000002</v>
      </c>
      <c r="I81" s="2"/>
    </row>
    <row r="82" spans="1:9">
      <c r="A82" s="2"/>
      <c r="B82" s="1" t="s">
        <v>50</v>
      </c>
      <c r="C82" s="2">
        <v>3</v>
      </c>
      <c r="D82" s="2">
        <v>-1</v>
      </c>
      <c r="E82" s="3">
        <v>0.85</v>
      </c>
      <c r="F82" s="3" t="s">
        <v>21</v>
      </c>
      <c r="G82" s="3">
        <v>1.97</v>
      </c>
      <c r="H82" s="4">
        <f t="shared" si="4"/>
        <v>-5.0234999999999994</v>
      </c>
      <c r="I82" s="2"/>
    </row>
    <row r="83" spans="1:9">
      <c r="A83" s="2"/>
      <c r="B83" s="1" t="s">
        <v>49</v>
      </c>
      <c r="C83" s="2">
        <v>3</v>
      </c>
      <c r="D83" s="2">
        <v>1</v>
      </c>
      <c r="E83" s="3">
        <v>7.82</v>
      </c>
      <c r="F83" s="3" t="s">
        <v>21</v>
      </c>
      <c r="G83" s="3">
        <v>2.1</v>
      </c>
      <c r="H83" s="4">
        <f t="shared" si="4"/>
        <v>49.266000000000005</v>
      </c>
      <c r="I83" s="2"/>
    </row>
    <row r="84" spans="1:9">
      <c r="A84" s="2"/>
      <c r="B84" s="1" t="s">
        <v>50</v>
      </c>
      <c r="C84" s="2">
        <v>3</v>
      </c>
      <c r="D84" s="2">
        <v>-1</v>
      </c>
      <c r="E84" s="3">
        <v>0.9</v>
      </c>
      <c r="F84" s="3" t="s">
        <v>21</v>
      </c>
      <c r="G84" s="3">
        <v>2.1</v>
      </c>
      <c r="H84" s="4">
        <f t="shared" si="4"/>
        <v>-5.6700000000000008</v>
      </c>
      <c r="I84" s="2"/>
    </row>
    <row r="85" spans="1:9">
      <c r="A85" s="2"/>
      <c r="B85" s="1"/>
      <c r="C85" s="2"/>
      <c r="D85" s="2"/>
      <c r="E85" s="3"/>
      <c r="F85" s="3"/>
      <c r="G85" s="3"/>
      <c r="H85" s="4">
        <f>SUM(H79:H84)</f>
        <v>95.793000000000006</v>
      </c>
      <c r="I85" s="2"/>
    </row>
    <row r="86" spans="1:9" ht="18.75">
      <c r="A86" s="2"/>
      <c r="B86" s="1"/>
      <c r="C86" s="2"/>
      <c r="D86" s="2"/>
      <c r="E86" s="3"/>
      <c r="F86" s="3"/>
      <c r="G86" s="3" t="s">
        <v>9</v>
      </c>
      <c r="H86" s="7">
        <v>95.8</v>
      </c>
      <c r="I86" s="3" t="s">
        <v>26</v>
      </c>
    </row>
    <row r="87" spans="1:9" ht="36.75" customHeight="1">
      <c r="A87" s="2">
        <v>12</v>
      </c>
      <c r="B87" s="1" t="s">
        <v>51</v>
      </c>
      <c r="C87" s="2"/>
      <c r="D87" s="2"/>
      <c r="E87" s="3"/>
      <c r="F87" s="3"/>
      <c r="G87" s="3"/>
      <c r="H87" s="4"/>
      <c r="I87" s="2"/>
    </row>
    <row r="88" spans="1:9">
      <c r="A88" s="2"/>
      <c r="B88" s="1" t="s">
        <v>18</v>
      </c>
      <c r="C88" s="2">
        <v>3</v>
      </c>
      <c r="D88" s="2">
        <v>1</v>
      </c>
      <c r="E88" s="3">
        <v>1.2</v>
      </c>
      <c r="F88" s="3">
        <v>1.54</v>
      </c>
      <c r="G88" s="3" t="s">
        <v>21</v>
      </c>
      <c r="H88" s="4">
        <f>C88*D88*E88*F88</f>
        <v>5.5439999999999996</v>
      </c>
      <c r="I88" s="3"/>
    </row>
    <row r="89" spans="1:9">
      <c r="A89" s="2"/>
      <c r="B89" s="1" t="s">
        <v>52</v>
      </c>
      <c r="C89" s="2">
        <v>3</v>
      </c>
      <c r="D89" s="2">
        <v>1</v>
      </c>
      <c r="E89" s="3">
        <v>2.1</v>
      </c>
      <c r="F89" s="3">
        <v>1.81</v>
      </c>
      <c r="G89" s="3" t="s">
        <v>21</v>
      </c>
      <c r="H89" s="4">
        <f>C89*D89*E89*F89</f>
        <v>11.403000000000002</v>
      </c>
      <c r="I89" s="3"/>
    </row>
    <row r="90" spans="1:9">
      <c r="A90" s="2"/>
      <c r="B90" s="1" t="s">
        <v>1</v>
      </c>
      <c r="C90" s="2">
        <v>3</v>
      </c>
      <c r="D90" s="2">
        <v>1</v>
      </c>
      <c r="E90" s="3">
        <v>1.2</v>
      </c>
      <c r="F90" s="3">
        <v>1</v>
      </c>
      <c r="G90" s="3" t="s">
        <v>21</v>
      </c>
      <c r="H90" s="4">
        <f>C90*D90*E90*F90</f>
        <v>3.5999999999999996</v>
      </c>
      <c r="I90" s="3"/>
    </row>
    <row r="91" spans="1:9" ht="18.75">
      <c r="A91" s="2"/>
      <c r="B91" s="1"/>
      <c r="C91" s="2"/>
      <c r="D91" s="2"/>
      <c r="E91" s="3"/>
      <c r="F91" s="3"/>
      <c r="G91" s="3"/>
      <c r="H91" s="7">
        <f>SUM(H88:H90)</f>
        <v>20.547000000000004</v>
      </c>
      <c r="I91" s="3" t="s">
        <v>26</v>
      </c>
    </row>
    <row r="92" spans="1:9" ht="35.25" customHeight="1">
      <c r="A92" s="2">
        <v>13</v>
      </c>
      <c r="B92" s="12" t="s">
        <v>53</v>
      </c>
      <c r="C92" s="2"/>
      <c r="D92" s="2"/>
      <c r="E92" s="3"/>
      <c r="F92" s="3"/>
      <c r="G92" s="3"/>
      <c r="H92" s="13"/>
      <c r="I92" s="6"/>
    </row>
    <row r="93" spans="1:9">
      <c r="A93" s="2"/>
      <c r="B93" s="12" t="s">
        <v>62</v>
      </c>
      <c r="C93" s="2"/>
      <c r="D93" s="2"/>
      <c r="E93" s="3"/>
      <c r="F93" s="3"/>
      <c r="G93" s="3"/>
      <c r="H93" s="13"/>
      <c r="I93" s="6"/>
    </row>
    <row r="94" spans="1:9">
      <c r="A94" s="2"/>
      <c r="B94" s="12" t="s">
        <v>63</v>
      </c>
      <c r="C94" s="2">
        <v>1</v>
      </c>
      <c r="D94" s="2">
        <v>2</v>
      </c>
      <c r="E94" s="3">
        <v>7.5</v>
      </c>
      <c r="F94" s="3" t="s">
        <v>21</v>
      </c>
      <c r="G94" s="3" t="s">
        <v>21</v>
      </c>
      <c r="H94" s="13">
        <f>D94*C94*E94</f>
        <v>15</v>
      </c>
      <c r="I94" s="6"/>
    </row>
    <row r="95" spans="1:9">
      <c r="A95" s="2"/>
      <c r="B95" s="12" t="s">
        <v>64</v>
      </c>
      <c r="C95" s="2">
        <v>1</v>
      </c>
      <c r="D95" s="2">
        <v>1</v>
      </c>
      <c r="E95" s="3">
        <v>11</v>
      </c>
      <c r="F95" s="3" t="s">
        <v>21</v>
      </c>
      <c r="G95" s="3" t="s">
        <v>21</v>
      </c>
      <c r="H95" s="13">
        <f>D95*C95*E95</f>
        <v>11</v>
      </c>
      <c r="I95" s="6"/>
    </row>
    <row r="96" spans="1:9">
      <c r="A96" s="2"/>
      <c r="B96" s="12"/>
      <c r="C96" s="2"/>
      <c r="D96" s="2"/>
      <c r="E96" s="3"/>
      <c r="F96" s="3"/>
      <c r="G96" s="3"/>
      <c r="H96" s="14">
        <f>SUM(H94:H95)</f>
        <v>26</v>
      </c>
      <c r="I96" s="2" t="s">
        <v>54</v>
      </c>
    </row>
    <row r="97" spans="1:9">
      <c r="A97" s="2"/>
      <c r="B97" s="12" t="s">
        <v>55</v>
      </c>
      <c r="C97" s="2"/>
      <c r="D97" s="2"/>
      <c r="E97" s="3"/>
      <c r="F97" s="3"/>
      <c r="G97" s="3"/>
      <c r="H97" s="14"/>
      <c r="I97" s="2"/>
    </row>
    <row r="98" spans="1:9">
      <c r="A98" s="2"/>
      <c r="B98" s="12" t="s">
        <v>59</v>
      </c>
      <c r="C98" s="2">
        <v>1</v>
      </c>
      <c r="D98" s="2">
        <v>2</v>
      </c>
      <c r="E98" s="3">
        <v>12</v>
      </c>
      <c r="F98" s="3" t="s">
        <v>21</v>
      </c>
      <c r="G98" s="3" t="s">
        <v>21</v>
      </c>
      <c r="H98" s="13">
        <f t="shared" ref="H98:H103" si="5">D98*C98*E98</f>
        <v>24</v>
      </c>
      <c r="I98" s="2"/>
    </row>
    <row r="99" spans="1:9">
      <c r="A99" s="2"/>
      <c r="B99" s="12" t="s">
        <v>58</v>
      </c>
      <c r="C99" s="2">
        <v>1</v>
      </c>
      <c r="D99" s="2">
        <v>2</v>
      </c>
      <c r="E99" s="3">
        <v>6</v>
      </c>
      <c r="F99" s="3" t="s">
        <v>21</v>
      </c>
      <c r="G99" s="3" t="s">
        <v>21</v>
      </c>
      <c r="H99" s="13">
        <f t="shared" si="5"/>
        <v>12</v>
      </c>
      <c r="I99" s="2"/>
    </row>
    <row r="100" spans="1:9">
      <c r="A100" s="2"/>
      <c r="B100" s="12" t="s">
        <v>70</v>
      </c>
      <c r="C100" s="2">
        <v>1</v>
      </c>
      <c r="D100" s="2">
        <v>2</v>
      </c>
      <c r="E100" s="3">
        <v>9</v>
      </c>
      <c r="F100" s="3" t="s">
        <v>21</v>
      </c>
      <c r="G100" s="3" t="s">
        <v>21</v>
      </c>
      <c r="H100" s="13">
        <f t="shared" si="5"/>
        <v>18</v>
      </c>
      <c r="I100" s="2"/>
    </row>
    <row r="101" spans="1:9">
      <c r="A101" s="2"/>
      <c r="B101" s="12" t="s">
        <v>70</v>
      </c>
      <c r="C101" s="2">
        <v>1</v>
      </c>
      <c r="D101" s="2">
        <v>1</v>
      </c>
      <c r="E101" s="3">
        <v>5</v>
      </c>
      <c r="F101" s="3" t="s">
        <v>21</v>
      </c>
      <c r="G101" s="3" t="s">
        <v>21</v>
      </c>
      <c r="H101" s="13">
        <f t="shared" si="5"/>
        <v>5</v>
      </c>
      <c r="I101" s="2"/>
    </row>
    <row r="102" spans="1:9">
      <c r="A102" s="2"/>
      <c r="B102" s="12" t="s">
        <v>60</v>
      </c>
      <c r="C102" s="2">
        <v>1</v>
      </c>
      <c r="D102" s="2">
        <v>1</v>
      </c>
      <c r="E102" s="3">
        <v>15</v>
      </c>
      <c r="F102" s="3" t="s">
        <v>21</v>
      </c>
      <c r="G102" s="3" t="s">
        <v>21</v>
      </c>
      <c r="H102" s="13">
        <f t="shared" si="5"/>
        <v>15</v>
      </c>
      <c r="I102" s="2"/>
    </row>
    <row r="103" spans="1:9">
      <c r="A103" s="2"/>
      <c r="B103" s="12" t="s">
        <v>61</v>
      </c>
      <c r="C103" s="2">
        <v>1</v>
      </c>
      <c r="D103" s="2">
        <v>1</v>
      </c>
      <c r="E103" s="3">
        <v>9</v>
      </c>
      <c r="F103" s="3" t="s">
        <v>21</v>
      </c>
      <c r="G103" s="3" t="s">
        <v>21</v>
      </c>
      <c r="H103" s="13">
        <f t="shared" si="5"/>
        <v>9</v>
      </c>
      <c r="I103" s="2"/>
    </row>
    <row r="104" spans="1:9">
      <c r="A104" s="2"/>
      <c r="B104" s="12"/>
      <c r="C104" s="2"/>
      <c r="D104" s="2"/>
      <c r="E104" s="3"/>
      <c r="F104" s="3"/>
      <c r="G104" s="3"/>
      <c r="H104" s="14">
        <f>SUM(H98:H103)</f>
        <v>83</v>
      </c>
      <c r="I104" s="2" t="s">
        <v>54</v>
      </c>
    </row>
    <row r="105" spans="1:9">
      <c r="A105" s="2"/>
      <c r="B105" s="12" t="s">
        <v>56</v>
      </c>
      <c r="C105" s="2"/>
      <c r="D105" s="2"/>
      <c r="E105" s="3"/>
      <c r="F105" s="3"/>
      <c r="G105" s="3"/>
      <c r="H105" s="13"/>
      <c r="I105" s="6"/>
    </row>
    <row r="106" spans="1:9">
      <c r="A106" s="2"/>
      <c r="B106" s="12" t="s">
        <v>71</v>
      </c>
      <c r="C106" s="2">
        <v>1</v>
      </c>
      <c r="D106" s="2">
        <v>3</v>
      </c>
      <c r="E106" s="3">
        <v>5</v>
      </c>
      <c r="F106" s="3" t="s">
        <v>21</v>
      </c>
      <c r="G106" s="3" t="s">
        <v>21</v>
      </c>
      <c r="H106" s="13">
        <f>D106*C106*E106</f>
        <v>15</v>
      </c>
      <c r="I106" s="6"/>
    </row>
    <row r="107" spans="1:9">
      <c r="A107" s="2"/>
      <c r="B107" s="12" t="s">
        <v>57</v>
      </c>
      <c r="C107" s="2">
        <v>1</v>
      </c>
      <c r="D107" s="2">
        <v>3</v>
      </c>
      <c r="E107" s="3">
        <v>9</v>
      </c>
      <c r="F107" s="3" t="s">
        <v>21</v>
      </c>
      <c r="G107" s="3" t="s">
        <v>21</v>
      </c>
      <c r="H107" s="13">
        <f>D107*C107*E107</f>
        <v>27</v>
      </c>
      <c r="I107" s="2"/>
    </row>
    <row r="108" spans="1:9">
      <c r="A108" s="2"/>
      <c r="B108" s="12"/>
      <c r="C108" s="2"/>
      <c r="D108" s="2"/>
      <c r="E108" s="3"/>
      <c r="F108" s="3"/>
      <c r="G108" s="3"/>
      <c r="H108" s="14">
        <f>SUM(H106:H107)</f>
        <v>42</v>
      </c>
      <c r="I108" s="2" t="s">
        <v>54</v>
      </c>
    </row>
    <row r="109" spans="1:9" ht="46.5" customHeight="1">
      <c r="A109" s="2">
        <v>14</v>
      </c>
      <c r="B109" s="1" t="s">
        <v>65</v>
      </c>
      <c r="C109" s="2"/>
      <c r="D109" s="2"/>
      <c r="E109" s="3"/>
      <c r="F109" s="3"/>
      <c r="G109" s="3"/>
      <c r="H109" s="4"/>
      <c r="I109" s="2"/>
    </row>
    <row r="110" spans="1:9">
      <c r="A110" s="2"/>
      <c r="B110" s="1" t="s">
        <v>66</v>
      </c>
      <c r="C110" s="2">
        <v>3</v>
      </c>
      <c r="D110" s="2">
        <v>1</v>
      </c>
      <c r="E110" s="3">
        <v>6.5</v>
      </c>
      <c r="F110" s="3" t="s">
        <v>21</v>
      </c>
      <c r="G110" s="3" t="s">
        <v>21</v>
      </c>
      <c r="H110" s="13">
        <f>D110*C110*E110</f>
        <v>19.5</v>
      </c>
      <c r="I110" s="2"/>
    </row>
    <row r="111" spans="1:9">
      <c r="A111" s="2"/>
      <c r="B111" s="1" t="s">
        <v>67</v>
      </c>
      <c r="C111" s="2">
        <v>3</v>
      </c>
      <c r="D111" s="2">
        <v>1</v>
      </c>
      <c r="E111" s="3">
        <v>3.5</v>
      </c>
      <c r="F111" s="3" t="s">
        <v>21</v>
      </c>
      <c r="G111" s="3" t="s">
        <v>21</v>
      </c>
      <c r="H111" s="13">
        <f>D111*C111*E111</f>
        <v>10.5</v>
      </c>
      <c r="I111" s="2"/>
    </row>
    <row r="112" spans="1:9">
      <c r="A112" s="2"/>
      <c r="B112" s="1"/>
      <c r="C112" s="2"/>
      <c r="D112" s="2"/>
      <c r="E112" s="3"/>
      <c r="F112" s="3"/>
      <c r="G112" s="3"/>
      <c r="H112" s="14">
        <f>SUM(H110:H111)</f>
        <v>30</v>
      </c>
      <c r="I112" s="2" t="s">
        <v>54</v>
      </c>
    </row>
    <row r="113" spans="1:9" ht="69.75" customHeight="1">
      <c r="A113" s="2">
        <v>15</v>
      </c>
      <c r="B113" s="12" t="s">
        <v>72</v>
      </c>
      <c r="C113" s="2"/>
      <c r="D113" s="2"/>
      <c r="E113" s="3"/>
      <c r="F113" s="3"/>
      <c r="G113" s="3"/>
      <c r="H113" s="4"/>
      <c r="I113" s="2"/>
    </row>
    <row r="114" spans="1:9">
      <c r="A114" s="2"/>
      <c r="B114" s="1" t="s">
        <v>73</v>
      </c>
      <c r="C114" s="2"/>
      <c r="D114" s="2"/>
      <c r="E114" s="3"/>
      <c r="F114" s="3"/>
      <c r="G114" s="3"/>
      <c r="H114" s="4"/>
      <c r="I114" s="2"/>
    </row>
    <row r="115" spans="1:9">
      <c r="A115" s="2"/>
      <c r="B115" s="1" t="s">
        <v>74</v>
      </c>
      <c r="C115" s="2">
        <v>3</v>
      </c>
      <c r="D115" s="2">
        <v>1</v>
      </c>
      <c r="E115" s="3">
        <v>10.199999999999999</v>
      </c>
      <c r="F115" s="3" t="s">
        <v>21</v>
      </c>
      <c r="G115" s="3">
        <v>2.9</v>
      </c>
      <c r="H115" s="4">
        <f>C115*D115*E115*G115</f>
        <v>88.74</v>
      </c>
      <c r="I115" s="2"/>
    </row>
    <row r="116" spans="1:9">
      <c r="A116" s="2"/>
      <c r="B116" s="1" t="s">
        <v>75</v>
      </c>
      <c r="C116" s="2">
        <v>3</v>
      </c>
      <c r="D116" s="2">
        <v>-1</v>
      </c>
      <c r="E116" s="3">
        <v>1.05</v>
      </c>
      <c r="F116" s="3" t="s">
        <v>21</v>
      </c>
      <c r="G116" s="3">
        <v>2.23</v>
      </c>
      <c r="H116" s="4">
        <f t="shared" ref="H116:H179" si="6">C116*D116*E116*G116</f>
        <v>-7.0245000000000006</v>
      </c>
      <c r="I116" s="2"/>
    </row>
    <row r="117" spans="1:9">
      <c r="A117" s="2"/>
      <c r="B117" s="1" t="s">
        <v>76</v>
      </c>
      <c r="C117" s="2">
        <v>3</v>
      </c>
      <c r="D117" s="2">
        <v>-1</v>
      </c>
      <c r="E117" s="3">
        <v>0.9</v>
      </c>
      <c r="F117" s="3" t="s">
        <v>21</v>
      </c>
      <c r="G117" s="3">
        <v>2.23</v>
      </c>
      <c r="H117" s="4">
        <f t="shared" si="6"/>
        <v>-6.0209999999999999</v>
      </c>
      <c r="I117" s="2"/>
    </row>
    <row r="118" spans="1:9">
      <c r="A118" s="2"/>
      <c r="B118" s="1" t="s">
        <v>77</v>
      </c>
      <c r="C118" s="2">
        <v>3</v>
      </c>
      <c r="D118" s="2">
        <v>-1</v>
      </c>
      <c r="E118" s="3">
        <v>1.23</v>
      </c>
      <c r="F118" s="3" t="s">
        <v>21</v>
      </c>
      <c r="G118" s="3">
        <v>2.23</v>
      </c>
      <c r="H118" s="4">
        <f t="shared" si="6"/>
        <v>-8.2286999999999999</v>
      </c>
      <c r="I118" s="2"/>
    </row>
    <row r="119" spans="1:9">
      <c r="A119" s="2"/>
      <c r="B119" s="1" t="s">
        <v>87</v>
      </c>
      <c r="C119" s="2">
        <v>3</v>
      </c>
      <c r="D119" s="2">
        <v>-1</v>
      </c>
      <c r="E119" s="3">
        <v>1.52</v>
      </c>
      <c r="F119" s="3" t="s">
        <v>21</v>
      </c>
      <c r="G119" s="3">
        <v>1.52</v>
      </c>
      <c r="H119" s="4">
        <f t="shared" si="6"/>
        <v>-6.9312000000000005</v>
      </c>
      <c r="I119" s="2"/>
    </row>
    <row r="120" spans="1:9">
      <c r="A120" s="2"/>
      <c r="B120" s="1" t="s">
        <v>45</v>
      </c>
      <c r="C120" s="2">
        <v>3</v>
      </c>
      <c r="D120" s="2">
        <v>1</v>
      </c>
      <c r="E120" s="3">
        <v>6.08</v>
      </c>
      <c r="F120" s="3" t="s">
        <v>21</v>
      </c>
      <c r="G120" s="3">
        <v>0.3</v>
      </c>
      <c r="H120" s="4">
        <f t="shared" si="6"/>
        <v>5.4720000000000004</v>
      </c>
      <c r="I120" s="2"/>
    </row>
    <row r="121" spans="1:9">
      <c r="A121" s="2"/>
      <c r="B121" s="1" t="s">
        <v>78</v>
      </c>
      <c r="C121" s="2">
        <v>3</v>
      </c>
      <c r="D121" s="2">
        <v>1</v>
      </c>
      <c r="E121" s="3">
        <v>5.51</v>
      </c>
      <c r="F121" s="3" t="s">
        <v>21</v>
      </c>
      <c r="G121" s="3">
        <v>0.25</v>
      </c>
      <c r="H121" s="4">
        <f t="shared" si="6"/>
        <v>4.1325000000000003</v>
      </c>
      <c r="I121" s="2"/>
    </row>
    <row r="122" spans="1:9">
      <c r="A122" s="2"/>
      <c r="B122" s="1" t="s">
        <v>79</v>
      </c>
      <c r="C122" s="2">
        <v>3</v>
      </c>
      <c r="D122" s="2">
        <v>1</v>
      </c>
      <c r="E122" s="3">
        <v>3.33</v>
      </c>
      <c r="F122" s="3" t="s">
        <v>21</v>
      </c>
      <c r="G122" s="3">
        <v>2.9</v>
      </c>
      <c r="H122" s="4">
        <f t="shared" si="6"/>
        <v>28.971</v>
      </c>
      <c r="I122" s="2"/>
    </row>
    <row r="123" spans="1:9">
      <c r="A123" s="2"/>
      <c r="B123" s="1" t="s">
        <v>80</v>
      </c>
      <c r="C123" s="2">
        <v>3</v>
      </c>
      <c r="D123" s="2">
        <v>1</v>
      </c>
      <c r="E123" s="3">
        <v>10.94</v>
      </c>
      <c r="F123" s="3" t="s">
        <v>21</v>
      </c>
      <c r="G123" s="3">
        <v>2.9</v>
      </c>
      <c r="H123" s="4">
        <f t="shared" si="6"/>
        <v>95.177999999999997</v>
      </c>
      <c r="I123" s="2"/>
    </row>
    <row r="124" spans="1:9">
      <c r="A124" s="2"/>
      <c r="B124" s="1" t="s">
        <v>81</v>
      </c>
      <c r="C124" s="2">
        <v>3</v>
      </c>
      <c r="D124" s="2">
        <v>-1</v>
      </c>
      <c r="E124" s="3">
        <v>0.9</v>
      </c>
      <c r="F124" s="3" t="s">
        <v>21</v>
      </c>
      <c r="G124" s="3">
        <v>2.23</v>
      </c>
      <c r="H124" s="4">
        <f t="shared" si="6"/>
        <v>-6.0209999999999999</v>
      </c>
      <c r="I124" s="2"/>
    </row>
    <row r="125" spans="1:9">
      <c r="A125" s="2"/>
      <c r="B125" s="1" t="s">
        <v>88</v>
      </c>
      <c r="C125" s="2">
        <v>3</v>
      </c>
      <c r="D125" s="2">
        <v>-2</v>
      </c>
      <c r="E125" s="3">
        <v>0.95</v>
      </c>
      <c r="F125" s="3" t="s">
        <v>21</v>
      </c>
      <c r="G125" s="3">
        <v>1.52</v>
      </c>
      <c r="H125" s="4">
        <f t="shared" si="6"/>
        <v>-8.6639999999999997</v>
      </c>
      <c r="I125" s="2"/>
    </row>
    <row r="126" spans="1:9">
      <c r="A126" s="2"/>
      <c r="B126" s="1" t="s">
        <v>82</v>
      </c>
      <c r="C126" s="2">
        <v>3</v>
      </c>
      <c r="D126" s="2">
        <v>1</v>
      </c>
      <c r="E126" s="3">
        <v>6.26</v>
      </c>
      <c r="F126" s="3" t="s">
        <v>21</v>
      </c>
      <c r="G126" s="3">
        <v>0.25</v>
      </c>
      <c r="H126" s="4">
        <f t="shared" si="6"/>
        <v>4.6950000000000003</v>
      </c>
      <c r="I126" s="2"/>
    </row>
    <row r="127" spans="1:9">
      <c r="A127" s="2"/>
      <c r="B127" s="1" t="s">
        <v>83</v>
      </c>
      <c r="C127" s="2">
        <v>3</v>
      </c>
      <c r="D127" s="2">
        <v>2</v>
      </c>
      <c r="E127" s="3">
        <v>4.9400000000000004</v>
      </c>
      <c r="F127" s="3" t="s">
        <v>21</v>
      </c>
      <c r="G127" s="3">
        <v>0.25</v>
      </c>
      <c r="H127" s="4">
        <f t="shared" si="6"/>
        <v>7.41</v>
      </c>
      <c r="I127" s="2"/>
    </row>
    <row r="128" spans="1:9">
      <c r="A128" s="2"/>
      <c r="B128" s="1" t="s">
        <v>84</v>
      </c>
      <c r="C128" s="2">
        <v>3</v>
      </c>
      <c r="D128" s="2">
        <v>2</v>
      </c>
      <c r="E128" s="3">
        <v>0.72</v>
      </c>
      <c r="F128" s="3" t="s">
        <v>21</v>
      </c>
      <c r="G128" s="3">
        <v>2.1</v>
      </c>
      <c r="H128" s="4">
        <f t="shared" si="6"/>
        <v>9.072000000000001</v>
      </c>
      <c r="I128" s="2"/>
    </row>
    <row r="129" spans="1:9">
      <c r="A129" s="2"/>
      <c r="B129" s="1" t="s">
        <v>85</v>
      </c>
      <c r="C129" s="2">
        <v>3</v>
      </c>
      <c r="D129" s="2">
        <v>1</v>
      </c>
      <c r="E129" s="3">
        <v>18</v>
      </c>
      <c r="F129" s="3" t="s">
        <v>21</v>
      </c>
      <c r="G129" s="3">
        <v>2.9</v>
      </c>
      <c r="H129" s="4">
        <f t="shared" si="6"/>
        <v>156.6</v>
      </c>
      <c r="I129" s="2"/>
    </row>
    <row r="130" spans="1:9">
      <c r="A130" s="2"/>
      <c r="B130" s="1" t="s">
        <v>75</v>
      </c>
      <c r="C130" s="2">
        <v>3</v>
      </c>
      <c r="D130" s="2">
        <v>-1</v>
      </c>
      <c r="E130" s="3">
        <v>1.05</v>
      </c>
      <c r="F130" s="3" t="s">
        <v>21</v>
      </c>
      <c r="G130" s="3">
        <v>2.23</v>
      </c>
      <c r="H130" s="4">
        <f t="shared" si="6"/>
        <v>-7.0245000000000006</v>
      </c>
      <c r="I130" s="2"/>
    </row>
    <row r="131" spans="1:9">
      <c r="A131" s="2"/>
      <c r="B131" s="1" t="s">
        <v>76</v>
      </c>
      <c r="C131" s="2">
        <v>3</v>
      </c>
      <c r="D131" s="2">
        <v>-3</v>
      </c>
      <c r="E131" s="3">
        <v>1.05</v>
      </c>
      <c r="F131" s="3" t="s">
        <v>21</v>
      </c>
      <c r="G131" s="3">
        <v>2.23</v>
      </c>
      <c r="H131" s="4">
        <f t="shared" si="6"/>
        <v>-21.073500000000003</v>
      </c>
      <c r="I131" s="2"/>
    </row>
    <row r="132" spans="1:9">
      <c r="A132" s="2"/>
      <c r="B132" s="1" t="s">
        <v>86</v>
      </c>
      <c r="C132" s="2">
        <v>3</v>
      </c>
      <c r="D132" s="2">
        <v>-1</v>
      </c>
      <c r="E132" s="3">
        <v>0.9</v>
      </c>
      <c r="F132" s="3" t="s">
        <v>21</v>
      </c>
      <c r="G132" s="3">
        <v>2.23</v>
      </c>
      <c r="H132" s="4">
        <f t="shared" si="6"/>
        <v>-6.0209999999999999</v>
      </c>
      <c r="I132" s="2"/>
    </row>
    <row r="133" spans="1:9">
      <c r="A133" s="2"/>
      <c r="B133" s="1" t="s">
        <v>87</v>
      </c>
      <c r="C133" s="2">
        <v>3</v>
      </c>
      <c r="D133" s="2">
        <v>-2</v>
      </c>
      <c r="E133" s="3">
        <v>1.52</v>
      </c>
      <c r="F133" s="3" t="s">
        <v>21</v>
      </c>
      <c r="G133" s="3">
        <v>1.52</v>
      </c>
      <c r="H133" s="4">
        <f t="shared" si="6"/>
        <v>-13.862400000000001</v>
      </c>
      <c r="I133" s="2"/>
    </row>
    <row r="134" spans="1:9">
      <c r="A134" s="2"/>
      <c r="B134" s="1" t="s">
        <v>78</v>
      </c>
      <c r="C134" s="2">
        <v>3</v>
      </c>
      <c r="D134" s="2">
        <v>1</v>
      </c>
      <c r="E134" s="3">
        <v>5.51</v>
      </c>
      <c r="F134" s="3" t="s">
        <v>21</v>
      </c>
      <c r="G134" s="3">
        <v>0.25</v>
      </c>
      <c r="H134" s="4">
        <f t="shared" si="6"/>
        <v>4.1325000000000003</v>
      </c>
      <c r="I134" s="2"/>
    </row>
    <row r="135" spans="1:9">
      <c r="A135" s="2"/>
      <c r="B135" s="1" t="s">
        <v>82</v>
      </c>
      <c r="C135" s="2">
        <v>3</v>
      </c>
      <c r="D135" s="2">
        <v>1</v>
      </c>
      <c r="E135" s="3">
        <v>6.26</v>
      </c>
      <c r="F135" s="3" t="s">
        <v>21</v>
      </c>
      <c r="G135" s="3">
        <v>0.25</v>
      </c>
      <c r="H135" s="4">
        <f t="shared" si="6"/>
        <v>4.6950000000000003</v>
      </c>
      <c r="I135" s="2"/>
    </row>
    <row r="136" spans="1:9">
      <c r="A136" s="2"/>
      <c r="B136" s="1" t="s">
        <v>89</v>
      </c>
      <c r="C136" s="2">
        <v>3</v>
      </c>
      <c r="D136" s="2">
        <v>2</v>
      </c>
      <c r="E136" s="3">
        <v>5.55</v>
      </c>
      <c r="F136" s="3" t="s">
        <v>21</v>
      </c>
      <c r="G136" s="3">
        <v>0.25</v>
      </c>
      <c r="H136" s="4">
        <f t="shared" si="6"/>
        <v>8.3249999999999993</v>
      </c>
      <c r="I136" s="2"/>
    </row>
    <row r="137" spans="1:9">
      <c r="A137" s="2"/>
      <c r="B137" s="1" t="s">
        <v>90</v>
      </c>
      <c r="C137" s="2">
        <v>3</v>
      </c>
      <c r="D137" s="2">
        <v>2</v>
      </c>
      <c r="E137" s="3">
        <v>6.08</v>
      </c>
      <c r="F137" s="3" t="s">
        <v>21</v>
      </c>
      <c r="G137" s="3">
        <v>0.25</v>
      </c>
      <c r="H137" s="4">
        <f t="shared" si="6"/>
        <v>9.120000000000001</v>
      </c>
      <c r="I137" s="2"/>
    </row>
    <row r="138" spans="1:9">
      <c r="A138" s="2"/>
      <c r="B138" s="1" t="s">
        <v>91</v>
      </c>
      <c r="C138" s="2">
        <v>3</v>
      </c>
      <c r="D138" s="2">
        <v>1</v>
      </c>
      <c r="E138" s="3">
        <v>15.78</v>
      </c>
      <c r="F138" s="3" t="s">
        <v>21</v>
      </c>
      <c r="G138" s="3">
        <v>2.9</v>
      </c>
      <c r="H138" s="4">
        <f t="shared" si="6"/>
        <v>137.28599999999997</v>
      </c>
      <c r="I138" s="2"/>
    </row>
    <row r="139" spans="1:9">
      <c r="A139" s="2"/>
      <c r="B139" s="1" t="s">
        <v>86</v>
      </c>
      <c r="C139" s="2">
        <v>3</v>
      </c>
      <c r="D139" s="2">
        <v>-1</v>
      </c>
      <c r="E139" s="3">
        <v>0.9</v>
      </c>
      <c r="F139" s="3" t="s">
        <v>21</v>
      </c>
      <c r="G139" s="3">
        <v>2.23</v>
      </c>
      <c r="H139" s="4">
        <f t="shared" si="6"/>
        <v>-6.0209999999999999</v>
      </c>
      <c r="I139" s="2"/>
    </row>
    <row r="140" spans="1:9">
      <c r="A140" s="2"/>
      <c r="B140" s="1" t="s">
        <v>87</v>
      </c>
      <c r="C140" s="2">
        <v>3</v>
      </c>
      <c r="D140" s="2">
        <v>-1</v>
      </c>
      <c r="E140" s="3">
        <v>1.52</v>
      </c>
      <c r="F140" s="3" t="s">
        <v>21</v>
      </c>
      <c r="G140" s="3">
        <v>1.52</v>
      </c>
      <c r="H140" s="4">
        <f t="shared" si="6"/>
        <v>-6.9312000000000005</v>
      </c>
      <c r="I140" s="2"/>
    </row>
    <row r="141" spans="1:9">
      <c r="A141" s="2"/>
      <c r="B141" s="1" t="s">
        <v>89</v>
      </c>
      <c r="C141" s="2">
        <v>3</v>
      </c>
      <c r="D141" s="2">
        <v>1</v>
      </c>
      <c r="E141" s="3">
        <v>5.55</v>
      </c>
      <c r="F141" s="3" t="s">
        <v>21</v>
      </c>
      <c r="G141" s="3">
        <v>0.25</v>
      </c>
      <c r="H141" s="4">
        <f t="shared" si="6"/>
        <v>4.1624999999999996</v>
      </c>
      <c r="I141" s="2"/>
    </row>
    <row r="142" spans="1:9">
      <c r="A142" s="2"/>
      <c r="B142" s="1" t="s">
        <v>90</v>
      </c>
      <c r="C142" s="2">
        <v>3</v>
      </c>
      <c r="D142" s="2">
        <v>1</v>
      </c>
      <c r="E142" s="3">
        <v>6.08</v>
      </c>
      <c r="F142" s="3" t="s">
        <v>21</v>
      </c>
      <c r="G142" s="3">
        <v>0.25</v>
      </c>
      <c r="H142" s="4">
        <f t="shared" si="6"/>
        <v>4.5600000000000005</v>
      </c>
      <c r="I142" s="2"/>
    </row>
    <row r="143" spans="1:9">
      <c r="A143" s="2"/>
      <c r="B143" s="1" t="s">
        <v>92</v>
      </c>
      <c r="C143" s="2">
        <v>3</v>
      </c>
      <c r="D143" s="2">
        <v>1</v>
      </c>
      <c r="E143" s="3">
        <v>5.48</v>
      </c>
      <c r="F143" s="3" t="s">
        <v>21</v>
      </c>
      <c r="G143" s="3">
        <v>2.9</v>
      </c>
      <c r="H143" s="4">
        <f t="shared" si="6"/>
        <v>47.676000000000002</v>
      </c>
      <c r="I143" s="2"/>
    </row>
    <row r="144" spans="1:9">
      <c r="A144" s="2"/>
      <c r="B144" s="1" t="s">
        <v>94</v>
      </c>
      <c r="C144" s="2">
        <v>3</v>
      </c>
      <c r="D144" s="2">
        <v>-1</v>
      </c>
      <c r="E144" s="3">
        <v>0.85</v>
      </c>
      <c r="F144" s="3" t="s">
        <v>21</v>
      </c>
      <c r="G144" s="3">
        <v>2</v>
      </c>
      <c r="H144" s="4">
        <f t="shared" si="6"/>
        <v>-5.0999999999999996</v>
      </c>
      <c r="I144" s="2"/>
    </row>
    <row r="145" spans="1:9">
      <c r="A145" s="2"/>
      <c r="B145" s="1" t="s">
        <v>95</v>
      </c>
      <c r="C145" s="2">
        <v>3</v>
      </c>
      <c r="D145" s="2">
        <v>-1</v>
      </c>
      <c r="E145" s="3">
        <v>0.9</v>
      </c>
      <c r="F145" s="3" t="s">
        <v>21</v>
      </c>
      <c r="G145" s="3">
        <v>0.6</v>
      </c>
      <c r="H145" s="4">
        <f t="shared" si="6"/>
        <v>-1.62</v>
      </c>
      <c r="I145" s="2"/>
    </row>
    <row r="146" spans="1:9">
      <c r="A146" s="2"/>
      <c r="B146" s="1" t="s">
        <v>96</v>
      </c>
      <c r="C146" s="2">
        <v>3</v>
      </c>
      <c r="D146" s="2">
        <v>1</v>
      </c>
      <c r="E146" s="3">
        <v>4.8499999999999996</v>
      </c>
      <c r="F146" s="3" t="s">
        <v>21</v>
      </c>
      <c r="G146" s="3">
        <v>0.25</v>
      </c>
      <c r="H146" s="4">
        <f t="shared" si="6"/>
        <v>3.6374999999999997</v>
      </c>
      <c r="I146" s="2"/>
    </row>
    <row r="147" spans="1:9">
      <c r="A147" s="2"/>
      <c r="B147" s="1" t="s">
        <v>97</v>
      </c>
      <c r="C147" s="2">
        <v>3</v>
      </c>
      <c r="D147" s="2">
        <v>1</v>
      </c>
      <c r="E147" s="3">
        <v>3</v>
      </c>
      <c r="F147" s="3" t="s">
        <v>21</v>
      </c>
      <c r="G147" s="3">
        <v>0.25</v>
      </c>
      <c r="H147" s="4">
        <f t="shared" si="6"/>
        <v>2.25</v>
      </c>
      <c r="I147" s="2"/>
    </row>
    <row r="148" spans="1:9">
      <c r="A148" s="2"/>
      <c r="B148" s="1" t="s">
        <v>93</v>
      </c>
      <c r="C148" s="2">
        <v>3</v>
      </c>
      <c r="D148" s="2">
        <v>1</v>
      </c>
      <c r="E148" s="3">
        <v>4.4000000000000004</v>
      </c>
      <c r="F148" s="3" t="s">
        <v>21</v>
      </c>
      <c r="G148" s="3">
        <v>2.9</v>
      </c>
      <c r="H148" s="4">
        <f t="shared" si="6"/>
        <v>38.28</v>
      </c>
      <c r="I148" s="2"/>
    </row>
    <row r="149" spans="1:9">
      <c r="A149" s="2"/>
      <c r="B149" s="1" t="s">
        <v>94</v>
      </c>
      <c r="C149" s="2">
        <v>3</v>
      </c>
      <c r="D149" s="2">
        <v>-1</v>
      </c>
      <c r="E149" s="3">
        <v>0.85</v>
      </c>
      <c r="F149" s="3" t="s">
        <v>21</v>
      </c>
      <c r="G149" s="3">
        <v>2</v>
      </c>
      <c r="H149" s="4">
        <f t="shared" si="6"/>
        <v>-5.0999999999999996</v>
      </c>
      <c r="I149" s="2"/>
    </row>
    <row r="150" spans="1:9">
      <c r="A150" s="2"/>
      <c r="B150" s="1" t="s">
        <v>95</v>
      </c>
      <c r="C150" s="2">
        <v>3</v>
      </c>
      <c r="D150" s="2">
        <v>-1</v>
      </c>
      <c r="E150" s="3">
        <v>0.9</v>
      </c>
      <c r="F150" s="3" t="s">
        <v>21</v>
      </c>
      <c r="G150" s="3">
        <v>0.6</v>
      </c>
      <c r="H150" s="4">
        <f t="shared" si="6"/>
        <v>-1.62</v>
      </c>
      <c r="I150" s="2"/>
    </row>
    <row r="151" spans="1:9">
      <c r="A151" s="2"/>
      <c r="B151" s="1" t="s">
        <v>96</v>
      </c>
      <c r="C151" s="2">
        <v>3</v>
      </c>
      <c r="D151" s="2">
        <v>1</v>
      </c>
      <c r="E151" s="3">
        <v>4.8499999999999996</v>
      </c>
      <c r="F151" s="3" t="s">
        <v>21</v>
      </c>
      <c r="G151" s="3">
        <v>0.25</v>
      </c>
      <c r="H151" s="4">
        <f t="shared" si="6"/>
        <v>3.6374999999999997</v>
      </c>
      <c r="I151" s="2"/>
    </row>
    <row r="152" spans="1:9">
      <c r="A152" s="2"/>
      <c r="B152" s="1" t="s">
        <v>97</v>
      </c>
      <c r="C152" s="2">
        <v>3</v>
      </c>
      <c r="D152" s="2">
        <v>1</v>
      </c>
      <c r="E152" s="3">
        <v>3</v>
      </c>
      <c r="F152" s="3" t="s">
        <v>21</v>
      </c>
      <c r="G152" s="3">
        <v>0.25</v>
      </c>
      <c r="H152" s="4">
        <f t="shared" si="6"/>
        <v>2.25</v>
      </c>
      <c r="I152" s="2"/>
    </row>
    <row r="153" spans="1:9">
      <c r="A153" s="2"/>
      <c r="B153" s="1" t="s">
        <v>98</v>
      </c>
      <c r="C153" s="2">
        <v>3</v>
      </c>
      <c r="D153" s="2">
        <v>1</v>
      </c>
      <c r="E153" s="3">
        <v>7.7</v>
      </c>
      <c r="F153" s="3" t="s">
        <v>21</v>
      </c>
      <c r="G153" s="3">
        <v>2.9</v>
      </c>
      <c r="H153" s="4">
        <f t="shared" si="6"/>
        <v>66.990000000000009</v>
      </c>
      <c r="I153" s="2"/>
    </row>
    <row r="154" spans="1:9">
      <c r="A154" s="2"/>
      <c r="B154" s="1" t="s">
        <v>94</v>
      </c>
      <c r="C154" s="2">
        <v>3</v>
      </c>
      <c r="D154" s="2">
        <v>-3</v>
      </c>
      <c r="E154" s="3">
        <v>0.85</v>
      </c>
      <c r="F154" s="3" t="s">
        <v>21</v>
      </c>
      <c r="G154" s="3">
        <v>2</v>
      </c>
      <c r="H154" s="4">
        <f t="shared" si="6"/>
        <v>-15.299999999999999</v>
      </c>
      <c r="I154" s="2"/>
    </row>
    <row r="155" spans="1:9">
      <c r="A155" s="2"/>
      <c r="B155" s="1" t="s">
        <v>96</v>
      </c>
      <c r="C155" s="2">
        <v>3</v>
      </c>
      <c r="D155" s="2">
        <v>3</v>
      </c>
      <c r="E155" s="3">
        <v>4.8499999999999996</v>
      </c>
      <c r="F155" s="3" t="s">
        <v>21</v>
      </c>
      <c r="G155" s="3">
        <v>0.25</v>
      </c>
      <c r="H155" s="4">
        <f t="shared" si="6"/>
        <v>10.9125</v>
      </c>
      <c r="I155" s="2"/>
    </row>
    <row r="156" spans="1:9">
      <c r="A156" s="2"/>
      <c r="B156" s="1" t="s">
        <v>99</v>
      </c>
      <c r="C156" s="2">
        <v>3</v>
      </c>
      <c r="D156" s="2">
        <v>2</v>
      </c>
      <c r="E156" s="3">
        <v>0.5</v>
      </c>
      <c r="F156" s="3" t="s">
        <v>21</v>
      </c>
      <c r="G156" s="3">
        <v>0.8</v>
      </c>
      <c r="H156" s="4">
        <f t="shared" si="6"/>
        <v>2.4000000000000004</v>
      </c>
      <c r="I156" s="2"/>
    </row>
    <row r="157" spans="1:9">
      <c r="A157" s="2"/>
      <c r="B157" s="1" t="s">
        <v>100</v>
      </c>
      <c r="C157" s="2">
        <v>3</v>
      </c>
      <c r="D157" s="2">
        <v>1</v>
      </c>
      <c r="E157" s="3">
        <v>3.45</v>
      </c>
      <c r="F157" s="3" t="s">
        <v>21</v>
      </c>
      <c r="G157" s="3">
        <v>2.9</v>
      </c>
      <c r="H157" s="4">
        <f t="shared" si="6"/>
        <v>30.015000000000004</v>
      </c>
      <c r="I157" s="2"/>
    </row>
    <row r="158" spans="1:9">
      <c r="A158" s="2"/>
      <c r="B158" s="1" t="s">
        <v>206</v>
      </c>
      <c r="C158" s="2">
        <v>3</v>
      </c>
      <c r="D158" s="2">
        <v>1</v>
      </c>
      <c r="E158" s="3">
        <v>7.82</v>
      </c>
      <c r="F158" s="3" t="s">
        <v>21</v>
      </c>
      <c r="G158" s="3">
        <v>2.9</v>
      </c>
      <c r="H158" s="4">
        <f t="shared" si="6"/>
        <v>68.034000000000006</v>
      </c>
      <c r="I158" s="2"/>
    </row>
    <row r="159" spans="1:9">
      <c r="A159" s="2"/>
      <c r="B159" s="1" t="s">
        <v>101</v>
      </c>
      <c r="C159" s="2">
        <v>3</v>
      </c>
      <c r="D159" s="2">
        <v>-1</v>
      </c>
      <c r="E159" s="3">
        <v>0.9</v>
      </c>
      <c r="F159" s="3" t="s">
        <v>21</v>
      </c>
      <c r="G159" s="3">
        <v>2.1</v>
      </c>
      <c r="H159" s="4">
        <f t="shared" si="6"/>
        <v>-5.6700000000000008</v>
      </c>
      <c r="I159" s="2"/>
    </row>
    <row r="160" spans="1:9">
      <c r="A160" s="2"/>
      <c r="B160" s="1" t="s">
        <v>102</v>
      </c>
      <c r="C160" s="2">
        <v>3</v>
      </c>
      <c r="D160" s="2">
        <v>-1</v>
      </c>
      <c r="E160" s="3">
        <v>0.9</v>
      </c>
      <c r="F160" s="3" t="s">
        <v>21</v>
      </c>
      <c r="G160" s="3">
        <v>0.6</v>
      </c>
      <c r="H160" s="4">
        <f t="shared" si="6"/>
        <v>-1.62</v>
      </c>
      <c r="I160" s="2"/>
    </row>
    <row r="161" spans="1:9">
      <c r="A161" s="2"/>
      <c r="B161" s="1" t="s">
        <v>103</v>
      </c>
      <c r="C161" s="2">
        <v>3</v>
      </c>
      <c r="D161" s="2">
        <v>1</v>
      </c>
      <c r="E161" s="3">
        <v>5.0999999999999996</v>
      </c>
      <c r="F161" s="3" t="s">
        <v>21</v>
      </c>
      <c r="G161" s="3">
        <v>0.25</v>
      </c>
      <c r="H161" s="4">
        <f t="shared" si="6"/>
        <v>3.8249999999999997</v>
      </c>
      <c r="I161" s="2"/>
    </row>
    <row r="162" spans="1:9">
      <c r="A162" s="2"/>
      <c r="B162" s="1" t="s">
        <v>97</v>
      </c>
      <c r="C162" s="2">
        <v>3</v>
      </c>
      <c r="D162" s="2">
        <v>1</v>
      </c>
      <c r="E162" s="3">
        <v>3</v>
      </c>
      <c r="F162" s="3" t="s">
        <v>21</v>
      </c>
      <c r="G162" s="3">
        <v>0.25</v>
      </c>
      <c r="H162" s="4">
        <f t="shared" si="6"/>
        <v>2.25</v>
      </c>
      <c r="I162" s="2"/>
    </row>
    <row r="163" spans="1:9">
      <c r="A163" s="2"/>
      <c r="B163" s="1" t="s">
        <v>79</v>
      </c>
      <c r="C163" s="2">
        <v>3</v>
      </c>
      <c r="D163" s="2">
        <v>1</v>
      </c>
      <c r="E163" s="3">
        <v>2.1</v>
      </c>
      <c r="F163" s="3" t="s">
        <v>21</v>
      </c>
      <c r="G163" s="3">
        <v>2.9</v>
      </c>
      <c r="H163" s="4">
        <f t="shared" si="6"/>
        <v>18.270000000000003</v>
      </c>
      <c r="I163" s="2"/>
    </row>
    <row r="164" spans="1:9">
      <c r="A164" s="2"/>
      <c r="B164" s="1" t="s">
        <v>101</v>
      </c>
      <c r="C164" s="2">
        <v>3</v>
      </c>
      <c r="D164" s="2">
        <v>-1</v>
      </c>
      <c r="E164" s="3">
        <v>0.9</v>
      </c>
      <c r="F164" s="3" t="s">
        <v>21</v>
      </c>
      <c r="G164" s="3">
        <v>2.1</v>
      </c>
      <c r="H164" s="4">
        <f t="shared" si="6"/>
        <v>-5.6700000000000008</v>
      </c>
      <c r="I164" s="2"/>
    </row>
    <row r="165" spans="1:9">
      <c r="A165" s="2"/>
      <c r="B165" s="1" t="s">
        <v>104</v>
      </c>
      <c r="C165" s="2">
        <v>3</v>
      </c>
      <c r="D165" s="2">
        <v>1</v>
      </c>
      <c r="E165" s="3">
        <v>6.36</v>
      </c>
      <c r="F165" s="3" t="s">
        <v>21</v>
      </c>
      <c r="G165" s="3">
        <v>2.9</v>
      </c>
      <c r="H165" s="4">
        <f t="shared" si="6"/>
        <v>55.332000000000001</v>
      </c>
      <c r="I165" s="2"/>
    </row>
    <row r="166" spans="1:9">
      <c r="A166" s="2"/>
      <c r="B166" s="1" t="s">
        <v>105</v>
      </c>
      <c r="C166" s="2">
        <v>3</v>
      </c>
      <c r="D166" s="2">
        <v>2</v>
      </c>
      <c r="E166" s="3">
        <v>2.1</v>
      </c>
      <c r="F166" s="3" t="s">
        <v>21</v>
      </c>
      <c r="G166" s="3">
        <v>0.8</v>
      </c>
      <c r="H166" s="4">
        <f t="shared" si="6"/>
        <v>10.080000000000002</v>
      </c>
      <c r="I166" s="2"/>
    </row>
    <row r="167" spans="1:9">
      <c r="A167" s="2"/>
      <c r="B167" s="1" t="s">
        <v>84</v>
      </c>
      <c r="C167" s="2">
        <v>3</v>
      </c>
      <c r="D167" s="2">
        <v>2</v>
      </c>
      <c r="E167" s="3">
        <v>0.8</v>
      </c>
      <c r="F167" s="3" t="s">
        <v>21</v>
      </c>
      <c r="G167" s="3">
        <v>2.1</v>
      </c>
      <c r="H167" s="4">
        <f t="shared" si="6"/>
        <v>10.080000000000002</v>
      </c>
      <c r="I167" s="2"/>
    </row>
    <row r="168" spans="1:9">
      <c r="A168" s="2"/>
      <c r="B168" s="1" t="s">
        <v>106</v>
      </c>
      <c r="C168" s="2">
        <v>3</v>
      </c>
      <c r="D168" s="2">
        <v>1</v>
      </c>
      <c r="E168" s="3">
        <v>13.32</v>
      </c>
      <c r="F168" s="3" t="s">
        <v>21</v>
      </c>
      <c r="G168" s="3">
        <v>2.9</v>
      </c>
      <c r="H168" s="4">
        <f t="shared" si="6"/>
        <v>115.884</v>
      </c>
      <c r="I168" s="2"/>
    </row>
    <row r="169" spans="1:9">
      <c r="A169" s="2"/>
      <c r="B169" s="1" t="s">
        <v>86</v>
      </c>
      <c r="C169" s="2">
        <v>3</v>
      </c>
      <c r="D169" s="2">
        <v>-1</v>
      </c>
      <c r="E169" s="3">
        <v>0.9</v>
      </c>
      <c r="F169" s="3" t="s">
        <v>21</v>
      </c>
      <c r="G169" s="3">
        <v>2.23</v>
      </c>
      <c r="H169" s="4">
        <f t="shared" si="6"/>
        <v>-6.0209999999999999</v>
      </c>
      <c r="I169" s="2"/>
    </row>
    <row r="170" spans="1:9">
      <c r="A170" s="2"/>
      <c r="B170" s="1" t="s">
        <v>88</v>
      </c>
      <c r="C170" s="2">
        <v>3</v>
      </c>
      <c r="D170" s="2">
        <v>-2</v>
      </c>
      <c r="E170" s="3">
        <v>0.95</v>
      </c>
      <c r="F170" s="3" t="s">
        <v>21</v>
      </c>
      <c r="G170" s="3">
        <v>1.52</v>
      </c>
      <c r="H170" s="4">
        <f t="shared" si="6"/>
        <v>-8.6639999999999997</v>
      </c>
      <c r="I170" s="2"/>
    </row>
    <row r="171" spans="1:9">
      <c r="A171" s="2"/>
      <c r="B171" s="1" t="s">
        <v>89</v>
      </c>
      <c r="C171" s="2">
        <v>3</v>
      </c>
      <c r="D171" s="2">
        <v>1</v>
      </c>
      <c r="E171" s="3">
        <v>5.55</v>
      </c>
      <c r="F171" s="3" t="s">
        <v>21</v>
      </c>
      <c r="G171" s="3">
        <v>0.25</v>
      </c>
      <c r="H171" s="4">
        <f t="shared" si="6"/>
        <v>4.1624999999999996</v>
      </c>
      <c r="I171" s="2"/>
    </row>
    <row r="172" spans="1:9">
      <c r="A172" s="2"/>
      <c r="B172" s="1" t="s">
        <v>83</v>
      </c>
      <c r="C172" s="2">
        <v>3</v>
      </c>
      <c r="D172" s="2">
        <v>2</v>
      </c>
      <c r="E172" s="3">
        <v>4.9400000000000004</v>
      </c>
      <c r="F172" s="3" t="s">
        <v>21</v>
      </c>
      <c r="G172" s="3">
        <v>0.25</v>
      </c>
      <c r="H172" s="4">
        <f t="shared" si="6"/>
        <v>7.41</v>
      </c>
      <c r="I172" s="2"/>
    </row>
    <row r="173" spans="1:9">
      <c r="A173" s="2"/>
      <c r="B173" s="1" t="s">
        <v>107</v>
      </c>
      <c r="C173" s="2">
        <v>3</v>
      </c>
      <c r="D173" s="2">
        <v>1</v>
      </c>
      <c r="E173" s="3">
        <v>10.9</v>
      </c>
      <c r="F173" s="3" t="s">
        <v>21</v>
      </c>
      <c r="G173" s="3">
        <v>3</v>
      </c>
      <c r="H173" s="4">
        <f t="shared" si="6"/>
        <v>98.100000000000009</v>
      </c>
      <c r="I173" s="2"/>
    </row>
    <row r="174" spans="1:9">
      <c r="A174" s="2"/>
      <c r="B174" s="1" t="s">
        <v>187</v>
      </c>
      <c r="C174" s="2">
        <v>1</v>
      </c>
      <c r="D174" s="2">
        <v>1</v>
      </c>
      <c r="E174" s="3">
        <v>10.199999999999999</v>
      </c>
      <c r="F174" s="3" t="s">
        <v>21</v>
      </c>
      <c r="G174" s="3">
        <v>3</v>
      </c>
      <c r="H174" s="4">
        <f t="shared" si="6"/>
        <v>30.599999999999998</v>
      </c>
      <c r="I174" s="2"/>
    </row>
    <row r="175" spans="1:9">
      <c r="A175" s="2"/>
      <c r="B175" s="1" t="s">
        <v>108</v>
      </c>
      <c r="C175" s="2"/>
      <c r="D175" s="2"/>
      <c r="E175" s="3"/>
      <c r="F175" s="3"/>
      <c r="G175" s="3"/>
      <c r="H175" s="4"/>
      <c r="I175" s="2"/>
    </row>
    <row r="176" spans="1:9">
      <c r="A176" s="2"/>
      <c r="B176" s="1" t="s">
        <v>8</v>
      </c>
      <c r="C176" s="2">
        <v>1</v>
      </c>
      <c r="D176" s="2">
        <v>1</v>
      </c>
      <c r="E176" s="3">
        <v>53.96</v>
      </c>
      <c r="F176" s="3" t="s">
        <v>21</v>
      </c>
      <c r="G176" s="3">
        <v>6.2</v>
      </c>
      <c r="H176" s="4">
        <f t="shared" si="6"/>
        <v>334.55200000000002</v>
      </c>
      <c r="I176" s="2"/>
    </row>
    <row r="177" spans="1:9">
      <c r="A177" s="2"/>
      <c r="B177" s="1" t="s">
        <v>8</v>
      </c>
      <c r="C177" s="2">
        <v>1</v>
      </c>
      <c r="D177" s="2">
        <v>1</v>
      </c>
      <c r="E177" s="3">
        <v>53.96</v>
      </c>
      <c r="F177" s="3" t="s">
        <v>21</v>
      </c>
      <c r="G177" s="3">
        <v>3.1</v>
      </c>
      <c r="H177" s="4">
        <f t="shared" si="6"/>
        <v>167.27600000000001</v>
      </c>
      <c r="I177" s="2"/>
    </row>
    <row r="178" spans="1:9">
      <c r="A178" s="2"/>
      <c r="B178" s="1" t="s">
        <v>109</v>
      </c>
      <c r="C178" s="2">
        <v>3</v>
      </c>
      <c r="D178" s="2">
        <v>-4</v>
      </c>
      <c r="E178" s="3">
        <v>0.95</v>
      </c>
      <c r="F178" s="3" t="s">
        <v>21</v>
      </c>
      <c r="G178" s="3">
        <v>1.52</v>
      </c>
      <c r="H178" s="4">
        <f t="shared" si="6"/>
        <v>-17.327999999999999</v>
      </c>
      <c r="I178" s="2"/>
    </row>
    <row r="179" spans="1:9">
      <c r="A179" s="2"/>
      <c r="B179" s="1" t="s">
        <v>110</v>
      </c>
      <c r="C179" s="2">
        <v>3</v>
      </c>
      <c r="D179" s="2">
        <v>-2</v>
      </c>
      <c r="E179" s="3">
        <v>1.52</v>
      </c>
      <c r="F179" s="3" t="s">
        <v>21</v>
      </c>
      <c r="G179" s="3">
        <v>1.52</v>
      </c>
      <c r="H179" s="4">
        <f t="shared" si="6"/>
        <v>-13.862400000000001</v>
      </c>
      <c r="I179" s="2"/>
    </row>
    <row r="180" spans="1:9">
      <c r="A180" s="2"/>
      <c r="B180" s="1" t="s">
        <v>95</v>
      </c>
      <c r="C180" s="2">
        <v>3</v>
      </c>
      <c r="D180" s="2">
        <v>-2</v>
      </c>
      <c r="E180" s="3">
        <v>0.77</v>
      </c>
      <c r="F180" s="3" t="s">
        <v>21</v>
      </c>
      <c r="G180" s="3">
        <v>0.6</v>
      </c>
      <c r="H180" s="4">
        <f>C180*D180*E180*G180</f>
        <v>-2.7719999999999998</v>
      </c>
      <c r="I180" s="2"/>
    </row>
    <row r="181" spans="1:9">
      <c r="A181" s="2"/>
      <c r="B181" s="1" t="s">
        <v>102</v>
      </c>
      <c r="C181" s="2">
        <v>3</v>
      </c>
      <c r="D181" s="2">
        <v>-1</v>
      </c>
      <c r="E181" s="3">
        <v>0.9</v>
      </c>
      <c r="F181" s="3" t="s">
        <v>21</v>
      </c>
      <c r="G181" s="3">
        <v>0.6</v>
      </c>
      <c r="H181" s="4">
        <f>C181*D181*E181*G181</f>
        <v>-1.62</v>
      </c>
      <c r="I181" s="2"/>
    </row>
    <row r="182" spans="1:9">
      <c r="A182" s="2"/>
      <c r="B182" s="1" t="s">
        <v>111</v>
      </c>
      <c r="C182" s="2">
        <v>3</v>
      </c>
      <c r="D182" s="2">
        <v>-1</v>
      </c>
      <c r="E182" s="3">
        <v>1.05</v>
      </c>
      <c r="F182" s="3" t="s">
        <v>21</v>
      </c>
      <c r="G182" s="3">
        <v>2.23</v>
      </c>
      <c r="H182" s="4">
        <f>C182*D182*E182*G182</f>
        <v>-7.0245000000000006</v>
      </c>
      <c r="I182" s="2"/>
    </row>
    <row r="183" spans="1:9">
      <c r="A183" s="2"/>
      <c r="B183" s="1" t="s">
        <v>101</v>
      </c>
      <c r="C183" s="2">
        <v>3</v>
      </c>
      <c r="D183" s="2">
        <v>-1</v>
      </c>
      <c r="E183" s="3">
        <v>0.9</v>
      </c>
      <c r="F183" s="3" t="s">
        <v>21</v>
      </c>
      <c r="G183" s="3">
        <v>2.23</v>
      </c>
      <c r="H183" s="4">
        <f>C183*D183*E183*G183</f>
        <v>-6.0209999999999999</v>
      </c>
      <c r="I183" s="2"/>
    </row>
    <row r="184" spans="1:9">
      <c r="A184" s="2"/>
      <c r="B184" s="1"/>
      <c r="C184" s="2"/>
      <c r="D184" s="2"/>
      <c r="E184" s="3"/>
      <c r="F184" s="3"/>
      <c r="G184" s="3"/>
      <c r="H184" s="4">
        <f>SUM(H115:H183)</f>
        <v>1497.6186000000007</v>
      </c>
      <c r="I184" s="2"/>
    </row>
    <row r="185" spans="1:9" ht="18.75">
      <c r="A185" s="2"/>
      <c r="B185" s="1"/>
      <c r="C185" s="2"/>
      <c r="D185" s="2"/>
      <c r="E185" s="3"/>
      <c r="F185" s="3"/>
      <c r="G185" s="3" t="s">
        <v>9</v>
      </c>
      <c r="H185" s="7">
        <v>1497.65</v>
      </c>
      <c r="I185" s="3" t="s">
        <v>26</v>
      </c>
    </row>
    <row r="186" spans="1:9" ht="31.5">
      <c r="A186" s="2">
        <v>16</v>
      </c>
      <c r="B186" s="1" t="s">
        <v>113</v>
      </c>
      <c r="C186" s="2"/>
      <c r="D186" s="2"/>
      <c r="E186" s="3"/>
      <c r="F186" s="3"/>
      <c r="G186" s="3"/>
      <c r="H186" s="4"/>
      <c r="I186" s="2"/>
    </row>
    <row r="187" spans="1:9">
      <c r="A187" s="2"/>
      <c r="B187" s="1" t="s">
        <v>214</v>
      </c>
      <c r="C187" s="2">
        <v>1</v>
      </c>
      <c r="D187" s="2">
        <v>43</v>
      </c>
      <c r="E187" s="3">
        <v>0.3</v>
      </c>
      <c r="F187" s="3">
        <v>0.3</v>
      </c>
      <c r="G187" s="3">
        <v>0.4</v>
      </c>
      <c r="H187" s="4">
        <f>C187*D187*E187*F187*G187</f>
        <v>1.548</v>
      </c>
      <c r="I187" s="2"/>
    </row>
    <row r="188" spans="1:9">
      <c r="A188" s="2"/>
      <c r="B188" s="1" t="s">
        <v>114</v>
      </c>
      <c r="C188" s="2">
        <v>1</v>
      </c>
      <c r="D188" s="2">
        <v>1</v>
      </c>
      <c r="E188" s="3">
        <v>70</v>
      </c>
      <c r="F188" s="3">
        <v>4.5</v>
      </c>
      <c r="G188" s="3">
        <v>0.15</v>
      </c>
      <c r="H188" s="4">
        <f>C188*D188*E188*F188*G188</f>
        <v>47.25</v>
      </c>
      <c r="I188" s="3"/>
    </row>
    <row r="189" spans="1:9">
      <c r="A189" s="2"/>
      <c r="B189" s="1"/>
      <c r="C189" s="2"/>
      <c r="D189" s="2"/>
      <c r="E189" s="3"/>
      <c r="F189" s="3"/>
      <c r="G189" s="3"/>
      <c r="H189" s="4">
        <f>SUM(H187:H188)</f>
        <v>48.798000000000002</v>
      </c>
      <c r="I189" s="3"/>
    </row>
    <row r="190" spans="1:9" ht="18.75">
      <c r="A190" s="2"/>
      <c r="B190" s="1"/>
      <c r="C190" s="2"/>
      <c r="D190" s="2"/>
      <c r="E190" s="3"/>
      <c r="F190" s="3"/>
      <c r="G190" s="3" t="s">
        <v>9</v>
      </c>
      <c r="H190" s="7">
        <v>49</v>
      </c>
      <c r="I190" s="3" t="s">
        <v>25</v>
      </c>
    </row>
    <row r="191" spans="1:9">
      <c r="A191" s="2">
        <v>17</v>
      </c>
      <c r="B191" s="1" t="s">
        <v>115</v>
      </c>
      <c r="C191" s="2"/>
      <c r="D191" s="2"/>
      <c r="E191" s="3"/>
      <c r="F191" s="3"/>
      <c r="G191" s="3"/>
      <c r="H191" s="4"/>
      <c r="I191" s="2"/>
    </row>
    <row r="192" spans="1:9">
      <c r="A192" s="2"/>
      <c r="B192" s="1" t="s">
        <v>116</v>
      </c>
      <c r="C192" s="2">
        <v>1</v>
      </c>
      <c r="D192" s="2">
        <v>1</v>
      </c>
      <c r="E192" s="3">
        <v>70</v>
      </c>
      <c r="F192" s="3">
        <v>4.5</v>
      </c>
      <c r="G192" s="3">
        <v>0.15</v>
      </c>
      <c r="H192" s="4">
        <f>C192*D192*E192*F192*G192</f>
        <v>47.25</v>
      </c>
      <c r="I192" s="3"/>
    </row>
    <row r="193" spans="1:9">
      <c r="A193" s="2"/>
      <c r="B193" s="1" t="s">
        <v>229</v>
      </c>
      <c r="C193" s="2">
        <v>1</v>
      </c>
      <c r="D193" s="2">
        <v>2</v>
      </c>
      <c r="E193" s="3">
        <v>34</v>
      </c>
      <c r="F193" s="3">
        <v>0.115</v>
      </c>
      <c r="G193" s="3">
        <v>0.08</v>
      </c>
      <c r="H193" s="4">
        <f>C193*D193*E193*F193*G193</f>
        <v>0.62560000000000004</v>
      </c>
      <c r="I193" s="3"/>
    </row>
    <row r="194" spans="1:9">
      <c r="A194" s="2"/>
      <c r="B194" s="1" t="s">
        <v>117</v>
      </c>
      <c r="C194" s="2">
        <v>1</v>
      </c>
      <c r="D194" s="2">
        <v>1</v>
      </c>
      <c r="E194" s="3">
        <v>61.6</v>
      </c>
      <c r="F194" s="3">
        <v>0.26</v>
      </c>
      <c r="G194" s="3">
        <v>7.4999999999999997E-2</v>
      </c>
      <c r="H194" s="4">
        <f>C194*D194*E194*F194*G194</f>
        <v>1.2012</v>
      </c>
      <c r="I194" s="3"/>
    </row>
    <row r="195" spans="1:9">
      <c r="A195" s="2"/>
      <c r="B195" s="1"/>
      <c r="C195" s="2"/>
      <c r="D195" s="2"/>
      <c r="E195" s="3"/>
      <c r="F195" s="3"/>
      <c r="G195" s="3"/>
      <c r="H195" s="4">
        <f>SUM(H192:H194)</f>
        <v>49.076799999999999</v>
      </c>
      <c r="I195" s="3"/>
    </row>
    <row r="196" spans="1:9" ht="18.75">
      <c r="A196" s="2"/>
      <c r="B196" s="1"/>
      <c r="C196" s="2"/>
      <c r="D196" s="2"/>
      <c r="E196" s="3"/>
      <c r="F196" s="3"/>
      <c r="G196" s="3" t="s">
        <v>9</v>
      </c>
      <c r="H196" s="7">
        <v>49.1</v>
      </c>
      <c r="I196" s="3" t="s">
        <v>25</v>
      </c>
    </row>
    <row r="197" spans="1:9" ht="31.5">
      <c r="A197" s="2">
        <v>18</v>
      </c>
      <c r="B197" s="1" t="s">
        <v>308</v>
      </c>
      <c r="C197" s="2"/>
      <c r="D197" s="2"/>
      <c r="E197" s="3"/>
      <c r="F197" s="3"/>
      <c r="G197" s="3"/>
      <c r="H197" s="4"/>
      <c r="I197" s="2"/>
    </row>
    <row r="198" spans="1:9">
      <c r="A198" s="2"/>
      <c r="B198" s="1" t="s">
        <v>198</v>
      </c>
      <c r="C198" s="2">
        <v>1</v>
      </c>
      <c r="D198" s="2">
        <v>2</v>
      </c>
      <c r="E198" s="3">
        <v>34</v>
      </c>
      <c r="F198" s="3" t="s">
        <v>21</v>
      </c>
      <c r="G198" s="3" t="s">
        <v>21</v>
      </c>
      <c r="H198" s="7">
        <f>C198*D198*E198</f>
        <v>68</v>
      </c>
      <c r="I198" s="2" t="s">
        <v>54</v>
      </c>
    </row>
    <row r="199" spans="1:9" ht="36" customHeight="1">
      <c r="A199" s="2">
        <v>19</v>
      </c>
      <c r="B199" s="1" t="s">
        <v>118</v>
      </c>
      <c r="C199" s="2"/>
      <c r="D199" s="2"/>
      <c r="E199" s="3"/>
      <c r="F199" s="3"/>
      <c r="G199" s="3"/>
      <c r="H199" s="4"/>
      <c r="I199" s="2"/>
    </row>
    <row r="200" spans="1:9">
      <c r="A200" s="2"/>
      <c r="B200" s="1" t="s">
        <v>119</v>
      </c>
      <c r="C200" s="2">
        <v>3</v>
      </c>
      <c r="D200" s="2">
        <v>1</v>
      </c>
      <c r="E200" s="3" t="s">
        <v>21</v>
      </c>
      <c r="F200" s="3" t="s">
        <v>21</v>
      </c>
      <c r="G200" s="3" t="s">
        <v>21</v>
      </c>
      <c r="H200" s="7">
        <f>C200*D200</f>
        <v>3</v>
      </c>
      <c r="I200" s="2" t="s">
        <v>68</v>
      </c>
    </row>
    <row r="201" spans="1:9" ht="31.5">
      <c r="A201" s="2">
        <v>20</v>
      </c>
      <c r="B201" s="1" t="s">
        <v>120</v>
      </c>
      <c r="C201" s="2"/>
      <c r="D201" s="2"/>
      <c r="E201" s="3"/>
      <c r="F201" s="3"/>
      <c r="G201" s="3"/>
      <c r="H201" s="4"/>
      <c r="I201" s="2"/>
    </row>
    <row r="202" spans="1:9">
      <c r="A202" s="2"/>
      <c r="B202" s="1" t="s">
        <v>121</v>
      </c>
      <c r="C202" s="2"/>
      <c r="D202" s="2"/>
      <c r="E202" s="3"/>
      <c r="F202" s="3"/>
      <c r="G202" s="3"/>
      <c r="H202" s="4"/>
      <c r="I202" s="2"/>
    </row>
    <row r="203" spans="1:9">
      <c r="A203" s="2"/>
      <c r="B203" s="1" t="s">
        <v>122</v>
      </c>
      <c r="C203" s="2">
        <v>1</v>
      </c>
      <c r="D203" s="2">
        <v>3</v>
      </c>
      <c r="E203" s="3">
        <v>6</v>
      </c>
      <c r="F203" s="3" t="s">
        <v>21</v>
      </c>
      <c r="G203" s="3" t="s">
        <v>21</v>
      </c>
      <c r="H203" s="7">
        <f>C203*D203*E203</f>
        <v>18</v>
      </c>
      <c r="I203" s="2" t="s">
        <v>54</v>
      </c>
    </row>
    <row r="204" spans="1:9">
      <c r="A204" s="2"/>
      <c r="B204" s="1" t="s">
        <v>123</v>
      </c>
      <c r="C204" s="2"/>
      <c r="D204" s="2"/>
      <c r="E204" s="3"/>
      <c r="F204" s="3"/>
      <c r="G204" s="3"/>
      <c r="H204" s="4"/>
      <c r="I204" s="2"/>
    </row>
    <row r="205" spans="1:9">
      <c r="A205" s="2"/>
      <c r="B205" s="1" t="s">
        <v>122</v>
      </c>
      <c r="C205" s="2">
        <v>1</v>
      </c>
      <c r="D205" s="2">
        <v>3</v>
      </c>
      <c r="E205" s="3">
        <v>8</v>
      </c>
      <c r="F205" s="3" t="s">
        <v>21</v>
      </c>
      <c r="G205" s="3" t="s">
        <v>21</v>
      </c>
      <c r="H205" s="7">
        <f>C205*D205*E205</f>
        <v>24</v>
      </c>
      <c r="I205" s="2" t="s">
        <v>54</v>
      </c>
    </row>
    <row r="206" spans="1:9" ht="31.5">
      <c r="A206" s="2">
        <v>21</v>
      </c>
      <c r="B206" s="1" t="s">
        <v>124</v>
      </c>
      <c r="C206" s="2"/>
      <c r="D206" s="2"/>
      <c r="E206" s="3"/>
      <c r="F206" s="3"/>
      <c r="G206" s="3"/>
      <c r="H206" s="4"/>
      <c r="I206" s="2"/>
    </row>
    <row r="207" spans="1:9">
      <c r="A207" s="2"/>
      <c r="B207" s="1" t="s">
        <v>125</v>
      </c>
      <c r="C207" s="2">
        <v>2</v>
      </c>
      <c r="D207" s="2">
        <v>1</v>
      </c>
      <c r="E207" s="3">
        <v>0.85</v>
      </c>
      <c r="F207" s="3" t="s">
        <v>21</v>
      </c>
      <c r="G207" s="3">
        <v>2</v>
      </c>
      <c r="H207" s="4">
        <f>C207*D207*E207*G207</f>
        <v>3.4</v>
      </c>
      <c r="I207" s="2"/>
    </row>
    <row r="208" spans="1:9">
      <c r="A208" s="2"/>
      <c r="B208" s="1" t="s">
        <v>126</v>
      </c>
      <c r="C208" s="2">
        <v>2</v>
      </c>
      <c r="D208" s="2">
        <v>1</v>
      </c>
      <c r="E208" s="3">
        <v>0.85</v>
      </c>
      <c r="F208" s="3" t="s">
        <v>21</v>
      </c>
      <c r="G208" s="3">
        <v>2</v>
      </c>
      <c r="H208" s="4">
        <f>C208*D208*E208*G208</f>
        <v>3.4</v>
      </c>
      <c r="I208" s="2"/>
    </row>
    <row r="209" spans="1:9">
      <c r="A209" s="2"/>
      <c r="B209" s="1" t="s">
        <v>66</v>
      </c>
      <c r="C209" s="2">
        <v>2</v>
      </c>
      <c r="D209" s="2">
        <v>1</v>
      </c>
      <c r="E209" s="3">
        <v>0.9</v>
      </c>
      <c r="F209" s="3" t="s">
        <v>21</v>
      </c>
      <c r="G209" s="3">
        <v>2.1</v>
      </c>
      <c r="H209" s="4">
        <f>C209*D209*E209*G209</f>
        <v>3.7800000000000002</v>
      </c>
      <c r="I209" s="2"/>
    </row>
    <row r="210" spans="1:9">
      <c r="A210" s="2"/>
      <c r="B210" s="1"/>
      <c r="C210" s="2"/>
      <c r="D210" s="2"/>
      <c r="E210" s="3"/>
      <c r="F210" s="3"/>
      <c r="G210" s="3"/>
      <c r="H210" s="4">
        <f>SUM(H207:H209)</f>
        <v>10.58</v>
      </c>
      <c r="I210" s="2"/>
    </row>
    <row r="211" spans="1:9" ht="18.75">
      <c r="A211" s="2"/>
      <c r="B211" s="1"/>
      <c r="C211" s="2"/>
      <c r="D211" s="2"/>
      <c r="E211" s="3"/>
      <c r="F211" s="3"/>
      <c r="G211" s="3" t="s">
        <v>9</v>
      </c>
      <c r="H211" s="7">
        <v>10.6</v>
      </c>
      <c r="I211" s="3" t="s">
        <v>26</v>
      </c>
    </row>
    <row r="212" spans="1:9" ht="31.5">
      <c r="A212" s="2">
        <v>22</v>
      </c>
      <c r="B212" s="1" t="s">
        <v>127</v>
      </c>
      <c r="C212" s="2"/>
      <c r="D212" s="2"/>
      <c r="E212" s="3"/>
      <c r="F212" s="3"/>
      <c r="G212" s="3"/>
      <c r="H212" s="4"/>
      <c r="I212" s="2"/>
    </row>
    <row r="213" spans="1:9">
      <c r="A213" s="2"/>
      <c r="B213" s="1" t="s">
        <v>128</v>
      </c>
      <c r="C213" s="2">
        <v>1</v>
      </c>
      <c r="D213" s="2">
        <v>2</v>
      </c>
      <c r="E213" s="3">
        <v>70</v>
      </c>
      <c r="F213" s="3" t="s">
        <v>21</v>
      </c>
      <c r="G213" s="3" t="s">
        <v>21</v>
      </c>
      <c r="H213" s="7">
        <f>C213*D213*E213</f>
        <v>140</v>
      </c>
      <c r="I213" s="2" t="s">
        <v>54</v>
      </c>
    </row>
    <row r="214" spans="1:9" ht="47.25">
      <c r="A214" s="2">
        <v>23</v>
      </c>
      <c r="B214" s="12" t="s">
        <v>132</v>
      </c>
      <c r="C214" s="2"/>
      <c r="D214" s="2"/>
      <c r="E214" s="3"/>
      <c r="F214" s="3"/>
      <c r="G214" s="3"/>
      <c r="H214" s="4"/>
      <c r="I214" s="2"/>
    </row>
    <row r="215" spans="1:9">
      <c r="A215" s="2"/>
      <c r="B215" s="1" t="s">
        <v>74</v>
      </c>
      <c r="C215" s="2">
        <v>3</v>
      </c>
      <c r="D215" s="2">
        <v>1</v>
      </c>
      <c r="E215" s="3">
        <v>3.6</v>
      </c>
      <c r="F215" s="3">
        <v>1.5</v>
      </c>
      <c r="G215" s="3" t="s">
        <v>21</v>
      </c>
      <c r="H215" s="4">
        <f>C215*D215*E215*F215</f>
        <v>16.200000000000003</v>
      </c>
      <c r="I215" s="2"/>
    </row>
    <row r="216" spans="1:9">
      <c r="A216" s="2"/>
      <c r="B216" s="1" t="s">
        <v>0</v>
      </c>
      <c r="C216" s="2">
        <v>3</v>
      </c>
      <c r="D216" s="2">
        <v>1</v>
      </c>
      <c r="E216" s="3">
        <v>3.05</v>
      </c>
      <c r="F216" s="3">
        <v>2.42</v>
      </c>
      <c r="G216" s="3" t="s">
        <v>21</v>
      </c>
      <c r="H216" s="4">
        <f t="shared" ref="H216:H223" si="7">C216*D216*E216*F216</f>
        <v>22.142999999999997</v>
      </c>
      <c r="I216" s="2"/>
    </row>
    <row r="217" spans="1:9">
      <c r="A217" s="2"/>
      <c r="B217" s="1" t="s">
        <v>129</v>
      </c>
      <c r="C217" s="2">
        <v>3</v>
      </c>
      <c r="D217" s="2">
        <v>1</v>
      </c>
      <c r="E217" s="3">
        <v>3.6</v>
      </c>
      <c r="F217" s="3">
        <v>5.4</v>
      </c>
      <c r="G217" s="3" t="s">
        <v>21</v>
      </c>
      <c r="H217" s="4">
        <f t="shared" si="7"/>
        <v>58.320000000000007</v>
      </c>
      <c r="I217" s="2"/>
    </row>
    <row r="218" spans="1:9">
      <c r="A218" s="2"/>
      <c r="B218" s="1" t="s">
        <v>130</v>
      </c>
      <c r="C218" s="2">
        <v>3</v>
      </c>
      <c r="D218" s="2">
        <v>1</v>
      </c>
      <c r="E218" s="3">
        <v>4.2699999999999996</v>
      </c>
      <c r="F218" s="3">
        <v>3.62</v>
      </c>
      <c r="G218" s="3" t="s">
        <v>21</v>
      </c>
      <c r="H218" s="4">
        <f t="shared" si="7"/>
        <v>46.372199999999999</v>
      </c>
      <c r="I218" s="2"/>
    </row>
    <row r="219" spans="1:9">
      <c r="A219" s="2"/>
      <c r="B219" s="1" t="s">
        <v>131</v>
      </c>
      <c r="C219" s="2">
        <v>3</v>
      </c>
      <c r="D219" s="2">
        <v>1</v>
      </c>
      <c r="E219" s="3">
        <v>3.64</v>
      </c>
      <c r="F219" s="3">
        <v>3.02</v>
      </c>
      <c r="G219" s="3" t="s">
        <v>21</v>
      </c>
      <c r="H219" s="4">
        <f t="shared" si="7"/>
        <v>32.978400000000001</v>
      </c>
      <c r="I219" s="2"/>
    </row>
    <row r="220" spans="1:9">
      <c r="A220" s="2"/>
      <c r="B220" s="1" t="s">
        <v>18</v>
      </c>
      <c r="C220" s="2">
        <v>3</v>
      </c>
      <c r="D220" s="2">
        <v>1</v>
      </c>
      <c r="E220" s="3">
        <v>1.2</v>
      </c>
      <c r="F220" s="3">
        <v>1.54</v>
      </c>
      <c r="G220" s="3" t="s">
        <v>21</v>
      </c>
      <c r="H220" s="4">
        <f t="shared" si="7"/>
        <v>5.5439999999999996</v>
      </c>
      <c r="I220" s="2"/>
    </row>
    <row r="221" spans="1:9">
      <c r="A221" s="2"/>
      <c r="B221" s="1" t="s">
        <v>1</v>
      </c>
      <c r="C221" s="2">
        <v>3</v>
      </c>
      <c r="D221" s="2">
        <v>1</v>
      </c>
      <c r="E221" s="3">
        <v>1.2</v>
      </c>
      <c r="F221" s="3">
        <v>1</v>
      </c>
      <c r="G221" s="3" t="s">
        <v>21</v>
      </c>
      <c r="H221" s="4">
        <f t="shared" si="7"/>
        <v>3.5999999999999996</v>
      </c>
      <c r="I221" s="2"/>
    </row>
    <row r="222" spans="1:9">
      <c r="A222" s="2"/>
      <c r="B222" s="1" t="s">
        <v>79</v>
      </c>
      <c r="C222" s="2">
        <v>3</v>
      </c>
      <c r="D222" s="2">
        <v>1</v>
      </c>
      <c r="E222" s="3">
        <v>0.91</v>
      </c>
      <c r="F222" s="3">
        <v>2.94</v>
      </c>
      <c r="G222" s="3" t="s">
        <v>21</v>
      </c>
      <c r="H222" s="4">
        <f t="shared" si="7"/>
        <v>8.0261999999999993</v>
      </c>
      <c r="I222" s="2"/>
    </row>
    <row r="223" spans="1:9">
      <c r="A223" s="2"/>
      <c r="B223" s="1" t="s">
        <v>133</v>
      </c>
      <c r="C223" s="2">
        <v>3</v>
      </c>
      <c r="D223" s="2">
        <v>1</v>
      </c>
      <c r="E223" s="3">
        <v>2.1</v>
      </c>
      <c r="F223" s="3">
        <v>1.8</v>
      </c>
      <c r="G223" s="3" t="s">
        <v>21</v>
      </c>
      <c r="H223" s="4">
        <f t="shared" si="7"/>
        <v>11.340000000000002</v>
      </c>
      <c r="I223" s="2"/>
    </row>
    <row r="224" spans="1:9">
      <c r="A224" s="2"/>
      <c r="B224" s="1" t="s">
        <v>79</v>
      </c>
      <c r="C224" s="2">
        <v>3</v>
      </c>
      <c r="D224" s="2">
        <v>1</v>
      </c>
      <c r="E224" s="3">
        <v>2.1</v>
      </c>
      <c r="F224" s="3">
        <v>2.1</v>
      </c>
      <c r="G224" s="3" t="s">
        <v>21</v>
      </c>
      <c r="H224" s="4">
        <f>C224*D224*E224*F224</f>
        <v>13.230000000000002</v>
      </c>
      <c r="I224" s="2"/>
    </row>
    <row r="225" spans="1:9">
      <c r="A225" s="2"/>
      <c r="B225" s="1"/>
      <c r="C225" s="2"/>
      <c r="D225" s="2"/>
      <c r="E225" s="3"/>
      <c r="F225" s="3"/>
      <c r="G225" s="3"/>
      <c r="H225" s="4">
        <f>SUM(H215:H224)</f>
        <v>217.75379999999998</v>
      </c>
      <c r="I225" s="2"/>
    </row>
    <row r="226" spans="1:9" ht="18.75">
      <c r="A226" s="2"/>
      <c r="B226" s="1"/>
      <c r="C226" s="2"/>
      <c r="D226" s="2"/>
      <c r="E226" s="3"/>
      <c r="F226" s="3"/>
      <c r="G226" s="3" t="s">
        <v>9</v>
      </c>
      <c r="H226" s="7">
        <v>217.8</v>
      </c>
      <c r="I226" s="3" t="s">
        <v>26</v>
      </c>
    </row>
    <row r="227" spans="1:9" ht="31.5">
      <c r="A227" s="2">
        <v>24</v>
      </c>
      <c r="B227" s="12" t="s">
        <v>134</v>
      </c>
      <c r="C227" s="2"/>
      <c r="D227" s="2"/>
      <c r="E227" s="3"/>
      <c r="F227" s="3"/>
      <c r="G227" s="3"/>
      <c r="H227" s="13"/>
      <c r="I227" s="2"/>
    </row>
    <row r="228" spans="1:9">
      <c r="A228" s="2"/>
      <c r="B228" s="12" t="s">
        <v>135</v>
      </c>
      <c r="C228" s="2">
        <v>1</v>
      </c>
      <c r="D228" s="2">
        <v>1</v>
      </c>
      <c r="E228" s="3">
        <v>140</v>
      </c>
      <c r="F228" s="3" t="s">
        <v>21</v>
      </c>
      <c r="G228" s="3">
        <v>0.35</v>
      </c>
      <c r="H228" s="13">
        <f>C228*D228*E228*G228</f>
        <v>49</v>
      </c>
      <c r="I228" s="2"/>
    </row>
    <row r="229" spans="1:9">
      <c r="A229" s="2"/>
      <c r="B229" s="12" t="s">
        <v>41</v>
      </c>
      <c r="C229" s="2">
        <v>3</v>
      </c>
      <c r="D229" s="2">
        <v>1</v>
      </c>
      <c r="E229" s="3">
        <v>0.9</v>
      </c>
      <c r="F229" s="3" t="s">
        <v>21</v>
      </c>
      <c r="G229" s="3">
        <v>0.6</v>
      </c>
      <c r="H229" s="13">
        <f>C229*D229*E229*G229</f>
        <v>1.62</v>
      </c>
      <c r="I229" s="2"/>
    </row>
    <row r="230" spans="1:9">
      <c r="A230" s="2"/>
      <c r="B230" s="12"/>
      <c r="C230" s="2"/>
      <c r="D230" s="2"/>
      <c r="E230" s="3"/>
      <c r="F230" s="3"/>
      <c r="G230" s="3"/>
      <c r="H230" s="13">
        <f>SUM(H228:H229)</f>
        <v>50.62</v>
      </c>
      <c r="I230" s="2"/>
    </row>
    <row r="231" spans="1:9" ht="18.75">
      <c r="A231" s="2"/>
      <c r="B231" s="12"/>
      <c r="C231" s="2"/>
      <c r="D231" s="2"/>
      <c r="E231" s="3"/>
      <c r="F231" s="3"/>
      <c r="G231" s="3" t="s">
        <v>9</v>
      </c>
      <c r="H231" s="14">
        <v>50.65</v>
      </c>
      <c r="I231" s="2" t="s">
        <v>26</v>
      </c>
    </row>
    <row r="232" spans="1:9" ht="31.5">
      <c r="A232" s="2">
        <v>25</v>
      </c>
      <c r="B232" s="12" t="s">
        <v>136</v>
      </c>
      <c r="C232" s="2"/>
      <c r="D232" s="2"/>
      <c r="E232" s="3"/>
      <c r="F232" s="3"/>
      <c r="G232" s="3"/>
      <c r="H232" s="13"/>
      <c r="I232" s="2"/>
    </row>
    <row r="233" spans="1:9">
      <c r="A233" s="2"/>
      <c r="B233" s="12" t="s">
        <v>137</v>
      </c>
      <c r="C233" s="2">
        <v>3</v>
      </c>
      <c r="D233" s="2">
        <v>1</v>
      </c>
      <c r="E233" s="3">
        <v>1.05</v>
      </c>
      <c r="F233" s="3">
        <v>2.6</v>
      </c>
      <c r="G233" s="3">
        <v>2.23</v>
      </c>
      <c r="H233" s="13">
        <f>C233*D233*E233*G233*F233</f>
        <v>18.263700000000004</v>
      </c>
      <c r="I233" s="2"/>
    </row>
    <row r="234" spans="1:9">
      <c r="A234" s="2"/>
      <c r="B234" s="12" t="s">
        <v>7</v>
      </c>
      <c r="C234" s="2">
        <v>3</v>
      </c>
      <c r="D234" s="2">
        <v>3</v>
      </c>
      <c r="E234" s="3">
        <v>0.9</v>
      </c>
      <c r="F234" s="3">
        <v>2.6</v>
      </c>
      <c r="G234" s="3">
        <v>2.23</v>
      </c>
      <c r="H234" s="13">
        <f t="shared" ref="H234:H241" si="8">C234*D234*E234*G234*F234</f>
        <v>46.963799999999999</v>
      </c>
      <c r="I234" s="2"/>
    </row>
    <row r="235" spans="1:9">
      <c r="A235" s="2"/>
      <c r="B235" s="1" t="s">
        <v>138</v>
      </c>
      <c r="C235" s="2">
        <v>3</v>
      </c>
      <c r="D235" s="2">
        <v>4</v>
      </c>
      <c r="E235" s="3">
        <v>1.05</v>
      </c>
      <c r="F235" s="3">
        <v>2.6</v>
      </c>
      <c r="G235" s="3">
        <v>2.23</v>
      </c>
      <c r="H235" s="13">
        <f t="shared" si="8"/>
        <v>73.054800000000014</v>
      </c>
      <c r="I235" s="2"/>
    </row>
    <row r="236" spans="1:9">
      <c r="A236" s="2"/>
      <c r="B236" s="1" t="s">
        <v>139</v>
      </c>
      <c r="C236" s="2">
        <v>3</v>
      </c>
      <c r="D236" s="2">
        <v>2</v>
      </c>
      <c r="E236" s="3">
        <v>0.85</v>
      </c>
      <c r="F236" s="3">
        <v>2.6</v>
      </c>
      <c r="G236" s="3">
        <v>2</v>
      </c>
      <c r="H236" s="13">
        <f t="shared" si="8"/>
        <v>26.52</v>
      </c>
      <c r="I236" s="2"/>
    </row>
    <row r="237" spans="1:9">
      <c r="A237" s="2"/>
      <c r="B237" s="1" t="s">
        <v>28</v>
      </c>
      <c r="C237" s="2">
        <v>3</v>
      </c>
      <c r="D237" s="2">
        <v>4</v>
      </c>
      <c r="E237" s="3">
        <v>0.95</v>
      </c>
      <c r="F237" s="3">
        <v>1.6</v>
      </c>
      <c r="G237" s="3">
        <v>1.52</v>
      </c>
      <c r="H237" s="13">
        <f t="shared" si="8"/>
        <v>27.724800000000002</v>
      </c>
      <c r="I237" s="2"/>
    </row>
    <row r="238" spans="1:9">
      <c r="A238" s="2"/>
      <c r="B238" s="1" t="s">
        <v>2</v>
      </c>
      <c r="C238" s="2">
        <v>3</v>
      </c>
      <c r="D238" s="2">
        <v>3</v>
      </c>
      <c r="E238" s="3">
        <v>1.52</v>
      </c>
      <c r="F238" s="3">
        <v>1.6</v>
      </c>
      <c r="G238" s="3">
        <v>1.52</v>
      </c>
      <c r="H238" s="13">
        <f t="shared" si="8"/>
        <v>33.269760000000005</v>
      </c>
      <c r="I238" s="2"/>
    </row>
    <row r="239" spans="1:9">
      <c r="A239" s="2"/>
      <c r="B239" s="1" t="s">
        <v>141</v>
      </c>
      <c r="C239" s="2">
        <v>3</v>
      </c>
      <c r="D239" s="2">
        <v>1</v>
      </c>
      <c r="E239" s="3">
        <v>0.75</v>
      </c>
      <c r="F239" s="3">
        <v>1.6</v>
      </c>
      <c r="G239" s="3">
        <v>1.07</v>
      </c>
      <c r="H239" s="13">
        <f t="shared" si="8"/>
        <v>3.8520000000000003</v>
      </c>
      <c r="I239" s="2"/>
    </row>
    <row r="240" spans="1:9">
      <c r="A240" s="2"/>
      <c r="B240" s="1" t="s">
        <v>205</v>
      </c>
      <c r="C240" s="2">
        <v>1</v>
      </c>
      <c r="D240" s="2">
        <v>1</v>
      </c>
      <c r="E240" s="3">
        <v>1.07</v>
      </c>
      <c r="F240" s="3">
        <v>1.6</v>
      </c>
      <c r="G240" s="3">
        <v>1.52</v>
      </c>
      <c r="H240" s="13">
        <f t="shared" si="8"/>
        <v>2.6022400000000001</v>
      </c>
      <c r="I240" s="2"/>
    </row>
    <row r="241" spans="1:9">
      <c r="A241" s="2"/>
      <c r="B241" s="1" t="s">
        <v>140</v>
      </c>
      <c r="C241" s="2">
        <v>3</v>
      </c>
      <c r="D241" s="2">
        <v>1</v>
      </c>
      <c r="E241" s="3">
        <v>0.46</v>
      </c>
      <c r="F241" s="3">
        <v>2</v>
      </c>
      <c r="G241" s="3">
        <v>1.7</v>
      </c>
      <c r="H241" s="13">
        <f t="shared" si="8"/>
        <v>4.6920000000000002</v>
      </c>
      <c r="I241" s="2"/>
    </row>
    <row r="242" spans="1:9">
      <c r="A242" s="2"/>
      <c r="B242" s="1"/>
      <c r="C242" s="2"/>
      <c r="D242" s="2"/>
      <c r="E242" s="3"/>
      <c r="F242" s="3"/>
      <c r="G242" s="3"/>
      <c r="H242" s="4">
        <f>SUM(H233:H241)</f>
        <v>236.94310000000004</v>
      </c>
      <c r="I242" s="2"/>
    </row>
    <row r="243" spans="1:9" ht="18.75">
      <c r="A243" s="2"/>
      <c r="B243" s="1"/>
      <c r="C243" s="2"/>
      <c r="D243" s="2"/>
      <c r="E243" s="3"/>
      <c r="F243" s="3"/>
      <c r="G243" s="3" t="s">
        <v>9</v>
      </c>
      <c r="H243" s="7">
        <v>237</v>
      </c>
      <c r="I243" s="2" t="s">
        <v>26</v>
      </c>
    </row>
    <row r="244" spans="1:9" ht="47.25">
      <c r="A244" s="2">
        <v>26</v>
      </c>
      <c r="B244" s="12" t="s">
        <v>142</v>
      </c>
      <c r="C244" s="2"/>
      <c r="D244" s="2"/>
      <c r="E244" s="3"/>
      <c r="F244" s="3"/>
      <c r="G244" s="3"/>
      <c r="H244" s="13"/>
      <c r="I244" s="2"/>
    </row>
    <row r="245" spans="1:9">
      <c r="A245" s="2"/>
      <c r="B245" s="12" t="s">
        <v>143</v>
      </c>
      <c r="C245" s="2">
        <v>1</v>
      </c>
      <c r="D245" s="2">
        <v>3</v>
      </c>
      <c r="E245" s="3">
        <v>4</v>
      </c>
      <c r="F245" s="3">
        <v>3.5</v>
      </c>
      <c r="G245" s="3" t="s">
        <v>21</v>
      </c>
      <c r="H245" s="13">
        <f>C245*D245*E245*F245</f>
        <v>42</v>
      </c>
      <c r="I245" s="2"/>
    </row>
    <row r="246" spans="1:9">
      <c r="A246" s="2"/>
      <c r="B246" s="12" t="s">
        <v>144</v>
      </c>
      <c r="C246" s="2">
        <v>1</v>
      </c>
      <c r="D246" s="2">
        <v>2</v>
      </c>
      <c r="E246" s="3">
        <v>3</v>
      </c>
      <c r="F246" s="3">
        <v>3.7</v>
      </c>
      <c r="G246" s="3" t="s">
        <v>21</v>
      </c>
      <c r="H246" s="13">
        <f>C246*D246*E246*F246</f>
        <v>22.200000000000003</v>
      </c>
      <c r="I246" s="2"/>
    </row>
    <row r="247" spans="1:9">
      <c r="A247" s="2"/>
      <c r="B247" s="12"/>
      <c r="C247" s="2"/>
      <c r="D247" s="2"/>
      <c r="E247" s="3"/>
      <c r="F247" s="3"/>
      <c r="G247" s="3"/>
      <c r="H247" s="13">
        <f>SUM(H245:H246)</f>
        <v>64.2</v>
      </c>
      <c r="I247" s="2"/>
    </row>
    <row r="248" spans="1:9" ht="18.75">
      <c r="A248" s="2"/>
      <c r="B248" s="12"/>
      <c r="C248" s="2"/>
      <c r="D248" s="2"/>
      <c r="E248" s="3"/>
      <c r="F248" s="3"/>
      <c r="G248" s="3" t="s">
        <v>9</v>
      </c>
      <c r="H248" s="14">
        <v>64.2</v>
      </c>
      <c r="I248" s="2" t="s">
        <v>26</v>
      </c>
    </row>
    <row r="249" spans="1:9" ht="31.5">
      <c r="A249" s="2">
        <v>27</v>
      </c>
      <c r="B249" s="12" t="s">
        <v>145</v>
      </c>
      <c r="C249" s="2"/>
      <c r="D249" s="2"/>
      <c r="E249" s="3"/>
      <c r="F249" s="3"/>
      <c r="G249" s="3"/>
      <c r="H249" s="4"/>
      <c r="I249" s="2"/>
    </row>
    <row r="250" spans="1:9">
      <c r="A250" s="2"/>
      <c r="B250" s="12" t="s">
        <v>143</v>
      </c>
      <c r="C250" s="2">
        <v>1</v>
      </c>
      <c r="D250" s="2">
        <v>3</v>
      </c>
      <c r="E250" s="3">
        <v>4</v>
      </c>
      <c r="F250" s="3">
        <v>3.5</v>
      </c>
      <c r="G250" s="3" t="s">
        <v>21</v>
      </c>
      <c r="H250" s="13">
        <f>C250*D250*E250*F250</f>
        <v>42</v>
      </c>
      <c r="I250" s="2"/>
    </row>
    <row r="251" spans="1:9">
      <c r="A251" s="2"/>
      <c r="B251" s="12" t="s">
        <v>144</v>
      </c>
      <c r="C251" s="2">
        <v>1</v>
      </c>
      <c r="D251" s="2">
        <v>2</v>
      </c>
      <c r="E251" s="3">
        <v>3</v>
      </c>
      <c r="F251" s="3">
        <v>3.7</v>
      </c>
      <c r="G251" s="3" t="s">
        <v>21</v>
      </c>
      <c r="H251" s="13">
        <f>C251*D251*E251*F251</f>
        <v>22.200000000000003</v>
      </c>
      <c r="I251" s="2"/>
    </row>
    <row r="252" spans="1:9">
      <c r="A252" s="2"/>
      <c r="B252" s="12"/>
      <c r="C252" s="2"/>
      <c r="D252" s="2"/>
      <c r="E252" s="3"/>
      <c r="F252" s="3"/>
      <c r="G252" s="3"/>
      <c r="H252" s="13">
        <f>SUM(H250:H251)</f>
        <v>64.2</v>
      </c>
      <c r="I252" s="2"/>
    </row>
    <row r="253" spans="1:9" ht="18.75">
      <c r="A253" s="2"/>
      <c r="B253" s="12"/>
      <c r="C253" s="2"/>
      <c r="D253" s="2"/>
      <c r="E253" s="3"/>
      <c r="F253" s="3"/>
      <c r="G253" s="3" t="s">
        <v>9</v>
      </c>
      <c r="H253" s="14">
        <v>64.2</v>
      </c>
      <c r="I253" s="2" t="s">
        <v>26</v>
      </c>
    </row>
    <row r="254" spans="1:9" ht="31.5">
      <c r="A254" s="2">
        <v>28</v>
      </c>
      <c r="B254" s="12" t="s">
        <v>146</v>
      </c>
      <c r="C254" s="2"/>
      <c r="D254" s="2"/>
      <c r="E254" s="3"/>
      <c r="F254" s="3"/>
      <c r="G254" s="3"/>
      <c r="H254" s="4"/>
      <c r="I254" s="2"/>
    </row>
    <row r="255" spans="1:9">
      <c r="A255" s="2"/>
      <c r="B255" s="12" t="s">
        <v>147</v>
      </c>
      <c r="C255" s="2">
        <v>1</v>
      </c>
      <c r="D255" s="15">
        <v>1</v>
      </c>
      <c r="E255" s="3">
        <v>61.6</v>
      </c>
      <c r="F255" s="3">
        <v>0.6</v>
      </c>
      <c r="G255" s="3" t="s">
        <v>21</v>
      </c>
      <c r="H255" s="13">
        <f>C255*D255*E255*F255</f>
        <v>36.96</v>
      </c>
      <c r="I255" s="2"/>
    </row>
    <row r="256" spans="1:9" ht="18.75">
      <c r="A256" s="2"/>
      <c r="B256" s="1"/>
      <c r="C256" s="2"/>
      <c r="D256" s="2"/>
      <c r="E256" s="3"/>
      <c r="F256" s="3"/>
      <c r="G256" s="3" t="s">
        <v>9</v>
      </c>
      <c r="H256" s="7">
        <v>37</v>
      </c>
      <c r="I256" s="2" t="s">
        <v>26</v>
      </c>
    </row>
    <row r="257" spans="1:9" ht="31.5">
      <c r="A257" s="2">
        <v>29</v>
      </c>
      <c r="B257" s="1" t="s">
        <v>148</v>
      </c>
      <c r="C257" s="2"/>
      <c r="D257" s="2"/>
      <c r="E257" s="3"/>
      <c r="F257" s="3"/>
      <c r="G257" s="3"/>
      <c r="H257" s="4"/>
      <c r="I257" s="2"/>
    </row>
    <row r="258" spans="1:9">
      <c r="A258" s="2"/>
      <c r="B258" s="1" t="s">
        <v>129</v>
      </c>
      <c r="C258" s="2">
        <v>3</v>
      </c>
      <c r="D258" s="2">
        <v>1</v>
      </c>
      <c r="E258" s="3">
        <v>3.6</v>
      </c>
      <c r="F258" s="3">
        <v>5.4</v>
      </c>
      <c r="G258" s="3" t="s">
        <v>21</v>
      </c>
      <c r="H258" s="4">
        <f t="shared" ref="H258:H268" si="9">C258*D258*E258*F258</f>
        <v>58.320000000000007</v>
      </c>
      <c r="I258" s="2"/>
    </row>
    <row r="259" spans="1:9">
      <c r="A259" s="2"/>
      <c r="B259" s="1" t="s">
        <v>149</v>
      </c>
      <c r="C259" s="2">
        <v>3</v>
      </c>
      <c r="D259" s="2">
        <v>1</v>
      </c>
      <c r="E259" s="3">
        <v>18</v>
      </c>
      <c r="F259" s="3" t="s">
        <v>21</v>
      </c>
      <c r="G259" s="3">
        <v>0.1</v>
      </c>
      <c r="H259" s="4">
        <f>C259*D259*E259*G259</f>
        <v>5.4</v>
      </c>
      <c r="I259" s="2"/>
    </row>
    <row r="260" spans="1:9">
      <c r="A260" s="2"/>
      <c r="B260" s="1" t="s">
        <v>0</v>
      </c>
      <c r="C260" s="2">
        <v>3</v>
      </c>
      <c r="D260" s="2">
        <v>1</v>
      </c>
      <c r="E260" s="3">
        <v>3.05</v>
      </c>
      <c r="F260" s="3">
        <v>2.42</v>
      </c>
      <c r="G260" s="3" t="s">
        <v>21</v>
      </c>
      <c r="H260" s="4">
        <f t="shared" si="9"/>
        <v>22.142999999999997</v>
      </c>
      <c r="I260" s="2"/>
    </row>
    <row r="261" spans="1:9">
      <c r="A261" s="2"/>
      <c r="B261" s="1" t="s">
        <v>149</v>
      </c>
      <c r="C261" s="2">
        <v>3</v>
      </c>
      <c r="D261" s="2">
        <v>1</v>
      </c>
      <c r="E261" s="3">
        <v>10.94</v>
      </c>
      <c r="F261" s="3" t="s">
        <v>21</v>
      </c>
      <c r="G261" s="3">
        <v>0.1</v>
      </c>
      <c r="H261" s="4">
        <f>C261*D261*E261*G261</f>
        <v>3.282</v>
      </c>
      <c r="I261" s="2"/>
    </row>
    <row r="262" spans="1:9">
      <c r="A262" s="2"/>
      <c r="B262" s="1" t="s">
        <v>130</v>
      </c>
      <c r="C262" s="2">
        <v>3</v>
      </c>
      <c r="D262" s="2">
        <v>1</v>
      </c>
      <c r="E262" s="3">
        <v>4.2699999999999996</v>
      </c>
      <c r="F262" s="3">
        <v>3.62</v>
      </c>
      <c r="G262" s="3" t="s">
        <v>21</v>
      </c>
      <c r="H262" s="4">
        <f t="shared" si="9"/>
        <v>46.372199999999999</v>
      </c>
      <c r="I262" s="2"/>
    </row>
    <row r="263" spans="1:9">
      <c r="A263" s="2"/>
      <c r="B263" s="1" t="s">
        <v>149</v>
      </c>
      <c r="C263" s="2">
        <v>3</v>
      </c>
      <c r="D263" s="2">
        <v>1</v>
      </c>
      <c r="E263" s="3">
        <v>15.78</v>
      </c>
      <c r="F263" s="3" t="s">
        <v>21</v>
      </c>
      <c r="G263" s="3">
        <v>0.1</v>
      </c>
      <c r="H263" s="4">
        <f>C263*D263*E263*G263</f>
        <v>4.734</v>
      </c>
      <c r="I263" s="2"/>
    </row>
    <row r="264" spans="1:9">
      <c r="A264" s="2"/>
      <c r="B264" s="1" t="s">
        <v>131</v>
      </c>
      <c r="C264" s="2">
        <v>3</v>
      </c>
      <c r="D264" s="2">
        <v>1</v>
      </c>
      <c r="E264" s="3">
        <v>3.64</v>
      </c>
      <c r="F264" s="3">
        <v>3.02</v>
      </c>
      <c r="G264" s="3" t="s">
        <v>21</v>
      </c>
      <c r="H264" s="4">
        <f t="shared" si="9"/>
        <v>32.978400000000001</v>
      </c>
      <c r="I264" s="2"/>
    </row>
    <row r="265" spans="1:9">
      <c r="A265" s="2"/>
      <c r="B265" s="1" t="s">
        <v>149</v>
      </c>
      <c r="C265" s="2">
        <v>3</v>
      </c>
      <c r="D265" s="2">
        <v>1</v>
      </c>
      <c r="E265" s="3">
        <v>13.32</v>
      </c>
      <c r="F265" s="3" t="s">
        <v>21</v>
      </c>
      <c r="G265" s="3">
        <v>0.1</v>
      </c>
      <c r="H265" s="4">
        <f>C265*D265*E265*G265</f>
        <v>3.9960000000000004</v>
      </c>
      <c r="I265" s="2"/>
    </row>
    <row r="266" spans="1:9">
      <c r="A266" s="2"/>
      <c r="B266" s="1" t="s">
        <v>74</v>
      </c>
      <c r="C266" s="2">
        <v>3</v>
      </c>
      <c r="D266" s="2">
        <v>1</v>
      </c>
      <c r="E266" s="3">
        <v>3.6</v>
      </c>
      <c r="F266" s="3">
        <v>1.5</v>
      </c>
      <c r="G266" s="3" t="s">
        <v>21</v>
      </c>
      <c r="H266" s="4">
        <f t="shared" si="9"/>
        <v>16.200000000000003</v>
      </c>
      <c r="I266" s="2"/>
    </row>
    <row r="267" spans="1:9">
      <c r="A267" s="2"/>
      <c r="B267" s="1" t="s">
        <v>149</v>
      </c>
      <c r="C267" s="2">
        <v>3</v>
      </c>
      <c r="D267" s="2">
        <v>1</v>
      </c>
      <c r="E267" s="3">
        <v>10.199999999999999</v>
      </c>
      <c r="F267" s="3" t="s">
        <v>21</v>
      </c>
      <c r="G267" s="3">
        <v>0.1</v>
      </c>
      <c r="H267" s="4">
        <f>C267*D267*E267*G267</f>
        <v>3.06</v>
      </c>
      <c r="I267" s="2"/>
    </row>
    <row r="268" spans="1:9">
      <c r="A268" s="2"/>
      <c r="B268" s="1" t="s">
        <v>79</v>
      </c>
      <c r="C268" s="2">
        <v>3</v>
      </c>
      <c r="D268" s="2">
        <v>1</v>
      </c>
      <c r="E268" s="3">
        <v>1</v>
      </c>
      <c r="F268" s="3">
        <v>1.05</v>
      </c>
      <c r="G268" s="3" t="s">
        <v>21</v>
      </c>
      <c r="H268" s="4">
        <f t="shared" si="9"/>
        <v>3.1500000000000004</v>
      </c>
      <c r="I268" s="2"/>
    </row>
    <row r="269" spans="1:9">
      <c r="A269" s="2"/>
      <c r="B269" s="1" t="s">
        <v>149</v>
      </c>
      <c r="C269" s="2">
        <v>3</v>
      </c>
      <c r="D269" s="2">
        <v>1</v>
      </c>
      <c r="E269" s="3">
        <v>4.0999999999999996</v>
      </c>
      <c r="F269" s="3" t="s">
        <v>21</v>
      </c>
      <c r="G269" s="3">
        <v>0.1</v>
      </c>
      <c r="H269" s="4">
        <f>C269*D269*E269*G269</f>
        <v>1.23</v>
      </c>
      <c r="I269" s="2"/>
    </row>
    <row r="270" spans="1:9">
      <c r="A270" s="2"/>
      <c r="B270" s="1"/>
      <c r="C270" s="2"/>
      <c r="D270" s="2"/>
      <c r="E270" s="3"/>
      <c r="F270" s="3"/>
      <c r="G270" s="3"/>
      <c r="H270" s="4">
        <f>SUM(H258:H269)</f>
        <v>200.86560000000003</v>
      </c>
      <c r="I270" s="2"/>
    </row>
    <row r="271" spans="1:9" ht="18.75">
      <c r="A271" s="2"/>
      <c r="B271" s="1"/>
      <c r="C271" s="2"/>
      <c r="D271" s="2"/>
      <c r="E271" s="3"/>
      <c r="F271" s="3"/>
      <c r="G271" s="3" t="s">
        <v>9</v>
      </c>
      <c r="H271" s="7">
        <v>146.1</v>
      </c>
      <c r="I271" s="2" t="s">
        <v>26</v>
      </c>
    </row>
    <row r="272" spans="1:9" ht="47.25">
      <c r="A272" s="2">
        <v>30</v>
      </c>
      <c r="B272" s="1" t="s">
        <v>157</v>
      </c>
      <c r="C272" s="2"/>
      <c r="D272" s="2"/>
      <c r="E272" s="3"/>
      <c r="F272" s="3"/>
      <c r="G272" s="3"/>
      <c r="H272" s="4"/>
      <c r="I272" s="2"/>
    </row>
    <row r="273" spans="1:9">
      <c r="A273" s="2"/>
      <c r="B273" s="1" t="s">
        <v>158</v>
      </c>
      <c r="C273" s="2">
        <v>2</v>
      </c>
      <c r="D273" s="2">
        <v>3</v>
      </c>
      <c r="E273" s="3">
        <v>0.7</v>
      </c>
      <c r="F273" s="3" t="s">
        <v>21</v>
      </c>
      <c r="G273" s="3">
        <v>2.15</v>
      </c>
      <c r="H273" s="4">
        <f>C273*D273*E273*G273</f>
        <v>9.0299999999999976</v>
      </c>
      <c r="I273" s="2"/>
    </row>
    <row r="274" spans="1:9">
      <c r="A274" s="2"/>
      <c r="B274" s="1" t="s">
        <v>159</v>
      </c>
      <c r="C274" s="2">
        <v>2</v>
      </c>
      <c r="D274" s="2">
        <v>1</v>
      </c>
      <c r="E274" s="3">
        <v>1.1499999999999999</v>
      </c>
      <c r="F274" s="3" t="s">
        <v>21</v>
      </c>
      <c r="G274" s="3">
        <v>2.15</v>
      </c>
      <c r="H274" s="4">
        <f>C274*D274*E274*G274</f>
        <v>4.9449999999999994</v>
      </c>
      <c r="I274" s="2"/>
    </row>
    <row r="275" spans="1:9">
      <c r="A275" s="2"/>
      <c r="B275" s="1" t="s">
        <v>160</v>
      </c>
      <c r="C275" s="2">
        <v>2</v>
      </c>
      <c r="D275" s="2">
        <v>1</v>
      </c>
      <c r="E275" s="3">
        <v>0.9</v>
      </c>
      <c r="F275" s="3" t="s">
        <v>21</v>
      </c>
      <c r="G275" s="3">
        <v>2.15</v>
      </c>
      <c r="H275" s="4">
        <f>C275*D275*E275*G275</f>
        <v>3.87</v>
      </c>
      <c r="I275" s="2"/>
    </row>
    <row r="276" spans="1:9">
      <c r="A276" s="2"/>
      <c r="B276" s="1"/>
      <c r="C276" s="2"/>
      <c r="D276" s="2"/>
      <c r="E276" s="3"/>
      <c r="F276" s="3"/>
      <c r="G276" s="3"/>
      <c r="H276" s="4">
        <f>SUM(H273:H275)</f>
        <v>17.844999999999999</v>
      </c>
      <c r="I276" s="2"/>
    </row>
    <row r="277" spans="1:9" ht="18.75">
      <c r="A277" s="2"/>
      <c r="B277" s="1"/>
      <c r="C277" s="2"/>
      <c r="D277" s="2"/>
      <c r="E277" s="3"/>
      <c r="F277" s="3"/>
      <c r="G277" s="3" t="s">
        <v>9</v>
      </c>
      <c r="H277" s="7">
        <v>17.899999999999999</v>
      </c>
      <c r="I277" s="2" t="s">
        <v>26</v>
      </c>
    </row>
    <row r="278" spans="1:9" ht="47.25">
      <c r="A278" s="2">
        <v>31</v>
      </c>
      <c r="B278" s="1" t="s">
        <v>161</v>
      </c>
      <c r="C278" s="2"/>
      <c r="D278" s="2"/>
      <c r="E278" s="3"/>
      <c r="F278" s="3"/>
      <c r="G278" s="3"/>
      <c r="H278" s="4"/>
      <c r="I278" s="2"/>
    </row>
    <row r="279" spans="1:9">
      <c r="A279" s="2"/>
      <c r="B279" s="1" t="s">
        <v>162</v>
      </c>
      <c r="C279" s="2">
        <v>1</v>
      </c>
      <c r="D279" s="2">
        <v>2</v>
      </c>
      <c r="E279" s="3" t="s">
        <v>21</v>
      </c>
      <c r="F279" s="3" t="s">
        <v>21</v>
      </c>
      <c r="G279" s="3" t="s">
        <v>21</v>
      </c>
      <c r="H279" s="7">
        <f>C279*D279</f>
        <v>2</v>
      </c>
      <c r="I279" s="2" t="s">
        <v>68</v>
      </c>
    </row>
    <row r="280" spans="1:9" ht="31.5">
      <c r="A280" s="2">
        <v>32</v>
      </c>
      <c r="B280" s="1" t="s">
        <v>222</v>
      </c>
      <c r="C280" s="2"/>
      <c r="D280" s="2"/>
      <c r="E280" s="3"/>
      <c r="F280" s="3"/>
      <c r="G280" s="3"/>
      <c r="H280" s="4"/>
      <c r="I280" s="2"/>
    </row>
    <row r="281" spans="1:9">
      <c r="A281" s="2"/>
      <c r="B281" s="1" t="s">
        <v>163</v>
      </c>
      <c r="C281" s="2">
        <v>3</v>
      </c>
      <c r="D281" s="2">
        <v>1</v>
      </c>
      <c r="E281" s="3" t="s">
        <v>21</v>
      </c>
      <c r="F281" s="3" t="s">
        <v>21</v>
      </c>
      <c r="G281" s="3" t="s">
        <v>21</v>
      </c>
      <c r="H281" s="7">
        <f>C281*D281</f>
        <v>3</v>
      </c>
      <c r="I281" s="2" t="s">
        <v>68</v>
      </c>
    </row>
    <row r="282" spans="1:9" ht="63">
      <c r="A282" s="2">
        <v>33</v>
      </c>
      <c r="B282" s="1" t="s">
        <v>164</v>
      </c>
      <c r="C282" s="2"/>
      <c r="D282" s="2"/>
      <c r="E282" s="3"/>
      <c r="F282" s="3"/>
      <c r="G282" s="3"/>
      <c r="H282" s="4"/>
      <c r="I282" s="2"/>
    </row>
    <row r="283" spans="1:9">
      <c r="A283" s="2"/>
      <c r="B283" s="1" t="s">
        <v>165</v>
      </c>
      <c r="C283" s="2">
        <v>3</v>
      </c>
      <c r="D283" s="2">
        <v>2</v>
      </c>
      <c r="E283" s="3" t="s">
        <v>21</v>
      </c>
      <c r="F283" s="3" t="s">
        <v>21</v>
      </c>
      <c r="G283" s="3" t="s">
        <v>21</v>
      </c>
      <c r="H283" s="7">
        <f>C283*D283</f>
        <v>6</v>
      </c>
      <c r="I283" s="2" t="s">
        <v>68</v>
      </c>
    </row>
    <row r="284" spans="1:9" ht="47.25">
      <c r="A284" s="2">
        <v>34</v>
      </c>
      <c r="B284" s="1" t="s">
        <v>166</v>
      </c>
      <c r="C284" s="2"/>
      <c r="D284" s="2"/>
      <c r="E284" s="3"/>
      <c r="F284" s="3"/>
      <c r="G284" s="3"/>
      <c r="H284" s="4"/>
      <c r="I284" s="2"/>
    </row>
    <row r="285" spans="1:9">
      <c r="A285" s="2"/>
      <c r="B285" s="1" t="s">
        <v>165</v>
      </c>
      <c r="C285" s="2">
        <v>3</v>
      </c>
      <c r="D285" s="2">
        <v>2</v>
      </c>
      <c r="E285" s="3" t="s">
        <v>21</v>
      </c>
      <c r="F285" s="3" t="s">
        <v>21</v>
      </c>
      <c r="G285" s="3" t="s">
        <v>21</v>
      </c>
      <c r="H285" s="7">
        <f>C285*D285</f>
        <v>6</v>
      </c>
      <c r="I285" s="2" t="s">
        <v>68</v>
      </c>
    </row>
    <row r="286" spans="1:9" ht="47.25">
      <c r="A286" s="2">
        <v>35</v>
      </c>
      <c r="B286" s="1" t="s">
        <v>167</v>
      </c>
      <c r="C286" s="2"/>
      <c r="D286" s="2"/>
      <c r="E286" s="3"/>
      <c r="F286" s="3"/>
      <c r="G286" s="3"/>
      <c r="H286" s="4"/>
      <c r="I286" s="2"/>
    </row>
    <row r="287" spans="1:9">
      <c r="A287" s="2"/>
      <c r="B287" s="1" t="s">
        <v>129</v>
      </c>
      <c r="C287" s="2">
        <v>3</v>
      </c>
      <c r="D287" s="2">
        <v>2</v>
      </c>
      <c r="E287" s="3" t="s">
        <v>21</v>
      </c>
      <c r="F287" s="3" t="s">
        <v>21</v>
      </c>
      <c r="G287" s="3" t="s">
        <v>21</v>
      </c>
      <c r="H287" s="4">
        <f>C287*D287</f>
        <v>6</v>
      </c>
      <c r="I287" s="2"/>
    </row>
    <row r="288" spans="1:9">
      <c r="A288" s="2"/>
      <c r="B288" s="1" t="s">
        <v>168</v>
      </c>
      <c r="C288" s="2">
        <v>3</v>
      </c>
      <c r="D288" s="2">
        <v>2</v>
      </c>
      <c r="E288" s="3" t="s">
        <v>21</v>
      </c>
      <c r="F288" s="3" t="s">
        <v>21</v>
      </c>
      <c r="G288" s="3" t="s">
        <v>21</v>
      </c>
      <c r="H288" s="4">
        <f>C288*D288</f>
        <v>6</v>
      </c>
      <c r="I288" s="2"/>
    </row>
    <row r="289" spans="1:9">
      <c r="A289" s="2"/>
      <c r="B289" s="1"/>
      <c r="C289" s="2"/>
      <c r="D289" s="2"/>
      <c r="E289" s="3"/>
      <c r="F289" s="3"/>
      <c r="G289" s="3"/>
      <c r="H289" s="7">
        <f>SUM(H287:H288)</f>
        <v>12</v>
      </c>
      <c r="I289" s="2" t="s">
        <v>68</v>
      </c>
    </row>
    <row r="290" spans="1:9" ht="47.25">
      <c r="A290" s="2">
        <v>36</v>
      </c>
      <c r="B290" s="1" t="s">
        <v>169</v>
      </c>
      <c r="C290" s="2"/>
      <c r="D290" s="2"/>
      <c r="E290" s="3"/>
      <c r="F290" s="3"/>
      <c r="G290" s="3"/>
      <c r="H290" s="7"/>
      <c r="I290" s="2"/>
    </row>
    <row r="291" spans="1:9">
      <c r="A291" s="2"/>
      <c r="B291" s="1" t="s">
        <v>122</v>
      </c>
      <c r="C291" s="2">
        <v>3</v>
      </c>
      <c r="D291" s="2">
        <v>8</v>
      </c>
      <c r="E291" s="3">
        <v>0.75</v>
      </c>
      <c r="F291" s="3" t="s">
        <v>21</v>
      </c>
      <c r="G291" s="3">
        <v>0.75</v>
      </c>
      <c r="H291" s="4">
        <f>C291*D291*E291*G291</f>
        <v>13.5</v>
      </c>
      <c r="I291" s="2"/>
    </row>
    <row r="292" spans="1:9" ht="18.75">
      <c r="A292" s="2"/>
      <c r="B292" s="1"/>
      <c r="C292" s="2"/>
      <c r="D292" s="2"/>
      <c r="E292" s="3"/>
      <c r="F292" s="3"/>
      <c r="G292" s="3" t="s">
        <v>9</v>
      </c>
      <c r="H292" s="7">
        <v>13.5</v>
      </c>
      <c r="I292" s="2" t="s">
        <v>26</v>
      </c>
    </row>
    <row r="293" spans="1:9" ht="47.25">
      <c r="A293" s="2">
        <v>37</v>
      </c>
      <c r="B293" s="1" t="s">
        <v>170</v>
      </c>
      <c r="C293" s="2"/>
      <c r="D293" s="2"/>
      <c r="E293" s="3"/>
      <c r="F293" s="3"/>
      <c r="G293" s="3"/>
      <c r="H293" s="4"/>
      <c r="I293" s="2"/>
    </row>
    <row r="294" spans="1:9">
      <c r="A294" s="2"/>
      <c r="B294" s="1" t="s">
        <v>171</v>
      </c>
      <c r="C294" s="2">
        <v>3</v>
      </c>
      <c r="D294" s="2">
        <v>2</v>
      </c>
      <c r="E294" s="3" t="s">
        <v>21</v>
      </c>
      <c r="F294" s="3" t="s">
        <v>21</v>
      </c>
      <c r="G294" s="3" t="s">
        <v>21</v>
      </c>
      <c r="H294" s="7">
        <f>C294*D294</f>
        <v>6</v>
      </c>
      <c r="I294" s="2" t="s">
        <v>68</v>
      </c>
    </row>
    <row r="295" spans="1:9" ht="63">
      <c r="A295" s="2">
        <v>38</v>
      </c>
      <c r="B295" s="1" t="s">
        <v>172</v>
      </c>
      <c r="C295" s="2"/>
      <c r="D295" s="2"/>
      <c r="E295" s="3"/>
      <c r="F295" s="3"/>
      <c r="G295" s="3"/>
      <c r="H295" s="4"/>
      <c r="I295" s="2"/>
    </row>
    <row r="296" spans="1:9">
      <c r="A296" s="2"/>
      <c r="B296" s="1" t="s">
        <v>162</v>
      </c>
      <c r="C296" s="2">
        <v>2</v>
      </c>
      <c r="D296" s="2">
        <v>4</v>
      </c>
      <c r="E296" s="3" t="s">
        <v>21</v>
      </c>
      <c r="F296" s="3" t="s">
        <v>21</v>
      </c>
      <c r="G296" s="3" t="s">
        <v>21</v>
      </c>
      <c r="H296" s="7">
        <f>C296*D296</f>
        <v>8</v>
      </c>
      <c r="I296" s="2" t="s">
        <v>68</v>
      </c>
    </row>
    <row r="297" spans="1:9" ht="31.5">
      <c r="A297" s="2">
        <v>39</v>
      </c>
      <c r="B297" s="1" t="s">
        <v>173</v>
      </c>
      <c r="C297" s="2"/>
      <c r="D297" s="2"/>
      <c r="E297" s="3"/>
      <c r="F297" s="3"/>
      <c r="G297" s="3"/>
      <c r="H297" s="4"/>
      <c r="I297" s="2"/>
    </row>
    <row r="298" spans="1:9">
      <c r="A298" s="2"/>
      <c r="B298" s="12" t="s">
        <v>137</v>
      </c>
      <c r="C298" s="2">
        <v>3</v>
      </c>
      <c r="D298" s="2">
        <v>1</v>
      </c>
      <c r="E298" s="3">
        <v>1.05</v>
      </c>
      <c r="F298" s="3" t="s">
        <v>21</v>
      </c>
      <c r="G298" s="3">
        <v>2.23</v>
      </c>
      <c r="H298" s="13">
        <f>C298*D298*E298*G298</f>
        <v>7.0245000000000006</v>
      </c>
      <c r="I298" s="2"/>
    </row>
    <row r="299" spans="1:9">
      <c r="A299" s="2"/>
      <c r="B299" s="12" t="s">
        <v>7</v>
      </c>
      <c r="C299" s="2">
        <v>3</v>
      </c>
      <c r="D299" s="2">
        <v>3</v>
      </c>
      <c r="E299" s="3">
        <v>0.9</v>
      </c>
      <c r="F299" s="3" t="s">
        <v>21</v>
      </c>
      <c r="G299" s="3">
        <v>2.23</v>
      </c>
      <c r="H299" s="13">
        <f>C299*D299*E299*G299</f>
        <v>18.062999999999999</v>
      </c>
      <c r="I299" s="2"/>
    </row>
    <row r="300" spans="1:9">
      <c r="A300" s="2"/>
      <c r="B300" s="1" t="s">
        <v>138</v>
      </c>
      <c r="C300" s="2">
        <v>3</v>
      </c>
      <c r="D300" s="2">
        <v>4</v>
      </c>
      <c r="E300" s="3">
        <v>1.05</v>
      </c>
      <c r="F300" s="3" t="s">
        <v>21</v>
      </c>
      <c r="G300" s="3">
        <v>2.23</v>
      </c>
      <c r="H300" s="13">
        <f>C300*D300*E300*G300</f>
        <v>28.098000000000003</v>
      </c>
      <c r="I300" s="2"/>
    </row>
    <row r="301" spans="1:9">
      <c r="A301" s="2"/>
      <c r="B301" s="1" t="s">
        <v>139</v>
      </c>
      <c r="C301" s="2">
        <v>3</v>
      </c>
      <c r="D301" s="2">
        <v>2</v>
      </c>
      <c r="E301" s="3">
        <v>0.85</v>
      </c>
      <c r="F301" s="3" t="s">
        <v>21</v>
      </c>
      <c r="G301" s="3">
        <v>2</v>
      </c>
      <c r="H301" s="13">
        <f>C301*D301*E301*G301</f>
        <v>10.199999999999999</v>
      </c>
      <c r="I301" s="2"/>
    </row>
    <row r="302" spans="1:9">
      <c r="A302" s="2"/>
      <c r="B302" s="1"/>
      <c r="C302" s="2"/>
      <c r="D302" s="2"/>
      <c r="E302" s="3"/>
      <c r="F302" s="3"/>
      <c r="G302" s="3"/>
      <c r="H302" s="4">
        <f>SUM(H299:H301)</f>
        <v>56.361000000000004</v>
      </c>
      <c r="I302" s="2"/>
    </row>
    <row r="303" spans="1:9" ht="18.75">
      <c r="A303" s="2"/>
      <c r="B303" s="1"/>
      <c r="C303" s="2"/>
      <c r="D303" s="2"/>
      <c r="E303" s="3"/>
      <c r="F303" s="3"/>
      <c r="G303" s="3" t="s">
        <v>9</v>
      </c>
      <c r="H303" s="7">
        <v>56.4</v>
      </c>
      <c r="I303" s="2" t="s">
        <v>26</v>
      </c>
    </row>
    <row r="304" spans="1:9" ht="31.5">
      <c r="A304" s="2">
        <v>40</v>
      </c>
      <c r="B304" s="1" t="s">
        <v>174</v>
      </c>
      <c r="C304" s="2"/>
      <c r="D304" s="2"/>
      <c r="E304" s="3"/>
      <c r="F304" s="3"/>
      <c r="G304" s="3"/>
      <c r="H304" s="7"/>
      <c r="I304" s="2"/>
    </row>
    <row r="305" spans="1:9">
      <c r="A305" s="2"/>
      <c r="B305" s="1" t="s">
        <v>28</v>
      </c>
      <c r="C305" s="2">
        <v>3</v>
      </c>
      <c r="D305" s="2">
        <v>4</v>
      </c>
      <c r="E305" s="3">
        <v>0.95</v>
      </c>
      <c r="F305" s="3" t="s">
        <v>21</v>
      </c>
      <c r="G305" s="3">
        <v>1.52</v>
      </c>
      <c r="H305" s="4">
        <f>C305*D305*E305*G305</f>
        <v>17.327999999999999</v>
      </c>
      <c r="I305" s="2"/>
    </row>
    <row r="306" spans="1:9">
      <c r="A306" s="2"/>
      <c r="B306" s="1" t="s">
        <v>2</v>
      </c>
      <c r="C306" s="2">
        <v>3</v>
      </c>
      <c r="D306" s="2">
        <v>3</v>
      </c>
      <c r="E306" s="3">
        <v>1.52</v>
      </c>
      <c r="F306" s="3" t="s">
        <v>21</v>
      </c>
      <c r="G306" s="3">
        <v>1.52</v>
      </c>
      <c r="H306" s="4">
        <f>C306*D306*E306*G306</f>
        <v>20.793600000000001</v>
      </c>
      <c r="I306" s="2"/>
    </row>
    <row r="307" spans="1:9">
      <c r="A307" s="2"/>
      <c r="B307" s="1" t="s">
        <v>141</v>
      </c>
      <c r="C307" s="2">
        <v>3</v>
      </c>
      <c r="D307" s="2">
        <v>1</v>
      </c>
      <c r="E307" s="3">
        <v>0.75</v>
      </c>
      <c r="F307" s="3" t="s">
        <v>21</v>
      </c>
      <c r="G307" s="3">
        <v>1.07</v>
      </c>
      <c r="H307" s="4">
        <f>C307*D307*E307*G307</f>
        <v>2.4075000000000002</v>
      </c>
      <c r="I307" s="2"/>
    </row>
    <row r="308" spans="1:9">
      <c r="A308" s="2"/>
      <c r="B308" s="1" t="s">
        <v>205</v>
      </c>
      <c r="C308" s="2">
        <v>1</v>
      </c>
      <c r="D308" s="2">
        <v>1</v>
      </c>
      <c r="E308" s="3">
        <v>1.07</v>
      </c>
      <c r="F308" s="3" t="s">
        <v>21</v>
      </c>
      <c r="G308" s="3">
        <v>1.52</v>
      </c>
      <c r="H308" s="4">
        <f>C308*D308*E308*G308</f>
        <v>1.6264000000000001</v>
      </c>
      <c r="I308" s="2"/>
    </row>
    <row r="309" spans="1:9">
      <c r="A309" s="2"/>
      <c r="B309" s="1" t="s">
        <v>140</v>
      </c>
      <c r="C309" s="2">
        <v>1</v>
      </c>
      <c r="D309" s="2">
        <v>2</v>
      </c>
      <c r="E309" s="3">
        <v>0.46</v>
      </c>
      <c r="F309" s="3" t="s">
        <v>21</v>
      </c>
      <c r="G309" s="3">
        <v>1.7</v>
      </c>
      <c r="H309" s="4">
        <f>C309*D309*E309*G309</f>
        <v>1.5640000000000001</v>
      </c>
      <c r="I309" s="2"/>
    </row>
    <row r="310" spans="1:9">
      <c r="A310" s="2"/>
      <c r="B310" s="1"/>
      <c r="C310" s="2"/>
      <c r="D310" s="2"/>
      <c r="E310" s="3"/>
      <c r="F310" s="3"/>
      <c r="G310" s="3"/>
      <c r="H310" s="4">
        <f>SUM(H305:H309)</f>
        <v>43.719499999999996</v>
      </c>
      <c r="I310" s="2"/>
    </row>
    <row r="311" spans="1:9" ht="18.75">
      <c r="A311" s="2"/>
      <c r="B311" s="1"/>
      <c r="C311" s="2"/>
      <c r="D311" s="2"/>
      <c r="E311" s="3"/>
      <c r="F311" s="3"/>
      <c r="G311" s="3" t="s">
        <v>9</v>
      </c>
      <c r="H311" s="7">
        <v>43.75</v>
      </c>
      <c r="I311" s="2" t="s">
        <v>26</v>
      </c>
    </row>
    <row r="312" spans="1:9" ht="47.25">
      <c r="A312" s="2">
        <v>41</v>
      </c>
      <c r="B312" s="1" t="s">
        <v>175</v>
      </c>
      <c r="C312" s="2"/>
      <c r="D312" s="2"/>
      <c r="E312" s="3"/>
      <c r="F312" s="3"/>
      <c r="G312" s="3"/>
      <c r="H312" s="4"/>
      <c r="I312" s="2"/>
    </row>
    <row r="313" spans="1:9" ht="18.75">
      <c r="A313" s="2"/>
      <c r="B313" s="1" t="s">
        <v>162</v>
      </c>
      <c r="C313" s="2">
        <v>1</v>
      </c>
      <c r="D313" s="2">
        <v>2</v>
      </c>
      <c r="E313" s="3">
        <v>0.9</v>
      </c>
      <c r="F313" s="3" t="s">
        <v>21</v>
      </c>
      <c r="G313" s="3">
        <v>0.75</v>
      </c>
      <c r="H313" s="7">
        <f>C313*D313*E313*G313</f>
        <v>1.35</v>
      </c>
      <c r="I313" s="2" t="s">
        <v>26</v>
      </c>
    </row>
    <row r="314" spans="1:9" ht="31.5">
      <c r="A314" s="2">
        <v>42</v>
      </c>
      <c r="B314" s="1" t="s">
        <v>372</v>
      </c>
      <c r="C314" s="2"/>
      <c r="D314" s="2"/>
      <c r="E314" s="3"/>
      <c r="F314" s="3"/>
      <c r="G314" s="3"/>
      <c r="H314" s="4"/>
      <c r="I314" s="2"/>
    </row>
    <row r="315" spans="1:9">
      <c r="A315" s="2"/>
      <c r="B315" s="1" t="s">
        <v>125</v>
      </c>
      <c r="C315" s="2">
        <v>3</v>
      </c>
      <c r="D315" s="2">
        <v>2</v>
      </c>
      <c r="E315" s="3" t="s">
        <v>21</v>
      </c>
      <c r="F315" s="3" t="s">
        <v>21</v>
      </c>
      <c r="G315" s="3" t="s">
        <v>21</v>
      </c>
      <c r="H315" s="7">
        <f>C315*D315</f>
        <v>6</v>
      </c>
      <c r="I315" s="2" t="s">
        <v>68</v>
      </c>
    </row>
    <row r="316" spans="1:9" ht="63">
      <c r="A316" s="2">
        <v>43</v>
      </c>
      <c r="B316" s="1" t="s">
        <v>176</v>
      </c>
      <c r="C316" s="2"/>
      <c r="D316" s="2"/>
      <c r="E316" s="3"/>
      <c r="F316" s="3"/>
      <c r="G316" s="3"/>
      <c r="H316" s="4"/>
      <c r="I316" s="2"/>
    </row>
    <row r="317" spans="1:9">
      <c r="A317" s="2"/>
      <c r="B317" s="1" t="s">
        <v>162</v>
      </c>
      <c r="C317" s="2">
        <v>3</v>
      </c>
      <c r="D317" s="2">
        <v>6</v>
      </c>
      <c r="E317" s="3" t="s">
        <v>21</v>
      </c>
      <c r="F317" s="3" t="s">
        <v>21</v>
      </c>
      <c r="G317" s="3" t="s">
        <v>21</v>
      </c>
      <c r="H317" s="7">
        <f>C317*D317</f>
        <v>18</v>
      </c>
      <c r="I317" s="2" t="s">
        <v>68</v>
      </c>
    </row>
    <row r="318" spans="1:9" ht="63">
      <c r="A318" s="2">
        <v>44</v>
      </c>
      <c r="B318" s="1" t="s">
        <v>177</v>
      </c>
      <c r="C318" s="2"/>
      <c r="D318" s="2"/>
      <c r="E318" s="3"/>
      <c r="F318" s="3"/>
      <c r="G318" s="3"/>
      <c r="H318" s="4"/>
      <c r="I318" s="2"/>
    </row>
    <row r="319" spans="1:9">
      <c r="A319" s="2"/>
      <c r="B319" s="1" t="s">
        <v>162</v>
      </c>
      <c r="C319" s="2">
        <v>3</v>
      </c>
      <c r="D319" s="2">
        <v>7</v>
      </c>
      <c r="E319" s="3" t="s">
        <v>21</v>
      </c>
      <c r="F319" s="3" t="s">
        <v>21</v>
      </c>
      <c r="G319" s="3" t="s">
        <v>21</v>
      </c>
      <c r="H319" s="7">
        <f>C319*D319</f>
        <v>21</v>
      </c>
      <c r="I319" s="2" t="s">
        <v>68</v>
      </c>
    </row>
    <row r="320" spans="1:9" ht="47.25">
      <c r="A320" s="2">
        <v>45</v>
      </c>
      <c r="B320" s="1" t="s">
        <v>178</v>
      </c>
      <c r="C320" s="2"/>
      <c r="D320" s="2"/>
      <c r="E320" s="3"/>
      <c r="F320" s="3"/>
      <c r="G320" s="3"/>
      <c r="H320" s="4"/>
      <c r="I320" s="2"/>
    </row>
    <row r="321" spans="1:9" ht="31.5">
      <c r="A321" s="2"/>
      <c r="B321" s="1" t="s">
        <v>179</v>
      </c>
      <c r="C321" s="2"/>
      <c r="D321" s="2"/>
      <c r="E321" s="3"/>
      <c r="F321" s="3"/>
      <c r="G321" s="3"/>
      <c r="H321" s="4"/>
      <c r="I321" s="2"/>
    </row>
    <row r="322" spans="1:9">
      <c r="A322" s="2"/>
      <c r="B322" s="1" t="s">
        <v>163</v>
      </c>
      <c r="C322" s="2">
        <v>3</v>
      </c>
      <c r="D322" s="2">
        <v>8</v>
      </c>
      <c r="E322" s="3" t="s">
        <v>21</v>
      </c>
      <c r="F322" s="3" t="s">
        <v>21</v>
      </c>
      <c r="G322" s="3" t="s">
        <v>21</v>
      </c>
      <c r="H322" s="7">
        <f>C322*D322</f>
        <v>24</v>
      </c>
      <c r="I322" s="2" t="s">
        <v>68</v>
      </c>
    </row>
    <row r="323" spans="1:9" ht="31.5">
      <c r="A323" s="2"/>
      <c r="B323" s="1" t="s">
        <v>180</v>
      </c>
      <c r="C323" s="2"/>
      <c r="D323" s="2"/>
      <c r="E323" s="3"/>
      <c r="F323" s="3"/>
      <c r="G323" s="3"/>
      <c r="H323" s="4"/>
      <c r="I323" s="2"/>
    </row>
    <row r="324" spans="1:9">
      <c r="A324" s="2"/>
      <c r="B324" s="1" t="s">
        <v>189</v>
      </c>
      <c r="C324" s="2">
        <v>2</v>
      </c>
      <c r="D324" s="2">
        <v>4</v>
      </c>
      <c r="E324" s="3" t="s">
        <v>21</v>
      </c>
      <c r="F324" s="3" t="s">
        <v>21</v>
      </c>
      <c r="G324" s="3" t="s">
        <v>21</v>
      </c>
      <c r="H324" s="7">
        <f>C324*D324</f>
        <v>8</v>
      </c>
      <c r="I324" s="2" t="s">
        <v>68</v>
      </c>
    </row>
    <row r="325" spans="1:9" ht="47.25">
      <c r="A325" s="2">
        <v>46</v>
      </c>
      <c r="B325" s="1" t="s">
        <v>181</v>
      </c>
      <c r="C325" s="2"/>
      <c r="D325" s="2"/>
      <c r="E325" s="3"/>
      <c r="F325" s="3"/>
      <c r="G325" s="3"/>
      <c r="H325" s="4"/>
      <c r="I325" s="2"/>
    </row>
    <row r="326" spans="1:9">
      <c r="A326" s="2"/>
      <c r="B326" s="1" t="s">
        <v>163</v>
      </c>
      <c r="C326" s="2">
        <v>3</v>
      </c>
      <c r="D326" s="2">
        <v>6</v>
      </c>
      <c r="E326" s="3" t="s">
        <v>21</v>
      </c>
      <c r="F326" s="3" t="s">
        <v>21</v>
      </c>
      <c r="G326" s="3" t="s">
        <v>21</v>
      </c>
      <c r="H326" s="7">
        <f>C326*D326</f>
        <v>18</v>
      </c>
      <c r="I326" s="2" t="s">
        <v>68</v>
      </c>
    </row>
    <row r="327" spans="1:9" ht="47.25">
      <c r="A327" s="2">
        <v>47</v>
      </c>
      <c r="B327" s="1" t="s">
        <v>182</v>
      </c>
      <c r="C327" s="2"/>
      <c r="D327" s="2"/>
      <c r="E327" s="3"/>
      <c r="F327" s="3"/>
      <c r="G327" s="3"/>
      <c r="H327" s="4"/>
      <c r="I327" s="2"/>
    </row>
    <row r="328" spans="1:9">
      <c r="A328" s="2"/>
      <c r="B328" s="1" t="s">
        <v>163</v>
      </c>
      <c r="C328" s="2">
        <v>3</v>
      </c>
      <c r="D328" s="2">
        <v>1</v>
      </c>
      <c r="E328" s="3">
        <v>40</v>
      </c>
      <c r="F328" s="3" t="s">
        <v>21</v>
      </c>
      <c r="G328" s="3" t="s">
        <v>21</v>
      </c>
      <c r="H328" s="7">
        <f>C328*D328*E328</f>
        <v>120</v>
      </c>
      <c r="I328" s="2" t="s">
        <v>54</v>
      </c>
    </row>
    <row r="329" spans="1:9" ht="47.25">
      <c r="A329" s="2">
        <v>48</v>
      </c>
      <c r="B329" s="1" t="s">
        <v>183</v>
      </c>
      <c r="C329" s="2"/>
      <c r="D329" s="2"/>
      <c r="E329" s="3"/>
      <c r="F329" s="3"/>
      <c r="G329" s="3"/>
      <c r="H329" s="4"/>
      <c r="I329" s="2"/>
    </row>
    <row r="330" spans="1:9">
      <c r="A330" s="2"/>
      <c r="B330" s="1" t="s">
        <v>186</v>
      </c>
      <c r="C330" s="2">
        <v>3</v>
      </c>
      <c r="D330" s="2">
        <v>2</v>
      </c>
      <c r="E330" s="3">
        <v>12</v>
      </c>
      <c r="F330" s="3" t="s">
        <v>21</v>
      </c>
      <c r="G330" s="3" t="s">
        <v>21</v>
      </c>
      <c r="H330" s="4">
        <f>C330*D330*E330</f>
        <v>72</v>
      </c>
      <c r="I330" s="2"/>
    </row>
    <row r="331" spans="1:9">
      <c r="A331" s="2"/>
      <c r="B331" s="1" t="s">
        <v>192</v>
      </c>
      <c r="C331" s="2">
        <v>2</v>
      </c>
      <c r="D331" s="2">
        <v>1</v>
      </c>
      <c r="E331" s="3">
        <v>23</v>
      </c>
      <c r="F331" s="3" t="s">
        <v>21</v>
      </c>
      <c r="G331" s="3" t="s">
        <v>21</v>
      </c>
      <c r="H331" s="4">
        <f>C331*D331*E331</f>
        <v>46</v>
      </c>
      <c r="I331" s="2"/>
    </row>
    <row r="332" spans="1:9">
      <c r="A332" s="2"/>
      <c r="B332" s="1"/>
      <c r="C332" s="2"/>
      <c r="D332" s="2"/>
      <c r="E332" s="3"/>
      <c r="F332" s="3"/>
      <c r="G332" s="3"/>
      <c r="H332" s="7">
        <f>SUM(H330:H331)</f>
        <v>118</v>
      </c>
      <c r="I332" s="2" t="s">
        <v>54</v>
      </c>
    </row>
    <row r="333" spans="1:9" ht="47.25">
      <c r="A333" s="2">
        <v>49</v>
      </c>
      <c r="B333" s="1" t="s">
        <v>184</v>
      </c>
      <c r="C333" s="2"/>
      <c r="D333" s="2"/>
      <c r="E333" s="3"/>
      <c r="F333" s="3"/>
      <c r="G333" s="3"/>
      <c r="H333" s="4"/>
      <c r="I333" s="2"/>
    </row>
    <row r="334" spans="1:9">
      <c r="A334" s="2"/>
      <c r="B334" s="1" t="s">
        <v>188</v>
      </c>
      <c r="C334" s="2">
        <v>3</v>
      </c>
      <c r="D334" s="2">
        <v>1</v>
      </c>
      <c r="E334" s="3">
        <v>15</v>
      </c>
      <c r="F334" s="3" t="s">
        <v>21</v>
      </c>
      <c r="G334" s="3" t="s">
        <v>21</v>
      </c>
      <c r="H334" s="7">
        <f>C334*D334*E334</f>
        <v>45</v>
      </c>
      <c r="I334" s="2" t="s">
        <v>54</v>
      </c>
    </row>
    <row r="335" spans="1:9" ht="47.25">
      <c r="A335" s="2">
        <v>50</v>
      </c>
      <c r="B335" s="1" t="s">
        <v>185</v>
      </c>
      <c r="C335" s="2"/>
      <c r="D335" s="2"/>
      <c r="E335" s="3"/>
      <c r="F335" s="3"/>
      <c r="G335" s="3"/>
      <c r="H335" s="4"/>
      <c r="I335" s="2"/>
    </row>
    <row r="336" spans="1:9">
      <c r="A336" s="2"/>
      <c r="B336" s="1" t="s">
        <v>190</v>
      </c>
      <c r="C336" s="2">
        <v>3</v>
      </c>
      <c r="D336" s="2">
        <v>1</v>
      </c>
      <c r="E336" s="3" t="s">
        <v>21</v>
      </c>
      <c r="F336" s="3" t="s">
        <v>21</v>
      </c>
      <c r="G336" s="3" t="s">
        <v>21</v>
      </c>
      <c r="H336" s="4">
        <f>C336*D336</f>
        <v>3</v>
      </c>
      <c r="I336" s="2"/>
    </row>
    <row r="337" spans="1:9">
      <c r="A337" s="2"/>
      <c r="B337" s="1" t="s">
        <v>362</v>
      </c>
      <c r="C337" s="2">
        <v>3</v>
      </c>
      <c r="D337" s="2">
        <v>2</v>
      </c>
      <c r="E337" s="3" t="s">
        <v>21</v>
      </c>
      <c r="F337" s="3" t="s">
        <v>21</v>
      </c>
      <c r="G337" s="3" t="s">
        <v>21</v>
      </c>
      <c r="H337" s="4">
        <f>C337*D337</f>
        <v>6</v>
      </c>
      <c r="I337" s="2"/>
    </row>
    <row r="338" spans="1:9">
      <c r="A338" s="2"/>
      <c r="B338" s="1" t="s">
        <v>125</v>
      </c>
      <c r="C338" s="2">
        <v>3</v>
      </c>
      <c r="D338" s="2">
        <v>2</v>
      </c>
      <c r="E338" s="3" t="s">
        <v>21</v>
      </c>
      <c r="F338" s="3" t="s">
        <v>21</v>
      </c>
      <c r="G338" s="3" t="s">
        <v>21</v>
      </c>
      <c r="H338" s="4">
        <f>C338*D338</f>
        <v>6</v>
      </c>
      <c r="I338" s="2"/>
    </row>
    <row r="339" spans="1:9">
      <c r="A339" s="2"/>
      <c r="B339" s="1"/>
      <c r="C339" s="2"/>
      <c r="D339" s="2"/>
      <c r="E339" s="3"/>
      <c r="F339" s="3"/>
      <c r="G339" s="3"/>
      <c r="H339" s="7">
        <f>SUM(H336:H338)</f>
        <v>15</v>
      </c>
      <c r="I339" s="2" t="s">
        <v>68</v>
      </c>
    </row>
    <row r="340" spans="1:9" ht="31.5">
      <c r="A340" s="2">
        <v>51</v>
      </c>
      <c r="B340" s="1" t="s">
        <v>216</v>
      </c>
      <c r="C340" s="2"/>
      <c r="D340" s="2"/>
      <c r="E340" s="3"/>
      <c r="F340" s="3"/>
      <c r="G340" s="3"/>
      <c r="H340" s="4"/>
      <c r="I340" s="2"/>
    </row>
    <row r="341" spans="1:9">
      <c r="A341" s="2"/>
      <c r="B341" s="1" t="s">
        <v>191</v>
      </c>
      <c r="C341" s="2">
        <v>1</v>
      </c>
      <c r="D341" s="2">
        <v>1</v>
      </c>
      <c r="E341" s="3">
        <v>132.94</v>
      </c>
      <c r="F341" s="3" t="s">
        <v>21</v>
      </c>
      <c r="G341" s="3">
        <v>1.8</v>
      </c>
      <c r="H341" s="4">
        <f>C341*D341*E341*G341</f>
        <v>239.292</v>
      </c>
      <c r="I341" s="2"/>
    </row>
    <row r="342" spans="1:9" ht="18.75">
      <c r="A342" s="2"/>
      <c r="B342" s="1"/>
      <c r="C342" s="2"/>
      <c r="D342" s="2"/>
      <c r="E342" s="3"/>
      <c r="F342" s="3"/>
      <c r="G342" s="3" t="s">
        <v>9</v>
      </c>
      <c r="H342" s="7">
        <v>239.3</v>
      </c>
      <c r="I342" s="2" t="s">
        <v>26</v>
      </c>
    </row>
    <row r="343" spans="1:9" ht="31.5">
      <c r="A343" s="2">
        <v>52</v>
      </c>
      <c r="B343" s="1" t="s">
        <v>193</v>
      </c>
      <c r="C343" s="2"/>
      <c r="D343" s="2"/>
      <c r="E343" s="3"/>
      <c r="F343" s="3"/>
      <c r="G343" s="3"/>
      <c r="H343" s="4"/>
      <c r="I343" s="2"/>
    </row>
    <row r="344" spans="1:9">
      <c r="A344" s="2"/>
      <c r="B344" s="1" t="s">
        <v>194</v>
      </c>
      <c r="C344" s="2">
        <v>1</v>
      </c>
      <c r="D344" s="2">
        <v>2</v>
      </c>
      <c r="E344" s="3" t="s">
        <v>21</v>
      </c>
      <c r="F344" s="3" t="s">
        <v>21</v>
      </c>
      <c r="G344" s="3" t="s">
        <v>21</v>
      </c>
      <c r="H344" s="7">
        <f>C344*D344</f>
        <v>2</v>
      </c>
      <c r="I344" s="2" t="s">
        <v>68</v>
      </c>
    </row>
    <row r="345" spans="1:9" ht="63">
      <c r="A345" s="2">
        <v>53</v>
      </c>
      <c r="B345" s="1" t="s">
        <v>199</v>
      </c>
      <c r="C345" s="2"/>
      <c r="D345" s="2"/>
      <c r="E345" s="3"/>
      <c r="F345" s="3"/>
      <c r="G345" s="3"/>
      <c r="H345" s="4"/>
      <c r="I345" s="2"/>
    </row>
    <row r="346" spans="1:9">
      <c r="A346" s="2"/>
      <c r="B346" s="1" t="s">
        <v>198</v>
      </c>
      <c r="C346" s="2">
        <v>3</v>
      </c>
      <c r="D346" s="2">
        <v>2</v>
      </c>
      <c r="E346" s="3">
        <v>7.5</v>
      </c>
      <c r="F346" s="3" t="s">
        <v>21</v>
      </c>
      <c r="G346" s="3">
        <v>2.15</v>
      </c>
      <c r="H346" s="4">
        <f t="shared" ref="H346:H351" si="10">C346*D346*E346*G346</f>
        <v>96.75</v>
      </c>
      <c r="I346" s="2"/>
    </row>
    <row r="347" spans="1:9">
      <c r="A347" s="2"/>
      <c r="B347" s="1" t="s">
        <v>200</v>
      </c>
      <c r="C347" s="2">
        <v>1</v>
      </c>
      <c r="D347" s="2">
        <v>2</v>
      </c>
      <c r="E347" s="3">
        <v>6.84</v>
      </c>
      <c r="F347" s="3" t="s">
        <v>21</v>
      </c>
      <c r="G347" s="3">
        <v>6</v>
      </c>
      <c r="H347" s="4">
        <f t="shared" si="10"/>
        <v>82.08</v>
      </c>
      <c r="I347" s="2"/>
    </row>
    <row r="348" spans="1:9">
      <c r="A348" s="2"/>
      <c r="B348" s="1" t="s">
        <v>201</v>
      </c>
      <c r="C348" s="2">
        <v>1</v>
      </c>
      <c r="D348" s="2">
        <v>8</v>
      </c>
      <c r="E348" s="3">
        <v>1.23</v>
      </c>
      <c r="F348" s="3" t="s">
        <v>21</v>
      </c>
      <c r="G348" s="3">
        <v>0.45</v>
      </c>
      <c r="H348" s="4">
        <f t="shared" si="10"/>
        <v>4.4279999999999999</v>
      </c>
      <c r="I348" s="2"/>
    </row>
    <row r="349" spans="1:9">
      <c r="A349" s="2"/>
      <c r="B349" s="1" t="s">
        <v>201</v>
      </c>
      <c r="C349" s="2">
        <v>1</v>
      </c>
      <c r="D349" s="2">
        <v>20</v>
      </c>
      <c r="E349" s="3">
        <v>1.3</v>
      </c>
      <c r="F349" s="3" t="s">
        <v>21</v>
      </c>
      <c r="G349" s="3">
        <v>0.45</v>
      </c>
      <c r="H349" s="4">
        <f t="shared" si="10"/>
        <v>11.700000000000001</v>
      </c>
      <c r="I349" s="2"/>
    </row>
    <row r="350" spans="1:9">
      <c r="A350" s="2"/>
      <c r="B350" s="1" t="s">
        <v>201</v>
      </c>
      <c r="C350" s="2">
        <v>1</v>
      </c>
      <c r="D350" s="2">
        <v>12</v>
      </c>
      <c r="E350" s="3">
        <v>1.6</v>
      </c>
      <c r="F350" s="3" t="s">
        <v>21</v>
      </c>
      <c r="G350" s="3">
        <v>0.45</v>
      </c>
      <c r="H350" s="4">
        <f t="shared" si="10"/>
        <v>8.6400000000000023</v>
      </c>
      <c r="I350" s="2"/>
    </row>
    <row r="351" spans="1:9">
      <c r="A351" s="2"/>
      <c r="B351" s="1" t="s">
        <v>202</v>
      </c>
      <c r="C351" s="2">
        <v>1</v>
      </c>
      <c r="D351" s="2">
        <v>18</v>
      </c>
      <c r="E351" s="3">
        <v>1.8</v>
      </c>
      <c r="F351" s="3" t="s">
        <v>21</v>
      </c>
      <c r="G351" s="3">
        <v>0.45</v>
      </c>
      <c r="H351" s="4">
        <f t="shared" si="10"/>
        <v>14.58</v>
      </c>
      <c r="I351" s="2"/>
    </row>
    <row r="352" spans="1:9">
      <c r="A352" s="2"/>
      <c r="B352" s="1" t="s">
        <v>203</v>
      </c>
      <c r="C352" s="2">
        <v>1</v>
      </c>
      <c r="D352" s="2">
        <v>2</v>
      </c>
      <c r="E352" s="3">
        <v>1.8</v>
      </c>
      <c r="F352" s="3">
        <v>0.9</v>
      </c>
      <c r="G352" s="3" t="s">
        <v>21</v>
      </c>
      <c r="H352" s="4">
        <f>C352*D352*E352*F352</f>
        <v>3.24</v>
      </c>
      <c r="I352" s="2"/>
    </row>
    <row r="353" spans="1:9">
      <c r="A353" s="2"/>
      <c r="B353" s="1"/>
      <c r="C353" s="2"/>
      <c r="D353" s="2"/>
      <c r="E353" s="3"/>
      <c r="F353" s="3"/>
      <c r="G353" s="3"/>
      <c r="H353" s="4">
        <f>SUM(H346:H352)</f>
        <v>221.41800000000001</v>
      </c>
      <c r="I353" s="2"/>
    </row>
    <row r="354" spans="1:9" ht="18.75">
      <c r="A354" s="2"/>
      <c r="B354" s="1"/>
      <c r="C354" s="2"/>
      <c r="D354" s="2"/>
      <c r="E354" s="3"/>
      <c r="F354" s="3"/>
      <c r="G354" s="3" t="s">
        <v>9</v>
      </c>
      <c r="H354" s="7">
        <v>221.5</v>
      </c>
      <c r="I354" s="2" t="s">
        <v>26</v>
      </c>
    </row>
    <row r="355" spans="1:9" ht="31.5">
      <c r="A355" s="2">
        <v>54</v>
      </c>
      <c r="B355" s="1" t="s">
        <v>204</v>
      </c>
      <c r="C355" s="2"/>
      <c r="D355" s="2"/>
      <c r="E355" s="3"/>
      <c r="F355" s="3"/>
      <c r="G355" s="3"/>
      <c r="H355" s="4"/>
      <c r="I355" s="2"/>
    </row>
    <row r="356" spans="1:9">
      <c r="A356" s="2"/>
      <c r="B356" s="12" t="s">
        <v>137</v>
      </c>
      <c r="C356" s="2">
        <v>3</v>
      </c>
      <c r="D356" s="2">
        <v>1</v>
      </c>
      <c r="E356" s="3">
        <v>1.28</v>
      </c>
      <c r="F356" s="3" t="s">
        <v>21</v>
      </c>
      <c r="G356" s="3" t="s">
        <v>21</v>
      </c>
      <c r="H356" s="13">
        <f>C356*D356*E356</f>
        <v>3.84</v>
      </c>
      <c r="I356" s="2"/>
    </row>
    <row r="357" spans="1:9">
      <c r="A357" s="2"/>
      <c r="B357" s="12" t="s">
        <v>7</v>
      </c>
      <c r="C357" s="2">
        <v>3</v>
      </c>
      <c r="D357" s="2">
        <v>3</v>
      </c>
      <c r="E357" s="3">
        <f>0.9+0.23</f>
        <v>1.1300000000000001</v>
      </c>
      <c r="F357" s="3" t="s">
        <v>21</v>
      </c>
      <c r="G357" s="3" t="s">
        <v>21</v>
      </c>
      <c r="H357" s="13">
        <f t="shared" ref="H357:H364" si="11">C357*D357*E357</f>
        <v>10.170000000000002</v>
      </c>
      <c r="I357" s="2"/>
    </row>
    <row r="358" spans="1:9">
      <c r="A358" s="2"/>
      <c r="B358" s="1" t="s">
        <v>138</v>
      </c>
      <c r="C358" s="2">
        <v>3</v>
      </c>
      <c r="D358" s="2">
        <v>3</v>
      </c>
      <c r="E358" s="3">
        <f>1.05+0.23</f>
        <v>1.28</v>
      </c>
      <c r="F358" s="3" t="s">
        <v>21</v>
      </c>
      <c r="G358" s="3" t="s">
        <v>21</v>
      </c>
      <c r="H358" s="13">
        <f t="shared" si="11"/>
        <v>11.52</v>
      </c>
      <c r="I358" s="2"/>
    </row>
    <row r="359" spans="1:9">
      <c r="A359" s="2"/>
      <c r="B359" s="1" t="s">
        <v>139</v>
      </c>
      <c r="C359" s="2">
        <v>3</v>
      </c>
      <c r="D359" s="2">
        <v>2</v>
      </c>
      <c r="E359" s="3">
        <f>0.85+0.23</f>
        <v>1.08</v>
      </c>
      <c r="F359" s="3" t="s">
        <v>21</v>
      </c>
      <c r="G359" s="3" t="s">
        <v>21</v>
      </c>
      <c r="H359" s="13">
        <f t="shared" si="11"/>
        <v>6.48</v>
      </c>
      <c r="I359" s="2"/>
    </row>
    <row r="360" spans="1:9">
      <c r="A360" s="2"/>
      <c r="B360" s="1" t="s">
        <v>28</v>
      </c>
      <c r="C360" s="2">
        <v>3</v>
      </c>
      <c r="D360" s="2">
        <v>4</v>
      </c>
      <c r="E360" s="3">
        <f>0.95+0.23</f>
        <v>1.18</v>
      </c>
      <c r="F360" s="3" t="s">
        <v>21</v>
      </c>
      <c r="G360" s="3" t="s">
        <v>21</v>
      </c>
      <c r="H360" s="13">
        <f t="shared" si="11"/>
        <v>14.16</v>
      </c>
      <c r="I360" s="2"/>
    </row>
    <row r="361" spans="1:9">
      <c r="A361" s="2"/>
      <c r="B361" s="1" t="s">
        <v>2</v>
      </c>
      <c r="C361" s="2">
        <v>3</v>
      </c>
      <c r="D361" s="2">
        <v>4</v>
      </c>
      <c r="E361" s="3">
        <f>1.52+0.23</f>
        <v>1.75</v>
      </c>
      <c r="F361" s="3" t="s">
        <v>21</v>
      </c>
      <c r="G361" s="3" t="s">
        <v>21</v>
      </c>
      <c r="H361" s="13">
        <f t="shared" si="11"/>
        <v>21</v>
      </c>
      <c r="I361" s="2"/>
    </row>
    <row r="362" spans="1:9">
      <c r="A362" s="2"/>
      <c r="B362" s="1" t="s">
        <v>141</v>
      </c>
      <c r="C362" s="2">
        <v>3</v>
      </c>
      <c r="D362" s="2">
        <v>1</v>
      </c>
      <c r="E362" s="3">
        <f>0.75+0.23</f>
        <v>0.98</v>
      </c>
      <c r="F362" s="3" t="s">
        <v>21</v>
      </c>
      <c r="G362" s="3" t="s">
        <v>21</v>
      </c>
      <c r="H362" s="13">
        <f t="shared" si="11"/>
        <v>2.94</v>
      </c>
      <c r="I362" s="2"/>
    </row>
    <row r="363" spans="1:9">
      <c r="A363" s="2"/>
      <c r="B363" s="1" t="s">
        <v>205</v>
      </c>
      <c r="C363" s="2">
        <v>1</v>
      </c>
      <c r="D363" s="2">
        <v>1</v>
      </c>
      <c r="E363" s="3">
        <f>1.07+0.23</f>
        <v>1.3</v>
      </c>
      <c r="F363" s="3" t="s">
        <v>21</v>
      </c>
      <c r="G363" s="3" t="s">
        <v>21</v>
      </c>
      <c r="H363" s="13">
        <f t="shared" si="11"/>
        <v>1.3</v>
      </c>
      <c r="I363" s="2"/>
    </row>
    <row r="364" spans="1:9">
      <c r="A364" s="2"/>
      <c r="B364" s="1" t="s">
        <v>140</v>
      </c>
      <c r="C364" s="2">
        <v>3</v>
      </c>
      <c r="D364" s="2">
        <v>1</v>
      </c>
      <c r="E364" s="3">
        <v>0.46</v>
      </c>
      <c r="F364" s="3" t="s">
        <v>21</v>
      </c>
      <c r="G364" s="3" t="s">
        <v>21</v>
      </c>
      <c r="H364" s="13">
        <f t="shared" si="11"/>
        <v>1.3800000000000001</v>
      </c>
      <c r="I364" s="2"/>
    </row>
    <row r="365" spans="1:9">
      <c r="A365" s="2"/>
      <c r="B365" s="1"/>
      <c r="C365" s="2"/>
      <c r="D365" s="2"/>
      <c r="E365" s="3"/>
      <c r="F365" s="3"/>
      <c r="G365" s="3"/>
      <c r="H365" s="4">
        <f>SUM(H356:H364)</f>
        <v>72.789999999999992</v>
      </c>
      <c r="I365" s="2"/>
    </row>
    <row r="366" spans="1:9">
      <c r="A366" s="2"/>
      <c r="B366" s="1"/>
      <c r="C366" s="2"/>
      <c r="D366" s="2"/>
      <c r="E366" s="3"/>
      <c r="F366" s="3"/>
      <c r="G366" s="3" t="s">
        <v>9</v>
      </c>
      <c r="H366" s="7">
        <v>72.8</v>
      </c>
      <c r="I366" s="2" t="s">
        <v>54</v>
      </c>
    </row>
    <row r="367" spans="1:9" ht="40.5" customHeight="1">
      <c r="A367" s="2">
        <v>55</v>
      </c>
      <c r="B367" s="1" t="s">
        <v>369</v>
      </c>
      <c r="C367" s="2"/>
      <c r="D367" s="2"/>
      <c r="E367" s="3"/>
      <c r="F367" s="3"/>
      <c r="G367" s="3"/>
      <c r="H367" s="4"/>
      <c r="I367" s="2"/>
    </row>
    <row r="368" spans="1:9">
      <c r="A368" s="2"/>
      <c r="B368" s="1" t="s">
        <v>129</v>
      </c>
      <c r="C368" s="2">
        <v>3</v>
      </c>
      <c r="D368" s="2">
        <v>1</v>
      </c>
      <c r="E368" s="3">
        <v>3.6</v>
      </c>
      <c r="F368" s="3">
        <v>5.4</v>
      </c>
      <c r="G368" s="3" t="s">
        <v>21</v>
      </c>
      <c r="H368" s="4">
        <f t="shared" ref="H368:H374" si="12">C368*D368*E368*F368</f>
        <v>58.320000000000007</v>
      </c>
      <c r="I368" s="2"/>
    </row>
    <row r="369" spans="1:9">
      <c r="A369" s="2"/>
      <c r="B369" s="1" t="s">
        <v>0</v>
      </c>
      <c r="C369" s="2">
        <v>3</v>
      </c>
      <c r="D369" s="2">
        <v>1</v>
      </c>
      <c r="E369" s="3">
        <v>3.05</v>
      </c>
      <c r="F369" s="3">
        <v>2.42</v>
      </c>
      <c r="G369" s="3" t="s">
        <v>21</v>
      </c>
      <c r="H369" s="4">
        <f t="shared" si="12"/>
        <v>22.142999999999997</v>
      </c>
      <c r="I369" s="2"/>
    </row>
    <row r="370" spans="1:9">
      <c r="A370" s="2"/>
      <c r="B370" s="1" t="s">
        <v>130</v>
      </c>
      <c r="C370" s="2">
        <v>3</v>
      </c>
      <c r="D370" s="2">
        <v>1</v>
      </c>
      <c r="E370" s="3">
        <v>4.2699999999999996</v>
      </c>
      <c r="F370" s="3">
        <v>3.62</v>
      </c>
      <c r="G370" s="3" t="s">
        <v>21</v>
      </c>
      <c r="H370" s="4">
        <f t="shared" si="12"/>
        <v>46.372199999999999</v>
      </c>
      <c r="I370" s="2"/>
    </row>
    <row r="371" spans="1:9">
      <c r="A371" s="2"/>
      <c r="B371" s="1" t="s">
        <v>131</v>
      </c>
      <c r="C371" s="2">
        <v>3</v>
      </c>
      <c r="D371" s="2">
        <v>1</v>
      </c>
      <c r="E371" s="3">
        <v>3.64</v>
      </c>
      <c r="F371" s="3">
        <v>3.02</v>
      </c>
      <c r="G371" s="3" t="s">
        <v>21</v>
      </c>
      <c r="H371" s="4">
        <f t="shared" si="12"/>
        <v>32.978400000000001</v>
      </c>
      <c r="I371" s="2"/>
    </row>
    <row r="372" spans="1:9">
      <c r="A372" s="2"/>
      <c r="B372" s="1" t="s">
        <v>74</v>
      </c>
      <c r="C372" s="2">
        <v>3</v>
      </c>
      <c r="D372" s="2">
        <v>1</v>
      </c>
      <c r="E372" s="3">
        <v>3.6</v>
      </c>
      <c r="F372" s="3">
        <v>1.5</v>
      </c>
      <c r="G372" s="3" t="s">
        <v>21</v>
      </c>
      <c r="H372" s="4">
        <f t="shared" si="12"/>
        <v>16.200000000000003</v>
      </c>
      <c r="I372" s="2"/>
    </row>
    <row r="373" spans="1:9">
      <c r="A373" s="2"/>
      <c r="B373" s="1" t="s">
        <v>79</v>
      </c>
      <c r="C373" s="2">
        <v>3</v>
      </c>
      <c r="D373" s="2">
        <v>1</v>
      </c>
      <c r="E373" s="3">
        <v>1</v>
      </c>
      <c r="F373" s="3">
        <v>1.05</v>
      </c>
      <c r="G373" s="3" t="s">
        <v>21</v>
      </c>
      <c r="H373" s="4">
        <f t="shared" si="12"/>
        <v>3.1500000000000004</v>
      </c>
      <c r="I373" s="2"/>
    </row>
    <row r="374" spans="1:9">
      <c r="A374" s="2"/>
      <c r="B374" s="1" t="s">
        <v>202</v>
      </c>
      <c r="C374" s="2">
        <v>3</v>
      </c>
      <c r="D374" s="2">
        <v>18</v>
      </c>
      <c r="E374" s="3">
        <v>1.8</v>
      </c>
      <c r="F374" s="3">
        <v>0.45</v>
      </c>
      <c r="G374" s="3" t="s">
        <v>21</v>
      </c>
      <c r="H374" s="4">
        <f t="shared" si="12"/>
        <v>43.74</v>
      </c>
      <c r="I374" s="2"/>
    </row>
    <row r="375" spans="1:9">
      <c r="A375" s="2"/>
      <c r="B375" s="1" t="s">
        <v>203</v>
      </c>
      <c r="C375" s="2">
        <v>3</v>
      </c>
      <c r="D375" s="2">
        <v>2</v>
      </c>
      <c r="E375" s="3">
        <v>1.8</v>
      </c>
      <c r="F375" s="3">
        <v>0.9</v>
      </c>
      <c r="G375" s="3" t="s">
        <v>21</v>
      </c>
      <c r="H375" s="4">
        <f>C375*D375*E375*F375</f>
        <v>9.7200000000000006</v>
      </c>
      <c r="I375" s="2"/>
    </row>
    <row r="376" spans="1:9">
      <c r="A376" s="2"/>
      <c r="B376" s="1"/>
      <c r="C376" s="2"/>
      <c r="D376" s="2"/>
      <c r="E376" s="3"/>
      <c r="F376" s="3"/>
      <c r="G376" s="3"/>
      <c r="H376" s="4">
        <f>SUM(H368:H375)</f>
        <v>232.62360000000001</v>
      </c>
      <c r="I376" s="2"/>
    </row>
    <row r="377" spans="1:9" ht="18.75">
      <c r="A377" s="2"/>
      <c r="B377" s="1"/>
      <c r="C377" s="2"/>
      <c r="D377" s="2"/>
      <c r="E377" s="3"/>
      <c r="F377" s="3"/>
      <c r="G377" s="3" t="s">
        <v>9</v>
      </c>
      <c r="H377" s="7">
        <v>232.65</v>
      </c>
      <c r="I377" s="2" t="s">
        <v>26</v>
      </c>
    </row>
    <row r="378" spans="1:9" ht="47.25">
      <c r="A378" s="2">
        <v>56</v>
      </c>
      <c r="B378" s="1" t="s">
        <v>207</v>
      </c>
      <c r="C378" s="2"/>
      <c r="D378" s="2"/>
      <c r="E378" s="3"/>
      <c r="F378" s="3"/>
      <c r="G378" s="3"/>
      <c r="H378" s="4"/>
      <c r="I378" s="2"/>
    </row>
    <row r="379" spans="1:9">
      <c r="A379" s="2"/>
      <c r="B379" s="12" t="s">
        <v>69</v>
      </c>
      <c r="C379" s="2">
        <v>3</v>
      </c>
      <c r="D379" s="2">
        <v>2</v>
      </c>
      <c r="E379" s="3" t="s">
        <v>21</v>
      </c>
      <c r="F379" s="3" t="s">
        <v>21</v>
      </c>
      <c r="G379" s="3" t="s">
        <v>21</v>
      </c>
      <c r="H379" s="13">
        <f>D379*C379</f>
        <v>6</v>
      </c>
      <c r="I379" s="2"/>
    </row>
    <row r="380" spans="1:9">
      <c r="A380" s="2"/>
      <c r="B380" s="12" t="s">
        <v>1</v>
      </c>
      <c r="C380" s="2">
        <v>3</v>
      </c>
      <c r="D380" s="2">
        <v>2</v>
      </c>
      <c r="E380" s="3" t="s">
        <v>21</v>
      </c>
      <c r="F380" s="3" t="s">
        <v>21</v>
      </c>
      <c r="G380" s="3" t="s">
        <v>21</v>
      </c>
      <c r="H380" s="13">
        <f>D380*C380</f>
        <v>6</v>
      </c>
      <c r="I380" s="2"/>
    </row>
    <row r="381" spans="1:9">
      <c r="A381" s="2"/>
      <c r="B381" s="12" t="s">
        <v>0</v>
      </c>
      <c r="C381" s="2">
        <v>3</v>
      </c>
      <c r="D381" s="2">
        <v>1</v>
      </c>
      <c r="E381" s="3" t="s">
        <v>21</v>
      </c>
      <c r="F381" s="3" t="s">
        <v>21</v>
      </c>
      <c r="G381" s="3" t="s">
        <v>21</v>
      </c>
      <c r="H381" s="13">
        <f>D381*C381</f>
        <v>3</v>
      </c>
      <c r="I381" s="2"/>
    </row>
    <row r="382" spans="1:9">
      <c r="A382" s="2"/>
      <c r="B382" s="12" t="s">
        <v>66</v>
      </c>
      <c r="C382" s="2">
        <v>3</v>
      </c>
      <c r="D382" s="2">
        <v>2</v>
      </c>
      <c r="E382" s="3" t="s">
        <v>21</v>
      </c>
      <c r="F382" s="3" t="s">
        <v>21</v>
      </c>
      <c r="G382" s="3" t="s">
        <v>21</v>
      </c>
      <c r="H382" s="13">
        <f>D382*C382</f>
        <v>6</v>
      </c>
      <c r="I382" s="2"/>
    </row>
    <row r="383" spans="1:9">
      <c r="A383" s="2"/>
      <c r="B383" s="1"/>
      <c r="C383" s="2"/>
      <c r="D383" s="2"/>
      <c r="E383" s="3"/>
      <c r="F383" s="3"/>
      <c r="G383" s="3"/>
      <c r="H383" s="7">
        <f>SUM(H379:H382)</f>
        <v>21</v>
      </c>
      <c r="I383" s="2" t="s">
        <v>68</v>
      </c>
    </row>
    <row r="384" spans="1:9" ht="31.5">
      <c r="A384" s="2">
        <v>57</v>
      </c>
      <c r="B384" s="12" t="s">
        <v>208</v>
      </c>
      <c r="C384" s="2"/>
      <c r="D384" s="2"/>
      <c r="E384" s="3"/>
      <c r="F384" s="3"/>
      <c r="G384" s="3"/>
      <c r="H384" s="13"/>
      <c r="I384" s="2"/>
    </row>
    <row r="385" spans="1:9">
      <c r="A385" s="2"/>
      <c r="B385" s="12" t="s">
        <v>1</v>
      </c>
      <c r="C385" s="2">
        <v>3</v>
      </c>
      <c r="D385" s="2">
        <v>1</v>
      </c>
      <c r="E385" s="3" t="s">
        <v>21</v>
      </c>
      <c r="F385" s="3" t="s">
        <v>21</v>
      </c>
      <c r="G385" s="3" t="s">
        <v>21</v>
      </c>
      <c r="H385" s="13">
        <f>D385*C385</f>
        <v>3</v>
      </c>
      <c r="I385" s="2"/>
    </row>
    <row r="386" spans="1:9">
      <c r="A386" s="2"/>
      <c r="B386" s="12" t="s">
        <v>66</v>
      </c>
      <c r="C386" s="2">
        <v>3</v>
      </c>
      <c r="D386" s="2">
        <v>1</v>
      </c>
      <c r="E386" s="3" t="s">
        <v>21</v>
      </c>
      <c r="F386" s="3" t="s">
        <v>21</v>
      </c>
      <c r="G386" s="3" t="s">
        <v>21</v>
      </c>
      <c r="H386" s="13">
        <f>D386*C386</f>
        <v>3</v>
      </c>
      <c r="I386" s="2"/>
    </row>
    <row r="387" spans="1:9">
      <c r="A387" s="2"/>
      <c r="B387" s="12"/>
      <c r="C387" s="2"/>
      <c r="D387" s="2"/>
      <c r="E387" s="3"/>
      <c r="F387" s="3"/>
      <c r="G387" s="3"/>
      <c r="H387" s="14">
        <f>SUM(H385:H386)</f>
        <v>6</v>
      </c>
      <c r="I387" s="2" t="s">
        <v>68</v>
      </c>
    </row>
    <row r="388" spans="1:9" ht="31.5">
      <c r="A388" s="2">
        <v>58</v>
      </c>
      <c r="B388" s="12" t="s">
        <v>209</v>
      </c>
      <c r="C388" s="2"/>
      <c r="D388" s="2"/>
      <c r="E388" s="3"/>
      <c r="F388" s="3"/>
      <c r="G388" s="3"/>
      <c r="H388" s="4"/>
      <c r="I388" s="2"/>
    </row>
    <row r="389" spans="1:9">
      <c r="A389" s="2"/>
      <c r="B389" s="1" t="s">
        <v>1</v>
      </c>
      <c r="C389" s="2">
        <v>3</v>
      </c>
      <c r="D389" s="2">
        <v>1</v>
      </c>
      <c r="E389" s="3" t="s">
        <v>21</v>
      </c>
      <c r="F389" s="3" t="s">
        <v>21</v>
      </c>
      <c r="G389" s="3" t="s">
        <v>21</v>
      </c>
      <c r="H389" s="14">
        <f>D389*C389</f>
        <v>3</v>
      </c>
      <c r="I389" s="2" t="s">
        <v>68</v>
      </c>
    </row>
    <row r="390" spans="1:9" ht="31.5">
      <c r="A390" s="2">
        <v>59</v>
      </c>
      <c r="B390" s="12" t="s">
        <v>210</v>
      </c>
      <c r="C390" s="2"/>
      <c r="D390" s="2"/>
      <c r="E390" s="3"/>
      <c r="F390" s="3"/>
      <c r="G390" s="3"/>
      <c r="H390" s="4"/>
      <c r="I390" s="2"/>
    </row>
    <row r="391" spans="1:9">
      <c r="A391" s="2"/>
      <c r="B391" s="1" t="s">
        <v>211</v>
      </c>
      <c r="C391" s="2">
        <v>3</v>
      </c>
      <c r="D391" s="2">
        <v>1</v>
      </c>
      <c r="E391" s="3" t="s">
        <v>21</v>
      </c>
      <c r="F391" s="3" t="s">
        <v>21</v>
      </c>
      <c r="G391" s="3" t="s">
        <v>21</v>
      </c>
      <c r="H391" s="14">
        <f>D391*C391</f>
        <v>3</v>
      </c>
      <c r="I391" s="2" t="s">
        <v>68</v>
      </c>
    </row>
    <row r="392" spans="1:9" ht="31.5">
      <c r="A392" s="2">
        <v>60</v>
      </c>
      <c r="B392" s="1" t="s">
        <v>212</v>
      </c>
      <c r="C392" s="2"/>
      <c r="D392" s="2"/>
      <c r="E392" s="3"/>
      <c r="F392" s="3"/>
      <c r="G392" s="3"/>
      <c r="H392" s="4"/>
      <c r="I392" s="2"/>
    </row>
    <row r="393" spans="1:9">
      <c r="A393" s="2"/>
      <c r="B393" s="1" t="s">
        <v>211</v>
      </c>
      <c r="C393" s="2">
        <v>3</v>
      </c>
      <c r="D393" s="2">
        <v>1</v>
      </c>
      <c r="E393" s="3" t="s">
        <v>21</v>
      </c>
      <c r="F393" s="3" t="s">
        <v>21</v>
      </c>
      <c r="G393" s="3" t="s">
        <v>21</v>
      </c>
      <c r="H393" s="14">
        <f>D393*C393</f>
        <v>3</v>
      </c>
      <c r="I393" s="2" t="s">
        <v>68</v>
      </c>
    </row>
    <row r="394" spans="1:9" ht="31.5">
      <c r="A394" s="2">
        <v>61</v>
      </c>
      <c r="B394" s="1" t="s">
        <v>213</v>
      </c>
      <c r="C394" s="2"/>
      <c r="D394" s="2"/>
      <c r="E394" s="3"/>
      <c r="F394" s="3"/>
      <c r="G394" s="3"/>
      <c r="H394" s="4"/>
      <c r="I394" s="2"/>
    </row>
    <row r="395" spans="1:9">
      <c r="A395" s="2"/>
      <c r="B395" s="1" t="s">
        <v>211</v>
      </c>
      <c r="C395" s="2">
        <v>3</v>
      </c>
      <c r="D395" s="2">
        <v>2</v>
      </c>
      <c r="E395" s="3" t="s">
        <v>21</v>
      </c>
      <c r="F395" s="3" t="s">
        <v>21</v>
      </c>
      <c r="G395" s="3" t="s">
        <v>21</v>
      </c>
      <c r="H395" s="14">
        <f>D395*C395</f>
        <v>6</v>
      </c>
      <c r="I395" s="2" t="s">
        <v>68</v>
      </c>
    </row>
    <row r="396" spans="1:9" ht="31.5">
      <c r="A396" s="2">
        <v>62</v>
      </c>
      <c r="B396" s="1" t="s">
        <v>239</v>
      </c>
      <c r="C396" s="2"/>
      <c r="D396" s="2"/>
      <c r="E396" s="3"/>
      <c r="F396" s="3"/>
      <c r="G396" s="3"/>
      <c r="H396" s="4"/>
      <c r="I396" s="2"/>
    </row>
    <row r="397" spans="1:9" ht="18.75">
      <c r="A397" s="2"/>
      <c r="B397" s="1" t="s">
        <v>240</v>
      </c>
      <c r="C397" s="2">
        <v>1</v>
      </c>
      <c r="D397" s="2">
        <v>2</v>
      </c>
      <c r="E397" s="3">
        <v>2</v>
      </c>
      <c r="F397" s="3" t="s">
        <v>21</v>
      </c>
      <c r="G397" s="3">
        <v>3</v>
      </c>
      <c r="H397" s="7">
        <f>C397*D397*E397*G397</f>
        <v>12</v>
      </c>
      <c r="I397" s="2" t="s">
        <v>26</v>
      </c>
    </row>
    <row r="398" spans="1:9" ht="31.5">
      <c r="A398" s="2">
        <v>63</v>
      </c>
      <c r="B398" s="1" t="s">
        <v>353</v>
      </c>
      <c r="C398" s="2"/>
      <c r="D398" s="2"/>
      <c r="E398" s="3"/>
      <c r="F398" s="3"/>
      <c r="G398" s="3"/>
      <c r="H398" s="7"/>
      <c r="I398" s="2"/>
    </row>
    <row r="399" spans="1:9">
      <c r="A399" s="2"/>
      <c r="B399" s="1" t="s">
        <v>158</v>
      </c>
      <c r="C399" s="2">
        <v>3</v>
      </c>
      <c r="D399" s="2">
        <v>3</v>
      </c>
      <c r="E399" s="3">
        <v>0.7</v>
      </c>
      <c r="F399" s="21">
        <v>2.6</v>
      </c>
      <c r="G399" s="3">
        <v>2.15</v>
      </c>
      <c r="H399" s="4">
        <f>C399*D399*E399*G399*F399</f>
        <v>35.216999999999999</v>
      </c>
      <c r="I399" s="2"/>
    </row>
    <row r="400" spans="1:9">
      <c r="A400" s="2"/>
      <c r="B400" s="1" t="s">
        <v>159</v>
      </c>
      <c r="C400" s="2">
        <v>3</v>
      </c>
      <c r="D400" s="2">
        <v>1</v>
      </c>
      <c r="E400" s="3">
        <v>1.1499999999999999</v>
      </c>
      <c r="F400" s="21">
        <v>2.6</v>
      </c>
      <c r="G400" s="3">
        <v>2.15</v>
      </c>
      <c r="H400" s="4">
        <f>C400*D400*E400*G400*F400</f>
        <v>19.285499999999999</v>
      </c>
      <c r="I400" s="2"/>
    </row>
    <row r="401" spans="1:9">
      <c r="A401" s="2"/>
      <c r="B401" s="1" t="s">
        <v>160</v>
      </c>
      <c r="C401" s="2">
        <v>3</v>
      </c>
      <c r="D401" s="2">
        <v>1</v>
      </c>
      <c r="E401" s="3">
        <v>0.9</v>
      </c>
      <c r="F401" s="21">
        <v>2.6</v>
      </c>
      <c r="G401" s="3">
        <v>2.15</v>
      </c>
      <c r="H401" s="4">
        <f>C401*D401*E401*G401*F401</f>
        <v>15.093</v>
      </c>
      <c r="I401" s="2"/>
    </row>
    <row r="402" spans="1:9">
      <c r="A402" s="2"/>
      <c r="B402" s="1" t="s">
        <v>138</v>
      </c>
      <c r="C402" s="2">
        <v>1</v>
      </c>
      <c r="D402" s="2">
        <v>1</v>
      </c>
      <c r="E402" s="3">
        <v>1.05</v>
      </c>
      <c r="F402" s="21">
        <v>2.6</v>
      </c>
      <c r="G402" s="3">
        <v>2.23</v>
      </c>
      <c r="H402" s="4">
        <f>C402*D402*E402*G402*F402</f>
        <v>6.0879000000000003</v>
      </c>
      <c r="I402" s="2"/>
    </row>
    <row r="403" spans="1:9">
      <c r="A403" s="2"/>
      <c r="B403" s="1"/>
      <c r="C403" s="2"/>
      <c r="D403" s="2"/>
      <c r="E403" s="3"/>
      <c r="F403" s="3"/>
      <c r="G403" s="3"/>
      <c r="H403" s="4">
        <f>SUM(H399:H402)</f>
        <v>75.683400000000006</v>
      </c>
      <c r="I403" s="2"/>
    </row>
    <row r="404" spans="1:9" ht="18.75">
      <c r="A404" s="2"/>
      <c r="B404" s="1"/>
      <c r="C404" s="2"/>
      <c r="D404" s="2"/>
      <c r="E404" s="3"/>
      <c r="F404" s="3"/>
      <c r="G404" s="3" t="s">
        <v>9</v>
      </c>
      <c r="H404" s="7">
        <v>75.7</v>
      </c>
      <c r="I404" s="2" t="s">
        <v>26</v>
      </c>
    </row>
    <row r="405" spans="1:9" ht="47.25">
      <c r="A405" s="2">
        <v>64</v>
      </c>
      <c r="B405" s="1" t="s">
        <v>354</v>
      </c>
      <c r="C405" s="2"/>
      <c r="D405" s="2"/>
      <c r="E405" s="3"/>
      <c r="F405" s="3"/>
      <c r="G405" s="3"/>
      <c r="H405" s="4"/>
      <c r="I405" s="2"/>
    </row>
    <row r="406" spans="1:9">
      <c r="A406" s="2"/>
      <c r="B406" s="1" t="s">
        <v>356</v>
      </c>
      <c r="C406" s="2">
        <v>2</v>
      </c>
      <c r="D406" s="2">
        <v>1</v>
      </c>
      <c r="E406" s="3" t="s">
        <v>21</v>
      </c>
      <c r="F406" s="3" t="s">
        <v>21</v>
      </c>
      <c r="G406" s="3" t="s">
        <v>21</v>
      </c>
      <c r="H406" s="14">
        <f>D406*C406</f>
        <v>2</v>
      </c>
      <c r="I406" s="2" t="s">
        <v>68</v>
      </c>
    </row>
    <row r="407" spans="1:9" ht="47.25">
      <c r="A407" s="2">
        <v>65</v>
      </c>
      <c r="B407" s="1" t="s">
        <v>355</v>
      </c>
      <c r="C407" s="2"/>
      <c r="D407" s="2"/>
      <c r="E407" s="3"/>
      <c r="F407" s="3"/>
      <c r="G407" s="3"/>
      <c r="H407" s="4"/>
      <c r="I407" s="2"/>
    </row>
    <row r="408" spans="1:9">
      <c r="A408" s="2"/>
      <c r="B408" s="1" t="s">
        <v>357</v>
      </c>
      <c r="C408" s="2">
        <v>1</v>
      </c>
      <c r="D408" s="2">
        <v>1</v>
      </c>
      <c r="E408" s="3" t="s">
        <v>21</v>
      </c>
      <c r="F408" s="3" t="s">
        <v>21</v>
      </c>
      <c r="G408" s="3" t="s">
        <v>21</v>
      </c>
      <c r="H408" s="14">
        <f>D408*C408</f>
        <v>1</v>
      </c>
      <c r="I408" s="2" t="s">
        <v>68</v>
      </c>
    </row>
    <row r="409" spans="1:9" ht="31.5">
      <c r="A409" s="2">
        <v>66</v>
      </c>
      <c r="B409" s="1" t="s">
        <v>359</v>
      </c>
      <c r="C409" s="2"/>
      <c r="D409" s="2"/>
      <c r="E409" s="3"/>
      <c r="F409" s="3"/>
      <c r="G409" s="3"/>
      <c r="H409" s="4"/>
      <c r="I409" s="2"/>
    </row>
    <row r="410" spans="1:9">
      <c r="A410" s="2"/>
      <c r="B410" s="1" t="s">
        <v>360</v>
      </c>
      <c r="C410" s="2">
        <v>3</v>
      </c>
      <c r="D410" s="2">
        <v>2</v>
      </c>
      <c r="E410" s="3" t="s">
        <v>21</v>
      </c>
      <c r="F410" s="3" t="s">
        <v>21</v>
      </c>
      <c r="G410" s="3" t="s">
        <v>21</v>
      </c>
      <c r="H410" s="14">
        <f>D410*C410</f>
        <v>6</v>
      </c>
      <c r="I410" s="2" t="s">
        <v>68</v>
      </c>
    </row>
    <row r="411" spans="1:9" ht="31.5">
      <c r="A411" s="2">
        <v>67</v>
      </c>
      <c r="B411" s="1" t="s">
        <v>361</v>
      </c>
      <c r="C411" s="2"/>
      <c r="D411" s="2"/>
      <c r="E411" s="3"/>
      <c r="F411" s="3"/>
      <c r="G411" s="3"/>
      <c r="H411" s="4"/>
      <c r="I411" s="2"/>
    </row>
    <row r="412" spans="1:9" ht="18.75">
      <c r="A412" s="2"/>
      <c r="B412" s="1" t="s">
        <v>0</v>
      </c>
      <c r="C412" s="2">
        <v>1</v>
      </c>
      <c r="D412" s="2">
        <v>1</v>
      </c>
      <c r="E412" s="3">
        <v>10.94</v>
      </c>
      <c r="F412" s="3" t="s">
        <v>21</v>
      </c>
      <c r="G412" s="3">
        <v>0.8</v>
      </c>
      <c r="H412" s="7">
        <f>C412*D412*E412*G412</f>
        <v>8.7520000000000007</v>
      </c>
      <c r="I412" s="2" t="s">
        <v>26</v>
      </c>
    </row>
    <row r="413" spans="1:9" ht="47.25">
      <c r="A413" s="2">
        <v>68</v>
      </c>
      <c r="B413" s="1" t="s">
        <v>365</v>
      </c>
      <c r="C413" s="2"/>
      <c r="D413" s="2"/>
      <c r="E413" s="3"/>
      <c r="F413" s="3"/>
      <c r="G413" s="3"/>
      <c r="H413" s="4"/>
      <c r="I413" s="2"/>
    </row>
    <row r="414" spans="1:9">
      <c r="A414" s="2"/>
      <c r="B414" s="1" t="s">
        <v>0</v>
      </c>
      <c r="C414" s="2">
        <v>3</v>
      </c>
      <c r="D414" s="2">
        <v>1</v>
      </c>
      <c r="E414" s="3" t="s">
        <v>21</v>
      </c>
      <c r="F414" s="3" t="s">
        <v>21</v>
      </c>
      <c r="G414" s="3" t="s">
        <v>21</v>
      </c>
      <c r="H414" s="14">
        <f>D414*C414</f>
        <v>3</v>
      </c>
      <c r="I414" s="2" t="s">
        <v>68</v>
      </c>
    </row>
    <row r="415" spans="1:9" ht="31.5">
      <c r="A415" s="2">
        <v>69</v>
      </c>
      <c r="B415" s="1" t="s">
        <v>363</v>
      </c>
      <c r="C415" s="2"/>
      <c r="D415" s="2"/>
      <c r="E415" s="3"/>
      <c r="F415" s="3"/>
      <c r="G415" s="3"/>
      <c r="H415" s="4"/>
      <c r="I415" s="2"/>
    </row>
    <row r="416" spans="1:9">
      <c r="A416" s="2"/>
      <c r="B416" s="1" t="s">
        <v>0</v>
      </c>
      <c r="C416" s="2">
        <v>3</v>
      </c>
      <c r="D416" s="2">
        <v>1</v>
      </c>
      <c r="E416" s="3" t="s">
        <v>21</v>
      </c>
      <c r="F416" s="3" t="s">
        <v>21</v>
      </c>
      <c r="G416" s="3" t="s">
        <v>21</v>
      </c>
      <c r="H416" s="14">
        <f>D416*C416</f>
        <v>3</v>
      </c>
      <c r="I416" s="2" t="s">
        <v>68</v>
      </c>
    </row>
    <row r="417" spans="1:9" ht="31.5">
      <c r="A417" s="2">
        <v>70</v>
      </c>
      <c r="B417" s="1" t="s">
        <v>364</v>
      </c>
      <c r="C417" s="2"/>
      <c r="D417" s="2"/>
      <c r="E417" s="3"/>
      <c r="F417" s="3"/>
      <c r="G417" s="3"/>
      <c r="H417" s="4"/>
      <c r="I417" s="2"/>
    </row>
    <row r="418" spans="1:9">
      <c r="A418" s="2"/>
      <c r="B418" s="1" t="s">
        <v>18</v>
      </c>
      <c r="C418" s="2">
        <v>3</v>
      </c>
      <c r="D418" s="2">
        <v>1</v>
      </c>
      <c r="E418" s="3" t="s">
        <v>21</v>
      </c>
      <c r="F418" s="3" t="s">
        <v>21</v>
      </c>
      <c r="G418" s="3" t="s">
        <v>21</v>
      </c>
      <c r="H418" s="14">
        <f>D418*C418</f>
        <v>3</v>
      </c>
      <c r="I418" s="2" t="s">
        <v>68</v>
      </c>
    </row>
    <row r="419" spans="1:9" ht="31.5">
      <c r="A419" s="2">
        <v>71</v>
      </c>
      <c r="B419" s="1" t="s">
        <v>366</v>
      </c>
      <c r="C419" s="2"/>
      <c r="D419" s="2"/>
      <c r="E419" s="3"/>
      <c r="F419" s="3"/>
      <c r="G419" s="3"/>
      <c r="H419" s="4"/>
      <c r="I419" s="2"/>
    </row>
    <row r="420" spans="1:9">
      <c r="A420" s="2"/>
      <c r="B420" s="1" t="s">
        <v>368</v>
      </c>
      <c r="C420" s="2">
        <v>3</v>
      </c>
      <c r="D420" s="2">
        <v>2</v>
      </c>
      <c r="E420" s="3" t="s">
        <v>21</v>
      </c>
      <c r="F420" s="3" t="s">
        <v>21</v>
      </c>
      <c r="G420" s="3" t="s">
        <v>21</v>
      </c>
      <c r="H420" s="14">
        <f>D420*C420</f>
        <v>6</v>
      </c>
      <c r="I420" s="2" t="s">
        <v>68</v>
      </c>
    </row>
    <row r="421" spans="1:9" ht="31.5">
      <c r="A421" s="2">
        <v>72</v>
      </c>
      <c r="B421" s="1" t="s">
        <v>367</v>
      </c>
      <c r="C421" s="2"/>
      <c r="D421" s="2"/>
      <c r="E421" s="3"/>
      <c r="F421" s="3"/>
      <c r="G421" s="3"/>
      <c r="H421" s="4"/>
      <c r="I421" s="2"/>
    </row>
    <row r="422" spans="1:9">
      <c r="A422" s="2"/>
      <c r="B422" s="1" t="s">
        <v>368</v>
      </c>
      <c r="C422" s="2">
        <v>3</v>
      </c>
      <c r="D422" s="2">
        <v>2</v>
      </c>
      <c r="E422" s="3" t="s">
        <v>21</v>
      </c>
      <c r="F422" s="3" t="s">
        <v>21</v>
      </c>
      <c r="G422" s="3" t="s">
        <v>21</v>
      </c>
      <c r="H422" s="14">
        <f>D422*C422</f>
        <v>6</v>
      </c>
      <c r="I422" s="2" t="s">
        <v>68</v>
      </c>
    </row>
    <row r="423" spans="1:9" ht="47.25">
      <c r="A423" s="2">
        <v>53</v>
      </c>
      <c r="B423" s="1" t="s">
        <v>373</v>
      </c>
      <c r="C423" s="2"/>
      <c r="D423" s="2"/>
      <c r="E423" s="3"/>
      <c r="F423" s="3"/>
      <c r="G423" s="3"/>
      <c r="H423" s="4"/>
      <c r="I423" s="2"/>
    </row>
    <row r="424" spans="1:9">
      <c r="A424" s="2"/>
      <c r="B424" s="1" t="s">
        <v>0</v>
      </c>
      <c r="C424" s="2">
        <v>3</v>
      </c>
      <c r="D424" s="2">
        <v>1</v>
      </c>
      <c r="E424" s="3">
        <v>3.05</v>
      </c>
      <c r="F424" s="3">
        <v>2.42</v>
      </c>
      <c r="G424" s="3" t="s">
        <v>21</v>
      </c>
      <c r="H424" s="4">
        <f>C424*D424*E424*F424</f>
        <v>22.142999999999997</v>
      </c>
      <c r="I424" s="2"/>
    </row>
    <row r="425" spans="1:9">
      <c r="A425" s="2"/>
      <c r="B425" s="1" t="s">
        <v>149</v>
      </c>
      <c r="C425" s="2">
        <v>3</v>
      </c>
      <c r="D425" s="2">
        <v>1</v>
      </c>
      <c r="E425" s="3">
        <v>10.94</v>
      </c>
      <c r="F425" s="3" t="s">
        <v>21</v>
      </c>
      <c r="G425" s="3">
        <v>0.1</v>
      </c>
      <c r="H425" s="4">
        <f>C425*D425*E425*G425</f>
        <v>3.282</v>
      </c>
      <c r="I425" s="2"/>
    </row>
    <row r="426" spans="1:9">
      <c r="A426" s="2"/>
      <c r="B426" s="1" t="s">
        <v>74</v>
      </c>
      <c r="C426" s="2">
        <v>3</v>
      </c>
      <c r="D426" s="2">
        <v>1</v>
      </c>
      <c r="E426" s="3">
        <v>3.6</v>
      </c>
      <c r="F426" s="3">
        <v>1.5</v>
      </c>
      <c r="G426" s="3" t="s">
        <v>21</v>
      </c>
      <c r="H426" s="4">
        <f>C426*D426*E426*F426</f>
        <v>16.200000000000003</v>
      </c>
      <c r="I426" s="2"/>
    </row>
    <row r="427" spans="1:9">
      <c r="A427" s="2"/>
      <c r="B427" s="1" t="s">
        <v>149</v>
      </c>
      <c r="C427" s="2">
        <v>3</v>
      </c>
      <c r="D427" s="2">
        <v>1</v>
      </c>
      <c r="E427" s="3">
        <v>10.199999999999999</v>
      </c>
      <c r="F427" s="3" t="s">
        <v>21</v>
      </c>
      <c r="G427" s="3">
        <v>0.1</v>
      </c>
      <c r="H427" s="4">
        <f>C427*D427*E427*G427</f>
        <v>3.06</v>
      </c>
      <c r="I427" s="2"/>
    </row>
    <row r="428" spans="1:9">
      <c r="A428" s="2"/>
      <c r="B428" s="1" t="s">
        <v>79</v>
      </c>
      <c r="C428" s="2">
        <v>3</v>
      </c>
      <c r="D428" s="2">
        <v>1</v>
      </c>
      <c r="E428" s="3">
        <v>1</v>
      </c>
      <c r="F428" s="3">
        <v>1.05</v>
      </c>
      <c r="G428" s="3" t="s">
        <v>21</v>
      </c>
      <c r="H428" s="4">
        <f>C428*D428*E428*F428</f>
        <v>3.1500000000000004</v>
      </c>
      <c r="I428" s="2"/>
    </row>
    <row r="429" spans="1:9">
      <c r="A429" s="2"/>
      <c r="B429" s="1" t="s">
        <v>149</v>
      </c>
      <c r="C429" s="2">
        <v>3</v>
      </c>
      <c r="D429" s="2">
        <v>1</v>
      </c>
      <c r="E429" s="3">
        <v>4.0999999999999996</v>
      </c>
      <c r="F429" s="3" t="s">
        <v>21</v>
      </c>
      <c r="G429" s="3">
        <v>0.1</v>
      </c>
      <c r="H429" s="4">
        <f t="shared" ref="H429:H434" si="13">C429*D429*E429*G429</f>
        <v>1.23</v>
      </c>
      <c r="I429" s="2"/>
    </row>
    <row r="430" spans="1:9">
      <c r="A430" s="2"/>
      <c r="B430" s="1" t="s">
        <v>200</v>
      </c>
      <c r="C430" s="2">
        <v>3</v>
      </c>
      <c r="D430" s="2">
        <v>2</v>
      </c>
      <c r="E430" s="3">
        <v>6.84</v>
      </c>
      <c r="F430" s="3" t="s">
        <v>21</v>
      </c>
      <c r="G430" s="3">
        <v>6</v>
      </c>
      <c r="H430" s="4">
        <f t="shared" si="13"/>
        <v>246.24</v>
      </c>
      <c r="I430" s="2"/>
    </row>
    <row r="431" spans="1:9">
      <c r="A431" s="2"/>
      <c r="B431" s="1" t="s">
        <v>201</v>
      </c>
      <c r="C431" s="2">
        <v>3</v>
      </c>
      <c r="D431" s="2">
        <v>8</v>
      </c>
      <c r="E431" s="3">
        <v>1.23</v>
      </c>
      <c r="F431" s="3" t="s">
        <v>21</v>
      </c>
      <c r="G431" s="3">
        <v>0.45</v>
      </c>
      <c r="H431" s="4">
        <f t="shared" si="13"/>
        <v>13.284000000000001</v>
      </c>
      <c r="I431" s="2"/>
    </row>
    <row r="432" spans="1:9">
      <c r="A432" s="2"/>
      <c r="B432" s="1" t="s">
        <v>201</v>
      </c>
      <c r="C432" s="2">
        <v>3</v>
      </c>
      <c r="D432" s="2">
        <v>20</v>
      </c>
      <c r="E432" s="3">
        <v>1.3</v>
      </c>
      <c r="F432" s="3" t="s">
        <v>21</v>
      </c>
      <c r="G432" s="3">
        <v>0.45</v>
      </c>
      <c r="H432" s="4">
        <f t="shared" si="13"/>
        <v>35.1</v>
      </c>
      <c r="I432" s="2"/>
    </row>
    <row r="433" spans="1:9">
      <c r="A433" s="2"/>
      <c r="B433" s="1" t="s">
        <v>201</v>
      </c>
      <c r="C433" s="2">
        <v>3</v>
      </c>
      <c r="D433" s="2">
        <v>12</v>
      </c>
      <c r="E433" s="3">
        <v>1.6</v>
      </c>
      <c r="F433" s="3" t="s">
        <v>21</v>
      </c>
      <c r="G433" s="3">
        <v>0.45</v>
      </c>
      <c r="H433" s="4">
        <f t="shared" si="13"/>
        <v>25.92</v>
      </c>
      <c r="I433" s="2"/>
    </row>
    <row r="434" spans="1:9">
      <c r="A434" s="2"/>
      <c r="B434" s="1" t="s">
        <v>202</v>
      </c>
      <c r="C434" s="2">
        <v>3</v>
      </c>
      <c r="D434" s="2">
        <v>18</v>
      </c>
      <c r="E434" s="3">
        <v>1.8</v>
      </c>
      <c r="F434" s="3" t="s">
        <v>21</v>
      </c>
      <c r="G434" s="3">
        <v>0.45</v>
      </c>
      <c r="H434" s="4">
        <f t="shared" si="13"/>
        <v>43.74</v>
      </c>
      <c r="I434" s="2"/>
    </row>
    <row r="435" spans="1:9">
      <c r="A435" s="2"/>
      <c r="B435" s="1" t="s">
        <v>203</v>
      </c>
      <c r="C435" s="2">
        <v>3</v>
      </c>
      <c r="D435" s="2">
        <v>2</v>
      </c>
      <c r="E435" s="3">
        <v>1.8</v>
      </c>
      <c r="F435" s="3">
        <v>0.9</v>
      </c>
      <c r="G435" s="3" t="s">
        <v>21</v>
      </c>
      <c r="H435" s="4">
        <f>C435*D435*E435*F435</f>
        <v>9.7200000000000006</v>
      </c>
      <c r="I435" s="2"/>
    </row>
    <row r="436" spans="1:9">
      <c r="A436" s="2"/>
      <c r="B436" s="1"/>
      <c r="C436" s="2"/>
      <c r="D436" s="2"/>
      <c r="E436" s="3"/>
      <c r="F436" s="3"/>
      <c r="G436" s="3"/>
      <c r="H436" s="4">
        <f>SUM(H424:H435)</f>
        <v>423.06900000000007</v>
      </c>
      <c r="I436" s="2"/>
    </row>
    <row r="437" spans="1:9" ht="18.75">
      <c r="A437" s="2"/>
      <c r="B437" s="1"/>
      <c r="C437" s="2"/>
      <c r="D437" s="2"/>
      <c r="E437" s="3"/>
      <c r="F437" s="3"/>
      <c r="G437" s="3" t="s">
        <v>9</v>
      </c>
      <c r="H437" s="7">
        <v>423.1</v>
      </c>
      <c r="I437" s="2" t="s">
        <v>26</v>
      </c>
    </row>
  </sheetData>
  <mergeCells count="7">
    <mergeCell ref="E65:G65"/>
    <mergeCell ref="A1:I1"/>
    <mergeCell ref="A2:I2"/>
    <mergeCell ref="A3:I3"/>
    <mergeCell ref="C4:D4"/>
    <mergeCell ref="E7:G7"/>
    <mergeCell ref="E58:G58"/>
  </mergeCells>
  <pageMargins left="0.7" right="0.7" top="0.75" bottom="0.75" header="0.3" footer="0.3"/>
  <pageSetup paperSize="9" scale="95" orientation="portrait" r:id="rId1"/>
</worksheet>
</file>

<file path=xl/worksheets/sheet51.xml><?xml version="1.0" encoding="utf-8"?>
<worksheet xmlns="http://schemas.openxmlformats.org/spreadsheetml/2006/main" xmlns:r="http://schemas.openxmlformats.org/officeDocument/2006/relationships">
  <sheetPr codeName="Sheet25"/>
  <dimension ref="A1"/>
  <sheetViews>
    <sheetView workbookViewId="0"/>
  </sheetViews>
  <sheetFormatPr defaultRowHeight="15"/>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
  <sheetViews>
    <sheetView workbookViewId="0">
      <selection activeCell="E10" sqref="E10"/>
    </sheetView>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40</vt:i4>
      </vt:variant>
    </vt:vector>
  </HeadingPairs>
  <TitlesOfParts>
    <vt:vector size="92" baseType="lpstr">
      <vt:lpstr>Detail new</vt:lpstr>
      <vt:lpstr>Abstract</vt:lpstr>
      <vt:lpstr>Abs (2)</vt:lpstr>
      <vt:lpstr>Abstact.</vt:lpstr>
      <vt:lpstr>Abstract </vt:lpstr>
      <vt:lpstr>lead  charge</vt:lpstr>
      <vt:lpstr>sump design</vt:lpstr>
      <vt:lpstr>sump</vt:lpstr>
      <vt:lpstr>Retained Wall </vt:lpstr>
      <vt:lpstr>Print data</vt:lpstr>
      <vt:lpstr>Elec.Data</vt:lpstr>
      <vt:lpstr>Data 2022-23</vt:lpstr>
      <vt:lpstr>General Abs</vt:lpstr>
      <vt:lpstr>Ins Abs</vt:lpstr>
      <vt:lpstr>SI Abs </vt:lpstr>
      <vt:lpstr>Abstarct</vt:lpstr>
      <vt:lpstr>PC Abs</vt:lpstr>
      <vt:lpstr>building</vt:lpstr>
      <vt:lpstr>INS- Detail </vt:lpstr>
      <vt:lpstr>INS - Abs </vt:lpstr>
      <vt:lpstr>INS- Elec </vt:lpstr>
      <vt:lpstr>IN- Elec - Abs </vt:lpstr>
      <vt:lpstr>INS - Sullage </vt:lpstr>
      <vt:lpstr>INS - PP - Detail </vt:lpstr>
      <vt:lpstr>SI- Detail  </vt:lpstr>
      <vt:lpstr>SI - Abs</vt:lpstr>
      <vt:lpstr>SI- Elec  </vt:lpstr>
      <vt:lpstr>SI - Sullage  </vt:lpstr>
      <vt:lpstr>SI - PP - Detail </vt:lpstr>
      <vt:lpstr>PC - Abs</vt:lpstr>
      <vt:lpstr>PC- Detail</vt:lpstr>
      <vt:lpstr>SI- Elec - Abs  </vt:lpstr>
      <vt:lpstr>PC- Elec</vt:lpstr>
      <vt:lpstr>PC- Elec - Abs</vt:lpstr>
      <vt:lpstr>INS - Sullage - Abs </vt:lpstr>
      <vt:lpstr>SI - Sullage - Abs</vt:lpstr>
      <vt:lpstr>PC - Sullage   </vt:lpstr>
      <vt:lpstr>PC - Sullage - Abs</vt:lpstr>
      <vt:lpstr>INS -PP- Abs </vt:lpstr>
      <vt:lpstr>SI -PP- Abs </vt:lpstr>
      <vt:lpstr>PC - PP - Detail</vt:lpstr>
      <vt:lpstr>PC -PP- Abs</vt:lpstr>
      <vt:lpstr>sump abs</vt:lpstr>
      <vt:lpstr>sump (2)</vt:lpstr>
      <vt:lpstr>sump abs (2)</vt:lpstr>
      <vt:lpstr>OBD</vt:lpstr>
      <vt:lpstr>Lead</vt:lpstr>
      <vt:lpstr>Short data</vt:lpstr>
      <vt:lpstr>Short data (2)</vt:lpstr>
      <vt:lpstr>Detail old</vt:lpstr>
      <vt:lpstr>Sheet1</vt:lpstr>
      <vt:lpstr>Sheet2</vt:lpstr>
      <vt:lpstr>'Abs (2)'!Print_Area</vt:lpstr>
      <vt:lpstr>Abstact.!Print_Area</vt:lpstr>
      <vt:lpstr>Abstarct!Print_Area</vt:lpstr>
      <vt:lpstr>Abstract!Print_Area</vt:lpstr>
      <vt:lpstr>'Abstract '!Print_Area</vt:lpstr>
      <vt:lpstr>building!Print_Area</vt:lpstr>
      <vt:lpstr>'Data 2022-23'!Print_Area</vt:lpstr>
      <vt:lpstr>'Detail new'!Print_Area</vt:lpstr>
      <vt:lpstr>Elec.Data!Print_Area</vt:lpstr>
      <vt:lpstr>'General Abs'!Print_Area</vt:lpstr>
      <vt:lpstr>'IN- Elec - Abs '!Print_Area</vt:lpstr>
      <vt:lpstr>'INS - Abs '!Print_Area</vt:lpstr>
      <vt:lpstr>'Ins Abs'!Print_Area</vt:lpstr>
      <vt:lpstr>'INS- Detail '!Print_Area</vt:lpstr>
      <vt:lpstr>'INS- Elec '!Print_Area</vt:lpstr>
      <vt:lpstr>'INS -PP- Abs '!Print_Area</vt:lpstr>
      <vt:lpstr>'lead  charge'!Print_Area</vt:lpstr>
      <vt:lpstr>'PC - Abs'!Print_Area</vt:lpstr>
      <vt:lpstr>'PC Abs'!Print_Area</vt:lpstr>
      <vt:lpstr>'PC- Detail'!Print_Area</vt:lpstr>
      <vt:lpstr>'PC- Elec'!Print_Area</vt:lpstr>
      <vt:lpstr>'PC- Elec - Abs'!Print_Area</vt:lpstr>
      <vt:lpstr>'PC -PP- Abs'!Print_Area</vt:lpstr>
      <vt:lpstr>'Retained Wall '!Print_Area</vt:lpstr>
      <vt:lpstr>'SI - Abs'!Print_Area</vt:lpstr>
      <vt:lpstr>'SI Abs '!Print_Area</vt:lpstr>
      <vt:lpstr>'SI- Detail  '!Print_Area</vt:lpstr>
      <vt:lpstr>'SI- Elec  '!Print_Area</vt:lpstr>
      <vt:lpstr>'SI- Elec - Abs  '!Print_Area</vt:lpstr>
      <vt:lpstr>'SI -PP- Abs '!Print_Area</vt:lpstr>
      <vt:lpstr>'Data 2022-23'!Print_Area_MI</vt:lpstr>
      <vt:lpstr>Abstact.!Print_Titles</vt:lpstr>
      <vt:lpstr>Abstarct!Print_Titles</vt:lpstr>
      <vt:lpstr>'Abstract '!Print_Titles</vt:lpstr>
      <vt:lpstr>building!Print_Titles</vt:lpstr>
      <vt:lpstr>'Ins Abs'!Print_Titles</vt:lpstr>
      <vt:lpstr>'PC Abs'!Print_Titles</vt:lpstr>
      <vt:lpstr>'SI Abs '!Print_Titles</vt:lpstr>
      <vt:lpstr>'Data 2022-23'!PRINT_TITLES_MI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Dell</cp:lastModifiedBy>
  <cp:lastPrinted>2022-04-26T08:39:43Z</cp:lastPrinted>
  <dcterms:created xsi:type="dcterms:W3CDTF">2018-12-12T07:35:01Z</dcterms:created>
  <dcterms:modified xsi:type="dcterms:W3CDTF">2023-04-27T09:28:21Z</dcterms:modified>
</cp:coreProperties>
</file>